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Dropdown lists" sheetId="1" r:id="rId4"/>
    <sheet state="visible" name="Overall results data" sheetId="2" r:id="rId5"/>
    <sheet state="visible" name="guilexperi rb" sheetId="3" r:id="rId6"/>
    <sheet state="visible" name="Personal Info" sheetId="4" r:id="rId7"/>
    <sheet state="visible" name="Deal Info" sheetId="5" r:id="rId8"/>
    <sheet state="visible" name="Room Info" sheetId="6" r:id="rId9"/>
    <sheet state="hidden" name="SM0LK0" sheetId="7" r:id="rId10"/>
    <sheet state="visible" name="Verification" sheetId="8" r:id="rId11"/>
    <sheet state="visible" name="RedStar" sheetId="9" r:id="rId12"/>
    <sheet state="visible" name="For notion" sheetId="10" r:id="rId13"/>
    <sheet state="visible" name="Split" sheetId="11" r:id="rId14"/>
    <sheet state="visible" name="Tournaments Table" sheetId="12" r:id="rId15"/>
  </sheets>
  <definedNames>
    <definedName hidden="1" localSheetId="1" name="_xlnm._FilterDatabase">'Overall results data'!$A$1:$AG$2446</definedName>
    <definedName hidden="1" localSheetId="5" name="_xlnm._FilterDatabase">'Room Info'!$A$1:$T$82</definedName>
    <definedName hidden="1" localSheetId="8" name="_xlnm._FilterDatabase">RedStar!$A$1:$AA$12</definedName>
    <definedName hidden="1" localSheetId="1" name="Z_6DA9D4CC_3B6B_4C2E_8C79_F556DB56FF5A_.wvu.FilterData">'Overall results data'!$A$1:$AG$2446</definedName>
    <definedName hidden="1" localSheetId="1" name="Z_CE7D0615_8868_46DE_AFB7_63D9999A6F12_.wvu.FilterData">'Overall results data'!$A$1:$AD$2445</definedName>
    <definedName hidden="1" localSheetId="6" name="Z_CE7D0615_8868_46DE_AFB7_63D9999A6F12_.wvu.FilterData">SM0LK0!$A$1:$AB$2449</definedName>
    <definedName hidden="1" localSheetId="1" name="Z_A480E312_D411_43A3_9923_38A88340C605_.wvu.FilterData">'Overall results data'!$A$1:$AG$2445</definedName>
  </definedNames>
  <calcPr/>
  <customWorkbookViews>
    <customWorkbookView activeSheetId="0" maximized="1" windowHeight="0" windowWidth="0" guid="{A480E312-D411-43A3-9923-38A88340C605}" name="Filter 2"/>
    <customWorkbookView activeSheetId="0" maximized="1" windowHeight="0" windowWidth="0" guid="{6DA9D4CC-3B6B-4C2E-8C79-F556DB56FF5A}" name="Filter 3"/>
    <customWorkbookView activeSheetId="0" maximized="1" windowHeight="0" windowWidth="0" guid="{CE7D0615-8868-46DE-AFB7-63D9999A6F12}" name="Filter 1"/>
  </customWorkbookViews>
  <pivotCaches>
    <pivotCache cacheId="0" r:id="rId16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A77">
      <text>
        <t xml:space="preserve">прислал предоплату</t>
      </text>
    </comment>
    <comment authorId="0" ref="M472">
      <text>
        <t xml:space="preserve">https://drive.google.com/drive/folders/18w7l9Xd5MepeM90hqYaV7y2-xAoeeuUC</t>
      </text>
    </comment>
    <comment authorId="0" ref="M473">
      <text>
        <t xml:space="preserve">https://drive.google.com/drive/folders/1rqfndtr2mUjp7IIHTPvHqzL7dvHyQSvt</t>
      </text>
    </comment>
    <comment authorId="0" ref="M474">
      <text>
        <t xml:space="preserve">https://drive.google.com/drive/u/0/folders/1VAICEfDz5zCQgdNi_ggZtq1o22CCTA7_</t>
      </text>
    </comment>
    <comment authorId="0" ref="M945">
      <text>
        <t xml:space="preserve">https://drive.google.com/drive/u/0/folders/1UIcim7Sy5NJHE_UimDv0_Ehe7mHS6nV7</t>
      </text>
    </comment>
    <comment authorId="0" ref="L1242">
      <text>
        <t xml:space="preserve">https://cdn.discordapp.com/attachments/1081247443250856016/1081253104453963926/image.png</t>
      </text>
    </comment>
    <comment authorId="0" ref="M1242">
      <text>
        <t xml:space="preserve">https://drive.google.com/drive/u/0/folders/1CT92ot93R5WGSr1j2Uz3aOg8UKThleuF
350 оплата пула</t>
      </text>
    </comment>
    <comment authorId="0" ref="M1272">
      <text>
        <t xml:space="preserve">https://drive.google.com/drive/u/0/folders/1ucxqoJGu2u_P0_mP6K9UoVMMR1gfkuRi</t>
      </text>
    </comment>
    <comment authorId="0" ref="M1273">
      <text>
        <t xml:space="preserve">https://drive.google.com/drive/folders/1b0EZcdcZAhglZnma0z51YtqCmfuxiy0p</t>
      </text>
    </comment>
    <comment authorId="0" ref="M1280">
      <text>
        <t xml:space="preserve">https://drive.google.com/drive/folders/1BWPo6gOg30ldJUFeU3c0abcb-UeuJshm</t>
      </text>
    </comment>
    <comment authorId="0" ref="M1407">
      <text>
        <t xml:space="preserve">https://drive.google.com/drive/u/0/folders/1VAICEfDz5zCQgdNi_ggZtq1o22CCTA7_</t>
      </text>
    </comment>
    <comment authorId="0" ref="M1435">
      <text>
        <t xml:space="preserve">https://i.gyazo.com/56224eb438111185bf728c8f2bcfa4f4.png
с 21/01 по 12/03</t>
      </text>
    </comment>
    <comment authorId="0" ref="M1454">
      <text>
        <t xml:space="preserve">https://drive.google.com/drive/u/0/folders/1VxVI48yxzBg9rueYfeSNEqVHrjPYW7xC</t>
      </text>
    </comment>
    <comment authorId="0" ref="M1455">
      <text>
        <t xml:space="preserve">https://drive.google.com/drive/u/0/folders/1wx3A_JWtKkOuMs2oLLEUOHUHyidpIkxs</t>
      </text>
    </comment>
    <comment authorId="0" ref="M1457">
      <text>
        <t xml:space="preserve">https://drive.google.com/drive/u/0/folders/1ENwEqbNuUm1gja5aLj0XaSihvKS5hGiq</t>
      </text>
    </comment>
    <comment authorId="0" ref="M1470">
      <text>
        <t xml:space="preserve">https://drive.google.com/drive/u/0/folders/1U0fwQdYLRGE_XvEZ6v_Ihs_cGLc5htSx</t>
      </text>
    </comment>
    <comment authorId="0" ref="M1471">
      <text>
        <t xml:space="preserve">https://i.gyazo.com/c44949cb5f9807dd190c30b0675ab94f.png</t>
      </text>
    </comment>
    <comment authorId="0" ref="M1476">
      <text>
        <t xml:space="preserve">https://i.gyazo.com/e75dabd13b8a658f50451e7fd7223431.png
с 21.01 по 1.03 включительно</t>
      </text>
    </comment>
    <comment authorId="0" ref="M1479">
      <text>
        <t xml:space="preserve">https://i.gyazo.com/0aa1c4c422f26fb320cc9b5bcec6f6ad.png</t>
      </text>
    </comment>
    <comment authorId="0" ref="M1486">
      <text>
        <t xml:space="preserve">https://i.gyazo.com/66a045f94418194a5502cff4bb9b01ce.png</t>
      </text>
    </comment>
    <comment authorId="0" ref="M1491">
      <text>
        <t xml:space="preserve">https://drive.google.com/drive/u/0/folders/1aYDkj8aVfKuACZ02q8-nZheuEU_M3pgx</t>
      </text>
    </comment>
    <comment authorId="0" ref="M1492">
      <text>
        <t xml:space="preserve">https://i.gyazo.com/70ac39fcefea35fc50a922fc01234d40.png</t>
      </text>
    </comment>
    <comment authorId="0" ref="L1493">
      <text>
        <t xml:space="preserve">https://i.gyazo.com/763a5548ce65c54622bee372224f9b05.png</t>
      </text>
    </comment>
    <comment authorId="0" ref="M1493">
      <text>
        <t xml:space="preserve">https://drive.google.com/drive/u/0/folders/1iXfYc3o6SLgPBnK2TG6nIeyO4cDMG6aL
Касса на конец: 28353.27</t>
      </text>
    </comment>
    <comment authorId="0" ref="L1495">
      <text>
        <t xml:space="preserve">Касса начало 
https://i.gyazo.com/c2a6bc6efbe3b7ca417bfbc86c46e5f7.png
Касса конец 
https://drive.google.com/drive/u/0/folders/1wXA_epqDH_O77TSJiNEM4KYb-h9Nt4tn
https://i.gyazo.com/9920530f357124934b1bc0f03cc8838f.png расчет</t>
      </text>
    </comment>
    <comment authorId="0" ref="L1498">
      <text>
        <t xml:space="preserve">https://drive.google.com/drive/u/7/folders/1dWQusP9WFX840qMLZd0DRqlIhfeMs8Xc
Касса начало https://i.gyazo.com/afd8857db51b804d2c5d458418686df5.png   5.52
https://i.gyazo.com/a3d37035ecfea4f2767d356d1b77dd73.png расчет</t>
      </text>
    </comment>
    <comment authorId="0" ref="L1502">
      <text>
        <t xml:space="preserve">https://drive.google.com/drive/u/0/folders/1Wdo8mxq0d__oXPrsEgtTMKf8M8vAwHYF
касса начало https://i.gyazo.com/83a602461b6ee599e497885edd86333e.png 2314.27
расчет
https://i.gyazo.com/e453d7700d4bd2b21afb58c8ce6d4652.png</t>
      </text>
    </comment>
    <comment authorId="0" ref="L1505">
      <text>
        <t xml:space="preserve">https://drive.google.com/drive/u/7/folders/1GFUQTeWvv_i2EDhZIAD6UeFTyGxchfNt
касса начало 
https://i.gyazo.com/9eac95170021e259f68cf85db232347d.png
3418.34
расчет https://i.gyazo.com/5aee5c731b93abe3ac8bd053e6275e1c.png</t>
      </text>
    </comment>
    <comment authorId="0" ref="M1508">
      <text>
        <t xml:space="preserve">https://i.gyazo.com/de9742251b7c2b73ea5d29db41878c83.png</t>
      </text>
    </comment>
    <comment authorId="0" ref="M1514">
      <text>
        <t xml:space="preserve">https://i.gyazo.com/2b2d1207e6d0d836f1eb0590ef24373a.png</t>
      </text>
    </comment>
    <comment authorId="0" ref="M1521">
      <text>
        <t xml:space="preserve">https://drive.google.com/drive/u/0/folders/1UvSorLAsaoXmH0G__4D6yRo-zTfQDCAt</t>
      </text>
    </comment>
    <comment authorId="0" ref="M1522">
      <text>
        <t xml:space="preserve">https://drive.google.com/drive/u/0/folders/1BHXjt_nLSjJmM6r2_QOhJD5pRY7g7fGC
(4 тикета по 150 продал за 120, поэтому 1600-120),</t>
      </text>
    </comment>
    <comment authorId="0" ref="M1527">
      <text>
        <t xml:space="preserve">https://drive.google.com/drive/u/0/folders/1L0UIUpES6itKbCop0MYcvCMdyxQbqbJ4</t>
      </text>
    </comment>
    <comment authorId="0" ref="M1529">
      <text>
        <t xml:space="preserve">https://i.gyazo.com/7c9aca41c83fa05bb2648e247409fbbb.png</t>
      </text>
    </comment>
    <comment authorId="0" ref="M1537">
      <text>
        <t xml:space="preserve">https://i.gyazo.com/0601464c4edaa04ef1c5cefdd2aab266.png</t>
      </text>
    </comment>
    <comment authorId="0" ref="M1542">
      <text>
        <t xml:space="preserve">https://drive.google.com/drive/u/0/folders/1EKVImBYc0O7fcoQL5MnO54Mn0UtZzcDs</t>
      </text>
    </comment>
    <comment authorId="0" ref="M1545">
      <text>
        <t xml:space="preserve">https://drive.google.com/drive/u/0/folders/17WMuwx0DBXc_TJoYYhNcx295k204BoJu</t>
      </text>
    </comment>
    <comment authorId="0" ref="AA1559">
      <text>
        <t xml:space="preserve">прислал предоплату (250 за ферваль 2023)</t>
      </text>
    </comment>
    <comment authorId="0" ref="M1560">
      <text>
        <t xml:space="preserve">https://i.gyazo.com/79a87504947f957643ae79fce76d6d64.png</t>
      </text>
    </comment>
    <comment authorId="0" ref="M1571">
      <text>
        <t xml:space="preserve">https://i.gyazo.com/2d4a146b31ba2d4f54062ae6bb987ab8.png</t>
      </text>
    </comment>
    <comment authorId="0" ref="M1575">
      <text>
        <t xml:space="preserve">https://i.gyazo.com/fcd80dbf976aa8d65efd146209d4ddfd.png</t>
      </text>
    </comment>
    <comment authorId="0" ref="M1578">
      <text>
        <t xml:space="preserve">https://i.gyazo.com/97531af35cd70e8c483d2836d133fe6b.png
</t>
      </text>
    </comment>
    <comment authorId="0" ref="M1586">
      <text>
        <t xml:space="preserve">https://i.gyazo.com/e957ce65b6499e5b1452087be3a5e764.png</t>
      </text>
    </comment>
    <comment authorId="0" ref="M1588">
      <text>
        <t xml:space="preserve">https://i.gyazo.com/7fd16629573e5be382944fe8433e5168.png</t>
      </text>
    </comment>
    <comment authorId="0" ref="M1591">
      <text>
        <t xml:space="preserve">https://i.gyazo.com/91a215a8f6543a58436e961dd73d02a1.png</t>
      </text>
    </comment>
    <comment authorId="0" ref="M1592">
      <text>
        <t xml:space="preserve">https://i.gyazo.com/16e4752ccd57461733d268e3e4597034.png</t>
      </text>
    </comment>
    <comment authorId="0" ref="M1595">
      <text>
        <t xml:space="preserve">https://i.gyazo.com/5bdd6d76d265cbb0cf9ff67a9557a712.png</t>
      </text>
    </comment>
    <comment authorId="0" ref="M1599">
      <text>
        <t xml:space="preserve">https://i.gyazo.com/d532799346e9b2e995f93b782bc6686b.png</t>
      </text>
    </comment>
    <comment authorId="0" ref="M1601">
      <text>
        <t xml:space="preserve">https://i.gyazo.com/23c646a580349d447eafb2dbff4e80a1.png</t>
      </text>
    </comment>
    <comment authorId="0" ref="M1603">
      <text>
        <t xml:space="preserve">https://i.gyazo.com/7f644578e00bed7bd7cc1c34fc3971c2.png</t>
      </text>
    </comment>
    <comment authorId="0" ref="M1605">
      <text>
        <t xml:space="preserve">https://i.gyazo.com/a7a17ce9c36d291ccc8bd0261da3a364.png</t>
      </text>
    </comment>
    <comment authorId="0" ref="M1606">
      <text>
        <t xml:space="preserve">https://i.gyazo.com/654fed412f19e2bfec77037a3fb65de7.png</t>
      </text>
    </comment>
    <comment authorId="0" ref="M1608">
      <text>
        <t xml:space="preserve">https://i.gyazo.com/ee24aaac5fc172a46fff19265d471ed8.png</t>
      </text>
    </comment>
    <comment authorId="0" ref="M1611">
      <text>
        <t xml:space="preserve">https://i.gyazo.com/a5526b7ec48fe63db4296f06f18e114c.png</t>
      </text>
    </comment>
    <comment authorId="0" ref="M1612">
      <text>
        <t xml:space="preserve">https://i.gyazo.com/b87f494735d38030d20358f26421f5cb.png</t>
      </text>
    </comment>
    <comment authorId="0" ref="M1616">
      <text>
        <t xml:space="preserve">https://drive.google.com/drive/folders/1i53TvLTBmzVHfNgFwT-1XA6krNV_XdBs</t>
      </text>
    </comment>
    <comment authorId="0" ref="M1620">
      <text>
        <t xml:space="preserve">https://drive.google.com/drive/u/0/folders/1Iho-aLANsOobCW6XzPdgEumhw5fYIR8i</t>
      </text>
    </comment>
    <comment authorId="0" ref="L1621">
      <text>
        <t xml:space="preserve">https://i.gyazo.com/009fd20d37db28432f9bd0732bdb02be.png</t>
      </text>
    </comment>
    <comment authorId="0" ref="M1621">
      <text>
        <t xml:space="preserve">https://drive.google.com/drive/folders/1SXQ8LKMzAf1_k535I7O0i8OfCM0zRWzE</t>
      </text>
    </comment>
    <comment authorId="0" ref="M1622">
      <text>
        <t xml:space="preserve">https://drive.google.com/drive/folders/1qSxZaxLQpXIFsCLLeUkHwNQIJPWdzoO-</t>
      </text>
    </comment>
    <comment authorId="0" ref="M1625">
      <text>
        <t xml:space="preserve">https://i.gyazo.com/41f933c042a6c54fa0032ebec98104d1.png</t>
      </text>
    </comment>
    <comment authorId="0" ref="M1627">
      <text>
        <t xml:space="preserve">https://i.gyazo.com/523afdcc454fca8a5d647c9fa5058b38.png</t>
      </text>
    </comment>
    <comment authorId="0" ref="M1632">
      <text>
        <t xml:space="preserve">https://i.gyazo.com/85a445d73feb53c565ec0774237c711f.png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1">
      <text>
        <t xml:space="preserve">Notion - kostromins@inbox.lv</t>
      </text>
    </comment>
    <comment authorId="0" ref="F31">
      <text>
        <t xml:space="preserve">Notion - kostromins@inbox.lv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2 контракт</t>
      </text>
    </comment>
    <comment authorId="0" ref="E23">
      <text>
        <t xml:space="preserve">march deal: 
https://docs.google.com/document/d/1lsxO60HcmXPoe5W-Q9B4SgafuefDrqRxCbgsV2FvCzo/edit#heading=h.25ed5ykm7zul</t>
      </text>
    </comment>
    <comment authorId="0" ref="F23">
      <text>
        <t xml:space="preserve">2 контракт</t>
      </text>
    </comment>
    <comment authorId="0" ref="H23">
      <text>
        <t xml:space="preserve">march deal: 
https://docs.google.com/document/d/1lsxO60HcmXPoe5W-Q9B4SgafuefDrqRxCbgsV2FvCzo/edit#heading=h.25ed5ykm7zul</t>
      </text>
    </comment>
    <comment authorId="0" ref="C24">
      <text>
        <t xml:space="preserve">350 за пул делим тоже
</t>
      </text>
    </comment>
    <comment authorId="0" ref="E36">
      <text>
        <t xml:space="preserve">15 вместо 17 на аби 1-40 при 120+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3">
      <text>
        <t xml:space="preserve">LESAPETKA</t>
      </text>
    </comment>
    <comment authorId="0" ref="H3">
      <text>
        <t xml:space="preserve">00goldimon</t>
      </text>
    </comment>
    <comment authorId="0" ref="B9">
      <text>
        <t xml:space="preserve">до 12 февраля</t>
      </text>
    </comment>
    <comment authorId="0" ref="H14">
      <text>
        <t xml:space="preserve">redstar</t>
      </text>
    </comment>
    <comment authorId="0" ref="T14">
      <text>
        <t xml:space="preserve">redstar</t>
      </text>
    </comment>
    <comment authorId="0" ref="H19">
      <text>
        <t xml:space="preserve">red star</t>
      </text>
    </comment>
    <comment authorId="0" ref="H22">
      <text>
        <t xml:space="preserve">RedStar</t>
      </text>
    </comment>
    <comment authorId="0" ref="D30">
      <text>
        <t xml:space="preserve">скрыт теперь в HS</t>
      </text>
    </comment>
    <comment authorId="0" ref="D34">
      <text>
        <t xml:space="preserve">Freedoom on HS</t>
      </text>
    </comment>
    <comment authorId="0" ref="D45">
      <text>
        <t xml:space="preserve">evgock
Anclave in Hyperpool</t>
      </text>
    </comment>
    <comment authorId="0" ref="H50">
      <text>
        <t xml:space="preserve">championpoker</t>
      </text>
    </comment>
    <comment authorId="0" ref="H53">
      <text>
        <t xml:space="preserve">RedStar</t>
      </text>
    </comment>
    <comment authorId="0" ref="H55">
      <text>
        <t xml:space="preserve">RedStar</t>
      </text>
    </comment>
    <comment authorId="0" ref="H60">
      <text>
        <t xml:space="preserve">RedStar</t>
      </text>
    </comment>
    <comment authorId="0" ref="O60">
      <text>
        <t xml:space="preserve">до 31/01 в ГС</t>
      </text>
    </comment>
    <comment authorId="0" ref="A64">
      <text>
        <t xml:space="preserve">bearstrong</t>
      </text>
    </comment>
    <comment authorId="0" ref="B64">
      <text>
        <t xml:space="preserve">TGTBT в HS</t>
      </text>
    </comment>
    <comment authorId="0" ref="D64">
      <text>
        <t xml:space="preserve">bearstrong
скрыт теперь в HS</t>
      </text>
    </comment>
    <comment authorId="0" ref="D67">
      <text>
        <t xml:space="preserve">LondonСee в ГС
Enchilakos в ГС</t>
      </text>
    </comment>
    <comment authorId="0" ref="B69">
      <text>
        <t xml:space="preserve">tarez в HS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N149">
      <text>
        <t xml:space="preserve">от 1/11 - обменянные мили за октябрь! https://cdn.discordapp.com/attachments/638431557497126917/642053664193773610/Screenshot_5.png</t>
      </text>
    </comment>
    <comment authorId="0" ref="N169">
      <text>
        <t xml:space="preserve">https://media.discordapp.net/attachments/638431557497126917/652056742682689584/Screenshot_1.png?width=1651&amp;height=794</t>
      </text>
    </comment>
    <comment authorId="0" ref="N195">
      <text>
        <t xml:space="preserve">https://cdn.discordapp.com/attachments/638431557497126917/658607459002220564/Screenshot_2.png</t>
      </text>
    </comment>
    <comment authorId="0" ref="N199">
      <text>
        <t xml:space="preserve">https://cdn.discordapp.com/attachments/685879670473883706/687966215393640534/unknown.png</t>
      </text>
    </comment>
    <comment authorId="0" ref="N218">
      <text>
        <t xml:space="preserve">https://cdn.discordapp.com/attachments/638431557497126917/673525863433895937/Screenshot_1.png</t>
      </text>
    </comment>
    <comment authorId="0" ref="N236">
      <text>
        <t xml:space="preserve">https://media.discordapp.net/attachments/638431557497126917/682729807448113174/Screenshot_2.png?width=1289&amp;height=614</t>
      </text>
    </comment>
    <comment authorId="0" ref="N265">
      <text>
        <t xml:space="preserve">https://cdn.discordapp.com/attachments/638431557497126917/695192513660584046/Screenshot_3.png</t>
      </text>
    </comment>
    <comment authorId="0" ref="N267">
      <text>
        <t xml:space="preserve">https://gyazo.com/5896f8aaf9dabfbe45dcf927384888b8</t>
      </text>
    </comment>
    <comment authorId="0" ref="N269">
      <text>
        <t xml:space="preserve">https://gyazo.com/4cd65b10d8f57d694dacad069a37cee7</t>
      </text>
    </comment>
    <comment authorId="0" ref="N272">
      <text>
        <t xml:space="preserve">https://gyazo.com/44951675177c47235a02065cf9d8527d</t>
      </text>
    </comment>
    <comment authorId="0" ref="N274">
      <text>
        <t xml:space="preserve">https://gyazo.com/845d45909fc4b4f838b5d6c14127ea0c</t>
      </text>
    </comment>
    <comment authorId="0" ref="N279">
      <text>
        <t xml:space="preserve">https://gyazo.com/a065bca6d192cc0f7fb1e1d58d760407</t>
      </text>
    </comment>
    <comment authorId="0" ref="N281">
      <text>
        <t xml:space="preserve">https://gyazo.com/ab29a915eb810b41a68217950424ef5f</t>
      </text>
    </comment>
    <comment authorId="0" ref="N283">
      <text>
        <t xml:space="preserve">https://gyazo.com/0227cf1c200d2c99f77c150b6eb92202</t>
      </text>
    </comment>
    <comment authorId="0" ref="N287">
      <text>
        <t xml:space="preserve">https://gyazo.com/e57cb7cffbae729154014fec8659caab</t>
      </text>
    </comment>
    <comment authorId="0" ref="N288">
      <text>
        <t xml:space="preserve">https://cdn.discordapp.com/attachments/638431557497126917/706218888035303424/Screenshot_4.png - 10 и 25 от 1 мая не учтены</t>
      </text>
    </comment>
    <comment authorId="0" ref="N289">
      <text>
        <t xml:space="preserve">https://cdn.discordapp.com/attachments/682137018935148565/716965105111269386/image.png</t>
      </text>
    </comment>
    <comment authorId="0" ref="N290">
      <text>
        <t xml:space="preserve">https://gyazo.com/0b4f5e3e5970beb13867f994ffb88a37
1200 - учтено в апреле</t>
      </text>
    </comment>
    <comment authorId="0" ref="M312">
      <text>
        <t xml:space="preserve">https://gyazo.com/4545bb68443e2c49919fe1f59f239922
поделили 9к вместо 10, на отметке 30к разделим 11к ;)</t>
      </text>
    </comment>
    <comment authorId="0" ref="N313">
      <text>
        <t xml:space="preserve">https://gyazo.com/d00d4100ce9a03ce0e887d9d0533420d</t>
      </text>
    </comment>
    <comment authorId="0" ref="N314">
      <text>
        <t xml:space="preserve">https://cdn.discordapp.com/attachments/638431557497126917/716691790564032522/Screenshot_2.png</t>
      </text>
    </comment>
    <comment authorId="0" ref="N315">
      <text>
        <t xml:space="preserve">https://i.gyazo.com/5e0af0635d9e8b0c97d8da2c76605d26.png
https://i.gyazo.com/ad764a78d9d32e345d15bec817e9e198.png</t>
      </text>
    </comment>
    <comment authorId="0" ref="N316">
      <text>
        <t xml:space="preserve">https://images-ext-2.discordapp.net/external/83LECzX8Ox7MSbmg5Gm0klEWfEik0LBGe6QcAdSCL-w/https/i.gyazo.com/thumb/1200/6a136cdb99c6fbe3baad8b6386718f01-png.jpg?width=960&amp;height=285</t>
      </text>
    </comment>
    <comment authorId="0" ref="N325">
      <text>
        <t xml:space="preserve">https://gyazo.com/511f4775df1abaaa8e948fca5798ac88</t>
      </text>
    </comment>
    <comment authorId="0" ref="N339">
      <text>
        <t xml:space="preserve">https://gyazo.com/f8ad0590b0a6b3621c2a2541ba0c16d9</t>
      </text>
    </comment>
    <comment authorId="0" ref="N347">
      <text>
        <t xml:space="preserve">https://gyazo.com/e7474195b4184174f4431895086b0767</t>
      </text>
    </comment>
    <comment authorId="0" ref="N349">
      <text>
        <t xml:space="preserve">https://gyazo.com/2bdf350dd7e022410bdf9d75b4da2d09</t>
      </text>
    </comment>
    <comment authorId="0" ref="N356">
      <text>
        <t xml:space="preserve">https://cdn.discordapp.com/attachments/719629602112143491/736575238187384832/29efb6add65d6ca1.png
880 пойдет в июль</t>
      </text>
    </comment>
    <comment authorId="0" ref="N357">
      <text>
        <t xml:space="preserve">https://gyazo.com/a40d0de520a88c008884109b4659b6b7
это билеты на 50</t>
      </text>
    </comment>
    <comment authorId="0" ref="N360">
      <text>
        <t xml:space="preserve">https://cdn.discordapp.com/attachments/638431557497126917/726527162944847942/Screenshot_2.png</t>
      </text>
    </comment>
    <comment authorId="0" ref="N361">
      <text>
        <t xml:space="preserve">https://gyazo.com/57358cc3da17f6bf713e3d26a59fd8e3</t>
      </text>
    </comment>
    <comment authorId="0" ref="N406">
      <text>
        <t xml:space="preserve">1280 учтено в июле! https://cdn.discordapp.com/attachments/719629602112143491/750755773461823528/b.km.png</t>
      </text>
    </comment>
    <comment authorId="0" ref="N407">
      <text>
        <t xml:space="preserve">2 tickets on 20</t>
      </text>
    </comment>
    <comment authorId="0" ref="N408">
      <text>
        <t xml:space="preserve">3 tickets on 100</t>
      </text>
    </comment>
    <comment authorId="0" ref="N409">
      <text>
        <t xml:space="preserve">30 tickets on 50</t>
      </text>
    </comment>
    <comment authorId="0" ref="N410">
      <text>
        <t xml:space="preserve">prime cash от 1 авг учтены!
https://cdn.discordapp.com/attachments/638431557497126917/739189285269405706/Screenshot_1.png</t>
      </text>
    </comment>
    <comment authorId="0" ref="N433">
      <text>
        <t xml:space="preserve">https://cdn.discordapp.com/attachments/719629602112143491/761086970692239400/d53b9485a3ecff08.png 
6240 weekly
+46*50tickets +3*100 tickets +25 diamond</t>
      </text>
    </comment>
    <comment authorId="0" ref="N435">
      <text>
        <t xml:space="preserve">https://cdn.discordapp.com/attachments/638431557497126917/749991113796091984/Screenshot_2.png</t>
      </text>
    </comment>
    <comment authorId="0" ref="N469">
      <text>
        <t xml:space="preserve">https://cdn.discordapp.com/attachments/638431557497126917/762995781988384778/unknown.png</t>
      </text>
    </comment>
    <comment authorId="0" ref="N495">
      <text>
        <t xml:space="preserve">РБ за билеты с МТТ https://gyazo.com/eb231c9c0af7198169a821891fc868c3</t>
      </text>
    </comment>
    <comment authorId="0" ref="H503">
      <text>
        <t xml:space="preserve">это HU</t>
      </text>
    </comment>
    <comment authorId="0" ref="N504">
      <text>
        <t xml:space="preserve">https://cdn.discordapp.com/attachments/638431557497126917/772075142594560000/unknown.png</t>
      </text>
    </comment>
    <comment authorId="0" ref="N506">
      <text>
        <t xml:space="preserve">weekly CB</t>
      </text>
    </comment>
    <comment authorId="0" ref="N507">
      <text>
        <t xml:space="preserve">выплата от СФ</t>
      </text>
    </comment>
    <comment authorId="0" ref="N508">
      <text>
        <t xml:space="preserve">80 tickets on 50s</t>
      </text>
    </comment>
    <comment authorId="0" ref="N509">
      <text>
        <t xml:space="preserve">3 tickets on 100s</t>
      </text>
    </comment>
    <comment authorId="0" ref="N531">
      <text>
        <t xml:space="preserve">2к за челленджи от 1/11 УЖЕ добавлены в октябре, исключить из ноября</t>
      </text>
    </comment>
    <comment authorId="0" ref="N532">
      <text>
        <t xml:space="preserve">РБ за билеты с МТТ 1431+108+67 
https://i.gyazo.com/ad891b4c08d198ade16e83cafa672f0d.png</t>
      </text>
    </comment>
    <comment authorId="0" ref="M533">
      <text>
        <t xml:space="preserve">+300
-3 games</t>
      </text>
    </comment>
    <comment authorId="0" ref="N533">
      <text>
        <t xml:space="preserve">https://i.gyazo.com/d41830371c4fcf4aa25b8d467bf905b0.png</t>
      </text>
    </comment>
    <comment authorId="0" ref="M535">
      <text>
        <t xml:space="preserve">+1250
-5 games</t>
      </text>
    </comment>
    <comment authorId="0" ref="M536">
      <text>
        <t xml:space="preserve">+100
- 2 games</t>
      </text>
    </comment>
    <comment authorId="0" ref="M537">
      <text>
        <t xml:space="preserve">+300
- 6 games</t>
      </text>
    </comment>
    <comment authorId="0" ref="N538">
      <text>
        <t xml:space="preserve">https://cdn.discordapp.com/attachments/638431557497126917/784347184002760704/unknown.png</t>
      </text>
    </comment>
    <comment authorId="0" ref="N539">
      <text>
        <t xml:space="preserve">https://docs.google.com/spreadsheets/d/18GfLr_eAVJS70iY93yVAWQd6hj-_e9QAsz8xehn7GXg/edit#gid=1092546115</t>
      </text>
    </comment>
    <comment authorId="0" ref="M541">
      <text>
        <t xml:space="preserve">In Pool:
-6 games
+800 Net Won</t>
      </text>
    </comment>
    <comment authorId="0" ref="M542">
      <text>
        <t xml:space="preserve">In Pool:
-2 games
+100 Net Won</t>
      </text>
    </comment>
    <comment authorId="0" ref="N549">
      <text>
        <t xml:space="preserve">https://gyazo.com/1cdb2c5ac02a9face39d75c9809e58c7</t>
      </text>
    </comment>
    <comment authorId="0" ref="N557">
      <text>
        <t xml:space="preserve">https://cdn.discordapp.com/attachments/638431557497126917/790122965664137226/unknown.png</t>
      </text>
    </comment>
    <comment authorId="0" ref="N563">
      <text>
        <t xml:space="preserve">https://docs.google.com/spreadsheets/d/1_QKYMIhpD9eSZmCmD3HZJBTHcgj0QH8CeMl98X1scpI/edit#gid=111308925</t>
      </text>
    </comment>
    <comment authorId="0" ref="M565">
      <text>
        <t xml:space="preserve">in Pool:
-1 game
+250 usd</t>
      </text>
    </comment>
    <comment authorId="0" ref="M566">
      <text>
        <t xml:space="preserve">in Pool:
-4 game
+200 usd</t>
      </text>
    </comment>
    <comment authorId="0" ref="M567">
      <text>
        <t xml:space="preserve">in Pool:
-1 game
+50 usd</t>
      </text>
    </comment>
    <comment authorId="0" ref="N568">
      <text>
        <t xml:space="preserve">https://gyazo.com/f7a305c75c9561128d13b9678c79d9c4</t>
      </text>
    </comment>
    <comment authorId="0" ref="N577">
      <text>
        <t xml:space="preserve">https://gyazo.com/fdaeb379124fdd199e350be23404b2ca</t>
      </text>
    </comment>
    <comment authorId="0" ref="N587">
      <text>
        <t xml:space="preserve">https://gyazo.com/9c3050331f146c5c02a0dca65c31f66f</t>
      </text>
    </comment>
    <comment authorId="0" ref="N595">
      <text>
        <t xml:space="preserve">https://cdn.discordapp.com/attachments/638431557497126917/805867249021354004/unknown.png</t>
      </text>
    </comment>
    <comment authorId="0" ref="N610">
      <text>
        <t xml:space="preserve">https://gyazo.com/2bcaeb9e28cac6d9b3b9014898d15c95</t>
      </text>
    </comment>
    <comment authorId="0" ref="N627">
      <text>
        <t xml:space="preserve">учтены prime cash 01/03/2021
1850е
https://cdn.discordapp.com/attachments/638431557497126917/815927705806569492/unknown.png</t>
      </text>
    </comment>
    <comment authorId="0" ref="N643">
      <text>
        <t xml:space="preserve">https://gyazo.com/f13e38d92ceb3596a61b0757cc9bfca5</t>
      </text>
    </comment>
    <comment authorId="0" ref="M650">
      <text>
        <t xml:space="preserve">https://gyazo.com/3463acbfab089cbf2d36ad49930ab41f
поделили на отметке 30900</t>
      </text>
    </comment>
    <comment authorId="0" ref="N651">
      <text>
        <t xml:space="preserve">https://cdn.discordapp.com/attachments/673964715264835584/824170790210633737/Screenshot_7.png</t>
      </text>
    </comment>
    <comment authorId="0" ref="N656">
      <text>
        <t xml:space="preserve">перерасппределить когда будет весь рб 
1361 (spin gold) + 2063 (fish buffet) +136 билетов на 20
https://cdn.discordapp.com/attachments/747398207176310784/826838357500887100/bf.PNG
https://media.discordapp.net/attachments/747398207176310784/826838364253847602/gold.PNG?width=1080&amp;height=608</t>
      </text>
    </comment>
    <comment authorId="0" ref="N664">
      <text>
        <t xml:space="preserve">учли рб с 1 апреля https://i.gyazo.com/57bc29f45a3a0f279fbfbf9681c1d4ba.png</t>
      </text>
    </comment>
    <comment authorId="0" ref="N667">
      <text>
        <t xml:space="preserve">https://i.gyazo.com/d935beab36f874080eb9dbfd4df69f50.png</t>
      </text>
    </comment>
    <comment authorId="0" ref="N686">
      <text>
        <t xml:space="preserve">1736.05 Fish Buffet
2420.16 Spin &amp; Gold
1150 Leaderboards Tickets
19.79 GG Care
705.53 + 398.23 Добавили потому что по кассе получалось что откуда-то это взялось</t>
      </text>
    </comment>
    <comment authorId="0" ref="N694">
      <text>
        <t xml:space="preserve">3100 fish buff 
https://cdn.discordapp.com/attachments/747398207176310784/836159126358327316/87a9c4e5a0769ba6.PNG</t>
      </text>
    </comment>
    <comment authorId="0" ref="N695">
      <text>
        <t xml:space="preserve">3025 spin gold (4386-1361)
128 * 20 - с 02 по 20 апреля</t>
      </text>
    </comment>
    <comment authorId="0" ref="N700">
      <text>
        <t xml:space="preserve">https://media.discordapp.net/attachments/638431557497126917/839814563268526100/unknown.png?width=1416&amp;height=720</t>
      </text>
    </comment>
    <comment authorId="0" ref="N702">
      <text>
        <t xml:space="preserve">https://i.gyazo.com/73cfbd570ce4ec64b21ed475121e303c.png</t>
      </text>
    </comment>
    <comment authorId="0" ref="N729">
      <text>
        <t xml:space="preserve">3282 (7668-4386) Spin Gold
67 * 50 = 3350 ticketd</t>
      </text>
    </comment>
    <comment authorId="0" ref="N730">
      <text>
        <t xml:space="preserve">4926 - fish buffet https://cdn.discordapp.com/attachments/846351964669214740/846357049956499456/FB.PNG</t>
      </text>
    </comment>
    <comment authorId="0" ref="N735">
      <text>
        <t xml:space="preserve">https://gyazo.com/7fb0f49a2e0f8cb33bbd9c194ac44961</t>
      </text>
    </comment>
    <comment authorId="0" ref="N739">
      <text>
        <t xml:space="preserve">https://i.gyazo.com/fbaebb5e55cc73e540cfbc8f1328e43c.png</t>
      </text>
    </comment>
    <comment authorId="0" ref="N743">
      <text>
        <t xml:space="preserve">https://i.gyazo.com/813ad59d762efaa0ae5c640bc467b2f8.png</t>
      </text>
    </comment>
    <comment authorId="0" ref="N744">
      <text>
        <t xml:space="preserve">https://i.gyazo.com/0596968e98d1bbdb46a74b26fe6032e6.png</t>
      </text>
    </comment>
    <comment authorId="0" ref="N745">
      <text>
        <t xml:space="preserve">https://prnt.sc/16cfecm</t>
      </text>
    </comment>
    <comment authorId="0" ref="N757">
      <text>
        <t xml:space="preserve">https://i.gyazo.com/e6e310cb65bc00ad7783ec18aa60eb5d.png</t>
      </text>
    </comment>
    <comment authorId="0" ref="N768">
      <text>
        <t xml:space="preserve">https://media.discordapp.net/attachments/856537432702058526/856597478396264488/222.png?width=703&amp;height=572</t>
      </text>
    </comment>
    <comment authorId="0" ref="N770">
      <text>
        <t xml:space="preserve">https://gyazo.com/9e1c06323713599e6ea0d51dc318cadb</t>
      </text>
    </comment>
    <comment authorId="0" ref="N775">
      <text>
        <t xml:space="preserve">Spin Gold - 9598 - 7668 = 1930
Fish Buffet : Platinum Whale 6606-4147 = 2459
12 * 50 = tickets
50*40 tickets sold https://gyazo.com/d922317ff59a51756426aa8dc5ada54a</t>
      </text>
    </comment>
    <comment authorId="0" ref="M778">
      <text>
        <t xml:space="preserve">https://gyazo.com/102abe6ce269b017de12bdf84f5929f2</t>
      </text>
    </comment>
    <comment authorId="0" ref="N779">
      <text>
        <t xml:space="preserve">1656 Fish Buff
2186 spin gold
https://discord.com/channels/@me/685879670473883706/860508258506113125
https://cdn.discordapp.com/attachments/685879670473883706/860508256191774750/2021-07-02_16-11-58.png</t>
      </text>
    </comment>
    <comment authorId="0" ref="N780">
      <text>
        <t xml:space="preserve">https://prnt.sc/17vfbm6
+420  из билетов за футбол, которые мы не видим</t>
      </text>
    </comment>
    <comment authorId="0" ref="N782">
      <text>
        <t xml:space="preserve">https://prnt.sc/17utzcb + 50 Билет</t>
      </text>
    </comment>
    <comment authorId="0" ref="N784">
      <text>
        <t xml:space="preserve">https://prnt.sc/1esfjtd</t>
      </text>
    </comment>
    <comment authorId="0" ref="N790">
      <text>
        <t xml:space="preserve">https://gyazo.com/db558f7ed47cceb8e75a8a5451546c15</t>
      </text>
    </comment>
    <comment authorId="0" ref="N793">
      <text>
        <t xml:space="preserve">https://i.gyazo.com/321f3e8b70ded54206c4d4a3b110c501.png
https://i.gyazo.com/08fe33afd9c0c62e75899a6e7fd8df64.png
https://i.gyazo.com/07742a4296ad3fb59f40ab8d83e49f00.png</t>
      </text>
    </comment>
    <comment authorId="0" ref="N798">
      <text>
        <t xml:space="preserve">https://prnt.sc/1fs0km3</t>
      </text>
    </comment>
    <comment authorId="0" ref="N802">
      <text>
        <t xml:space="preserve">https://prnt.sc/1bqiufn
pt4 screenshot - https://prnt.sc/1bqji7r</t>
      </text>
    </comment>
    <comment authorId="0" ref="N807">
      <text>
        <t xml:space="preserve">https://prnt.sc/1eb8aup</t>
      </text>
    </comment>
    <comment authorId="0" ref="N809">
      <text>
        <t xml:space="preserve">https://prnt.sc/1eb9gkr
https://prnt.sc/1eb9mhx
Tickets 10 x 32</t>
      </text>
    </comment>
    <comment authorId="0" ref="N814">
      <text>
        <t xml:space="preserve">Fish Buffet : Platinum Whale 7480 - 6606= 874
SpinGold 10354-9598 = 756
tickets 
50 *6 = 300
20 *31 = 620</t>
      </text>
    </comment>
    <comment authorId="0" ref="N817">
      <text>
        <t xml:space="preserve">https://i.gyazo.com/80c98c10aac03c183e655fd085092184.png
https://i.gyazo.com/8ee8df3b115b16baa9b09c3d653dc315.png</t>
      </text>
    </comment>
    <comment authorId="0" ref="N819">
      <text>
        <t xml:space="preserve">https://gyazo.com/415e86e990e2d56778fa05528331773d
RB за первое число учтен в предыдущем периоде</t>
      </text>
    </comment>
    <comment authorId="0" ref="N835">
      <text>
        <t xml:space="preserve">https://i.gyazo.com/f12baa4d19a204908872cd36531ebe7c.png</t>
      </text>
    </comment>
    <comment authorId="0" ref="N839">
      <text>
        <t xml:space="preserve">https://i.gyazo.com/c6bb4ef4139bb419939a914e4ce87610.png</t>
      </text>
    </comment>
    <comment authorId="0" ref="N842">
      <text>
        <t xml:space="preserve">https://i.gyazo.com/4052175482564538a11e19ed7abf77aa.png</t>
      </text>
    </comment>
    <comment authorId="0" ref="N844">
      <text>
        <t xml:space="preserve">https://i.gyazo.com/0570d646a8602d64ebc4d602519a49f5.png</t>
      </text>
    </comment>
    <comment authorId="0" ref="N846">
      <text>
        <t xml:space="preserve">14410 - rewards
8634 - fb
tickets 
9*50
92*100 (included up to 20 aug)
600 first dep</t>
      </text>
    </comment>
    <comment authorId="0" ref="L854">
      <text>
        <t xml:space="preserve">https://i.gyazo.com/42d859c02df9bd9ec5d69eecc4a678d3.png</t>
      </text>
    </comment>
    <comment authorId="0" ref="N854">
      <text>
        <t xml:space="preserve">https://i.gyazo.com/a12c53b723446e3edefbd771b1b480c0.png</t>
      </text>
    </comment>
    <comment authorId="0" ref="N857">
      <text>
        <t xml:space="preserve">https://i.gyazo.com/09d3204b0544936c2668fe49eaeba4dd.png</t>
      </text>
    </comment>
    <comment authorId="0" ref="N865">
      <text>
        <t xml:space="preserve">https://i.gyazo.com/a12ef775cf6e0d7fb94c4fa82f2a04e9.png</t>
      </text>
    </comment>
    <comment authorId="0" ref="N869">
      <text>
        <t xml:space="preserve">https://i.gyazo.com/3bcdc76e3cac864d8f445c7841f1eb9a.png</t>
      </text>
    </comment>
    <comment authorId="0" ref="N873">
      <text>
        <t xml:space="preserve">https://i.gyazo.com/2e34ffa4ab8f0897e0aff6ae1a618245.png
25tickets x 10 
https://i.gyazo.com/04c1a8c734025ec6a3c65dac69b28c23.png</t>
      </text>
    </comment>
    <comment authorId="0" ref="N880">
      <text>
        <t xml:space="preserve">https://i.gyazo.com/045e4f736dd0424005057d8764814875.png</t>
      </text>
    </comment>
    <comment authorId="0" ref="N883">
      <text>
        <t xml:space="preserve">https://i.gyazo.com/b440da6e39e8dd0b4d4398c8bf3e5263.png</t>
      </text>
    </comment>
    <comment authorId="0" ref="N894">
      <text>
        <t xml:space="preserve">https://i.gyazo.com/93d620564006b879814e824292e76cfc.png</t>
      </text>
    </comment>
    <comment authorId="0" ref="N897">
      <text>
        <t xml:space="preserve">https://gyazo.com/8d19588b26525a76226b3583bf29812b</t>
      </text>
    </comment>
    <comment authorId="0" ref="N899">
      <text>
        <t xml:space="preserve">https://i.gyazo.com/bd87db755145c87ae6792089b9f1569a.png</t>
      </text>
    </comment>
    <comment authorId="0" ref="N911">
      <text>
        <t xml:space="preserve">https://i.gyazo.com/3f830b88f5fbb0f9d650ae9a6b8356ff.png 
*без учета pari en cash 
8€
37.38€ 
+компенсация 10tickets x 25€</t>
      </text>
    </comment>
    <comment authorId="0" ref="N919">
      <text>
        <t xml:space="preserve">https://i.gyazo.com/d99d15c15a8241ee7b8e4e3c214406c2.png
https://i.gyazo.com/8bd0055bb401bb15408978d4d2401a01.png
*без учета prime cash за 22.09</t>
      </text>
    </comment>
    <comment authorId="0" ref="N931">
      <text>
        <t xml:space="preserve">https://i.gyazo.com/cb989e62970ddc2e5c7d7a2178917879.png</t>
      </text>
    </comment>
    <comment authorId="0" ref="N934">
      <text>
        <t xml:space="preserve">https://i.gyazo.com/6ce16af310dad6577acec0b024d0a527.png</t>
      </text>
    </comment>
    <comment authorId="0" ref="N939">
      <text>
        <t xml:space="preserve">билеты(24 на 100) добавлены с 21/09 по 19/10 
от 21/10 идут в ноябрь! 
https://gyazo.com/bfdc695f1aa05e393efd5310c8ef2e2f</t>
      </text>
    </comment>
    <comment authorId="0" ref="L943">
      <text>
        <t xml:space="preserve">https://i.gyazo.com/d1ea8214b1f1cbc4330c1e8d308a6508.png</t>
      </text>
    </comment>
    <comment authorId="0" ref="N943">
      <text>
        <t xml:space="preserve">https://i.gyazo.com/044b4b41fdb2698be964d4711939e248.png</t>
      </text>
    </comment>
    <comment authorId="0" ref="N946">
      <text>
        <t xml:space="preserve">https://i.gyazo.com/3c91ebfea9ba0a42fb763fa51aa78ed8.png</t>
      </text>
    </comment>
    <comment authorId="0" ref="N948">
      <text>
        <t xml:space="preserve">https://i.gyazo.com/645c8267ab9aa625ee91efd198c7271a.png</t>
      </text>
    </comment>
    <comment authorId="0" ref="N956">
      <text>
        <t xml:space="preserve">https://gyazo.com/5c66e676b65de0660b36b2f10498d935</t>
      </text>
    </comment>
    <comment authorId="0" ref="N964">
      <text>
        <t xml:space="preserve">https://i.gyazo.com/e7b7e654d1acaf61aca0072bce3302f7.png</t>
      </text>
    </comment>
    <comment authorId="0" ref="N969">
      <text>
        <t xml:space="preserve">https://i.gyazo.com/7cbdafbb0b2878a3b007776b2ce7d1cd.png</t>
      </text>
    </comment>
    <comment authorId="0" ref="N976">
      <text>
        <t xml:space="preserve">https://gyazo.com/6c59dbd24f51aa8b48d36182470227c7</t>
      </text>
    </comment>
    <comment authorId="0" ref="N977">
      <text>
        <t xml:space="preserve">https://i.gyazo.com/da82561b5ed4511ee975ba37c668a668.png</t>
      </text>
    </comment>
    <comment authorId="0" ref="N984">
      <text>
        <t xml:space="preserve">https://i.gyazo.com/ff7892af0bf2601d4d498786a4670b64.png</t>
      </text>
    </comment>
    <comment authorId="0" ref="N987">
      <text>
        <t xml:space="preserve">https://i.gyazo.com/777816220872ac6f90dd7ecec146d9a4.png
https://i.gyazo.com/1bbdf5648d52b768995bf55727d47769.png</t>
      </text>
    </comment>
    <comment authorId="0" ref="N1000">
      <text>
        <t xml:space="preserve">https://i.gyazo.com/8074cfb0d154bc69adebb5bdd51fc927.png
01.11 - primecash 1k 500 20x2 учтены в прошлом периоде</t>
      </text>
    </comment>
    <comment authorId="0" ref="M1001">
      <text>
        <t xml:space="preserve">https://gyazo.com/f7385954ffca58421d2698519d4cdd1e</t>
      </text>
    </comment>
    <comment authorId="0" ref="N1002">
      <text>
        <t xml:space="preserve">https://i.gyazo.com/thumb/1200/9a67180eedfcdf9b5088028e1b41e2c8-png.jpg</t>
      </text>
    </comment>
    <comment authorId="0" ref="N1009">
      <text>
        <t xml:space="preserve">https://gyazo.com/f6ab26ae9359aa23da5c18d51474dadc</t>
      </text>
    </comment>
    <comment authorId="0" ref="L1014">
      <text>
        <t xml:space="preserve">https://gyazo.com/c63eef3f2cf73ee5a6f8da46ed527d6e</t>
      </text>
    </comment>
    <comment authorId="0" ref="N1019">
      <text>
        <t xml:space="preserve">https://gyazo.com/79064c21478067c3682c07b71af2db63</t>
      </text>
    </comment>
    <comment authorId="0" ref="N1023">
      <text>
        <t xml:space="preserve">https://i.gyazo.com/5943b6a127c05ed98034007546b02bbd.png</t>
      </text>
    </comment>
    <comment authorId="0" ref="N1032">
      <text>
        <t xml:space="preserve">https://i.gyazo.com/63fcf21606367c826629c94b6e1360d0.png</t>
      </text>
    </comment>
    <comment authorId="0" ref="N1041">
      <text>
        <t xml:space="preserve">https://i.gyazo.com/3a6150e31909fb73623261fe802d0b87.png</t>
      </text>
    </comment>
    <comment authorId="0" ref="N1042">
      <text>
        <t xml:space="preserve">https://i.gyazo.com/dc24e1416c86f2fdc444d82827c7d70c.png
prime cash за 01.12 учтен в предыдущем периоде</t>
      </text>
    </comment>
    <comment authorId="0" ref="N1052">
      <text>
        <t xml:space="preserve">https://i.gyazo.com/1d8ce4861d4139d7757fb3e5aa912920.png
https://i.gyazo.com/5f1ac336ce60434cd78a3f6ba7569733.png</t>
      </text>
    </comment>
    <comment authorId="0" ref="N1055">
      <text>
        <t xml:space="preserve">с 21/11 - 21/12 (не 20/12!!)
7476+61093+
57*200
+32*100
+10*50</t>
      </text>
    </comment>
    <comment authorId="0" ref="N1059">
      <text>
        <t xml:space="preserve">=1538+96+43*5+24*10</t>
      </text>
    </comment>
    <comment authorId="0" ref="N1061">
      <text>
        <t xml:space="preserve">https://gyazo.com/fa30596154b7d41aa2c22a38af479a72
вычесть 2800 из РБ за сундуки от 21/11</t>
      </text>
    </comment>
    <comment authorId="0" ref="N1066">
      <text>
        <t xml:space="preserve">https://i.gyazo.com/e8cde2bf3205b8e60d0401114e7be6f3.png</t>
      </text>
    </comment>
    <comment authorId="0" ref="M1068">
      <text>
        <t xml:space="preserve">https://gyazo.com/9a5a6448d227ad928eb688ffb1f1c7c2</t>
      </text>
    </comment>
    <comment authorId="0" ref="N1070">
      <text>
        <t xml:space="preserve">https://gyazo.com/07dc3f354a3659e9daca7c54bbf62047</t>
      </text>
    </comment>
    <comment authorId="0" ref="N1072">
      <text>
        <t xml:space="preserve">https://gyazo.com/fd60d352527c6cb1b96a6f9101e9c3b1</t>
      </text>
    </comment>
    <comment authorId="0" ref="N1100">
      <text>
        <t xml:space="preserve">https://i.gyazo.com/2ab594090cc6e866bfa12d3c3b6a548c.png</t>
      </text>
    </comment>
    <comment authorId="0" ref="N1103">
      <text>
        <t xml:space="preserve">46480 rew + 46*200 tick (till 17 Jan)</t>
      </text>
    </comment>
    <comment authorId="0" ref="N1118">
      <text>
        <t xml:space="preserve">https://i.gyazo.com/e85debd20134bcae3b0323be12ca5708.png</t>
      </text>
    </comment>
    <comment authorId="0" ref="N1119">
      <text>
        <t xml:space="preserve">https://i.gyazo.com/e6f884be69b28f764c34d5e490fdd21a.png</t>
      </text>
    </comment>
    <comment authorId="0" ref="M1120">
      <text>
        <t xml:space="preserve">https://gyazo.com/5de1809ebb6271bb99f2aa96f4c60254</t>
      </text>
    </comment>
    <comment authorId="0" ref="N1121">
      <text>
        <t xml:space="preserve">https://i.gyazo.com/4cbd1537769fa1f6c3bb583d2aea8639.png</t>
      </text>
    </comment>
    <comment authorId="0" ref="B1128">
      <text>
        <t xml:space="preserve">TGTBT in HS</t>
      </text>
    </comment>
    <comment authorId="0" ref="N1128">
      <text>
        <t xml:space="preserve">1057 rewards (-170 from 20 Jan - included already)</t>
      </text>
    </comment>
    <comment authorId="0" ref="N1129">
      <text>
        <t xml:space="preserve">билеты</t>
      </text>
    </comment>
    <comment authorId="0" ref="N1139">
      <text>
        <t xml:space="preserve">https://gyazo.com/4b033092235658791a504ec48b3717c7</t>
      </text>
    </comment>
    <comment authorId="0" ref="N1140">
      <text>
        <t xml:space="preserve">https://i.gyazo.com/8751f2d821da0f37444192a1b24e085c.png</t>
      </text>
    </comment>
    <comment authorId="0" ref="N1142">
      <text>
        <t xml:space="preserve">https://i.gyazo.com/c07213a67aa0851c046554b27a098dd4.png
10eu x 70 tickets 
*no screen</t>
      </text>
    </comment>
    <comment authorId="0" ref="N1144">
      <text>
        <t xml:space="preserve">https://i.gyazo.com/3958cea6112d409fbea1ec144d5428f2.png</t>
      </text>
    </comment>
    <comment authorId="0" ref="N1149">
      <text>
        <t xml:space="preserve">https://gyazo.com/f58aacb2d4f41ae0bfb57457ac0f8fe7</t>
      </text>
    </comment>
    <comment authorId="0" ref="N1152">
      <text>
        <t xml:space="preserve">https://i.gyazo.com/43a11f574bef3a6cd3702a8b617cee6e.png</t>
      </text>
    </comment>
    <comment authorId="0" ref="N1155">
      <text>
        <t xml:space="preserve">https://gyazo.com/10156a74d378da35abf72786a3e4227c</t>
      </text>
    </comment>
    <comment authorId="0" ref="N1157">
      <text>
        <t xml:space="preserve">https://i.gyazo.com/f525372585873da99632e17f0800e0a6.png</t>
      </text>
    </comment>
    <comment authorId="0" ref="N1162">
      <text>
        <t xml:space="preserve">в рб вошло:  реворды (бонусы) с 21/01 по 21/02: 3831 + билеты 29* 20 + 21* 10 = 4621</t>
      </text>
    </comment>
    <comment authorId="0" ref="N1169">
      <text>
        <t xml:space="preserve">https://gyazo.com/9eb556e56e786d3fde6bafa466eaff32</t>
      </text>
    </comment>
    <comment authorId="0" ref="N1174">
      <text>
        <t xml:space="preserve">https://i.gyazo.com/3d545a93b0abaaf66b766625156f6545.png</t>
      </text>
    </comment>
    <comment authorId="0" ref="N1175">
      <text>
        <t xml:space="preserve">https://gyazo.com/328d40e71506dff4536a16d3ccd19c8a</t>
      </text>
    </comment>
    <comment authorId="0" ref="N1176">
      <text>
        <t xml:space="preserve">https://i.gyazo.com/7d0c96744c1202330795dc397e607314.png</t>
      </text>
    </comment>
    <comment authorId="0" ref="N1183">
      <text>
        <t xml:space="preserve">https://gyazo.com/89366a4a468ead11e5633b4cb0354656</t>
      </text>
    </comment>
    <comment authorId="0" ref="N1192">
      <text>
        <t xml:space="preserve">https://i.gyazo.com/890f4fde111cceb2a6c6d5d8b0a73299.png
25eu tickets x 21
10eu tickets x 25
150eu dimond bonus - avans</t>
      </text>
    </comment>
    <comment authorId="0" ref="N1194">
      <text>
        <t xml:space="preserve">https://gyazo.com/cb8d64f5d7db4a86dcaee5bf81cbc319</t>
      </text>
    </comment>
    <comment authorId="0" ref="N1200">
      <text>
        <t xml:space="preserve">https://gyazo.com/9d8437059e04f0f95710b5fecd0522c6</t>
      </text>
    </comment>
    <comment authorId="0" ref="N1202">
      <text>
        <t xml:space="preserve">https://gyazo.com/023aa34551872c97395b27ae285fc62a</t>
      </text>
    </comment>
    <comment authorId="0" ref="N1206">
      <text>
        <t xml:space="preserve">https://gyazo.com/52d111a267c5877b16fb0793922348f4</t>
      </text>
    </comment>
    <comment authorId="0" ref="N1211">
      <text>
        <t xml:space="preserve">бонус 3515 (до 20 включ https://gyazo.com/54ddc1dc880cc6ce7c14dfbca026456a) билеты: 19* 20 и 34 * 10</t>
      </text>
    </comment>
    <comment authorId="0" ref="N1213">
      <text>
        <t xml:space="preserve">https://gyazo.com/bac4b080975806db253e9113168d5dea</t>
      </text>
    </comment>
    <comment authorId="0" ref="N1216">
      <text>
        <t xml:space="preserve">https://gyazo.com/69a4db466846591b6aec2fbaa5f9bdb5</t>
      </text>
    </comment>
    <comment authorId="0" ref="N1219">
      <text>
        <t xml:space="preserve">https://gyazo.com/d1b59091533b0d661de38ea28f00943d</t>
      </text>
    </comment>
    <comment authorId="0" ref="N1221">
      <text>
        <t xml:space="preserve">https://gyazo.com/7d0c96510cfe7b74aa5aee22b9495d96</t>
      </text>
    </comment>
    <comment authorId="0" ref="N1226">
      <text>
        <t xml:space="preserve">https://gyazo.com/968c0288936ea21e0ace892a358650f2</t>
      </text>
    </comment>
    <comment authorId="0" ref="N1227">
      <text>
        <t xml:space="preserve">https://gyazo.com/0f141cb7bdc41534883a2aa1e3219f63</t>
      </text>
    </comment>
    <comment authorId="0" ref="N1230">
      <text>
        <t xml:space="preserve">29966 реворды + 3380 билеты + 860 бонус на депозит = 34206  
https://gyazo.com/0a994f8b3f494904da884c015f3f7d38</t>
      </text>
    </comment>
    <comment authorId="0" ref="N1235">
      <text>
        <t xml:space="preserve">https://gyazo.com/7eba545cd7918d1fbc5d2643d3950903</t>
      </text>
    </comment>
    <comment authorId="0" ref="N1237">
      <text>
        <t xml:space="preserve">https://gyazo.com/4fbdb54fc5f99236fbf573c882164bb1</t>
      </text>
    </comment>
    <comment authorId="0" ref="N1247">
      <text>
        <t xml:space="preserve">https://i.gyazo.com/798067af0df2ad9bc16933c123bb1b96.png
*бонус учтен в предыдущем периоде
9 tickets x 25 eu
2 tickets x 10 eu</t>
      </text>
    </comment>
    <comment authorId="0" ref="N1251">
      <text>
        <t xml:space="preserve">https://gyazo.com/e6d7c42082b3b94b146833dd56c235b9</t>
      </text>
    </comment>
    <comment authorId="0" ref="N1258">
      <text>
        <t xml:space="preserve">https://gyazo.com/7bc58c4d0a58cf723956921e2a78eed1</t>
      </text>
    </comment>
    <comment authorId="0" ref="N1265">
      <text>
        <t xml:space="preserve">https://gyazo.com/ff56edec4084a50ef2304a0f9841ab57</t>
      </text>
    </comment>
    <comment authorId="0" ref="N1272">
      <text>
        <t xml:space="preserve">promo 0 + rew 5045 + tickets 3* 20 + 16 * 50 = 5905</t>
      </text>
    </comment>
    <comment authorId="0" ref="N1291">
      <text>
        <t xml:space="preserve">https://gyazo.com/ed0779000c8ecac43712719d439beeb1</t>
      </text>
    </comment>
    <comment authorId="0" ref="N1292">
      <text>
        <t xml:space="preserve">https://gyazo.com/e115af6bdb51598f5a3e40b239cd2169</t>
      </text>
    </comment>
    <comment authorId="0" ref="N1293">
      <text>
        <t xml:space="preserve">https://i.gyazo.com/1f707a7f30d0bb5cb18f4aaf51c298e3.png
https://i.gyazo.com/c489aad5fe03c980ac9f7640de245647.png
prime cash 2000, 100, 50 + bonus vip 500, 500 за 01.04 учтены в прошлом периоде</t>
      </text>
    </comment>
    <comment authorId="0" ref="N1297">
      <text>
        <t xml:space="preserve">https://i.gyazo.com/aedddb0b012f7c992e0a5808325bd516.png
prime cash за 01.05.2022 учтен</t>
      </text>
    </comment>
    <comment authorId="0" ref="L1304">
      <text>
        <t xml:space="preserve">https://media.discordapp.net/attachments/952514173869379596/969318809666191360/rs1.png?width=932&amp;height=518</t>
      </text>
    </comment>
    <comment authorId="0" ref="M1304">
      <text>
        <t xml:space="preserve">https://media.discordapp.net/attachments/952514173869379596/969318809863340102/rs2.PNG?width=932&amp;height=347
В кассе на начало игры = 0
Деп 495
Входящий перевод 200
Остаток 416
РБ 598
= 0 - 495 - 200 + 416 - 598 = -877</t>
      </text>
    </comment>
    <comment authorId="0" ref="N1306">
      <text>
        <t xml:space="preserve">1664 rewards + 480 tickets (6-30 apr only)</t>
      </text>
    </comment>
    <comment authorId="0" ref="N1307">
      <text>
        <t xml:space="preserve">21ticket x 25 eu 
https://i.gyazo.com/5a44073a61882da986c24af7ae9ffa24.png
https://i.gyazo.com/abc23b7337395bde5072ced5829b9abd.png
02.05 bonus mensel и expresso учтены</t>
      </text>
    </comment>
    <comment authorId="0" ref="N1311">
      <text>
        <t xml:space="preserve">https://gyazo.com/c69362c6092dccc74d982e34677de9e8</t>
      </text>
    </comment>
    <comment authorId="0" ref="N1320">
      <text>
        <t xml:space="preserve">https://gyazo.com/31f2a27eaef9a3036759f5f4316efdcf</t>
      </text>
    </comment>
    <comment authorId="0" ref="N1326">
      <text>
        <t xml:space="preserve">https://gyazo.com/3b228cb6412b4978813e4026214f4ff6</t>
      </text>
    </comment>
    <comment authorId="0" ref="N1331">
      <text>
        <t xml:space="preserve">https://gyazo.com/185ef3c311af13d2bc784e215165d6f6</t>
      </text>
    </comment>
    <comment authorId="0" ref="N1335">
      <text>
        <t xml:space="preserve">https://gyazo.com/6e730ca4af01e341342b4110c282e981</t>
      </text>
    </comment>
    <comment authorId="0" ref="N1337">
      <text>
        <t xml:space="preserve">https://gyazo.com/167ef71ea4a1faaf9c9b07df586c9df4</t>
      </text>
    </comment>
    <comment authorId="0" ref="N1348">
      <text>
        <t xml:space="preserve">https://gyazo.com/b567630532f5c452c1203bf89a352e1e</t>
      </text>
    </comment>
    <comment authorId="0" ref="N1351">
      <text>
        <t xml:space="preserve">промо 0 + реворды 40648 + тикеты 62 * 100</t>
      </text>
    </comment>
    <comment authorId="0" ref="N1356">
      <text>
        <t xml:space="preserve">https://gyazo.com/c0c16d62d0277fa8430a7a7718563f87</t>
      </text>
    </comment>
    <comment authorId="0" ref="N1359">
      <text>
        <t xml:space="preserve">promo 0 + rewards 5495 (-410)+ tickets 20 * 31  + 50 * 3</t>
      </text>
    </comment>
    <comment authorId="0" ref="N1363">
      <text>
        <t xml:space="preserve">https://i.gyazo.com/thumb/1200/57b593d34c400331ce12de795ef4715a-png.jpg</t>
      </text>
    </comment>
    <comment authorId="0" ref="N1365">
      <text>
        <t xml:space="preserve">https://gyazo.com/daa44203842c4b33dff55d16b4b29c9f</t>
      </text>
    </comment>
    <comment authorId="0" ref="N1367">
      <text>
        <t xml:space="preserve">promo 0 + 28680 rew + tickets 100 * 3  + 200 * 15</t>
      </text>
    </comment>
    <comment authorId="0" ref="N1369">
      <text>
        <t xml:space="preserve">rewards 5768 + promo 0 + 1010 = 6778</t>
      </text>
    </comment>
    <comment authorId="0" ref="N1375">
      <text>
        <t xml:space="preserve">https://gyazo.com/24857480dbb451b77bb35809e903146d</t>
      </text>
    </comment>
    <comment authorId="0" ref="N1381">
      <text>
        <t xml:space="preserve">https://gyazo.com/bda3f6458374bc2d0d215241e9a33835</t>
      </text>
    </comment>
    <comment authorId="0" ref="N1387">
      <text>
        <t xml:space="preserve">https://gyazo.com/f342718ddb10b529f306fe41957eeb4b</t>
      </text>
    </comment>
    <comment authorId="0" ref="L1389">
      <text>
        <t xml:space="preserve">https://i.gyazo.com/3005753a6179fb14fac8f0dbe0a32e06.png</t>
      </text>
    </comment>
    <comment authorId="0" ref="N1389">
      <text>
        <t xml:space="preserve">Касса на 04.05 - 
https://i.gyazo.com/c16068f34f293b0e974f8e78be2841ad.png
Касса и история операций - 
https://i.gyazo.com/f8d26fe77c5da38c592626426bc31f0c.png</t>
      </text>
    </comment>
    <comment authorId="0" ref="N1392">
      <text>
        <t xml:space="preserve">https://i.gyazo.com/d1e31eaaa69f70774555b2a7051bd909.png</t>
      </text>
    </comment>
    <comment authorId="0" ref="N1396">
      <text>
        <t xml:space="preserve">rewards 66672 + 78 * 100 + 6 * 200 = 75672</t>
      </text>
    </comment>
    <comment authorId="0" ref="N1397">
      <text>
        <t xml:space="preserve">https://i.gyazo.com/eccd1ac43ab5fe79f460398824b21c61.png
01.05 учтен в предыдущем периоде</t>
      </text>
    </comment>
    <comment authorId="0" ref="N1403">
      <text>
        <t xml:space="preserve">https://gyazo.com/4a2a01a7f59838c28d35919ca03d3d97</t>
      </text>
    </comment>
    <comment authorId="0" ref="L1408">
      <text>
        <t xml:space="preserve">https://i.gyazo.com/4409397ea4538e7885da8899c357e393.png</t>
      </text>
    </comment>
    <comment authorId="0" ref="N1408">
      <text>
        <t xml:space="preserve">Касса на 04.05 - 
https://i.gyazo.com/b5df66164397e797db460d9d7e7e0f59.png
Касса на 01.06 -
https://i.gyazo.com/86f9f86729664472d63ee05238255a88.png
История операций - 
https://i.gyazo.com/47fd5b60607a7f853f73937661924b7b.png</t>
      </text>
    </comment>
    <comment authorId="0" ref="N1413">
      <text>
        <t xml:space="preserve">promo 0 + rewards 4125 + tickets 42 *20 + 21* 10 (до 31/05 включ)</t>
      </text>
    </comment>
    <comment authorId="0" ref="N1414">
      <text>
        <t xml:space="preserve">https://i.gyazo.com/01859a13032eabbda7424228446d0974.png</t>
      </text>
    </comment>
    <comment authorId="0" ref="L1418">
      <text>
        <t xml:space="preserve">https://i.gyazo.com/dfd90fac6f12c1e2e99c37947ebd5179.png</t>
      </text>
    </comment>
    <comment authorId="0" ref="N1418">
      <text>
        <t xml:space="preserve">Касса на 01.05 - 
https://i.gyazo.com/2155211bc41a892aac7eec924486101b.png
Касса и история операций - 
https://i.gyazo.com/b74d03aa1f4b5475611d6fd78b54cd83.png</t>
      </text>
    </comment>
    <comment authorId="0" ref="N1427">
      <text>
        <t xml:space="preserve">https://gyazo.com/f21e4a5c9fd84d79e77d32d7516ebf80</t>
      </text>
    </comment>
    <comment authorId="0" ref="N1430">
      <text>
        <t xml:space="preserve">https://gyazo.com/89e721b7c41bf47a8cf649477f1b8141</t>
      </text>
    </comment>
    <comment authorId="0" ref="N1433">
      <text>
        <t xml:space="preserve">https://i.gyazo.com/05eb989e4da3cdbc5c8214ce2c1e81bc.png
10eu tickets x 9</t>
      </text>
    </comment>
    <comment authorId="0" ref="H1435">
      <text>
        <t xml:space="preserve">20eur HU HT</t>
      </text>
    </comment>
    <comment authorId="0" ref="N1445">
      <text>
        <t xml:space="preserve">https://gyazo.com/08d47d162aba1c94897525626324df1d</t>
      </text>
    </comment>
    <comment authorId="0" ref="N1447">
      <text>
        <t xml:space="preserve">https://gyazo.com/0166c70cea8b0667ca41e5feb59d7bf8</t>
      </text>
    </comment>
    <comment authorId="0" ref="N1449">
      <text>
        <t xml:space="preserve">https://gyazo.com/63e2be0f7a33d9aea9a8881b882ebb44</t>
      </text>
    </comment>
    <comment authorId="0" ref="N1456">
      <text>
        <t xml:space="preserve">rew $12,677.42
tick 16 * 100 
1* 50</t>
      </text>
    </comment>
    <comment authorId="0" ref="N1457">
      <text>
        <t xml:space="preserve">https://gyazo.com/9aea78d8205d1aa0d6a3024555fa9a02</t>
      </text>
    </comment>
    <comment authorId="0" ref="N1459">
      <text>
        <t xml:space="preserve">https://gyazo.com/c9f4d1290299ffddb8e17a1718fbb787</t>
      </text>
    </comment>
    <comment authorId="0" ref="N1461">
      <text>
        <t xml:space="preserve">2030 rewards
5 tickets on 50s</t>
      </text>
    </comment>
    <comment authorId="0" ref="N1465">
      <text>
        <t xml:space="preserve">https://gyazo.com/564f54574e91d630b0e3d874a239c2ec</t>
      </text>
    </comment>
    <comment authorId="0" ref="N1468">
      <text>
        <t xml:space="preserve">https://gyazo.com/299eae4135e90a5f1e83c0c8e7a6308f</t>
      </text>
    </comment>
    <comment authorId="0" ref="N1472">
      <text>
        <t xml:space="preserve">https://gyazo.com/57a593d91e69959feb9e51267b144b29</t>
      </text>
    </comment>
    <comment authorId="0" ref="N1474">
      <text>
        <t xml:space="preserve">https://gyazo.com/14ce35d66b35906a921c6485b11df83f</t>
      </text>
    </comment>
    <comment authorId="0" ref="N1477">
      <text>
        <t xml:space="preserve">https://gyazo.com/ecc5c51d27e63ac4548fe2562e4ded6b</t>
      </text>
    </comment>
    <comment authorId="0" ref="N1478">
      <text>
        <t xml:space="preserve">https://i.gyazo.com/c4fe7c4309cfec9488426a66f7172bd5.png</t>
      </text>
    </comment>
    <comment authorId="0" ref="N1483">
      <text>
        <t xml:space="preserve">https://gyazo.com/64774318ccfe936cc3dd5da1d9a6c428</t>
      </text>
    </comment>
    <comment authorId="0" ref="N1489">
      <text>
        <t xml:space="preserve">Касса на начало месяца - 
https://i.gyazo.com/5655d2fd6fdac00e49fda10d1c05f3a2.png
Касса в конце месяца + (история операций) - 
https://i.gyazo.com/e139e2a7d3e900dc30f75f9656eb1c3f.png
1710.54 - 2454.26 + 1000 - 918.4 = -662.12</t>
      </text>
    </comment>
    <comment authorId="0" ref="N1494">
      <text>
        <t xml:space="preserve">Касса на 03.06 
https://i.gyazo.com/9759dcf7f1b30c48ca36ca9578130343.png
Касса на 04.07 + (история операций)
https://i.gyazo.com/3b09cc503ff7cdbf3da46a1cc0840e57.png
1900.53 - 1448.44 + 500 - 450.3 = 501.79</t>
      </text>
    </comment>
    <comment authorId="0" ref="N1497">
      <text>
        <t xml:space="preserve">-350 оплата пула
https://i.gyazo.com/606336843bf028d8531eb84d949ce373.png
https://i.gyazo.com/9e42be6ec0c83d5e5fc9daf8cffe5adc.png</t>
      </text>
    </comment>
    <comment authorId="0" ref="N1502">
      <text>
        <t xml:space="preserve">https://i.gyazo.com/72ae6425efc63a61409ab9a3d771fd2f.png
prime cash за 01.06 учтен в предыдущем периоде (245eu)
*01.07 prime cash 90eu учтен в этом периоде</t>
      </text>
    </comment>
    <comment authorId="0" ref="N1506">
      <text>
        <t xml:space="preserve">https://gyazo.com/48046a2aa45aef27c9d469c56d74b659</t>
      </text>
    </comment>
    <comment authorId="0" ref="N1508">
      <text>
        <t xml:space="preserve">Начало месяца - https://i.gyazo.com/e496079a3cf3aaf59044a7b0ec33c450.png
Конец месяца (+ переводы) -  https://i.gyazo.com/1c67d2e6c68bd92caf855a5c8a2eae40.png
6902.04 - 6009.93 + 63 - 1485.4 = -530.29</t>
      </text>
    </comment>
    <comment authorId="0" ref="N1512">
      <text>
        <t xml:space="preserve">5730 бонус + билеты 58*20</t>
      </text>
    </comment>
    <comment authorId="0" ref="N1514">
      <text>
        <t xml:space="preserve">https://i.gyazo.com/bafd588669d5f19f6c7fd8901b70d9e6.png</t>
      </text>
    </comment>
    <comment authorId="0" ref="L1516">
      <text>
        <t xml:space="preserve">01.06 - 30.06
https://i.gyazo.com/b462a43e967b06947c3b199b2575a5be.png</t>
      </text>
    </comment>
    <comment authorId="0" ref="N1516">
      <text>
        <t xml:space="preserve">Касса на начало месяца - 
https://i.gyazo.com/34ab3c295f6a74f348e2fec03e6da39a.png
Касса в конце месяца + (история транзакций)
https://i.gyazo.com/79be03591fd148b4401ba1abf5f78310.png
812.81 - 350.1 - 1327.2 = -864.49</t>
      </text>
    </comment>
    <comment authorId="0" ref="N1518">
      <text>
        <t xml:space="preserve">https://i.gyazo.com/138459b41184cb13c6d5ebf3a7f33e5f.png
50eu tickets x 8
https://i.gyazo.com/463293ad4bc29440bb5d54a2ef009479.png</t>
      </text>
    </comment>
    <comment authorId="0" ref="N1523">
      <text>
        <t xml:space="preserve">https://gyazo.com/edd98a19afca05c2a5f2ff2ed697fb20</t>
      </text>
    </comment>
    <comment authorId="0" ref="N1524">
      <text>
        <t xml:space="preserve">со скринов: 
7,09*8 
https://gyazo.com/56c65dc3c2c61f8814f09d48c4624c9f
https://gyazo.com/5ef35dbb898f9896c359e9422ba8a516</t>
      </text>
    </comment>
    <comment authorId="0" ref="N1525">
      <text>
        <t xml:space="preserve">билеты 4 * 10 от 21-22 июля
33,64 + 82,25 от 25 июля прибавили сюда</t>
      </text>
    </comment>
    <comment authorId="0" ref="N1533">
      <text>
        <t xml:space="preserve">https://gyazo.com/d5534d4615f5366b8684be501c640f50</t>
      </text>
    </comment>
    <comment authorId="0" ref="N1542">
      <text>
        <t xml:space="preserve">https://gyazo.com/e7b46e2ea27ca032225752f94eb4dffa</t>
      </text>
    </comment>
    <comment authorId="0" ref="N1547">
      <text>
        <t xml:space="preserve">1376 + 2 * 50</t>
      </text>
    </comment>
    <comment authorId="0" ref="N1550">
      <text>
        <t xml:space="preserve">https://gyazo.com/f86aaa2820b50864e850d3ed5d3e9c42</t>
      </text>
    </comment>
    <comment authorId="0" ref="N1556">
      <text>
        <t xml:space="preserve">https://i.gyazo.com/9823cd78c4f30d98e11f00d6e95d642c.png
100eu tickets x 12
https://i.gyazo.com/de400a187f861dc402f1063648115d8c.png</t>
      </text>
    </comment>
    <comment authorId="0" ref="N1570">
      <text>
        <t xml:space="preserve">https://gyazo.com/36ad75efec9d4708a17d1912ef94023c
starscoins 600 + 1010 chest money + 1900 chest t-money - 82.5 = 3592.5</t>
      </text>
    </comment>
    <comment authorId="0" ref="N1577">
      <text>
        <t xml:space="preserve">https://gyazo.com/d7f0daac6f80971d42b7105b03a2b77f</t>
      </text>
    </comment>
    <comment authorId="0" ref="N1580">
      <text>
        <t xml:space="preserve">https://gyazo.com/e89418910b44cc412c265151b7b375ba</t>
      </text>
    </comment>
    <comment authorId="0" ref="N1583">
      <text>
        <t xml:space="preserve">https://gyazo.com/8a8ca35bc560b044c78d6323fd39dcda</t>
      </text>
    </comment>
    <comment authorId="0" ref="N1586">
      <text>
        <t xml:space="preserve">https://gyazo.com/dfc76aa3df1ea99d29a2a1e934866e97</t>
      </text>
    </comment>
    <comment authorId="0" ref="N1589">
      <text>
        <t xml:space="preserve">https://i.gyazo.com/fe859482706095596de8755cbfec1959.png</t>
      </text>
    </comment>
    <comment authorId="0" ref="N1590">
      <text>
        <t xml:space="preserve">Касса начало - https://i.gyazo.com/e139e2a7d3e900dc30f75f9656eb1c3f.png
Касса конец (+ транзакции) - https://i.gyazo.com/47305600569c56d5a5fbd80efd86560e.png
1200,78 - 1710,54 - 2784,24 + 4463 - 1245,8 = -76,8</t>
      </text>
    </comment>
    <comment authorId="0" ref="N1593">
      <text>
        <t xml:space="preserve">Касса начало - https://i.gyazo.com/3b09cc503ff7cdbf3da46a1cc0840e57.png
Касса конец (+ транзакции) - https://i.gyazo.com/ab676f4f9c0ff5657dc43b677c0927d5.png
(50eu за 01.07 учтены в прошлом периоде)
1880.49 - 1900.53 + 570 - 831.95 = -281.99</t>
      </text>
    </comment>
    <comment authorId="0" ref="N1595">
      <text>
        <t xml:space="preserve">https://i.gyazo.com/637e2ae3e126a4f757348e6e21a78126.png</t>
      </text>
    </comment>
    <comment authorId="0" ref="N1599">
      <text>
        <t xml:space="preserve">https://i.gyazo.com/772444a197cfe4f702aee8a86f4384ee.png
*90eu за 01.07 учтены в прошлом периоде</t>
      </text>
    </comment>
    <comment authorId="0" ref="N1602">
      <text>
        <t xml:space="preserve">https://gyazo.com/8330c3ea3f2e584e3acb18308e224a44</t>
      </text>
    </comment>
    <comment authorId="0" ref="N1606">
      <text>
        <t xml:space="preserve">https://gyazo.com/6213b0809dbf5fa99345156e0d164205</t>
      </text>
    </comment>
    <comment authorId="0" ref="N1608">
      <text>
        <t xml:space="preserve">https://gyazo.com/6213b0809dbf5fa99345156e0d164205</t>
      </text>
    </comment>
    <comment authorId="0" ref="L1610">
      <text>
        <t xml:space="preserve">https://i.gyazo.com/831b24f338cfa3d231197b6c95978d90.png</t>
      </text>
    </comment>
    <comment authorId="0" ref="N1610">
      <text>
        <t xml:space="preserve">Начало месяца - https://i.gyazo.com/1c67d2e6c68bd92caf855a5c8a2eae40.png
Конец месяца (+транзакции) - https://i.gyazo.com/6c7debad519a1ef35ec352df69486421.png
8031.53 - 6902.04 - 26.07 + 2296 - 1423.63 = 1975.79</t>
      </text>
    </comment>
    <comment authorId="0" ref="N1614">
      <text>
        <t xml:space="preserve">5360+67*20</t>
      </text>
    </comment>
    <comment authorId="0" ref="L1615">
      <text>
        <t xml:space="preserve">https://i.gyazo.com/70902f253a1b5d4923d76f233ab8e904.png</t>
      </text>
    </comment>
    <comment authorId="0" ref="N1615">
      <text>
        <t xml:space="preserve">Касса начало - https://i.gyazo.com/79be03591fd148b4401ba1abf5f78310.png
Касса конец (+ транзакции) - https://i.gyazo.com/219e7281ebcd5ae5bacaccc616c04519.png
1699.63 - 812.81 + 6700 - 2121.7 = 5465.12</t>
      </text>
    </comment>
    <comment authorId="0" ref="N1618">
      <text>
        <t xml:space="preserve">https://gyazo.com/24d3e61594cf88e9f4e5f968224b87f3</t>
      </text>
    </comment>
    <comment authorId="0" ref="N1620">
      <text>
        <t xml:space="preserve">https://i.gyazo.com/445c86e0338fa0d9938637c3caa431c2.png</t>
      </text>
    </comment>
    <comment authorId="0" ref="N1626">
      <text>
        <t xml:space="preserve">https://gyazo.com/f5eebfd063c4c69eb14360fe33fba53d</t>
      </text>
    </comment>
    <comment authorId="0" ref="N1627">
      <text>
        <t xml:space="preserve">https://gyazo.com/aece5a0961362b33f426b2a3fa9aad0e</t>
      </text>
    </comment>
    <comment authorId="0" ref="N1629">
      <text>
        <t xml:space="preserve">1438 - 116(попали в июль) + 32 * 10 +1*20 (только с 23 июля по 20 августа) + 155,6 от 22 /08  +95 намытые c$
https://gyazo.com/844d171761ef5cf0d81ec2fa5512d490</t>
      </text>
    </comment>
    <comment authorId="0" ref="N1631">
      <text>
        <t xml:space="preserve">https://i.gyazo.com/c8e2c85dd5102f6dd192a566a4009354.png
10eu tickets x 1 
25eu tickets x 24</t>
      </text>
    </comment>
    <comment authorId="0" ref="N1635">
      <text>
        <t xml:space="preserve">https://gyazo.com/ec229888895180d9ba888d3a207953fd</t>
      </text>
    </comment>
    <comment authorId="0" ref="N1637">
      <text>
        <t xml:space="preserve">https://gyazo.com/101f874b224f16196ff0973499c6a926</t>
      </text>
    </comment>
    <comment authorId="0" ref="N1640">
      <text>
        <t xml:space="preserve">https://gyazo.com/4bab0c57e18d7fe6d4939342926f661d</t>
      </text>
    </comment>
    <comment authorId="0" ref="N1648">
      <text>
        <t xml:space="preserve">30 * 100 + 2* 50 + 25715
+Expected reward (monday): $2051.7 от понедельника 22 июля</t>
      </text>
    </comment>
    <comment authorId="0" ref="N1650">
      <text>
        <t xml:space="preserve">https://gyazo.com/0e1dad6899ebc68bba38c855741d8933</t>
      </text>
    </comment>
    <comment authorId="0" ref="N1653">
      <text>
        <t xml:space="preserve">https://gyazo.com/f8998d9a4e786274b56812200763cd1a</t>
      </text>
    </comment>
    <comment authorId="0" ref="N1654">
      <text>
        <t xml:space="preserve">3260+	8*50</t>
      </text>
    </comment>
    <comment authorId="0" ref="N1656">
      <text>
        <t xml:space="preserve">https://i.gyazo.com/18359da9f42dde1f4ad008648e1331f5.png
100eu tickets x 8 
https://i.gyazo.com/5c2d73b27a65918842fc1686fe95e3bc.png</t>
      </text>
    </comment>
    <comment authorId="0" ref="N1660">
      <text>
        <t xml:space="preserve">bonus 21/07 - 22/08 (!) : 29762 + 45 tickets * 100 = 34262</t>
      </text>
    </comment>
    <comment authorId="0" ref="N1664">
      <text>
        <t xml:space="preserve">2325 + 485 tickets from 26 Jul till 25 Aug</t>
      </text>
    </comment>
    <comment authorId="0" ref="N1667">
      <text>
        <t xml:space="preserve">https://gyazo.com/02b8695a5cd3a81893a319d414d35fad</t>
      </text>
    </comment>
    <comment authorId="0" ref="N1672">
      <text>
        <t xml:space="preserve">https://gyazo.com/7fe4fd086c6e836b82d79c0e0dd3302c</t>
      </text>
    </comment>
    <comment authorId="0" ref="N1674">
      <text>
        <t xml:space="preserve">rewards 15907 + promo 0 + tickets 1500  
https://gyazo.com/a54d3bc18bc4294844972f797119267f 
https://gyazo.com/ebb9b3486bb6c982378d0cb7e543dc20</t>
      </text>
    </comment>
    <comment authorId="0" ref="N1676">
      <text>
        <t xml:space="preserve">https://gyazo.com/b6235a63e93ccb6bfb5e814ec368de12</t>
      </text>
    </comment>
    <comment authorId="0" ref="N1687">
      <text>
        <t xml:space="preserve">https://i.gyazo.com/669a9102e1d9ba48bbad6436208b2e90.png</t>
      </text>
    </comment>
    <comment authorId="0" ref="N1692">
      <text>
        <t xml:space="preserve">https://gyazo.com/8e46580344a8ff10d689f181dfae47c3</t>
      </text>
    </comment>
    <comment authorId="0" ref="N1696">
      <text>
        <t xml:space="preserve">https://gyazo.com/f1ad0f42d7481fe529ab821f5509674c</t>
      </text>
    </comment>
    <comment authorId="0" ref="N1704">
      <text>
        <t xml:space="preserve">https://gyazo.com/02f2e73cbcbb99f89eec56e4d9d744e2</t>
      </text>
    </comment>
    <comment authorId="0" ref="N1705">
      <text>
        <t xml:space="preserve">https://i.gyazo.com/ece8d4f18dd1e1ecae30b204c5870a36.png
https://i.gyazo.com/dfd1b5297efeb383ac3a446fd7548987.png
30% RB 42309</t>
      </text>
    </comment>
    <comment authorId="0" ref="N1708">
      <text>
        <t xml:space="preserve">Касса начало - https://i.gyazo.com/ab676f4f9c0ff5657dc43b677c0927d5.png
Касса конец + транзакции - https://i.gyazo.com/8d21397b82e12f029fb0d7d2ad656d63.png
1767.67 - 1880.49 + 540 - 559.65 = -132.47</t>
      </text>
    </comment>
    <comment authorId="0" ref="N1712">
      <text>
        <t xml:space="preserve">https://gyazo.com/40ce61301fb7b13c210d030506e48ba1</t>
      </text>
    </comment>
    <comment authorId="0" ref="N1721">
      <text>
        <t xml:space="preserve">https://i.gyazo.com/a3562e68566ca440ca20235015e48f1d.png</t>
      </text>
    </comment>
    <comment authorId="0" ref="N1727">
      <text>
        <t xml:space="preserve">https://i.gyazo.com/973d4caa12dba7f8ec62e9e5df055ee8.png</t>
      </text>
    </comment>
    <comment authorId="0" ref="N1728">
      <text>
        <t xml:space="preserve">https://gyazo.com/b535b5b5dc4646b94643ed2bcb883bc0</t>
      </text>
    </comment>
    <comment authorId="0" ref="L1732">
      <text>
        <t xml:space="preserve">https://i.gyazo.com/7288ca2747b1a8c51164ea4e33d0e1d2.png</t>
      </text>
    </comment>
    <comment authorId="0" ref="N1732">
      <text>
        <t xml:space="preserve">Касса начало - 
https://i.gyazo.com/6c7debad519a1ef35ec352df69486421.png
Касса конец + транзакции - 
https://i.gyazo.com/1547e4a16a6676ebf49063885aebc8b1.png
MTT - https://i.gyazo.com/40fd5c618c4439d5e443ff392b381050.png
10609.87 - 8031.53 - (11300.41) + 6579.5 - 1236.3 = -3378.87</t>
      </text>
    </comment>
    <comment authorId="0" ref="N1736">
      <text>
        <t xml:space="preserve">rewards 13307 + promo 0 + 33 tickets on 50s</t>
      </text>
    </comment>
    <comment authorId="0" ref="N1738">
      <text>
        <t xml:space="preserve">Касса начало - https://i.gyazo.com/219e7281ebcd5ae5bacaccc616c04519.png
Касса конец + транзакции - https://i.gyazo.com/d3373c21a891c6e49040417796d02fb9.png
2039,08 - 1699,63 + 600 - 869,05 = 70,4</t>
      </text>
    </comment>
    <comment authorId="0" ref="N1742">
      <text>
        <t xml:space="preserve">https://gyazo.com/c4d15633aa6d6673e14a128d025d1f12</t>
      </text>
    </comment>
    <comment authorId="0" ref="N1744">
      <text>
        <t xml:space="preserve">https://i.gyazo.com/0844c8bf71e81a7ac6c54465987508a9.png</t>
      </text>
    </comment>
    <comment authorId="0" ref="N1751">
      <text>
        <t xml:space="preserve">https://gyazo.com/0abca7d9297263b984aeba37394f6d2d</t>
      </text>
    </comment>
    <comment authorId="0" ref="N1752">
      <text>
        <t xml:space="preserve">https://gyazo.com/0f7902e7ca2fa3d5ea4ed735f14538dc</t>
      </text>
    </comment>
    <comment authorId="0" ref="N1754">
      <text>
        <t xml:space="preserve">https://i.gyazo.com/594df0e9dd71a835a94b835a28439d6f.png
48 tickets x 10eu
32 tickets x 25eu</t>
      </text>
    </comment>
    <comment authorId="0" ref="N1757">
      <text>
        <t xml:space="preserve">rewards 953.07 - 155.5 
7 tickets on 20</t>
      </text>
    </comment>
    <comment authorId="0" ref="N1760">
      <text>
        <t xml:space="preserve">https://gyazo.com/053ccecc1caadf7259c0ca4b39c842cb</t>
      </text>
    </comment>
    <comment authorId="0" ref="N1765">
      <text>
        <t xml:space="preserve">https://gyazo.com/3ec52c3b97aff53f49bd0bd761599910</t>
      </text>
    </comment>
    <comment authorId="0" ref="N1766">
      <text>
        <t xml:space="preserve">https://gyazo.com/77857d432ed7777d037faf8e563c4f4f</t>
      </text>
    </comment>
    <comment authorId="0" ref="N1773">
      <text>
        <t xml:space="preserve">60 tickets *100 +1000 bonus +52669.4-2051.7(previous month)</t>
      </text>
    </comment>
    <comment authorId="0" ref="N1777">
      <text>
        <t xml:space="preserve">https://gyazo.com/fce98fa0562e0ee58e0f75f6fd8e0e05</t>
      </text>
    </comment>
    <comment authorId="0" ref="N1778">
      <text>
        <t xml:space="preserve">https://i.gyazo.com/b627960ca2d6bde1a4f46e340deab400.png</t>
      </text>
    </comment>
    <comment authorId="0" ref="N1780">
      <text>
        <t xml:space="preserve">31*100 + bonus 1000+ rewards 26736</t>
      </text>
    </comment>
    <comment authorId="0" ref="N1781">
      <text>
        <t xml:space="preserve">https://gyazo.com/1aa6ff90fdd4f76d60c5d86d1a034c4f</t>
      </text>
    </comment>
    <comment authorId="0" ref="N1783">
      <text>
        <t xml:space="preserve">=1582.2+255 = 1837</t>
      </text>
    </comment>
    <comment authorId="0" ref="N1785">
      <text>
        <t xml:space="preserve">https://gyazo.com/bd62ad34bdef47be63af47c452b6f7f7</t>
      </text>
    </comment>
    <comment authorId="0" ref="N1790">
      <text>
        <t xml:space="preserve">https://gyazo.com/a32c99708b696956dcdf5edb8ca2e3b7</t>
      </text>
    </comment>
    <comment authorId="0" ref="N1797">
      <text>
        <t xml:space="preserve">https://gyazo.com/700396fed0a53ef31c7a262c5ae26db8</t>
      </text>
    </comment>
    <comment authorId="0" ref="N1801">
      <text>
        <t xml:space="preserve">https://gyazo.com/9b3ad102a0fda5167e1d5eba23d5bfcb</t>
      </text>
    </comment>
    <comment authorId="0" ref="N1804">
      <text>
        <t xml:space="preserve">https://gyazo.com/37afc0f6005513c2d6de886b5735a4ba</t>
      </text>
    </comment>
    <comment authorId="0" ref="N1806">
      <text>
        <t xml:space="preserve">Касса начало - https://i.gyazo.com/c42ba68f43b15e8d1c0cf25df768acea.png
Касса конец периода - https://i.gyazo.com/9c709dc80770c699e4849a405f91920c.png
Транзакции - https://i.gyazo.com/0a95a86ae857b2529ea56f50eab2ed14.png
3515.74 - 218.29 - 1733.9 = 1563.55</t>
      </text>
    </comment>
    <comment authorId="0" ref="N1810">
      <text>
        <t xml:space="preserve">https://i.gyazo.com/2fb1c05cb83be8c9f92888f0cc2a0921.png</t>
      </text>
    </comment>
    <comment authorId="0" ref="N1813">
      <text>
        <t xml:space="preserve">https://gyazo.com/e5721f5983aa54746412f80cb160478e</t>
      </text>
    </comment>
    <comment authorId="0" ref="N1815">
      <text>
        <t xml:space="preserve">https://gyazo.com/a82cae762e20458383ffaca192e66932</t>
      </text>
    </comment>
    <comment authorId="0" ref="N1820">
      <text>
        <t xml:space="preserve">https://gyazo.com/3fda8e3191a85e1b1b78f1601764dcd3</t>
      </text>
    </comment>
    <comment authorId="0" ref="N1825">
      <text>
        <t xml:space="preserve">Касса начало - https://i.gyazo.com/8d21397b82e12f029fb0d7d2ad656d63.png
Касса конец + транзакции - https://i.gyazo.com/e0714f9874594a5d388b3247584b4336.png
2733.5 - 1767.67 + 375 - 1565.9 = -225.07</t>
      </text>
    </comment>
    <comment authorId="0" ref="N1832">
      <text>
        <t xml:space="preserve">https://gyazo.com/9dba964c88777af490da32cff2d03144</t>
      </text>
    </comment>
    <comment authorId="0" ref="N1834">
      <text>
        <t xml:space="preserve">https://i.gyazo.com/95fe5b9ba3e05289c02a01bc37e8c496.png</t>
      </text>
    </comment>
    <comment authorId="0" ref="N1838">
      <text>
        <t xml:space="preserve">https://i.gyazo.com/cdf6288bef0be57b4224d0d375efc887.png</t>
      </text>
    </comment>
    <comment authorId="0" ref="N1842">
      <text>
        <t xml:space="preserve">https://i.gyazo.com/0ef0b164348d77bc25660326664d9a0f.png</t>
      </text>
    </comment>
    <comment authorId="0" ref="N1845">
      <text>
        <t xml:space="preserve">Касса начало -https://i.gyazo.com/1547e4a16a6676ebf49063885aebc8b1.png
Касса конец + транзакции - https://i.gyazo.com/5312561e1b01e6927e2e2d6af6c64554.png
6381.06 - 10609.87 + 20 - 4506.25 = -8715.06</t>
      </text>
    </comment>
    <comment authorId="0" ref="N1849">
      <text>
        <t xml:space="preserve">Касса начало - https://i.gyazo.com/d3373c21a891c6e49040417796d02fb9.png
Касса конец + транзакции - https://i.gyazo.com/867dbfd7ec11d51e9d892d2759873333.png
2009.1 - 2039.08 + 1000 - 847.35  = 122.67</t>
      </text>
    </comment>
    <comment authorId="0" ref="N1854">
      <text>
        <t xml:space="preserve">https://gyazo.com/1e80556d79c9477bbc9912744ec588ae</t>
      </text>
    </comment>
    <comment authorId="0" ref="N1858">
      <text>
        <t xml:space="preserve">https://i.gyazo.com/072bfc62f2eae346c31783cd09dc1f1e.png</t>
      </text>
    </comment>
    <comment authorId="0" ref="N1863">
      <text>
        <t xml:space="preserve">https://gyazo.com/e9f07d6dd125c5e5b883f8e5d4811986</t>
      </text>
    </comment>
    <comment authorId="0" ref="N1871">
      <text>
        <t xml:space="preserve">https://i.gyazo.com/317ff1468f8ae678559bf6896d736f4d.png
50eu tickets x 2
10eu tickets x 67
25eu tickets x 28</t>
      </text>
    </comment>
    <comment authorId="0" ref="N1876">
      <text>
        <t xml:space="preserve">https://gyazo.com/47c0c61bf83f23324142d95d186fc8db</t>
      </text>
    </comment>
    <comment authorId="0" ref="N1878">
      <text>
        <t xml:space="preserve">https://gyazo.com/a88f46321f0d89aaa96ff109a7d3fafc</t>
      </text>
    </comment>
    <comment authorId="0" ref="N1880">
      <text>
        <t xml:space="preserve">https://gyazo.com/253d24402cfe11de983c39c0f364b6fb</t>
      </text>
    </comment>
    <comment authorId="0" ref="N1884">
      <text>
        <t xml:space="preserve">https://gyazo.com/cc6eafd1d284de713c6fe41853bbd40d</t>
      </text>
    </comment>
    <comment authorId="0" ref="N1890">
      <text>
        <t xml:space="preserve">https://gyazo.com/0e039aec5b10489e141eb8a081eafdce</t>
      </text>
    </comment>
    <comment authorId="0" ref="N1896">
      <text>
        <t xml:space="preserve">Reward (FishBuffet and Challenge): 45892.95
Tickets (Leaderboard): 5200</t>
      </text>
    </comment>
    <comment authorId="0" ref="N1898">
      <text>
        <t xml:space="preserve">https://gyazo.com/b346a0fbcb21c24649ba7a54be4cc06a</t>
      </text>
    </comment>
    <comment authorId="0" ref="N1903">
      <text>
        <t xml:space="preserve">https://i.gyazo.com/c1be54ff81a34ffc702d9919fca8d3fd.png</t>
      </text>
    </comment>
    <comment authorId="0" ref="N1906">
      <text>
        <t xml:space="preserve">10193+960+1000</t>
      </text>
    </comment>
    <comment authorId="0" ref="N1908">
      <text>
        <t xml:space="preserve">https://gyazo.com/2c8bd1dcec739502ee894fa80bbf2a36</t>
      </text>
    </comment>
    <comment authorId="0" ref="N1916">
      <text>
        <t xml:space="preserve">1842+326</t>
      </text>
    </comment>
    <comment authorId="0" ref="N1918">
      <text>
        <t xml:space="preserve">https://gyazo.com/d40237ab31478b7c692de738692692b0</t>
      </text>
    </comment>
    <comment authorId="0" ref="N1923">
      <text>
        <t xml:space="preserve">https://gyazo.com/8ce21636718b7fd811839e9b17aad147</t>
      </text>
    </comment>
    <comment authorId="0" ref="N1928">
      <text>
        <t xml:space="preserve">https://gyazo.com/71213adfcc0819a5fb26228f9da7b3dc</t>
      </text>
    </comment>
    <comment authorId="0" ref="N1929">
      <text>
        <t xml:space="preserve">Касса начало - https://i.gyazo.com/9c709dc80770c699e4849a405f91920c.png
Касса конец - https://i.gyazo.com/c1c039894222b633710362e12e744f41.png
4362.47 - 3515.74 - 3348.45 = -2501.72</t>
      </text>
    </comment>
    <comment authorId="0" ref="N1932">
      <text>
        <t xml:space="preserve">https://gyazo.com/50720844a9b7a98bbc4ca09540ab6e1e</t>
      </text>
    </comment>
    <comment authorId="0" ref="N1939">
      <text>
        <t xml:space="preserve">https://gyazo.com/e20bfdac6d3aa01e396a54d7afadd014</t>
      </text>
    </comment>
    <comment authorId="0" ref="N1941">
      <text>
        <t xml:space="preserve">РБ в октябре 47% 
https://i.gyazo.com/3220a213a985e111617f602135cb34d3.png
https://i.gyazo.com/fc0b6d990c3e032f9de9bc18e49c979c.png</t>
      </text>
    </comment>
    <comment authorId="0" ref="N1944">
      <text>
        <t xml:space="preserve">https://i.gyazo.com/e0714f9874594a5d388b3247584b4336.png
Касса конец + транзакции - https://i.gyazo.com/bd03786083df6794c81cc13aae264587.png
752.19 - 2733.5 + 780 - 1428 = -2629.31</t>
      </text>
    </comment>
    <comment authorId="0" ref="N1957">
      <text>
        <t xml:space="preserve">https://i.gyazo.com/be4125ff7dd1288f9c9edb09cc55ea19.png
https://i.gyazo.com/fdc58dfde4aac64fa24d45f76f6f879d.png</t>
      </text>
    </comment>
    <comment authorId="0" ref="N1960">
      <text>
        <t xml:space="preserve">40859+4500</t>
      </text>
    </comment>
    <comment authorId="0" ref="N1962">
      <text>
        <t xml:space="preserve">https://i.gyazo.com/3d6956848e2a19ea244498bd05914c89.png</t>
      </text>
    </comment>
    <comment authorId="0" ref="N1966">
      <text>
        <t xml:space="preserve">https://i.gyazo.com/c8fa337882ff7e815df7d97befe5d142.png
https://i.gyazo.com/80159ad02b0f2353342ed26fd2f165ab.png
Prime cash 1000/100/5 за 01.10 и 
expresso challenge prize(25eu x 3) за 05.10 -07.10 учтены в прошлом периоде</t>
      </text>
    </comment>
    <comment authorId="0" ref="N1971">
      <text>
        <t xml:space="preserve">https://gyazo.com/72fbbd365d757cd0c80543d021f1553a</t>
      </text>
    </comment>
    <comment authorId="0" ref="N1972">
      <text>
        <t xml:space="preserve">Касса начало - https://i.gyazo.com/5312561e1b01e6927e2e2d6af6c64554.png
Касса конец + транзакции - https://i.gyazo.com/395c5c36a5f3a41ea77eb0ec86b28836.png
5224.21 - 6381.06 + 70 - 1500.45 = -2587.3</t>
      </text>
    </comment>
    <comment authorId="0" ref="N1976">
      <text>
        <t xml:space="preserve">6799+1300</t>
      </text>
    </comment>
    <comment authorId="0" ref="N1977">
      <text>
        <t xml:space="preserve">Касса начало - https://i.gyazo.com/867dbfd7ec11d51e9d892d2759873333.png
Касса конец + транзакции 
https://i.gyazo.com/3979aa7ab2ff75a96cfafbad1caadb6d.png
1755.46 - 2009.1 + 2000 - 1623.3 = 123.06</t>
      </text>
    </comment>
    <comment authorId="0" ref="N1987">
      <text>
        <t xml:space="preserve">https://i.gyazo.com/4b2cd2dc09c9e60a95b2033971149fb2.png</t>
      </text>
    </comment>
    <comment authorId="0" ref="N1990">
      <text>
        <t xml:space="preserve">https://gyazo.com/c863a6de6a90e84a98a14cb8d6722201</t>
      </text>
    </comment>
    <comment authorId="0" ref="N1991">
      <text>
        <t xml:space="preserve">https://i.gyazo.com/078b2a57be9a79daf9d75e4cd840b92b.png</t>
      </text>
    </comment>
    <comment authorId="0" ref="J1997">
      <text>
        <t xml:space="preserve">https://gyazo.com/d9d56f0571eddfdf913a76ef9a0e442c</t>
      </text>
    </comment>
    <comment authorId="0" ref="M1999">
      <text>
        <t xml:space="preserve">скрин кассы он присылал https://cdn.discordapp.com/attachments/967009057510682677/1039116879740014612/image.png
И еще рб который не видно в кассе, но он обменял сегодня после того как снял скрин кассы
https://cdn.discordapp.com/attachments/967009057510682677/1039117016725983262/image.png
До этого остаток в кассе был 5224 и никаких новых переводов не было.
 20823 + 211 - 5224 = 15810 профит в первые 6 дней ноября</t>
      </text>
    </comment>
    <comment authorId="0" ref="N2000">
      <text>
        <t xml:space="preserve">https://i.gyazo.com/b852386584e8708d5e8c074ff0dc9609.png
https://i.gyazo.com/fcc60145bb2864ac2a53ccb92f48542b.png</t>
      </text>
    </comment>
    <comment authorId="0" ref="N2013">
      <text>
        <t xml:space="preserve">https://gyazo.com/ea5ed606e8869364b4315b8121a0841c</t>
      </text>
    </comment>
    <comment authorId="0" ref="N2016">
      <text>
        <t xml:space="preserve">https://gyazo.com/b6adab1eee5df6b89a6217b6ac9ff27b</t>
      </text>
    </comment>
    <comment authorId="0" ref="N2018">
      <text>
        <t xml:space="preserve">https://i.gyazo.com/f910af027cb4882686bbc140b05880eb.png
https://i.gyazo.com/10d4ba99d14c030a672d7bdf21b2cfdd.png
https://i.gyazo.com/7a45ef7679077b9a31b4de3fb881d51f.png
25eu tickets x 8 
10eu tickets x 63
* 60eu freebet не отмыт, не учтен</t>
      </text>
    </comment>
    <comment authorId="0" ref="N2021">
      <text>
        <t xml:space="preserve">+4 fish buffet from 21/11 https://gyazo.com/aa8ee14d537d38d699c5d5ac8b1f04a4</t>
      </text>
    </comment>
    <comment authorId="0" ref="N2024">
      <text>
        <t xml:space="preserve">https://gyazo.com/a8e806625eeb9dc7f355c87be951d469</t>
      </text>
    </comment>
    <comment authorId="0" ref="N2027">
      <text>
        <t xml:space="preserve">https://i.gyazo.com/b742b47027aeb11658ce490d84cdaa97.png
https://i.gyazo.com/1785f073a2fcbed5ec9bad2b89694cd4.png</t>
      </text>
    </comment>
    <comment authorId="0" ref="N2038">
      <text>
        <t xml:space="preserve">https://gyazo.com/f62abd3fdc391abc0ce875888aa79462</t>
      </text>
    </comment>
    <comment authorId="0" ref="N2040">
      <text>
        <t xml:space="preserve">https://i.gyazo.com/bdaad541dbb05bb47a5c53a2808e29b9.png
* freebets gangant en cash за 20.11 не учтен</t>
      </text>
    </comment>
    <comment authorId="0" ref="J2049">
      <text>
        <t xml:space="preserve">https://gyazo.com/d9d56f0571eddfdf913a76ef9a0e442c</t>
      </text>
    </comment>
    <comment authorId="0" ref="H2053">
      <text>
        <t xml:space="preserve">wx new</t>
      </text>
    </comment>
    <comment authorId="0" ref="N2053">
      <text>
        <t xml:space="preserve">https://i.gyazo.com/43603358f66e2021de88e9334381a16c.png
*10eu freebet не отмыт, не учтен</t>
      </text>
    </comment>
    <comment authorId="0" ref="N2055">
      <text>
        <t xml:space="preserve">https://gyazo.com/3c61ee2b1c81af1113efc81691017775</t>
      </text>
    </comment>
    <comment authorId="0" ref="N2057">
      <text>
        <t xml:space="preserve">tickets 21-21
200+200+50+4*200+6*100+20*100</t>
      </text>
    </comment>
    <comment authorId="0" ref="N2060">
      <text>
        <t xml:space="preserve">https://gyazo.com/65d569d9a0c5a50cdf336d16c628a7fb</t>
      </text>
    </comment>
    <comment authorId="0" ref="N2068">
      <text>
        <t xml:space="preserve">вошли 5 выплат Фиш Баффет от 21/11 https://cdn.discordapp.com/attachments/747398207176310784/1044537761979433021/2.png</t>
      </text>
    </comment>
    <comment authorId="0" ref="N2070">
      <text>
        <t xml:space="preserve">https://gyazo.com/13d4ae70226e65cf16290eb3eb41d125</t>
      </text>
    </comment>
    <comment authorId="0" ref="N2073">
      <text>
        <t xml:space="preserve">https://gyazo.com/cd71a9932665c952493257f10a79fc3b</t>
      </text>
    </comment>
    <comment authorId="0" ref="N2077">
      <text>
        <t xml:space="preserve">https://gyazo.com/5a7c2a5be0a0e3052d6def1e8bf3897b</t>
      </text>
    </comment>
    <comment authorId="0" ref="N2079">
      <text>
        <t xml:space="preserve">https://gyazo.com/f63826d7cf53deb3cb0dd14dda565c33</t>
      </text>
    </comment>
    <comment authorId="0" ref="N2085">
      <text>
        <t xml:space="preserve">Касса начало - https://i.gyazo.com/c1c039894222b633710362e12e744f41.png
Касса конец - https://i.gyazo.com/031d8a4ff13d78a07f86308a0fd7cbf7.png
4038 - 4362.47 + 1941 - (1443) - (653.74) -  380.1 = -860.31
Ставки - https://i.gyazo.com/184e08a97aa70628320fea6c820e0ff0.png
https://i.gyazo.com/420baf37c64cecafa54d5e0f8f99e1a6.png
МТТ акционные билеты - 
https://i.gyazo.com/a7370f114d391b23c8862c1aae427390.png
https://i.gyazo.com/c8c7cddcb30d38fd404d350dd6e44087.png</t>
      </text>
    </comment>
    <comment authorId="0" ref="N2090">
      <text>
        <t xml:space="preserve">https://cdn.discordapp.com/attachments/685879670473883706/1043178012662829126/Screenshot_20221118-115500.png
даймонд клуб
рум выплачивал, когда 100 тыс рейка набиваешь
я успел набить 65860 рейка к моменту их ухода</t>
      </text>
    </comment>
    <comment authorId="0" ref="N2097">
      <text>
        <t xml:space="preserve">https://gyazo.com/ce5f925c591355d5fcb488399e2200b8</t>
      </text>
    </comment>
    <comment authorId="0" ref="N2099">
      <text>
        <t xml:space="preserve">https://gyazo.com/a60d8db3e3a31a3f81c015eca4b2c4f4</t>
      </text>
    </comment>
    <comment authorId="0" ref="N2103">
      <text>
        <t xml:space="preserve">https://i.gyazo.com/b818fc5dc1eeead48ac9eee0d168a845.png
https://i.gyazo.com/1f02592e007d8be26f1fb5247e59d609.png
https://i.gyazo.com/fee44e9f8fa727b2c22d493d043c2d9d.png</t>
      </text>
    </comment>
    <comment authorId="0" ref="L2106">
      <text>
        <t xml:space="preserve">в трекере некорректный чипЕВ 244</t>
      </text>
    </comment>
    <comment authorId="0" ref="M2106">
      <text>
        <t xml:space="preserve">Список турниров
https://i.gyazo.com/8495605dc98307315ce07e3a5cb1f0eb.png</t>
      </text>
    </comment>
    <comment authorId="0" ref="N2106">
      <text>
        <t xml:space="preserve">Касса начало периода - https://i.gyazo.com/bd03786083df6794c81cc13aae264587.png
Касса конец периода - https://i.gyazo.com/a22b77db786070e5fc38c1f8c1f2e8db.png
1268.89 - 752.19 + 410 - (310) - 464.8 = 151.9
*310 это профит с акционного билета МТТ</t>
      </text>
    </comment>
    <comment authorId="0" ref="N2115">
      <text>
        <t xml:space="preserve">52206+5500
+3940 compencation pokerOK</t>
      </text>
    </comment>
    <comment authorId="0" ref="N2116">
      <text>
        <t xml:space="preserve">скрин с покерка  https://docs.google.com/document/d/1ilC7WM2TOvtoe5X7XU0vEY5iwLbb2Wrp3rApGPSTYWE/edit?usp=sharing</t>
      </text>
    </comment>
    <comment authorId="0" ref="N2117">
      <text>
        <t xml:space="preserve">https://i.gyazo.com/35270ad27875059e411886c450c4adc5.png
https://i.gyazo.com/12bf7f0d2f1215e9ed1ad7092357ea99.png
https://i.gyazo.com/8f21d312fcbc50c924b944cddf6cca85.png</t>
      </text>
    </comment>
    <comment authorId="0" ref="N2121">
      <text>
        <t xml:space="preserve">https://gyazo.com/9c87031d9068412a69ee942339dbc6b3</t>
      </text>
    </comment>
    <comment authorId="0" ref="N2126">
      <text>
        <t xml:space="preserve">Касса начало - https://i.gyazo.com/342968f1e8c498af12b88096d1f24c95.png
Касса конец - https://i.gyazo.com/2f7e1bf0ef98c941c71ab2ff92bf01da.png
6776.09 - 20823.72 + 15761.6 - 1179.32 =  534.65</t>
      </text>
    </comment>
    <comment authorId="0" ref="N2131">
      <text>
        <t xml:space="preserve">=5725+ tickets 1240</t>
      </text>
    </comment>
    <comment authorId="0" ref="N2132">
      <text>
        <t xml:space="preserve">Касса начало - https://i.gyazo.com/3979aa7ab2ff75a96cfafbad1caadb6d.png
Касса конец - https://i.gyazo.com/e426cbdefcbf54c197cb94b7c27b13b0.png
1730.48 - 1755.46 + 2600 - 504.35 = 2070.67</t>
      </text>
    </comment>
    <comment authorId="0" ref="N2135">
      <text>
        <t xml:space="preserve">https://gyazo.com/0cb44bd7f7bb22ae8b353d30e5781482</t>
      </text>
    </comment>
    <comment authorId="0" ref="N2139">
      <text>
        <t xml:space="preserve">https://gyazo.com/6b9cd86135e577bad3ae6ee6567d845a</t>
      </text>
    </comment>
    <comment authorId="0" ref="N2143">
      <text>
        <t xml:space="preserve">https://i.gyazo.com/313a0663e8d4198fb149a8213c8ad225.png</t>
      </text>
    </comment>
    <comment authorId="0" ref="N2144">
      <text>
        <t xml:space="preserve">https://gyazo.com/df2950b2940ddb0f278aa76740daa5b6</t>
      </text>
    </comment>
    <comment authorId="0" ref="N2149">
      <text>
        <t xml:space="preserve">https://i.gyazo.com/8ddb1bd5f0f26413c6f57140ba3fe62b.png
https://i.gyazo.com/287bc4e70302320cc8546e5b8ebb34f8.png</t>
      </text>
    </comment>
    <comment authorId="0" ref="N2151">
      <text>
        <t xml:space="preserve">https://gyazo.com/2cc762c622dbf1b02540753eba02989f</t>
      </text>
    </comment>
    <comment authorId="0" ref="N2160">
      <text>
        <t xml:space="preserve">https://gyazo.com/9d60eb3d29276e4dc501bdddec7166d7</t>
      </text>
    </comment>
    <comment authorId="0" ref="N2164">
      <text>
        <t xml:space="preserve">https://gyazo.com/fffa79245670aaa0f279a6c346e8a421</t>
      </text>
    </comment>
    <comment authorId="0" ref="N2166">
      <text>
        <t xml:space="preserve">https://gyazo.com/eeb3089f9ca20357cb5860ff571494bb + 200 рефанд GOOD WILL CREDIT</t>
      </text>
    </comment>
    <comment authorId="0" ref="N2175">
      <text>
        <t xml:space="preserve">https://gyazo.com/1889503452b3e4fa3b3e29fb6c7fa383</t>
      </text>
    </comment>
    <comment authorId="0" ref="N2179">
      <text>
        <t xml:space="preserve">https://gyazo.com/a495a3678b032c8a4b01e66d565a511b</t>
      </text>
    </comment>
    <comment authorId="0" ref="N2184">
      <text>
        <t xml:space="preserve">https://gyazo.com/1551ae2a4c2cff97c2b84b275980b35a</t>
      </text>
    </comment>
    <comment authorId="0" ref="N2190">
      <text>
        <t xml:space="preserve">https://i.gyazo.com/89fca6f3dff0c4218af507aa71534df6.png</t>
      </text>
    </comment>
    <comment authorId="0" ref="N2199">
      <text>
        <t xml:space="preserve">=13850+13575
https://cdn.discordapp.com/attachments/531462865077665792/1055149492619460719/IMG_7054.png</t>
      </text>
    </comment>
    <comment authorId="0" ref="N2202">
      <text>
        <t xml:space="preserve">https://i.gyazo.com/6f2281a5e7d7b9f1c200e97c67da15cb.png</t>
      </text>
    </comment>
    <comment authorId="0" ref="N2204">
      <text>
        <t xml:space="preserve">https://gyazo.com/7875e13713ae621cf25cd4d24b1a472f</t>
      </text>
    </comment>
    <comment authorId="0" ref="N2210">
      <text>
        <t xml:space="preserve">https://gyazo.com/0c89c3fb9168b472ea1fad33dd45f1f6</t>
      </text>
    </comment>
    <comment authorId="0" ref="N2213">
      <text>
        <t xml:space="preserve">https://i.gyazo.com/c3ef5bd7ca8badf737a9eb976215c997.png</t>
      </text>
    </comment>
    <comment authorId="0" ref="N2219">
      <text>
        <t xml:space="preserve">https://gyazo.com/03455b073d8f2faae686d3a04d89baa9</t>
      </text>
    </comment>
    <comment authorId="0" ref="N2224">
      <text>
        <t xml:space="preserve">https://i.gyazo.com/36b14d89d6b6dd6c207804780e6bdc38.png</t>
      </text>
    </comment>
    <comment authorId="0" ref="B2226">
      <text>
        <t xml:space="preserve">n8</t>
      </text>
    </comment>
    <comment authorId="0" ref="N2226">
      <text>
        <t xml:space="preserve">from 22/11 to 20/12
+146.35 + 5.25
+ Илья пришло доп рб от аффилейта +6479</t>
      </text>
    </comment>
    <comment authorId="0" ref="B2227">
      <text>
        <t xml:space="preserve">n8</t>
      </text>
    </comment>
    <comment authorId="0" ref="N2229">
      <text>
        <t xml:space="preserve">https://gyazo.com/48435ef830b05e3d8e609680f58b4b7c</t>
      </text>
    </comment>
    <comment authorId="0" ref="N2231">
      <text>
        <t xml:space="preserve">https://gyazo.com/5f9b82f64cb56c82042fc65405eac802</t>
      </text>
    </comment>
    <comment authorId="0" ref="N2244">
      <text>
        <t xml:space="preserve">https://gyazo.com/ca9677c7dc65ab01612c249ee84e2464</t>
      </text>
    </comment>
    <comment authorId="0" ref="N2249">
      <text>
        <t xml:space="preserve">https://gyazo.com/107c0ab31e96419a201d925e065d8961</t>
      </text>
    </comment>
    <comment authorId="0" ref="N2252">
      <text>
        <t xml:space="preserve">https://gyazo.com/4cd66638a7d3c0a2a6dee0cc9367a7b7</t>
      </text>
    </comment>
    <comment authorId="0" ref="N2257">
      <text>
        <t xml:space="preserve">https://i.gyazo.com/d68c5bdcfeb434e38fe1134ba0b979b7.png</t>
      </text>
    </comment>
    <comment authorId="0" ref="N2259">
      <text>
        <t xml:space="preserve">https://gyazo.com/a91a5cc1c12fb8829a87a2019c478c4a</t>
      </text>
    </comment>
    <comment authorId="0" ref="N2261">
      <text>
        <t xml:space="preserve">https://gyazo.com/b76ac789440cd55131141694fcbb49b3</t>
      </text>
    </comment>
    <comment authorId="0" ref="N2265">
      <text>
        <t xml:space="preserve">Касса начало -  1419.73 
Касса конец - https://i.gyazo.com/1b5e5f229e9b0eb50d561531e88c4324.png
2757.9 - 1419.73 + 750 - (250) - 1228.6 = 609.57</t>
      </text>
    </comment>
    <comment authorId="0" ref="N2268">
      <text>
        <t xml:space="preserve">RB 27%</t>
      </text>
    </comment>
    <comment authorId="0" ref="N2271">
      <text>
        <t xml:space="preserve">https://i.gyazo.com/b716abd1ba370cc104b8992b23b037ff.png
5eu tickets x 120</t>
      </text>
    </comment>
    <comment authorId="0" ref="N2273">
      <text>
        <t xml:space="preserve">Касса начало -https://i.gyazo.com/2f7e1bf0ef98c941c71ab2ff92bf01da.png
Касса конец - https://i.gyazo.com/c2b67bc9b1649702474f0e5ab23f21d3.png
11427.29 - 6776.09 + 604 - 4638.55 = 616.65
*вывод 105 за 01.12 учтен в прошлом периоде</t>
      </text>
    </comment>
    <comment authorId="0" ref="N2279">
      <text>
        <t xml:space="preserve">Касса начало -https://i.gyazo.com/e426cbdefcbf54c197cb94b7c27b13b0.png
Касса конец - https://i.gyazo.com/50732b719bd722cda58b6f66af3584e5.png
2376.16 - 1730.48 + 600 - 491.05 = 754.63</t>
      </text>
    </comment>
    <comment authorId="0" ref="N2282">
      <text>
        <t xml:space="preserve">Касса начало - https://i.gyazo.com/a22b77db786070e5fc38c1f8c1f2e8db.png
Касса конец - https://i.gyazo.com/0d2b55b64fb63af5100680845d766c87.png
1727.15 - 1268.89 + 230 - 323.5 = 364.76</t>
      </text>
    </comment>
    <comment authorId="0" ref="N2285">
      <text>
        <t xml:space="preserve">https://i.gyazo.com/16f09e89672c7a677686528b932a46df.png</t>
      </text>
    </comment>
    <comment authorId="0" ref="N2287">
      <text>
        <t xml:space="preserve">https://gyazo.com/6f0d990a06126774f0a57d20c1614c12</t>
      </text>
    </comment>
    <comment authorId="0" ref="N2295">
      <text>
        <t xml:space="preserve">https://gyazo.com/110eefdd3fd80ac49b77a038b996b468</t>
      </text>
    </comment>
    <comment authorId="0" ref="M2297">
      <text>
        <t xml:space="preserve">аванс школе</t>
      </text>
    </comment>
    <comment authorId="0" ref="N2298">
      <text>
        <t xml:space="preserve">=7871+1200</t>
      </text>
    </comment>
    <comment authorId="0" ref="N2300">
      <text>
        <t xml:space="preserve">https://i.gyazo.com/e2959e5b6b876b769bb20dfdafcfa590.png</t>
      </text>
    </comment>
    <comment authorId="0" ref="N2301">
      <text>
        <t xml:space="preserve">https://gyazo.com/cfc3f4219f5861daed3451b3a912d863</t>
      </text>
    </comment>
    <comment authorId="0" ref="N2305">
      <text>
        <t xml:space="preserve">https://gyazo.com/c5ebf71ba5a4f3738b3b0f3d7eef9ffa</t>
      </text>
    </comment>
    <comment authorId="0" ref="N2306">
      <text>
        <t xml:space="preserve">https://gyazo.com/61da09a12b7d222f626fc160433173da</t>
      </text>
    </comment>
    <comment authorId="0" ref="N2309">
      <text>
        <t xml:space="preserve">https://gyazo.com/ac2f70f05d763a2ac803b66544663996</t>
      </text>
    </comment>
    <comment authorId="0" ref="N2311">
      <text>
        <t xml:space="preserve">https://gyazo.com/acf0be5abe6bbc8cc60185d6c30bbc31</t>
      </text>
    </comment>
    <comment authorId="0" ref="N2315">
      <text>
        <t xml:space="preserve">https://gyazo.com/7bbeb85d20c7fb68d1eddd164b78b909</t>
      </text>
    </comment>
    <comment authorId="0" ref="N2316">
      <text>
        <t xml:space="preserve">https://gyazo.com/ad99d70a5bd485170a9d0403ba6eb3e4</t>
      </text>
    </comment>
    <comment authorId="0" ref="N2320">
      <text>
        <t xml:space="preserve">https://i.gyazo.com/e1bd5a1acae48e122cf23446e857cc88.png</t>
      </text>
    </comment>
    <comment authorId="0" ref="N2328">
      <text>
        <t xml:space="preserve">https://gyazo.com/b2c4f3f9e5b0ed7283cc9b308d3f2153</t>
      </text>
    </comment>
    <comment authorId="0" ref="N2338">
      <text>
        <t xml:space="preserve">https://i.gyazo.com/397879d98a0d80a9969ff1645666083e.png</t>
      </text>
    </comment>
    <comment authorId="0" ref="N2344">
      <text>
        <t xml:space="preserve">https://gyazo.com/07c2a5c5b8b3edae5b8c20a61088dbd1</t>
      </text>
    </comment>
    <comment authorId="0" ref="N2350">
      <text>
        <t xml:space="preserve">https://gyazo.com/f3e87ff4f45746339cb788ebcd2c8585</t>
      </text>
    </comment>
    <comment authorId="0" ref="N2358">
      <text>
        <t xml:space="preserve">https://gyazo.com/92c248299976be033ff02e867e9c2c2e</t>
      </text>
    </comment>
    <comment authorId="0" ref="N2360">
      <text>
        <t xml:space="preserve">https://gyazo.com/ce871f44f9876c6d82f0f2231ace9aa0</t>
      </text>
    </comment>
    <comment authorId="0" ref="N2372">
      <text>
        <t xml:space="preserve">Касса начало - https://i.gyazo.com/8644d6a4bdcfa108279549fea7c3e80b.png
Касса конец - https://i.gyazo.com/c2a6bc6efbe3b7ca417bfbc86c46e5f7.png
361.92 - 360.57 - 173.25 = -171.9</t>
      </text>
    </comment>
    <comment authorId="0" ref="N2376">
      <text>
        <t xml:space="preserve">https://i.gyazo.com/1a605f30ae5dc16dd91267911ecdae59.png</t>
      </text>
    </comment>
    <comment authorId="0" ref="N2380">
      <text>
        <t xml:space="preserve">https://gyazo.com/5871294091d3b4e7b0347fb4606d3a5f</t>
      </text>
    </comment>
    <comment authorId="0" ref="N2381">
      <text>
        <t xml:space="preserve">https://gyazo.com/5871294091d3b4e7b0347fb4606d3a5f</t>
      </text>
    </comment>
    <comment authorId="0" ref="N2383">
      <text>
        <t xml:space="preserve">Касса начало - https://i.gyazo.com/1b5e5f229e9b0eb50d561531e88c4324.png
Касса конец + транзакции - https://i.gyazo.com/afd8857db51b804d2c5d458418686df5.png
5.52 - 2757.9 + 4401.4 - 1164.8 = 484.2</t>
      </text>
    </comment>
    <comment authorId="0" ref="N2384">
      <text>
        <t xml:space="preserve">Касса начало - https://i.gyazo.com/0d2b55b64fb63af5100680845d766c87.png
Касса конец + транзакции - 
https://i.gyazo.com/83a602461b6ee599e497885edd86333e.png
*freeroll - https://i.gyazo.com/d959d97e9e6ef8a8f501751e3658fdb8.png
€1 EUR = $1.086  (взял кросс-курс за 31 января)
2314.27 - 1727.15 + 400 - (44.9) - 1222 = -279.78</t>
      </text>
    </comment>
    <comment authorId="0" ref="N2393">
      <text>
        <t xml:space="preserve">https://gyazo.com/de0bde4c000df43bdfe512d19d615bd6</t>
      </text>
    </comment>
    <comment authorId="0" ref="N2395">
      <text>
        <t xml:space="preserve">https://i.gyazo.com/4dbf9d5fb5abc8aa6982d0a856fa147f.png</t>
      </text>
    </comment>
    <comment authorId="0" ref="N2404">
      <text>
        <t xml:space="preserve">за дисконнект</t>
      </text>
    </comment>
    <comment authorId="0" ref="N2407">
      <text>
        <t xml:space="preserve">https://i.gyazo.com/503b5571085cf622a8c62b8a794e99a9.png
*RB за 24/12, 25/12 учтены в прошлом периоде</t>
      </text>
    </comment>
    <comment authorId="0" ref="N2413">
      <text>
        <t xml:space="preserve">https://gyazo.com/959987a4b2bd633189ca4d815ed41fba</t>
      </text>
    </comment>
    <comment authorId="0" ref="N2419">
      <text>
        <t xml:space="preserve">https://i.gyazo.com/2e89d448cba5db90553a6167d115e863.png</t>
      </text>
    </comment>
    <comment authorId="0" ref="N2421">
      <text>
        <t xml:space="preserve">Касса начало - https://i.gyazo.com/c2b67bc9b1649702474f0e5ab23f21d3.png
Касса конец + транзакции - https://i.gyazo.com/25fa1665ded405f734b90e9225927f2e.png
8318.91 - 11427.29 + 11629 - 3762.8 = 4757.82</t>
      </text>
    </comment>
    <comment authorId="0" ref="G2426">
      <text>
        <t xml:space="preserve">redstar</t>
      </text>
    </comment>
    <comment authorId="0" ref="N2429">
      <text>
        <t xml:space="preserve">Касса начало - https://i.gyazo.com/50732b719bd722cda58b6f66af3584e5.png
Касса конец + транзакции - https://i.gyazo.com/9eac95170021e259f68cf85db232347d.png
3418.34 - 2376.16 + 2600 - 1418.9 = 2223.2</t>
      </text>
    </comment>
    <comment authorId="0" ref="N2439">
      <text>
        <t xml:space="preserve">https://gyazo.com/4cf84139a114c0669971d38ef620ee3d</t>
      </text>
    </comment>
    <comment authorId="0" ref="N2443">
      <text>
        <t xml:space="preserve">https://i.gyazo.com/c14f710fb6e6877e1f621cf1683bcc67.png
https://i.gyazo.com/0dace1bb89151de6d3c7ccde355c36d6.png</t>
      </text>
    </comment>
    <comment authorId="0" ref="N2444">
      <text>
        <t xml:space="preserve">https://gyazo.com/dec72d4079455b8242d16ed4fe03f0d1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5">
      <text>
        <t xml:space="preserve">новый ученик, данные для марта
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1">
      <text>
        <t xml:space="preserve">ChamptionPoker
</t>
      </text>
    </comment>
  </commentList>
</comments>
</file>

<file path=xl/sharedStrings.xml><?xml version="1.0" encoding="utf-8"?>
<sst xmlns="http://schemas.openxmlformats.org/spreadsheetml/2006/main" count="34259" uniqueCount="1145">
  <si>
    <t>EV Deal</t>
  </si>
  <si>
    <t>Poker Room</t>
  </si>
  <si>
    <t>Stake Name</t>
  </si>
  <si>
    <t>Speed</t>
  </si>
  <si>
    <t>Steel Phoenix</t>
  </si>
  <si>
    <t>PokerStars COM/EU</t>
  </si>
  <si>
    <t>$0.25</t>
  </si>
  <si>
    <t>Normal</t>
  </si>
  <si>
    <t>Hyperschool</t>
  </si>
  <si>
    <t>Winamax</t>
  </si>
  <si>
    <t>$0.25 Flash</t>
  </si>
  <si>
    <t>Flash</t>
  </si>
  <si>
    <t>Without EV deal</t>
  </si>
  <si>
    <t>GGNetwork</t>
  </si>
  <si>
    <t>€0.25 Flash</t>
  </si>
  <si>
    <t>HT</t>
  </si>
  <si>
    <t>PartyPoker COM/EU</t>
  </si>
  <si>
    <t>€0.25(nitro) new</t>
  </si>
  <si>
    <t>GG</t>
  </si>
  <si>
    <t>Redstar</t>
  </si>
  <si>
    <t>$1</t>
  </si>
  <si>
    <t>WMX</t>
  </si>
  <si>
    <t>PokerStars ES/FR</t>
  </si>
  <si>
    <t>$1 Flash</t>
  </si>
  <si>
    <t>Nitro</t>
  </si>
  <si>
    <t>Pokerdom</t>
  </si>
  <si>
    <t>€1</t>
  </si>
  <si>
    <t>Ultra</t>
  </si>
  <si>
    <t>$2</t>
  </si>
  <si>
    <t>$2 Flash</t>
  </si>
  <si>
    <t>€2</t>
  </si>
  <si>
    <t>€2 (bf 01.08)</t>
  </si>
  <si>
    <t>$3</t>
  </si>
  <si>
    <t>$3 Ultra</t>
  </si>
  <si>
    <t>$5</t>
  </si>
  <si>
    <t>$5 (1M)</t>
  </si>
  <si>
    <t>$5 (1M) Flash</t>
  </si>
  <si>
    <t>$5 Flash</t>
  </si>
  <si>
    <t>$5 Flash (1M)</t>
  </si>
  <si>
    <t>€5</t>
  </si>
  <si>
    <t>€5 (1M)</t>
  </si>
  <si>
    <t>€5 (bf 01.08)</t>
  </si>
  <si>
    <t>€5 (bf 05.05)</t>
  </si>
  <si>
    <t>€5 Nitro</t>
  </si>
  <si>
    <t>€5(wx) new</t>
  </si>
  <si>
    <t>$10</t>
  </si>
  <si>
    <t>$10 (1M)</t>
  </si>
  <si>
    <t>$10 (1M) (old)</t>
  </si>
  <si>
    <t>$10 Flash</t>
  </si>
  <si>
    <t>$10 Ultra</t>
  </si>
  <si>
    <t>€10</t>
  </si>
  <si>
    <t>€10 (1M)</t>
  </si>
  <si>
    <t>€10 (bf 01.08)</t>
  </si>
  <si>
    <t>€10 (bf 05.05)</t>
  </si>
  <si>
    <t>€10 (MP)</t>
  </si>
  <si>
    <t>€10 (old)</t>
  </si>
  <si>
    <t>€10 Nitro (bf 05.05)</t>
  </si>
  <si>
    <t>€10 Nitro (old)</t>
  </si>
  <si>
    <t>€10(wx) new</t>
  </si>
  <si>
    <t>$20</t>
  </si>
  <si>
    <t>$20 Ultra</t>
  </si>
  <si>
    <t>€20</t>
  </si>
  <si>
    <t>$25</t>
  </si>
  <si>
    <t>$25 Flash</t>
  </si>
  <si>
    <t>€25</t>
  </si>
  <si>
    <t>€25 (bf 01.08)</t>
  </si>
  <si>
    <t>€25 (bf 05.05)</t>
  </si>
  <si>
    <t>€25 (MP)</t>
  </si>
  <si>
    <t>€25 (old)</t>
  </si>
  <si>
    <t>€25 Nitro</t>
  </si>
  <si>
    <t>€25 Nitro (bf 01.08)</t>
  </si>
  <si>
    <t>€25 Nitro (bf 05.05)</t>
  </si>
  <si>
    <t>€25(nitro) new</t>
  </si>
  <si>
    <t>€25(wx) new</t>
  </si>
  <si>
    <t>$50</t>
  </si>
  <si>
    <t>$50 Flash</t>
  </si>
  <si>
    <t>$50 Ultra</t>
  </si>
  <si>
    <t>€50</t>
  </si>
  <si>
    <t>€50 (bf 01.08)</t>
  </si>
  <si>
    <t>€50 (bf 05.05)</t>
  </si>
  <si>
    <t>€50 (old)</t>
  </si>
  <si>
    <t>€50 Nitro</t>
  </si>
  <si>
    <t>€50 Nitro (bf 01.08)</t>
  </si>
  <si>
    <t>€50 Nitro (bf 05.05)</t>
  </si>
  <si>
    <t>€50(wx) new</t>
  </si>
  <si>
    <t>$100</t>
  </si>
  <si>
    <t>$100 Flash</t>
  </si>
  <si>
    <t>$100 HUHT</t>
  </si>
  <si>
    <t>$100 Ultra</t>
  </si>
  <si>
    <t>€100</t>
  </si>
  <si>
    <t>€100 (old)</t>
  </si>
  <si>
    <t>€100 Nitro</t>
  </si>
  <si>
    <t>€100 Nitro (old)</t>
  </si>
  <si>
    <t>$200</t>
  </si>
  <si>
    <t>$200 HUHT</t>
  </si>
  <si>
    <t>€200</t>
  </si>
  <si>
    <t>$250</t>
  </si>
  <si>
    <t>$250 Flash</t>
  </si>
  <si>
    <t>€250</t>
  </si>
  <si>
    <t>€250 Nitro</t>
  </si>
  <si>
    <t>$300 HUHT</t>
  </si>
  <si>
    <t>$500</t>
  </si>
  <si>
    <t>$500 Flash</t>
  </si>
  <si>
    <t>$500 HUHT</t>
  </si>
  <si>
    <t>€500</t>
  </si>
  <si>
    <t>€500 Nitro</t>
  </si>
  <si>
    <t>$1000</t>
  </si>
  <si>
    <t>$1000 HUHT</t>
  </si>
  <si>
    <t>Alias</t>
  </si>
  <si>
    <t>Screen Name</t>
  </si>
  <si>
    <t>Start Date</t>
  </si>
  <si>
    <t>End Date</t>
  </si>
  <si>
    <t>Period</t>
  </si>
  <si>
    <t>Stake</t>
  </si>
  <si>
    <t>Games</t>
  </si>
  <si>
    <t>Net Won</t>
  </si>
  <si>
    <t>Rakeback Actual</t>
  </si>
  <si>
    <t>BuyIns</t>
  </si>
  <si>
    <t>Equity Adjusted</t>
  </si>
  <si>
    <t>ChipEV</t>
  </si>
  <si>
    <t>Rakeback %</t>
  </si>
  <si>
    <t>Rakeback Total</t>
  </si>
  <si>
    <t>Final EV For Players with EV Deal</t>
  </si>
  <si>
    <t>Total
in 
RB
currency</t>
  </si>
  <si>
    <t>Exchange Rate</t>
  </si>
  <si>
    <t>ABI</t>
  </si>
  <si>
    <t>ABI Won</t>
  </si>
  <si>
    <t>Coaching Cut % (3/4)</t>
  </si>
  <si>
    <t>Stacking Cut % (1/4)</t>
  </si>
  <si>
    <t>Player Cut</t>
  </si>
  <si>
    <t>School Cut Coaching</t>
  </si>
  <si>
    <t>School Cut Backing</t>
  </si>
  <si>
    <t>Split?</t>
  </si>
  <si>
    <t>RB
Currency</t>
  </si>
  <si>
    <t>Split 
Currency</t>
  </si>
  <si>
    <t>Coaching Deal Type</t>
  </si>
  <si>
    <t>Stacking Deal Type</t>
  </si>
  <si>
    <t>007x2</t>
  </si>
  <si>
    <t>USD</t>
  </si>
  <si>
    <t>00goldimon00</t>
  </si>
  <si>
    <t>EUR</t>
  </si>
  <si>
    <t>Barabollya</t>
  </si>
  <si>
    <t>RedStar</t>
  </si>
  <si>
    <t>00goldimon</t>
  </si>
  <si>
    <t>Abcdf</t>
  </si>
  <si>
    <t>way to pro</t>
  </si>
  <si>
    <t>riverpoolFC</t>
  </si>
  <si>
    <t>leonidkomlev</t>
  </si>
  <si>
    <t>AlexanderDSL</t>
  </si>
  <si>
    <t>bbaltqq</t>
  </si>
  <si>
    <t>Fedorovi4</t>
  </si>
  <si>
    <t>supreme soul</t>
  </si>
  <si>
    <t>v@vo88</t>
  </si>
  <si>
    <t>GoJAM</t>
  </si>
  <si>
    <t>Sun_Set_pro8</t>
  </si>
  <si>
    <t>bearstrong</t>
  </si>
  <si>
    <t>Lo4io</t>
  </si>
  <si>
    <t>SwagOnYou</t>
  </si>
  <si>
    <t>GoJAM_wx</t>
  </si>
  <si>
    <t>Chie4tain</t>
  </si>
  <si>
    <t>Mexanuk_AV</t>
  </si>
  <si>
    <t>SDEBA1</t>
  </si>
  <si>
    <t>drawchillah_gg</t>
  </si>
  <si>
    <t>hakunahmatatah</t>
  </si>
  <si>
    <t>Mister Meeseeks</t>
  </si>
  <si>
    <t>Kiss4Money99</t>
  </si>
  <si>
    <t>Kiss4Money</t>
  </si>
  <si>
    <t>AHgpuK1987</t>
  </si>
  <si>
    <t>UmbrellaInc</t>
  </si>
  <si>
    <t>S1lense</t>
  </si>
  <si>
    <t>CrippledMind</t>
  </si>
  <si>
    <t>Mackevgen</t>
  </si>
  <si>
    <t>Monidestr</t>
  </si>
  <si>
    <t>Ferbuary 2022</t>
  </si>
  <si>
    <t>vezuxa</t>
  </si>
  <si>
    <t>Hehek</t>
  </si>
  <si>
    <t>mr_al3x</t>
  </si>
  <si>
    <t>benyya</t>
  </si>
  <si>
    <t>Fix18.75</t>
  </si>
  <si>
    <t>Fix6.25</t>
  </si>
  <si>
    <t>dimandmb1</t>
  </si>
  <si>
    <t>fraum@rta</t>
  </si>
  <si>
    <t>barabashOva</t>
  </si>
  <si>
    <t>Berebka</t>
  </si>
  <si>
    <t>BodyaComUa</t>
  </si>
  <si>
    <t>Davaibablo</t>
  </si>
  <si>
    <t>1000 rub</t>
  </si>
  <si>
    <t>2500 rub</t>
  </si>
  <si>
    <t>5000 rub</t>
  </si>
  <si>
    <t>d1mas98</t>
  </si>
  <si>
    <t>komlew</t>
  </si>
  <si>
    <t>cortiz0l</t>
  </si>
  <si>
    <t>Ekx444</t>
  </si>
  <si>
    <t>Farodit</t>
  </si>
  <si>
    <t>PodbarelilNaES</t>
  </si>
  <si>
    <t>fig6</t>
  </si>
  <si>
    <t>$100 HU HT</t>
  </si>
  <si>
    <t>kttweek1</t>
  </si>
  <si>
    <t>kttweek2</t>
  </si>
  <si>
    <t>KuCoH</t>
  </si>
  <si>
    <t>eternity1</t>
  </si>
  <si>
    <t>Vandaster</t>
  </si>
  <si>
    <t>chik-chirik</t>
  </si>
  <si>
    <t>Runhero</t>
  </si>
  <si>
    <t>Pegasus38</t>
  </si>
  <si>
    <t>Night Kin9</t>
  </si>
  <si>
    <t>OneTaper</t>
  </si>
  <si>
    <t>overplayKK</t>
  </si>
  <si>
    <t>sqweez</t>
  </si>
  <si>
    <t>0verplayKK</t>
  </si>
  <si>
    <t>QQcheliQ</t>
  </si>
  <si>
    <t>ChmonyaQQ</t>
  </si>
  <si>
    <t>ArkhangelRus29</t>
  </si>
  <si>
    <t>fskdfhslfhds</t>
  </si>
  <si>
    <t>tarez</t>
  </si>
  <si>
    <t>ushakov17</t>
  </si>
  <si>
    <t>volkovsky</t>
  </si>
  <si>
    <t>Brothers Grimm</t>
  </si>
  <si>
    <t>guilexperi</t>
  </si>
  <si>
    <t>BarabashOva</t>
  </si>
  <si>
    <t>farodit</t>
  </si>
  <si>
    <t>Umbrellainc</t>
  </si>
  <si>
    <t>NOT_bluffme</t>
  </si>
  <si>
    <t>Supreme325i</t>
  </si>
  <si>
    <t>s1mple-d1mpl</t>
  </si>
  <si>
    <t>Freedoom88</t>
  </si>
  <si>
    <t>RiverpoolFC</t>
  </si>
  <si>
    <t>TVREZ</t>
  </si>
  <si>
    <t>DepositBeast</t>
  </si>
  <si>
    <t>Nibus90</t>
  </si>
  <si>
    <t>iNibus</t>
  </si>
  <si>
    <t>VermillionPST</t>
  </si>
  <si>
    <t>mdzr</t>
  </si>
  <si>
    <t>Rus29APX</t>
  </si>
  <si>
    <t>RaphaelNadal</t>
  </si>
  <si>
    <t>DeusRus</t>
  </si>
  <si>
    <t>Enchilakos</t>
  </si>
  <si>
    <t>GGhero1</t>
  </si>
  <si>
    <t>NenMaster</t>
  </si>
  <si>
    <t>storrm</t>
  </si>
  <si>
    <t>Rake Actual</t>
  </si>
  <si>
    <t>RB per stake:</t>
  </si>
  <si>
    <t>Total Rakeback:</t>
  </si>
  <si>
    <t>Total Rake:</t>
  </si>
  <si>
    <t>RB %</t>
  </si>
  <si>
    <t>Won @ spins:</t>
  </si>
  <si>
    <t>Won @ HUHTs:</t>
  </si>
  <si>
    <t>Total EV+RB:</t>
  </si>
  <si>
    <t>Status</t>
  </si>
  <si>
    <t>Name</t>
  </si>
  <si>
    <t>Surname</t>
  </si>
  <si>
    <t>Birthday</t>
  </si>
  <si>
    <t>Gmail</t>
  </si>
  <si>
    <t>Discord</t>
  </si>
  <si>
    <t>Skype</t>
  </si>
  <si>
    <t>Phone</t>
  </si>
  <si>
    <t>Homeland</t>
  </si>
  <si>
    <t>Residence</t>
  </si>
  <si>
    <t>Address</t>
  </si>
  <si>
    <t>Skrill USD</t>
  </si>
  <si>
    <t>Skrill EUR</t>
  </si>
  <si>
    <t>Neteller USD</t>
  </si>
  <si>
    <t>Neteller EUR</t>
  </si>
  <si>
    <t>ID photo</t>
  </si>
  <si>
    <t>Selfie with ID</t>
  </si>
  <si>
    <t>Gipsyteam Link</t>
  </si>
  <si>
    <t>VK link</t>
  </si>
  <si>
    <t>46 XpoMaCoM</t>
  </si>
  <si>
    <t>Coaching</t>
  </si>
  <si>
    <t>Алексей</t>
  </si>
  <si>
    <t>Иванов</t>
  </si>
  <si>
    <t>46xpomo@gmail.com</t>
  </si>
  <si>
    <t>Bby_by</t>
  </si>
  <si>
    <t>Украина</t>
  </si>
  <si>
    <t>Проспект центральный 74а кВ 13</t>
  </si>
  <si>
    <t>Владимир</t>
  </si>
  <si>
    <t>Лебеденко</t>
  </si>
  <si>
    <t>peregoodoff89@gmail.com</t>
  </si>
  <si>
    <t>khyp1313</t>
  </si>
  <si>
    <t>+380676376328</t>
  </si>
  <si>
    <t>Кривой Рог, ул. Старовокзальная д.35 кв.74</t>
  </si>
  <si>
    <t>https://api.typeform.com/responses/files/80b8ff8e99a7fdcea68ce459d63d5e00e0840efd70afa47423eb9b17b11ff477/изображение_viber_2019_11_14_17_10_02.jpg</t>
  </si>
  <si>
    <t>https://api.typeform.com/responses/files/97ff9c8895d3e950985f35a690a8247a5e2b81ef470c75caeb13ebd97c3dc000/IMG_0280.JPG</t>
  </si>
  <si>
    <t>ANDREIIANN</t>
  </si>
  <si>
    <t>Андрей</t>
  </si>
  <si>
    <t>Войтещик</t>
  </si>
  <si>
    <t>andreiiann@mail.ru</t>
  </si>
  <si>
    <t>Andrey#5406</t>
  </si>
  <si>
    <t>andreiiann1</t>
  </si>
  <si>
    <t>Беларусь</t>
  </si>
  <si>
    <t>VermillionPoker</t>
  </si>
  <si>
    <t>Антон</t>
  </si>
  <si>
    <t>Танский</t>
  </si>
  <si>
    <t>tanskiy.000@gmail.com</t>
  </si>
  <si>
    <t>AntoxaDemon</t>
  </si>
  <si>
    <t>+79683560141</t>
  </si>
  <si>
    <t>Гомель. Речицкий проспект 118 кв 19</t>
  </si>
  <si>
    <t>Руслан</t>
  </si>
  <si>
    <t>Кононов</t>
  </si>
  <si>
    <t>arkhangelrus@gmail.com</t>
  </si>
  <si>
    <t>ArkhangelRus</t>
  </si>
  <si>
    <t>Russss</t>
  </si>
  <si>
    <t>+79021907065</t>
  </si>
  <si>
    <t>Россия</t>
  </si>
  <si>
    <t>Краснодарский край, с. Красносельское, ул. Крыжановского 2</t>
  </si>
  <si>
    <t>rus882@yandex.ru</t>
  </si>
  <si>
    <t>Дима</t>
  </si>
  <si>
    <t>Степанов</t>
  </si>
  <si>
    <t>qqcvua@gmail.com</t>
  </si>
  <si>
    <t>BarabashOva (Дима)#4408</t>
  </si>
  <si>
    <t>qbeek_cv</t>
  </si>
  <si>
    <t>+380955221181</t>
  </si>
  <si>
    <t>Черновцы ул. Н.Прибоя 4/2</t>
  </si>
  <si>
    <t>senatorcv@gmail.com</t>
  </si>
  <si>
    <t>https://api.typeform.com/responses/files/7fe31e44ca61cc477175f0c61a45b5f2cd869a6c5f0f6a1fae4ab6e99b2ea0cc/20160422_165416.jpg</t>
  </si>
  <si>
    <t>https://api.typeform.com/responses/files/f3ea1628ef2772b4af3c1d3c75224aed69f5c0de0aa430c86c923dabac4c0407/IMG_20191006_202830.jpg</t>
  </si>
  <si>
    <t>Олег</t>
  </si>
  <si>
    <t>Гребенщиков</t>
  </si>
  <si>
    <t>bbaltqq@gmail.com</t>
  </si>
  <si>
    <t>bbaltqq#4732</t>
  </si>
  <si>
    <t>ttadvokatt</t>
  </si>
  <si>
    <t>+79776225170</t>
  </si>
  <si>
    <t>Москва Симоновский вал 24-1-77</t>
  </si>
  <si>
    <t/>
  </si>
  <si>
    <t>Никольский</t>
  </si>
  <si>
    <t>sunsetpro8@gmail.com</t>
  </si>
  <si>
    <t>bearstrong (Дима)</t>
  </si>
  <si>
    <t>live:bearstrong_1</t>
  </si>
  <si>
    <t>+79777799457</t>
  </si>
  <si>
    <t>Зеленоград, Солнечная аллея, 908, 36</t>
  </si>
  <si>
    <t>beearstrong@yandex.ru</t>
  </si>
  <si>
    <t>Coaching + Staking</t>
  </si>
  <si>
    <t>Бенедиктов</t>
  </si>
  <si>
    <t>benyya@gmail.com</t>
  </si>
  <si>
    <t>Казахстан</t>
  </si>
  <si>
    <t>Санкт-Петербург, ул Крыленко 1, кв 19</t>
  </si>
  <si>
    <t>dmitrybenediktov@gmail.com</t>
  </si>
  <si>
    <t>https://api.typeform.com/responses/files/e7384479ce72ada7892d34bee9a3335beded2dc94b57837dcf84fb84513baf05/photo5413793718579866584.jpg</t>
  </si>
  <si>
    <t>https://api.typeform.com/responses/files/16e07da00e7b3aa58492616af7caa6991c3582284e4bb7b4e6263e89dc5851ae/photo5413417561049115599.jpg</t>
  </si>
  <si>
    <t>Богдан</t>
  </si>
  <si>
    <t>Ракицкий</t>
  </si>
  <si>
    <t>bogdan.rakitskiy@gmail.com</t>
  </si>
  <si>
    <t>bogdan.rakitskiy</t>
  </si>
  <si>
    <t>+380503314813</t>
  </si>
  <si>
    <t>Киев, ул. Попудренко 16, кв.33</t>
  </si>
  <si>
    <t>chichuck</t>
  </si>
  <si>
    <t>Дмитрий</t>
  </si>
  <si>
    <t>Чичин</t>
  </si>
  <si>
    <t>kakoitoakk123@gmail.com</t>
  </si>
  <si>
    <t>chichuck15</t>
  </si>
  <si>
    <t>+79307177708</t>
  </si>
  <si>
    <t>Нижний Новгород, Панфиловцев,5,251</t>
  </si>
  <si>
    <t>skrill777skrill@yandex.ru</t>
  </si>
  <si>
    <t>skrill777skrilleur@yandex.ru</t>
  </si>
  <si>
    <t>https://api.typeform.com/responses/files/e4d080bd8362a98021c793949056ad5e1b064557e4562a5c38332e7a39f0314c/97841937_DL2.jpg</t>
  </si>
  <si>
    <t>https://api.typeform.com/responses/files/b43de880822aa06ff75207f0a30dad8d48c20965913f6ecdf95dc8922dcc114e/W_0wr_CSHTQ.jpg</t>
  </si>
  <si>
    <t>Сергеев</t>
  </si>
  <si>
    <t>farodit@gmail.com</t>
  </si>
  <si>
    <t>conc</t>
  </si>
  <si>
    <t>farodit1</t>
  </si>
  <si>
    <t>+375336485599</t>
  </si>
  <si>
    <t>Минск, улица Лейтенанта Кижеватова, д 3Б, кв 188</t>
  </si>
  <si>
    <t>dimasik</t>
  </si>
  <si>
    <t>Малыхин</t>
  </si>
  <si>
    <t>djdimasmal@gmail.com</t>
  </si>
  <si>
    <t>d1maSick</t>
  </si>
  <si>
    <t>live:2de3a1efdb06c5dd  ну или по номеру телефона +380956053570</t>
  </si>
  <si>
    <t>+380956053570</t>
  </si>
  <si>
    <t>Одесса, ул. Сегедская 23 А, квартира 12</t>
  </si>
  <si>
    <t>Дмитриев</t>
  </si>
  <si>
    <t>14.10.2000</t>
  </si>
  <si>
    <t>japanowner@gmail.com</t>
  </si>
  <si>
    <t>DepositBeast#7711</t>
  </si>
  <si>
    <t>Таиланд</t>
  </si>
  <si>
    <t>Mida Grande Resort Phuket</t>
  </si>
  <si>
    <t>disagreelex@gmail.com</t>
  </si>
  <si>
    <t>https://drive.google.com/open?id=1oCdVMsg65aLYUFqxFkIImuAOCzpwK2t2</t>
  </si>
  <si>
    <t>https://drive.google.com/open?id=1QAXsWKFH4nfxsLslFZt9IAnVjXi873gN</t>
  </si>
  <si>
    <t>https://www.gipsyteam.ru/profile/depositbeast</t>
  </si>
  <si>
    <t>DeusVulter</t>
  </si>
  <si>
    <t>Полищук</t>
  </si>
  <si>
    <t>stakhanovets22@gmail.com</t>
  </si>
  <si>
    <t>DeusVulter #2362</t>
  </si>
  <si>
    <t>live:deusvulter</t>
  </si>
  <si>
    <t>+79591093416</t>
  </si>
  <si>
    <t>Луганск, Кв.Молодёжный,10,40.</t>
  </si>
  <si>
    <t>Головач</t>
  </si>
  <si>
    <t>fndmmasters@gmail.com</t>
  </si>
  <si>
    <t>dimagol</t>
  </si>
  <si>
    <t>dmytro.golovach</t>
  </si>
  <si>
    <t>+380731815685</t>
  </si>
  <si>
    <t>Чернигов, Проспект Мира 269 кв 190</t>
  </si>
  <si>
    <t>dim-golovach@yandex.ru</t>
  </si>
  <si>
    <t>Бочков</t>
  </si>
  <si>
    <t>dimanbochkov3@gmail.com</t>
  </si>
  <si>
    <t>dimandmb84</t>
  </si>
  <si>
    <t>+79603449268</t>
  </si>
  <si>
    <t>г. Саратов, ул. Южная, д. 36, кв. 30</t>
  </si>
  <si>
    <t>dimanboch@bk.ru</t>
  </si>
  <si>
    <t>DimanTT</t>
  </si>
  <si>
    <t>Тумашов</t>
  </si>
  <si>
    <t>19.11.1990</t>
  </si>
  <si>
    <t>merssinary1@gmail.com</t>
  </si>
  <si>
    <t>DimanTT#6109</t>
  </si>
  <si>
    <t>dimantt5</t>
  </si>
  <si>
    <t>г. Прокопьевск, ул. Обручева 20-6</t>
  </si>
  <si>
    <t>https://drive.google.com/open?id=1XGHZE_nyv5LEdjsxuqfR3AiTfJG4unTJ</t>
  </si>
  <si>
    <t>https://drive.google.com/open?id=1ZJ7cHjAg1ydaTE-V7bK70Kf6XgmOw8w2</t>
  </si>
  <si>
    <t>https://www.gipsyteam.ru/profile/dimantt</t>
  </si>
  <si>
    <t>Евгений</t>
  </si>
  <si>
    <t>Ушаков</t>
  </si>
  <si>
    <t>ushakov17rus@gmail.com</t>
  </si>
  <si>
    <t>dream rfhfi#1680</t>
  </si>
  <si>
    <t>live:7e2b52110d2e4adc</t>
  </si>
  <si>
    <t>+77072875648</t>
  </si>
  <si>
    <t>Астана, 38 ул., 44/1 д, 273 кв.</t>
  </si>
  <si>
    <t>ekomlev98</t>
  </si>
  <si>
    <t>Егор</t>
  </si>
  <si>
    <t>Комлев</t>
  </si>
  <si>
    <t>ekomlev98@gmail.com</t>
  </si>
  <si>
    <t>zaiz21797470</t>
  </si>
  <si>
    <t>+79815547231</t>
  </si>
  <si>
    <t>Котлас, ул ленина, дом 64,кв 74</t>
  </si>
  <si>
    <t>komlev.zhora@mail.ru</t>
  </si>
  <si>
    <t>https://api.typeform.com/responses/files/1eff527d253333d2fa27caa6cd93119e7a100a7e4885d872a93d197f92e74f89/20210210_212757.jpg</t>
  </si>
  <si>
    <t>https://api.typeform.com/responses/files/9e1e96f0252f371c69adb97530214abadc0fee9ad7f7d4161b0d7ce58dccdde5/20210210_213146.jpg</t>
  </si>
  <si>
    <t>Павел</t>
  </si>
  <si>
    <t>Груздов</t>
  </si>
  <si>
    <t>psgruzdov@gmail.com</t>
  </si>
  <si>
    <t>live:psgruzdov</t>
  </si>
  <si>
    <t>+79055736261</t>
  </si>
  <si>
    <t>Пхукет</t>
  </si>
  <si>
    <t>Влад</t>
  </si>
  <si>
    <t>Журавель</t>
  </si>
  <si>
    <t>vlados9993@gmail.com</t>
  </si>
  <si>
    <t>live:.cid.37cf70295f04117c</t>
  </si>
  <si>
    <t>+995598788713</t>
  </si>
  <si>
    <t>Грузия</t>
  </si>
  <si>
    <t>Тбилиси. Тереверко 34, 2</t>
  </si>
  <si>
    <t>locshplaya@gmail.com</t>
  </si>
  <si>
    <t>eugeneshyl</t>
  </si>
  <si>
    <t>Шиль</t>
  </si>
  <si>
    <t>eugeneshyl@gmail.com</t>
  </si>
  <si>
    <t>EugeneShyl</t>
  </si>
  <si>
    <t>Кривой Рог, 5-й Заречный 93/29</t>
  </si>
  <si>
    <t>eugeneshylres@gmail.com</t>
  </si>
  <si>
    <t>https://api.typeform.com/responses/files/7e4a1e7a85b4597e9a1af02adc2b23895a263aa8f4c321818ddaf42e40d523b2/WP_000218.jpg</t>
  </si>
  <si>
    <t>https://api.typeform.com/responses/files/b10ecb0b69d4119bc5ad25252efa5d435e853e83f09c4c12618c3165340e6f39/IMG_20190521_145713.jpg</t>
  </si>
  <si>
    <t>cdh1djsod3x1ca2cdh1crn073s1ep8fc</t>
  </si>
  <si>
    <t>Closed</t>
  </si>
  <si>
    <t>Сергей</t>
  </si>
  <si>
    <t>Шаульский</t>
  </si>
  <si>
    <t>sergeishau@gmail.com</t>
  </si>
  <si>
    <t>Sergspb111</t>
  </si>
  <si>
    <t>+79990252222</t>
  </si>
  <si>
    <t>Санкт-Петербург, Галерный проезд, д.5, Квартира 369</t>
  </si>
  <si>
    <t>sergeiwow@mail.ru</t>
  </si>
  <si>
    <t>sergeishau@yandex.ru</t>
  </si>
  <si>
    <t>https://i.gyazo.com/2082c0d17f29cc66fd6f9bb1268398fb.png</t>
  </si>
  <si>
    <t>fortunate773</t>
  </si>
  <si>
    <t>Исаев</t>
  </si>
  <si>
    <t>russell1991773@gmail.com</t>
  </si>
  <si>
    <t>Fortunate773 Руслан</t>
  </si>
  <si>
    <t>d1fafa9f1e8c9d9e</t>
  </si>
  <si>
    <t>Кривой Рог,ул.Косиора д.47к.57</t>
  </si>
  <si>
    <t>russell1991@ro.ru</t>
  </si>
  <si>
    <t>https://api.typeform.com/responses/files/375c16dd982b8c0de6b6f438d048648446297f042263d6874207dc274d294e20/P90927_222334.jpg</t>
  </si>
  <si>
    <t>https://api.typeform.com/responses/files/7f38caa9f0b416468e0eeecdc4d64ad9e8b78164bfb992cefb6b025b0774ef79/P90927_222752.jpg</t>
  </si>
  <si>
    <t>Александр</t>
  </si>
  <si>
    <t>Солощенко</t>
  </si>
  <si>
    <t>freemandsl16@gmail.com</t>
  </si>
  <si>
    <t>FreemanDSL</t>
  </si>
  <si>
    <t>dslnamez</t>
  </si>
  <si>
    <t>Краснодар</t>
  </si>
  <si>
    <t>alexanderdsl@mail.ru</t>
  </si>
  <si>
    <t>https://api.typeform.com/responses/files/df3b346aeaadaec162ee225af317a701fba5bef9fb928391eecc967d757b1864/Паспорт_1.jpg</t>
  </si>
  <si>
    <t>https://api.typeform.com/responses/files/1ce21189f783822db2d446dc7660f6d12b1ecc4ef0ad4d148358a2179fda1612/IMAG2742.jpg</t>
  </si>
  <si>
    <t>gRRRiz</t>
  </si>
  <si>
    <t>Тельнов</t>
  </si>
  <si>
    <t>grrriz.reg@gmail.com</t>
  </si>
  <si>
    <t>gRRRiz#3910</t>
  </si>
  <si>
    <t>+79533773480</t>
  </si>
  <si>
    <t>Саранск, ул. Гожувская, д. 37, кв. 3</t>
  </si>
  <si>
    <t>grrriz.sk@gmail.com</t>
  </si>
  <si>
    <t>IncrementX</t>
  </si>
  <si>
    <t>Игорь</t>
  </si>
  <si>
    <t>Заруба</t>
  </si>
  <si>
    <t>igrzrbinv@gmail.com</t>
  </si>
  <si>
    <t>IgorZ#8705</t>
  </si>
  <si>
    <t>live:.cid.6f6eaf219ddafbd9</t>
  </si>
  <si>
    <t>+79996931611</t>
  </si>
  <si>
    <t>Ростовская область, город Таганрог, улица Ломакина 104, кв. 8.</t>
  </si>
  <si>
    <t>igrzrb16@yandex.ru</t>
  </si>
  <si>
    <t>https://drive.google.com/open?id=1Q5MmEsXnu6POK-qtTyHxn1Dn4vQgDZu0, https://drive.google.com/open?id=1ES8dlZk-Sw__S8xfoF42EQthcdbD5trU</t>
  </si>
  <si>
    <t>https://drive.google.com/open?id=1XoUwQCjvL_yVWjyHlj382Yq-RrYetDjN</t>
  </si>
  <si>
    <t>https://www.gipsyteam.ru/profile/incrementx</t>
  </si>
  <si>
    <t>Immelstoran</t>
  </si>
  <si>
    <t>Воробьев</t>
  </si>
  <si>
    <t>Immelstoran@gmail.com</t>
  </si>
  <si>
    <t>Immelstoran#9868</t>
  </si>
  <si>
    <t>tadaerd</t>
  </si>
  <si>
    <t>+995591054312</t>
  </si>
  <si>
    <t>https://drive.google.com/open?id=1DHuyAv1plZ8IDNNpn3PCP3-XJVUCYkAO</t>
  </si>
  <si>
    <t>https://drive.google.com/open?id=1WO3xCFVzV1Espw0HW9-u0v6U474ckoJR</t>
  </si>
  <si>
    <t>https://www.gipsyteam.ru/profile/tadaer</t>
  </si>
  <si>
    <t>Kiss4money99</t>
  </si>
  <si>
    <t>Kostromins</t>
  </si>
  <si>
    <t>ahgpuk1987@gmail.com</t>
  </si>
  <si>
    <t>Kiss4Money99(Андрей)</t>
  </si>
  <si>
    <t>kostromins</t>
  </si>
  <si>
    <t>+37126036965</t>
  </si>
  <si>
    <t>Finiera 7-44</t>
  </si>
  <si>
    <t>kostromins@inbox.lv</t>
  </si>
  <si>
    <t>https://api.typeform.com/responses/files/f459d58778f603b3dc995d3006b1833d5064cfc2b87385633256b122a7feac12/IMG_20210221_144205.jpg</t>
  </si>
  <si>
    <t>https://api.typeform.com/responses/files/0c8ea11ab5387b485f3838884f64977feb4427d777ad3cca6c065344e6beb368/IMG_20210221_144602.jpg</t>
  </si>
  <si>
    <t>Иващенко</t>
  </si>
  <si>
    <t>dp110792iav@gmail.com</t>
  </si>
  <si>
    <t>dp110792iav</t>
  </si>
  <si>
    <t>+380939596890</t>
  </si>
  <si>
    <t>Днепр, улица Большая Диёвская 4-2, квартира 189</t>
  </si>
  <si>
    <t>a9596890@gmail.com</t>
  </si>
  <si>
    <t>Виктор</t>
  </si>
  <si>
    <t>Вишняков</t>
  </si>
  <si>
    <t>kucoh4uk1@gmail.com</t>
  </si>
  <si>
    <t>KuCoH(Витя)</t>
  </si>
  <si>
    <t>kucoh4uk1</t>
  </si>
  <si>
    <t>г. Речица, ул.Розы Люксембург, д 14, кв 1</t>
  </si>
  <si>
    <t>https://api.typeform.com/responses/files/43b4accfc593ef7e7c1da6b141ca9017f50aa8fabb47008d269eb1c7e52faf4f/20200203_214758.jpg</t>
  </si>
  <si>
    <t>https://api.typeform.com/responses/files/facdd1d0c9546e715c01e578c1698629d146ad165ac4f4a1ff11510d695176af/20200203_215026.jpg</t>
  </si>
  <si>
    <t>prodoman</t>
  </si>
  <si>
    <t>Леонид</t>
  </si>
  <si>
    <t>komlevleonid@gmail.com</t>
  </si>
  <si>
    <t>komlevleonid</t>
  </si>
  <si>
    <t>+79021967698</t>
  </si>
  <si>
    <t>Северодвинск, Первомайская, 65, 11</t>
  </si>
  <si>
    <t>Наумович</t>
  </si>
  <si>
    <t>alex.naumovich@gmail.com</t>
  </si>
  <si>
    <t>alex.naumovich</t>
  </si>
  <si>
    <t>+375292004652</t>
  </si>
  <si>
    <t>Минск, ул Гурского 37/66</t>
  </si>
  <si>
    <t>Маковский</t>
  </si>
  <si>
    <t>suohmikotoredking7@gmail.com</t>
  </si>
  <si>
    <t>Voodoospirit11</t>
  </si>
  <si>
    <t>+79236799042</t>
  </si>
  <si>
    <t>Омск 2-я Солнечная 28а -34</t>
  </si>
  <si>
    <t>suohmikotoredking@mail.ru</t>
  </si>
  <si>
    <t>Mandr1990</t>
  </si>
  <si>
    <t>Михаил</t>
  </si>
  <si>
    <t>Андрюнин</t>
  </si>
  <si>
    <t>mandryunin@gmail.com</t>
  </si>
  <si>
    <t>mandrnn</t>
  </si>
  <si>
    <t>Нижний Новгород, Московское шоссе дом 31а кв 19</t>
  </si>
  <si>
    <t>Воронцов</t>
  </si>
  <si>
    <t>madzor34@gmail.com</t>
  </si>
  <si>
    <t>madzor34</t>
  </si>
  <si>
    <t>+12015698746</t>
  </si>
  <si>
    <t>Минск, Рокоссовского, 74 , 21</t>
  </si>
  <si>
    <t>work.iiittt@gmail.com</t>
  </si>
  <si>
    <t>Притуленко</t>
  </si>
  <si>
    <t>OneTaper2000@gmail.com</t>
  </si>
  <si>
    <t>meDveDka#2991</t>
  </si>
  <si>
    <t>live:ndbcnth12345</t>
  </si>
  <si>
    <t>+79990880158</t>
  </si>
  <si>
    <t>г. Хабаровск , ул. Рабочий городок 4</t>
  </si>
  <si>
    <t>kykyc1k@yandex.ru</t>
  </si>
  <si>
    <t>Тохтамышев</t>
  </si>
  <si>
    <t>igortohtamysev@gmail.com</t>
  </si>
  <si>
    <t>Niboos</t>
  </si>
  <si>
    <t>live:.cid.61c925c32ecf81b4</t>
  </si>
  <si>
    <t>+380502559399</t>
  </si>
  <si>
    <t>Одесса Болгарская 87 215</t>
  </si>
  <si>
    <t>Саблин</t>
  </si>
  <si>
    <t>Sablinanton92@gmail.com</t>
  </si>
  <si>
    <t>live:sablin-anton1</t>
  </si>
  <si>
    <t>+375292444220</t>
  </si>
  <si>
    <t>Минск, ул. Белорусская, 15, кв.40</t>
  </si>
  <si>
    <t>nicky22303</t>
  </si>
  <si>
    <t>NIKOLAY ARISTOV</t>
  </si>
  <si>
    <t>nickyaristov@gmail.com</t>
  </si>
  <si>
    <t>Nikolay Phoenix</t>
  </si>
  <si>
    <t>live:phoenixspinz</t>
  </si>
  <si>
    <t>+66990268463</t>
  </si>
  <si>
    <t>133/19 m.4 rawai district Muang Phuket Phuket Post code 83130 (Villa.306)</t>
  </si>
  <si>
    <t>Orthodoxxxx</t>
  </si>
  <si>
    <t>Скляров</t>
  </si>
  <si>
    <t>17.10.1993</t>
  </si>
  <si>
    <t>Vsklyarov93@gmail.com</t>
  </si>
  <si>
    <t>orthodoxxxx#8305</t>
  </si>
  <si>
    <t>bjoerndalen88</t>
  </si>
  <si>
    <t>+7-968-053-79-76</t>
  </si>
  <si>
    <t>г. Москва ул. Ивана Бабушкина д.15 к.1-2 кв.36</t>
  </si>
  <si>
    <t>vovanforps@gmail.com</t>
  </si>
  <si>
    <t>sunny@hyperschool.ru</t>
  </si>
  <si>
    <t>https://drive.google.com/open?id=1WbJDtZWqZPTzZJBwPziT8ENeC3i1Psiy, https://drive.google.com/open?id=17sN96zHjiRT2VzEpVR3aFRvcrTJtJjGW</t>
  </si>
  <si>
    <t>https://drive.google.com/open?id=1yPsN0YQDpINu8mIt0kmzVpelIBGqx2sL</t>
  </si>
  <si>
    <t>https://www.gipsyteam.ru/profile/orthodoxxxx93</t>
  </si>
  <si>
    <t>https://vk.com/vsklyarov93</t>
  </si>
  <si>
    <t>Чернышев</t>
  </si>
  <si>
    <t>vladimir.chernishevx@gmail.com</t>
  </si>
  <si>
    <t>live:ed402681f89f9151</t>
  </si>
  <si>
    <t>+79016997668</t>
  </si>
  <si>
    <t>Иваново, Свободы, 21, 180</t>
  </si>
  <si>
    <t>vladimir.chernishevx@mail.ru</t>
  </si>
  <si>
    <t>https://api.typeform.com/responses/files/658004086033b7b70adf715964698309d50bf8a2423efc7e29501110ba038719/4sLizNN962Y.jpg</t>
  </si>
  <si>
    <t>https://api.typeform.com/responses/files/303ea2d40a982adb52112b76983e420512a91ad9d8fab2418b0d3c1babffb056/_Vtoa0EKWcw.jpg</t>
  </si>
  <si>
    <t>Покляцкий</t>
  </si>
  <si>
    <t>a.pokliatskiy@gmail.com</t>
  </si>
  <si>
    <t>live:a.pokliatskiy</t>
  </si>
  <si>
    <t>+380997310344</t>
  </si>
  <si>
    <t>Винница проулок Учительский 14/7</t>
  </si>
  <si>
    <t>poklipoker@gmail.com</t>
  </si>
  <si>
    <t>Артем</t>
  </si>
  <si>
    <t>Батюшков</t>
  </si>
  <si>
    <t>batushkovAV@gmail.com</t>
  </si>
  <si>
    <t>Rushy</t>
  </si>
  <si>
    <t>curtis_kalbasa</t>
  </si>
  <si>
    <t>+375295197488</t>
  </si>
  <si>
    <t>Витебск, улица Герцена, дом 24, корпус 2, квартира 15</t>
  </si>
  <si>
    <t>Sergei</t>
  </si>
  <si>
    <t>Baranov</t>
  </si>
  <si>
    <t>gosustorm77@gmail.com</t>
  </si>
  <si>
    <t>S1lense(Сергей)#5885</t>
  </si>
  <si>
    <t>damagerx1</t>
  </si>
  <si>
    <t>+79635406027</t>
  </si>
  <si>
    <t>Cherngtalay, Soi Hat Surin 6, 6th avenue condo, room 610 131/105 / Phuket / Thalang - 83110</t>
  </si>
  <si>
    <t>Стешенко</t>
  </si>
  <si>
    <t>d.steshenko91@gmail.com</t>
  </si>
  <si>
    <t>sdeba11</t>
  </si>
  <si>
    <t>+996553032072</t>
  </si>
  <si>
    <t>Киргизия</t>
  </si>
  <si>
    <t>Бишкек 8мкр д.29 кв. 114</t>
  </si>
  <si>
    <t>Цымбалист</t>
  </si>
  <si>
    <t>playandlost@gmail.com</t>
  </si>
  <si>
    <t>Splendid</t>
  </si>
  <si>
    <t>https://join.skype.com/invite/MZ4qnlhwSPJF</t>
  </si>
  <si>
    <t>+79019823713</t>
  </si>
  <si>
    <t>Минск, Веры хоружей, 14-260</t>
  </si>
  <si>
    <t>rogov2003@mail.ru</t>
  </si>
  <si>
    <t>supreme325i</t>
  </si>
  <si>
    <t>Танцерев</t>
  </si>
  <si>
    <t>genos.stotch@gmail.com</t>
  </si>
  <si>
    <t>supreme</t>
  </si>
  <si>
    <t>+79256509852</t>
  </si>
  <si>
    <t>ещё не релоцировался</t>
  </si>
  <si>
    <t>Жульнов</t>
  </si>
  <si>
    <t>tarez2742@gmail.com</t>
  </si>
  <si>
    <t>TAREZ</t>
  </si>
  <si>
    <t>live:tarez2742</t>
  </si>
  <si>
    <t>+79992293976</t>
  </si>
  <si>
    <t>Индонезия</t>
  </si>
  <si>
    <t>Bali, Jl. Bidadari No.110C Seminyak Kuta, Kerobokan Kelod, Kec. Kuta Utara, Kabupaten Badung</t>
  </si>
  <si>
    <t>tarezwm@yandex.ru</t>
  </si>
  <si>
    <t>thepzdc</t>
  </si>
  <si>
    <t>Генрих</t>
  </si>
  <si>
    <t>Франк</t>
  </si>
  <si>
    <t>thepzdc009@gmail.com</t>
  </si>
  <si>
    <t>live:.cid.5d505100c241d807</t>
  </si>
  <si>
    <t>+79994504440</t>
  </si>
  <si>
    <t>Москва, Сосновая 2к4 кв 47</t>
  </si>
  <si>
    <t>myuazhpae@mail.ru</t>
  </si>
  <si>
    <t>Тетюшев</t>
  </si>
  <si>
    <t>alelelelex@gmail.com</t>
  </si>
  <si>
    <t>Unknown</t>
  </si>
  <si>
    <t>alex.evg</t>
  </si>
  <si>
    <t>+79195701111</t>
  </si>
  <si>
    <t>Курган, ул. Отдыха 44, 15</t>
  </si>
  <si>
    <t>Левченко</t>
  </si>
  <si>
    <t>88vavo@gmail.com</t>
  </si>
  <si>
    <t>vavo88</t>
  </si>
  <si>
    <t>vavo_88</t>
  </si>
  <si>
    <t>+380987760557</t>
  </si>
  <si>
    <t>Кривой Рог, Героев АТО 61\35</t>
  </si>
  <si>
    <t>Сэвидж</t>
  </si>
  <si>
    <t>crippledmind27@gmail.com</t>
  </si>
  <si>
    <t>Vegavas</t>
  </si>
  <si>
    <t>vic_from_brum</t>
  </si>
  <si>
    <t>+375291933747</t>
  </si>
  <si>
    <t>Латвия</t>
  </si>
  <si>
    <t>Могилёв, Краснозвёздная 42а, кв. 45</t>
  </si>
  <si>
    <t>victorsavage1981@msn.com</t>
  </si>
  <si>
    <t>Волков</t>
  </si>
  <si>
    <t>mirex2@gmail.com</t>
  </si>
  <si>
    <t>my-rex</t>
  </si>
  <si>
    <t>Таганрог, Мало-Набережная, 18</t>
  </si>
  <si>
    <t>https://api.typeform.com/responses/files/2ed04f14ffc41a69d4768b03ef338c861a475991c73331410e29905b9521ac89/IMG_7753.JPG</t>
  </si>
  <si>
    <t>https://api.typeform.com/responses/files/801bf84281d2152ed688fe0fee501e1203507cde05b937a6f57ca60d9856b864/IMG_7754.JPG</t>
  </si>
  <si>
    <t>Орлов</t>
  </si>
  <si>
    <t>parasolka9111@gmail.com</t>
  </si>
  <si>
    <t>zen1tp1ter#5713</t>
  </si>
  <si>
    <t>starspidoras</t>
  </si>
  <si>
    <t>+79214236947</t>
  </si>
  <si>
    <t>Санкт-Петербург, Богатырский пр. д.26 корп. 1 кв. 274</t>
  </si>
  <si>
    <t>zen1tp1ter09@rambler.ru</t>
  </si>
  <si>
    <t>Freedoom</t>
  </si>
  <si>
    <t>Ольховский</t>
  </si>
  <si>
    <t>Freedoom11111988@gmail.com</t>
  </si>
  <si>
    <t>Дмитрий Ch
#6650</t>
  </si>
  <si>
    <t>homink35</t>
  </si>
  <si>
    <t>+380972081889</t>
  </si>
  <si>
    <t>Кривой Рог, Подсепная 15</t>
  </si>
  <si>
    <t>Freedoom181988@gmail.com</t>
  </si>
  <si>
    <t>Freedoom18@yandex.ru</t>
  </si>
  <si>
    <t>Freedoom1988@yandex.ru</t>
  </si>
  <si>
    <t>Роман</t>
  </si>
  <si>
    <t>Дей</t>
  </si>
  <si>
    <t>xa4ufena@gmail.com</t>
  </si>
  <si>
    <t>Роман vezuxa#0926</t>
  </si>
  <si>
    <t>vezuxa2</t>
  </si>
  <si>
    <t>+380971669296</t>
  </si>
  <si>
    <t>Кривой Рог, Кировоградская 101</t>
  </si>
  <si>
    <t>xa4ufena@yahoo.com</t>
  </si>
  <si>
    <t>Deal Type</t>
  </si>
  <si>
    <t>Start Of Coaching Deal</t>
  </si>
  <si>
    <t>Coaching Contract</t>
  </si>
  <si>
    <t>Start Of Staking Deal</t>
  </si>
  <si>
    <t>Staking Deal Type</t>
  </si>
  <si>
    <t>Staking Contract</t>
  </si>
  <si>
    <t>Key For Recordings</t>
  </si>
  <si>
    <t>Комментарий к сделке</t>
  </si>
  <si>
    <t>Ends when</t>
  </si>
  <si>
    <t>DoEV</t>
  </si>
  <si>
    <t>https://docs.google.com/document/d/1C2j2cvIdQE4b6GJmGraXLZ3LZVbGvmndCgY3e9wEU3I/edit</t>
  </si>
  <si>
    <t>None</t>
  </si>
  <si>
    <t>VR-56EGSV-8HUD7N-9FYKND-CUFDZ4</t>
  </si>
  <si>
    <t>50000 games</t>
  </si>
  <si>
    <t>https://docs.google.com/document/d/1aeVpexZsHf8SZJvV_tFgpnj4YXhkRfoeOlQmuQvB2WI/edit#heading=h.25ed5ykm7zul</t>
  </si>
  <si>
    <t>TZ-6NQX8X-L4AJCM-ZTZVM6-QC32DQ</t>
  </si>
  <si>
    <t>Пропал с конца 2022</t>
  </si>
  <si>
    <t>35000 games</t>
  </si>
  <si>
    <t>DoEV46</t>
  </si>
  <si>
    <t>https://docs.google.com/document/d/1svZojIAVF_F1XM3K-hxm8egIv37QTY8rLamf2cwKiIQ/edit</t>
  </si>
  <si>
    <t>1) P3-SHHYGC-SGSAUE-V2BQLE-MVFRYL 2) C3-QBP8Y2-GSDY7M-LJTMT4-EEAB7W</t>
  </si>
  <si>
    <t>Ушел на войну.  в новой сделке с Окт 2020: первые 46$ профита фикс 15%; далее 10-12.5-15% в зависимости от АБИ до 39/40-99/100+</t>
  </si>
  <si>
    <t>$70000 profit</t>
  </si>
  <si>
    <t>DoEV2017</t>
  </si>
  <si>
    <t>https://docs.google.com/document/d/1HahcUN8qtPPzSsiT4uXlV36eXu50uoblP339ItVFDLQ/edit#</t>
  </si>
  <si>
    <t>7B-HDEN82-4A5TKW-Q7W29D-NPNCLP</t>
  </si>
  <si>
    <t xml:space="preserve">Контракт может быть закончен в конце календарного месяца для игроков вне пула; в конце месяца в пуле, если игрок состоит в одном из EV пулов (Стальной Феникс, HyperPool и другие).
</t>
  </si>
  <si>
    <t>Нет длины?</t>
  </si>
  <si>
    <t>Fix15</t>
  </si>
  <si>
    <t>20% фикс бэкинг + обучение</t>
  </si>
  <si>
    <t>Fix5</t>
  </si>
  <si>
    <t>RP-US6XAW-UMFKAV-DAA5YT-QEJS95</t>
  </si>
  <si>
    <t>Fix</t>
  </si>
  <si>
    <t>Платит 1800 авансом за 6 месяцев вперед. Последняя оплата истекает 13 Марта 2023. Оплатил месяц +600</t>
  </si>
  <si>
    <t>FQ-G4PPTA-P3EVQC-L8M6W7-A8HCYN</t>
  </si>
  <si>
    <t>6 months</t>
  </si>
  <si>
    <t>DoEVba</t>
  </si>
  <si>
    <t>https://docs.google.com/document/d/11CfoQLvDiMCwdKc2a3TpzaKWdWSqGU8J736aimrsu6Q/edit#</t>
  </si>
  <si>
    <t>PY-39QQRL-W37HRY-LK7J36-BZJQSQ</t>
  </si>
  <si>
    <t>40000 games</t>
  </si>
  <si>
    <t>SF</t>
  </si>
  <si>
    <t>https://docs.google.com/document/d/115CA019kE8h6oFKK75Tg6G_EZAOXBs-n/edit?usp=sharing&amp;ouid=109714701348271020736&amp;rtpof=true&amp;sd=true</t>
  </si>
  <si>
    <t>H5-2C9BJJ-KYMET4-6RWR4G-PA8BV9</t>
  </si>
  <si>
    <t>profit complex formula</t>
  </si>
  <si>
    <t>Fix12</t>
  </si>
  <si>
    <t>25% фикс бэкинг + обучение, с марта 2023- 12% обучение, с бекинга ушел</t>
  </si>
  <si>
    <t>B5-5CEH3W-PJYHEG-QMCHBS-5FKB3P</t>
  </si>
  <si>
    <t>https://docs.google.com/document/d/18XC4-h_e5TFUX5iSrk6lgvzsRHMoXc-w8d1kWjjVaOY/edit</t>
  </si>
  <si>
    <t>C4-RZHV38-WUDRCW-2YXE8J-ATK2GS</t>
  </si>
  <si>
    <t>https://docs.google.com/document/d/1AU9wJt8RBc4mwF0WQluBbVSuRO7lKHut1QyxLMT6jcA/edit#heading=h.25ed5ykm7zul</t>
  </si>
  <si>
    <t>59-ZFFM4Q-8SSGQR-HWAHGP-J2QFK7</t>
  </si>
  <si>
    <t>https://docs.google.com/document/d/1iFZ4XUTizX4joco29-OVJlBNAZ4Jbdol6cDZaR7RF8A/edit#heading=h.25ed5ykm7zul</t>
  </si>
  <si>
    <t>4Z-3C5N8S-ZLNFXZ-JNTCZN-ZKBVVV</t>
  </si>
  <si>
    <t>https://docs.google.com/document/d/13Lu5Zyjf5hcI7ZHd_dPzzz74Hooc9QGDnPaQuB1f62Y/edit#heading=h.25ed5ykm7zul</t>
  </si>
  <si>
    <t>BS-CNFDCJ-W85BCW-FUXEM3-PXHYSP</t>
  </si>
  <si>
    <t>https://docs.google.com/document/d/13sF5i-a9FaA0dD4NPSnaszOjDbj5GGXN5AnqXuom6Jc/edit</t>
  </si>
  <si>
    <t>P9-YYR95C-GZX975-HFM5SE-HS3LFR</t>
  </si>
  <si>
    <t>https://docs.google.com/document/d/1BW30bCRoLu_LS2mTloDwMHSZ4nTvPxxxVFHo5leTEWM/edit#heading=h.25ed5ykm7zul</t>
  </si>
  <si>
    <t>CX-JAN52D-Y6VGML-TRKCKF-FS357X</t>
  </si>
  <si>
    <t>Fix19</t>
  </si>
  <si>
    <t>https://docs.google.com/document/d/1ghLT7_3y8Sxu4W4cB2Du6iv9MhEP_G3oM-1-XIH_aHY/edit#</t>
  </si>
  <si>
    <t>Z4-VTMR4J-EMPAAQ-FQMYXH-Y8NVN2</t>
  </si>
  <si>
    <t>Откат с топ джек пота фиксировано равен 10%, с топ-2 множителя 15%</t>
  </si>
  <si>
    <t>https://docs.google.com/document/d/1P-pTlKvazDBlPUh1KIJ9NKLxdZa8bpzn/edit#bookmark=id.1fob9te</t>
  </si>
  <si>
    <t>WX-TET8E3-UEFLL4-3AUDC2-ZG5ZEB</t>
  </si>
  <si>
    <t>https://docs.google.com/document/d/1iXFlRel46W9KqYZ-sYMrBSPUTO1jKVvDBCgFWYzAH_s/edit#</t>
  </si>
  <si>
    <t>NX-8EB5BE-HT2JCW-72D23A-8LSSKC</t>
  </si>
  <si>
    <t>https://docs.google.com/document/d/14tmRkW0WjYUfesPPerv3kt3eizhuTz1eyuSwsMysTHg/edit?usp=sharing</t>
  </si>
  <si>
    <t>L5-5TN5C3-JXPQ8Y-D6SYX8-HSM9LZ</t>
  </si>
  <si>
    <t>https://docs.google.com/document/d/1CAEj8YnzQ5m_PeFBrrtPIoipZzkFggUsOCzjOl6skZ8/edit</t>
  </si>
  <si>
    <t>RP-E5CCF8-XWC387-587UBX-EU3Z83</t>
  </si>
  <si>
    <t>https://docs.google.com/document/d/1U5PHWA832EdhU2Y-ui1x4gAGcRQTo7uj/edit</t>
  </si>
  <si>
    <t>F5-WF6CQ3-37RTJ3-TCMGYB-AJUGSR</t>
  </si>
  <si>
    <t>Fix11.25</t>
  </si>
  <si>
    <t>https://docs.google.com/document/d/16M22gb4upZMrgGfqsVBbzRE6qbtKkj3xCaMauLLnMyo/edit#heading=h.25ed5ykm7zul</t>
  </si>
  <si>
    <t>Fix3.75</t>
  </si>
  <si>
    <t>7X-WZK4T9-LENWK3-7Z2U2K-HZHKVP</t>
  </si>
  <si>
    <t>85000 games</t>
  </si>
  <si>
    <t>https://docs.google.com/document/d/1sPzatE_R9jfAQ91birjuxg-NS2nXqkZZm1kjyi-cbuY/edit</t>
  </si>
  <si>
    <t>PQ-K2NYEB-6QPKLN-EXJ2J4-267SBP</t>
  </si>
  <si>
    <t>$200000 profit</t>
  </si>
  <si>
    <t>15% фикс за обучение, платит пока не будет тотал 37500 за обучение</t>
  </si>
  <si>
    <t>QX-D7GP62-KB34F6-H3G6GL-V298DW</t>
  </si>
  <si>
    <t>$250000 profit</t>
  </si>
  <si>
    <t>DoEVold</t>
  </si>
  <si>
    <t>https://docs.google.com/document/d/1him85b-xInISxgRXBNwPUWSZJ2BXMAfItIzwZAyfp-U/edit#</t>
  </si>
  <si>
    <t>Q9-ZF4DL7-Q325CQ-TT48JX-JFDR4S</t>
  </si>
  <si>
    <t>https://docs.google.com/document/d/1NF25SaXR2IiytLOk7Q2Zgyui56SrcNzXl_dzZ2Ww5wM/edit#heading=h.25ed5ykm7zul</t>
  </si>
  <si>
    <t>D6-Z6TBKU-RJAPE7-BUSUVK-B7EWF4</t>
  </si>
  <si>
    <t>30000 games</t>
  </si>
  <si>
    <t>https://docs.google.com/document/d/1MuPxIffyNa1xuQ8Q78uGvCKZmSYqhmdy/edit</t>
  </si>
  <si>
    <t>TJ-EA6EX7-GNKLEN-BE79J7-88LSYJ</t>
  </si>
  <si>
    <t>Есть не закрытый долг по прошлым откатам, сейчас старается платить все текущие и понемногу закрывать старые</t>
  </si>
  <si>
    <t>https://docs.google.com/document/d/1U-d450q_ceHkCLH32wmvaAPq50-KJFq3NUJmrCjymiQ/edit#</t>
  </si>
  <si>
    <t>KN-E332QT-V9CCV8-K9LP56-H8CXTK</t>
  </si>
  <si>
    <t>DoEVku</t>
  </si>
  <si>
    <t>https://docs.google.com/document/d/1iEG6qHqKPgWcrEbCj49ESWq0O_nxx1L5i8KPEAyBlbc/edit#heading=h.l069679f231p</t>
  </si>
  <si>
    <t>Fix10</t>
  </si>
  <si>
    <t>10% фикс сверху обучения за бэкинг</t>
  </si>
  <si>
    <t>E3-VMYWFN-DQQTCQ-EL8QR6-ZKPAXD</t>
  </si>
  <si>
    <t>33000 games</t>
  </si>
  <si>
    <t>DoEVLo</t>
  </si>
  <si>
    <t>https://docs.google.com/document/d/10w3Q4olfT_8stsoLAkFZFgREUkLVKMks5mD3xzvJj7g/edit#heading=h.25ed5ykm7zul</t>
  </si>
  <si>
    <t>XN-VNWT46-REH9TC-K6QEPS-G43ZJP</t>
  </si>
  <si>
    <t>https://docs.google.com/document/d/1MAclH8cw6sxO8TafElUqRL2tuWqCajT33UHGVMpaZmY/edit</t>
  </si>
  <si>
    <t>https://docs.google.com/document/d/18cRMoHPubzmwqaymhEuF08ywTdxOwz2ZSrJ4HBx95uQ/edit#</t>
  </si>
  <si>
    <t>25-6GEBGP-FYVP9S-G335B8-VZJL7F</t>
  </si>
  <si>
    <t>Fix9</t>
  </si>
  <si>
    <t>12% фикс бэкинг + обучение</t>
  </si>
  <si>
    <t>Fix3</t>
  </si>
  <si>
    <t>9F-LZRU5Q-RAFVGX-3N5DBU-EJZCN4</t>
  </si>
  <si>
    <t>https://docs.google.com/document/d/1Qc8BSj5yB6uKoMXtuvjTTTD16N92mKtKlMlysxsPUns/edit#heading=h.j7kaqer2dh5p</t>
  </si>
  <si>
    <t>T9-CZYD7L-87W23X-92DK3A-5S5JNK</t>
  </si>
  <si>
    <t>https://docs.google.com/document/d/1bXZWnSTgaOKE-ydDwffpYO7FVRtA5f6J/edit#</t>
  </si>
  <si>
    <t>TQ-S3BL5Y-XKTK94-SM8X74-84BD6N</t>
  </si>
  <si>
    <t>DoEVold15</t>
  </si>
  <si>
    <t>https://docs.google.com/document/d/1l7Lbnkj5X1GWkYI5Lrgi5bZDroMrMl65hFlv57avLMQ/edit#heading=h.eb6fjlvy605</t>
  </si>
  <si>
    <t>KE-9L74FT-9P5RHE-46UFRE-FGMPLJ</t>
  </si>
  <si>
    <t>DoEVni</t>
  </si>
  <si>
    <t>https://docs.google.com/document/d/1i0nZ1z4SITsADhvYCLLr1N7Hf8kmpGndQRL02kNkMEQ/edit?usp=sharing</t>
  </si>
  <si>
    <t>6T-YMUX48-WKTFQK-DLGFJW-Y63GFF</t>
  </si>
  <si>
    <t>https://docs.google.com/document/d/1h_VAB_GPKEdrk4c0-BLidPA1lfm-6pMWMywuPXSRQYA/edit#</t>
  </si>
  <si>
    <t>KM-VX5Y76-VPM28T-PZC8W4-BUEV4N</t>
  </si>
  <si>
    <t>https://docs.google.com/document/d/17S40WWT29RPQ5AiRnet-KCtPnPaC4Nus/edit#</t>
  </si>
  <si>
    <t>F4-PXSV9Q-23FSPB-J3XXFZ-EZWQSP</t>
  </si>
  <si>
    <t>https://docs.google.com/document/d/1-Vk5ISnaB3SyhICpPkYA2J0-sqBb7FNy1v4-EZPdG6w/edit</t>
  </si>
  <si>
    <t>Q6-2KV6DB-ZQZK8A-4NSWYT-F4HMGY</t>
  </si>
  <si>
    <t>https://docs.google.com/document/d/1OQthQ5hjmewItE27NGG6QEVKo1oKodkd2gVjo8_1hvY/edit#heading=h.25ed5ykm7zul</t>
  </si>
  <si>
    <t>W3-7BLN6E-3XC6Q7-4MYLG5-9HLJAE</t>
  </si>
  <si>
    <t>https://docs.google.com/document/d/1j3e37YeQGL8ZzwQ8caZXRAJZoV9fM94b5DT-Xo4r9Y0/edit#heading=h.25ed5ykm7zul</t>
  </si>
  <si>
    <t>GE-TBPVU8-S6J8XM-3SYY33-KKE83W</t>
  </si>
  <si>
    <t>DoEVs1</t>
  </si>
  <si>
    <t>https://docs.google.com/document/d/1EAUvM7EvgCirxs1Jt7yMS60QM5KrUJvjO9xQ4DCiFKM/edit?usp=sharing</t>
  </si>
  <si>
    <t>5D-SSC59P-HVVCYA-LKM2RZ-X3PNT7</t>
  </si>
  <si>
    <t>https://docs.google.com/document/d/1V2kym5QSWQ3vpDWnV-3Qv4EfUmXxUInY7cgEKgJCc6c/edit</t>
  </si>
  <si>
    <t>HF-4KHCMN-ULFV9B-N3ZDYB-GVLA22</t>
  </si>
  <si>
    <t>https://docs.google.com/document/d/1dZetT-lef4J72j_opJVMMT5f5Ezfs0d23X9-9ElFWfg/edit#</t>
  </si>
  <si>
    <t>NQ-KN5ZRX-59Y8S5-JRYJGN-8GRJ8H</t>
  </si>
  <si>
    <t>DoEVsu</t>
  </si>
  <si>
    <t>https://docs.google.com/document/d/1RB0Czl7BJRo3EiVBOcCqsP5k6E1RSA7iEYNZ0GYzQTk/edit</t>
  </si>
  <si>
    <t>64-LY2K85-KTG5T5-XYQ5CD-K2X6PD</t>
  </si>
  <si>
    <t>https://docs.google.com/document/d/1zmNgo_Oe9UrOsh4MKWbvJwLv1VKdlXovlGPiyohfMpw/edit</t>
  </si>
  <si>
    <t>DK-CS3LP6-H9PJCP-Y24ER9-2CGA93</t>
  </si>
  <si>
    <t>https://docs.google.com/document/d/1WLhkmHRa8z9YmCF9wbHgJyveYHYjcEp4BkwAtrT6Sic/edit?usp=sharing</t>
  </si>
  <si>
    <t>https://docs.google.com/document/d/1lkRpS8T1vAA8woQWzR-8KFDjAFW4AiSOsNOW0OyoIoQ/edit#</t>
  </si>
  <si>
    <t>U6-MHBQU7-3FU24Q-AJMKME-ZWY9RS</t>
  </si>
  <si>
    <t>10% backing do 50, выше - отдельно</t>
  </si>
  <si>
    <t>https://docs.google.com/document/d/1Z9L87zlGM39kbzfXkPKSKsS2M6bKKPvees7T9L8B9N8/edit?usp=sharing</t>
  </si>
  <si>
    <t>LP-RELTSD-2ZVZCG-5Q34SR-CFH4WV</t>
  </si>
  <si>
    <t>https://docs.google.com/document/d/10ebrmvYOkWsmxN7wBujOu8RhvoyhvekNwJQPN4xXk1Q/edit#heading=h.25ed5ykm7zul</t>
  </si>
  <si>
    <t>4C-B79Q7Y-RZJBWM-HUBENK-NLLCFZ</t>
  </si>
  <si>
    <t>https://docs.google.com/document/d/1bDWdEpDPV1TN6awGgeYkrUO9n1OVl9ZfLOHzr42BsBU/edit#heading=h.25ed5ykm7zul</t>
  </si>
  <si>
    <t>RB-HCJ44H-KDGG2U-2SEQ95-6F47J8</t>
  </si>
  <si>
    <t>10% фикс обучение</t>
  </si>
  <si>
    <t>8N-2T29FN-5QC6BQ-NBYLMU-VTAKGY</t>
  </si>
  <si>
    <t>https://docs.google.com/document/d/1c2Djqls_HKszTJK1IzGd81AF6iLY5GwToCBpUV0ZTrE/edit?usp=share_link</t>
  </si>
  <si>
    <t>EZ-RBXDN3-BHPRXW-XXC7P5-WMEP8B</t>
  </si>
  <si>
    <t>https://docs.google.com/document/d/1EQojdMIfnkOLebjnM1jaCtutIJEwJ0kndq8K2CRCIdU/edit?usp=share_link</t>
  </si>
  <si>
    <t>Q6-E2V32W-DHP7H4-F7U3GD-9WPH3Y</t>
  </si>
  <si>
    <t>https://docs.google.com/document/d/1xyPmDdq_f7EfVxRYkSSFJ56BHgXZURDbsgyY3ZTb_Qs/edit?usp=share_link</t>
  </si>
  <si>
    <t>RD-MLCHX9-EULW5E-KGN2TB-M4P393</t>
  </si>
  <si>
    <t>https://docs.google.com/document/d/1YBNDSLt3_GBIK231ZsiDW4ek5kSiHWSuGvZjz5RaT6s/edit</t>
  </si>
  <si>
    <t>UE-598895-PYVGP4-VD3ERZ-NPJXLY</t>
  </si>
  <si>
    <t>https://docs.google.com/document/d/1pJrnULCkk91HeUMtK9V24bs3hg9bVHlGgwvdkFfBDr8/edit</t>
  </si>
  <si>
    <t>GL-XCTZX7-P2H56F-R9H4WN-WY2TXU</t>
  </si>
  <si>
    <t>Обучение 5% на 6 месяцев</t>
  </si>
  <si>
    <t>Fix11</t>
  </si>
  <si>
    <t>Бекинг 11% на 6 месяцев. Если месяц сыгран в минус, то + 1 месяц к продолжительности контракта</t>
  </si>
  <si>
    <t>9V-DGNCW5-EGH37R-FY2BYP-SFRZU3</t>
  </si>
  <si>
    <t>Особые условия</t>
  </si>
  <si>
    <t>Staking</t>
  </si>
  <si>
    <t>1. If Spins have positive For Split then Spins = 22% cut &amp; HU = 15% cut
2. If Spins have negative For Split we use HU to cover it. If there is some extra money from HU we split it with 15% Cut
3. If both HU &amp; Spins have negative For Split, we just play both until MU covered</t>
  </si>
  <si>
    <t>iPoker</t>
  </si>
  <si>
    <t>Status PokerStars COM/EU</t>
  </si>
  <si>
    <t>Status PokerStars ES/FR</t>
  </si>
  <si>
    <t>Status Winamax</t>
  </si>
  <si>
    <t>Status PartyPoker COM/EU</t>
  </si>
  <si>
    <t>Status GGNetwork</t>
  </si>
  <si>
    <t>EV Deal PokerStars COM/EU</t>
  </si>
  <si>
    <t>EV Deal PokerStars ES/FR</t>
  </si>
  <si>
    <t>EV Deal Winamax</t>
  </si>
  <si>
    <t>EV Deal PartyPoker COM/EU</t>
  </si>
  <si>
    <t>EV Deal GGNetwork</t>
  </si>
  <si>
    <t>AlphaBeast</t>
  </si>
  <si>
    <t>ErnestoGuevara</t>
  </si>
  <si>
    <t>Active</t>
  </si>
  <si>
    <t>Not in use</t>
  </si>
  <si>
    <t>SP</t>
  </si>
  <si>
    <t>HS</t>
  </si>
  <si>
    <t>No EV deal</t>
  </si>
  <si>
    <t>SkillReload</t>
  </si>
  <si>
    <t>VietnamAirlines</t>
  </si>
  <si>
    <t>benyya333</t>
  </si>
  <si>
    <t>Morel.</t>
  </si>
  <si>
    <t>SIVYPLE</t>
  </si>
  <si>
    <t>Parasol6ka</t>
  </si>
  <si>
    <t>Asus04</t>
  </si>
  <si>
    <t>dimandmb</t>
  </si>
  <si>
    <t>cortizo1_</t>
  </si>
  <si>
    <t>cortizol</t>
  </si>
  <si>
    <t>Unstoppable94</t>
  </si>
  <si>
    <t>OtsoCity</t>
  </si>
  <si>
    <t>1sarus</t>
  </si>
  <si>
    <t>HS + no EV deal</t>
  </si>
  <si>
    <t>Zampochudesam</t>
  </si>
  <si>
    <t>HoroshoSidim</t>
  </si>
  <si>
    <t>Utka_v_tapkah</t>
  </si>
  <si>
    <t>YourMomSoGood</t>
  </si>
  <si>
    <t>gRRR1z</t>
  </si>
  <si>
    <t>kiss4money</t>
  </si>
  <si>
    <t>Kiss4money</t>
  </si>
  <si>
    <t>your friend</t>
  </si>
  <si>
    <t>7rifle</t>
  </si>
  <si>
    <t>KuCoHwx</t>
  </si>
  <si>
    <t>Systemaa</t>
  </si>
  <si>
    <t>Odesz</t>
  </si>
  <si>
    <t>Night Kin9GG</t>
  </si>
  <si>
    <t xml:space="preserve">leonidkomleves </t>
  </si>
  <si>
    <t>lakomka228</t>
  </si>
  <si>
    <t>DaryaKurt</t>
  </si>
  <si>
    <t xml:space="preserve">Kyiv ghoul </t>
  </si>
  <si>
    <t xml:space="preserve">Lada Priora </t>
  </si>
  <si>
    <t>Saim1n</t>
  </si>
  <si>
    <t>SDEBA11</t>
  </si>
  <si>
    <t>TGTBT</t>
  </si>
  <si>
    <t>drawchillah</t>
  </si>
  <si>
    <t>silhouettex</t>
  </si>
  <si>
    <t>aesaesthetics</t>
  </si>
  <si>
    <t>foryouou11222</t>
  </si>
  <si>
    <t>ToxaDemon</t>
  </si>
  <si>
    <t>728720vz</t>
  </si>
  <si>
    <t>montenegrik</t>
  </si>
  <si>
    <t>yakudza</t>
  </si>
  <si>
    <t>nemets1</t>
  </si>
  <si>
    <t>Pool EV</t>
  </si>
  <si>
    <t>EV ROI Correction</t>
  </si>
  <si>
    <t>For Split</t>
  </si>
  <si>
    <t>School Cut</t>
  </si>
  <si>
    <t>Cut Currency</t>
  </si>
  <si>
    <t>Game Currency</t>
  </si>
  <si>
    <t>$60</t>
  </si>
  <si>
    <t>$15</t>
  </si>
  <si>
    <t>$30</t>
  </si>
  <si>
    <t>$100 (old)</t>
  </si>
  <si>
    <t>$25 Promo</t>
  </si>
  <si>
    <t>$40 Promo</t>
  </si>
  <si>
    <t>$7</t>
  </si>
  <si>
    <t>$1 (old)</t>
  </si>
  <si>
    <t>$5 2M</t>
  </si>
  <si>
    <t>$15 Flash</t>
  </si>
  <si>
    <t>$7 Flash</t>
  </si>
  <si>
    <t>$30 Flash</t>
  </si>
  <si>
    <t>$100 Flash (old)</t>
  </si>
  <si>
    <t>$10 (old)</t>
  </si>
  <si>
    <t>$25 (old)</t>
  </si>
  <si>
    <t>$50 (old)</t>
  </si>
  <si>
    <t>$50 (1M) (old)</t>
  </si>
  <si>
    <t>$25 (1M) (old)</t>
  </si>
  <si>
    <t>$10 Flash (old)</t>
  </si>
  <si>
    <t>$5 (old)</t>
  </si>
  <si>
    <t>$5 (1M) (old)</t>
  </si>
  <si>
    <t>$5 Flash (old)</t>
  </si>
  <si>
    <t>$25 Flash (1M) (old)</t>
  </si>
  <si>
    <t>$50 Flash (old)</t>
  </si>
  <si>
    <t>jamitsadavai</t>
  </si>
  <si>
    <t>$25 Flash (old)</t>
  </si>
  <si>
    <t>$5 Flash (1M) (old)</t>
  </si>
  <si>
    <t>$0.25 (old)</t>
  </si>
  <si>
    <t>$2 (old)</t>
  </si>
  <si>
    <t>$500 Flash (old)</t>
  </si>
  <si>
    <t>xo4ydjekpotik</t>
  </si>
  <si>
    <t>$10 Flash (1M) (old)</t>
  </si>
  <si>
    <t>€5 (old)</t>
  </si>
  <si>
    <t>$250 (old)</t>
  </si>
  <si>
    <t>mi-rex</t>
  </si>
  <si>
    <t>$10 Flash (1M)</t>
  </si>
  <si>
    <t>$5 (1M) Ultra</t>
  </si>
  <si>
    <t>Crazy cucumbers</t>
  </si>
  <si>
    <t>pipitochipit</t>
  </si>
  <si>
    <t>€50 Nitro (old)</t>
  </si>
  <si>
    <t>4 ATMAN</t>
  </si>
  <si>
    <t>riover UA</t>
  </si>
  <si>
    <t>Fartumasti</t>
  </si>
  <si>
    <t>€50 (MP)</t>
  </si>
  <si>
    <t>€100 (MP)</t>
  </si>
  <si>
    <t>€250 (MP)</t>
  </si>
  <si>
    <t>€250 (old)</t>
  </si>
  <si>
    <t>€5 (MP)</t>
  </si>
  <si>
    <t>€250 (before 03.22)</t>
  </si>
  <si>
    <t>€500 (before 03.22)</t>
  </si>
  <si>
    <t>€500 Nitro (before 03.22)</t>
  </si>
  <si>
    <t>fartumasti</t>
  </si>
  <si>
    <t>kuCoHwx</t>
  </si>
  <si>
    <t>66.56.22</t>
  </si>
  <si>
    <t>€20 HU HT</t>
  </si>
  <si>
    <t>RUB</t>
  </si>
  <si>
    <t>€10 Nitro (bf 01.08)</t>
  </si>
  <si>
    <t>chie4taine</t>
  </si>
  <si>
    <t>iPoker IT</t>
  </si>
  <si>
    <t>RB</t>
  </si>
  <si>
    <t>PS</t>
  </si>
  <si>
    <t>PS, Winamax</t>
  </si>
  <si>
    <t>зафрижен на старзах</t>
  </si>
  <si>
    <t>не катал</t>
  </si>
  <si>
    <t>рейкбек с 13 марта по 1 апреля включительно</t>
  </si>
  <si>
    <t>в больнице, пришлет все около 3го числа</t>
  </si>
  <si>
    <t>Redstar GG</t>
  </si>
  <si>
    <t>-</t>
  </si>
  <si>
    <t>после 1 апреля</t>
  </si>
  <si>
    <t>GG+PS</t>
  </si>
  <si>
    <t>https://drive.google.com/drive/u/7/folders/1UvSorLAsaoXmH0G__4D6yRo-zTfQDCAt</t>
  </si>
  <si>
    <t>RS</t>
  </si>
  <si>
    <t>https://drive.google.com/drive/u/7/folders/1BHXjt_nLSjJmM6r2_QOhJD5pRY7g7fGC</t>
  </si>
  <si>
    <t>пнула</t>
  </si>
  <si>
    <t>https://drive.google.com/drive/folders/1bmlGVnlnGF4x2juR9haa2BOTLgWftFiS?usp=share_link</t>
  </si>
  <si>
    <t>https://drive.google.com/drive/u/7/folders/1CT92ot93R5WGSr1j2Uz3aOg8UKThleuF</t>
  </si>
  <si>
    <t>RS+WX</t>
  </si>
  <si>
    <t>https://drive.google.com/drive/u/7/folders/1Iho-aLANsOobCW6XzPdgEumhw5fYIR8i</t>
  </si>
  <si>
    <t>https://drive.google.com/drive/u/7/folders/1MoiOjLGycr5noHe4SCqvaQLYRMOS1qyd</t>
  </si>
  <si>
    <t>ChampiomPoker</t>
  </si>
  <si>
    <t>https://drive.google.com/drive/u/7/folders/17WMuwx0DBXc_TJoYYhNcx295k204BoJu</t>
  </si>
  <si>
    <t>https://drive.google.com/drive/u/7/folders/15BILPApQBIBCEh-w7RXXO-9FAucFV96r</t>
  </si>
  <si>
    <t>https://drive.google.com/drive/folders/1BwNVgSvSn9Icypi0ZvR5JiZhLF1A2N2E?usp=share_link</t>
  </si>
  <si>
    <t>Ваня в деле</t>
  </si>
  <si>
    <t>GG+RS</t>
  </si>
  <si>
    <t>https://drive.google.com/drive/u/7/folders/1L0UIUpES6itKbCop0MYcvCMdyxQbqbJ4</t>
  </si>
  <si>
    <t>https://drive.google.com/drive/u/7/folders/1DAjm4ac7HuEzSxS5JmVLPW2fFhT5Ytbi</t>
  </si>
  <si>
    <t>За март, РБ 35% + гонки, нету релоада</t>
  </si>
  <si>
    <t>fix</t>
  </si>
  <si>
    <t>не нужна дележка</t>
  </si>
  <si>
    <t>WX+PS</t>
  </si>
  <si>
    <t>https://drive.google.com/drive/u/7/folders/1aYDkj8aVfKuACZ02q8-nZheuEU_M3pgx</t>
  </si>
  <si>
    <t>https://drive.google.com/drive/u/7/folders/1I8H0zYhIbwc7wHtxTpbTOmHeZPZiN51I</t>
  </si>
  <si>
    <t>не играл ничего тк нету света, скрины не делал тк там все пусто, есть видео созвона</t>
  </si>
  <si>
    <t>не играет, возможно стоит приостановить сотрудничество пока не станет катать</t>
  </si>
  <si>
    <t>https://drive.google.com/drive/u/7/folders/1iXfYc3o6SLgPBnK2TG6nIeyO4cDMG6aL</t>
  </si>
  <si>
    <t>https://drive.google.com/drive/folders/1C5bi6IyHfwhCSB2gH3inU6gHFztn7XTo?usp=share_link</t>
  </si>
  <si>
    <t>https://drive.google.com/drive/u/7/folders/1wXA_epqDH_O77TSJiNEM4KYb-h9Nt4tn</t>
  </si>
  <si>
    <t>https://drive.google.com/drive/u/7/folders/1uyPus4IdJIaDqhqbzZCddmbj4CxLfEsR</t>
  </si>
  <si>
    <t>https://drive.google.com/drive/u/7/folders/1dWQusP9WFX840qMLZd0DRqlIhfeMs8Xc</t>
  </si>
  <si>
    <t>https://drive.google.com/drive/u/7/folders/1ANla_CU0FBj6mS68-YXk7jxwXdG-xNVa</t>
  </si>
  <si>
    <t>https://drive.google.com/drive/u/7/folders/1Wdo8mxq0d__oXPrsEgtTMKf8M8vAwHYF</t>
  </si>
  <si>
    <t>https://drive.google.com/drive/u/7/folders/1hlWMNAqmFf4EOx533f0694UTwzFd9Deh</t>
  </si>
  <si>
    <t>https://drive.google.com/drive/u/7/folders/1GFUQTeWvv_i2EDhZIAD6UeFTyGxchfNt</t>
  </si>
  <si>
    <t>https://drive.google.com/drive/u/7/folders/1FfrmzxOaPl4R3ipSWbOK86pvFkk7UGQo</t>
  </si>
  <si>
    <t>Результаты 50 из пула</t>
  </si>
  <si>
    <t>new</t>
  </si>
  <si>
    <t>https://i.imgur.com/7q0SoT9.png 20485,41</t>
  </si>
  <si>
    <t>https://drive.google.com/drive/folders/1XoGnDZrIJAuPqDIW8js6wfJ5MujQSbxM?usp=share_link</t>
  </si>
  <si>
    <t>-30 евро МТТ</t>
  </si>
  <si>
    <t>Allias</t>
  </si>
  <si>
    <t>Nickname</t>
  </si>
  <si>
    <t>Aff</t>
  </si>
  <si>
    <t>%Reload</t>
  </si>
  <si>
    <t>Rake Total</t>
  </si>
  <si>
    <t>March LB €</t>
  </si>
  <si>
    <t>$RB</t>
  </si>
  <si>
    <t>DaVaiBaBlO</t>
  </si>
  <si>
    <t>Stotro</t>
  </si>
  <si>
    <t>5% с 4/5 апреля</t>
  </si>
  <si>
    <t>Storo</t>
  </si>
  <si>
    <t>расчет по кассе</t>
  </si>
  <si>
    <t>?</t>
  </si>
  <si>
    <t>NS</t>
  </si>
  <si>
    <t>30+7%</t>
  </si>
  <si>
    <t>IrishkaElizarova</t>
  </si>
  <si>
    <t>FS</t>
  </si>
  <si>
    <t>Rake</t>
  </si>
  <si>
    <t>Stakes</t>
  </si>
  <si>
    <t>Tour</t>
  </si>
  <si>
    <t>SUM of Games</t>
  </si>
  <si>
    <t>Total $</t>
  </si>
  <si>
    <t>School's Cut</t>
  </si>
  <si>
    <t>Abcdf Total</t>
  </si>
  <si>
    <t>bbaltqq Total</t>
  </si>
  <si>
    <t>CrippledMind Total</t>
  </si>
  <si>
    <t>Ekx444 Total</t>
  </si>
  <si>
    <t>eternity1 Total</t>
  </si>
  <si>
    <t>Farodit Total</t>
  </si>
  <si>
    <t>Fedorovi4 Total</t>
  </si>
  <si>
    <t>fig6 Total</t>
  </si>
  <si>
    <t>fortunate773 Total</t>
  </si>
  <si>
    <t>fraum@rta Total</t>
  </si>
  <si>
    <t>Freedoom Total</t>
  </si>
  <si>
    <t>guilexperi Total</t>
  </si>
  <si>
    <t>Kiss4money99 Total</t>
  </si>
  <si>
    <t>KuCoH Total</t>
  </si>
  <si>
    <t>Mexanuk_AV Total</t>
  </si>
  <si>
    <t>mr_al3x Total</t>
  </si>
  <si>
    <t>Night Kin9 Total</t>
  </si>
  <si>
    <t>prodoman Total</t>
  </si>
  <si>
    <t>S1lense Total</t>
  </si>
  <si>
    <t>Sun_Set_pro8 Total</t>
  </si>
  <si>
    <t>supreme325i Total</t>
  </si>
  <si>
    <t>FALSE Total</t>
  </si>
  <si>
    <t>Grand Total</t>
  </si>
  <si>
    <t>SUM of BuyIns</t>
  </si>
  <si>
    <t>Periods to split</t>
  </si>
  <si>
    <t xml:space="preserve">Total </t>
  </si>
  <si>
    <t>Stacking type</t>
  </si>
  <si>
    <t>Distance</t>
  </si>
  <si>
    <t>007x2 Total</t>
  </si>
  <si>
    <t>00goldimon Total</t>
  </si>
  <si>
    <t>AlexanderDSL Total</t>
  </si>
  <si>
    <t>barabashOva Total</t>
  </si>
  <si>
    <t>benyya Total</t>
  </si>
  <si>
    <t>Berebka Total</t>
  </si>
  <si>
    <t>BodyaComUa Total</t>
  </si>
  <si>
    <t>Davaibablo Total</t>
  </si>
  <si>
    <t>DepositBeast Total</t>
  </si>
  <si>
    <t>DeusVulter Total</t>
  </si>
  <si>
    <t>DimanTT Total</t>
  </si>
  <si>
    <t>dimasik Total</t>
  </si>
  <si>
    <t>ekomlev98 Total</t>
  </si>
  <si>
    <t>gRRRiz Total</t>
  </si>
  <si>
    <t>Immelstoran Total</t>
  </si>
  <si>
    <t>kttweek1 Total</t>
  </si>
  <si>
    <t>Lo4io Total</t>
  </si>
  <si>
    <t>Mackevgen Total</t>
  </si>
  <si>
    <t>Mandr1990 Total</t>
  </si>
  <si>
    <t>mdzr Total</t>
  </si>
  <si>
    <t>OneTaper Total</t>
  </si>
  <si>
    <t>overplayKK Total</t>
  </si>
  <si>
    <t>QQcheliQ Total</t>
  </si>
  <si>
    <t>Rus29APX Total</t>
  </si>
  <si>
    <t>SDEBA1 Total</t>
  </si>
  <si>
    <t>thepzdc Total</t>
  </si>
  <si>
    <t>TVREZ Total</t>
  </si>
  <si>
    <t>ushakov17 Total</t>
  </si>
  <si>
    <t>VermillionPoker Total</t>
  </si>
  <si>
    <t>vezuxa Total</t>
  </si>
  <si>
    <t>volkovsky Total</t>
  </si>
  <si>
    <t>Values</t>
  </si>
  <si>
    <t>Calculated Field 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</si>
</sst>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[$£-809]#,##0.00"/>
    <numFmt numFmtId="165" formatCode="0.000"/>
    <numFmt numFmtId="166" formatCode="dd/mm/yyyy"/>
    <numFmt numFmtId="167" formatCode="d/m/yyyy"/>
    <numFmt numFmtId="168" formatCode="&quot; &quot;mmmm&quot; &quot;yyyy"/>
    <numFmt numFmtId="169" formatCode="&quot;$&quot;#,##0.00"/>
    <numFmt numFmtId="170" formatCode="dd&quot;/&quot;mm&quot;/&quot;yyyy"/>
    <numFmt numFmtId="171" formatCode="dd/MM/yyyy"/>
    <numFmt numFmtId="172" formatCode="#,##0.0"/>
    <numFmt numFmtId="173" formatCode="d&quot; &quot;mmm&quot; &quot;yyyy"/>
    <numFmt numFmtId="174" formatCode="mmmm d, yyyy"/>
    <numFmt numFmtId="175" formatCode="HH:mm:ss"/>
    <numFmt numFmtId="176" formatCode="0.0000%"/>
    <numFmt numFmtId="177" formatCode="mmmm yyyy"/>
    <numFmt numFmtId="178" formatCode="0.0"/>
  </numFmts>
  <fonts count="30">
    <font>
      <sz val="10.0"/>
      <color rgb="FF000000"/>
      <name val="Arial"/>
      <scheme val="minor"/>
    </font>
    <font>
      <b/>
      <sz val="11.0"/>
      <color theme="1"/>
      <name val="Arial"/>
    </font>
    <font>
      <color theme="1"/>
      <name val="Arial"/>
      <scheme val="minor"/>
    </font>
    <font>
      <sz val="11.0"/>
      <color theme="1"/>
      <name val="Arial"/>
    </font>
    <font>
      <color theme="1"/>
      <name val="Arial"/>
    </font>
    <font>
      <b/>
      <sz val="12.0"/>
      <color theme="1"/>
      <name val="Arial"/>
    </font>
    <font>
      <sz val="12.0"/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1155CC"/>
      <name val="Arial"/>
    </font>
    <font>
      <u/>
      <color rgb="FF1155CC"/>
      <name val="Arial"/>
    </font>
    <font>
      <sz val="11.0"/>
      <color rgb="FF000000"/>
      <name val="Roboto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color rgb="FF000000"/>
      <name val="Arial"/>
    </font>
    <font>
      <u/>
      <color rgb="FF1155CC"/>
      <name val="Arial"/>
    </font>
    <font>
      <sz val="11.0"/>
      <color rgb="FF000000"/>
      <name val="Arial"/>
    </font>
    <font>
      <u/>
      <color rgb="FF0000FF"/>
      <name val="Arial"/>
    </font>
    <font>
      <sz val="11.0"/>
      <color rgb="FF222222"/>
      <name val="Arial"/>
    </font>
    <font>
      <u/>
      <color rgb="FF0000FF"/>
      <name val="Arial"/>
    </font>
    <font>
      <b/>
      <sz val="9.0"/>
      <color theme="1"/>
      <name val="Arial"/>
    </font>
    <font>
      <sz val="9.0"/>
      <color theme="1"/>
      <name val="Arial"/>
    </font>
    <font>
      <sz val="9.0"/>
      <color rgb="FF000000"/>
      <name val="Arial"/>
    </font>
    <font>
      <color rgb="FF000000"/>
      <name val="Roboto"/>
    </font>
    <font>
      <sz val="11.0"/>
      <color rgb="FF000000"/>
      <name val="Calibri"/>
    </font>
    <font>
      <u/>
      <color rgb="FF0000FF"/>
    </font>
    <font>
      <u/>
      <color rgb="FF0000FF"/>
    </font>
    <font>
      <b/>
      <color theme="1"/>
      <name val="Arial"/>
      <scheme val="minor"/>
    </font>
  </fonts>
  <fills count="21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B4A7D6"/>
        <bgColor rgb="FFB4A7D6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6AA84F"/>
        <bgColor rgb="FF6AA84F"/>
      </patternFill>
    </fill>
    <fill>
      <patternFill patternType="solid">
        <fgColor rgb="FFD9D2E9"/>
        <bgColor rgb="FFD9D2E9"/>
      </patternFill>
    </fill>
    <fill>
      <patternFill patternType="solid">
        <fgColor rgb="FF8E7CC3"/>
        <bgColor rgb="FF8E7CC3"/>
      </patternFill>
    </fill>
    <fill>
      <patternFill patternType="solid">
        <fgColor rgb="FF9FC5E8"/>
        <bgColor rgb="FF9FC5E8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rgb="FF6FA8DC"/>
        <bgColor rgb="FF6FA8DC"/>
      </patternFill>
    </fill>
    <fill>
      <patternFill patternType="solid">
        <fgColor rgb="FFE69138"/>
        <bgColor rgb="FFE69138"/>
      </patternFill>
    </fill>
    <fill>
      <patternFill patternType="solid">
        <fgColor rgb="FF3C78D8"/>
        <bgColor rgb="FF3C78D8"/>
      </patternFill>
    </fill>
    <fill>
      <patternFill patternType="solid">
        <fgColor rgb="FFCC0000"/>
        <bgColor rgb="FFCC0000"/>
      </patternFill>
    </fill>
    <fill>
      <patternFill patternType="solid">
        <fgColor rgb="FF6D9EEB"/>
        <bgColor rgb="FF6D9EEB"/>
      </patternFill>
    </fill>
  </fills>
  <borders count="4">
    <border/>
    <border>
      <right style="thick">
        <color rgb="FF000000"/>
      </right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32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49" xfId="0" applyAlignment="1" applyFont="1" applyNumberFormat="1">
      <alignment horizontal="left" readingOrder="0"/>
    </xf>
    <xf borderId="0" fillId="0" fontId="2" numFmtId="0" xfId="0" applyAlignment="1" applyFont="1">
      <alignment horizontal="left"/>
    </xf>
    <xf borderId="0" fillId="0" fontId="1" numFmtId="164" xfId="0" applyAlignment="1" applyFont="1" applyNumberFormat="1">
      <alignment horizontal="center" shrinkToFit="0" vertical="center" wrapText="1"/>
    </xf>
    <xf borderId="0" fillId="2" fontId="1" numFmtId="0" xfId="0" applyAlignment="1" applyFill="1" applyFont="1">
      <alignment horizontal="center" readingOrder="0" shrinkToFit="0" vertical="center" wrapText="1"/>
    </xf>
    <xf borderId="0" fillId="3" fontId="1" numFmtId="0" xfId="0" applyAlignment="1" applyFill="1" applyFont="1">
      <alignment horizontal="center" shrinkToFit="0" vertical="center" wrapText="1"/>
    </xf>
    <xf borderId="0" fillId="4" fontId="1" numFmtId="1" xfId="0" applyAlignment="1" applyFill="1" applyFont="1" applyNumberFormat="1">
      <alignment horizontal="center" shrinkToFit="0" vertical="center" wrapText="1"/>
    </xf>
    <xf borderId="0" fillId="5" fontId="1" numFmtId="3" xfId="0" applyAlignment="1" applyFill="1" applyFont="1" applyNumberFormat="1">
      <alignment horizontal="center" shrinkToFit="0" vertical="center" wrapText="1"/>
    </xf>
    <xf borderId="0" fillId="6" fontId="1" numFmtId="0" xfId="0" applyAlignment="1" applyFill="1" applyFont="1">
      <alignment horizontal="center" readingOrder="0" shrinkToFit="0" vertical="center" wrapText="1"/>
    </xf>
    <xf borderId="0" fillId="0" fontId="1" numFmtId="1" xfId="0" applyAlignment="1" applyFont="1" applyNumberFormat="1">
      <alignment horizontal="center" shrinkToFit="0" vertical="center" wrapText="1"/>
    </xf>
    <xf borderId="0" fillId="0" fontId="1" numFmtId="2" xfId="0" applyAlignment="1" applyFont="1" applyNumberFormat="1">
      <alignment horizontal="center" readingOrder="0" shrinkToFit="0" vertical="center" wrapText="1"/>
    </xf>
    <xf borderId="0" fillId="7" fontId="1" numFmtId="0" xfId="0" applyAlignment="1" applyFill="1" applyFont="1">
      <alignment horizontal="center" readingOrder="0" shrinkToFit="0" vertical="center" wrapText="1"/>
    </xf>
    <xf borderId="0" fillId="6" fontId="1" numFmtId="1" xfId="0" applyAlignment="1" applyFont="1" applyNumberFormat="1">
      <alignment horizontal="center" shrinkToFit="0" vertical="center" wrapText="1"/>
    </xf>
    <xf borderId="0" fillId="7" fontId="1" numFmtId="1" xfId="0" applyAlignment="1" applyFont="1" applyNumberFormat="1">
      <alignment horizontal="center" readingOrder="0" shrinkToFit="0" vertical="center" wrapText="1"/>
    </xf>
    <xf borderId="0" fillId="0" fontId="1" numFmtId="165" xfId="0" applyAlignment="1" applyFont="1" applyNumberFormat="1">
      <alignment horizontal="center" readingOrder="0" shrinkToFit="0" vertical="center" wrapText="1"/>
    </xf>
    <xf borderId="0" fillId="0" fontId="1" numFmtId="1" xfId="0" applyAlignment="1" applyFont="1" applyNumberFormat="1">
      <alignment horizontal="center" readingOrder="0" shrinkToFit="0" vertical="center" wrapText="1"/>
    </xf>
    <xf borderId="0" fillId="0" fontId="1" numFmtId="9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shrinkToFit="0" wrapText="1"/>
    </xf>
    <xf borderId="0" fillId="0" fontId="3" numFmtId="166" xfId="0" applyAlignment="1" applyFont="1" applyNumberFormat="1">
      <alignment horizontal="center" shrinkToFit="0" wrapText="1"/>
    </xf>
    <xf borderId="0" fillId="0" fontId="3" numFmtId="167" xfId="0" applyAlignment="1" applyFont="1" applyNumberFormat="1">
      <alignment horizontal="center" shrinkToFit="0" wrapText="1"/>
    </xf>
    <xf borderId="0" fillId="0" fontId="3" numFmtId="168" xfId="0" applyAlignment="1" applyFont="1" applyNumberFormat="1">
      <alignment horizontal="center" shrinkToFit="0" wrapText="1"/>
    </xf>
    <xf borderId="0" fillId="0" fontId="3" numFmtId="169" xfId="0" applyAlignment="1" applyFont="1" applyNumberFormat="1">
      <alignment horizontal="center"/>
    </xf>
    <xf borderId="0" fillId="0" fontId="3" numFmtId="49" xfId="0" applyAlignment="1" applyFont="1" applyNumberFormat="1">
      <alignment horizontal="center" shrinkToFit="0" wrapText="1"/>
    </xf>
    <xf borderId="0" fillId="2" fontId="3" numFmtId="0" xfId="0" applyAlignment="1" applyFont="1">
      <alignment horizontal="center" readingOrder="0" shrinkToFit="0" wrapText="1"/>
    </xf>
    <xf borderId="0" fillId="3" fontId="3" numFmtId="0" xfId="0" applyAlignment="1" applyFont="1">
      <alignment horizontal="center" shrinkToFit="0" wrapText="1"/>
    </xf>
    <xf borderId="0" fillId="4" fontId="3" numFmtId="0" xfId="0" applyAlignment="1" applyFont="1">
      <alignment horizontal="center" shrinkToFit="0" wrapText="1"/>
    </xf>
    <xf borderId="0" fillId="5" fontId="3" numFmtId="3" xfId="0" applyAlignment="1" applyFont="1" applyNumberFormat="1">
      <alignment horizontal="center"/>
    </xf>
    <xf borderId="0" fillId="6" fontId="3" numFmtId="0" xfId="0" applyAlignment="1" applyFont="1">
      <alignment horizontal="center" shrinkToFit="0" wrapText="1"/>
    </xf>
    <xf borderId="0" fillId="0" fontId="3" numFmtId="2" xfId="0" applyAlignment="1" applyFont="1" applyNumberFormat="1">
      <alignment horizontal="center" shrinkToFit="0" wrapText="1"/>
    </xf>
    <xf borderId="0" fillId="0" fontId="3" numFmtId="10" xfId="0" applyAlignment="1" applyFont="1" applyNumberFormat="1">
      <alignment horizontal="center"/>
    </xf>
    <xf borderId="0" fillId="7" fontId="3" numFmtId="3" xfId="0" applyAlignment="1" applyFont="1" applyNumberFormat="1">
      <alignment horizontal="center"/>
    </xf>
    <xf borderId="0" fillId="7" fontId="3" numFmtId="3" xfId="0" applyAlignment="1" applyFont="1" applyNumberFormat="1">
      <alignment horizontal="center" shrinkToFit="0" wrapText="1"/>
    </xf>
    <xf borderId="0" fillId="0" fontId="3" numFmtId="165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0" fontId="3" numFmtId="4" xfId="0" applyAlignment="1" applyFont="1" applyNumberFormat="1">
      <alignment horizontal="center" shrinkToFit="0" wrapText="1"/>
    </xf>
    <xf borderId="0" fillId="0" fontId="3" numFmtId="2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2" fontId="3" numFmtId="0" xfId="0" applyAlignment="1" applyFont="1">
      <alignment horizontal="center" shrinkToFit="0" wrapText="1"/>
    </xf>
    <xf borderId="0" fillId="0" fontId="3" numFmtId="0" xfId="0" applyAlignment="1" applyFont="1">
      <alignment horizontal="center"/>
    </xf>
    <xf borderId="0" fillId="0" fontId="3" numFmtId="170" xfId="0" applyAlignment="1" applyFont="1" applyNumberFormat="1">
      <alignment horizontal="center" shrinkToFit="0" wrapText="1"/>
    </xf>
    <xf borderId="0" fillId="5" fontId="3" numFmtId="3" xfId="0" applyAlignment="1" applyFont="1" applyNumberFormat="1">
      <alignment horizontal="center" shrinkToFit="0" wrapText="1"/>
    </xf>
    <xf borderId="0" fillId="5" fontId="3" numFmtId="0" xfId="0" applyAlignment="1" applyFont="1">
      <alignment horizontal="center" readingOrder="0"/>
    </xf>
    <xf borderId="0" fillId="5" fontId="3" numFmtId="3" xfId="0" applyAlignment="1" applyFont="1" applyNumberFormat="1">
      <alignment horizontal="center" readingOrder="0"/>
    </xf>
    <xf borderId="0" fillId="0" fontId="3" numFmtId="0" xfId="0" applyAlignment="1" applyFont="1">
      <alignment horizontal="center" readingOrder="0" vertical="center"/>
    </xf>
    <xf borderId="0" fillId="0" fontId="3" numFmtId="166" xfId="0" applyAlignment="1" applyFont="1" applyNumberFormat="1">
      <alignment horizontal="center" readingOrder="0" shrinkToFit="0" vertical="center" wrapText="1"/>
    </xf>
    <xf borderId="0" fillId="0" fontId="3" numFmtId="168" xfId="0" applyAlignment="1" applyFont="1" applyNumberFormat="1">
      <alignment horizontal="center" readingOrder="0" shrinkToFit="0" wrapText="1"/>
    </xf>
    <xf borderId="0" fillId="0" fontId="3" numFmtId="169" xfId="0" applyAlignment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3" fontId="3" numFmtId="0" xfId="0" applyAlignment="1" applyFont="1">
      <alignment horizontal="center" readingOrder="0" shrinkToFit="0" vertical="center" wrapText="1"/>
    </xf>
    <xf borderId="0" fillId="4" fontId="3" numFmtId="0" xfId="0" applyAlignment="1" applyFont="1">
      <alignment horizontal="center" readingOrder="0" shrinkToFit="0" vertical="center" wrapText="1"/>
    </xf>
    <xf borderId="0" fillId="5" fontId="3" numFmtId="3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10" xfId="0" applyAlignment="1" applyFont="1" applyNumberFormat="1">
      <alignment horizontal="center" vertical="center"/>
    </xf>
    <xf borderId="0" fillId="6" fontId="3" numFmtId="0" xfId="0" applyAlignment="1" applyFont="1">
      <alignment horizontal="center" readingOrder="0" shrinkToFit="0" vertical="center" wrapText="1"/>
    </xf>
    <xf borderId="0" fillId="0" fontId="3" numFmtId="165" xfId="0" applyAlignment="1" applyFont="1" applyNumberFormat="1">
      <alignment horizontal="center" readingOrder="0" vertical="center"/>
    </xf>
    <xf borderId="0" fillId="0" fontId="3" numFmtId="1" xfId="0" applyAlignment="1" applyFont="1" applyNumberFormat="1">
      <alignment horizontal="center" readingOrder="0" vertical="center"/>
    </xf>
    <xf borderId="0" fillId="0" fontId="3" numFmtId="4" xfId="0" applyAlignment="1" applyFont="1" applyNumberFormat="1">
      <alignment horizontal="center" readingOrder="0" shrinkToFit="0" wrapText="1"/>
    </xf>
    <xf borderId="0" fillId="0" fontId="3" numFmtId="2" xfId="0" applyAlignment="1" applyFont="1" applyNumberFormat="1">
      <alignment horizontal="center" readingOrder="0" shrinkToFit="0" wrapText="1"/>
    </xf>
    <xf borderId="0" fillId="0" fontId="3" numFmtId="0" xfId="0" applyAlignment="1" applyFont="1">
      <alignment horizontal="center" readingOrder="0"/>
    </xf>
    <xf borderId="0" fillId="5" fontId="3" numFmtId="3" xfId="0" applyAlignment="1" applyFont="1" applyNumberFormat="1">
      <alignment horizontal="center" shrinkToFit="0" vertical="center" wrapText="1"/>
    </xf>
    <xf borderId="0" fillId="6" fontId="3" numFmtId="0" xfId="0" applyAlignment="1" applyFont="1">
      <alignment horizontal="center"/>
    </xf>
    <xf borderId="0" fillId="0" fontId="3" numFmtId="1" xfId="0" applyAlignment="1" applyFont="1" applyNumberFormat="1">
      <alignment horizontal="center" readingOrder="0"/>
    </xf>
    <xf borderId="0" fillId="0" fontId="3" numFmtId="0" xfId="0" applyAlignment="1" applyFont="1">
      <alignment horizontal="center" shrinkToFit="0" vertical="center" wrapText="1"/>
    </xf>
    <xf borderId="0" fillId="6" fontId="3" numFmtId="0" xfId="0" applyAlignment="1" applyFont="1">
      <alignment horizontal="center" shrinkToFit="0" vertical="center" wrapText="1"/>
    </xf>
    <xf borderId="0" fillId="0" fontId="3" numFmtId="170" xfId="0" applyAlignment="1" applyFont="1" applyNumberFormat="1">
      <alignment horizontal="center" readingOrder="0" shrinkToFit="0" vertical="center" wrapText="1"/>
    </xf>
    <xf borderId="0" fillId="0" fontId="3" numFmtId="167" xfId="0" applyAlignment="1" applyFont="1" applyNumberFormat="1">
      <alignment horizontal="center" readingOrder="0" shrinkToFit="0" vertical="center" wrapText="1"/>
    </xf>
    <xf borderId="0" fillId="0" fontId="3" numFmtId="1" xfId="0" applyAlignment="1" applyFont="1" applyNumberFormat="1">
      <alignment horizontal="center" vertical="center"/>
    </xf>
    <xf borderId="0" fillId="2" fontId="3" numFmtId="1" xfId="0" applyAlignment="1" applyFont="1" applyNumberFormat="1">
      <alignment horizontal="center" readingOrder="0" vertical="center"/>
    </xf>
    <xf borderId="0" fillId="3" fontId="3" numFmtId="1" xfId="0" applyAlignment="1" applyFont="1" applyNumberFormat="1">
      <alignment horizontal="center" readingOrder="0" vertical="center"/>
    </xf>
    <xf borderId="0" fillId="4" fontId="3" numFmtId="0" xfId="0" applyAlignment="1" applyFont="1">
      <alignment horizontal="center" readingOrder="0" vertical="center"/>
    </xf>
    <xf borderId="0" fillId="6" fontId="3" numFmtId="0" xfId="0" applyAlignment="1" applyFont="1">
      <alignment horizontal="center" readingOrder="0" vertical="center"/>
    </xf>
    <xf borderId="0" fillId="2" fontId="3" numFmtId="0" xfId="0" applyAlignment="1" applyFont="1">
      <alignment horizontal="center" readingOrder="0" vertical="center"/>
    </xf>
    <xf borderId="0" fillId="3" fontId="3" numFmtId="0" xfId="0" applyAlignment="1" applyFont="1">
      <alignment horizontal="center" readingOrder="0" vertical="center"/>
    </xf>
    <xf borderId="0" fillId="5" fontId="3" numFmtId="3" xfId="0" applyAlignment="1" applyFont="1" applyNumberFormat="1">
      <alignment horizontal="center" readingOrder="0" vertical="center"/>
    </xf>
    <xf borderId="0" fillId="0" fontId="3" numFmtId="170" xfId="0" applyAlignment="1" applyFont="1" applyNumberFormat="1">
      <alignment horizontal="center" readingOrder="0" vertical="center"/>
    </xf>
    <xf borderId="0" fillId="0" fontId="3" numFmtId="10" xfId="0" applyAlignment="1" applyFont="1" applyNumberFormat="1">
      <alignment horizontal="center" readingOrder="0"/>
    </xf>
    <xf borderId="0" fillId="5" fontId="3" numFmtId="3" xfId="0" applyAlignment="1" applyFont="1" applyNumberFormat="1">
      <alignment horizontal="center" vertical="center"/>
    </xf>
    <xf borderId="0" fillId="0" fontId="3" numFmtId="168" xfId="0" applyAlignment="1" applyFont="1" applyNumberFormat="1">
      <alignment horizontal="center" shrinkToFit="0" vertical="center" wrapText="1"/>
    </xf>
    <xf borderId="0" fillId="0" fontId="3" numFmtId="49" xfId="0" applyAlignment="1" applyFont="1" applyNumberFormat="1">
      <alignment horizontal="center" readingOrder="0" shrinkToFit="0" wrapText="1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vertical="bottom"/>
    </xf>
    <xf borderId="0" fillId="0" fontId="3" numFmtId="0" xfId="0" applyAlignment="1" applyFont="1">
      <alignment horizontal="center" shrinkToFit="0" wrapText="1"/>
    </xf>
    <xf borderId="0" fillId="0" fontId="3" numFmtId="166" xfId="0" applyAlignment="1" applyFont="1" applyNumberFormat="1">
      <alignment horizontal="center" shrinkToFit="0" vertical="bottom" wrapText="1"/>
    </xf>
    <xf borderId="0" fillId="0" fontId="3" numFmtId="167" xfId="0" applyAlignment="1" applyFont="1" applyNumberFormat="1">
      <alignment horizontal="center" shrinkToFit="0" vertical="bottom" wrapText="1"/>
    </xf>
    <xf borderId="0" fillId="3" fontId="3" numFmtId="0" xfId="0" applyAlignment="1" applyFont="1">
      <alignment horizontal="center" shrinkToFit="0" wrapText="1"/>
    </xf>
    <xf borderId="0" fillId="4" fontId="3" numFmtId="0" xfId="0" applyAlignment="1" applyFont="1">
      <alignment horizontal="center" shrinkToFit="0" wrapText="1"/>
    </xf>
    <xf borderId="0" fillId="0" fontId="3" numFmtId="168" xfId="0" applyAlignment="1" applyFont="1" applyNumberFormat="1">
      <alignment horizontal="center" readingOrder="0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3" numFmtId="171" xfId="0" applyAlignment="1" applyFont="1" applyNumberFormat="1">
      <alignment horizontal="center" readingOrder="0" vertical="center"/>
    </xf>
    <xf borderId="0" fillId="5" fontId="3" numFmtId="172" xfId="0" applyAlignment="1" applyFont="1" applyNumberFormat="1">
      <alignment horizontal="center" readingOrder="0" shrinkToFit="0" vertical="center" wrapText="1"/>
    </xf>
    <xf borderId="0" fillId="4" fontId="3" numFmtId="1" xfId="0" applyAlignment="1" applyFont="1" applyNumberFormat="1">
      <alignment horizontal="center" readingOrder="0" vertical="center"/>
    </xf>
    <xf borderId="0" fillId="6" fontId="3" numFmtId="1" xfId="0" applyAlignment="1" applyFont="1" applyNumberForma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6" fontId="3" numFmtId="0" xfId="0" applyAlignment="1" applyFont="1">
      <alignment horizontal="center" vertical="center"/>
    </xf>
    <xf borderId="0" fillId="6" fontId="3" numFmtId="4" xfId="0" applyAlignment="1" applyFont="1" applyNumberFormat="1">
      <alignment horizontal="center" readingOrder="0" shrinkToFit="0" vertical="center" wrapText="1"/>
    </xf>
    <xf borderId="0" fillId="0" fontId="3" numFmtId="166" xfId="0" applyAlignment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0" fillId="5" fontId="3" numFmtId="4" xfId="0" applyAlignment="1" applyFont="1" applyNumberFormat="1">
      <alignment horizontal="center" shrinkToFit="0" wrapText="1"/>
    </xf>
    <xf borderId="0" fillId="0" fontId="3" numFmtId="10" xfId="0" applyAlignment="1" applyFont="1" applyNumberFormat="1">
      <alignment horizontal="center" readingOrder="0" vertical="center"/>
    </xf>
    <xf borderId="0" fillId="0" fontId="3" numFmtId="2" xfId="0" applyAlignment="1" applyFont="1" applyNumberFormat="1">
      <alignment horizontal="center" readingOrder="0"/>
    </xf>
    <xf borderId="0" fillId="0" fontId="3" numFmtId="3" xfId="0" applyAlignment="1" applyFont="1" applyNumberFormat="1">
      <alignment horizontal="center" readingOrder="0" vertical="center"/>
    </xf>
    <xf borderId="0" fillId="4" fontId="3" numFmtId="3" xfId="0" applyAlignment="1" applyFont="1" applyNumberFormat="1">
      <alignment horizontal="center" readingOrder="0" vertical="center"/>
    </xf>
    <xf borderId="0" fillId="4" fontId="3" numFmtId="1" xfId="0" applyAlignment="1" applyFont="1" applyNumberFormat="1">
      <alignment horizontal="center" readingOrder="0" shrinkToFit="0" vertical="center" wrapText="1"/>
    </xf>
    <xf borderId="0" fillId="0" fontId="3" numFmtId="1" xfId="0" applyAlignment="1" applyFont="1" applyNumberFormat="1">
      <alignment horizontal="center" readingOrder="0" shrinkToFit="0" vertical="center" wrapText="1"/>
    </xf>
    <xf borderId="0" fillId="6" fontId="3" numFmtId="1" xfId="0" applyAlignment="1" applyFont="1" applyNumberFormat="1">
      <alignment horizontal="center" readingOrder="0" shrinkToFit="0" vertical="center" wrapText="1"/>
    </xf>
    <xf borderId="0" fillId="0" fontId="3" numFmtId="49" xfId="0" applyAlignment="1" applyFont="1" applyNumberFormat="1">
      <alignment horizontal="center" shrinkToFit="0" vertical="center" wrapText="1"/>
    </xf>
    <xf borderId="0" fillId="0" fontId="3" numFmtId="166" xfId="0" applyAlignment="1" applyFont="1" applyNumberFormat="1">
      <alignment horizontal="center" shrinkToFit="0" vertical="center" wrapText="1"/>
    </xf>
    <xf borderId="0" fillId="3" fontId="3" numFmtId="0" xfId="0" applyAlignment="1" applyFont="1">
      <alignment horizontal="center" shrinkToFit="0" vertical="center" wrapText="1"/>
    </xf>
    <xf borderId="0" fillId="4" fontId="3" numFmtId="0" xfId="0" applyAlignment="1" applyFont="1">
      <alignment horizontal="center" shrinkToFit="0" vertical="center" wrapText="1"/>
    </xf>
    <xf borderId="0" fillId="0" fontId="3" numFmtId="165" xfId="0" applyAlignment="1" applyFont="1" applyNumberFormat="1">
      <alignment horizontal="center" vertical="center"/>
    </xf>
    <xf borderId="0" fillId="4" fontId="3" numFmtId="3" xfId="0" applyAlignment="1" applyFont="1" applyNumberFormat="1">
      <alignment horizontal="center" readingOrder="0" shrinkToFit="0" vertical="center" wrapText="1"/>
    </xf>
    <xf borderId="0" fillId="0" fontId="3" numFmtId="3" xfId="0" applyAlignment="1" applyFont="1" applyNumberFormat="1">
      <alignment horizontal="center" readingOrder="0" shrinkToFit="0" vertical="center" wrapText="1"/>
    </xf>
    <xf borderId="0" fillId="6" fontId="3" numFmtId="3" xfId="0" applyAlignment="1" applyFont="1" applyNumberFormat="1">
      <alignment horizontal="center" readingOrder="0" shrinkToFit="0" vertical="center" wrapText="1"/>
    </xf>
    <xf borderId="0" fillId="6" fontId="3" numFmtId="1" xfId="0" applyAlignment="1" applyFont="1" applyNumberFormat="1">
      <alignment horizontal="center" shrinkToFit="0" vertical="center" wrapText="1"/>
    </xf>
    <xf borderId="0" fillId="6" fontId="3" numFmtId="0" xfId="0" applyAlignment="1" applyFont="1">
      <alignment horizontal="center" readingOrder="0" shrinkToFit="0" wrapText="1"/>
    </xf>
    <xf borderId="0" fillId="6" fontId="3" numFmtId="0" xfId="0" applyAlignment="1" applyFont="1">
      <alignment horizontal="center" shrinkToFit="0" wrapText="1"/>
    </xf>
    <xf borderId="0" fillId="8" fontId="3" numFmtId="49" xfId="0" applyAlignment="1" applyFill="1" applyFont="1" applyNumberFormat="1">
      <alignment horizontal="center"/>
    </xf>
    <xf borderId="0" fillId="5" fontId="3" numFmtId="3" xfId="0" applyAlignment="1" applyFont="1" applyNumberFormat="1">
      <alignment horizontal="center" readingOrder="0" shrinkToFit="0" wrapText="1"/>
    </xf>
    <xf borderId="0" fillId="5" fontId="3" numFmtId="4" xfId="0" applyAlignment="1" applyFont="1" applyNumberFormat="1">
      <alignment horizontal="center" readingOrder="0" shrinkToFit="0" wrapText="1"/>
    </xf>
    <xf borderId="0" fillId="0" fontId="3" numFmtId="0" xfId="0" applyAlignment="1" applyFont="1">
      <alignment horizontal="center" readingOrder="0" vertical="center"/>
    </xf>
    <xf borderId="0" fillId="3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wrapText="1"/>
    </xf>
    <xf borderId="0" fillId="4" fontId="3" numFmtId="3" xfId="0" applyAlignment="1" applyFont="1" applyNumberFormat="1">
      <alignment horizontal="center" vertical="center"/>
    </xf>
    <xf borderId="0" fillId="4" fontId="3" numFmtId="3" xfId="0" applyAlignment="1" applyFont="1" applyNumberFormat="1">
      <alignment horizontal="center" shrinkToFit="0" vertical="center" wrapText="1"/>
    </xf>
    <xf borderId="0" fillId="0" fontId="3" numFmtId="1" xfId="0" applyAlignment="1" applyFont="1" applyNumberFormat="1">
      <alignment horizontal="center" shrinkToFit="0" vertical="center" wrapText="1"/>
    </xf>
    <xf borderId="0" fillId="3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readingOrder="0" shrinkToFit="0" wrapText="1"/>
    </xf>
    <xf borderId="0" fillId="6" fontId="3" numFmtId="1" xfId="0" applyAlignment="1" applyFont="1" applyNumberFormat="1">
      <alignment horizontal="center" vertical="center"/>
    </xf>
    <xf borderId="0" fillId="0" fontId="3" numFmtId="169" xfId="0" applyAlignment="1" applyFont="1" applyNumberFormat="1">
      <alignment horizontal="center" vertical="center"/>
    </xf>
    <xf borderId="0" fillId="3" fontId="3" numFmtId="0" xfId="0" applyAlignment="1" applyFont="1">
      <alignment horizontal="center" vertical="center"/>
    </xf>
    <xf borderId="0" fillId="4" fontId="3" numFmtId="0" xfId="0" applyAlignment="1" applyFont="1">
      <alignment horizontal="center" vertical="center"/>
    </xf>
    <xf borderId="0" fillId="0" fontId="3" numFmtId="170" xfId="0" applyAlignment="1" applyFont="1" applyNumberFormat="1">
      <alignment horizontal="center" vertical="center"/>
    </xf>
    <xf borderId="0" fillId="0" fontId="3" numFmtId="168" xfId="0" applyAlignment="1" applyFont="1" applyNumberFormat="1">
      <alignment horizontal="center" vertical="center"/>
    </xf>
    <xf borderId="0" fillId="4" fontId="3" numFmtId="1" xfId="0" applyAlignment="1" applyFont="1" applyNumberFormat="1">
      <alignment horizontal="center" shrinkToFit="0" vertical="center" wrapText="1"/>
    </xf>
    <xf borderId="0" fillId="4" fontId="3" numFmtId="1" xfId="0" applyAlignment="1" applyFont="1" applyNumberFormat="1">
      <alignment horizontal="center" vertical="center"/>
    </xf>
    <xf borderId="0" fillId="0" fontId="1" numFmtId="0" xfId="0" applyAlignment="1" applyFont="1">
      <alignment horizontal="center" shrinkToFit="0" wrapText="1"/>
    </xf>
    <xf borderId="0" fillId="2" fontId="1" numFmtId="0" xfId="0" applyAlignment="1" applyFont="1">
      <alignment horizontal="center" shrinkToFit="0" wrapText="1"/>
    </xf>
    <xf borderId="0" fillId="3" fontId="1" numFmtId="0" xfId="0" applyAlignment="1" applyFont="1">
      <alignment horizontal="center" shrinkToFit="0" wrapText="1"/>
    </xf>
    <xf borderId="0" fillId="0" fontId="4" numFmtId="3" xfId="0" applyFont="1" applyNumberFormat="1"/>
    <xf borderId="0" fillId="0" fontId="4" numFmtId="0" xfId="0" applyAlignment="1" applyFont="1">
      <alignment vertical="bottom"/>
    </xf>
    <xf borderId="0" fillId="9" fontId="1" numFmtId="3" xfId="0" applyAlignment="1" applyFill="1" applyFont="1" applyNumberFormat="1">
      <alignment horizontal="center" shrinkToFit="0" wrapText="1"/>
    </xf>
    <xf borderId="0" fillId="5" fontId="1" numFmtId="3" xfId="0" applyAlignment="1" applyFont="1" applyNumberFormat="1">
      <alignment horizontal="center" shrinkToFit="0" wrapText="1"/>
    </xf>
    <xf borderId="0" fillId="0" fontId="5" numFmtId="0" xfId="0" applyAlignment="1" applyFont="1">
      <alignment vertical="bottom"/>
    </xf>
    <xf borderId="0" fillId="0" fontId="6" numFmtId="0" xfId="0" applyAlignment="1" applyFont="1">
      <alignment horizontal="center" vertical="bottom"/>
    </xf>
    <xf borderId="0" fillId="0" fontId="3" numFmtId="49" xfId="0" applyAlignment="1" applyFont="1" applyNumberFormat="1">
      <alignment horizontal="center"/>
    </xf>
    <xf borderId="0" fillId="2" fontId="3" numFmtId="0" xfId="0" applyAlignment="1" applyFont="1">
      <alignment horizontal="center" shrinkToFit="0" vertical="bottom" wrapText="1"/>
    </xf>
    <xf borderId="0" fillId="9" fontId="4" numFmtId="0" xfId="0" applyAlignment="1" applyFont="1">
      <alignment horizontal="center" vertical="bottom"/>
    </xf>
    <xf borderId="0" fillId="5" fontId="4" numFmtId="0" xfId="0" applyAlignment="1" applyFont="1">
      <alignment horizontal="center" vertical="bottom"/>
    </xf>
    <xf borderId="0" fillId="0" fontId="6" numFmtId="3" xfId="0" applyAlignment="1" applyFont="1" applyNumberFormat="1">
      <alignment horizontal="center" vertical="bottom"/>
    </xf>
    <xf borderId="0" fillId="0" fontId="6" numFmtId="10" xfId="0" applyAlignment="1" applyFont="1" applyNumberFormat="1">
      <alignment horizontal="center" vertical="bottom"/>
    </xf>
    <xf borderId="0" fillId="0" fontId="5" numFmtId="0" xfId="0" applyAlignment="1" applyFont="1">
      <alignment readingOrder="0" vertical="bottom"/>
    </xf>
    <xf borderId="0" fillId="0" fontId="6" numFmtId="1" xfId="0" applyAlignment="1" applyFont="1" applyNumberForma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2" numFmtId="0" xfId="0" applyAlignment="1" applyFont="1">
      <alignment horizontal="center"/>
    </xf>
    <xf borderId="0" fillId="10" fontId="7" numFmtId="0" xfId="0" applyAlignment="1" applyFill="1" applyFont="1">
      <alignment horizontal="center" shrinkToFit="0" vertical="center" wrapText="1"/>
    </xf>
    <xf borderId="0" fillId="10" fontId="7" numFmtId="173" xfId="0" applyAlignment="1" applyFont="1" applyNumberFormat="1">
      <alignment horizontal="center" shrinkToFit="0" vertical="center" wrapText="1"/>
    </xf>
    <xf borderId="0" fillId="10" fontId="7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left" shrinkToFit="0" vertical="center" wrapText="0"/>
    </xf>
    <xf borderId="0" fillId="0" fontId="4" numFmtId="173" xfId="0" applyAlignment="1" applyFont="1" applyNumberFormat="1">
      <alignment horizontal="left" shrinkToFit="0" vertical="center" wrapText="0"/>
    </xf>
    <xf quotePrefix="1" borderId="0" fillId="0" fontId="4" numFmtId="0" xfId="0" applyAlignment="1" applyFont="1">
      <alignment horizontal="left"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0" fillId="0" fontId="4" numFmtId="0" xfId="0" applyAlignment="1" applyFont="1">
      <alignment horizontal="left" readingOrder="0" shrinkToFit="0" vertical="center" wrapText="0"/>
    </xf>
    <xf borderId="0" fillId="0" fontId="4" numFmtId="0" xfId="0" applyAlignment="1" applyFont="1">
      <alignment horizontal="left" shrinkToFit="0" vertical="center" wrapText="0"/>
    </xf>
    <xf borderId="0" fillId="0" fontId="4" numFmtId="0" xfId="0" applyAlignment="1" applyFont="1">
      <alignment horizontal="left" readingOrder="0" shrinkToFit="0" vertical="center" wrapText="0"/>
    </xf>
    <xf borderId="0" fillId="0" fontId="10" numFmtId="0" xfId="0" applyAlignment="1" applyFont="1">
      <alignment horizontal="left" readingOrder="0" shrinkToFit="0" vertical="center" wrapText="0"/>
    </xf>
    <xf borderId="0" fillId="8" fontId="11" numFmtId="0" xfId="0" applyAlignment="1" applyFont="1">
      <alignment horizontal="left" shrinkToFit="0" vertical="center" wrapText="0"/>
    </xf>
    <xf borderId="0" fillId="0" fontId="4" numFmtId="0" xfId="0" applyAlignment="1" applyFont="1">
      <alignment readingOrder="0" vertical="bottom"/>
    </xf>
    <xf borderId="0" fillId="0" fontId="4" numFmtId="14" xfId="0" applyAlignment="1" applyFont="1" applyNumberFormat="1">
      <alignment horizontal="right" readingOrder="0" vertical="bottom"/>
    </xf>
    <xf borderId="0" fillId="0" fontId="4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 vertical="bottom"/>
    </xf>
    <xf borderId="0" fillId="0" fontId="13" numFmtId="174" xfId="0" applyAlignment="1" applyFont="1" applyNumberFormat="1">
      <alignment readingOrder="0" shrinkToFit="0" vertical="bottom" wrapText="0"/>
    </xf>
    <xf borderId="0" fillId="0" fontId="4" numFmtId="0" xfId="0" applyAlignment="1" applyFont="1">
      <alignment vertical="bottom"/>
    </xf>
    <xf borderId="0" fillId="0" fontId="4" numFmtId="14" xfId="0" applyAlignment="1" applyFont="1" applyNumberFormat="1">
      <alignment horizontal="right" vertical="bottom"/>
    </xf>
    <xf borderId="0" fillId="0" fontId="14" numFmtId="0" xfId="0" applyAlignment="1" applyFont="1">
      <alignment vertical="bottom"/>
    </xf>
    <xf borderId="0" fillId="0" fontId="15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horizontal="left" shrinkToFit="0" vertical="center" wrapText="0"/>
    </xf>
    <xf borderId="0" fillId="0" fontId="16" numFmtId="0" xfId="0" applyAlignment="1" applyFont="1">
      <alignment horizontal="left" shrinkToFit="0" vertical="center" wrapText="0"/>
    </xf>
    <xf borderId="0" fillId="11" fontId="7" numFmtId="0" xfId="0" applyAlignment="1" applyFill="1" applyFont="1">
      <alignment horizontal="center" shrinkToFit="0" vertical="center" wrapText="1"/>
    </xf>
    <xf borderId="0" fillId="11" fontId="7" numFmtId="0" xfId="0" applyAlignment="1" applyFont="1">
      <alignment horizontal="center" shrinkToFit="0" vertical="center" wrapText="1"/>
    </xf>
    <xf borderId="0" fillId="11" fontId="7" numFmtId="164" xfId="0" applyAlignment="1" applyFont="1" applyNumberFormat="1">
      <alignment horizontal="center" shrinkToFit="0" vertical="center" wrapText="1"/>
    </xf>
    <xf borderId="0" fillId="11" fontId="7" numFmtId="0" xfId="0" applyAlignment="1" applyFont="1">
      <alignment horizontal="center" readingOrder="0" shrinkToFit="0" vertical="center" wrapText="1"/>
    </xf>
    <xf borderId="0" fillId="0" fontId="4" numFmtId="173" xfId="0" applyAlignment="1" applyFont="1" applyNumberForma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0" fontId="17" numFmtId="0" xfId="0" applyAlignment="1" applyFont="1">
      <alignment horizontal="left" shrinkToFit="0" vertical="center" wrapText="0"/>
    </xf>
    <xf borderId="0" fillId="0" fontId="4" numFmtId="164" xfId="0" applyAlignment="1" applyFont="1" applyNumberFormat="1">
      <alignment horizontal="center" shrinkToFit="0" vertical="center" wrapText="0"/>
    </xf>
    <xf borderId="0" fillId="0" fontId="18" numFmtId="0" xfId="0" applyAlignment="1" applyFont="1">
      <alignment horizontal="left" shrinkToFit="0" vertical="center" wrapText="0"/>
    </xf>
    <xf borderId="0" fillId="8" fontId="4" numFmtId="9" xfId="0" applyAlignment="1" applyFont="1" applyNumberFormat="1">
      <alignment horizontal="left" shrinkToFit="0" vertical="center" wrapText="0"/>
    </xf>
    <xf borderId="0" fillId="8" fontId="4" numFmtId="0" xfId="0" applyAlignment="1" applyFont="1">
      <alignment horizontal="left" readingOrder="0" shrinkToFit="0" vertical="center" wrapText="0"/>
    </xf>
    <xf borderId="0" fillId="0" fontId="19" numFmtId="0" xfId="0" applyAlignment="1" applyFont="1">
      <alignment horizontal="left" readingOrder="0" shrinkToFit="0" vertical="center" wrapText="0"/>
    </xf>
    <xf borderId="0" fillId="0" fontId="20" numFmtId="0" xfId="0" applyAlignment="1" applyFont="1">
      <alignment horizontal="left" shrinkToFit="0" vertical="center" wrapText="0"/>
    </xf>
    <xf borderId="0" fillId="8" fontId="4" numFmtId="0" xfId="0" applyAlignment="1" applyFont="1">
      <alignment horizontal="left" shrinkToFit="0" vertical="center" wrapText="0"/>
    </xf>
    <xf borderId="0" fillId="6" fontId="4" numFmtId="0" xfId="0" applyAlignment="1" applyFont="1">
      <alignment horizontal="center" readingOrder="0" shrinkToFit="0" vertical="center" wrapText="0"/>
    </xf>
    <xf borderId="0" fillId="0" fontId="4" numFmtId="0" xfId="0" applyAlignment="1" applyFont="1">
      <alignment horizontal="center" readingOrder="0" shrinkToFit="0" vertical="center" wrapText="0"/>
    </xf>
    <xf borderId="0" fillId="0" fontId="16" numFmtId="0" xfId="0" applyAlignment="1" applyFont="1">
      <alignment horizontal="left" shrinkToFit="0" vertical="center" wrapText="0"/>
    </xf>
    <xf borderId="0" fillId="0" fontId="4" numFmtId="164" xfId="0" applyAlignment="1" applyFont="1" applyNumberFormat="1">
      <alignment horizontal="center" readingOrder="0" shrinkToFit="0" vertical="center" wrapText="0"/>
    </xf>
    <xf borderId="0" fillId="0" fontId="16" numFmtId="0" xfId="0" applyAlignment="1" applyFont="1">
      <alignment horizontal="left" readingOrder="0" shrinkToFit="0" vertical="center" wrapText="0"/>
    </xf>
    <xf borderId="0" fillId="8" fontId="4" numFmtId="0" xfId="0" applyAlignment="1" applyFont="1">
      <alignment horizontal="left" shrinkToFit="0" vertical="center" wrapText="0"/>
    </xf>
    <xf borderId="0" fillId="0" fontId="20" numFmtId="0" xfId="0" applyAlignment="1" applyFont="1">
      <alignment horizontal="left" readingOrder="0" shrinkToFit="0" vertical="center" wrapText="0"/>
    </xf>
    <xf borderId="0" fillId="0" fontId="21" numFmtId="0" xfId="0" applyAlignment="1" applyFont="1">
      <alignment horizontal="left" readingOrder="0" shrinkToFit="0" vertical="center" wrapText="0"/>
    </xf>
    <xf borderId="0" fillId="0" fontId="4" numFmtId="49" xfId="0" applyAlignment="1" applyFont="1" applyNumberFormat="1">
      <alignment horizontal="left" shrinkToFit="0" vertical="center" wrapText="0"/>
    </xf>
    <xf borderId="0" fillId="0" fontId="16" numFmtId="0" xfId="0" applyAlignment="1" applyFont="1">
      <alignment horizontal="left" shrinkToFit="0" vertical="center" wrapText="0"/>
    </xf>
    <xf borderId="0" fillId="0" fontId="4" numFmtId="0" xfId="0" applyAlignment="1" applyFont="1">
      <alignment horizontal="left" readingOrder="0" shrinkToFit="0" vertical="center" wrapText="0"/>
    </xf>
    <xf borderId="0" fillId="0" fontId="4" numFmtId="173" xfId="0" applyAlignment="1" applyFont="1" applyNumberFormat="1">
      <alignment horizontal="center" readingOrder="0" shrinkToFit="0" vertical="center" wrapText="0"/>
    </xf>
    <xf borderId="0" fillId="0" fontId="4" numFmtId="0" xfId="0" applyAlignment="1" applyFont="1">
      <alignment readingOrder="0" vertical="bottom"/>
    </xf>
    <xf borderId="0" fillId="12" fontId="22" numFmtId="0" xfId="0" applyAlignment="1" applyFill="1" applyFont="1">
      <alignment horizontal="center" shrinkToFit="0" vertical="center" wrapText="1"/>
    </xf>
    <xf borderId="0" fillId="13" fontId="22" numFmtId="0" xfId="0" applyAlignment="1" applyFill="1" applyFont="1">
      <alignment horizontal="center" shrinkToFit="0" vertical="center" wrapText="1"/>
    </xf>
    <xf borderId="0" fillId="13" fontId="22" numFmtId="0" xfId="0" applyAlignment="1" applyFont="1">
      <alignment horizontal="center" readingOrder="0" shrinkToFit="0" vertical="center" wrapText="1"/>
    </xf>
    <xf borderId="1" fillId="13" fontId="22" numFmtId="0" xfId="0" applyAlignment="1" applyBorder="1" applyFont="1">
      <alignment horizontal="center" readingOrder="0" shrinkToFit="0" vertical="center" wrapText="1"/>
    </xf>
    <xf borderId="0" fillId="14" fontId="22" numFmtId="0" xfId="0" applyAlignment="1" applyFill="1" applyFont="1">
      <alignment horizontal="center" shrinkToFit="0" vertical="center" wrapText="1"/>
    </xf>
    <xf borderId="1" fillId="14" fontId="22" numFmtId="0" xfId="0" applyAlignment="1" applyBorder="1" applyFont="1">
      <alignment horizontal="center" readingOrder="0" shrinkToFit="0" vertical="center" wrapText="1"/>
    </xf>
    <xf borderId="0" fillId="15" fontId="22" numFmtId="0" xfId="0" applyAlignment="1" applyFill="1" applyFont="1">
      <alignment horizontal="center" shrinkToFit="0" vertical="center" wrapText="1"/>
    </xf>
    <xf borderId="1" fillId="15" fontId="22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0"/>
    </xf>
    <xf borderId="0" fillId="16" fontId="4" numFmtId="0" xfId="0" applyAlignment="1" applyFill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0" fillId="10" fontId="23" numFmtId="0" xfId="0" applyAlignment="1" applyFont="1">
      <alignment horizontal="center" shrinkToFit="0" vertical="center" wrapText="0"/>
    </xf>
    <xf borderId="0" fillId="17" fontId="23" numFmtId="0" xfId="0" applyAlignment="1" applyFill="1" applyFont="1">
      <alignment horizontal="center" shrinkToFit="0" vertical="center" wrapText="0"/>
    </xf>
    <xf borderId="0" fillId="10" fontId="24" numFmtId="0" xfId="0" applyAlignment="1" applyFont="1">
      <alignment horizontal="center" shrinkToFit="0" vertical="center" wrapText="0"/>
    </xf>
    <xf borderId="1" fillId="16" fontId="23" numFmtId="0" xfId="0" applyAlignment="1" applyBorder="1" applyFont="1">
      <alignment horizontal="center" shrinkToFit="0" vertical="center" wrapText="0"/>
    </xf>
    <xf borderId="1" fillId="10" fontId="23" numFmtId="0" xfId="0" applyAlignment="1" applyBorder="1" applyFont="1">
      <alignment horizontal="center" shrinkToFit="0" vertical="center" wrapText="0"/>
    </xf>
    <xf borderId="0" fillId="18" fontId="23" numFmtId="0" xfId="0" applyAlignment="1" applyFill="1" applyFont="1">
      <alignment horizontal="center" shrinkToFit="0" vertical="center" wrapText="0"/>
    </xf>
    <xf borderId="1" fillId="19" fontId="23" numFmtId="0" xfId="0" applyAlignment="1" applyBorder="1" applyFill="1" applyFont="1">
      <alignment horizontal="center" shrinkToFit="0" vertical="center" wrapText="0"/>
    </xf>
    <xf borderId="1" fillId="16" fontId="23" numFmtId="0" xfId="0" applyAlignment="1" applyBorder="1" applyFont="1">
      <alignment horizontal="center" readingOrder="0" shrinkToFit="0" vertical="center" wrapText="0"/>
    </xf>
    <xf borderId="0" fillId="16" fontId="23" numFmtId="0" xfId="0" applyAlignment="1" applyFont="1">
      <alignment horizontal="center" shrinkToFit="0" vertical="center" wrapText="0"/>
    </xf>
    <xf borderId="0" fillId="0" fontId="4" numFmtId="175" xfId="0" applyAlignment="1" applyFont="1" applyNumberFormat="1">
      <alignment horizontal="center" shrinkToFit="0" vertical="center" wrapText="0"/>
    </xf>
    <xf borderId="1" fillId="16" fontId="4" numFmtId="0" xfId="0" applyAlignment="1" applyBorder="1" applyFont="1">
      <alignment horizontal="center" shrinkToFit="0" vertical="center" wrapText="0"/>
    </xf>
    <xf borderId="1" fillId="16" fontId="4" numFmtId="0" xfId="0" applyAlignment="1" applyBorder="1" applyFont="1">
      <alignment horizontal="center" readingOrder="0" shrinkToFit="0" vertical="center" wrapText="0"/>
    </xf>
    <xf borderId="0" fillId="0" fontId="16" numFmtId="0" xfId="0" applyAlignment="1" applyFont="1">
      <alignment horizontal="center" shrinkToFit="0" vertical="center" wrapText="0"/>
    </xf>
    <xf borderId="0" fillId="19" fontId="23" numFmtId="0" xfId="0" applyAlignment="1" applyFont="1">
      <alignment horizontal="center" shrinkToFit="0" vertical="center" wrapText="0"/>
    </xf>
    <xf borderId="0" fillId="16" fontId="23" numFmtId="0" xfId="0" applyAlignment="1" applyFont="1">
      <alignment horizontal="center" readingOrder="0" shrinkToFit="0" vertical="center" wrapText="0"/>
    </xf>
    <xf borderId="0" fillId="16" fontId="4" numFmtId="0" xfId="0" applyAlignment="1" applyFont="1">
      <alignment horizontal="center" readingOrder="0" shrinkToFit="0" vertical="center" wrapText="0"/>
    </xf>
    <xf borderId="1" fillId="17" fontId="23" numFmtId="0" xfId="0" applyAlignment="1" applyBorder="1" applyFont="1">
      <alignment horizontal="center" shrinkToFit="0" vertical="center" wrapText="0"/>
    </xf>
    <xf borderId="0" fillId="8" fontId="4" numFmtId="0" xfId="0" applyAlignment="1" applyFont="1">
      <alignment horizontal="center" shrinkToFit="0" vertical="center" wrapText="0"/>
    </xf>
    <xf borderId="0" fillId="16" fontId="4" numFmtId="173" xfId="0" applyAlignment="1" applyFont="1" applyNumberFormat="1">
      <alignment horizontal="center" shrinkToFit="0" vertical="center" wrapText="0"/>
    </xf>
    <xf borderId="0" fillId="16" fontId="16" numFmtId="0" xfId="0" applyAlignment="1" applyFont="1">
      <alignment horizontal="center" shrinkToFit="0" vertical="center" wrapText="0"/>
    </xf>
    <xf borderId="0" fillId="16" fontId="23" numFmtId="0" xfId="0" applyAlignment="1" applyFont="1">
      <alignment horizontal="center" readingOrder="0" shrinkToFit="0" vertical="center" wrapText="0"/>
    </xf>
    <xf borderId="0" fillId="20" fontId="23" numFmtId="0" xfId="0" applyAlignment="1" applyFill="1" applyFont="1">
      <alignment horizontal="center" shrinkToFit="0" vertical="center" wrapText="0"/>
    </xf>
    <xf borderId="0" fillId="16" fontId="4" numFmtId="0" xfId="0" applyAlignment="1" applyFont="1">
      <alignment horizontal="center" readingOrder="0" shrinkToFit="0" vertical="center" wrapText="0"/>
    </xf>
    <xf borderId="0" fillId="0" fontId="23" numFmtId="0" xfId="0" applyAlignment="1" applyFont="1">
      <alignment horizontal="center" shrinkToFit="0" vertical="center" wrapText="0"/>
    </xf>
    <xf borderId="0" fillId="0" fontId="24" numFmtId="0" xfId="0" applyAlignment="1" applyFont="1">
      <alignment horizontal="center" shrinkToFit="0" vertical="center" wrapText="0"/>
    </xf>
    <xf borderId="0" fillId="16" fontId="4" numFmtId="49" xfId="0" applyAlignment="1" applyFont="1" applyNumberFormat="1">
      <alignment horizontal="center" shrinkToFit="0" vertical="center" wrapText="0"/>
    </xf>
    <xf borderId="1" fillId="0" fontId="4" numFmtId="0" xfId="0" applyAlignment="1" applyBorder="1" applyFont="1">
      <alignment horizontal="center" readingOrder="0" shrinkToFit="0" vertical="center" wrapText="0"/>
    </xf>
    <xf borderId="0" fillId="16" fontId="4" numFmtId="49" xfId="0" applyAlignment="1" applyFont="1" applyNumberFormat="1">
      <alignment horizontal="center" readingOrder="0" shrinkToFit="0" vertical="center" wrapText="0"/>
    </xf>
    <xf borderId="0" fillId="16" fontId="25" numFmtId="0" xfId="0" applyAlignment="1" applyFont="1">
      <alignment horizontal="center" shrinkToFit="0" vertical="center" wrapText="0"/>
    </xf>
    <xf borderId="0" fillId="16" fontId="26" numFmtId="0" xfId="0" applyAlignment="1" applyFont="1">
      <alignment horizontal="center" shrinkToFit="0" vertical="center" wrapText="0"/>
    </xf>
    <xf borderId="0" fillId="16" fontId="26" numFmtId="0" xfId="0" applyAlignment="1" applyFont="1">
      <alignment horizontal="center" readingOrder="0" shrinkToFit="0" vertical="center" wrapText="0"/>
    </xf>
    <xf borderId="0" fillId="16" fontId="16" numFmtId="0" xfId="0" applyAlignment="1" applyFont="1">
      <alignment horizontal="center" shrinkToFit="0" vertical="center" wrapText="0"/>
    </xf>
    <xf borderId="0" fillId="16" fontId="4" numFmtId="0" xfId="0" applyAlignment="1" applyFont="1">
      <alignment horizontal="center" shrinkToFit="0" vertical="center" wrapText="0"/>
    </xf>
    <xf borderId="0" fillId="0" fontId="4" numFmtId="0" xfId="0" applyAlignment="1" applyFont="1">
      <alignment horizontal="center" readingOrder="0" shrinkToFit="0" vertical="center" wrapText="0"/>
    </xf>
    <xf borderId="0" fillId="0" fontId="26" numFmtId="0" xfId="0" applyAlignment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0" fontId="23" numFmtId="0" xfId="0" applyAlignment="1" applyFont="1">
      <alignment horizontal="center" readingOrder="0" shrinkToFit="0" vertical="center" wrapText="0"/>
    </xf>
    <xf borderId="0" fillId="8" fontId="1" numFmtId="164" xfId="0" applyAlignment="1" applyFont="1" applyNumberFormat="1">
      <alignment horizontal="center" shrinkToFit="0" vertical="center" wrapText="1"/>
    </xf>
    <xf borderId="0" fillId="8" fontId="1" numFmtId="0" xfId="0" applyAlignment="1" applyFont="1">
      <alignment horizontal="center" shrinkToFit="0" vertical="center" wrapText="1"/>
    </xf>
    <xf borderId="0" fillId="8" fontId="1" numFmtId="49" xfId="0" applyAlignment="1" applyFont="1" applyNumberFormat="1">
      <alignment horizontal="center" shrinkToFit="0" vertical="center" wrapText="1"/>
    </xf>
    <xf borderId="0" fillId="8" fontId="1" numFmtId="0" xfId="0" applyAlignment="1" applyFont="1">
      <alignment horizontal="center" readingOrder="0" shrinkToFit="0" vertical="center" wrapText="1"/>
    </xf>
    <xf borderId="0" fillId="8" fontId="1" numFmtId="1" xfId="0" applyAlignment="1" applyFont="1" applyNumberFormat="1">
      <alignment horizontal="center" shrinkToFit="0" vertical="center" wrapText="1"/>
    </xf>
    <xf borderId="0" fillId="0" fontId="1" numFmtId="3" xfId="0" applyAlignment="1" applyFont="1" applyNumberFormat="1">
      <alignment horizontal="center" shrinkToFit="0" vertical="center" wrapText="1"/>
    </xf>
    <xf borderId="0" fillId="0" fontId="1" numFmtId="176" xfId="0" applyAlignment="1" applyFont="1" applyNumberFormat="1">
      <alignment horizontal="center" readingOrder="0" shrinkToFit="0" vertical="center" wrapText="1"/>
    </xf>
    <xf borderId="0" fillId="8" fontId="3" numFmtId="0" xfId="0" applyAlignment="1" applyFont="1">
      <alignment horizontal="center" shrinkToFit="0" vertical="center" wrapText="1"/>
    </xf>
    <xf borderId="0" fillId="8" fontId="3" numFmtId="170" xfId="0" applyAlignment="1" applyFont="1" applyNumberFormat="1">
      <alignment horizontal="center" shrinkToFit="0" vertical="center" wrapText="1"/>
    </xf>
    <xf borderId="0" fillId="8" fontId="3" numFmtId="49" xfId="0" applyAlignment="1" applyFont="1" applyNumberFormat="1">
      <alignment horizontal="center" shrinkToFit="0" vertical="center" wrapText="1"/>
    </xf>
    <xf borderId="0" fillId="8" fontId="3" numFmtId="0" xfId="0" applyAlignment="1" applyFont="1">
      <alignment horizontal="center" readingOrder="0" shrinkToFit="0" vertical="center" wrapText="1"/>
    </xf>
    <xf borderId="0" fillId="0" fontId="3" numFmtId="3" xfId="0" applyAlignment="1" applyFont="1" applyNumberFormat="1">
      <alignment horizontal="center" shrinkToFit="0" vertical="center" wrapText="1"/>
    </xf>
    <xf borderId="0" fillId="0" fontId="3" numFmtId="176" xfId="0" applyAlignment="1" applyFont="1" applyNumberFormat="1">
      <alignment horizontal="center" readingOrder="0" vertical="center"/>
    </xf>
    <xf borderId="0" fillId="0" fontId="3" numFmtId="9" xfId="0" applyAlignment="1" applyFont="1" applyNumberFormat="1">
      <alignment horizontal="center" readingOrder="0" vertical="center"/>
    </xf>
    <xf borderId="0" fillId="8" fontId="3" numFmtId="166" xfId="0" applyAlignment="1" applyFont="1" applyNumberFormat="1">
      <alignment horizontal="center" shrinkToFit="0" vertical="center" wrapText="1"/>
    </xf>
    <xf borderId="0" fillId="8" fontId="3" numFmtId="167" xfId="0" applyAlignment="1" applyFont="1" applyNumberFormat="1">
      <alignment horizontal="center" shrinkToFit="0" vertical="center" wrapText="1"/>
    </xf>
    <xf borderId="0" fillId="8" fontId="3" numFmtId="0" xfId="0" applyAlignment="1" applyFont="1">
      <alignment horizontal="center" vertical="center"/>
    </xf>
    <xf borderId="0" fillId="8" fontId="3" numFmtId="0" xfId="0" applyAlignment="1" applyFont="1">
      <alignment horizontal="center" readingOrder="0" vertical="center"/>
    </xf>
    <xf borderId="0" fillId="0" fontId="3" numFmtId="3" xfId="0" applyAlignment="1" applyFont="1" applyNumberFormat="1">
      <alignment horizontal="center" vertical="center"/>
    </xf>
    <xf borderId="0" fillId="8" fontId="3" numFmtId="170" xfId="0" applyAlignment="1" applyFont="1" applyNumberFormat="1">
      <alignment horizontal="center" vertical="center"/>
    </xf>
    <xf borderId="0" fillId="0" fontId="3" numFmtId="171" xfId="0" applyAlignment="1" applyFont="1" applyNumberFormat="1">
      <alignment horizontal="center" vertical="center"/>
    </xf>
    <xf borderId="0" fillId="8" fontId="3" numFmtId="171" xfId="0" applyAlignment="1" applyFont="1" applyNumberFormat="1">
      <alignment horizontal="center" vertical="center"/>
    </xf>
    <xf borderId="0" fillId="0" fontId="3" numFmtId="172" xfId="0" applyAlignment="1" applyFont="1" applyNumberFormat="1">
      <alignment horizontal="center" shrinkToFit="0" vertical="center" wrapText="1"/>
    </xf>
    <xf borderId="0" fillId="8" fontId="3" numFmtId="1" xfId="0" applyAlignment="1" applyFont="1" applyNumberFormat="1">
      <alignment horizontal="center" shrinkToFit="0" vertical="center" wrapText="1"/>
    </xf>
    <xf borderId="0" fillId="8" fontId="3" numFmtId="166" xfId="0" applyAlignment="1" applyFont="1" applyNumberFormat="1">
      <alignment horizontal="center" vertical="center"/>
    </xf>
    <xf borderId="0" fillId="8" fontId="3" numFmtId="3" xfId="0" applyAlignment="1" applyFont="1" applyNumberFormat="1">
      <alignment horizontal="center" shrinkToFit="0" vertical="center" wrapText="1"/>
    </xf>
    <xf borderId="0" fillId="8" fontId="3" numFmtId="49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8" fontId="3" numFmtId="1" xfId="0" applyAlignment="1" applyFont="1" applyNumberFormat="1">
      <alignment horizontal="center" vertical="center"/>
    </xf>
    <xf borderId="0" fillId="8" fontId="3" numFmtId="4" xfId="0" applyAlignment="1" applyFont="1" applyNumberFormat="1">
      <alignment horizontal="center" shrinkToFit="0" vertical="center" wrapText="1"/>
    </xf>
    <xf borderId="0" fillId="0" fontId="3" numFmtId="176" xfId="0" applyAlignment="1" applyFont="1" applyNumberFormat="1">
      <alignment horizontal="center" vertical="center"/>
    </xf>
    <xf borderId="2" fillId="0" fontId="2" numFmtId="177" xfId="0" applyAlignment="1" applyBorder="1" applyFont="1" applyNumberFormat="1">
      <alignment horizontal="center" readingOrder="0" vertical="center"/>
    </xf>
    <xf borderId="2" fillId="0" fontId="2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0" fillId="0" fontId="2" numFmtId="0" xfId="0" applyAlignment="1" applyFont="1">
      <alignment horizontal="center" readingOrder="0" vertical="center"/>
    </xf>
    <xf borderId="2" fillId="0" fontId="2" numFmtId="0" xfId="0" applyAlignment="1" applyBorder="1" applyFont="1">
      <alignment readingOrder="0"/>
    </xf>
    <xf borderId="3" fillId="0" fontId="2" numFmtId="0" xfId="0" applyAlignment="1" applyBorder="1" applyFont="1">
      <alignment readingOrder="0"/>
    </xf>
    <xf borderId="3" fillId="0" fontId="2" numFmtId="0" xfId="0" applyAlignment="1" applyBorder="1" applyFont="1">
      <alignment readingOrder="0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vertical="center"/>
    </xf>
    <xf borderId="0" fillId="0" fontId="27" numFmtId="0" xfId="0" applyAlignment="1" applyFont="1">
      <alignment readingOrder="0"/>
    </xf>
    <xf borderId="0" fillId="0" fontId="28" numFmtId="0" xfId="0" applyAlignment="1" applyFont="1">
      <alignment readingOrder="0"/>
    </xf>
    <xf borderId="0" fillId="0" fontId="29" numFmtId="0" xfId="0" applyAlignment="1" applyFont="1">
      <alignment readingOrder="0"/>
    </xf>
    <xf borderId="0" fillId="0" fontId="29" numFmtId="0" xfId="0" applyFont="1"/>
    <xf borderId="0" fillId="0" fontId="29" numFmtId="0" xfId="0" applyAlignment="1" applyFont="1">
      <alignment horizontal="center" readingOrder="0"/>
    </xf>
    <xf borderId="0" fillId="11" fontId="29" numFmtId="0" xfId="0" applyAlignment="1" applyFont="1">
      <alignment horizontal="center" readingOrder="0"/>
    </xf>
    <xf borderId="0" fillId="0" fontId="2" numFmtId="9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11" fontId="2" numFmtId="0" xfId="0" applyAlignment="1" applyFont="1">
      <alignment horizontal="center"/>
    </xf>
    <xf borderId="0" fillId="0" fontId="4" numFmtId="0" xfId="0" applyAlignment="1" applyFont="1">
      <alignment horizontal="center" readingOrder="0" shrinkToFit="0" vertical="center" wrapText="0"/>
    </xf>
    <xf borderId="0" fillId="0" fontId="2" numFmtId="164" xfId="0" applyFont="1" applyNumberFormat="1"/>
    <xf borderId="0" fillId="0" fontId="2" numFmtId="168" xfId="0" applyFont="1" applyNumberFormat="1"/>
    <xf borderId="0" fillId="0" fontId="2" numFmtId="1" xfId="0" applyAlignment="1" applyFont="1" applyNumberFormat="1">
      <alignment horizontal="center"/>
    </xf>
    <xf borderId="0" fillId="0" fontId="2" numFmtId="1" xfId="0" applyFont="1" applyNumberFormat="1"/>
    <xf borderId="0" fillId="0" fontId="2" numFmtId="2" xfId="0" applyFont="1" applyNumberFormat="1"/>
    <xf borderId="0" fillId="0" fontId="2" numFmtId="0" xfId="0" applyAlignment="1" applyFont="1">
      <alignment horizontal="right"/>
    </xf>
    <xf borderId="0" fillId="0" fontId="2" numFmtId="178" xfId="0" applyAlignment="1" applyFont="1" applyNumberFormat="1">
      <alignment horizontal="center"/>
    </xf>
    <xf borderId="0" fillId="0" fontId="2" numFmtId="168" xfId="0" applyAlignment="1" applyFont="1" applyNumberFormat="1">
      <alignment horizontal="right"/>
    </xf>
    <xf borderId="0" fillId="0" fontId="2" numFmtId="178" xfId="0" applyFont="1" applyNumberFormat="1"/>
    <xf borderId="0" fillId="0" fontId="2" numFmtId="3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G2445" sheet="Overall results data"/>
  </cacheSource>
  <cacheFields>
    <cacheField name="Alias" numFmtId="0">
      <sharedItems>
        <s v="007x2"/>
        <s v="00goldimon"/>
        <b v="0"/>
        <s v="Abcdf"/>
        <s v="fortunate773"/>
        <s v="prodoman"/>
        <s v="AlexanderDSL"/>
        <s v="bbaltqq"/>
        <s v="Fedorovi4"/>
        <s v="Lo4io"/>
        <s v="Sun_Set_pro8"/>
        <s v="Freedoom"/>
        <s v="Mexanuk_AV"/>
        <s v="SDEBA1"/>
        <s v="supreme325i"/>
        <s v="gRRRiz"/>
        <s v="Kiss4money99"/>
        <s v="DeusVulter"/>
        <s v="S1lense"/>
        <s v="CrippledMind"/>
        <s v="Mackevgen"/>
        <s v="vezuxa"/>
        <s v="Immelstoran"/>
        <s v="mr_al3x"/>
        <s v="benyya"/>
        <s v="fraum@rta"/>
        <s v="barabashOva"/>
        <s v="Berebka"/>
        <s v="BodyaComUa"/>
        <s v="Davaibablo"/>
        <s v="dimasik"/>
        <s v="ekomlev98"/>
        <s v="Ekx444"/>
        <s v="Farodit"/>
        <s v="fig6"/>
        <s v="kttweek1"/>
        <s v="KuCoH"/>
        <s v="eternity1"/>
        <s v="thepzdc"/>
        <s v="Mandr1990"/>
        <s v="Night Kin9"/>
        <s v="overplayKK"/>
        <s v="QQcheliQ"/>
        <s v="Rus29APX"/>
        <s v="TVREZ"/>
        <s v="ushakov17"/>
        <s v="volkovsky"/>
        <s v="guilexperi"/>
        <s v="DepositBeast"/>
        <s v="OneTaper"/>
        <s v="VermillionPoker"/>
        <s v="mdzr"/>
        <s v="DimanTT"/>
      </sharedItems>
    </cacheField>
    <cacheField name="Screen Name" numFmtId="0">
      <sharedItems containsBlank="1">
        <s v="007x2"/>
        <s v="00goldimon00"/>
        <s v="Barabollya"/>
        <s v="00goldimon"/>
        <s v="Abcdf"/>
        <s v="way to pro"/>
        <s v="riverpoolFC"/>
        <s v="leonidkomlev"/>
        <s v="AlexanderDSL"/>
        <s v="bbaltqq"/>
        <s v="Fedorovi4"/>
        <s v="supreme soul"/>
        <s v="v@vo88"/>
        <s v="GoJAM"/>
        <s v="bearstrong"/>
        <s v="Lo4io"/>
        <s v="SwagOnYou"/>
        <s v="GoJAM_wx"/>
        <s v="Chie4tain"/>
        <s v="Mexanuk_AV"/>
        <s v="SDEBA1"/>
        <s v="drawchillah_gg"/>
        <s v="hakunahmatatah"/>
        <s v="Mister Meeseeks"/>
        <s v="Kiss4Money99"/>
        <s v="Kiss4Money"/>
        <s v="AHgpuK1987"/>
        <s v="UmbrellaInc"/>
        <s v="S1lense"/>
        <s v="CrippledMind"/>
        <s v="Mackevgen"/>
        <s v="Monidestr"/>
        <s v="vezuxa"/>
        <s v="Hehek"/>
        <s v="mr_al3x"/>
        <s v="benyya"/>
        <s v="dimandmb1"/>
        <s v="Sun_Set_pro8"/>
        <s v="fraum@rta"/>
        <s v="barabashOva"/>
        <s v="Berebka"/>
        <s v="BodyaComUa"/>
        <s v="Davaibablo"/>
        <s v="d1mas98"/>
        <s v="komlew"/>
        <s v="cortiz0l"/>
        <s v="Ekx444"/>
        <s v="Farodit"/>
        <s v="PodbarelilNaES"/>
        <s v="fig6"/>
        <s v="kttweek1"/>
        <s v="kttweek2"/>
        <s v="KuCoH"/>
        <s v="eternity1"/>
        <s v="Vandaster"/>
        <s v="chik-chirik"/>
        <s v="Runhero"/>
        <s v="Pegasus38"/>
        <s v="Night Kin9"/>
        <s v="OneTaper"/>
        <s v="overplayKK"/>
        <s v="sqweez"/>
        <s v="0verplayKK"/>
        <s v="QQcheliQ"/>
        <s v="ChmonyaQQ"/>
        <s v="ArkhangelRus29"/>
        <s v="fskdfhslfhds"/>
        <s v="tarez"/>
        <s v="ushakov17"/>
        <s v="volkovsky"/>
        <s v="Brothers Grimm"/>
        <s v="guilexperi"/>
        <s v="NOT_bluffme"/>
        <s v="Supreme325i"/>
        <s v="s1mple-d1mpl"/>
        <s v="Freedoom88"/>
        <s v="TVREZ"/>
        <s v="DepositBeast"/>
        <s v="Nibus90"/>
        <s v="iNibus"/>
        <s v="VermillionPST"/>
        <s v="mdzr"/>
        <s v="Rus29APX"/>
        <s v="RaphaelNadal"/>
        <s v="DeusRus"/>
        <s v="Enchilakos"/>
        <s v="GGhero1"/>
        <s v="NenMaster"/>
        <s v="storrm"/>
        <m/>
      </sharedItems>
    </cacheField>
    <cacheField name="Start Date" numFmtId="166">
      <sharedItems containsDate="1" containsString="0" containsBlank="1">
        <d v="2022-11-21T00:00:00Z"/>
        <d v="2022-12-21T00:00:00Z"/>
        <d v="2022-03-29T00:00:00Z"/>
        <d v="2022-05-01T00:00:00Z"/>
        <d v="2022-06-01T00:00:00Z"/>
        <d v="2022-07-01T00:00:00Z"/>
        <d v="2022-08-01T00:00:00Z"/>
        <d v="2022-09-01T00:00:00Z"/>
        <d v="2022-10-01T00:00:00Z"/>
        <d v="2022-11-01T00:00:00Z"/>
        <d v="2021-09-21T00:00:00Z"/>
        <d v="2021-10-21T00:00:00Z"/>
        <d v="2021-11-21T00:00:00Z"/>
        <d v="2023-01-01T00:00:00Z"/>
        <d v="2022-04-06T00:00:00Z"/>
        <d v="2022-12-01T00:00:00Z"/>
        <d v="2021-01-21T00:00:00Z"/>
        <d v="2021-02-21T00:00:00Z"/>
        <d v="2021-03-21T00:00:00Z"/>
        <d v="2021-04-21T00:00:00Z"/>
        <d v="2021-05-21T00:00:00Z"/>
        <d v="2021-06-21T00:00:00Z"/>
        <d v="2021-07-21T00:00:00Z"/>
        <d v="2021-08-21T00:00:00Z"/>
        <d v="2021-12-21T00:00:00Z"/>
        <d v="2022-01-21T00:00:00Z"/>
        <d v="2022-02-21T00:00:00Z"/>
        <d v="2022-03-21T00:00:00Z"/>
        <d v="2022-04-21T00:00:00Z"/>
        <d v="2022-05-21T00:00:00Z"/>
        <d v="2022-06-21T00:00:00Z"/>
        <d v="2022-07-21T00:00:00Z"/>
        <d v="2022-08-21T00:00:00Z"/>
        <d v="2022-09-21T00:00:00Z"/>
        <d v="2022-10-21T00:00:00Z"/>
        <d v="2022-03-01T00:00:00Z"/>
        <d v="2023-02-01T00:00:00Z"/>
        <d v="2023-01-21T00:00:00Z"/>
        <d v="2023-02-21T00:00:00Z"/>
        <d v="2022-04-01T00:00:00Z"/>
        <d v="2021-10-01T00:00:00Z"/>
        <d v="2022-08-29T00:00:00Z"/>
        <d v="2022-07-23T00:00:00Z"/>
        <d v="2021-01-01T00:00:00Z"/>
        <d v="2021-02-01T00:00:00Z"/>
        <d v="2021-03-01T00:00:00Z"/>
        <d v="2021-04-01T00:00:00Z"/>
        <d v="2021-05-01T00:00:00Z"/>
        <d v="2021-06-01T00:00:00Z"/>
        <d v="2022-12-08T00:00:00Z"/>
        <d v="2022-06-26T00:00:00Z"/>
        <d v="2022-03-08T00:00:00Z"/>
        <d v="2021-11-01T00:00:00Z"/>
        <d v="2021-12-01T00:00:00Z"/>
        <d v="2022-05-17T00:00:00Z"/>
        <d v="2022-02-01T00:00:00Z"/>
        <d v="2023-02-06T00:00:00Z"/>
        <d v="2022-05-06T00:00:00Z"/>
        <d v="2022-06-25T00:00:00Z"/>
        <d v="2022-05-19T00:00:00Z"/>
        <d v="2022-06-03T00:00:00Z"/>
        <d v="2022-12-28T00:00:00Z"/>
        <d v="2022-11-18T00:00:00Z"/>
        <d v="2021-06-23T00:00:00Z"/>
        <d v="2022-01-01T00:00:00Z"/>
        <d v="2022-04-11T00:00:00Z"/>
        <d v="2022-07-31T00:00:00Z"/>
        <d v="2022-05-03T00:00:00Z"/>
        <d v="2022-12-27T00:00:00Z"/>
        <d v="2022-09-29T00:00:00Z"/>
        <d v="2022-02-28T00:00:00Z"/>
        <d v="2021-09-01T00:00:00Z"/>
        <d v="2022-11-05T00:00:00Z"/>
        <d v="2022-11-26T00:00:00Z"/>
        <d v="2022-05-04T00:00:00Z"/>
        <d v="2022-11-08T00:00:00Z"/>
        <d v="2020-08-21T00:00:00Z"/>
        <d v="2020-09-21T00:00:00Z"/>
        <d v="2020-10-21T00:00:00Z"/>
        <d v="2020-11-21T00:00:00Z"/>
        <d v="2020-12-21T00:00:00Z"/>
        <d v="2022-03-12T00:00:00Z"/>
        <d v="2021-11-03T00:00:00Z"/>
        <d v="2022-11-10T00:00:00Z"/>
        <d v="2022-05-23T00:00:00Z"/>
        <d v="2022-10-15T00:00:00Z"/>
        <d v="2023-02-23T00:00:00Z"/>
        <d v="2023-02-03T00:00:00Z"/>
        <d v="2022-10-25T00:00:00Z"/>
        <d v="2023-02-18T00:00:00Z"/>
        <m/>
      </sharedItems>
    </cacheField>
    <cacheField name="End Date" numFmtId="167">
      <sharedItems containsDate="1" containsString="0" containsBlank="1">
        <d v="2022-12-20T00:00:00Z"/>
        <d v="2023-01-20T00:00:00Z"/>
        <d v="2022-04-30T00:00:00Z"/>
        <d v="2022-05-31T00:00:00Z"/>
        <d v="2022-06-30T00:00:00Z"/>
        <d v="2022-07-31T00:00:00Z"/>
        <d v="2022-08-31T00:00:00Z"/>
        <d v="2022-09-30T00:00:00Z"/>
        <d v="2022-10-31T00:00:00Z"/>
        <d v="2022-11-30T00:00:00Z"/>
        <d v="2021-10-20T00:00:00Z"/>
        <d v="2021-11-20T00:00:00Z"/>
        <d v="2021-12-20T00:00:00Z"/>
        <d v="2023-01-31T00:00:00Z"/>
        <d v="2022-12-31T00:00:00Z"/>
        <d v="2021-02-20T00:00:00Z"/>
        <d v="2021-03-20T00:00:00Z"/>
        <d v="2021-04-20T00:00:00Z"/>
        <d v="2021-05-20T00:00:00Z"/>
        <d v="2021-06-20T00:00:00Z"/>
        <d v="2021-07-20T00:00:00Z"/>
        <d v="2021-08-20T00:00:00Z"/>
        <d v="2021-09-20T00:00:00Z"/>
        <d v="2022-01-20T00:00:00Z"/>
        <d v="2022-02-20T00:00:00Z"/>
        <d v="2022-03-20T00:00:00Z"/>
        <d v="2022-04-20T00:00:00Z"/>
        <d v="2022-05-20T00:00:00Z"/>
        <d v="2022-06-20T00:00:00Z"/>
        <d v="2022-07-20T00:00:00Z"/>
        <d v="2022-08-20T00:00:00Z"/>
        <d v="2022-09-20T00:00:00Z"/>
        <d v="2022-10-20T00:00:00Z"/>
        <d v="2022-11-20T00:00:00Z"/>
        <d v="2022-02-28T00:00:00Z"/>
        <d v="2022-03-31T00:00:00Z"/>
        <d v="2022-05-16T00:00:00Z"/>
        <d v="2023-02-28T00:00:00Z"/>
        <d v="2023-02-20T00:00:00Z"/>
        <d v="2023-03-20T00:00:00Z"/>
        <d v="2021-10-31T00:00:00Z"/>
        <d v="2021-01-31T00:00:00Z"/>
        <d v="2021-02-28T00:00:00Z"/>
        <d v="2021-03-31T00:00:00Z"/>
        <d v="2021-04-30T00:00:00Z"/>
        <d v="2021-05-31T00:00:00Z"/>
        <d v="2021-06-30T00:00:00Z"/>
        <d v="2021-11-30T00:00:00Z"/>
        <d v="2022-01-31T00:00:00Z"/>
        <d v="2022-11-18T00:00:00Z"/>
        <d v="2022-06-24T00:00:00Z"/>
        <d v="2022-12-27T00:00:00Z"/>
        <d v="2021-12-31T00:00:00Z"/>
        <d v="2022-12-26T00:00:00Z"/>
        <d v="2021-09-30T00:00:00Z"/>
        <d v="2022-11-04T00:00:00Z"/>
        <d v="2022-11-07T00:00:00Z"/>
        <d v="2020-09-20T00:00:00Z"/>
        <d v="2020-10-20T00:00:00Z"/>
        <d v="2020-11-20T00:00:00Z"/>
        <d v="2020-12-20T00:00:00Z"/>
        <d v="2021-01-20T00:00:00Z"/>
        <d v="2022-03-21T00:00:00Z"/>
        <d v="2023-02-23T00:00:00Z"/>
        <d v="2023-02-03T00:00:00Z"/>
        <m/>
      </sharedItems>
    </cacheField>
    <cacheField name="Period">
      <sharedItems containsDate="1" containsBlank="1" containsMixedTypes="1">
        <d v="2022-12-01T00:00:00Z"/>
        <d v="2023-01-01T00:00:00Z"/>
        <d v="2022-04-01T00:00:00Z"/>
        <d v="2022-05-01T00:00:00Z"/>
        <d v="2022-06-01T00:00:00Z"/>
        <d v="2022-07-01T00:00:00Z"/>
        <d v="2022-08-01T00:00:00Z"/>
        <d v="2022-09-01T00:00:00Z"/>
        <d v="2022-10-01T00:00:00Z"/>
        <d v="2022-11-01T00:00:00Z"/>
        <d v="2021-10-01T00:00:00Z"/>
        <d v="2021-11-01T00:00:00Z"/>
        <d v="2021-12-01T00:00:00Z"/>
        <d v="2021-02-01T00:00:00Z"/>
        <d v="2021-03-01T00:00:00Z"/>
        <d v="2021-04-01T00:00:00Z"/>
        <d v="2021-05-01T00:00:00Z"/>
        <d v="2021-06-01T00:00:00Z"/>
        <d v="2021-07-01T00:00:00Z"/>
        <d v="2021-08-01T00:00:00Z"/>
        <d v="2021-09-01T00:00:00Z"/>
        <d v="2022-01-01T00:00:00Z"/>
        <d v="2022-02-01T00:00:00Z"/>
        <d v="2022-03-01T00:00:00Z"/>
        <d v="2023-02-01T00:00:00Z"/>
        <d v="2023-03-01T00:00:00Z"/>
        <d v="2021-01-01T00:00:00Z"/>
        <s v="Ferbuary 2022"/>
        <d v="2020-09-01T00:00:00Z"/>
        <d v="2020-10-01T00:00:00Z"/>
        <d v="2020-11-01T00:00:00Z"/>
        <d v="2020-12-01T00:00:00Z"/>
        <m/>
      </sharedItems>
    </cacheField>
    <cacheField name="EV Deal" numFmtId="169">
      <sharedItems containsBlank="1">
        <s v="Steel Phoenix"/>
        <s v="Without EV deal"/>
        <s v="Hyperschool"/>
        <m/>
      </sharedItems>
    </cacheField>
    <cacheField name="Poker Room" numFmtId="0">
      <sharedItems containsBlank="1">
        <s v="PokerStars COM/EU"/>
        <s v="RedStar"/>
        <s v="Winamax"/>
        <s v="PartyPoker COM/EU"/>
        <s v="GGNetwork"/>
        <s v="Pokerdom"/>
        <s v="PokerStars ES/FR"/>
        <m/>
      </sharedItems>
    </cacheField>
    <cacheField name="Stake Name" numFmtId="49">
      <sharedItems containsBlank="1">
        <s v="$2"/>
        <s v="$5 (1M)"/>
        <s v="$10"/>
        <s v="$1"/>
        <s v="$2 Flash"/>
        <s v="$0.25"/>
        <s v="$25"/>
        <s v="$1 Flash"/>
        <s v="$0.25 Flash"/>
        <s v="€5"/>
        <s v="€10"/>
        <s v="€20"/>
        <s v="€50"/>
        <s v="€100"/>
        <s v="€10 (MP)"/>
        <s v="€10 (old)"/>
        <s v="€10 (bf 05.05)"/>
        <s v="€25 (bf 05.05)"/>
        <s v="€500 Nitro"/>
        <s v="$100"/>
        <s v="$20"/>
        <s v="$50"/>
        <s v="$100 Ultra"/>
        <s v="$20 Ultra"/>
        <s v="$50 Ultra"/>
        <s v="$10 Ultra"/>
        <m/>
        <s v="$10 (1M)"/>
        <s v="$100 Flash"/>
        <s v="$50 Flash"/>
        <s v="$5"/>
        <s v="$25 Flash"/>
        <s v="$250"/>
        <s v="$5 Flash (1M)"/>
        <s v="€10 Nitro (old)"/>
        <s v="€25 (old)"/>
        <s v="€25 (MP)"/>
        <s v="€500"/>
        <s v="€50(wx) new"/>
        <s v="€50 Nitro (bf 05.05)"/>
        <s v="€50 Nitro (bf 01.08)"/>
        <s v="€50 Nitro"/>
        <s v="€50 (old)"/>
        <s v="€50 (bf 01.08)"/>
        <s v="$10 Flash"/>
        <s v="$3"/>
        <s v="€5 (bf 05.05)"/>
        <s v="€50 (bf 05.05)"/>
        <s v="€5 (bf 01.08)"/>
        <s v="€25 (bf 01.08)"/>
        <s v="€250 Nitro"/>
        <s v="€250"/>
        <s v="€25(wx) new"/>
        <s v="€25(nitro) new"/>
        <s v="€25 Nitro (bf 05.05)"/>
        <s v="€25 Nitro (bf 01.08)"/>
        <s v="€25 Nitro"/>
        <s v="$500"/>
        <s v="$1000"/>
        <s v="$250 Flash"/>
        <s v="$500 Flash"/>
        <s v="€10 (bf 01.08)"/>
        <s v="$200"/>
        <s v="1000 rub"/>
        <s v="2500 rub"/>
        <s v="5000 rub"/>
        <s v="€10 (1M)"/>
        <s v="€25"/>
        <s v="€0.25 Flash"/>
        <s v="$100 HU HT"/>
        <s v="$5 Flash"/>
        <s v="€2 (bf 01.08)"/>
        <s v="€2"/>
        <s v="€100 Nitro (old)"/>
        <s v="€200"/>
        <s v="$10 (1M) (old)"/>
        <s v="$3 Ultra"/>
        <s v="€100 Nitro"/>
        <s v="€100 (old)"/>
        <s v="€10(wx) new"/>
        <s v="€10 Nitro (bf 05.05)"/>
        <s v="$1000 HUHT"/>
        <s v="$500 HUHT"/>
        <s v="$200 HUHT"/>
        <s v="$300 HUHT"/>
        <s v="$100 HUHT"/>
        <s v="€5 (1M)"/>
        <s v="$5 (1M) Flash"/>
        <s v="€5 Nitro"/>
        <s v="€5(wx) new"/>
        <s v="€1"/>
        <s v="€0.25(nitro) new"/>
      </sharedItems>
    </cacheField>
    <cacheField name="Speed" numFmtId="49">
      <sharedItems containsBlank="1">
        <s v="Normal"/>
        <s v="Flash"/>
        <s v="Nitro"/>
        <s v="Ultra"/>
        <s v="GG"/>
        <m/>
        <s v="WMX"/>
        <s v="HT"/>
      </sharedItems>
    </cacheField>
    <cacheField name="Stake">
      <sharedItems containsBlank="1" containsMixedTypes="1" containsNumber="1">
        <n v="2.0"/>
        <n v="5.0"/>
        <n v="10.0"/>
        <n v="1.0"/>
        <n v="0.25"/>
        <n v="25.0"/>
        <n v="20.0"/>
        <n v="50.0"/>
        <n v="100.0"/>
        <n v="500.0"/>
        <m/>
        <n v="250.0"/>
        <n v="3.0"/>
        <n v="1000.0"/>
        <n v="200.0"/>
        <n v="2500.0"/>
        <n v="5000.0"/>
        <n v="300.0"/>
        <s v=""/>
      </sharedItems>
    </cacheField>
    <cacheField name="Games" numFmtId="0">
      <sharedItems containsString="0" containsBlank="1" containsNumber="1" containsInteger="1">
        <n v="1.0"/>
        <n v="695.0"/>
        <n v="1210.0"/>
        <n v="2.0"/>
        <n v="497.0"/>
        <n v="322.0"/>
        <n v="1951.0"/>
        <n v="22.0"/>
        <n v="209.0"/>
        <n v="1337.0"/>
        <n v="346.0"/>
        <n v="613.0"/>
        <n v="2139.0"/>
        <n v="3.0"/>
        <n v="135.0"/>
        <n v="3456.0"/>
        <n v="824.0"/>
        <n v="2938.0"/>
        <n v="1277.0"/>
        <n v="20.0"/>
        <n v="5.0"/>
        <n v="12.0"/>
        <n v="50.0"/>
        <n v="1598.0"/>
        <n v="1623.0"/>
        <n v="17.0"/>
        <n v="2572.0"/>
        <n v="882.0"/>
        <n v="26.0"/>
        <n v="337.0"/>
        <n v="158.0"/>
        <n v="98.0"/>
        <n v="7.0"/>
        <n v="175.0"/>
        <n v="625.0"/>
        <n v="253.0"/>
        <n v="221.0"/>
        <n v="127.0"/>
        <n v="33.0"/>
        <n v="13.0"/>
        <n v="352.0"/>
        <n v="455.0"/>
        <n v="197.0"/>
        <n v="48.0"/>
        <n v="2332.0"/>
        <n v="112.0"/>
        <n v="36.0"/>
        <n v="14.0"/>
        <n v="196.0"/>
        <n v="70.0"/>
        <n v="495.0"/>
        <n v="6439.0"/>
        <n v="3906.0"/>
        <n v="2201.0"/>
        <n v="6427.0"/>
        <n v="7523.0"/>
        <n v="6140.0"/>
        <n v="7000.0"/>
        <n v="7714.0"/>
        <n v="6917.0"/>
        <n v="4098.0"/>
        <n v="2343.0"/>
        <m/>
        <n v="3075.0"/>
        <n v="1004.0"/>
        <n v="15.0"/>
        <n v="332.0"/>
        <n v="3383.0"/>
        <n v="1069.0"/>
        <n v="3025.0"/>
        <n v="7097.0"/>
        <n v="309.0"/>
        <n v="170.0"/>
        <n v="3021.0"/>
        <n v="4562.0"/>
        <n v="979.0"/>
        <n v="1044.0"/>
        <n v="1901.0"/>
        <n v="1323.0"/>
        <n v="5105.0"/>
        <n v="6.0"/>
        <n v="4170.0"/>
        <n v="9.0"/>
        <n v="4158.0"/>
        <n v="4.0"/>
        <n v="3381.0"/>
        <n v="4037.0"/>
        <n v="4468.0"/>
        <n v="4767.0"/>
        <n v="1300.0"/>
        <n v="51.0"/>
        <n v="2500.0"/>
        <n v="52.0"/>
        <n v="4601.0"/>
        <n v="68.0"/>
        <n v="1275.0"/>
        <n v="1700.0"/>
        <n v="3500.0"/>
        <n v="2801.0"/>
        <n v="2800.0"/>
        <n v="1374.0"/>
        <n v="1620.0"/>
        <n v="1325.0"/>
        <n v="1875.0"/>
        <n v="1518.0"/>
        <n v="1042.0"/>
        <n v="1880.0"/>
        <n v="2085.0"/>
        <n v="1844.0"/>
        <n v="261.0"/>
        <n v="69.0"/>
        <n v="1155.0"/>
        <n v="2669.0"/>
        <n v="192.0"/>
        <n v="1914.0"/>
        <n v="1800.0"/>
        <n v="252.0"/>
        <n v="3005.0"/>
        <n v="3196.0"/>
        <n v="166.0"/>
        <n v="6001.0"/>
        <n v="2718.0"/>
        <n v="145.0"/>
        <n v="439.0"/>
        <n v="2944.0"/>
        <n v="63.0"/>
        <n v="673.0"/>
        <n v="199.0"/>
        <n v="82.0"/>
        <n v="2213.0"/>
        <n v="1033.0"/>
        <n v="1286.0"/>
        <n v="371.0"/>
        <n v="313.0"/>
        <n v="126.0"/>
        <n v="1769.0"/>
        <n v="483.0"/>
        <n v="99.0"/>
        <n v="58.0"/>
        <n v="595.0"/>
        <n v="520.0"/>
        <n v="998.0"/>
        <n v="1600.0"/>
        <n v="931.0"/>
        <n v="244.0"/>
        <n v="640.0"/>
        <n v="320.0"/>
        <n v="210.0"/>
        <n v="3731.0"/>
        <n v="569.0"/>
        <n v="493.0"/>
        <n v="28.0"/>
        <n v="391.0"/>
        <n v="747.0"/>
        <n v="157.0"/>
        <n v="125.0"/>
        <n v="689.0"/>
        <n v="272.0"/>
        <n v="387.0"/>
        <n v="479.0"/>
        <n v="1158.0"/>
        <n v="93.0"/>
        <n v="162.0"/>
        <n v="259.0"/>
        <n v="243.0"/>
        <n v="693.0"/>
        <n v="3228.0"/>
        <n v="67.0"/>
        <n v="1559.0"/>
        <n v="567.0"/>
        <n v="186.0"/>
        <n v="110.0"/>
        <n v="360.0"/>
        <n v="66.0"/>
        <n v="379.0"/>
        <n v="3892.0"/>
        <n v="731.0"/>
        <n v="1729.0"/>
        <n v="42.0"/>
        <n v="72.0"/>
        <n v="32.0"/>
        <n v="1679.0"/>
        <n v="1737.0"/>
        <n v="557.0"/>
        <n v="859.0"/>
        <n v="19.0"/>
        <n v="1132.0"/>
        <n v="1504.0"/>
        <n v="1549.0"/>
        <n v="1973.0"/>
        <n v="1853.0"/>
        <n v="2373.0"/>
        <n v="2789.0"/>
        <n v="1016.0"/>
        <n v="2153.0"/>
        <n v="3011.0"/>
        <n v="2691.0"/>
        <n v="2783.0"/>
        <n v="2952.0"/>
        <n v="2673.0"/>
        <n v="3082.0"/>
        <n v="2772.0"/>
        <n v="341.0"/>
        <n v="2243.0"/>
        <n v="797.0"/>
        <n v="121.0"/>
        <n v="1393.0"/>
        <n v="891.0"/>
        <n v="1801.0"/>
        <n v="1473.0"/>
        <n v="324.0"/>
        <n v="2174.0"/>
        <n v="717.0"/>
        <n v="3412.0"/>
        <n v="24.0"/>
        <n v="2183.0"/>
        <n v="286.0"/>
        <n v="654.0"/>
        <n v="1118.0"/>
        <n v="6744.0"/>
        <n v="1266.0"/>
        <n v="3317.0"/>
        <n v="1397.0"/>
        <n v="6194.0"/>
        <n v="6733.0"/>
        <n v="8252.0"/>
        <n v="56.0"/>
        <n v="44.0"/>
        <n v="2577.0"/>
        <n v="500.0"/>
        <n v="114.0"/>
        <n v="5509.0"/>
        <n v="10285.0"/>
        <n v="9330.0"/>
        <n v="6886.0"/>
        <n v="4885.0"/>
        <n v="3439.0"/>
        <n v="2026.0"/>
        <n v="1466.0"/>
        <n v="408.0"/>
        <n v="803.0"/>
        <n v="180.0"/>
        <n v="74.0"/>
        <n v="1354.0"/>
        <n v="1447.0"/>
        <n v="1899.0"/>
        <n v="1866.0"/>
        <n v="1659.0"/>
        <n v="2899.0"/>
        <n v="10.0"/>
        <n v="1408.0"/>
        <n v="3705.0"/>
        <n v="308.0"/>
        <n v="2226.0"/>
        <n v="2757.0"/>
        <n v="4647.0"/>
        <n v="35.0"/>
        <n v="2104.0"/>
        <n v="1102.0"/>
        <n v="0.0"/>
        <n v="1652.0"/>
        <n v="365.0"/>
        <n v="1193.0"/>
        <n v="3717.0"/>
        <n v="2463.0"/>
        <n v="1250.0"/>
        <n v="1664.0"/>
        <n v="160.0"/>
        <n v="509.0"/>
        <n v="2775.0"/>
        <n v="14983.0"/>
        <n v="5891.0"/>
        <n v="10950.0"/>
        <n v="1160.0"/>
        <n v="2283.0"/>
        <n v="16446.0"/>
        <n v="1859.0"/>
        <n v="6684.0"/>
        <n v="8755.0"/>
        <n v="638.0"/>
        <n v="8717.0"/>
        <n v="2668.0"/>
        <n v="138.0"/>
        <n v="19718.0"/>
        <n v="857.0"/>
        <n v="18713.0"/>
        <n v="5133.0"/>
        <n v="90.0"/>
        <n v="649.0"/>
        <n v="144.0"/>
        <n v="1299.0"/>
        <n v="1308.0"/>
        <n v="195.0"/>
        <n v="883.0"/>
        <n v="258.0"/>
        <n v="2074.0"/>
        <n v="85.0"/>
        <n v="1184.0"/>
        <n v="37.0"/>
        <n v="1509.0"/>
        <n v="682.0"/>
        <n v="64.0"/>
        <n v="73.0"/>
        <n v="326.0"/>
        <n v="546.0"/>
        <n v="1262.0"/>
        <n v="697.0"/>
        <n v="442.0"/>
        <n v="1197.0"/>
        <n v="850.0"/>
        <n v="401.0"/>
        <n v="617.0"/>
        <n v="60.0"/>
        <n v="1818.0"/>
        <n v="2612.0"/>
        <n v="254.0"/>
        <n v="163.0"/>
        <n v="122.0"/>
        <n v="1944.0"/>
        <n v="129.0"/>
        <n v="745.0"/>
        <n v="537.0"/>
        <n v="588.0"/>
        <n v="805.0"/>
        <n v="133.0"/>
        <n v="1174.0"/>
        <n v="2856.0"/>
        <n v="1351.0"/>
        <n v="100.0"/>
        <n v="529.0"/>
        <n v="16.0"/>
        <n v="1507.0"/>
        <n v="1032.0"/>
        <n v="1121.0"/>
        <n v="983.0"/>
        <n v="1761.0"/>
        <n v="871.0"/>
        <n v="81.0"/>
        <n v="2168.0"/>
        <n v="971.0"/>
        <n v="2412.0"/>
        <n v="573.0"/>
        <n v="2203.0"/>
        <n v="1602.0"/>
        <n v="456.0"/>
        <n v="27.0"/>
        <n v="687.0"/>
        <n v="915.0"/>
        <n v="1932.0"/>
        <n v="614.0"/>
        <n v="43.0"/>
        <n v="378.0"/>
        <n v="890.0"/>
        <n v="1056.0"/>
        <n v="234.0"/>
        <n v="3365.0"/>
        <n v="3234.0"/>
        <n v="582.0"/>
        <n v="1949.0"/>
        <n v="1009.0"/>
        <n v="327.0"/>
        <n v="435.0"/>
        <n v="119.0"/>
        <n v="4229.0"/>
        <n v="938.0"/>
        <n v="837.0"/>
        <n v="106.0"/>
        <n v="2365.0"/>
        <n v="1242.0"/>
        <n v="124.0"/>
        <n v="296.0"/>
        <n v="4259.0"/>
        <n v="751.0"/>
        <n v="23.0"/>
        <n v="115.0"/>
        <n v="760.0"/>
        <n v="906.0"/>
        <n v="3494.0"/>
        <n v="131.0"/>
        <n v="709.0"/>
        <n v="1604.0"/>
        <n v="1766.0"/>
        <n v="2336.0"/>
        <n v="794.0"/>
        <n v="1506.0"/>
        <n v="301.0"/>
        <n v="7092.0"/>
        <n v="1732.0"/>
        <n v="1682.0"/>
        <n v="146.0"/>
        <n v="231.0"/>
        <n v="25.0"/>
        <n v="1627.0"/>
        <n v="375.0"/>
        <n v="1099.0"/>
        <n v="250.0"/>
        <n v="2552.0"/>
        <n v="961.0"/>
        <n v="860.0"/>
        <n v="577.0"/>
        <n v="2302.0"/>
        <n v="177.0"/>
        <n v="1345.0"/>
        <n v="3376.0"/>
        <n v="149.0"/>
        <n v="290.0"/>
        <n v="506.0"/>
        <n v="1190.0"/>
        <n v="656.0"/>
        <n v="1119.0"/>
        <n v="1025.0"/>
        <n v="701.0"/>
        <n v="5200.0"/>
        <n v="1010.0"/>
        <n v="1297.0"/>
        <n v="528.0"/>
        <n v="1196.0"/>
        <n v="49.0"/>
        <n v="833.0"/>
        <n v="5933.0"/>
        <n v="14189.0"/>
        <n v="1129.0"/>
        <n v="1728.0"/>
        <n v="9178.0"/>
        <n v="8918.0"/>
        <n v="217.0"/>
        <n v="4314.0"/>
        <n v="6021.0"/>
        <n v="1704.0"/>
        <n v="8479.0"/>
        <n v="7363.0"/>
        <n v="1455.0"/>
        <n v="3969.0"/>
        <n v="532.0"/>
        <n v="4490.0"/>
        <n v="123.0"/>
        <n v="3160.0"/>
        <n v="4239.0"/>
        <n v="4289.0"/>
        <n v="4462.0"/>
        <n v="2906.0"/>
        <n v="2827.0"/>
        <n v="1203.0"/>
        <n v="293.0"/>
        <n v="1856.0"/>
        <n v="398.0"/>
        <n v="97.0"/>
        <n v="183.0"/>
        <n v="1864.0"/>
        <n v="274.0"/>
        <n v="277.0"/>
        <n v="667.0"/>
        <n v="5150.0"/>
        <n v="1612.0"/>
        <n v="1812.0"/>
        <n v="476.0"/>
        <n v="727.0"/>
        <n v="454.0"/>
        <n v="91.0"/>
        <n v="1258.0"/>
        <n v="1821.0"/>
        <n v="314.0"/>
        <n v="2212.0"/>
        <n v="8.0"/>
        <n v="1305.0"/>
        <n v="972.0"/>
        <n v="1614.0"/>
        <n v="1809.0"/>
        <n v="130.0"/>
        <n v="826.0"/>
        <n v="565.0"/>
        <n v="267.0"/>
        <n v="1439.0"/>
        <n v="1211.0"/>
        <n v="597.0"/>
        <n v="1512.0"/>
        <n v="730.0"/>
        <n v="1753.0"/>
        <n v="31.0"/>
        <n v="279.0"/>
        <n v="285.0"/>
        <n v="18.0"/>
        <n v="652.0"/>
        <n v="778.0"/>
        <n v="631.0"/>
        <n v="519.0"/>
        <n v="137.0"/>
        <n v="54.0"/>
        <n v="1428.0"/>
        <n v="367.0"/>
        <n v="132.0"/>
        <n v="120.0"/>
        <n v="464.0"/>
        <n v="1966.0"/>
        <n v="1243.0"/>
        <n v="2221.0"/>
        <n v="1157.0"/>
        <n v="4332.0"/>
        <n v="4128.0"/>
        <n v="370.0"/>
        <n v="4567.0"/>
        <n v="233.0"/>
        <n v="3768.0"/>
        <n v="3279.0"/>
        <n v="405.0"/>
        <n v="46.0"/>
        <n v="3257.0"/>
        <n v="2798.0"/>
        <n v="76.0"/>
        <n v="3157.0"/>
        <n v="2814.0"/>
        <n v="102.0"/>
        <n v="11.0"/>
        <n v="1421.0"/>
        <n v="2900.0"/>
        <n v="930.0"/>
        <n v="1502.0"/>
        <n v="574.0"/>
        <n v="1665.0"/>
        <n v="868.0"/>
        <n v="1125.0"/>
        <n v="872.0"/>
        <n v="241.0"/>
        <n v="539.0"/>
        <n v="1582.0"/>
        <n v="3553.0"/>
        <n v="3781.0"/>
        <n v="11801.0"/>
        <n v="503.0"/>
        <n v="1656.0"/>
        <n v="260.0"/>
        <n v="5742.0"/>
        <n v="967.0"/>
        <n v="1080.0"/>
        <n v="6912.0"/>
        <n v="213.0"/>
        <n v="769.0"/>
        <n v="57.0"/>
        <n v="3053.0"/>
        <n v="381.0"/>
        <n v="633.0"/>
        <n v="711.0"/>
        <n v="29.0"/>
        <n v="2235.0"/>
        <n v="746.0"/>
        <n v="1110.0"/>
        <n v="372.0"/>
        <n v="2214.0"/>
        <n v="2804.0"/>
        <n v="2460.0"/>
        <n v="270.0"/>
        <n v="21.0"/>
        <n v="40.0"/>
        <n v="235.0"/>
        <n v="1359.0"/>
        <n v="107.0"/>
        <n v="855.0"/>
        <n v="392.0"/>
        <n v="1387.0"/>
        <n v="443.0"/>
        <n v="364.0"/>
        <n v="1164.0"/>
        <n v="276.0"/>
        <n v="390.0"/>
        <n v="978.0"/>
        <n v="600.0"/>
        <n v="1195.0"/>
        <n v="275.0"/>
        <n v="1229.0"/>
        <n v="524.0"/>
        <n v="1238.0"/>
        <n v="1972.0"/>
        <n v="511.0"/>
        <n v="989.0"/>
        <n v="300.0"/>
        <n v="1936.0"/>
        <n v="1402.0"/>
        <n v="187.0"/>
        <n v="1041.0"/>
        <n v="1290.0"/>
        <n v="1177.0"/>
        <n v="1079.0"/>
        <n v="205.0"/>
        <n v="2319.0"/>
        <n v="1090.0"/>
        <n v="1095.0"/>
        <n v="1231.0"/>
        <n v="2335.0"/>
        <n v="220.0"/>
        <n v="646.0"/>
        <n v="55.0"/>
        <n v="993.0"/>
        <n v="1666.0"/>
        <n v="2044.0"/>
        <n v="1497.0"/>
        <n v="108.0"/>
        <n v="1908.0"/>
        <n v="368.0"/>
        <n v="403.0"/>
        <n v="8000.0"/>
        <n v="1282.0"/>
        <n v="287.0"/>
        <n v="719.0"/>
        <n v="2321.0"/>
        <n v="1628.0"/>
        <n v="1687.0"/>
        <n v="4513.0"/>
        <n v="466.0"/>
        <n v="2709.0"/>
        <n v="9217.0"/>
        <n v="6225.0"/>
        <n v="6023.0"/>
        <n v="5437.0"/>
        <n v="450.0"/>
        <n v="4149.0"/>
        <n v="4956.0"/>
        <n v="2511.0"/>
        <n v="2340.0"/>
        <n v="3427.0"/>
        <n v="1124.0"/>
        <n v="7154.0"/>
        <n v="5359.0"/>
        <n v="1172.0"/>
        <n v="5355.0"/>
        <n v="84.0"/>
        <n v="3074.0"/>
        <n v="584.0"/>
        <n v="7103.0"/>
        <n v="1315.0"/>
        <n v="1718.0"/>
        <n v="1556.0"/>
        <n v="189.0"/>
        <n v="1370.0"/>
        <n v="2553.0"/>
        <n v="1513.0"/>
        <n v="612.0"/>
        <n v="1053.0"/>
        <n v="774.0"/>
        <n v="1636.0"/>
        <n v="212.0"/>
        <n v="1420.0"/>
        <n v="1854.0"/>
        <n v="510.0"/>
        <n v="2743.0"/>
        <n v="504.0"/>
        <n v="2490.0"/>
        <n v="140.0"/>
        <n v="948.0"/>
        <n v="156.0"/>
        <n v="4477.0"/>
        <n v="3939.0"/>
        <n v="89.0"/>
        <n v="4690.0"/>
        <n v="4826.0"/>
        <n v="7498.0"/>
        <n v="5029.0"/>
        <n v="3263.0"/>
        <n v="889.0"/>
        <n v="845.0"/>
        <n v="5525.0"/>
        <n v="1008.0"/>
        <n v="15333.0"/>
        <n v="1942.0"/>
        <n v="3690.0"/>
        <n v="661.0"/>
        <n v="785.0"/>
        <n v="2060.0"/>
        <n v="3297.0"/>
        <n v="62.0"/>
        <n v="5788.0"/>
        <n v="1036.0"/>
        <n v="791.0"/>
        <n v="1848.0"/>
        <n v="3455.0"/>
        <n v="2915.0"/>
        <n v="2746.0"/>
        <n v="427.0"/>
        <n v="1923.0"/>
        <n v="4073.0"/>
        <n v="1524.0"/>
        <n v="5617.0"/>
        <n v="498.0"/>
        <n v="958.0"/>
        <n v="2473.0"/>
        <n v="2192.0"/>
        <n v="5400.0"/>
        <n v="7421.0"/>
        <n v="3173.0"/>
        <n v="5906.0"/>
        <n v="404.0"/>
        <n v="164.0"/>
        <n v="1467.0"/>
        <n v="959.0"/>
        <n v="363.0"/>
        <n v="1904.0"/>
        <n v="1774.0"/>
        <n v="38.0"/>
        <n v="1928.0"/>
        <n v="2097.0"/>
        <n v="2151.0"/>
        <n v="306.0"/>
        <n v="1892.0"/>
        <n v="3031.0"/>
        <n v="1239.0"/>
        <n v="1200.0"/>
        <n v="2314.0"/>
        <n v="471.0"/>
        <n v="475.0"/>
        <n v="714.0"/>
        <n v="691.0"/>
        <n v="1128.0"/>
        <n v="426.0"/>
        <n v="1616.0"/>
        <n v="161.0"/>
        <n v="1040.0"/>
        <n v="630.0"/>
        <n v="545.0"/>
        <n v="1668.0"/>
        <n v="694.0"/>
        <n v="2392.0"/>
        <n v="413.0"/>
        <n v="400.0"/>
        <n v="1514.0"/>
        <n v="5335.0"/>
        <n v="518.0"/>
        <n v="1464.0"/>
        <n v="1768.0"/>
        <n v="179.0"/>
        <n v="399.0"/>
        <n v="96.0"/>
        <n v="333.0"/>
        <n v="432.0"/>
        <n v="101.0"/>
        <n v="3242.0"/>
        <n v="4185.0"/>
        <n v="880.0"/>
        <n v="4310.0"/>
        <n v="650.0"/>
        <n v="984.0"/>
        <n v="4968.0"/>
        <n v="237.0"/>
        <n v="5711.0"/>
        <n v="733.0"/>
        <n v="10829.0"/>
        <n v="83.0"/>
        <n v="5055.0"/>
        <n v="41.0"/>
        <n v="4854.0"/>
        <n v="4489.0"/>
        <n v="670.0"/>
        <n v="5063.0"/>
        <n v="3595.0"/>
        <n v="736.0"/>
        <n v="3619.0"/>
        <n v="3138.0"/>
        <n v="4085.0"/>
        <n v="3814.0"/>
        <n v="1888.0"/>
        <n v="2152.0"/>
        <n v="216.0"/>
        <n v="718.0"/>
        <n v="671.0"/>
        <n v="1073.0"/>
        <n v="680.0"/>
        <n v="95.0"/>
        <n v="522.0"/>
        <n v="193.0"/>
        <n v="580.0"/>
        <n v="473.0"/>
        <n v="563.0"/>
        <n v="703.0"/>
        <n v="698.0"/>
        <n v="428.0"/>
        <n v="686.0"/>
        <n v="305.0"/>
        <n v="681.0"/>
        <n v="832.0"/>
        <n v="380.0"/>
        <n v="579.0"/>
        <n v="203.0"/>
        <n v="190.0"/>
        <n v="947.0"/>
        <n v="462.0"/>
        <n v="2289.0"/>
        <n v="615.0"/>
        <n v="538.0"/>
        <n v="176.0"/>
        <n v="359.0"/>
        <n v="1150.0"/>
        <n v="30.0"/>
        <n v="88.0"/>
        <n v="171.0"/>
        <n v="821.0"/>
        <n v="1480.0"/>
        <n v="2403.0"/>
        <n v="105.0"/>
        <n v="5492.0"/>
        <n v="1974.0"/>
        <n v="2613.0"/>
        <n v="757.0"/>
        <n v="2248.0"/>
        <n v="1165.0"/>
        <n v="128.0"/>
        <n v="3206.0"/>
        <n v="194.0"/>
        <n v="4048.0"/>
        <n v="384.0"/>
        <n v="2405.0"/>
        <n v="3905.0"/>
        <n v="3340.0"/>
        <n v="3241.0"/>
        <n v="2232.0"/>
        <n v="3692.0"/>
        <n v="1000.0"/>
        <n v="1500.0"/>
        <n v="4343.0"/>
        <n v="1585.0"/>
        <n v="218.0"/>
        <n v="1993.0"/>
        <n v="10805.0"/>
        <n v="555.0"/>
        <n v="13583.0"/>
        <n v="3441.0"/>
        <n v="7818.0"/>
        <n v="2388.0"/>
        <n v="8534.0"/>
        <n v="444.0"/>
        <n v="165.0"/>
        <n v="78.0"/>
        <n v="2812.0"/>
        <n v="316.0"/>
        <n v="225.0"/>
        <n v="465.0"/>
        <n v="3954.0"/>
        <n v="6415.0"/>
        <n v="344.0"/>
        <n v="1293.0"/>
        <n v="2788.0"/>
        <n v="152.0"/>
        <n v="207.0"/>
        <n v="1694.0"/>
        <n v="2958.0"/>
        <n v="715.0"/>
        <n v="214.0"/>
        <n v="269.0"/>
        <n v="1814.0"/>
        <n v="2959.0"/>
        <n v="611.0"/>
        <n v="700.0"/>
        <n v="3318.0"/>
        <n v="3028.0"/>
        <n v="238.0"/>
        <n v="3410.0"/>
        <n v="4093.0"/>
        <n v="3366.0"/>
        <n v="1675.0"/>
        <n v="288.0"/>
        <n v="116.0"/>
        <n v="5864.0"/>
        <n v="1059.0"/>
        <n v="304.0"/>
        <n v="2389.0"/>
        <n v="2159.0"/>
        <n v="800.0"/>
        <n v="688.0"/>
        <n v="2140.0"/>
        <n v="5867.0"/>
        <n v="2911.0"/>
        <n v="4359.0"/>
        <n v="224.0"/>
        <n v="526.0"/>
        <n v="3726.0"/>
        <n v="350.0"/>
        <n v="1845.0"/>
        <n v="45.0"/>
        <n v="87.0"/>
        <n v="134.0"/>
        <n v="767.0"/>
        <n v="206.0"/>
        <n v="1781.0"/>
        <n v="2254.0"/>
        <n v="1989.0"/>
        <n v="75.0"/>
        <n v="4198.0"/>
        <n v="1956.0"/>
        <n v="356.0"/>
        <n v="9443.0"/>
        <n v="4008.0"/>
        <n v="440.0"/>
        <n v="6290.0"/>
        <n v="1717.0"/>
        <n v="251.0"/>
        <n v="1754.0"/>
        <n v="1689.0"/>
        <n v="10154.0"/>
        <n v="12000.0"/>
        <n v="4222.0"/>
        <n v="4165.0"/>
        <n v="2150.0"/>
        <n v="3955.0"/>
        <n v="1760.0"/>
        <n v="552.0"/>
        <n v="1947.0"/>
        <n v="61.0"/>
        <n v="184.0"/>
        <n v="12644.0"/>
        <n v="1101.0"/>
      </sharedItems>
    </cacheField>
    <cacheField name="Net Won" numFmtId="0">
      <sharedItems containsString="0" containsBlank="1" containsNumber="1">
        <n v="2.0"/>
        <n v="80.0"/>
        <n v="1340.0"/>
        <n v="-1.0"/>
        <n v="-2.0"/>
        <n v="0.0"/>
        <n v="350.0"/>
        <n v="-50.0"/>
        <n v="-60.0"/>
        <n v="6.0"/>
        <n v="90.0"/>
        <n v="-280.0"/>
        <n v="-750.0"/>
        <n v="1.0"/>
        <n v="-120.0"/>
        <n v="-30.0"/>
        <n v="10.0"/>
        <n v="525.0"/>
        <n v="1560.0"/>
        <n v="-925.0"/>
        <n v="-5.0"/>
        <n v="1220.0"/>
        <n v="3775.0"/>
        <n v="-25.0"/>
        <n v="-4.0"/>
        <n v="7.89"/>
        <n v="504.17"/>
        <n v="1024.12"/>
        <n v="26.82"/>
        <n v="-1344.74"/>
        <n v="-1152.86"/>
        <n v="-3.4"/>
        <n v="-533.74"/>
        <n v="-62.56"/>
        <n v="-77.61"/>
        <n v="-158.38"/>
        <n v="-27.72"/>
        <n v="-70.0"/>
        <n v="58.0"/>
        <n v="45.0"/>
        <n v="-310.0"/>
        <n v="-90.0"/>
        <n v="2500.0"/>
        <n v="-500.0"/>
        <n v="750.0"/>
        <n v="-200.0"/>
        <n v="140.0"/>
        <n v="260.0"/>
        <n v="-300.0"/>
        <n v="-100.0"/>
        <n v="-2640.0"/>
        <n v="60.0"/>
        <n v="150.0"/>
        <n v="-180.0"/>
        <n v="40.0"/>
        <n v="-172.0"/>
        <n v="-1393.0"/>
        <n v="-4880.0"/>
        <n v="-370.0"/>
        <n v="-4580.0"/>
        <n v="-220.0"/>
        <n v="-8250.0"/>
        <n v="-10295.0"/>
        <n v="-4500.0"/>
        <n v="500.0"/>
        <n v="-1220.0"/>
        <n v="-4750.0"/>
        <m/>
        <n v="-2900.0"/>
        <n v="200.0"/>
        <n v="-850.0"/>
        <n v="100.0"/>
        <n v="-1450.0"/>
        <n v="5000.0"/>
        <n v="5.0"/>
        <n v="-975.0"/>
        <n v="-700.0"/>
        <n v="30.0"/>
        <n v="-10.0"/>
        <n v="-350.0"/>
        <n v="250.0"/>
        <n v="300.0"/>
        <n v="-3250.0"/>
        <n v="3150.0"/>
        <n v="-1250.0"/>
        <n v="50.0"/>
        <n v="875.0"/>
        <n v="-5650.0"/>
        <n v="20.0"/>
        <n v="-11100.0"/>
        <n v="600.0"/>
        <n v="2050.0"/>
        <n v="-8800.0"/>
        <n v="-6300.0"/>
        <n v="-3400.0"/>
        <n v="-7500.0"/>
        <n v="2200.0"/>
        <n v="-2700.0"/>
        <n v="-3300.0"/>
        <n v="-12400.0"/>
        <n v="1100.0"/>
        <n v="-3800.0"/>
        <n v="-2800.0"/>
        <n v="11600.0"/>
        <n v="-7900.0"/>
        <n v="-1500.0"/>
        <n v="-6100.0"/>
        <n v="25.0"/>
        <n v="-950.0"/>
        <n v="35.0"/>
        <n v="5700.0"/>
        <n v="-14900.0"/>
        <n v="-275.0"/>
        <n v="-0.5"/>
        <n v="-3200.0"/>
        <n v="4300.0"/>
        <n v="-400.0"/>
        <n v="-6800.0"/>
        <n v="-6400.0"/>
        <n v="-1300.0"/>
        <n v="-7250.0"/>
        <n v="-7850.0"/>
        <n v="1125.0"/>
        <n v="-19400.0"/>
        <n v="-125.0"/>
        <n v="-7550.0"/>
        <n v="3950.0"/>
        <n v="125.0"/>
        <n v="-7000.0"/>
        <n v="-175.0"/>
        <n v="-554.0"/>
        <n v="702.0"/>
        <n v="968.0"/>
        <n v="-758.0"/>
        <n v="-292.0"/>
        <n v="2284.0"/>
        <n v="226.0"/>
        <n v="1500.0"/>
        <n v="-75.0"/>
        <n v="-450.0"/>
        <n v="-2100.0"/>
        <n v="-1475.0"/>
        <n v="1600.0"/>
        <n v="5400.0"/>
        <n v="-1400.0"/>
        <n v="-1820.0"/>
        <n v="-4250.0"/>
        <n v="-2000.0"/>
        <n v="175.0"/>
        <n v="-625.0"/>
        <n v="-150.0"/>
        <n v="-36000.0"/>
        <n v="8000.0"/>
        <n v="-13500.0"/>
        <n v="-4600.0"/>
        <n v="-650.0"/>
        <n v="-6168.0"/>
        <n v="-1000.0"/>
        <n v="5944.0"/>
        <n v="-3050.0"/>
        <n v="-1850.0"/>
        <n v="575.0"/>
        <n v="675.0"/>
        <n v="54.0"/>
        <n v="-10250.0"/>
        <n v="-2300.0"/>
        <n v="-6900.0"/>
        <n v="320.0"/>
        <n v="-3600.0"/>
        <n v="475.0"/>
        <n v="400.0"/>
        <n v="370.0"/>
        <n v="-110.0"/>
        <n v="310.0"/>
        <n v="-190.0"/>
        <n v="-480.0"/>
        <n v="420.0"/>
        <n v="-1390.0"/>
        <n v="-1040.0"/>
        <n v="210.0"/>
        <n v="70.0"/>
        <n v="15.0"/>
        <n v="-1030.0"/>
        <n v="-990.0"/>
        <n v="810.0"/>
        <n v="-760.0"/>
        <n v="-1840.0"/>
        <n v="-2510.0"/>
        <n v="-900.0"/>
        <n v="-325.0"/>
        <n v="-80.0"/>
        <n v="-490.0"/>
        <n v="-550.0"/>
        <n v="-1800.0"/>
        <n v="-1410.0"/>
        <n v="410.0"/>
        <n v="-2130.0"/>
        <n v="-3.0"/>
        <n v="-440.0"/>
        <n v="-1120.0"/>
        <n v="-11650.0"/>
        <n v="-4850.0"/>
        <n v="2260.0"/>
        <n v="-420.0"/>
        <n v="1460.0"/>
        <n v="-41600.0"/>
        <n v="-240.0"/>
        <n v="-19200.0"/>
        <n v="900.0"/>
        <n v="-21100.0"/>
        <n v="-20.0"/>
        <n v="-57900.0"/>
        <n v="-40.0"/>
        <n v="-41700.0"/>
        <n v="-45400.0"/>
        <n v="-15500.0"/>
        <n v="-3014.0"/>
        <n v="2660.0"/>
        <n v="-2180.0"/>
        <n v="-640.0"/>
        <n v="-520.0"/>
        <n v="-460.0"/>
        <n v="87.0"/>
        <n v="-390.0"/>
        <n v="-12.0"/>
        <n v="-770.0"/>
        <n v="730.0"/>
        <n v="-250.0"/>
        <n v="-15.0"/>
        <n v="-290.0"/>
        <n v="225.0"/>
        <n v="83.0"/>
        <n v="120.0"/>
        <n v="-1325.0"/>
        <n v="-160.0"/>
        <n v="580.0"/>
        <n v="-2369.0"/>
        <n v="562.0"/>
        <n v="904.0"/>
        <n v="-2260.0"/>
        <n v="-5340.0"/>
        <n v="-2830.0"/>
        <n v="-14600.0"/>
        <n v="-430.0"/>
        <n v="-12375.0"/>
        <n v="-2120.0"/>
        <n v="-3825.0"/>
        <n v="-1050.0"/>
        <n v="-6270.0"/>
        <n v="-1350.0"/>
        <n v="-10120.0"/>
        <n v="-7125.0"/>
        <n v="-95.0"/>
        <n v="360.0"/>
        <n v="190.0"/>
        <n v="-45.0"/>
        <n v="940.0"/>
        <n v="-1020.0"/>
        <n v="130.0"/>
        <n v="55.0"/>
        <n v="440.0"/>
        <n v="-620.0"/>
        <n v="-1290.0"/>
        <n v="-1525.0"/>
        <n v="-1735.0"/>
        <n v="-1856.0"/>
        <n v="2122.0"/>
        <n v="-3900.0"/>
        <n v="969.0"/>
        <n v="-1260.0"/>
        <n v="-1170.0"/>
        <n v="-1550.0"/>
        <n v="-170.0"/>
        <n v="-255.0"/>
        <n v="1070.0"/>
        <n v="275.0"/>
        <n v="7500.0"/>
        <n v="-27175.0"/>
        <n v="15000.0"/>
        <n v="-8750.0"/>
        <n v="-11308.0"/>
        <n v="-20000.0"/>
        <n v="27.0"/>
        <n v="3525.0"/>
        <n v="-4800.0"/>
        <n v="241.0"/>
        <n v="1000.0"/>
        <n v="-2550.0"/>
        <n v="-133.0"/>
        <n v="-27.0"/>
        <n v="2575.0"/>
        <n v="1750.0"/>
        <n v="2075.0"/>
        <n v="725.0"/>
        <n v="1025.0"/>
        <n v="-2650.0"/>
        <n v="340.0"/>
        <n v="4750.0"/>
        <n v="-800.0"/>
        <n v="-15300.0"/>
        <n v="-26750.0"/>
        <n v="29700.0"/>
        <n v="5500.0"/>
        <n v="-5500.0"/>
        <n v="-600.0"/>
        <n v="18700.0"/>
        <n v="-5000.0"/>
        <n v="-9.0"/>
        <n v="-1750.0"/>
        <n v="-3500.0"/>
        <n v="1900.0"/>
        <n v="6500.0"/>
        <n v="-12800.0"/>
        <n v="-16500.0"/>
        <n v="75.0"/>
        <n v="-1200.0"/>
        <n v="-35500.0"/>
        <n v="850.0"/>
        <n v="-18800.0"/>
        <n v="-6500.0"/>
        <n v="-22750.0"/>
        <n v="36500.0"/>
        <n v="137.0"/>
        <n v="-192.34"/>
        <n v="-88.66"/>
        <n v="-90.72"/>
        <n v="-41.28"/>
        <n v="-128.0"/>
        <n v="-97.0"/>
        <n v="-751.33"/>
        <n v="-554.15"/>
        <n v="-743.59"/>
        <n v="-521.93"/>
        <n v="-57.99"/>
        <n v="130.87"/>
        <n v="20.13"/>
        <n v="264.78"/>
        <n v="99.22"/>
        <n v="-15.6"/>
        <n v="-263.4"/>
        <n v="-368.0"/>
        <n v="-312.0"/>
        <n v="-525.0"/>
        <n v="3700.0"/>
        <n v="7800.0"/>
        <n v="5800.0"/>
        <n v="-5300.0"/>
        <n v="800.0"/>
        <n v="-2750.0"/>
        <n v="-20500.0"/>
        <n v="-70000.0"/>
        <n v="-26400.0"/>
        <n v="-29600.0"/>
        <n v="-65500.0"/>
        <n v="-83600.0"/>
        <n v="-16100.0"/>
        <n v="-10700.0"/>
        <n v="-12900.0"/>
        <n v="1400.0"/>
        <n v="-25100.0"/>
        <n v="-10300.0"/>
        <n v="-19300.0"/>
        <n v="1250.0"/>
        <n v="1680.0"/>
        <n v="-1760.0"/>
        <n v="270.0"/>
        <n v="33.0"/>
        <n v="620.0"/>
        <n v="160.0"/>
        <n v="-1370.0"/>
        <n v="5200.0"/>
        <n v="-2050.0"/>
        <n v="110.0"/>
        <n v="-185.0"/>
        <n v="52.0"/>
        <n v="0.17"/>
        <n v="1.67"/>
        <n v="1475.17"/>
        <n v="-1.01"/>
        <n v="-2.52"/>
        <n v="-658.47"/>
        <n v="775.0"/>
        <n v="-0.03"/>
        <n v="-69.83"/>
        <n v="-7.14"/>
        <n v="56000.0"/>
        <n v="165833.34"/>
        <n v="-65000.0"/>
        <n v="235000.0"/>
        <n v="-175000.0"/>
        <n v="26000.0"/>
        <n v="74457.06"/>
        <n v="95335.33"/>
        <n v="-25000.0"/>
        <n v="56666.67"/>
        <n v="608.22"/>
        <n v="0.61"/>
        <n v="-4000.0"/>
        <n v="30000.0"/>
        <n v="-35000.0"/>
        <n v="484.0"/>
        <n v="3500.0"/>
        <n v="4500.0"/>
        <n v="-2200.0"/>
        <n v="3000.0"/>
        <n v="4.0"/>
        <n v="-11400.0"/>
        <n v="9250.0"/>
        <n v="-10500.0"/>
        <n v="2100.0"/>
        <n v="6300.0"/>
        <n v="-0.25"/>
        <n v="1800.0"/>
        <n v="2000.0"/>
        <n v="-14700.0"/>
        <n v="1350.0"/>
        <n v="7600.0"/>
        <n v="-5250.0"/>
        <n v="325.0"/>
        <n v="-1010.0"/>
        <n v="3.0"/>
        <n v="550.0"/>
        <n v="980.0"/>
        <n v="425.0"/>
        <n v="-2400.0"/>
        <n v="339.0"/>
        <n v="-643.0"/>
        <n v="-225.0"/>
        <n v="-375.0"/>
        <n v="-7750.0"/>
        <n v="2250.0"/>
        <n v="560.0"/>
        <n v="1175.0"/>
        <n v="2120.0"/>
        <n v="-8200.0"/>
        <n v="-16300.0"/>
        <n v="-18600.0"/>
        <n v="-24000.0"/>
        <n v="-5400.0"/>
        <n v="8400.0"/>
        <n v="19500.0"/>
        <n v="-1900.0"/>
        <n v="-6250.0"/>
        <n v="2750.0"/>
        <n v="285.0"/>
        <n v="10400.0"/>
        <n v="14750.0"/>
        <n v="96.0"/>
        <n v="566.0"/>
        <n v="2925.0"/>
        <n v="-1150.0"/>
        <n v="0.75"/>
        <n v="-0.75"/>
        <n v="-1100.0"/>
        <n v="700.0"/>
        <n v="1375.0"/>
        <n v="-575.0"/>
        <n v="950.0"/>
        <n v="375.0"/>
        <n v="-1025.0"/>
        <n v="-2350.0"/>
        <n v="450.0"/>
        <n v="-230.0"/>
        <n v="-3075.0"/>
        <n v="-425.0"/>
        <n v="2800.0"/>
        <n v="-1950.0"/>
        <n v="9.0"/>
        <n v="330.0"/>
        <n v="-580.0"/>
        <n v="-510.0"/>
        <n v="280.0"/>
        <n v="-570.0"/>
        <n v="-8.0"/>
        <n v="-35.0"/>
        <n v="264.0"/>
        <n v="-98.0"/>
        <n v="386.0"/>
        <n v="2759.0"/>
        <n v="-380.0"/>
        <n v="-1222.0"/>
        <n v="4175.0"/>
        <n v="499.0"/>
        <n v="1675.0"/>
        <n v="887.0"/>
        <n v="649.0"/>
        <n v="-695.81"/>
        <n v="-52.0"/>
        <n v="102.0"/>
        <n v="114.0"/>
        <n v="-65200.0"/>
        <n v="-22200.0"/>
        <n v="-41500.0"/>
        <n v="-17000.0"/>
        <n v="-3000.0"/>
        <n v="-1700.0"/>
        <n v="-24300.0"/>
        <n v="-3550.0"/>
        <n v="-19800.0"/>
        <n v="-88600.0"/>
        <n v="-13300.0"/>
        <n v="4525.0"/>
        <n v="-16600.0"/>
        <n v="-1.3"/>
        <n v="-5.19"/>
        <n v="-1363.98"/>
        <n v="-474.54"/>
        <n v="-429.1"/>
        <n v="-99.91"/>
        <n v="2.19"/>
        <n v="2.91"/>
        <n v="1511.05"/>
        <n v="458.85"/>
        <n v="-2.39"/>
        <n v="-4.78"/>
        <n v="-2620.94"/>
        <n v="-750.89"/>
        <n v="-4.06"/>
        <n v="-70.4"/>
        <n v="-8640.54"/>
        <n v="-3.62"/>
        <n v="-3.02"/>
        <n v="-1826.05"/>
        <n v="-754.32"/>
        <n v="15810.0"/>
        <n v="1.03"/>
        <n v="0.79"/>
        <n v="4.44"/>
        <n v="484.95"/>
        <n v="42.79"/>
        <n v="0.37"/>
        <n v="0.64"/>
        <n v="1.2"/>
        <n v="242.01"/>
        <n v="355.78"/>
        <n v="17.0"/>
        <n v="3.95"/>
        <n v="1.76"/>
        <n v="16.69"/>
        <n v="3593.43"/>
        <n v="931.3"/>
        <n v="210.86"/>
        <n v="405.0"/>
        <n v="480.0"/>
        <n v="765.0"/>
        <n v="1180.0"/>
        <n v="115.0"/>
        <n v="18.0"/>
        <n v="665.0"/>
        <n v="-960.0"/>
        <n v="-2210.0"/>
        <n v="380.0"/>
        <n v="-1660.0"/>
        <n v="-9200.0"/>
        <n v="-11900.0"/>
        <n v="-2270.0"/>
        <n v="171.0"/>
        <n v="-685.0"/>
        <n v="-920.0"/>
        <n v="-165.0"/>
        <n v="-1960.0"/>
        <n v="365.0"/>
        <n v="1.5"/>
        <n v="-1.75"/>
        <n v="-1460.0"/>
        <n v="-155.0"/>
        <n v="590.0"/>
        <n v="-940.0"/>
        <n v="830.0"/>
        <n v="-5280.0"/>
        <n v="-840.0"/>
        <n v="-4480.0"/>
        <n v="-140.0"/>
        <n v="-2940.0"/>
        <n v="-3540.0"/>
        <n v="-1720.0"/>
        <n v="460.0"/>
        <n v="-775.0"/>
        <n v="21.0"/>
        <n v="-1175.0"/>
        <n v="-2875.0"/>
        <n v="1200.0"/>
        <n v="-4.38"/>
        <n v="-1941.62"/>
        <n v="-1.82"/>
        <n v="-862.18"/>
        <n v="5465.0"/>
        <n v="69.0"/>
        <n v="122.0"/>
        <n v="121.0"/>
        <n v="2052.32"/>
        <n v="18.68"/>
        <n v="749.16"/>
        <n v="2.69"/>
        <n v="2.15"/>
        <n v="1.1"/>
        <n v="8.23"/>
        <n v="1772.26"/>
        <n v="441.42"/>
        <n v="960.0"/>
        <n v="-320.0"/>
        <n v="-1600.0"/>
        <n v="-560.0"/>
        <n v="-4625.0"/>
        <n v="-1275.0"/>
        <n v="408.0"/>
        <n v="-7862.0"/>
        <n v="-2600.0"/>
        <n v="-1654.0"/>
        <n v="-4300.0"/>
        <n v="-4900.0"/>
        <n v="-16010.0"/>
        <n v="925.0"/>
        <n v="-20650.0"/>
        <n v="1430.0"/>
        <n v="2078.0"/>
        <n v="3875.0"/>
        <n v="2550.0"/>
        <n v="-4350.0"/>
        <n v="-1520.0"/>
        <n v="570.0"/>
        <n v="7200.0"/>
        <n v="-2250.0"/>
        <n v="-7700.0"/>
        <n v="12250.0"/>
        <n v="-8000.0"/>
        <n v="-8500.0"/>
        <n v="-3700.0"/>
        <n v="-13000.0"/>
        <n v="-3750.0"/>
        <n v="-14250.0"/>
        <n v="9500.0"/>
        <n v="21000.0"/>
        <n v="-1022.0"/>
        <n v="-633.0"/>
        <n v="-1901.0"/>
        <n v="-12977.0"/>
        <n v="-6000.0"/>
        <n v="-22000.0"/>
        <n v="911.0"/>
        <n v="2327.0"/>
        <n v="-1468.0"/>
        <n v="-427.0"/>
        <n v="-104.0"/>
        <n v="-4149.0"/>
        <n v="12000.0"/>
        <n v="6584.0"/>
        <n v="-14500.0"/>
        <n v="393.0"/>
        <n v="978.0"/>
        <n v="-1087.0"/>
        <n v="2229.0"/>
        <n v="-3027.0"/>
        <n v="-134.0"/>
        <n v="-2633.0"/>
        <n v="208.0"/>
        <n v="-19750.0"/>
        <n v="3100.0"/>
        <n v="4100.0"/>
        <n v="2796.0"/>
        <n v="246.0"/>
        <n v="3750.0"/>
        <n v="4250.0"/>
        <n v="1450.0"/>
        <n v="-10000.0"/>
        <n v="680.0"/>
        <n v="-2280.0"/>
        <n v="5150.0"/>
        <n v="-1570.0"/>
        <n v="14.0"/>
        <n v="-9500.0"/>
        <n v="32250.0"/>
        <n v="-1375.0"/>
        <n v="1150.0"/>
        <n v="-1230.0"/>
        <n v="-12300.0"/>
        <n v="2600.0"/>
        <n v="-45000.0"/>
        <n v="-3030.0"/>
        <n v="-12600.0"/>
        <n v="-6.0"/>
        <n v="4875.0"/>
        <n v="1300.0"/>
        <n v="-113.0"/>
        <n v="-177.0"/>
        <n v="-65.0"/>
        <n v="290.0"/>
        <n v="-585.0"/>
        <n v="-2720.0"/>
        <n v="-407.6"/>
        <n v="1675.0500000000002"/>
        <n v="-899.4100000000001"/>
        <n v="1279.46"/>
        <n v="1625.0"/>
        <n v="3350.0"/>
        <n v="-14800.0"/>
        <n v="-15250.0"/>
        <n v="-22700.0"/>
        <n v="-130.0"/>
        <n v="-11750.0"/>
        <n v="-55.0"/>
        <n v="-1975.0"/>
        <n v="1090.0"/>
        <n v="1836.0"/>
        <n v="-369.0"/>
        <n v="77.0"/>
        <n v="-1727.0"/>
        <n v="-12750.0"/>
        <n v="-28083.0"/>
        <n v="-1620.0"/>
        <n v="799.0"/>
        <n v="4000.0"/>
        <n v="-5750.0"/>
        <n v="2025.0"/>
        <n v="-1309.0"/>
        <n v="-1027.0"/>
        <n v="-3301.0"/>
        <n v="-11500.0"/>
        <n v="1275.0"/>
        <n v="1950.0"/>
        <n v="-8600.0"/>
        <n v="2527.0"/>
        <n v="-4470.0"/>
        <n v="520.0"/>
        <n v="-1155.0"/>
        <n v="2190.0"/>
        <n v="-12500.0"/>
        <n v="-1706.0"/>
        <n v="-31.0"/>
        <n v="610.0"/>
        <n v="-64.0"/>
        <n v="-790.0"/>
        <n v="-780.0"/>
        <n v="-85.0"/>
        <n v="-3625.0"/>
        <n v="-5200.0"/>
      </sharedItems>
    </cacheField>
    <cacheField name="Rakeback Actual" numFmtId="0">
      <sharedItems containsString="0" containsBlank="1" containsNumber="1">
        <m/>
        <n v="239.0"/>
        <n v="730.0"/>
        <n v="3.0"/>
        <n v="125.0"/>
        <n v="144.0"/>
        <n v="408.0"/>
        <n v="25.0"/>
        <n v="473.0"/>
        <n v="263.0"/>
        <n v="124.0"/>
        <n v="1122.0"/>
        <n v="1.0"/>
        <n v="152.0"/>
        <n v="1651.0"/>
        <n v="844.0"/>
        <n v="1541.0"/>
        <n v="1435.0"/>
        <n v="2.0"/>
        <n v="9.0"/>
        <n v="559.0"/>
        <n v="1136.0"/>
        <n v="30.0"/>
        <n v="1800.0"/>
        <n v="1544.0"/>
        <n v="5.0"/>
        <n v="236.0"/>
        <n v="28.0"/>
        <n v="34.0"/>
        <n v="70.0"/>
        <n v="12.0"/>
        <n v="0.0"/>
        <n v="418.0"/>
        <n v="19.0"/>
        <n v="1515.0"/>
        <n v="32.0"/>
        <n v="13.0"/>
        <n v="65.0"/>
        <n v="2144.0"/>
        <n v="4037.0"/>
        <n v="1138.0"/>
        <n v="6890.0"/>
        <n v="6700.0"/>
        <n v="14957.0"/>
        <n v="8099.0"/>
        <n v="6965.0"/>
        <n v="3734.0"/>
        <n v="5337.0"/>
        <n v="3115.0"/>
        <n v="2543.0"/>
        <n v="8.0"/>
        <n v="329.0"/>
        <n v="6560.0"/>
        <n v="6.0"/>
        <n v="785.0"/>
        <n v="4425.0"/>
        <n v="4438.0"/>
        <n v="387.0"/>
        <n v="128.0"/>
        <n v="4570.0"/>
        <n v="3016.0"/>
        <n v="1295.0"/>
        <n v="48.0"/>
        <n v="174.0"/>
        <n v="1105.0"/>
        <n v="8536.0"/>
        <n v="17.0"/>
        <n v="5926.0"/>
        <n v="9804.0"/>
        <n v="16.0"/>
        <n v="4230.0"/>
        <n v="4.0"/>
        <n v="8775.0"/>
        <n v="9175.0"/>
        <n v="14000.0"/>
        <n v="1734.0"/>
        <n v="8804.0"/>
        <n v="97.0"/>
        <n v="14341.0"/>
        <n v="212.0"/>
        <n v="6950.0"/>
        <n v="2900.0"/>
        <n v="16100.0"/>
        <n v="10200.0"/>
        <n v="10900.0"/>
        <n v="4520.0"/>
        <n v="5330.0"/>
        <n v="5176.0"/>
        <n v="7324.0"/>
        <n v="2846.0"/>
        <n v="1954.0"/>
        <n v="3872.0"/>
        <n v="7219.0"/>
        <n v="6405.0"/>
        <n v="272.0"/>
        <n v="143.0"/>
        <n v="1750.0"/>
        <n v="12257.0"/>
        <n v="193.0"/>
        <n v="10.0"/>
        <n v="481.0"/>
        <n v="8000.0"/>
        <n v="7334.0"/>
        <n v="616.0"/>
        <n v="11.0"/>
        <n v="6593.0"/>
        <n v="6737.0"/>
        <n v="14.0"/>
        <n v="162.0"/>
        <n v="11738.0"/>
        <n v="2949.0"/>
        <n v="262.0"/>
        <n v="328.0"/>
        <n v="6233.0"/>
        <n v="67.0"/>
        <n v="4459.0"/>
        <n v="659.0"/>
        <n v="127.0"/>
        <n v="1346.0"/>
        <n v="100.0"/>
        <n v="255.0"/>
        <n v="15.0"/>
        <n v="222.0"/>
        <n v="375.0"/>
        <n v="565.0"/>
        <n v="460.0"/>
        <n v="909.0"/>
        <n v="1437.0"/>
        <n v="7.0"/>
        <n v="976.0"/>
        <n v="514.0"/>
        <n v="250.0"/>
        <n v="592.0"/>
        <n v="288.0"/>
        <n v="4122.0"/>
        <n v="1727.0"/>
        <n v="214.0"/>
        <n v="235.0"/>
        <n v="2309.0"/>
        <n v="2280.0"/>
        <n v="35.0"/>
        <n v="115.0"/>
        <n v="75.0"/>
        <n v="1502.0"/>
        <n v="8436.0"/>
        <n v="17803.0"/>
        <n v="209.0"/>
        <n v="3660.0"/>
        <n v="55.0"/>
        <n v="168.0"/>
        <n v="26.0"/>
        <n v="85.0"/>
        <n v="1431.0"/>
        <n v="373.0"/>
        <n v="18.0"/>
        <n v="7664.0"/>
        <n v="2399.0"/>
        <n v="5674.0"/>
        <n v="57.0"/>
        <n v="200.0"/>
        <n v="2737.0"/>
        <n v="1224.0"/>
        <n v="1108.0"/>
        <n v="41.0"/>
        <n v="284.0"/>
        <n v="52.0"/>
        <n v="211.0"/>
        <n v="113.0"/>
        <n v="1353.0"/>
        <n v="350.0"/>
        <n v="1425.0"/>
        <n v="1216.0"/>
        <n v="264.0"/>
        <n v="1332.0"/>
        <n v="1945.0"/>
        <n v="1455.0"/>
        <n v="1825.0"/>
        <n v="165.0"/>
        <n v="2470.0"/>
        <n v="1350.0"/>
        <n v="120.0"/>
        <n v="1690.0"/>
        <n v="1100.0"/>
        <n v="160.0"/>
        <n v="182.0"/>
        <n v="369.0"/>
        <n v="427.0"/>
        <n v="164.0"/>
        <n v="1103.0"/>
        <n v="320.0"/>
        <n v="1523.0"/>
        <n v="1580.0"/>
        <n v="76.0"/>
        <n v="130.0"/>
        <n v="17407.0"/>
        <n v="2109.0"/>
        <n v="2901.0"/>
        <n v="1073.0"/>
        <n v="5577.0"/>
        <n v="6617.0"/>
        <n v="46848.0"/>
        <n v="61.0"/>
        <n v="121.0"/>
        <n v="14145.0"/>
        <n v="1476.0"/>
        <n v="316.0"/>
        <n v="30551.0"/>
        <n v="57613.0"/>
        <n v="51085.0"/>
        <n v="36998.0"/>
        <n v="26236.0"/>
        <n v="1740.0"/>
        <n v="3380.0"/>
        <n v="773.0"/>
        <n v="998.0"/>
        <n v="123.0"/>
        <n v="411.0"/>
        <n v="265.0"/>
        <n v="321.0"/>
        <n v="1468.0"/>
        <n v="323.0"/>
        <n v="270.0"/>
        <n v="40.0"/>
        <n v="1104.0"/>
        <n v="1503.0"/>
        <n v="1848.0"/>
        <n v="1255.0"/>
        <n v="197.0"/>
        <n v="1382.0"/>
        <n v="1551.0"/>
        <n v="234.0"/>
        <n v="1594.0"/>
        <n v="300.0"/>
        <n v="1940.0"/>
        <n v="4005.0"/>
        <n v="1621.0"/>
        <n v="3592.0"/>
        <n v="3046.0"/>
        <n v="12133.0"/>
        <n v="2570.0"/>
        <n v="748.0"/>
        <n v="11546.0"/>
        <n v="2610.0"/>
        <n v="4065.0"/>
        <n v="11411.0"/>
        <n v="1663.0"/>
        <n v="7507.0"/>
        <n v="4923.0"/>
        <n v="509.0"/>
        <n v="4405.0"/>
        <n v="410.0"/>
        <n v="9547.0"/>
        <n v="5612.0"/>
        <n v="69.0"/>
        <n v="42.0"/>
        <n v="658.0"/>
        <n v="801.0"/>
        <n v="256.0"/>
        <n v="675.0"/>
        <n v="74.0"/>
        <n v="1035.0"/>
        <n v="606.0"/>
        <n v="735.0"/>
        <n v="225.0"/>
        <n v="21.0"/>
        <n v="114.0"/>
        <n v="31.0"/>
        <n v="480.0"/>
        <n v="105.0"/>
        <n v="103.0"/>
        <n v="766.0"/>
        <n v="475.0"/>
        <n v="2149.0"/>
        <n v="769.0"/>
        <n v="159.0"/>
        <n v="317.0"/>
        <n v="370.0"/>
        <n v="238.0"/>
        <n v="750.0"/>
        <n v="2550.0"/>
        <n v="8120.0"/>
        <n v="1297.0"/>
        <n v="26766.0"/>
        <n v="10220.0"/>
        <n v="2089.0"/>
        <n v="26599.0"/>
        <n v="6090.0"/>
        <n v="974.21"/>
        <n v="696.25"/>
        <n v="709.0"/>
        <n v="817.0"/>
        <n v="496.0"/>
        <n v="1242.0"/>
        <n v="126.0"/>
        <n v="50.0"/>
        <n v="198.0"/>
        <n v="44.0"/>
        <n v="1763.0"/>
        <n v="743.0"/>
        <n v="1091.0"/>
        <n v="2589.0"/>
        <n v="445.0"/>
        <n v="2938.0"/>
        <n v="3368.0"/>
        <n v="210.0"/>
        <n v="3800.0"/>
        <n v="3079.0"/>
        <n v="4095.0"/>
        <n v="442.0"/>
        <n v="15716.0"/>
        <n v="8715.0"/>
        <n v="7776.0"/>
        <n v="409.0"/>
        <n v="9147.0"/>
        <n v="11979.0"/>
        <n v="7687.0"/>
        <n v="2392.0"/>
        <n v="2334.0"/>
        <n v="1034.0"/>
        <n v="14889.0"/>
        <n v="6558.0"/>
        <n v="8199.0"/>
        <n v="27.0"/>
        <n v="80.0"/>
        <n v="1852.0"/>
        <n v="2009.0"/>
        <n v="6639.0"/>
        <n v="7914.0"/>
        <n v="12229.0"/>
        <n v="6586.0"/>
        <n v="638.0"/>
        <n v="153.0"/>
        <n v="1492.0"/>
        <n v="3653.0"/>
        <n v="10056.0"/>
        <n v="6979.0"/>
        <n v="5931.0"/>
        <n v="11449.0"/>
        <n v="4497.0"/>
        <n v="1882.0"/>
        <n v="2329.0"/>
        <n v="34284.0"/>
        <n v="20932.0"/>
        <n v="20328.0"/>
        <n v="3529.0"/>
        <n v="1015.0"/>
        <n v="392.0"/>
        <n v="569.0"/>
        <n v="385.0"/>
        <n v="175.0"/>
        <n v="893.0"/>
        <n v="673.0"/>
        <n v="301.0"/>
        <n v="404.0"/>
        <n v="403.0"/>
        <n v="62.0"/>
        <n v="88.0"/>
        <n v="1182.0"/>
        <n v="46.0"/>
        <n v="240.0"/>
        <n v="633.0"/>
        <n v="96.0"/>
        <n v="139.0"/>
        <n v="1871.0"/>
        <n v="3082.0"/>
        <n v="3616.0"/>
        <n v="11834.0"/>
        <n v="63.0"/>
        <n v="949.0"/>
        <n v="38.0"/>
        <n v="2244.0"/>
        <n v="31962.0"/>
        <n v="73254.0"/>
        <n v="11657.0"/>
        <n v="20700.0"/>
        <n v="54972.0"/>
        <n v="50585.0"/>
        <n v="2462.0"/>
        <n v="23419.0"/>
        <n v="33023.0"/>
        <n v="6277.0"/>
        <n v="45061.0"/>
        <n v="298.0"/>
        <n v="44184.0"/>
        <n v="17462.0"/>
        <n v="20110.0"/>
        <n v="1416.0"/>
        <n v="23897.0"/>
        <n v="382.0"/>
        <n v="1814.0"/>
        <n v="1935.0"/>
        <n v="1970.0"/>
        <n v="1438.0"/>
        <n v="612.0"/>
        <n v="510.0"/>
        <n v="149.0"/>
        <n v="856.0"/>
        <n v="36.0"/>
        <n v="655.0"/>
        <n v="136.0"/>
        <n v="2310.0"/>
        <n v="852.0"/>
        <n v="550.0"/>
        <n v="3871.0"/>
        <n v="29.0"/>
        <n v="273.0"/>
        <n v="690.0"/>
        <n v="1548.0"/>
        <n v="914.0"/>
        <n v="1130.0"/>
        <n v="116.0"/>
        <n v="165667.0"/>
        <n v="120857.0"/>
        <n v="2371.0"/>
        <n v="259076.0"/>
        <n v="40053.0"/>
        <n v="350450.0"/>
        <n v="25460.0"/>
        <n v="1227.0"/>
        <n v="2327.0"/>
        <n v="94.0"/>
        <n v="1165.0"/>
        <n v="3823.0"/>
        <n v="793.0"/>
        <n v="2025.0"/>
        <n v="1322.0"/>
        <n v="213.0"/>
        <n v="2842.0"/>
        <n v="3391.0"/>
        <n v="6876.0"/>
        <n v="5655.0"/>
        <n v="2986.0"/>
        <n v="1177.0"/>
        <n v="5454.0"/>
        <n v="7114.0"/>
        <n v="363.0"/>
        <n v="4745.0"/>
        <n v="455.0"/>
        <n v="2196.0"/>
        <n v="208.0"/>
        <n v="51.0"/>
        <n v="72.0"/>
        <n v="187.0"/>
        <n v="148.0"/>
        <n v="440.0"/>
        <n v="133.0"/>
        <n v="1030.0"/>
        <n v="7150.0"/>
        <n v="2712.0"/>
        <n v="1018.0"/>
        <n v="6590.0"/>
        <n v="1427.0"/>
        <n v="560.0"/>
        <n v="625.0"/>
        <n v="1080.0"/>
        <n v="1686.0"/>
        <n v="184.0"/>
        <n v="1685.0"/>
        <n v="1463.0"/>
        <n v="2553.0"/>
        <n v="292.0"/>
        <n v="2195.0"/>
        <n v="20.0"/>
        <n v="653.0"/>
        <n v="2858.0"/>
        <n v="1833.0"/>
        <n v="774.0"/>
        <n v="86.0"/>
        <n v="413.0"/>
        <n v="4649.0"/>
        <n v="4947.0"/>
        <n v="47624.0"/>
        <n v="129.0"/>
        <n v="5075.0"/>
        <n v="3271.0"/>
        <n v="513.0"/>
        <n v="18902.0"/>
        <n v="3088.0"/>
        <n v="7958.0"/>
        <n v="2314.0"/>
        <n v="58.0"/>
        <n v="24678.0"/>
        <n v="1901.0"/>
        <n v="286.0"/>
        <n v="1731.0"/>
        <n v="11455.0"/>
        <n v="1429.0"/>
        <n v="5936.0"/>
        <n v="6663.0"/>
        <n v="71.0"/>
        <n v="9143.0"/>
        <n v="3052.0"/>
        <n v="11352.0"/>
        <n v="3805.0"/>
        <n v="202.0"/>
        <n v="5100.0"/>
        <n v="8184.0"/>
        <n v="2441.0"/>
        <n v="507.0"/>
        <n v="2318.0"/>
        <n v="181.0"/>
        <n v="66.0"/>
        <n v="1369.0"/>
        <n v="1254.0"/>
        <n v="1181.0"/>
        <n v="754.0"/>
        <n v="620.0"/>
        <n v="2364.0"/>
        <n v="364.0"/>
        <n v="609.0"/>
        <n v="1827.0"/>
        <n v="610.0"/>
        <n v="2428.0"/>
        <n v="512.0"/>
        <n v="2288.0"/>
        <n v="680.0"/>
        <n v="3217.0"/>
        <n v="2011.0"/>
        <n v="1042.0"/>
        <n v="78.0"/>
        <n v="3191.0"/>
        <n v="787.0"/>
        <n v="448.0"/>
        <n v="574.0"/>
        <n v="244.0"/>
        <n v="1354.0"/>
        <n v="361.0"/>
        <n v="2010.0"/>
        <n v="163.0"/>
        <n v="281.0"/>
        <n v="522.0"/>
        <n v="478.0"/>
        <n v="195.0"/>
        <n v="955.0"/>
        <n v="449.0"/>
        <n v="446.0"/>
        <n v="711.0"/>
        <n v="2066.0"/>
        <n v="525.0"/>
        <n v="45.0"/>
        <n v="1702.0"/>
        <n v="1039.0"/>
        <n v="1352.0"/>
        <n v="706.0"/>
        <n v="1933.0"/>
        <n v="230.0"/>
        <n v="12.5"/>
        <n v="1680.0"/>
        <n v="180.0"/>
        <n v="241.0"/>
        <n v="205.0"/>
        <n v="91.0"/>
        <n v="19434.0"/>
        <n v="49114.0"/>
        <n v="2533.0"/>
        <n v="29447.0"/>
        <n v="51944.0"/>
        <n v="38110.0"/>
        <n v="34262.0"/>
        <n v="30836.0"/>
        <n v="505.0"/>
        <n v="11648.0"/>
        <n v="26303.0"/>
        <n v="26653.0"/>
        <n v="7922.0"/>
        <n v="23203.0"/>
        <n v="166.0"/>
        <n v="3671.0"/>
        <n v="59.0"/>
        <n v="93462.0"/>
        <n v="5791.0"/>
        <n v="11573.0"/>
        <n v="3319.0"/>
        <n v="1261.0"/>
        <n v="15336.0"/>
        <n v="921.0"/>
        <n v="1203.0"/>
        <n v="280.0"/>
        <n v="1089.0"/>
        <n v="331.0"/>
        <n v="959.0"/>
        <n v="275.0"/>
        <n v="4468.0"/>
        <n v="1059.0"/>
        <n v="438.0"/>
        <n v="1071.0"/>
        <n v="95.0"/>
        <n v="1843.0"/>
        <n v="2709.0"/>
        <n v="2863.0"/>
        <n v="742.0"/>
        <n v="223.0"/>
        <n v="33.0"/>
        <n v="3165.0"/>
        <n v="2784.0"/>
        <n v="2840.0"/>
        <n v="5845.0"/>
        <n v="8029.0"/>
        <n v="6944.0"/>
        <n v="1641.0"/>
        <n v="894.0"/>
        <n v="715.0"/>
        <n v="261.0"/>
        <n v="4768.0"/>
        <n v="1705.0"/>
        <n v="935.0"/>
        <n v="186.0"/>
        <n v="500.0"/>
        <n v="1500.0"/>
        <n v="89.0"/>
        <n v="2295.0"/>
        <n v="310.0"/>
        <n v="975.0"/>
        <n v="3646.0"/>
        <n v="2767.0"/>
        <n v="482.0"/>
        <n v="5422.0"/>
        <n v="3502.0"/>
        <n v="3276.0"/>
        <n v="5814.0"/>
        <n v="54.0"/>
        <n v="5639.0"/>
        <n v="1250.0"/>
        <n v="1174.0"/>
        <n v="1411.0"/>
        <n v="660.0"/>
        <n v="1170.0"/>
        <n v="2160.0"/>
        <n v="7575.0"/>
        <n v="2231.0"/>
        <n v="3638.0"/>
        <n v="2660.0"/>
        <n v="380.0"/>
        <n v="1595.0"/>
        <n v="388.0"/>
        <n v="889.0"/>
        <n v="718.0"/>
        <n v="37.0"/>
        <n v="2008.0"/>
        <n v="1895.0"/>
        <n v="1767.0"/>
        <n v="2582.0"/>
        <n v="1550.0"/>
        <n v="1324.0"/>
        <n v="2122.0"/>
        <n v="867.0"/>
        <n v="840.0"/>
        <n v="1620.0"/>
        <n v="112.0"/>
        <n v="891.0"/>
        <n v="993.0"/>
        <n v="488.0"/>
        <n v="1131.0"/>
        <n v="282.0"/>
        <n v="527.0"/>
        <n v="299.0"/>
        <n v="1967.0"/>
        <n v="305.0"/>
        <n v="2255.0"/>
        <n v="135.0"/>
        <n v="887.0"/>
        <n v="4967.0"/>
        <n v="260.0"/>
        <n v="3028.0"/>
        <n v="1270.0"/>
        <n v="23700.0"/>
        <n v="19891.0"/>
        <n v="117.0"/>
        <n v="73.0"/>
        <n v="779.0"/>
        <n v="14975.0"/>
        <n v="4260.0"/>
        <n v="8903.0"/>
        <n v="2238.0"/>
        <n v="962.0"/>
        <n v="9700.0"/>
        <n v="586.0"/>
        <n v="11827.0"/>
        <n v="110.0"/>
        <n v="758.0"/>
        <n v="22411.0"/>
        <n v="4513.0"/>
        <n v="15252.0"/>
        <n v="1720.0"/>
        <n v="83.0"/>
        <n v="3837.0"/>
        <n v="43.0"/>
        <n v="2081.0"/>
        <n v="1489.0"/>
        <n v="3738.0"/>
        <n v="3275.0"/>
        <n v="4343.0"/>
        <n v="698.0"/>
        <n v="419.0"/>
        <n v="533.0"/>
        <n v="3976.0"/>
        <n v="141.0"/>
        <n v="3656.0"/>
        <n v="1533.0"/>
        <n v="39.0"/>
        <n v="3005.0"/>
        <n v="7502.0"/>
        <n v="2209.0"/>
        <n v="794.0"/>
        <n v="2826.0"/>
        <n v="4478.0"/>
        <n v="3747.0"/>
        <n v="150.0"/>
        <n v="3066.0"/>
        <n v="1787.0"/>
        <n v="768.0"/>
        <n v="2476.0"/>
        <n v="394.0"/>
        <n v="622.0"/>
        <n v="3815.0"/>
        <n v="4540.0"/>
        <n v="1231.0"/>
        <n v="1538.0"/>
        <n v="6345.0"/>
        <n v="3682.0"/>
        <n v="2741.0"/>
        <n v="1681.0"/>
        <n v="6735.0"/>
        <n v="2995.0"/>
        <n v="98.0"/>
        <n v="3290.0"/>
        <n v="2572.0"/>
        <n v="7855.0"/>
        <n v="3588.0"/>
        <n v="2303.0"/>
        <n v="1142.0"/>
        <n v="6635.0"/>
        <n v="2019.0"/>
        <n v="1762.0"/>
        <n v="215.0"/>
        <n v="5364.0"/>
        <n v="1609.0"/>
        <n v="1420.0"/>
        <n v="10201.0"/>
        <n v="147.0"/>
        <n v="6852.0"/>
        <n v="568.0"/>
        <n v="7331.0"/>
        <n v="402.0"/>
        <n v="5804.0"/>
        <n v="964.0"/>
        <n v="24.0"/>
        <n v="296.0"/>
        <n v="1607.0"/>
        <n v="1460.0"/>
        <n v="9609.0"/>
        <n v="15020.0"/>
        <n v="377.0"/>
        <n v="4522.0"/>
        <n v="253.0"/>
        <n v="5654.0"/>
        <n v="258.0"/>
        <n v="355.0"/>
        <n v="11204.0"/>
        <n v="463.0"/>
        <n v="7555.0"/>
        <n v="229.0"/>
        <n v="22.0"/>
        <n v="7409.0"/>
        <n v="1921.0"/>
        <n v="11095.0"/>
        <n v="7759.0"/>
        <n v="450.0"/>
        <n v="4125.0"/>
        <n v="33800.0"/>
        <n v="12950.0"/>
        <n v="780.0"/>
        <n v="2505.0"/>
        <n v="2475.0"/>
        <n v="2070.0"/>
        <n v="1145.0"/>
        <n v="8155.0"/>
        <n v="15400.0"/>
        <n v="5413.86"/>
        <n v="14311.41"/>
        <n v="73541.65"/>
        <n v="13160.0"/>
        <n v="30550.0"/>
        <n v="2325.37"/>
        <n v="422.0"/>
        <n v="425.0"/>
        <n v="10830.0"/>
        <n v="14500.0"/>
        <n v="1535.0"/>
        <n v="782.0"/>
        <n v="64.0"/>
        <n v="5730.47"/>
        <n v="3400.0"/>
        <n v="3452.0"/>
        <n v="33900.0"/>
        <n v="15728.0"/>
        <n v="18464.24"/>
        <n v="16151.99"/>
        <n v="3799.0"/>
        <n v="2405.0"/>
        <n v="289.0"/>
        <n v="5768.46"/>
        <n v="990.0"/>
        <n v="1150.0"/>
        <n v="3816.0"/>
        <n v="17.377841436276356"/>
        <n v="14.374950436087802"/>
        <n v="121.64489005393449"/>
        <n v="106.79726233077996"/>
        <n v="6603.579745785015"/>
        <n v="2893.4105991400133"/>
        <n v="5758.356294007407"/>
        <n v="6464.5570142948045"/>
        <n v="97.21859613110446"/>
        <n v="131.99513241338067"/>
        <n v="5734.687673971198"/>
        <n v="9600.0"/>
        <n v="31700.0"/>
        <n v="890.0"/>
        <n v="5975.0"/>
        <n v="1675.0"/>
        <n v="19250.0"/>
        <n v="4600.0"/>
        <n v="1119.0"/>
        <n v="1885.0"/>
        <n v="2350.0"/>
        <n v="1120.0"/>
        <n v="2080.0"/>
        <n v="2436.3199999999997"/>
        <n v="2190.0"/>
        <n v="23404.66"/>
        <n v="3034.25"/>
        <n v="2220.0"/>
        <n v="4006.16"/>
        <n v="1315.0"/>
        <n v="5725.0"/>
      </sharedItems>
    </cacheField>
    <cacheField name="BuyIns" numFmtId="0">
      <sharedItems containsString="0" containsBlank="1" containsNumber="1">
        <n v="2.0"/>
        <n v="3475.0"/>
        <n v="12100.0"/>
        <n v="1.0"/>
        <n v="0.25"/>
        <n v="50.0"/>
        <n v="4970.0"/>
        <n v="8050.0"/>
        <n v="19510.0"/>
        <n v="22.0"/>
        <n v="1045.0"/>
        <n v="13370.0"/>
        <n v="8650.0"/>
        <n v="3065.0"/>
        <n v="21390.0"/>
        <n v="15.0"/>
        <n v="3375.0"/>
        <n v="34560.0"/>
        <n v="20600.0"/>
        <n v="5.0"/>
        <n v="29380.0"/>
        <n v="31925.0"/>
        <n v="20.0"/>
        <n v="25.0"/>
        <n v="3.0"/>
        <n v="4.0"/>
        <n v="0.5"/>
        <n v="250.0"/>
        <n v="15980.0"/>
        <n v="32460.0"/>
        <n v="850.0"/>
        <n v="51440.0"/>
        <n v="44100.0"/>
        <n v="130.0"/>
        <n v="6740.0"/>
        <n v="790.0"/>
        <n v="980.0"/>
        <n v="2000.0"/>
        <n v="350.0"/>
        <n v="1750.0"/>
        <n v="6250.0"/>
        <n v="2530.0"/>
        <n v="5525.0"/>
        <n v="1270.0"/>
        <n v="825.0"/>
        <n v="6500.0"/>
        <n v="500.0"/>
        <n v="3520.0"/>
        <n v="200.0"/>
        <n v="9100.0"/>
        <n v="985.0"/>
        <n v="2400.0"/>
        <n v="100.0"/>
        <n v="46640.0"/>
        <n v="2240.0"/>
        <n v="1800.0"/>
        <n v="700.0"/>
        <n v="1960.0"/>
        <n v="4950.0"/>
        <n v="64390.0"/>
        <n v="78120.0"/>
        <n v="22010.0"/>
        <n v="128540.0"/>
        <n v="150460.0"/>
        <n v="307000.0"/>
        <n v="140000.0"/>
        <n v="154280.0"/>
        <n v="138340.0"/>
        <n v="81960.0"/>
        <n v="117150.0"/>
        <m/>
        <n v="61500.0"/>
        <n v="50200.0"/>
        <n v="150.0"/>
        <n v="8300.0"/>
        <n v="169150.0"/>
        <n v="26725.0"/>
        <n v="151250.0"/>
        <n v="177425.0"/>
        <n v="15450.0"/>
        <n v="110.0"/>
        <n v="10.0"/>
        <n v="4250.0"/>
        <n v="151050.0"/>
        <n v="114050.0"/>
        <n v="48950.0"/>
        <n v="26100.0"/>
        <n v="95050.0"/>
        <n v="33075.0"/>
        <n v="255250.0"/>
        <n v="600.0"/>
        <n v="208500.0"/>
        <n v="90.0"/>
        <n v="207900.0"/>
        <n v="400.0"/>
        <n v="169050.0"/>
        <n v="750.0"/>
        <n v="201850.0"/>
        <n v="223400.0"/>
        <n v="238350.0"/>
        <n v="1000.0"/>
        <n v="130000.0"/>
        <n v="12.75"/>
        <n v="250000.0"/>
        <n v="2600.0"/>
        <n v="460100.0"/>
        <n v="6800.0"/>
        <n v="127500.0"/>
        <n v="170000.0"/>
        <n v="350000.0"/>
        <n v="280100.0"/>
        <n v="280000.0"/>
        <n v="137400.0"/>
        <n v="162000.0"/>
        <n v="132500.0"/>
        <n v="187500.0"/>
        <n v="151800.0"/>
        <n v="104200.0"/>
        <n v="325.0"/>
        <n v="94000.0"/>
        <n v="184400.0"/>
        <n v="6525.0"/>
        <n v="3450.0"/>
        <n v="1.75"/>
        <n v="115500.0"/>
        <n v="266900.0"/>
        <n v="3500.0"/>
        <n v="9600.0"/>
        <n v="191400.0"/>
        <n v="180000.0"/>
        <n v="12600.0"/>
        <n v="300.0"/>
        <n v="150250.0"/>
        <n v="159800.0"/>
        <n v="4150.0"/>
        <n v="300050.0"/>
        <n v="135900.0"/>
        <n v="14500.0"/>
        <n v="10975.0"/>
        <n v="147200.0"/>
        <n v="1575.0"/>
        <n v="33650.0"/>
        <n v="4975.0"/>
        <n v="820.0"/>
        <n v="110650.0"/>
        <n v="10330.0"/>
        <n v="40.0"/>
        <n v="12860.0"/>
        <n v="9275.0"/>
        <n v="7825.0"/>
        <n v="3150.0"/>
        <n v="44225.0"/>
        <n v="12075.0"/>
        <n v="2475.0"/>
        <n v="1450.0"/>
        <n v="14875.0"/>
        <n v="13000.0"/>
        <n v="24950.0"/>
        <n v="40000.0"/>
        <n v="23275.0"/>
        <n v="12200.0"/>
        <n v="16000.0"/>
        <n v="75.0"/>
        <n v="10500.0"/>
        <n v="74620.0"/>
        <n v="28450.0"/>
        <n v="246500.0"/>
        <n v="1275.0"/>
        <n v="1400.0"/>
        <n v="195500.0"/>
        <n v="37350.0"/>
        <n v="3925.0"/>
        <n v="12650.0"/>
        <n v="180.0"/>
        <n v="34450.0"/>
        <n v="136000.0"/>
        <n v="193500.0"/>
        <n v="239500.0"/>
        <n v="57900.0"/>
        <n v="4650.0"/>
        <n v="81000.0"/>
        <n v="7500.0"/>
        <n v="129500.0"/>
        <n v="121500.0"/>
        <n v="34650.0"/>
        <n v="161400.0"/>
        <n v="1675.0"/>
        <n v="77950.0"/>
        <n v="28350.0"/>
        <n v="9300.0"/>
        <n v="2750.0"/>
        <n v="9000.0"/>
        <n v="3300.0"/>
        <n v="9475.0"/>
        <n v="450.0"/>
        <n v="194600.0"/>
        <n v="73100.0"/>
        <n v="172900.0"/>
        <n v="840.0"/>
        <n v="3600.0"/>
        <n v="800.0"/>
        <n v="83950.0"/>
        <n v="43425.0"/>
        <n v="27850.0"/>
        <n v="42950.0"/>
        <n v="1900.0"/>
        <n v="11320.0"/>
        <n v="6890.0"/>
        <n v="15040.0"/>
        <n v="15490.0"/>
        <n v="19730.0"/>
        <n v="18530.0"/>
        <n v="23730.0"/>
        <n v="27890.0"/>
        <n v="10160.0"/>
        <n v="810.0"/>
        <n v="21530.0"/>
        <n v="60.0"/>
        <n v="30110.0"/>
        <n v="26910.0"/>
        <n v="27830.0"/>
        <n v="29520.0"/>
        <n v="26730.0"/>
        <n v="30820.0"/>
        <n v="27720.0"/>
        <n v="3410.0"/>
        <n v="56075.0"/>
        <n v="19925.0"/>
        <n v="605.0"/>
        <n v="6965.0"/>
        <n v="8910.0"/>
        <n v="18010.0"/>
        <n v="9.0"/>
        <n v="7365.0"/>
        <n v="3240.0"/>
        <n v="21740.0"/>
        <n v="7170.0"/>
        <n v="34120.0"/>
        <n v="24.0"/>
        <n v="21830.0"/>
        <n v="1430.0"/>
        <n v="6540.0"/>
        <n v="11180.0"/>
        <n v="337200.0"/>
        <n v="63300.0"/>
        <n v="66340.0"/>
        <n v="27940.0"/>
        <n v="123880.0"/>
        <n v="134660.0"/>
        <n v="825200.0"/>
        <n v="1120.0"/>
        <n v="2200.0"/>
        <n v="257700.0"/>
        <n v="25000.0"/>
        <n v="5700.0"/>
        <n v="550900.0"/>
        <n v="1028500.0"/>
        <n v="933000.0"/>
        <n v="688600.0"/>
        <n v="488500.0"/>
        <n v="68780.0"/>
        <n v="40520.0"/>
        <n v="29320.0"/>
        <n v="8160.0"/>
        <n v="26.0"/>
        <n v="8030.0"/>
        <n v="222.0"/>
        <n v="6770.0"/>
        <n v="7235.0"/>
        <n v="9495.0"/>
        <n v="9330.0"/>
        <n v="140.0"/>
        <n v="16590.0"/>
        <n v="28990.0"/>
        <n v="14080.0"/>
        <n v="18525.0"/>
        <n v="3080.0"/>
        <n v="22260.0"/>
        <n v="27570.0"/>
        <n v="46470.0"/>
        <n v="175.0"/>
        <n v="52600.0"/>
        <n v="27550.0"/>
        <n v="0.0"/>
        <n v="41300.0"/>
        <n v="3650.0"/>
        <n v="29825.0"/>
        <n v="37170.0"/>
        <n v="24630.0"/>
        <n v="12500.0"/>
        <n v="83200.0"/>
        <n v="8000.0"/>
        <n v="25450.0"/>
        <n v="55500.0"/>
        <n v="149830.0"/>
        <n v="58910.0"/>
        <n v="273750.0"/>
        <n v="58000.0"/>
        <n v="22830.0"/>
        <n v="411150.0"/>
        <n v="92950.0"/>
        <n v="66840.0"/>
        <n v="218875.0"/>
        <n v="31900.0"/>
        <n v="87170.0"/>
        <n v="66700.0"/>
        <n v="6900.0"/>
        <n v="197180.0"/>
        <n v="21425.0"/>
        <n v="187130.0"/>
        <n v="128325.0"/>
        <n v="36.0"/>
        <n v="6490.0"/>
        <n v="720.0"/>
        <n v="12990.0"/>
        <n v="13080.0"/>
        <n v="4875.0"/>
        <n v="8830.0"/>
        <n v="1290.0"/>
        <n v="20740.0"/>
        <n v="425.0"/>
        <n v="11840.0"/>
        <n v="185.0"/>
        <n v="15090.0"/>
        <n v="165.0"/>
        <n v="6820.0"/>
        <n v="640.0"/>
        <n v="365.0"/>
        <n v="1050.0"/>
        <n v="4390.0"/>
        <n v="52.0"/>
        <n v="3260.0"/>
        <n v="5460.0"/>
        <n v="12620.0"/>
        <n v="12375.0"/>
        <n v="6970.0"/>
        <n v="11050.0"/>
        <n v="59850.0"/>
        <n v="42500.0"/>
        <n v="20050.0"/>
        <n v="30850.0"/>
        <n v="3000.0"/>
        <n v="90900.0"/>
        <n v="130600.0"/>
        <n v="12700.0"/>
        <n v="8150.0"/>
        <n v="3050.0"/>
        <n v="19440.0"/>
        <n v="3225.0"/>
        <n v="7450.0"/>
        <n v="13425.0"/>
        <n v="5880.0"/>
        <n v="20125.0"/>
        <n v="1330.0"/>
        <n v="5870.0"/>
        <n v="14280.0"/>
        <n v="6755.0"/>
        <n v="2645.0"/>
        <n v="80.0"/>
        <n v="376750.0"/>
        <n v="258000.0"/>
        <n v="280250.0"/>
        <n v="245750.0"/>
        <n v="440250.0"/>
        <n v="217750.0"/>
        <n v="20250.0"/>
        <n v="542000.0"/>
        <n v="242750.0"/>
        <n v="60300.0"/>
        <n v="14325.0"/>
        <n v="55075.0"/>
        <n v="40050.0"/>
        <n v="45600.0"/>
        <n v="675.0"/>
        <n v="17175.0"/>
        <n v="22875.0"/>
        <n v="48300.0"/>
        <n v="15350.0"/>
        <n v="4300.0"/>
        <n v="17000.0"/>
        <n v="51850.0"/>
        <n v="18900.0"/>
        <n v="22250.0"/>
        <n v="52800.0"/>
        <n v="5850.0"/>
        <n v="84125.0"/>
        <n v="80850.0"/>
        <n v="14550.0"/>
        <n v="19490.0"/>
        <n v="100900.0"/>
        <n v="81750.0"/>
        <n v="108750.0"/>
        <n v="11900.0"/>
        <n v="422900.0"/>
        <n v="234500.0"/>
        <n v="209250.0"/>
        <n v="10600.0"/>
        <n v="236500.0"/>
        <n v="310500.0"/>
        <n v="199250.0"/>
        <n v="62000.0"/>
        <n v="60500.0"/>
        <n v="29600.0"/>
        <n v="425900.0"/>
        <n v="187750.0"/>
        <n v="650.0"/>
        <n v="2300.0"/>
        <n v="53000.0"/>
        <n v="57500.0"/>
        <n v="190000.0"/>
        <n v="226500.0"/>
        <n v="349400.0"/>
        <n v="28000.0"/>
        <n v="5600.0"/>
        <n v="65500.0"/>
        <n v="177250.0"/>
        <n v="160400.0"/>
        <n v="441500.0"/>
        <n v="233600.0"/>
        <n v="198500.0"/>
        <n v="376500.0"/>
        <n v="150500.0"/>
        <n v="63000.0"/>
        <n v="40150.0"/>
        <n v="709200.0"/>
        <n v="433000.0"/>
        <n v="420500.0"/>
        <n v="73000.0"/>
        <n v="21000.0"/>
        <n v="1155.0"/>
        <n v="11210.0"/>
        <n v="16270.0"/>
        <n v="10990.0"/>
        <n v="5000.0"/>
        <n v="25520.0"/>
        <n v="19220.0"/>
        <n v="11660.0"/>
        <n v="8600.0"/>
        <n v="11540.0"/>
        <n v="8100.0"/>
        <n v="900.0"/>
        <n v="11510.0"/>
        <n v="1770.0"/>
        <n v="6725.0"/>
        <n v="2520.0"/>
        <n v="33760.0"/>
        <n v="3725.0"/>
        <n v="7250.0"/>
        <n v="29750.0"/>
        <n v="6560.0"/>
        <n v="5595.0"/>
        <n v="560.0"/>
        <n v="5125.0"/>
        <n v="3505.0"/>
        <n v="520000.0"/>
        <n v="101000.0"/>
        <n v="129700.0"/>
        <n v="119600.0"/>
        <n v="4900.0"/>
        <n v="74000.0"/>
        <n v="41650.0"/>
        <n v="593300.0"/>
        <n v="1418900.0"/>
        <n v="225800.0"/>
        <n v="345600.0"/>
        <n v="917800.0"/>
        <n v="891800.0"/>
        <n v="43400.0"/>
        <n v="431400.0"/>
        <n v="602100.0"/>
        <n v="170400.0"/>
        <n v="847900.0"/>
        <n v="736300.0"/>
        <n v="291000.0"/>
        <n v="396900.0"/>
        <n v="26600.0"/>
        <n v="449000.0"/>
        <n v="615.0"/>
        <n v="255.0"/>
        <n v="31600.0"/>
        <n v="42390.0"/>
        <n v="42890.0"/>
        <n v="44620.0"/>
        <n v="29060.0"/>
        <n v="28270.0"/>
        <n v="12030.0"/>
        <n v="1465.0"/>
        <n v="45.0"/>
        <n v="18560.0"/>
        <n v="1990.0"/>
        <n v="4930.0"/>
        <n v="6730.0"/>
        <n v="970.0"/>
        <n v="915.0"/>
        <n v="18640.0"/>
        <n v="1370.0"/>
        <n v="28560.0"/>
        <n v="6925.0"/>
        <n v="6670.0"/>
        <n v="51500.0"/>
        <n v="70.0"/>
        <n v="340.0"/>
        <n v="40300.0"/>
        <n v="45300.0"/>
        <n v="4760.0"/>
        <n v="66825.0"/>
        <n v="3635.0"/>
        <n v="4540.0"/>
        <n v="182.0"/>
        <n v="6290.0"/>
        <n v="18210.0"/>
        <n v="628.0"/>
        <n v="44240.0"/>
        <n v="24300.0"/>
        <n v="32280.0"/>
        <n v="859000.0"/>
        <n v="4522500.0"/>
        <n v="650000.0"/>
        <n v="2065000.0"/>
        <n v="2825000.0"/>
        <n v="267000.0"/>
        <n v="3597500.0"/>
        <n v="6055000.0"/>
        <n v="597000.0"/>
        <n v="3780000.0"/>
        <n v="3650000.0"/>
        <n v="35060.0"/>
        <n v="35.0"/>
        <n v="22000.0"/>
        <n v="77500.0"/>
        <n v="50000.0"/>
        <n v="33280.0"/>
        <n v="134500.0"/>
        <n v="27900.0"/>
        <n v="71250.0"/>
        <n v="46500.0"/>
        <n v="65200.0"/>
        <n v="77800.0"/>
        <n v="4000.0"/>
        <n v="157750.0"/>
        <n v="129750.0"/>
        <n v="68500.0"/>
        <n v="27000.0"/>
        <n v="142800.0"/>
        <n v="186250.0"/>
        <n v="9500.0"/>
        <n v="124250.0"/>
        <n v="36700.0"/>
        <n v="3.5"/>
        <n v="12750.0"/>
        <n v="33000.0"/>
        <n v="23200.0"/>
        <n v="1500.0"/>
        <n v="196600.0"/>
        <n v="62150.0"/>
        <n v="181200.0"/>
        <n v="39250.0"/>
        <n v="22210.0"/>
        <n v="28925.0"/>
        <n v="43320.0"/>
        <n v="41280.0"/>
        <n v="9250.0"/>
        <n v="45670.0"/>
        <n v="5825.0"/>
        <n v="37680.0"/>
        <n v="32790.0"/>
        <n v="10125.0"/>
        <n v="460.0"/>
        <n v="81425.0"/>
        <n v="69950.0"/>
        <n v="760.0"/>
        <n v="78925.0"/>
        <n v="65.0"/>
        <n v="70350.0"/>
        <n v="5100.0"/>
        <n v="11.0"/>
        <n v="14210.0"/>
        <n v="72500.0"/>
        <n v="230.0"/>
        <n v="37550.0"/>
        <n v="5740.0"/>
        <n v="41625.0"/>
        <n v="8680.0"/>
        <n v="28125.0"/>
        <n v="8720.0"/>
        <n v="2410.0"/>
        <n v="13475.0"/>
        <n v="510.0"/>
        <n v="39550.0"/>
        <n v="355300.0"/>
        <n v="378100.0"/>
        <n v="1180100.0"/>
        <n v="3200.0"/>
        <n v="125750.0"/>
        <n v="82800.0"/>
        <n v="574200.0"/>
        <n v="93800.0"/>
        <n v="241750.0"/>
        <n v="54000.0"/>
        <n v="1350.0"/>
        <n v="691200.0"/>
        <n v="53250.0"/>
        <n v="38450.0"/>
        <n v="2850.0"/>
        <n v="305300.0"/>
        <n v="38100.0"/>
        <n v="158250.0"/>
        <n v="177750.0"/>
        <n v="223500.0"/>
        <n v="74600.0"/>
        <n v="277500.0"/>
        <n v="93000.0"/>
        <n v="2.25"/>
        <n v="7300.0"/>
        <n v="221400.0"/>
        <n v="355250.0"/>
        <n v="1200.0"/>
        <n v="730.0"/>
        <n v="70100.0"/>
        <n v="4100.0"/>
        <n v="13500.0"/>
        <n v="210.0"/>
        <n v="190.0"/>
        <n v="2350.0"/>
        <n v="0.75"/>
        <n v="13590.0"/>
        <n v="18250.0"/>
        <n v="120.0"/>
        <n v="420.0"/>
        <n v="1070.0"/>
        <n v="21375.0"/>
        <n v="19600.0"/>
        <n v="34675.0"/>
        <n v="22150.0"/>
        <n v="18200.0"/>
        <n v="3100.0"/>
        <n v="58200.0"/>
        <n v="13800.0"/>
        <n v="9750.0"/>
        <n v="16300.0"/>
        <n v="48900.0"/>
        <n v="15000.0"/>
        <n v="59750.0"/>
        <n v="13750.0"/>
        <n v="61450.0"/>
        <n v="13100.0"/>
        <n v="61900.0"/>
        <n v="6.0"/>
        <n v="49300.0"/>
        <n v="25550.0"/>
        <n v="1660.0"/>
        <n v="79000.0"/>
        <n v="24725.0"/>
        <n v="11700.0"/>
        <n v="48400.0"/>
        <n v="2670.0"/>
        <n v="35050.0"/>
        <n v="1825.0"/>
        <n v="9350.0"/>
        <n v="52050.0"/>
        <n v="12900.0"/>
        <n v="11770.0"/>
        <n v="10790.0"/>
        <n v="23190.0"/>
        <n v="10900.0"/>
        <n v="17.0"/>
        <n v="220.0"/>
        <n v="6870.0"/>
        <n v="10950.0"/>
        <n v="56.0"/>
        <n v="455.0"/>
        <n v="30775.0"/>
        <n v="690.0"/>
        <n v="58375.0"/>
        <n v="5500.0"/>
        <n v="3230.0"/>
        <n v="14225.0"/>
        <n v="1375.0"/>
        <n v="275.0"/>
        <n v="10875.0"/>
        <n v="18175.0"/>
        <n v="24825.0"/>
        <n v="51100.0"/>
        <n v="37425.0"/>
        <n v="2700.0"/>
        <n v="47700.0"/>
        <n v="9200.0"/>
        <n v="10075.0"/>
        <n v="80000.0"/>
        <n v="2564.0"/>
        <n v="574.0"/>
        <n v="1438.0"/>
        <n v="4642.0"/>
        <n v="3256.0"/>
        <n v="337400.0"/>
        <n v="902600.0"/>
        <n v="46600.0"/>
        <n v="541800.0"/>
        <n v="921700.0"/>
        <n v="622500.0"/>
        <n v="602300.0"/>
        <n v="543700.0"/>
        <n v="207450.0"/>
        <n v="495600.0"/>
        <n v="502200.0"/>
        <n v="117000.0"/>
        <n v="342700.0"/>
        <n v="56200.0"/>
        <n v="1430800.0"/>
        <n v="2875.0"/>
        <n v="133975.0"/>
        <n v="58600.0"/>
        <n v="267750.0"/>
        <n v="2100.0"/>
        <n v="76850.0"/>
        <n v="29200.0"/>
        <n v="355150.0"/>
        <n v="26300.0"/>
        <n v="9150.0"/>
        <n v="34360.0"/>
        <n v="31120.0"/>
        <n v="9450.0"/>
        <n v="27400.0"/>
        <n v="7850.0"/>
        <n v="1040.0"/>
        <n v="127650.0"/>
        <n v="30260.0"/>
        <n v="280.0"/>
        <n v="30600.0"/>
        <n v="260.0"/>
        <n v="52650.0"/>
        <n v="77400.0"/>
        <n v="380.0"/>
        <n v="81800.0"/>
        <n v="21200.0"/>
        <n v="1215.0"/>
        <n v="14200.0"/>
        <n v="9270.0"/>
        <n v="13715.0"/>
        <n v="5040.0"/>
        <n v="12450.0"/>
        <n v="4740.0"/>
        <n v="2120.0"/>
        <n v="9220.0"/>
        <n v="780.0"/>
        <n v="44770.0"/>
        <n v="39390.0"/>
        <n v="1780.0"/>
        <n v="46900.0"/>
        <n v="96520.0"/>
        <n v="149960.0"/>
        <n v="3350.0"/>
        <n v="100580.0"/>
        <n v="32630.0"/>
        <n v="17780.0"/>
        <n v="2535.0"/>
        <n v="27625.0"/>
        <n v="10080.0"/>
        <n v="76665.0"/>
        <n v="9710.0"/>
        <n v="36900.0"/>
        <n v="3305.0"/>
        <n v="6170.0"/>
        <n v="10300.0"/>
        <n v="32970.0"/>
        <n v="1240.0"/>
        <n v="28940.0"/>
        <n v="10360.0"/>
        <n v="15820.0"/>
        <n v="18480.0"/>
        <n v="69100.0"/>
        <n v="29150.0"/>
        <n v="54920.0"/>
        <n v="8540.0"/>
        <n v="96150.0"/>
        <n v="81460.0"/>
        <n v="76200.0"/>
        <n v="99120.0"/>
        <n v="112340.0"/>
        <n v="24900.0"/>
        <n v="4790.0"/>
        <n v="30040.0"/>
        <n v="12365.0"/>
        <n v="21920.0"/>
        <n v="148420.0"/>
        <n v="38920.0"/>
        <n v="63460.0"/>
        <n v="59060.0"/>
        <n v="4040.0"/>
        <n v="19320.0"/>
        <n v="1640.0"/>
        <n v="29340.0"/>
        <n v="2800.0"/>
        <n v="23975.0"/>
        <n v="7260.0"/>
        <n v="85.0"/>
        <n v="47600.0"/>
        <n v="88.0"/>
        <n v="30.0"/>
        <n v="31250.0"/>
        <n v="440.0"/>
        <n v="610.0"/>
        <n v="44350.0"/>
        <n v="48200.0"/>
        <n v="52425.0"/>
        <n v="53775.0"/>
        <n v="15300.0"/>
        <n v="44280.0"/>
        <n v="37840.0"/>
        <n v="60620.0"/>
        <n v="24780.0"/>
        <n v="24000.0"/>
        <n v="46280.0"/>
        <n v="4710.0"/>
        <n v="11875.0"/>
        <n v="1860.0"/>
        <n v="17275.0"/>
        <n v="28200.0"/>
        <n v="4260.0"/>
        <n v="13940.0"/>
        <n v="32320.0"/>
        <n v="26000.0"/>
        <n v="6300.0"/>
        <n v="5450.0"/>
        <n v="41700.0"/>
        <n v="6940.0"/>
        <n v="59800.0"/>
        <n v="8260.0"/>
        <n v="30280.0"/>
        <n v="1100.0"/>
        <n v="133375.0"/>
        <n v="12950.0"/>
        <n v="4675.0"/>
        <n v="146400.0"/>
        <n v="176800.0"/>
        <n v="17900.0"/>
        <n v="39900.0"/>
        <n v="1600.0"/>
        <n v="33300.0"/>
        <n v="43200.0"/>
        <n v="2525.0"/>
        <n v="24100.0"/>
        <n v="162100.0"/>
        <n v="104625.0"/>
        <n v="215500.0"/>
        <n v="65000.0"/>
        <n v="1.25"/>
        <n v="24600.0"/>
        <n v="248400.0"/>
        <n v="18000.0"/>
        <n v="4.5"/>
        <n v="2500.0"/>
        <n v="5925.0"/>
        <n v="285550.0"/>
        <n v="18325.0"/>
        <n v="541450.0"/>
        <n v="830.0"/>
        <n v="252750.0"/>
        <n v="410.0"/>
        <n v="242700.0"/>
        <n v="27375.0"/>
        <n v="44890.0"/>
        <n v="6700.0"/>
        <n v="50630.0"/>
        <n v="89875.0"/>
        <n v="36800.0"/>
        <n v="90475.0"/>
        <n v="78450.0"/>
        <n v="102125.0"/>
        <n v="38140.0"/>
        <n v="18880.0"/>
        <n v="21520.0"/>
        <n v="124300.0"/>
        <n v="71800.0"/>
        <n v="167750.0"/>
        <n v="51250.0"/>
        <n v="107300.0"/>
        <n v="58750.0"/>
        <n v="49800.0"/>
        <n v="40750.0"/>
        <n v="23750.0"/>
        <n v="1680.0"/>
        <n v="52200.0"/>
        <n v="168250.0"/>
        <n v="26750.0"/>
        <n v="19300.0"/>
        <n v="118250.0"/>
        <n v="140750.0"/>
        <n v="34100.0"/>
        <n v="42600.0"/>
        <n v="175750.0"/>
        <n v="102000.0"/>
        <n v="69800.0"/>
        <n v="42800.0"/>
        <n v="171500.0"/>
        <n v="76250.0"/>
        <n v="87100.0"/>
        <n v="68100.0"/>
        <n v="208000.0"/>
        <n v="95000.0"/>
        <n v="28700.0"/>
        <n v="166750.0"/>
        <n v="50750.0"/>
        <n v="15600.0"/>
        <n v="47500.0"/>
        <n v="14250.0"/>
        <n v="4550.0"/>
        <n v="94700.0"/>
        <n v="41500.0"/>
        <n v="228900.0"/>
        <n v="153750.0"/>
        <n v="10100.0"/>
        <n v="146000.0"/>
        <n v="24250.0"/>
        <n v="45000.0"/>
        <n v="136500.0"/>
        <n v="269000.0"/>
        <n v="7000.0"/>
        <n v="35000.0"/>
        <n v="287500.0"/>
        <n v="53700.0"/>
        <n v="359500.0"/>
        <n v="6200.0"/>
        <n v="65250.0"/>
        <n v="44000.0"/>
        <n v="12000.0"/>
        <n v="42750.0"/>
        <n v="247500.0"/>
        <n v="164200.0"/>
        <n v="370000.0"/>
        <n v="720900.0"/>
        <n v="5250.0"/>
        <n v="137300.0"/>
        <n v="1360.0"/>
        <n v="5090.0"/>
        <n v="49350.0"/>
        <n v="1300.0"/>
        <n v="261300.0"/>
        <n v="75700.0"/>
        <n v="66100.0"/>
        <n v="8800.0"/>
        <n v="562000.0"/>
        <n v="291250.0"/>
        <n v="6400.0"/>
        <n v="320600.0"/>
        <n v="19400.0"/>
        <n v="40480.0"/>
        <n v="3840.0"/>
        <n v="60125.0"/>
        <n v="39050.0"/>
        <n v="33400.0"/>
        <n v="490.0"/>
        <n v="81025.0"/>
        <n v="11160.0"/>
        <n v="6610.0"/>
        <n v="36920.0"/>
        <n v="224.0"/>
        <n v="217150.0"/>
        <n v="158500.0"/>
        <n v="14400.0"/>
        <n v="54500.0"/>
        <n v="49825.0"/>
        <n v="21350.0"/>
        <n v="108050.0"/>
        <n v="119700.0"/>
        <n v="111000.0"/>
        <n v="1358300.0"/>
        <n v="34410.0"/>
        <n v="195450.0"/>
        <n v="59700.0"/>
        <n v="16850.0"/>
        <n v="426700.0"/>
        <n v="44400.0"/>
        <n v="1650.0"/>
        <n v="56240.0"/>
        <n v="15800.0"/>
        <n v="1125.0"/>
        <n v="2325.0"/>
        <n v="19770.0"/>
        <n v="1175.0"/>
        <n v="160375.0"/>
        <n v="225.0"/>
        <n v="17200.0"/>
        <n v="129300.0"/>
        <n v="278800.0"/>
        <n v="38000.0"/>
        <n v="51750.0"/>
        <n v="360.0"/>
        <n v="42350.0"/>
        <n v="14790.0"/>
        <n v="9320.0"/>
        <n v="3575.0"/>
        <n v="156.0"/>
        <n v="75620.0"/>
        <n v="30000.0"/>
        <n v="2690.0"/>
        <n v="1340.0"/>
        <n v="36280.0"/>
        <n v="29590.0"/>
        <n v="12220.0"/>
        <n v="14000.0"/>
        <n v="11650.0"/>
        <n v="82950.0"/>
        <n v="170500.0"/>
        <n v="409300.0"/>
        <n v="134250.0"/>
        <n v="174500.0"/>
        <n v="32000.0"/>
        <n v="336600.0"/>
        <n v="255300.0"/>
        <n v="83750.0"/>
        <n v="576.0"/>
        <n v="1160.0"/>
        <n v="293200.0"/>
        <n v="52950.0"/>
        <n v="3040.0"/>
        <n v="59725.0"/>
        <n v="53975.0"/>
        <n v="6880.0"/>
        <n v="21400.0"/>
        <n v="117340.0"/>
        <n v="8250.0"/>
        <n v="29110.0"/>
        <n v="43590.0"/>
        <n v="37260.0"/>
        <n v="160.0"/>
        <n v="83250.0"/>
        <n v="553500.0"/>
        <n v="186000.0"/>
        <n v="165000.0"/>
        <n v="44200.0"/>
        <n v="4500.0"/>
        <n v="21750.0"/>
        <n v="33500.0"/>
        <n v="480.0"/>
        <n v="6810.0"/>
        <n v="23675.0"/>
        <n v="111800.0"/>
        <n v="191750.0"/>
        <n v="103000.0"/>
        <n v="66500.0"/>
        <n v="17810.0"/>
        <n v="56350.0"/>
        <n v="99450.0"/>
        <n v="38900.0"/>
        <n v="3750.0"/>
        <n v="419800.0"/>
        <n v="625.0"/>
        <n v="19560.0"/>
        <n v="17800.0"/>
        <n v="28650.0"/>
        <n v="94430.0"/>
        <n v="40080.0"/>
        <n v="11000.0"/>
        <n v="68925.0"/>
        <n v="62900.0"/>
        <n v="42925.0"/>
        <n v="13.0"/>
        <n v="1255.0"/>
        <n v="17540.0"/>
        <n v="16890.0"/>
        <n v="50770.0"/>
        <n v="120000.0"/>
        <n v="422200.0"/>
        <n v="104125.0"/>
        <n v="21500.0"/>
        <n v="79100.0"/>
        <n v="520.0"/>
        <n v="17600.0"/>
        <n v="2760.0"/>
        <n v="19470.0"/>
        <n v="305.0"/>
        <n v="1840.0"/>
        <n v="316100.0"/>
        <n v="55050.0"/>
      </sharedItems>
    </cacheField>
    <cacheField name="Equity Adjusted" numFmtId="0">
      <sharedItems containsString="0" containsBlank="1" containsNumber="1">
        <n v="102.0"/>
        <n v="51600.0"/>
        <n v="46480.0"/>
        <m/>
        <n v="24382.0"/>
        <n v="7148.0"/>
        <n v="104281.0"/>
        <n v="74892.0"/>
        <n v="-3473.0"/>
        <n v="126061.0"/>
        <n v="218147.0"/>
        <n v="24990.0"/>
        <n v="194942.0"/>
        <n v="38812.0"/>
        <n v="116645.0"/>
        <n v="25048.0"/>
        <n v="291.0"/>
        <n v="12078.0"/>
        <n v="30306.0"/>
        <n v="15636.0"/>
        <n v="16556.0"/>
        <n v="7588.0"/>
        <n v="1810.0"/>
        <n v="-145.0"/>
        <n v="-33.0"/>
        <n v="11830.0"/>
        <n v="7.0"/>
        <n v="16324.0"/>
        <n v="2576.0"/>
        <n v="252.0"/>
        <n v="322.0"/>
        <n v="1372.0"/>
        <n v="3772.0"/>
        <n v="20295.0"/>
        <n v="75577.0"/>
        <n v="12689.0"/>
        <n v="46501.0"/>
        <n v="55430.0"/>
        <n v="119819.0"/>
        <n v="40077.0"/>
        <n v="108010.0"/>
        <n v="142685.0"/>
        <n v="68536.0"/>
        <n v="30175.0"/>
        <n v="39802.0"/>
        <n v="13604.0"/>
        <n v="2156.0"/>
        <n v="17620.0"/>
        <n v="80626.0"/>
        <n v="19568.0"/>
        <n v="78243.0"/>
        <n v="226843.0"/>
        <n v="13097.0"/>
        <n v="-272.0"/>
        <n v="3099.0"/>
        <n v="66771.0"/>
        <n v="154632.0"/>
        <n v="20855.0"/>
        <n v="40921.0"/>
        <n v="52670.0"/>
        <n v="67344.0"/>
        <n v="167195.0"/>
        <n v="1373.0"/>
        <n v="0.0"/>
        <n v="-353.0"/>
        <n v="112484.0"/>
        <n v="1921.0"/>
        <n v="64825.0"/>
        <n v="860.0"/>
        <n v="102060.0"/>
        <n v="-718.0"/>
        <n v="37790.0"/>
        <n v="125450.0"/>
        <n v="126592.0"/>
        <n v="1716.0"/>
        <n v="66506.0"/>
        <n v="47269.0"/>
        <n v="-896.0"/>
        <n v="71768.0"/>
        <n v="274.0"/>
        <n v="30193.0"/>
        <n v="48559.0"/>
        <n v="63286.0"/>
        <n v="61184.0"/>
        <n v="42419.0"/>
        <n v="19906.0"/>
        <n v="13996.0"/>
        <n v="5170.0"/>
        <n v="21342.0"/>
        <n v="35748.0"/>
        <n v="-290.0"/>
        <n v="296.0"/>
        <n v="889.0"/>
        <n v="26291.0"/>
        <n v="139.0"/>
        <n v="140.0"/>
        <n v="62975.0"/>
        <n v="5532.0"/>
        <n v="15015.0"/>
        <n v="659.0"/>
        <n v="8070.0"/>
        <n v="-840.0"/>
        <n v="3668.0"/>
        <n v="18072.0"/>
        <n v="6651.0"/>
        <n v="1854.0"/>
        <n v="-1500.0"/>
        <n v="52432.0"/>
        <n v="1200.0"/>
        <n v="30227.0"/>
        <n v="741.0"/>
        <n v="20167.0"/>
        <n v="-9735.0"/>
        <n v="37584.0"/>
        <n v="-6194.0"/>
        <n v="4390.0"/>
        <n v="36069.0"/>
        <n v="4264.0"/>
        <n v="33320.0"/>
        <n v="-2876.0"/>
        <n v="6276.0"/>
        <n v="30259.0"/>
        <n v="22907.0"/>
        <n v="-178.0"/>
        <n v="85613.0"/>
        <n v="28562.0"/>
        <n v="10414.0"/>
        <n v="9937.0"/>
        <n v="105324.0"/>
        <n v="23119.0"/>
        <n v="256.0"/>
        <n v="-58.0"/>
        <n v="-428.0"/>
        <n v="6005.0"/>
        <n v="23984.0"/>
        <n v="9772.0"/>
        <n v="15715.0"/>
        <n v="37627.0"/>
        <n v="6159.0"/>
        <n v="9942.0"/>
        <n v="9856.0"/>
        <n v="356.0"/>
        <n v="1882.0"/>
        <n v="794.0"/>
        <n v="339.0"/>
        <n v="32609.0"/>
        <n v="2136.0"/>
        <n v="182.0"/>
        <n v="-221.0"/>
        <n v="24751.0"/>
        <n v="3448.0"/>
        <n v="780.0"/>
        <n v="26001.0"/>
        <n v="15417.0"/>
        <n v="6020.0"/>
        <n v="11376.0"/>
        <n v="13797.0"/>
        <n v="-312.0"/>
        <n v="16792.0"/>
        <n v="-12827.0"/>
        <n v="33953.0"/>
        <n v="11319.0"/>
        <n v="7805.0"/>
        <n v="-2110.0"/>
        <n v="3275.0"/>
        <n v="1739.0"/>
        <n v="1817.0"/>
        <n v="2613.0"/>
        <n v="29237.0"/>
        <n v="135189.0"/>
        <n v="4430.0"/>
        <n v="7897.0"/>
        <n v="8000.0"/>
        <n v="2355.0"/>
        <n v="7648.0"/>
        <n v="9360.0"/>
        <n v="453.0"/>
        <n v="1830.0"/>
        <n v="13363.0"/>
        <n v="1834.0"/>
        <n v="33334.0"/>
        <n v="12441.0"/>
        <n v="3126.0"/>
        <n v="1645.0"/>
        <n v="2779.0"/>
        <n v="64197.0"/>
        <n v="110070.0"/>
        <n v="31649.0"/>
        <n v="11921.0"/>
        <n v="-163.0"/>
        <n v="1734.0"/>
        <n v="376.0"/>
        <n v="64596.0"/>
        <n v="31360.0"/>
        <n v="474.0"/>
        <n v="77133.0"/>
        <n v="55554.0"/>
        <n v="-159.0"/>
        <n v="41218.0"/>
        <n v="98631.0"/>
        <n v="839.0"/>
        <n v="55305.0"/>
        <n v="159.0"/>
        <n v="69748.0"/>
        <n v="72965.0"/>
        <n v="20037.0"/>
        <n v="2702.0"/>
        <n v="90754.0"/>
        <n v="1356.0"/>
        <n v="82416.0"/>
        <n v="81314.0"/>
        <n v="109853.0"/>
        <n v="-276.0"/>
        <n v="94078.0"/>
        <n v="47481.0"/>
        <n v="59631.0"/>
        <n v="98.0"/>
        <n v="83017.0"/>
        <n v="-5750.0"/>
        <n v="43614.0"/>
        <n v="8512.0"/>
        <n v="-865.0"/>
        <n v="14560.0"/>
        <n v="34173.0"/>
        <n v="23238.0"/>
        <n v="1765.0"/>
        <n v="357.0"/>
        <n v="-31.0"/>
        <n v="20713.0"/>
        <n v="19870.0"/>
        <n v="36025.0"/>
        <n v="-242.0"/>
        <n v="22210.0"/>
        <n v="37466.0"/>
        <n v="18500.0"/>
        <n v="2611.0"/>
        <n v="16753.0"/>
        <n v="15227.0"/>
        <n v="48104.0"/>
        <n v="4786.0"/>
        <n v="174660.0"/>
        <n v="31191.0"/>
        <n v="241827.0"/>
        <n v="237283.0"/>
        <n v="76719.0"/>
        <n v="648.0"/>
        <n v="19738.0"/>
        <n v="14234.0"/>
        <n v="4022.0"/>
        <n v="33755.0"/>
        <n v="408.0"/>
        <n v="96156.0"/>
        <n v="-308.0"/>
        <n v="-135.0"/>
        <n v="146059.0"/>
        <n v="53577.0"/>
        <n v="257.0"/>
        <n v="31787.0"/>
        <n v="43187.0"/>
        <n v="89727.0"/>
        <n v="12717.0"/>
        <n v="9051.0"/>
        <n v="47739.0"/>
        <n v="98596.0"/>
        <n v="-264.0"/>
        <n v="105368.0"/>
        <n v="146072.0"/>
        <n v="3.0"/>
        <n v="846.0"/>
        <n v="70016.0"/>
        <n v="96710.0"/>
        <n v="21434.0"/>
        <n v="281090.0"/>
        <n v="11920.0"/>
        <n v="262.0"/>
        <n v="116093.0"/>
        <n v="1385.0"/>
        <n v="164495.0"/>
        <n v="217602.0"/>
        <n v="3533.0"/>
        <n v="3037.0"/>
        <n v="55996.0"/>
        <n v="-670.0"/>
        <n v="36779.0"/>
        <n v="34435.0"/>
        <n v="198.0"/>
        <n v="17067.0"/>
        <n v="5361.0"/>
        <n v="-413.0"/>
        <n v="88940.0"/>
        <n v="-3702.0"/>
        <n v="375.0"/>
        <n v="86748.0"/>
        <n v="81662.0"/>
        <n v="82565.0"/>
        <n v="10754.0"/>
        <n v="22597.0"/>
        <n v="81132.0"/>
        <n v="32.0"/>
        <n v="248440.0"/>
        <n v="167.0"/>
        <n v="77583.0"/>
        <n v="149043.0"/>
        <n v="24135.0"/>
        <n v="137.0"/>
        <n v="32383.0"/>
        <n v="166165.0"/>
        <n v="21980.0"/>
        <n v="-49.0"/>
        <n v="80073.0"/>
        <n v="35722.0"/>
        <n v="-4154.0"/>
        <n v="1.0"/>
        <n v="99370.0"/>
        <n v="4500.0"/>
        <n v="-595.0"/>
        <n v="298548.0"/>
        <n v="1223.0"/>
        <n v="-100.0"/>
        <n v="236421.0"/>
        <n v="42177.0"/>
        <n v="2970.0"/>
        <n v="44781.0"/>
        <n v="-1895.0"/>
        <n v="65338.0"/>
        <n v="66660.0"/>
        <n v="3603.0"/>
        <n v="1463.0"/>
        <n v="40163.0"/>
        <n v="6431.0"/>
        <n v="121120.0"/>
        <n v="877.0"/>
        <n v="31874.0"/>
        <n v="-925.0"/>
        <n v="3620.0"/>
        <n v="55523.0"/>
        <n v="5848.0"/>
        <n v="37555.0"/>
        <n v="-834.0"/>
        <n v="4892.0"/>
        <n v="11577.0"/>
        <n v="19795.0"/>
        <n v="10098.0"/>
        <n v="18843.0"/>
        <n v="32208.0"/>
        <n v="93812.0"/>
        <n v="30463.0"/>
        <n v="-387.0"/>
        <n v="49432.0"/>
        <n v="32612.0"/>
        <n v="-335.0"/>
        <n v="104934.0"/>
        <n v="43413.0"/>
        <n v="9157.0"/>
        <n v="39358.0"/>
        <n v="8763.0"/>
        <n v="93881.0"/>
        <n v="100832.0"/>
        <n v="12230.0"/>
        <n v="18736.0"/>
        <n v="9594.0"/>
        <n v="130093.0"/>
        <n v="13743.0"/>
        <n v="48749.0"/>
        <n v="37822.0"/>
        <n v="50266.0"/>
        <n v="57825.0"/>
        <n v="7749.0"/>
        <n v="218773.0"/>
        <n v="98474.0"/>
        <n v="3278.0"/>
        <n v="18289.0"/>
        <n v="5910.0"/>
        <n v="31307.0"/>
        <n v="1070.0"/>
        <n v="378.0"/>
        <n v="51.0"/>
        <n v="-495.0"/>
        <n v="66203.0"/>
        <n v="24336.0"/>
        <n v="13309.0"/>
        <n v="46249.0"/>
        <n v="30594.0"/>
        <n v="28036.0"/>
        <n v="-11.0"/>
        <n v="17698.0"/>
        <n v="29200.0"/>
        <n v="100650.0"/>
        <n v="40347.0"/>
        <n v="106076.0"/>
        <n v="34756.0"/>
        <n v="8473.0"/>
        <n v="2402.0"/>
        <n v="16976.0"/>
        <n v="26164.0"/>
        <n v="39207.0"/>
        <n v="9997.0"/>
        <n v="-1703.0"/>
        <n v="215.0"/>
        <n v="-4822.0"/>
        <n v="609.0"/>
        <n v="-88.0"/>
        <n v="-1417.0"/>
        <n v="77743.0"/>
        <n v="29319.0"/>
        <n v="-635.0"/>
        <n v="53221.0"/>
        <n v="31760.0"/>
        <n v="14126.0"/>
        <n v="105694.0"/>
        <n v="71661.0"/>
        <n v="14516.0"/>
        <n v="122260.77"/>
        <n v="-1236.0"/>
        <n v="7063.0"/>
        <n v="4905.0"/>
        <n v="20445.0"/>
        <n v="220.0"/>
        <n v="44264.0"/>
        <n v="18783.0"/>
        <n v="5659.0"/>
        <n v="27.0"/>
        <n v="2047.0"/>
        <n v="14527.0"/>
        <n v="18013.0"/>
        <n v="18559.0"/>
        <n v="4597.0"/>
        <n v="1306.0"/>
        <n v="3761.0"/>
        <n v="56823.0"/>
        <n v="10192.0"/>
        <n v="14111.0"/>
        <n v="142.0"/>
        <n v="-1154.0"/>
        <n v="6.0"/>
        <n v="2993.0"/>
        <n v="-1241.0"/>
        <n v="14712.0"/>
        <n v="17957.0"/>
        <n v="33585.0"/>
        <n v="69.0"/>
        <n v="953.0"/>
        <n v="1363.0"/>
        <n v="-1755.0"/>
        <n v="23177.0"/>
        <n v="12310.0"/>
        <n v="7436.0"/>
        <n v="898.0"/>
        <n v="24492.0"/>
        <n v="10366.0"/>
        <n v="5426.0"/>
        <n v="-13783.0"/>
        <n v="-974.0"/>
        <n v="9926.0"/>
        <n v="-1229.0"/>
        <n v="67155.0"/>
        <n v="56397.0"/>
        <n v="16267.0"/>
        <n v="-3811.0"/>
        <n v="786.0"/>
        <n v="20860.0"/>
        <n v="54452.0"/>
        <n v="4679.0"/>
        <n v="64621.0"/>
        <n v="13099.0"/>
        <n v="58247.0"/>
        <n v="5750.0"/>
        <n v="132704.0"/>
        <n v="36518.0"/>
        <n v="86284.0"/>
        <n v="29240.0"/>
        <n v="12694.0"/>
        <n v="4374.0"/>
        <n v="27489.0"/>
        <n v="131664.0"/>
        <n v="108.0"/>
        <n v="-332.0"/>
        <n v="12180.0"/>
        <n v="22513.0"/>
        <n v="50318.0"/>
        <n v="56231.0"/>
        <n v="41150.0"/>
        <n v="1655.0"/>
        <n v="48868.0"/>
        <n v="51359.0"/>
        <n v="175649.0"/>
        <n v="34116.0"/>
        <n v="137917.0"/>
        <n v="17424.0"/>
        <n v="39468.0"/>
        <n v="-942.0"/>
        <n v="596.0"/>
        <n v="14675.0"/>
        <n v="64837.0"/>
        <n v="159427.0"/>
        <n v="-141.0"/>
        <n v="2916.0"/>
        <n v="61200.0"/>
        <n v="45269.0"/>
        <n v="-767.0"/>
        <n v="29721.0"/>
        <n v="79909.0"/>
        <n v="-711.0"/>
        <n v="94234.0"/>
        <n v="1416.0"/>
        <n v="96080.0"/>
        <n v="2645.0"/>
        <n v="38183.0"/>
        <n v="-21.0"/>
        <n v="41875.0"/>
        <n v="-658.0"/>
        <n v="11074.0"/>
        <n v="135078.0"/>
        <n v="788.0"/>
        <n v="167792.0"/>
        <n v="-197.0"/>
        <n v="56194.0"/>
        <n v="163703.0"/>
        <n v="128322.0"/>
        <n v="-4515.0"/>
        <n v="12317.0"/>
        <n v="40006.0"/>
        <n v="9971.0"/>
        <n v="3894.0"/>
        <n v="114738.0"/>
        <n v="28638.0"/>
        <n v="19214.0"/>
        <n v="29057.0"/>
        <n v="4410.0"/>
        <n v="5349.0"/>
        <n v="94085.0"/>
        <n v="13794.0"/>
        <n v="81431.0"/>
        <n v="12324.0"/>
        <n v="43769.0"/>
        <n v="169971.0"/>
        <n v="-133.0"/>
        <n v="5195.0"/>
        <n v="-1937.0"/>
        <n v="4248.0"/>
        <n v="63341.0"/>
        <n v="27040.0"/>
        <n v="28033.0"/>
        <n v="926.0"/>
        <n v="46139.0"/>
        <n v="-46.0"/>
        <n v="49735.0"/>
        <n v="31193.0"/>
        <n v="64015.0"/>
        <n v="53508.0"/>
        <n v="131.0"/>
        <n v="-1006.0"/>
        <n v="68572.0"/>
        <n v="813.0"/>
        <n v="284.0"/>
        <n v="69594.0"/>
        <n v="69599.0"/>
        <n v="-518.0"/>
        <n v="-302.0"/>
        <n v="71602.0"/>
        <n v="3810.0"/>
        <n v="101504.0"/>
        <n v="43699.0"/>
        <n v="9065.0"/>
        <n v="6520.0"/>
        <n v="4255.0"/>
        <n v="-1110.0"/>
        <n v="24403.0"/>
        <n v="29119.0"/>
        <n v="46.0"/>
        <n v="9291.0"/>
        <n v="7641.0"/>
        <n v="-2619.0"/>
        <n v="-1032.0"/>
        <n v="11110.0"/>
        <n v="-897.0"/>
        <n v="1483.310096"/>
        <n v="419.0"/>
        <n v="1084.0"/>
        <n v="36.0"/>
        <n v="213.0"/>
        <n v="5.0"/>
        <n v="395.0"/>
        <n v="3401.0"/>
        <n v="5881.0"/>
        <n v="89.0"/>
        <n v="16747.0"/>
        <n v="-93.0"/>
        <n v="271.0"/>
        <n v="42109.0"/>
        <n v="-447.0"/>
        <n v="26615.0"/>
        <n v="994.0"/>
        <n v="38810.0"/>
        <n v="1394.0"/>
        <n v="99244.0"/>
        <n v="23770.0"/>
        <n v="209816.0"/>
        <n v="140697.0"/>
        <n v="-6067.0"/>
        <n v="182401.0"/>
        <n v="8003.0"/>
        <n v="202342.0"/>
        <n v="144988.0"/>
        <n v="32199.0"/>
        <n v="192.0"/>
        <n v="104822.0"/>
        <n v="7000.0"/>
        <n v="119500.0"/>
        <n v="13600.0"/>
        <n v="116538.0"/>
        <n v="1113.0"/>
        <n v="49802.0"/>
        <n v="91887.0"/>
        <n v="-4048.0"/>
        <n v="-297.0"/>
        <n v="-521.0"/>
        <n v="70804.0"/>
        <n v="105017.0"/>
        <n v="-20402.0"/>
        <n v="863.0"/>
        <n v="70542.0"/>
        <n v="37687.0"/>
        <n v="45283.0"/>
        <n v="57388.0"/>
        <n v="67985.0"/>
        <n v="64059.0"/>
        <n v="9442.0"/>
        <n v="18652.0"/>
        <n v="3693.0"/>
        <n v="86923.0"/>
        <n v="91182.0"/>
        <n v="13796.0"/>
        <n v="272805.0"/>
        <n v="1045.0"/>
        <n v="1075.0"/>
        <n v="-54.0"/>
        <n v="13328.0"/>
        <n v="3621.0"/>
        <n v="87189.0"/>
        <n v="5828.0"/>
        <n v="25598.0"/>
        <n v="1925.0"/>
        <n v="30519.0"/>
        <n v="131361.0"/>
        <n v="4047.0"/>
        <n v="16667.0"/>
        <n v="-1729.0"/>
        <n v="13128.0"/>
        <n v="2792.0"/>
        <n v="82890.0"/>
        <n v="3583.0"/>
        <n v="21112.0"/>
        <n v="4138.0"/>
        <n v="551.0"/>
        <n v="65014.0"/>
        <n v="4799.0"/>
        <n v="40697.0"/>
        <n v="3480.0"/>
        <n v="8216.0"/>
        <n v="57772.0"/>
        <n v="243.0"/>
        <n v="41567.0"/>
        <n v="1286.0"/>
        <n v="2578.0"/>
        <n v="114153.0"/>
        <n v="-455.0"/>
        <n v="96504.0"/>
        <n v="7104.0"/>
        <n v="-55.0"/>
        <n v="1056.0"/>
        <n v="1448.0"/>
        <n v="9218.0"/>
        <n v="6618.0"/>
        <n v="15763.0"/>
        <n v="-1027.0"/>
        <n v="2002.0"/>
        <n v="31388.0"/>
        <n v="1229.0"/>
        <n v="5211.0"/>
        <n v="37237.0"/>
        <n v="24052.0"/>
        <n v="69084.0"/>
        <n v="15161.0"/>
        <n v="5410.0"/>
        <n v="5389.0"/>
        <n v="40928.0"/>
        <n v="-1304.0"/>
        <n v="-204.0"/>
        <n v="10022.0"/>
        <n v="-8.0"/>
        <n v="116.0"/>
        <n v="27373.0"/>
        <n v="964.0"/>
        <n v="-5346.0"/>
        <n v="40816.0"/>
        <n v="-1134.0"/>
        <n v="1202.0"/>
        <n v="1022.0"/>
        <n v="14655.0"/>
        <n v="3440.0"/>
        <n v="633.0"/>
        <n v="67894.0"/>
        <n v="3602.0"/>
        <n v="972.0"/>
        <n v="114035.0"/>
        <n v="-736.0"/>
        <n v="44880.0"/>
        <n v="1475.0"/>
        <n v="3896.0"/>
        <n v="12424.0"/>
        <n v="80387.0"/>
        <n v="1598.0"/>
        <n v="5351.0"/>
        <n v="-1587.0"/>
        <n v="13655.0"/>
        <n v="52776.0"/>
        <n v="1430.0"/>
        <n v="-3505.0"/>
        <n v="11915.0"/>
        <n v="46482.0"/>
        <n v="22852.0"/>
        <n v="44716.0"/>
        <n v="11085.0"/>
        <n v="-4818.0"/>
        <n v="134240.0"/>
        <n v="21125.0"/>
        <n v="1018.0"/>
        <n v="336.0"/>
        <n v="660.0"/>
        <n v="36411.0"/>
        <n v="10950.0"/>
        <n v="-1260.0"/>
        <n v="2041.0"/>
        <n v="56.0"/>
        <n v="1536.0"/>
        <n v="41605.0"/>
        <n v="22949.0"/>
        <n v="394.0"/>
        <n v="1886.0"/>
        <n v="84460.0"/>
        <n v="1189.0"/>
        <n v="1893.0"/>
        <n v="27228.0"/>
        <n v="49751.0"/>
        <n v="1711.0"/>
        <n v="1811.0"/>
        <n v="2043.0"/>
        <n v="26796.0"/>
        <n v="71641.0"/>
        <n v="56313.0"/>
        <n v="44982.0"/>
        <n v="125568.0"/>
        <n v="98997.0"/>
        <n v="2424.0"/>
        <n v="27414.0"/>
        <n v="64067.0"/>
        <n v="720.0"/>
        <n v="23096.0"/>
        <n v="533153.0"/>
        <n v="36141.0"/>
        <n v="76161.0"/>
        <n v="187531.0"/>
        <n v="164052.0"/>
        <n v="-53.0"/>
        <n v="12506.0"/>
        <n v="148.0"/>
        <n v="38941.0"/>
        <n v="5102.0"/>
        <n v="6716.0"/>
        <n v="46830.0"/>
        <n v="65112.0"/>
        <n v="72341.0"/>
        <n v="91683.0"/>
        <n v="9016.0"/>
        <n v="67198.0"/>
        <n v="348.0"/>
        <n v="72267.0"/>
        <n v="7955.0"/>
        <n v="-1802.0"/>
        <n v="27131.0"/>
        <n v="20617.0"/>
        <n v="-64.0"/>
        <n v="11452.0"/>
        <n v="567.0"/>
        <n v="48299.0"/>
        <n v="3808.0"/>
        <n v="51997.0"/>
        <n v="24531.0"/>
        <n v="34365.0"/>
        <n v="-8040.0"/>
        <n v="31155.0"/>
        <n v="15974.0"/>
        <n v="88391.0"/>
        <n v="-150.0"/>
        <n v="53915.0"/>
        <n v="-3294.0"/>
        <n v="168.0"/>
        <n v="62360.0"/>
        <n v="4860.0"/>
        <n v="157.0"/>
        <n v="149.0"/>
        <n v="60702.0"/>
        <n v="7756.0"/>
        <n v="26.0"/>
        <n v="61.0"/>
        <n v="57900.0"/>
        <n v="-10146.0"/>
        <n v="448.0"/>
        <n v="3855.0"/>
        <n v="81059.0"/>
        <n v="-140.0"/>
        <n v="12104.0"/>
        <n v="7500.0"/>
        <n v="288.0"/>
        <n v="-336.0"/>
        <n v="-722.0"/>
        <n v="68712.0"/>
        <n v="8268.0"/>
        <n v="84.0"/>
        <n v="23336.0"/>
        <n v="78212.0"/>
        <n v="1873.0"/>
        <n v="126350.0"/>
        <n v="38720.0"/>
        <n v="221428.0"/>
        <n v="5749.0"/>
        <n v="1525.0"/>
        <n v="67343.0"/>
        <n v="21704.0"/>
        <n v="159087.0"/>
        <n v="16650.0"/>
        <n v="15627.0"/>
        <n v="8810.0"/>
        <n v="141045.0"/>
        <n v="49163.0"/>
        <n v="369.0"/>
        <n v="-2422.0"/>
        <n v="30700.0"/>
        <n v="17633.0"/>
        <n v="12652.0"/>
        <n v="1355.0"/>
        <n v="33583.0"/>
        <n v="672.0"/>
        <n v="13784.0"/>
        <n v="1845.0"/>
        <n v="-348.0"/>
        <n v="25106.0"/>
        <n v="84365.0"/>
        <n v="18108.0"/>
        <n v="-205.0"/>
        <n v="252465.0"/>
        <n v="48550.0"/>
        <n v="39159.0"/>
        <n v="50905.0"/>
        <n v="9990.0"/>
        <n v="11116.0"/>
        <n v="340.0"/>
        <n v="39007.0"/>
        <n v="54635.0"/>
        <n v="505.0"/>
        <n v="101129.0"/>
        <n v="17407.0"/>
        <n v="14230.0"/>
        <n v="38866.0"/>
        <n v="33942.0"/>
        <n v="48916.0"/>
        <n v="42974.0"/>
        <n v="-808.0"/>
        <n v="17142.0"/>
        <n v="28945.0"/>
        <n v="53269.0"/>
        <n v="5566.0"/>
        <n v="45693.0"/>
        <n v="531.0"/>
        <n v="1049.0"/>
        <n v="72272.0"/>
        <n v="2919.0"/>
        <n v="37334.0"/>
        <n v="44842.0"/>
        <n v="17898.0"/>
        <n v="67866.0"/>
        <n v="55121.0"/>
        <n v="-857.0"/>
        <n v="147.0"/>
        <n v="74218.0"/>
        <n v="554.0"/>
        <n v="87606.0"/>
        <n v="75820.0"/>
        <n v="30658.0"/>
        <n v="116716.0"/>
        <n v="691.0"/>
        <n v="27472.0"/>
        <n v="125504.0"/>
        <n v="217.0"/>
        <n v="17179.0"/>
        <n v="81147.0"/>
        <n v="44649.0"/>
        <n v="792.0"/>
        <n v="1769.0"/>
        <n v="-9.0"/>
        <n v="30799.0"/>
        <n v="973.0"/>
        <n v="2049.0"/>
        <n v="44115.0"/>
        <n v="4428.0"/>
        <n v="8511.0"/>
        <n v="2062.0"/>
        <n v="63008.0"/>
        <n v="9494.0"/>
        <n v="1888.0"/>
        <n v="43157.0"/>
        <n v="572.0"/>
        <n v="485.0"/>
        <n v="58557.0"/>
        <n v="2006.0"/>
        <n v="1210.0"/>
        <n v="37625.0"/>
        <n v="10779.0"/>
        <n v="-66.0"/>
        <n v="66466.0"/>
        <n v="-448.0"/>
        <n v="93921.0"/>
        <n v="153126.0"/>
        <n v="-218.0"/>
        <n v="41776.0"/>
        <n v="2646.0"/>
        <n v="55200.0"/>
        <n v="770.0"/>
        <n v="80990.0"/>
        <n v="13789.0"/>
        <n v="30528.0"/>
        <n v="10393.0"/>
        <n v="49705.0"/>
        <n v="-424.0"/>
        <n v="-103.0"/>
        <n v="24999.0"/>
        <n v="35351.0"/>
        <n v="67010.0"/>
        <n v="47150.0"/>
        <n v="-435.0"/>
        <n v="-3881.0"/>
        <n v="6075.0"/>
        <n v="20880.0"/>
        <n v="13186.0"/>
        <n v="33488.0"/>
        <n v="6156.0"/>
        <n v="2389.0"/>
        <n v="17446.0"/>
        <n v="-431.0"/>
        <n v="67550.0"/>
        <n v="12017.0"/>
        <n v="119.0"/>
        <n v="-89.0"/>
        <n v="5800.0"/>
        <n v="49984.0"/>
        <n v="62817.0"/>
        <n v="9374.0"/>
        <n v="9261.0"/>
        <n v="1041.0"/>
        <n v="1092.0"/>
        <n v="8105.0"/>
        <n v="11077.0"/>
        <n v="-28.0"/>
        <n v="6153.0"/>
        <n v="13637.0"/>
        <n v="832.0"/>
        <n v="51872.0"/>
        <n v="62775.0"/>
        <n v="11273.0"/>
        <n v="79376.0"/>
        <n v="9316.0"/>
        <n v="-600.0"/>
        <n v="-500.0"/>
        <n v="11295.0"/>
        <n v="50789.0"/>
        <n v="-2421.0"/>
        <n v="1958.0"/>
        <n v="7368.0"/>
        <n v="42493.0"/>
        <n v="1484.0"/>
        <n v="21331.0"/>
        <n v="104819.0"/>
        <n v="6486.0"/>
        <n v="49896.0"/>
        <n v="582.0"/>
        <n v="250.0"/>
        <n v="49779.0"/>
        <n v="7349.0"/>
        <n v="156.0"/>
        <n v="197516.0"/>
        <n v="43550.0"/>
        <n v="254972.0"/>
        <n v="49.0"/>
        <n v="143551.0"/>
        <n v="1017.0"/>
        <n v="97258.0"/>
        <n v="-4231.0"/>
        <n v="56968.0"/>
        <n v="83999.0"/>
        <n v="164997.0"/>
        <n v="76280.0"/>
        <n v="56640.0"/>
        <n v="77472.0"/>
        <n v="25028.0"/>
        <n v="18612.0"/>
        <n v="3679.0"/>
        <n v="1033.0"/>
        <n v="-5742.0"/>
        <n v="-11348.0"/>
        <n v="1510.0"/>
        <n v="-1652.0"/>
        <n v="-132.0"/>
        <n v="-363.0"/>
        <n v="27960.0"/>
        <n v="-165.0"/>
        <n v="19011.0"/>
        <n v="3881.0"/>
        <n v="5294.0"/>
        <n v="827.0"/>
        <n v="16300.0"/>
        <n v="2562.0"/>
        <n v="164.0"/>
        <n v="7177.0"/>
        <n v="-117.0"/>
        <n v="-450.0"/>
        <n v="858.0"/>
        <n v="2835.0"/>
        <n v="10056.0"/>
        <n v="6333.0"/>
        <n v="-3815.0"/>
        <n v="3092.0"/>
        <n v="-2333.0"/>
        <n v="-441.0"/>
        <n v="2831.0"/>
        <n v="3164.0"/>
        <n v="1040.0"/>
        <n v="197.0"/>
        <n v="-1141.0"/>
        <n v="-62.0"/>
        <n v="12674.0"/>
        <n v="1732.0"/>
        <n v="32704.0"/>
        <n v="-3148.0"/>
        <n v="25285.0"/>
        <n v="-6661.0"/>
        <n v="-11651.0"/>
        <n v="5745.0"/>
        <n v="4648.0"/>
        <n v="236.0"/>
        <n v="10762.0"/>
        <n v="-1507.0"/>
        <n v="7306.0"/>
        <n v="358.0"/>
        <n v="3651.0"/>
        <n v="-437.0"/>
        <n v="-1756.0"/>
        <n v="105.0"/>
        <n v="335.0"/>
        <n v="44440.0"/>
        <n v="-2098.0"/>
        <n v="205.0"/>
        <n v="409.0"/>
        <n v="50315.0"/>
        <n v="-188.0"/>
        <n v="22707.0"/>
        <n v="815.0"/>
        <n v="-333.0"/>
        <n v="-1244.0"/>
        <n v="2067.0"/>
        <n v="-929.0"/>
        <n v="-2229.0"/>
        <n v="4958.0"/>
        <n v="3751.0"/>
        <n v="14467.0"/>
        <n v="-23.0"/>
        <n v="1619.0"/>
        <n v="-3494.0"/>
        <n v="704.0"/>
        <n v="-358.0"/>
        <n v="-1659.0"/>
        <n v="34802.0"/>
        <n v="4997.0"/>
        <n v="-1647.0"/>
        <n v="461.0"/>
        <n v="733.0"/>
        <n v="-121.0"/>
        <n v="-347.0"/>
        <n v="96.0"/>
        <n v="5778.0"/>
        <n v="110.0"/>
        <n v="608.0"/>
        <n v="5239.0"/>
        <n v="-1823.0"/>
        <n v="1308.0"/>
        <n v="614.0"/>
        <n v="-1607.0"/>
        <n v="-1354.0"/>
        <n v="9312.0"/>
        <n v="3251.0"/>
        <n v="5962.0"/>
        <n v="26154.0"/>
        <n v="4775.0"/>
        <n v="773.0"/>
        <n v="192527.0"/>
        <n v="8025.0"/>
        <n v="4115.0"/>
        <n v="52800.0"/>
        <n v="-1317.0"/>
        <n v="6826.0"/>
        <n v="107990.0"/>
        <n v="9506.0"/>
        <n v="62940.0"/>
        <n v="14751.0"/>
        <n v="-1898.0"/>
        <n v="29082.0"/>
        <n v="-4892.0"/>
        <n v="167515.0"/>
        <n v="1668.0"/>
        <n v="32074.0"/>
        <n v="138222.0"/>
        <n v="80816.0"/>
        <n v="1452.0"/>
        <n v="185188.0"/>
        <n v="38123.0"/>
        <n v="103046.0"/>
        <n v="36964.0"/>
        <n v="35386.0"/>
        <n v="40242.0"/>
        <n v="71734.0"/>
        <n v="84315.0"/>
        <n v="80267.0"/>
        <n v="81334.0"/>
        <n v="678.0"/>
        <n v="-2365.0"/>
        <n v="465.0"/>
        <n v="23304.0"/>
        <n v="7317.0"/>
        <n v="160413.0"/>
        <n v="9921.0"/>
        <n v="9859.0"/>
        <n v="-70.0"/>
        <n v="125826.0"/>
        <n v="29204.0"/>
        <n v="36766.0"/>
        <n v="-3989.0"/>
        <n v="42890.0"/>
        <n v="5341.0"/>
        <n v="64745.0"/>
        <n v="-1636.0"/>
        <n v="2901.0"/>
        <n v="10603.0"/>
        <n v="8167.0"/>
        <n v="51578.0"/>
        <n v="-1242.0"/>
        <n v="5380.0"/>
        <n v="4050.0"/>
        <n v="20460.0"/>
        <n v="71338.0"/>
        <n v="3554.0"/>
        <n v="157954.0"/>
        <n v="-351.0"/>
        <n v="541.0"/>
        <n v="188757.0"/>
        <n v="118946.0"/>
        <n v="39323.0"/>
        <n v="16692.0"/>
        <n v="13361.0"/>
        <n v="2630.0"/>
        <n v="-6924.0"/>
        <n v="568.0"/>
        <n v="588.0"/>
        <n v="708.0"/>
        <n v="96142.0"/>
        <n v="139073.0"/>
        <n v="-4277.0"/>
        <n v="-1120.0"/>
        <n v="39900.0"/>
        <n v="345.0"/>
        <n v="85333.0"/>
        <n v="-50.0"/>
        <n v="75700.0"/>
        <n v="1205.0"/>
        <n v="33454.0"/>
        <n v="1143.0"/>
        <n v="23592.0"/>
        <n v="10562.0"/>
        <n v="7603.0"/>
        <n v="2953.0"/>
        <n v="39183.0"/>
        <n v="13444.0"/>
        <n v="18432.0"/>
        <n v="-1541.0"/>
        <n v="46077.0"/>
        <n v="5457.0"/>
        <n v="15792.0"/>
        <n v="1596.0"/>
        <n v="67717.0"/>
        <n v="1720.0"/>
        <n v="4526.0"/>
        <n v="-20.0"/>
        <n v="39131.0"/>
        <n v="560.0"/>
        <n v="-372.0"/>
        <n v="28628.0"/>
        <n v="36995.0"/>
        <n v="54866.0"/>
        <n v="-1532.0"/>
        <n v="177571.0"/>
        <n v="239745.0"/>
        <n v="11246.0"/>
        <n v="37116.0"/>
        <n v="182574.0"/>
        <n v="649.0"/>
        <n v="35872.0"/>
        <n v="894.0"/>
        <n v="-168.0"/>
        <n v="-947.0"/>
        <n v="189.0"/>
        <n v="-3846.0"/>
        <n v="-2644.0"/>
        <n v="-23389.0"/>
        <n v="3662.0"/>
        <n v="-474.0"/>
        <n v="9330.0"/>
        <n v="5586.0"/>
        <n v="-1249.0"/>
        <n v="5616.0"/>
        <n v="2717.0"/>
        <n v="51460.0"/>
        <n v="74048.0"/>
        <n v="35050.0"/>
        <n v="28830.0"/>
        <n v="-2560.0"/>
        <n v="-2265.0"/>
        <n v="4406.0"/>
        <n v="93775.0"/>
        <n v="-109.0"/>
        <n v="1500.0"/>
        <n v="85000.0"/>
        <n v="37000.0"/>
        <n v="28389.0"/>
        <n v="6166.0"/>
        <n v="42066.0"/>
        <n v="610.0"/>
        <n v="4174.0"/>
        <n v="55272.0"/>
        <n v="-8085.0"/>
        <n v="11642.0"/>
        <n v="21000.0"/>
        <n v="562976.0"/>
        <n v="101159.0"/>
        <n v="14162.0"/>
        <n v="77924.0"/>
        <n v="95900.0"/>
        <n v="-172.0"/>
        <n v="92877.0"/>
        <n v="66509.0"/>
        <n v="61540.0"/>
        <n v="200013.0"/>
        <n v="732199.0"/>
        <n v="58196.0"/>
        <n v="14293.0"/>
        <n v="75811.0"/>
        <n v="1537.0"/>
        <n v="330.0"/>
        <n v="50415.0"/>
        <n v="30434.0"/>
        <n v="3437.0"/>
        <n v="-4759.0"/>
        <n v="16021.0"/>
        <n v="77.0"/>
        <n v="1843.0"/>
        <n v="186550.0"/>
        <n v="5054.0"/>
      </sharedItems>
    </cacheField>
    <cacheField name="ChipEV" numFmtId="2">
      <sharedItems containsString="0" containsBlank="1" containsNumber="1">
        <n v="102.0"/>
        <n v="74.24460431654676"/>
        <n v="38.413223140495866"/>
        <n v="0.0"/>
        <n v="49.05835010060362"/>
        <n v="22.198757763975156"/>
        <n v="53.450025627883136"/>
        <n v="56.0149588631264"/>
        <n v="-10.03757225433526"/>
        <n v="58.934548854604955"/>
        <n v="63.121238425925924"/>
        <n v="30.32766990291262"/>
        <n v="66.35194009530292"/>
        <n v="30.393108848864525"/>
        <n v="45.35186625194401"/>
        <n v="28.399092970521544"/>
        <n v="11.192307692307692"/>
        <n v="69.01714285714286"/>
        <n v="48.4896"/>
        <n v="61.80237154150198"/>
        <n v="74.91402714932127"/>
        <n v="59.74803149606299"/>
        <n v="54.84848484848485"/>
        <n v="-11.153846153846153"/>
        <n v="-33.0"/>
        <n v="26.0"/>
        <n v="7.0"/>
        <n v="23.0"/>
        <n v="53.885714285714286"/>
        <n v="41.0"/>
        <n v="11.737381580990837"/>
        <n v="3.2485919098822325"/>
        <n v="21.127214902317128"/>
        <n v="8.624552668430061"/>
        <n v="15.927023793699322"/>
        <n v="6.527198697068404"/>
        <n v="14.001814882032669"/>
        <n v="20.628162498192857"/>
        <n v="16.724255734504638"/>
        <n v="12.878787878787879"/>
        <m/>
        <n v="12.943739837398374"/>
        <n v="13.549800796812749"/>
        <n v="143.73333333333332"/>
        <n v="53.0722891566265"/>
        <n v="23.832692876145433"/>
        <n v="18.304957904583723"/>
        <n v="25.865454545454547"/>
        <n v="31.963223897421447"/>
        <n v="42.385113268608414"/>
        <n v="-272.0"/>
        <n v="18.229411764705883"/>
        <n v="22.102284011916584"/>
        <n v="33.895659798334066"/>
        <n v="21.3023493360572"/>
        <n v="39.196360153256705"/>
        <n v="27.70647027880063"/>
        <n v="50.90249433106576"/>
        <n v="32.75122428991185"/>
        <n v="228.83333333333334"/>
        <n v="-58.833333333333336"/>
        <n v="26.974580335731414"/>
        <n v="213.44444444444446"/>
        <n v="15.590428090428091"/>
        <n v="215.0"/>
        <n v="30.18633540372671"/>
        <n v="-359.0"/>
        <n v="9.360911567996038"/>
        <n v="28.07743957027753"/>
        <n v="26.55590518145584"/>
        <n v="85.8"/>
        <n v="51.15846153846154"/>
        <n v="18.9076"/>
        <n v="-17.23076923076923"/>
        <n v="15.598348185177136"/>
        <n v="4.029411764705882"/>
        <n v="23.68078431372549"/>
        <n v="28.564117647058822"/>
        <n v="18.081714285714284"/>
        <n v="21.843627275972867"/>
        <n v="15.149642857142856"/>
        <n v="14.487627365356623"/>
        <n v="8.639506172839507"/>
        <n v="3.90188679245283"/>
        <n v="11.3824"/>
        <n v="23.549407114624508"/>
        <n v="-0.2783109404990403"/>
        <n v="296.0"/>
        <n v="68.38461538461539"/>
        <n v="13.984574468085107"/>
        <n v="139.0"/>
        <n v="140.0"/>
        <n v="30.203836930455637"/>
        <n v="3.0"/>
        <n v="13.0"/>
        <n v="659.0"/>
        <n v="3.0236043461970774"/>
        <n v="-12.0"/>
        <n v="19.104166666666668"/>
        <n v="9.442006269592477"/>
        <n v="3.695"/>
        <n v="7.357142857142857"/>
        <n v="-500.0"/>
        <n v="17.448252911813643"/>
        <n v="600.0"/>
        <n v="9.45775969962453"/>
        <n v="57.0"/>
        <n v="121.48795180722891"/>
        <n v="-1.6222296283952675"/>
        <n v="13.827814569536423"/>
        <n v="-42.717241379310344"/>
        <n v="10.0"/>
        <n v="12.251698369565217"/>
        <n v="67.68253968253968"/>
        <n v="49.50965824665676"/>
        <n v="-14.452261306532664"/>
        <n v="76.53658536585365"/>
        <n v="13.673294170808857"/>
        <n v="22.175217812197484"/>
        <n v="-44.5"/>
        <n v="66.57309486780716"/>
        <n v="76.98652291105121"/>
        <n v="33.27156549520767"/>
        <n v="78.86507936507937"/>
        <n v="59.53872244205766"/>
        <n v="47.86542443064182"/>
        <n v="256.0"/>
        <n v="-58.0"/>
        <n v="-4.3232323232323235"/>
        <n v="103.53448275862068"/>
        <n v="40.30924369747899"/>
        <n v="18.79230769230769"/>
        <n v="15.746492985971944"/>
        <n v="23.516875"/>
        <n v="6.61546723952739"/>
        <n v="40.74590163934426"/>
        <n v="15.4"/>
        <n v="118.66666666666667"/>
        <n v="5.88125"/>
        <n v="264.6666666666667"/>
        <n v="1.6142857142857143"/>
        <n v="8.740016081479496"/>
        <n v="3.7539543057996485"/>
        <n v="182.0"/>
        <n v="-221.0"/>
        <n v="50.20486815415821"/>
        <n v="67.6078431372549"/>
        <n v="27.857142857142858"/>
        <n v="66.49872122762149"/>
        <n v="20.63855421686747"/>
        <n v="38.34394904458599"/>
        <n v="44.96442687747036"/>
        <n v="110.376"/>
        <n v="-34.666666666666664"/>
        <n v="24.37155297532656"/>
        <n v="-47.158088235294116"/>
        <n v="87.73385012919897"/>
        <n v="23.630480167014614"/>
        <n v="6.74006908462867"/>
        <n v="-22.688172043010752"/>
        <n v="20.21604938271605"/>
        <n v="115.93333333333334"/>
        <n v="7.015444015444015"/>
        <n v="10.753086419753087"/>
        <n v="42.18903318903319"/>
        <n v="41.88011152416357"/>
        <n v="66.11940298507463"/>
        <n v="5.065426555484285"/>
        <n v="14.109347442680775"/>
        <n v="12.661290322580646"/>
        <n v="69.52727272727273"/>
        <n v="453.0"/>
        <n v="27.727272727272727"/>
        <n v="35.25857519788918"/>
        <n v="203.77777777777777"/>
        <n v="8.56474820143885"/>
        <n v="17.019151846785224"/>
        <n v="1.8079814921920185"/>
        <n v="39.166666666666664"/>
        <n v="38.59722222222222"/>
        <n v="38.23525908278737"/>
        <n v="63.36787564766839"/>
        <n v="56.820466786355475"/>
        <n v="13.877764842840513"/>
        <n v="-163.0"/>
        <n v="91.26315789473684"/>
        <n v="376.0"/>
        <n v="57.063604240282686"/>
        <n v="45.51523947750363"/>
        <n v="474.0"/>
        <n v="51.285239361702125"/>
        <n v="36.9375"/>
        <n v="-79.5"/>
        <n v="26.609425435765008"/>
        <n v="49.99036999493158"/>
        <n v="167.8"/>
        <n v="29.846195358877495"/>
        <n v="159.0"/>
        <n v="29.392330383480825"/>
        <n v="26.161706704912156"/>
        <n v="19.721456692913385"/>
        <n v="16.679012345679013"/>
        <n v="42.15234556432884"/>
        <n v="113.0"/>
        <n v="27.37163732979077"/>
        <n v="30.217019695280566"/>
        <n v="39.47287100251527"/>
        <n v="-138.0"/>
        <n v="31.869241192411923"/>
        <n v="17.763187429854096"/>
        <n v="19.348150551589878"/>
        <n v="98.0"/>
        <n v="29.9484126984127"/>
        <n v="-16.86217008797654"/>
        <n v="19.444493981275077"/>
        <n v="10.680050188205772"/>
        <n v="-7.148760330578512"/>
        <n v="10.452261306532664"/>
        <n v="38.35353535353536"/>
        <n v="12.902831760133258"/>
        <n v="49.02777777777778"/>
        <n v="178.5"/>
        <n v="-31.0"/>
        <n v="14.061778682959945"/>
        <n v="61.32716049382716"/>
        <n v="16.57083716651334"/>
        <n v="-242.0"/>
        <n v="30.97629009762901"/>
        <n v="10.980656506447831"/>
        <n v="8.474576271186441"/>
        <n v="9.12937062937063"/>
        <n v="25.616207951070336"/>
        <n v="13.619856887298747"/>
        <n v="7.132858837485172"/>
        <n v="3.7804107424960507"/>
        <n v="52.656014470907444"/>
        <n v="22.327129563350034"/>
        <n v="39.04213755247013"/>
        <n v="35.24179414822516"/>
        <n v="9.297018904507999"/>
        <n v="11.571428571428571"/>
        <n v="2.227272727272727"/>
        <n v="7.659293752425301"/>
        <n v="28.468"/>
        <n v="35.280701754385966"/>
        <n v="6.1272463241967685"/>
        <n v="408.0"/>
        <n v="9.34914924647545"/>
        <n v="-154.0"/>
        <n v="-67.5"/>
        <n v="15.654769560557343"/>
        <n v="7.780569270984606"/>
        <n v="257.0"/>
        <n v="6.507062436028659"/>
        <n v="12.558011049723756"/>
        <n v="44.287759131293186"/>
        <n v="8.67462482946794"/>
        <n v="22.183823529411764"/>
        <n v="35.257754800590845"/>
        <n v="68.13821700069109"/>
        <n v="-66.0"/>
        <n v="55.48604528699315"/>
        <n v="78.28081457663451"/>
        <n v="1.5"/>
        <n v="30.214285714285715"/>
        <n v="42.203737191078964"/>
        <n v="33.3597792342187"/>
        <n v="15.223011363636363"/>
        <n v="75.86774628879893"/>
        <n v="38.701298701298704"/>
        <n v="87.33333333333333"/>
        <n v="52.15318957771788"/>
        <n v="692.5"/>
        <n v="59.66449038810301"/>
        <n v="46.82633957391866"/>
        <n v="100.94285714285714"/>
        <n v="151.85"/>
        <n v="26.61406844106464"/>
        <n v="-670.0"/>
        <n v="33.37477313974592"/>
        <n v="20.84443099273608"/>
        <n v="198.0"/>
        <n v="46.75890410958904"/>
        <n v="4.49371332774518"/>
        <n v="-413.0"/>
        <n v="23.92789884315308"/>
        <n v="-14.183908045977011"/>
        <n v="375.0"/>
        <n v="35.220462850182706"/>
        <n v="65.3296"/>
        <n v="49.61838942307692"/>
        <n v="67.2125"/>
        <n v="44.39489194499018"/>
        <n v="29.23675675675676"/>
        <n v="32.0"/>
        <n v="16.581458986851764"/>
        <n v="83.5"/>
        <n v="13.169750466813785"/>
        <n v="13.611232876712329"/>
        <n v="20.80603448275862"/>
        <n v="45.666666666666664"/>
        <n v="14.184406482698204"/>
        <n v="10.103672625562448"/>
        <n v="11.823561054330286"/>
        <n v="-49.0"/>
        <n v="11.97980251346499"/>
        <n v="4.0801827527127355"/>
        <n v="-6.5109717868338555"/>
        <n v="1.0"/>
        <n v="11.39956407020764"/>
        <n v="1.686656671664168"/>
        <n v="-4.311594202898551"/>
        <n v="15.140886499644994"/>
        <n v="1.427071178529755"/>
        <n v="-25.0"/>
        <n v="12.634051194356864"/>
        <n v="8.216832261835185"/>
        <n v="33.0"/>
        <n v="69.0"/>
        <n v="-13.159722222222221"/>
        <n v="50.29869130100077"/>
        <n v="50.96330275229358"/>
        <n v="18.476923076923075"/>
        <n v="121.91666666666667"/>
        <n v="45.48471121177803"/>
        <n v="24.926356589147286"/>
        <n v="58.39922854387657"/>
        <n v="10.31764705882353"/>
        <n v="26.92060810810811"/>
        <n v="-71.15384615384616"/>
        <n v="97.83783783783784"/>
        <n v="36.79456593770709"/>
        <n v="177.21212121212122"/>
        <n v="55.06598240469208"/>
        <n v="-13.03125"/>
        <n v="67.01369863013699"/>
        <n v="64.31666666666666"/>
        <n v="94.26190476190476"/>
        <n v="23.002277904328018"/>
        <n v="57.80061349693251"/>
        <n v="58.989010989010985"/>
        <n v="74.33597464342314"/>
        <n v="61.541414141414144"/>
        <n v="-387.0"/>
        <n v="70.92109038737446"/>
        <n v="73.78280542986425"/>
        <n v="-335.0"/>
        <n v="87.6641604010025"/>
        <n v="51.07411764705882"/>
        <n v="22.835411471321695"/>
        <n v="63.789303079416534"/>
        <n v="146.05"/>
        <n v="51.63971397139714"/>
        <n v="38.603369065849925"/>
        <n v="48.1496062992126"/>
        <n v="114.94478527607362"/>
        <n v="78.63934426229508"/>
        <n v="66.92026748971193"/>
        <n v="106.53488372093024"/>
        <n v="65.43489932885906"/>
        <n v="70.43202979515829"/>
        <n v="85.48639455782313"/>
        <n v="71.83229813664596"/>
        <n v="58.26315789473684"/>
        <n v="76.60119047619048"/>
        <n v="72.88971132494449"/>
        <n v="117.07142857142857"/>
        <n v="67.23897058823529"/>
        <n v="59.1"/>
        <n v="59.18147448015123"/>
        <n v="66.875"/>
        <n v="378.0"/>
        <n v="51.0"/>
        <n v="-165.0"/>
        <n v="43.93032514930325"/>
        <n v="23.58139534883721"/>
        <n v="11.87243532560214"/>
        <n v="47.04883011190234"/>
        <n v="17.373083475298127"/>
        <n v="32.18828932261768"/>
        <n v="-0.13580246913580246"/>
        <n v="8.163284132841328"/>
        <n v="30.07209062821833"/>
        <n v="41.72885572139303"/>
        <n v="70.41361256544502"/>
        <n v="48.15070358601906"/>
        <n v="21.695380774032458"/>
        <n v="18.58114035087719"/>
        <n v="88.96296296296296"/>
        <n v="24.71033478893741"/>
        <n v="28.59453551912568"/>
        <n v="20.293478260869566"/>
        <n v="16.281758957654723"/>
        <n v="-39.604651162790695"/>
        <n v="35.833333333333336"/>
        <n v="-70.91176470588235"/>
        <n v="609.0"/>
        <n v="-88.0"/>
        <n v="-202.42857142857142"/>
        <n v="37.48457087753134"/>
        <n v="77.56349206349206"/>
        <n v="-635.0"/>
        <n v="59.79887640449438"/>
        <n v="30.075757575757574"/>
        <n v="60.36752136752137"/>
        <n v="31.409806835066863"/>
        <n v="22.158627087198514"/>
        <n v="24.941580756013746"/>
        <n v="62.730000000000004"/>
        <n v="-412.0"/>
        <n v="15.0"/>
        <n v="47.0"/>
        <n v="1.8487394957983194"/>
        <n v="10.46677701584299"/>
        <n v="20.02452025586354"/>
        <n v="6.7610513739546"/>
        <n v="27.0"/>
        <n v="19.31132075471698"/>
        <n v="6.1424947145877375"/>
        <n v="14.503220611916264"/>
        <n v="23.28607277289837"/>
        <n v="37.07258064516129"/>
        <n v="10.793388429752065"/>
        <n v="12.70608108108108"/>
        <n v="13.341864287391406"/>
        <n v="13.571238348868176"/>
        <n v="15.043710021321962"/>
        <n v="35.5"/>
        <n v="-88.76923076923077"/>
        <n v="0.2608695652173913"/>
        <n v="28.235849056603772"/>
        <n v="-10.791304347826086"/>
        <n v="19.357894736842105"/>
        <n v="19.82008830022075"/>
        <n v="9.612192329708071"/>
        <n v="17.017857142857142"/>
        <n v="12.169642857142858"/>
        <n v="-13.396946564885496"/>
        <n v="32.68970380818054"/>
        <n v="7.6745635910224435"/>
        <n v="4.210645526613817"/>
        <n v="224.5"/>
        <n v="10.48458904109589"/>
        <n v="13.055415617128464"/>
        <n v="3.602921646746348"/>
        <n v="-45.7906976744186"/>
        <n v="-7.73015873015873"/>
        <n v="12.361145703611458"/>
        <n v="-175.57142857142858"/>
        <n v="9.46912013536379"/>
        <n v="32.56177829099307"/>
        <n v="9.671224732461356"/>
        <n v="-26.102739726027398"/>
        <n v="18.714285714285715"/>
        <n v="90.3030303030303"/>
        <n v="48.57448706512043"/>
        <n v="187.16"/>
        <n v="39.717885679164105"/>
        <n v="34.93066666666667"/>
        <n v="53.0"/>
        <n v="52.0"/>
        <n v="38.0"/>
        <n v="37.0"/>
        <n v="34.0"/>
        <n v="22.0"/>
        <n v="119.0"/>
        <n v="39.0"/>
        <n v="108.0"/>
        <n v="-2.228187919463087"/>
        <n v="42.0"/>
        <n v="44.49209486166008"/>
        <n v="42.28403361344538"/>
        <n v="85.71798780487805"/>
        <n v="36.77390527256479"/>
        <n v="29.553571428571427"/>
        <n v="47.67609756097561"/>
        <n v="73.26533523537803"/>
        <n v="33.778653846153844"/>
        <n v="33.77821782178218"/>
        <n v="106.33538936006168"/>
        <n v="-3.1824324324324325"/>
        <n v="99.33333333333333"/>
        <n v="17.61704681872749"/>
        <n v="10.928198213382775"/>
        <n v="11.235957431813377"/>
        <n v="-0.12488928255093003"/>
        <n v="1.6875"/>
        <n v="6.66811941599477"/>
        <n v="5.076138147566719"/>
        <n v="-3.5345622119815667"/>
        <n v="6.889429763560501"/>
        <n v="13.271715661850191"/>
        <n v="-0.41725352112676056"/>
        <n v="11.113810590871566"/>
        <n v="50.57142857142857"/>
        <n v="13.049028928425914"/>
        <n v="1.8178694158075601"/>
        <n v="9.620307382212145"/>
        <n v="-0.039473684210526314"/>
        <n v="9.326280623608017"/>
        <n v="-5.349593495934959"/>
        <n v="217.13725490196077"/>
        <n v="42.74620253164557"/>
        <n v="262.6666666666667"/>
        <n v="39.58292050011795"/>
        <n v="-197.0"/>
        <n v="13.101888552110049"/>
        <n v="36.68825638727028"/>
        <n v="44.15760495526497"/>
        <n v="-37.31404958677686"/>
        <n v="4.356915458082773"/>
        <n v="33.25519534497091"/>
        <n v="34.03071672354949"/>
        <n v="259.6"/>
        <n v="61.82004310344828"/>
        <n v="71.95477386934674"/>
        <n v="38.973630831643"/>
        <n v="43.17533432392273"/>
        <n v="45.4639175257732"/>
        <n v="29.229508196721312"/>
        <n v="50.47478540772532"/>
        <n v="50.34306569343066"/>
        <n v="28.512254901960784"/>
        <n v="44.49097472924188"/>
        <n v="65.62068965517241"/>
        <n v="33.00407766990291"/>
        <n v="-19.0"/>
        <n v="76.3970588235294"/>
        <n v="-26.90277777777778"/>
        <n v="8.345776031434184"/>
        <n v="39.29342431761786"/>
        <n v="14.922737306843267"/>
        <n v="58.892857142857146"/>
        <n v="926.0"/>
        <n v="17.261129816685372"/>
        <n v="-4.6"/>
        <n v="68.41127922971114"/>
        <n v="68.70704845814979"/>
        <n v="50.88632750397456"/>
        <n v="29.383855024711696"/>
        <n v="131.0"/>
        <n v="-201.2"/>
        <n v="31.0"/>
        <n v="101.625"/>
        <n v="28.4"/>
        <n v="53.32873563218391"/>
        <n v="71.60390946502058"/>
        <n v="-518.0"/>
        <n v="-100.66666666666667"/>
        <n v="44.36307311028501"/>
        <n v="57.72727272727273"/>
        <n v="61.0"/>
        <n v="32.48996282527881"/>
        <n v="32.4910394265233"/>
        <n v="22.87719298245614"/>
        <n v="22.876344086021504"/>
        <n v="68.5"/>
        <n v="-61.666666666666664"/>
        <n v="37.42791411042945"/>
        <n v="37.4280205655527"/>
        <n v="11.5"/>
        <n v="14.724247226624406"/>
        <n v="14.722543352601155"/>
        <n v="-19.116788321167885"/>
        <n v="-19.11111111111111"/>
        <n v="30.272479564032697"/>
        <n v="-49.833333333333336"/>
        <n v="30.271634612244895"/>
        <n v="8.215686274509803"/>
        <n v="8.212121212121213"/>
        <n v="36.0"/>
        <n v="213.0"/>
        <n v="0.7142857142857143"/>
        <n v="49.375"/>
        <n v="212.5625"/>
        <n v="49.42016806722689"/>
        <n v="0.7416666666666667"/>
        <n v="36.0926724137931"/>
        <n v="-23.25"/>
        <n v="271.0"/>
        <n v="-288.3333333333333"/>
        <n v="21.41861648016277"/>
        <n v="-223.5"/>
        <n v="21.411906677393404"/>
        <n v="8.875"/>
        <n v="21.41832229580574"/>
        <n v="8.878980891719745"/>
        <n v="44.68437640702386"/>
        <n v="20.544511668107173"/>
        <n v="48.43397968605725"/>
        <n v="34.08357558139535"/>
        <n v="-16.397297297297296"/>
        <n v="39.938909568644625"/>
        <n v="34.347639484978544"/>
        <n v="53.70010615711253"/>
        <n v="44.217139371759686"/>
        <n v="79.5037037037037"/>
        <n v="4.173913043478261"/>
        <n v="32.18360454405895"/>
        <n v="19.886363636363637"/>
        <n v="42.709077912794854"/>
        <n v="178.94736842105263"/>
        <n v="36.91415901171999"/>
        <n v="4.6"/>
        <n v="85.61538461538461"/>
        <n v="62.01992528019925"/>
        <n v="32.653518123667375"/>
        <n v="-39.68627450980392"/>
        <n v="-99.0"/>
        <n v="-130.25"/>
        <n v="49.826882477128784"/>
        <n v="36.212758620689655"/>
        <n v="-21.93763440860215"/>
        <n v="37.52173913043478"/>
        <n v="46.96537949400799"/>
        <n v="65.65679442508711"/>
        <n v="27.196996996996997"/>
        <n v="66.11520737327189"/>
        <n v="60.431111111111115"/>
        <n v="73.46215596330275"/>
        <n v="39.178423236514526"/>
        <n v="34.60482374768089"/>
        <n v="72.41176470588235"/>
        <n v="54.945006321112515"/>
        <n v="25.66338305657191"/>
        <n v="3.6487701666225867"/>
        <n v="23.117108719600033"/>
        <n v="32.65625"/>
        <n v="2.137176938369781"/>
        <n v="-54.0"/>
        <n v="8.048309178743962"/>
        <n v="13.926923076923076"/>
        <n v="15.18443051201672"/>
        <n v="6.21321961620469"/>
        <n v="26.471561530506722"/>
        <n v="38.5"/>
        <n v="28.258333333333333"/>
        <n v="-26.59259259259259"/>
        <n v="19.004774305555557"/>
        <n v="16.188"/>
        <n v="78.24882629107981"/>
        <n v="-54.03125"/>
        <n v="17.07152145643693"/>
        <n v="48.98245614035088"/>
        <n v="27.15034392400917"/>
        <n v="9.404199475065617"/>
        <n v="33.3522906793049"/>
        <n v="5.819971870604782"/>
        <n v="19.0"/>
        <n v="29.08903803131991"/>
        <n v="6.432975871313673"/>
        <n v="36.663963963963965"/>
        <n v="9.35483870967742"/>
        <n v="56.273972602739725"/>
        <n v="26.093947606142727"/>
        <n v="243.0"/>
        <n v="29.251935256861366"/>
        <n v="643.0"/>
        <n v="35.31506849315068"/>
        <n v="40.71077032810271"/>
        <n v="-5.548780487804878"/>
        <n v="39.229268292682924"/>
        <n v="26.31111111111111"/>
        <n v="-2.619047619047619"/>
        <n v="55.578947368421055"/>
        <n v="36.2"/>
        <n v="57.6125"/>
        <n v="28.161702127659574"/>
        <n v="11.59896983075791"/>
        <n v="-205.4"/>
        <n v="33.36666666666667"/>
        <n v="42.9972602739726"/>
        <n v="29.261904761904763"/>
        <n v="48.700934579439256"/>
        <n v="43.552046783625734"/>
        <n v="61.357142857142854"/>
        <n v="49.80821917808219"/>
        <n v="34.223476297968396"/>
        <n v="14.862637362637363"/>
        <n v="43.45967741935484"/>
        <n v="35.16151202749141"/>
        <n v="-4.72463768115942"/>
        <n v="-102.0"/>
        <n v="25.6974358974359"/>
        <n v="-8.0"/>
        <n v="0.3558282208588957"/>
        <n v="27.98875255623722"/>
        <n v="38.56"/>
        <n v="-8.91"/>
        <n v="34.15564853556485"/>
        <n v="-4.123636363636364"/>
        <n v="0.9780309194467046"/>
        <n v="1022.0"/>
        <n v="27.967557251908396"/>
        <n v="2.778675282714055"/>
        <n v="52.75"/>
        <n v="34.4290060851927"/>
        <n v="7.048923679060666"/>
        <n v="5.855421686746988"/>
        <n v="36.087025316455694"/>
        <n v="-35.04761904761905"/>
        <n v="45.379170879676444"/>
        <n v="737.5"/>
        <n v="16.64957264957265"/>
        <n v="41.413333333333334"/>
        <n v="41.52221074380165"/>
        <n v="106.53333333333333"/>
        <n v="16.515432098765434"/>
        <n v="-63.48"/>
        <n v="51.142322097378276"/>
        <n v="37.64336661911555"/>
        <n v="19.589041095890412"/>
        <n v="-18.74331550802139"/>
        <n v="11.445725264169068"/>
        <n v="62.39194630872483"/>
        <n v="17.71472868217054"/>
        <n v="37.99150382327952"/>
        <n v="10.273401297497683"/>
        <n v="-23.502439024390245"/>
        <n v="57.88702026735662"/>
        <n v="19.380733944954127"/>
        <n v="50.9"/>
        <n v="19.764705882352942"/>
        <n v="-35.0"/>
        <n v="72.89285714285714"/>
        <n v="56.0"/>
        <n v="16.87912087912088"/>
        <n v="346.7083333333333"/>
        <n v="-43.86666666666667"/>
        <n v="18.642567018683998"/>
        <n v="131.33333333333334"/>
        <n v="27.333333333333332"/>
        <n v="36.17130620985011"/>
        <n v="5.404545454545454"/>
        <n v="26.05310621242485"/>
        <n v="105.16666666666667"/>
        <n v="42.14860681114551"/>
        <n v="87.43585237258348"/>
        <n v="31.10909090909091"/>
        <n v="164.63636363636363"/>
        <n v="63.84375"/>
        <n v="61.6"/>
        <n v="98.5433287482806"/>
        <n v="56.709969788519636"/>
        <n v="61.432485322896284"/>
        <n v="66.13026052104209"/>
        <n v="22.444444444444443"/>
        <n v="56.75776397515528"/>
        <n v="33.57809224318658"/>
        <n v="120.0"/>
        <n v="62.76086956521739"/>
        <n v="66.644125"/>
        <n v="125.92682926829268"/>
        <n v="105.92628650904034"/>
        <n v="80.79750107712194"/>
        <n v="100.76904176904176"/>
        <n v="-2.3043478260869565"/>
        <n v="7.413159454653231"/>
        <n v="74.0"/>
        <n v="8.62862840682473"/>
        <n v="10.948497854077253"/>
        <n v="2.479143595422665"/>
        <n v="5.080828903113812"/>
        <n v="10.459759036144579"/>
        <n v="12.010791964137473"/>
        <n v="16.862791980871805"/>
        <n v="20.035555555555554"/>
        <n v="16.196191853458664"/>
        <n v="348.0"/>
        <n v="14.581719128329297"/>
        <n v="3.1680605336519316"/>
        <n v="-300.3333333333333"/>
        <n v="11.594444444444445"/>
        <n v="6.016049022468631"/>
        <n v="-0.6274509803921569"/>
        <n v="10.188612099644129"/>
        <n v="63.0"/>
        <n v="6.751327928431647"/>
        <n v="33.11304347826087"/>
        <n v="9.70274304907632"/>
        <n v="20.93088737201365"/>
        <n v="6.417366946778712"/>
        <n v="-95.71428571428571"/>
        <n v="10.135003253090435"/>
        <n v="27.352739726027398"/>
        <n v="12.44417851611995"/>
        <n v="-15.0"/>
        <n v="-18.0"/>
        <n v="-3.875"/>
        <n v="36.29802095459837"/>
        <n v="30.375"/>
        <n v="17.444444444444443"/>
        <n v="24.833333333333332"/>
        <n v="39.01156812339332"/>
        <n v="41.03703703703704"/>
        <n v="5.2"/>
        <n v="12.2"/>
        <n v="42.262773722627735"/>
        <n v="-64.62420382165605"/>
        <n v="37.333333333333336"/>
        <n v="74.13461538461539"/>
        <n v="31.750489620054836"/>
        <n v="14.0"/>
        <n v="-28.0"/>
        <n v="8.0"/>
        <n v="30.0"/>
        <n v="16.0"/>
        <n v="-84.0"/>
        <n v="-38.0"/>
        <n v="96.03292181069959"/>
        <n v="55.07887323943662"/>
        <n v="234.125"/>
        <n v="68.14994606256742"/>
        <n v="75.92156862745098"/>
        <n v="80.72475391906671"/>
        <n v="11.406746031746032"/>
        <n v="58.65823293172691"/>
        <n v="10.892857142857142"/>
        <n v="71.03691983122363"/>
        <n v="102.37735849056604"/>
        <n v="175.0"/>
        <n v="86.2727765726681"/>
        <n v="131.10236220472441"/>
        <n v="100.17307692307692"/>
        <n v="65.25925925925925"/>
        <n v="31.504355595264688"/>
        <n v="12.481086570195481"/>
        <n v="7.530612244897959"/>
        <n v="-27.213483146067414"/>
        <n v="6.545842217484009"/>
        <n v="3.6537505180273517"/>
        <n v="1.6873833022139237"/>
        <n v="20.223880597014926"/>
        <n v="6.677868363491748"/>
        <n v="51.69230769230769"/>
        <n v="4.224333435488814"/>
        <n v="2.0753655793025874"/>
        <n v="29.711242603550296"/>
        <n v="15.269683257918553"/>
        <n v="17.964285714285715"/>
        <n v="-102.5"/>
        <n v="16.465466640579145"/>
        <n v="25.0"/>
        <n v="10.612195121951219"/>
        <n v="77.01210287443267"/>
        <n v="16.191247974068073"/>
        <n v="14.160509554140127"/>
        <n v="170.0"/>
        <n v="18.935436893203885"/>
        <n v="16.57112526539278"/>
        <n v="8.14516129032258"/>
        <n v="17.47218382861092"/>
        <n v="16.80212355212355"/>
        <n v="17.989886219974714"/>
        <n v="21.03138528138528"/>
        <n v="9.824023154848046"/>
        <n v="16.780789022298457"/>
        <n v="15.64967225054625"/>
        <n v="-404.0"/>
        <n v="40.14519906323185"/>
        <n v="15.052002080083204"/>
        <n v="13.078566167444144"/>
        <n v="3.652230971128609"/>
        <n v="9.219733656174334"/>
        <n v="531.0"/>
        <n v="9.80373831775701"/>
        <n v="12.86665479793484"/>
        <n v="5.86144578313253"/>
        <n v="38.970772442588725"/>
        <n v="17.9368"/>
        <n v="11.916111850865512"/>
        <n v="27.442782046097857"/>
        <n v="25.146441605839417"/>
        <n v="-122.42857142857143"/>
        <n v="36.75"/>
        <n v="13.744074074074074"/>
        <n v="69.25"/>
        <n v="11.805147554237973"/>
        <n v="19.48098663926002"/>
        <n v="9.662149385439648"/>
        <n v="19.762275651879445"/>
        <n v="138.2"/>
        <n v="68.0"/>
        <n v="64.96066252587991"/>
        <n v="0.868"/>
        <n v="104.75"/>
        <n v="55.31492842535787"/>
        <n v="46.557872784150156"/>
        <n v="396.0"/>
        <n v="4.873278236914601"/>
        <n v="-9.0"/>
        <n v="16.175945378151262"/>
        <n v="162.16666666666666"/>
        <n v="170.75"/>
        <n v="35.292"/>
        <n v="100.63636363636364"/>
        <n v="69.76229508196721"/>
        <n v="108.52631578947368"/>
        <n v="35.51747463359639"/>
        <n v="13.005479452054795"/>
        <n v="49.68421052631579"/>
        <n v="22.384336099585063"/>
        <n v="143.0"/>
        <n v="485.0"/>
        <n v="27.9241773962804"/>
        <n v="91.18181818181819"/>
        <n v="110.0"/>
        <n v="17.491864249186424"/>
        <n v="35.22549019607843"/>
        <n v="-6.6"/>
        <n v="30.020776874435413"/>
        <n v="-56.0"/>
        <n v="49.64112050739958"/>
        <n v="50.519960409105906"/>
        <n v="-43.6"/>
        <n v="33.717514124293785"/>
        <n v="126.0"/>
        <n v="46.0"/>
        <n v="77.0"/>
        <n v="35.0"/>
        <n v="29.276008492569"/>
        <n v="64.26947368421052"/>
        <n v="55.876344086021504"/>
        <n v="71.93198263386397"/>
        <n v="-212.0"/>
        <n v="-34.333333333333336"/>
        <n v="22.16223404255319"/>
        <n v="82.98356807511738"/>
        <n v="64.4326923076923"/>
        <n v="74.84126984126983"/>
        <n v="-435.0"/>
        <n v="-242.5625"/>
        <n v="11.146788990825687"/>
        <n v="12.517985611510792"/>
        <n v="14.905569007263923"/>
        <n v="5.9725"/>
        <n v="11.523117569352708"/>
        <n v="-19.59090909090909"/>
        <n v="12.661668228678538"/>
        <n v="23.198841698841697"/>
        <n v="29.75"/>
        <n v="-2.4722222222222223"/>
        <n v="31.016042780748663"/>
        <n v="34.14207650273224"/>
        <n v="35.52997737556561"/>
        <n v="52.36871508379888"/>
        <n v="23.210526315789473"/>
        <n v="10.84375"/>
        <n v="68.25"/>
        <n v="24.33933933933934"/>
        <n v="56.515306122448976"/>
        <n v="-9.333333333333334"/>
        <n v="14.243055555555555"/>
        <n v="56.5850622406639"/>
        <n v="104.0"/>
        <n v="12.810227272727273"/>
        <n v="18.416705336426915"/>
        <n v="14.332307692307692"/>
        <n v="-120.0"/>
        <n v="11.478658536585366"/>
        <n v="10.223228663446054"/>
        <n v="-13.45"/>
        <n v="-167.5"/>
        <n v="78.32"/>
        <n v="31.088607594936708"/>
        <n v="7.44055331815794"/>
        <n v="46.375"/>
        <n v="29.10095497953615"/>
        <n v="9.679471788715487"/>
        <n v="16.630769230769232"/>
        <n v="9.870623145400593"/>
        <n v="291.0"/>
        <n v="62.5"/>
        <n v="10.255253399258343"/>
        <n v="6.711415525114155"/>
        <n v="156.0"/>
        <n v="44.0"/>
        <n v="65.0"/>
        <n v="50.3598656922773"/>
        <n v="24.5"/>
        <n v="39.9307371349096"/>
        <n v="50.85"/>
        <n v="47.2126213592233"/>
        <n v="-5.748641304347826"/>
        <n v="15.741365017960762"/>
        <n v="26.768323773103887"/>
        <n v="40.39094247246022"/>
        <n v="20.0"/>
        <n v="20.13515687851971"/>
        <n v="52.4"/>
        <n v="42.786206896551725"/>
        <n v="17.03240740740741"/>
        <n v="516.5"/>
        <n v="-7.997214484679666"/>
        <n v="-16.912071535022356"/>
        <n v="7.365853658536586"/>
        <n v="-86.94736842105263"/>
        <n v="-132.0"/>
        <n v="-363.0"/>
        <n v="26.057781919850886"/>
        <n v="27.95735294117647"/>
        <n v="16.514893617021276"/>
        <n v="10.630522088353414"/>
        <n v="41.35"/>
        <n v="100.0"/>
        <n v="10.147368421052631"/>
        <n v="30.5"/>
        <n v="164.0"/>
        <n v="13.74904214559387"/>
        <n v="395.0"/>
        <n v="19.803863298662705"/>
        <n v="-1.0934579439252337"/>
        <n v="-225.0"/>
        <n v="4.44559585492228"/>
        <n v="4.887931034482759"/>
        <n v="21.260042283298098"/>
        <n v="11.24866785079929"/>
        <n v="-11.187683284457478"/>
        <n v="7.258215962441315"/>
        <n v="-3.318634423897582"/>
        <n v="0.5318627450980392"/>
        <n v="-147.0"/>
        <n v="4.055873925501433"/>
        <n v="7.392523364485982"/>
        <n v="1.5160349854227406"/>
        <n v="0.6459016393442623"/>
        <n v="-228.2"/>
        <n v="-62.0"/>
        <n v="14.551090700344432"/>
        <n v="2.543318649045521"/>
        <n v="39.30769230769231"/>
        <n v="-8.284210526315789"/>
        <n v="43.67012089810017"/>
        <n v="-23.209059233449477"/>
        <n v="-17.46776611694153"/>
        <n v="28.300492610837438"/>
        <n v="29.794871794871796"/>
        <n v="12.421052631578947"/>
        <n v="56.642105263157895"/>
        <n v="-26.43859649122807"/>
        <n v="80.28571428571429"/>
        <n v="21.058823529411764"/>
        <n v="3.8553326293558605"/>
        <n v="-21.85"/>
        <n v="-3.8008658008658007"/>
        <n v="0.6325301204819277"/>
        <n v="335.0"/>
        <n v="19.414591524683267"/>
        <n v="-63.57575757575758"/>
        <n v="0.3333333333333333"/>
        <n v="8.019607843137255"/>
        <n v="27.285791757049893"/>
        <n v="-1.8613861386138615"/>
        <n v="38.88184931506849"/>
        <n v="8.402061855670103"/>
        <n v="-111.0"/>
        <n v="-59.23809523809524"/>
        <n v="24.903614457831324"/>
        <n v="-9.479591836734693"/>
        <n v="-12.383333333333333"/>
        <n v="10.896703296703297"/>
        <n v="6.9721189591078065"/>
        <n v="8.601070154577883"/>
        <n v="-3.2857142857142856"/>
        <n v="77.0952380952381"/>
        <n v="-19.965714285714284"/>
        <n v="4.0"/>
        <n v="-119.33333333333333"/>
        <n v="116.0"/>
        <n v="-4.621169916434541"/>
        <n v="30.262608695652172"/>
        <n v="27.916201117318437"/>
        <n v="-2.290681502086231"/>
        <n v="30.733333333333334"/>
        <n v="48.86666666666667"/>
        <n v="-24.2"/>
        <n v="-115.66666666666667"/>
        <n v="3.096774193548387"/>
        <n v="22.137931034482758"/>
        <n v="55.0"/>
        <n v="20.266666666666666"/>
        <n v="128.0"/>
        <n v="59.53409090909091"/>
        <n v="-182.3"/>
        <n v="-29.833333333333332"/>
        <n v="109.0"/>
        <n v="29.238095238095237"/>
        <n v="-64.28"/>
        <n v="-7.918128654970761"/>
        <n v="18.812121212121212"/>
        <n v="3.9598051157125456"/>
        <n v="4.028378378378378"/>
        <n v="10.883895131086142"/>
        <n v="45.476190476190474"/>
        <n v="6.184"/>
        <n v="35.05589949016752"/>
        <n v="29.503676470588236"/>
        <n v="8.084479371316306"/>
        <n v="26.747720364741642"/>
        <n v="-25.326923076923077"/>
        <n v="54.608"/>
        <n v="41.327975507079984"/>
        <n v="14.38124054462935"/>
        <n v="27.998220640569397"/>
        <n v="12.661802575107297"/>
        <n v="-14.828125"/>
        <n v="9.071116656269494"/>
        <n v="-25.216494845360824"/>
        <n v="41.382164031620555"/>
        <n v="17.020408163265305"/>
        <n v="83.52604166666667"/>
        <n v="57.47276507276507"/>
        <n v="35.39903635567236"/>
        <n v="145.2"/>
        <n v="47.42330345710627"/>
        <n v="11.414071856287425"/>
        <n v="31.79450786794199"/>
        <n v="16.560931899641577"/>
        <n v="53.534039334341905"/>
        <n v="10.899783315276274"/>
        <n v="71.734"/>
        <n v="56.21"/>
        <n v="18.481924936679714"/>
        <n v="51.31482649842271"/>
        <n v="4.708333333333333"/>
        <n v="-4.049657534246576"/>
        <n v="2.13302752293578"/>
        <n v="11.692925238334169"/>
        <n v="17.13583138173302"/>
        <n v="14.846182322998612"/>
        <n v="8.288220551378446"/>
        <n v="17.763963963963963"/>
        <n v="9.263491128616653"/>
        <n v="8.487067712874165"/>
        <n v="4.702737272959836"/>
        <n v="-142.46428571428572"/>
        <n v="17.9606365159129"/>
        <n v="15.8486646884273"/>
        <n v="7.586711975626904"/>
        <n v="-19.710843373493976"/>
        <n v="6.533783783783784"/>
        <n v="64.26060606060607"/>
        <n v="104.7051282051282"/>
        <n v="18.342105263157894"/>
        <n v="-310.5"/>
        <n v="17.025316455696203"/>
        <n v="18.0"/>
        <n v="18.041982802225593"/>
        <n v="15.12340425531915"/>
        <n v="24.622603273577553"/>
        <n v="-39.0"/>
        <n v="18.033333333333335"/>
        <n v="63.81237322515213"/>
        <n v="63.812231759656655"/>
        <n v="54.997202797202796"/>
        <n v="107.0"/>
        <n v="62.43457943925234"/>
        <n v="9.776951672862454"/>
        <n v="-103.34328358208955"/>
        <n v="568.0"/>
        <n v="236.0"/>
        <n v="84.0"/>
        <n v="-7.0"/>
        <n v="-140.0"/>
        <n v="1.48068669527897"/>
        <n v="25.71820373719108"/>
        <n v="-6.25"/>
        <n v="5.063025210084033"/>
        <n v="9.810557184750733"/>
        <n v="285.75"/>
        <n v="5.7639872953823605"/>
        <n v="19.66852886405959"/>
        <n v="10.892550143266476"/>
        <n v="46.140625"/>
        <n v="9.555555555555555"/>
        <n v="15.347826086956522"/>
        <n v="8.026268656716418"/>
        <n v="64.0"/>
        <n v="-23.19047619047619"/>
        <n v="-13.28448275862069"/>
        <n v="7.857605729877217"/>
        <n v="5.152974504249292"/>
        <n v="51.94736842105263"/>
        <n v="26.6"/>
        <n v="28.345332775219756"/>
        <n v="4.725274725274725"/>
        <n v="125.72222222222223"/>
        <n v="-10.0"/>
        <n v="18.124594719777676"/>
        <n v="-93.0"/>
        <n v="35.785"/>
        <n v="53.7718023255814"/>
        <n v="25.638317757009347"/>
        <n v="-306.4"/>
        <n v="141.6"/>
        <n v="50.205357142857146"/>
        <n v="70.56273764258555"/>
        <n v="49.0"/>
        <n v="324.5"/>
        <n v="102.49142857142857"/>
        <n v="178.8"/>
        <n v="-15.272727272727273"/>
        <n v="-27.057142857142857"/>
        <n v="4.108695652173913"/>
        <n v="-5.060526315789474"/>
        <n v="-7.93993993993994"/>
        <n v="-12.676964769647697"/>
        <n v="9.844086021505376"/>
        <n v="-22.571428571428573"/>
        <n v="-3.8823529411764706"/>
        <n v="56.54545454545455"/>
        <n v="12.638009049773755"/>
        <n v="-27.755555555555556"/>
        <n v="64.55172413793103"/>
        <n v="6.701492537313433"/>
        <n v="56.604166666666664"/>
        <n v="75.56534508076358"/>
        <n v="78.1921858500528"/>
        <n v="31.35062611806798"/>
        <n v="37.58800521512386"/>
        <n v="-12.427184466019417"/>
        <n v="-17.030075187969924"/>
        <n v="137.6875"/>
        <n v="52.653003930376194"/>
        <n v="-109.0"/>
        <n v="65.21739130434783"/>
        <n v="37.71073646850044"/>
        <n v="18.60231271995978"/>
        <n v="18.244858611825194"/>
        <n v="82.21333333333334"/>
        <n v="10.020485945688423"/>
        <n v="610.0"/>
        <n v="33.392"/>
        <n v="28.257668711656443"/>
        <n v="-9.1875"/>
        <n v="32.70224719101124"/>
        <n v="36.64921465968586"/>
        <n v="59.61834162871968"/>
        <n v="25.239271457085827"/>
        <n v="32.18636363636364"/>
        <n v="28.26405513239028"/>
        <n v="15.246422893481718"/>
        <n v="-24.571428571428573"/>
        <n v="74.3016"/>
        <n v="36.949444444444445"/>
        <n v="35.84158415841584"/>
        <n v="19.697951546188694"/>
        <n v="61.01658333333334"/>
        <n v="13.783988630980579"/>
        <n v="57.172"/>
        <n v="19.168394437420986"/>
        <n v="59.11538461538461"/>
        <n v="330.0"/>
        <n v="28.644886363636363"/>
        <n v="55.13405797101449"/>
        <n v="50.544117647058826"/>
        <n v="-19.036"/>
        <n v="8.228556753980483"/>
        <n v="1.2622950819672132"/>
        <n v="10.016304347826088"/>
        <n v="14.754033533691869"/>
        <n v="4.590372388737511"/>
      </sharedItems>
    </cacheField>
    <cacheField name="Rakeback %" numFmtId="0">
      <sharedItems containsString="0" containsBlank="1" containsNumber="1">
        <m/>
        <n v="0.5"/>
        <n v="0.47"/>
      </sharedItems>
    </cacheField>
    <cacheField name="Rakeback Total" numFmtId="3">
      <sharedItems containsString="0" containsBlank="1" containsNumber="1">
        <n v="0.0"/>
        <n v="239.0"/>
        <n v="730.0"/>
        <n v="3.0"/>
        <n v="125.0"/>
        <n v="144.0"/>
        <n v="408.0"/>
        <n v="25.0"/>
        <n v="473.0"/>
        <n v="263.0"/>
        <n v="124.0"/>
        <n v="1122.0"/>
        <n v="1.0"/>
        <n v="152.0"/>
        <n v="1651.0"/>
        <n v="844.0"/>
        <n v="1541.0"/>
        <n v="1435.0"/>
        <n v="2.0"/>
        <n v="9.0"/>
        <n v="559.0"/>
        <n v="1136.0"/>
        <n v="30.0"/>
        <n v="1800.0"/>
        <n v="1544.0"/>
        <n v="5.0"/>
        <n v="236.0"/>
        <n v="28.0"/>
        <n v="34.0"/>
        <n v="70.0"/>
        <n v="12.0"/>
        <n v="418.0"/>
        <n v="19.0"/>
        <n v="1515.0"/>
        <n v="32.0"/>
        <n v="13.0"/>
        <n v="65.0"/>
        <n v="2144.0"/>
        <n v="4037.0"/>
        <n v="1138.0"/>
        <n v="6890.0"/>
        <n v="6700.0"/>
        <n v="14957.0"/>
        <n v="8099.0"/>
        <n v="6965.0"/>
        <n v="3734.0"/>
        <n v="5337.0"/>
        <m/>
        <n v="3115.0"/>
        <n v="2543.0"/>
        <n v="8.0"/>
        <n v="329.0"/>
        <n v="6560.0"/>
        <n v="6.0"/>
        <n v="785.0"/>
        <n v="4425.0"/>
        <n v="4438.0"/>
        <n v="387.0"/>
        <n v="128.0"/>
        <n v="4570.0"/>
        <n v="3016.0"/>
        <n v="1295.0"/>
        <n v="48.0"/>
        <n v="174.0"/>
        <n v="1105.0"/>
        <n v="8536.0"/>
        <n v="17.0"/>
        <n v="5926.0"/>
        <n v="9804.0"/>
        <n v="16.0"/>
        <n v="4230.0"/>
        <n v="4.0"/>
        <n v="8775.0"/>
        <n v="9175.0"/>
        <n v="14000.0"/>
        <n v="1734.0"/>
        <n v="8804.0"/>
        <n v="97.0"/>
        <n v="14341.0"/>
        <n v="212.0"/>
        <n v="6950.0"/>
        <n v="2900.0"/>
        <n v="16100.0"/>
        <n v="10200.0"/>
        <n v="10900.0"/>
        <n v="4520.0"/>
        <n v="5330.0"/>
        <n v="5176.0"/>
        <n v="7324.0"/>
        <n v="2846.0"/>
        <n v="1954.0"/>
        <n v="3872.0"/>
        <n v="7219.0"/>
        <n v="6405.0"/>
        <n v="272.0"/>
        <n v="143.0"/>
        <n v="1750.0"/>
        <n v="12257.0"/>
        <n v="193.0"/>
        <n v="10.0"/>
        <n v="481.0"/>
        <n v="8000.0"/>
        <n v="7334.0"/>
        <n v="616.0"/>
        <n v="11.0"/>
        <n v="6593.0"/>
        <n v="6737.0"/>
        <n v="14.0"/>
        <n v="162.0"/>
        <n v="11738.0"/>
        <n v="2949.0"/>
        <n v="262.0"/>
        <n v="328.0"/>
        <n v="6233.0"/>
        <n v="67.0"/>
        <n v="4459.0"/>
        <n v="659.0"/>
        <n v="127.0"/>
        <n v="1346.0"/>
        <n v="100.0"/>
        <n v="255.0"/>
        <n v="15.0"/>
        <n v="222.0"/>
        <n v="375.0"/>
        <n v="565.0"/>
        <n v="460.0"/>
        <n v="909.0"/>
        <n v="1437.0"/>
        <n v="7.0"/>
        <n v="976.0"/>
        <n v="514.0"/>
        <n v="250.0"/>
        <n v="592.0"/>
        <n v="288.0"/>
        <n v="4122.0"/>
        <n v="1727.0"/>
        <n v="214.0"/>
        <n v="235.0"/>
        <n v="2309.0"/>
        <n v="2280.0"/>
        <n v="35.0"/>
        <n v="115.0"/>
        <n v="75.0"/>
        <n v="1502.0"/>
        <n v="8436.0"/>
        <n v="17803.0"/>
        <n v="209.0"/>
        <n v="3660.0"/>
        <n v="55.0"/>
        <n v="168.0"/>
        <n v="26.0"/>
        <n v="85.0"/>
        <n v="1431.0"/>
        <n v="373.0"/>
        <n v="18.0"/>
        <n v="7664.0"/>
        <n v="2399.0"/>
        <n v="5674.0"/>
        <n v="57.0"/>
        <n v="200.0"/>
        <n v="2737.0"/>
        <n v="1224.0"/>
        <n v="1108.0"/>
        <n v="41.0"/>
        <n v="284.0"/>
        <n v="52.0"/>
        <n v="211.0"/>
        <n v="113.0"/>
        <n v="1353.0"/>
        <n v="350.0"/>
        <n v="1425.0"/>
        <n v="1216.0"/>
        <n v="264.0"/>
        <n v="1332.0"/>
        <n v="1945.0"/>
        <n v="1455.0"/>
        <n v="1825.0"/>
        <n v="165.0"/>
        <n v="2470.0"/>
        <n v="1350.0"/>
        <n v="120.0"/>
        <n v="1690.0"/>
        <n v="1100.0"/>
        <n v="160.0"/>
        <n v="182.0"/>
        <n v="369.0"/>
        <n v="427.0"/>
        <n v="164.0"/>
        <n v="1103.0"/>
        <n v="320.0"/>
        <n v="1523.0"/>
        <n v="1580.0"/>
        <n v="76.0"/>
        <n v="130.0"/>
        <n v="17407.0"/>
        <n v="2109.0"/>
        <n v="2901.0"/>
        <n v="1073.0"/>
        <n v="5577.0"/>
        <n v="6617.0"/>
        <n v="46848.0"/>
        <n v="61.0"/>
        <n v="121.0"/>
        <n v="14145.0"/>
        <n v="1476.0"/>
        <n v="316.0"/>
        <n v="30551.0"/>
        <n v="57613.0"/>
        <n v="51085.0"/>
        <n v="36998.0"/>
        <n v="26236.0"/>
        <n v="1740.0"/>
        <n v="3380.0"/>
        <n v="773.0"/>
        <n v="998.0"/>
        <n v="123.0"/>
        <n v="411.0"/>
        <n v="265.0"/>
        <n v="321.0"/>
        <n v="1468.0"/>
        <n v="323.0"/>
        <n v="270.0"/>
        <n v="40.0"/>
        <n v="1104.0"/>
        <n v="1503.0"/>
        <n v="1848.0"/>
        <n v="1255.0"/>
        <n v="197.0"/>
        <n v="1382.0"/>
        <n v="1551.0"/>
        <n v="234.0"/>
        <n v="1594.0"/>
        <n v="300.0"/>
        <n v="1940.0"/>
        <n v="4005.0"/>
        <n v="1621.0"/>
        <n v="3592.0"/>
        <n v="3046.0"/>
        <n v="12133.0"/>
        <n v="2570.0"/>
        <n v="748.0"/>
        <n v="11546.0"/>
        <n v="2610.0"/>
        <n v="4065.0"/>
        <n v="11411.0"/>
        <n v="1663.0"/>
        <n v="7507.0"/>
        <n v="4923.0"/>
        <n v="509.0"/>
        <n v="4405.0"/>
        <n v="410.0"/>
        <n v="9547.0"/>
        <n v="5612.0"/>
        <n v="69.0"/>
        <n v="42.0"/>
        <n v="658.0"/>
        <n v="801.0"/>
        <n v="256.0"/>
        <n v="675.0"/>
        <n v="74.0"/>
        <n v="1035.0"/>
        <n v="606.0"/>
        <n v="735.0"/>
        <n v="225.0"/>
        <n v="21.0"/>
        <n v="114.0"/>
        <n v="31.0"/>
        <n v="480.0"/>
        <n v="105.0"/>
        <n v="103.0"/>
        <n v="766.0"/>
        <n v="475.0"/>
        <n v="2149.0"/>
        <n v="769.0"/>
        <n v="159.0"/>
        <n v="317.0"/>
        <n v="370.0"/>
        <n v="238.0"/>
        <n v="750.0"/>
        <n v="2550.0"/>
        <n v="8120.0"/>
        <n v="1297.0"/>
        <n v="26766.0"/>
        <n v="10220.0"/>
        <n v="2089.0"/>
        <n v="26599.0"/>
        <n v="6090.0"/>
        <n v="974.21"/>
        <n v="696.25"/>
        <n v="709.0"/>
        <n v="817.0"/>
        <n v="496.0"/>
        <n v="1242.0"/>
        <n v="126.0"/>
        <n v="50.0"/>
        <n v="198.0"/>
        <n v="44.0"/>
        <n v="1763.0"/>
        <n v="743.0"/>
        <n v="1091.0"/>
        <n v="2589.0"/>
        <n v="445.0"/>
        <n v="2938.0"/>
        <n v="3368.0"/>
        <n v="210.0"/>
        <n v="3800.0"/>
        <n v="3079.0"/>
        <n v="4095.0"/>
        <n v="442.0"/>
        <n v="15716.0"/>
        <n v="8715.0"/>
        <n v="7776.0"/>
        <n v="409.0"/>
        <n v="9147.0"/>
        <n v="11979.0"/>
        <n v="7687.0"/>
        <n v="2392.0"/>
        <n v="2334.0"/>
        <n v="1034.0"/>
        <n v="14889.0"/>
        <n v="6558.0"/>
        <n v="8199.0"/>
        <n v="27.0"/>
        <n v="80.0"/>
        <n v="1852.0"/>
        <n v="2009.0"/>
        <n v="6639.0"/>
        <n v="7914.0"/>
        <n v="12229.0"/>
        <n v="6586.0"/>
        <n v="638.0"/>
        <n v="153.0"/>
        <n v="1492.0"/>
        <n v="3653.0"/>
        <n v="10056.0"/>
        <n v="6979.0"/>
        <n v="5931.0"/>
        <n v="11449.0"/>
        <n v="4497.0"/>
        <n v="1882.0"/>
        <n v="2329.0"/>
        <n v="34284.0"/>
        <n v="20932.0"/>
        <n v="20328.0"/>
        <n v="3529.0"/>
        <n v="1015.0"/>
        <n v="392.0"/>
        <n v="569.0"/>
        <n v="385.0"/>
        <n v="175.0"/>
        <n v="893.0"/>
        <n v="673.0"/>
        <n v="301.0"/>
        <n v="404.0"/>
        <n v="403.0"/>
        <n v="62.0"/>
        <n v="88.0"/>
        <n v="1182.0"/>
        <n v="46.0"/>
        <n v="240.0"/>
        <n v="633.0"/>
        <n v="96.0"/>
        <n v="139.0"/>
        <n v="1871.0"/>
        <n v="3082.0"/>
        <n v="3616.0"/>
        <n v="11834.0"/>
        <n v="63.0"/>
        <n v="949.0"/>
        <n v="38.0"/>
        <n v="2244.0"/>
        <n v="31962.0"/>
        <n v="73254.0"/>
        <n v="11657.0"/>
        <n v="20700.0"/>
        <n v="54972.0"/>
        <n v="50585.0"/>
        <n v="2462.0"/>
        <n v="23419.0"/>
        <n v="33023.0"/>
        <n v="6277.0"/>
        <n v="45061.0"/>
        <n v="298.0"/>
        <n v="44184.0"/>
        <n v="17462.0"/>
        <n v="20110.0"/>
        <n v="1416.0"/>
        <n v="23897.0"/>
        <n v="382.0"/>
        <n v="1814.0"/>
        <n v="1935.0"/>
        <n v="1970.0"/>
        <n v="1438.0"/>
        <n v="612.0"/>
        <n v="510.0"/>
        <n v="149.0"/>
        <n v="856.0"/>
        <n v="36.0"/>
        <n v="655.0"/>
        <n v="136.0"/>
        <n v="2310.0"/>
        <n v="852.0"/>
        <n v="550.0"/>
        <n v="3871.0"/>
        <n v="29.0"/>
        <n v="273.0"/>
        <n v="690.0"/>
        <n v="1548.0"/>
        <n v="914.0"/>
        <n v="1130.0"/>
        <n v="116.0"/>
        <n v="165667.0"/>
        <n v="120857.0"/>
        <n v="2371.0"/>
        <n v="259076.0"/>
        <n v="40053.0"/>
        <n v="350450.0"/>
        <n v="25460.0"/>
        <n v="1227.0"/>
        <n v="2327.0"/>
        <n v="94.0"/>
        <n v="1165.0"/>
        <n v="3823.0"/>
        <n v="793.0"/>
        <n v="2025.0"/>
        <n v="1322.0"/>
        <n v="213.0"/>
        <n v="2842.0"/>
        <n v="3391.0"/>
        <n v="6876.0"/>
        <n v="5655.0"/>
        <n v="2986.0"/>
        <n v="1177.0"/>
        <n v="5454.0"/>
        <n v="7114.0"/>
        <n v="363.0"/>
        <n v="4745.0"/>
        <n v="455.0"/>
        <n v="2196.0"/>
        <n v="208.0"/>
        <n v="51.0"/>
        <n v="72.0"/>
        <n v="187.0"/>
        <n v="148.0"/>
        <n v="440.0"/>
        <n v="133.0"/>
        <n v="1030.0"/>
        <n v="7150.0"/>
        <n v="2712.0"/>
        <n v="1018.0"/>
        <n v="6590.0"/>
        <n v="1427.0"/>
        <n v="560.0"/>
        <n v="625.0"/>
        <n v="1080.0"/>
        <n v="1686.0"/>
        <n v="184.0"/>
        <n v="1685.0"/>
        <n v="1463.0"/>
        <n v="2553.0"/>
        <n v="292.0"/>
        <n v="2195.0"/>
        <n v="20.0"/>
        <n v="653.0"/>
        <n v="2858.0"/>
        <n v="1833.0"/>
        <n v="774.0"/>
        <n v="86.0"/>
        <n v="413.0"/>
        <n v="4649.0"/>
        <n v="4947.0"/>
        <n v="47624.0"/>
        <n v="129.0"/>
        <n v="5075.0"/>
        <n v="3271.0"/>
        <n v="513.0"/>
        <n v="18902.0"/>
        <n v="3088.0"/>
        <n v="7958.0"/>
        <n v="2314.0"/>
        <n v="58.0"/>
        <n v="24678.0"/>
        <n v="1901.0"/>
        <n v="286.0"/>
        <n v="1731.0"/>
        <n v="11455.0"/>
        <n v="1429.0"/>
        <n v="5936.0"/>
        <n v="6663.0"/>
        <n v="71.0"/>
        <n v="9143.0"/>
        <n v="3052.0"/>
        <n v="11352.0"/>
        <n v="3805.0"/>
        <n v="202.0"/>
        <n v="5100.0"/>
        <n v="8184.0"/>
        <n v="2441.0"/>
        <n v="507.0"/>
        <n v="2318.0"/>
        <n v="181.0"/>
        <n v="66.0"/>
        <n v="1369.0"/>
        <n v="1254.0"/>
        <n v="1181.0"/>
        <n v="754.0"/>
        <n v="620.0"/>
        <n v="2364.0"/>
        <n v="364.0"/>
        <n v="609.0"/>
        <n v="1827.0"/>
        <n v="610.0"/>
        <n v="2428.0"/>
        <n v="512.0"/>
        <n v="2288.0"/>
        <n v="680.0"/>
        <n v="3217.0"/>
        <n v="2011.0"/>
        <n v="1042.0"/>
        <n v="78.0"/>
        <n v="3191.0"/>
        <n v="787.0"/>
        <n v="448.0"/>
        <n v="574.0"/>
        <n v="244.0"/>
        <n v="1354.0"/>
        <n v="361.0"/>
        <n v="2010.0"/>
        <n v="163.0"/>
        <n v="281.0"/>
        <n v="522.0"/>
        <n v="478.0"/>
        <n v="195.0"/>
        <n v="955.0"/>
        <n v="449.0"/>
        <n v="446.0"/>
        <n v="711.0"/>
        <n v="2066.0"/>
        <n v="525.0"/>
        <n v="45.0"/>
        <n v="1702.0"/>
        <n v="1039.0"/>
        <n v="1352.0"/>
        <n v="706.0"/>
        <n v="1933.0"/>
        <n v="230.0"/>
        <n v="12.5"/>
        <n v="1680.0"/>
        <n v="180.0"/>
        <n v="241.0"/>
        <n v="205.0"/>
        <n v="91.0"/>
        <n v="19434.0"/>
        <n v="49114.0"/>
        <n v="2533.0"/>
        <n v="29447.0"/>
        <n v="51944.0"/>
        <n v="38110.0"/>
        <n v="34262.0"/>
        <n v="30836.0"/>
        <n v="505.0"/>
        <n v="11648.0"/>
        <n v="26303.0"/>
        <n v="26653.0"/>
        <n v="7922.0"/>
        <n v="23203.0"/>
        <n v="166.0"/>
        <n v="3671.0"/>
        <n v="59.0"/>
        <n v="93462.0"/>
        <n v="5791.0"/>
        <n v="11573.0"/>
        <n v="3319.0"/>
        <n v="1261.0"/>
        <n v="15336.0"/>
        <n v="921.0"/>
        <n v="1203.0"/>
        <n v="280.0"/>
        <n v="1089.0"/>
        <n v="331.0"/>
        <n v="959.0"/>
        <n v="275.0"/>
        <n v="4468.0"/>
        <n v="1059.0"/>
        <n v="438.0"/>
        <n v="1071.0"/>
        <n v="95.0"/>
        <n v="1843.0"/>
        <n v="2709.0"/>
        <n v="2863.0"/>
        <n v="742.0"/>
        <n v="223.0"/>
        <n v="33.0"/>
        <n v="3165.0"/>
        <n v="2784.0"/>
        <n v="2840.0"/>
        <n v="5845.0"/>
        <n v="8029.0"/>
        <n v="6944.0"/>
        <n v="1641.0"/>
        <n v="894.0"/>
        <n v="715.0"/>
        <n v="261.0"/>
        <n v="4768.0"/>
        <n v="1705.0"/>
        <n v="935.0"/>
        <n v="186.0"/>
        <n v="500.0"/>
        <n v="1500.0"/>
        <n v="89.0"/>
        <n v="2295.0"/>
        <n v="310.0"/>
        <n v="975.0"/>
        <n v="3646.0"/>
        <n v="2767.0"/>
        <n v="482.0"/>
        <n v="5422.0"/>
        <n v="3502.0"/>
        <n v="3276.0"/>
        <n v="5814.0"/>
        <n v="54.0"/>
        <n v="5639.0"/>
        <n v="1250.0"/>
        <n v="1174.0"/>
        <n v="1411.0"/>
        <n v="660.0"/>
        <n v="1170.0"/>
        <n v="2160.0"/>
        <n v="7575.0"/>
        <n v="2231.0"/>
        <n v="3638.0"/>
        <n v="2660.0"/>
        <n v="380.0"/>
        <n v="1595.0"/>
        <n v="388.0"/>
        <n v="889.0"/>
        <n v="718.0"/>
        <n v="37.0"/>
        <n v="2008.0"/>
        <n v="1895.0"/>
        <n v="1767.0"/>
        <n v="2582.0"/>
        <n v="1550.0"/>
        <n v="1324.0"/>
        <n v="2122.0"/>
        <n v="867.0"/>
        <n v="840.0"/>
        <n v="1620.0"/>
        <n v="112.0"/>
        <n v="891.0"/>
        <n v="993.0"/>
        <n v="488.0"/>
        <n v="1131.0"/>
        <n v="282.0"/>
        <n v="527.0"/>
        <n v="299.0"/>
        <n v="1967.0"/>
        <n v="305.0"/>
        <n v="2255.0"/>
        <n v="135.0"/>
        <n v="887.0"/>
        <n v="4967.0"/>
        <n v="260.0"/>
        <n v="3028.0"/>
        <n v="1270.0"/>
        <n v="23700.0"/>
        <n v="19891.0"/>
        <n v="117.0"/>
        <n v="73.0"/>
        <n v="779.0"/>
        <n v="14975.0"/>
        <n v="4260.0"/>
        <n v="8903.0"/>
        <n v="2238.0"/>
        <n v="962.0"/>
        <n v="9700.0"/>
        <n v="586.0"/>
        <n v="11827.0"/>
        <n v="110.0"/>
        <n v="758.0"/>
        <n v="22411.0"/>
        <n v="4513.0"/>
        <n v="15252.0"/>
        <n v="1720.0"/>
        <n v="83.0"/>
        <n v="3837.0"/>
        <n v="43.0"/>
        <n v="2081.0"/>
        <n v="1489.0"/>
        <n v="3738.0"/>
        <n v="3275.0"/>
        <n v="4343.0"/>
        <n v="698.0"/>
        <n v="419.0"/>
        <n v="533.0"/>
        <n v="3976.0"/>
        <n v="141.0"/>
        <n v="3656.0"/>
        <n v="1533.0"/>
        <n v="39.0"/>
        <n v="3005.0"/>
        <n v="7502.0"/>
        <n v="2209.0"/>
        <n v="794.0"/>
        <n v="2826.0"/>
        <n v="4478.0"/>
        <n v="3747.0"/>
        <n v="150.0"/>
        <n v="3066.0"/>
        <n v="1787.0"/>
        <n v="768.0"/>
        <n v="2476.0"/>
        <n v="394.0"/>
        <n v="622.0"/>
        <n v="3815.0"/>
        <n v="4540.0"/>
        <n v="1231.0"/>
        <n v="1538.0"/>
        <n v="6345.0"/>
        <n v="3682.0"/>
        <n v="2741.0"/>
        <n v="1681.0"/>
        <n v="6735.0"/>
        <n v="2995.0"/>
        <n v="98.0"/>
        <n v="3290.0"/>
        <n v="2572.0"/>
        <n v="7855.0"/>
        <n v="3588.0"/>
        <n v="2303.0"/>
        <n v="1142.0"/>
        <n v="6635.0"/>
        <n v="2019.0"/>
        <n v="1762.0"/>
        <n v="215.0"/>
        <n v="5364.0"/>
        <n v="1609.0"/>
        <n v="1420.0"/>
        <n v="10201.0"/>
        <n v="147.0"/>
        <n v="6852.0"/>
        <n v="568.0"/>
        <n v="7331.0"/>
        <n v="402.0"/>
        <n v="5804.0"/>
        <n v="964.0"/>
        <n v="24.0"/>
        <n v="296.0"/>
        <n v="1607.0"/>
        <n v="1460.0"/>
        <n v="9609.0"/>
        <n v="15020.0"/>
        <n v="377.0"/>
        <n v="4522.0"/>
        <n v="253.0"/>
        <n v="5654.0"/>
        <n v="258.0"/>
        <n v="355.0"/>
        <n v="11204.0"/>
        <n v="463.0"/>
        <n v="7555.0"/>
        <n v="229.0"/>
        <n v="22.0"/>
        <n v="7409.0"/>
        <n v="1921.0"/>
        <n v="11095.0"/>
        <n v="7759.0"/>
        <n v="450.0"/>
        <n v="4125.0"/>
        <n v="33800.0"/>
        <n v="12950.0"/>
        <n v="780.0"/>
        <n v="2505.0"/>
        <n v="2475.0"/>
        <n v="2070.0"/>
        <n v="1145.0"/>
        <n v="8155.0"/>
        <n v="15400.0"/>
        <n v="5413.86"/>
        <n v="14311.41"/>
        <n v="73541.65"/>
        <n v="13160.0"/>
        <n v="30550.0"/>
        <n v="2325.37"/>
        <n v="422.0"/>
        <n v="425.0"/>
        <n v="10830.0"/>
        <n v="14500.0"/>
        <n v="1535.0"/>
        <n v="782.0"/>
        <n v="64.0"/>
        <n v="5730.47"/>
        <n v="37.45"/>
        <n v="94.15"/>
        <n v="46.900000000000006"/>
        <n v="0.035"/>
        <n v="2.45"/>
        <n v="1.05"/>
        <n v="1269.8000000000002"/>
        <n v="0.35000000000000003"/>
        <n v="1035.65"/>
        <n v="427.70000000000005"/>
        <n v="2.8000000000000003"/>
        <n v="490.00000000000006"/>
        <n v="407.75000000000006"/>
        <n v="3400.0"/>
        <n v="3452.0"/>
        <n v="33900.0"/>
        <n v="15728.0"/>
        <n v="18464.24"/>
        <n v="16151.99"/>
        <n v="3799.0"/>
        <n v="2405.0"/>
        <n v="0.7000000000000001"/>
        <n v="289.0"/>
        <n v="5768.46"/>
        <n v="990.0"/>
        <n v="1.7500000000000002"/>
        <n v="156.8"/>
        <n v="920.5000000000001"/>
        <n v="1150.0"/>
        <n v="5.263999999999999"/>
        <n v="305.97"/>
        <n v="1737.1200000000001"/>
        <n v="3816.0"/>
        <n v="17.377841436276356"/>
        <n v="14.374950436087802"/>
        <n v="121.64489005393449"/>
        <n v="106.79726233077996"/>
        <n v="6603.579745785015"/>
        <n v="2893.4105991400133"/>
        <n v="5758.356294007407"/>
        <n v="6464.5570142948045"/>
        <n v="97.21859613110446"/>
        <n v="131.99513241338067"/>
        <n v="5734.687673971198"/>
        <n v="9600.0"/>
        <n v="31700.0"/>
        <n v="890.0"/>
        <n v="5975.0"/>
        <n v="1675.0"/>
        <n v="19250.0"/>
        <n v="4600.0"/>
        <n v="1119.0"/>
        <n v="1885.0"/>
        <n v="2350.0"/>
        <n v="1120.0"/>
        <n v="2080.0"/>
        <n v="2436.3199999999997"/>
        <n v="2190.0"/>
        <n v="23404.66"/>
        <n v="3034.25"/>
        <n v="2220.0"/>
        <n v="4006.16"/>
        <n v="18.200000000000003"/>
        <n v="1315.0"/>
        <n v="5725.0"/>
      </sharedItems>
    </cacheField>
    <cacheField name="Final EV For Players with EV Deal" numFmtId="0">
      <sharedItems containsString="0" containsBlank="1" containsNumber="1">
        <n v="0.0"/>
        <n v="161.0"/>
        <n v="-45.0"/>
        <m/>
        <n v="52.0"/>
        <n v="-183.0"/>
        <n v="472.0"/>
        <n v="193.0"/>
        <n v="-831.0"/>
        <n v="616.0"/>
        <n v="1518.0"/>
        <n v="-118.0"/>
        <n v="1366.0"/>
        <n v="-281.0"/>
        <n v="353.0"/>
        <n v="-1074.0"/>
        <n v="-7.0"/>
        <n v="50.0"/>
        <n v="22.0"/>
        <n v="60.0"/>
        <n v="263.0"/>
        <n v="39.0"/>
        <n v="8.0"/>
        <n v="-737.0"/>
        <n v="-89.0"/>
        <n v="26.0"/>
        <n v="-3805.0"/>
        <n v="-907.0"/>
        <n v="-3026.0"/>
        <n v="-1393.0"/>
        <n v="177.0"/>
        <n v="-6.0"/>
        <n v="-174.0"/>
        <n v="-4251.0"/>
        <n v="-61.0"/>
        <n v="-1134.0"/>
        <n v="275.0"/>
        <n v="-1022.0"/>
        <n v="904.0"/>
        <n v="-1605.0"/>
        <n v="223.0"/>
        <n v="-1.0"/>
        <n v="-26.0"/>
        <n v="-3667.0"/>
        <n v="28.0"/>
        <n v="-7838.0"/>
        <n v="139.0"/>
        <n v="-1286.0"/>
        <n v="-145.0"/>
        <n v="-9386.0"/>
        <n v="-2837.0"/>
        <n v="-3315.0"/>
        <n v="94.0"/>
        <n v="5309.0"/>
        <n v="-3831.0"/>
        <n v="-249.0"/>
        <n v="-11124.0"/>
        <n v="-284.0"/>
        <n v="-1005.0"/>
        <n v="-399.0"/>
        <n v="-6748.0"/>
        <n v="-3729.0"/>
        <n v="-7136.0"/>
        <n v="-3897.0"/>
        <n v="-4622.0"/>
        <n v="-6162.0"/>
        <n v="-3423.0"/>
        <n v="-1205.0"/>
        <n v="-5517.0"/>
        <n v="5.0"/>
        <n v="21.0"/>
        <n v="-3539.0"/>
        <n v="-5197.0"/>
        <n v="-1942.0"/>
        <n v="-6300.0"/>
        <n v="942.0"/>
        <n v="-4063.0"/>
        <n v="-494.0"/>
        <n v="399.0"/>
        <n v="470.0"/>
        <n v="-300.0"/>
        <n v="170.0"/>
        <n v="892.0"/>
        <n v="48.0"/>
        <n v="348.0"/>
        <n v="-127.0"/>
        <n v="-170.0"/>
        <n v="188.0"/>
        <n v="186.0"/>
        <n v="-396.0"/>
        <n v="-848.0"/>
        <n v="-839.0"/>
        <n v="-1152.0"/>
        <n v="172.0"/>
        <n v="-591.0"/>
        <n v="12.0"/>
        <n v="-846.0"/>
        <n v="32.0"/>
        <n v="-620.0"/>
        <n v="-3503.0"/>
        <n v="-1744.0"/>
        <n v="45.0"/>
        <n v="2201.0"/>
        <n v="79.0"/>
        <n v="-16.0"/>
        <n v="9019.0"/>
        <n v="-457.0"/>
        <n v="35.0"/>
        <n v="267.0"/>
        <n v="867.0"/>
        <n v="-31.0"/>
        <n v="-180.0"/>
        <n v="-22416.0"/>
        <n v="16468.0"/>
        <n v="-9629.0"/>
        <n v="-3075.0"/>
        <n v="-489.0"/>
        <n v="-3528.0"/>
        <n v="995.0"/>
        <n v="-8182.0"/>
        <n v="-6129.0"/>
        <n v="98.0"/>
        <n v="192.0"/>
        <n v="64.0"/>
        <n v="-114.0"/>
        <n v="14.0"/>
        <n v="141.0"/>
        <n v="-7280.0"/>
        <n v="-1606.0"/>
        <n v="-8337.0"/>
        <n v="33.0"/>
        <n v="136.0"/>
        <n v="-1373.0"/>
        <n v="729.0"/>
        <n v="388.0"/>
        <n v="-1561.0"/>
        <n v="-28.0"/>
        <n v="226.0"/>
        <n v="3.0"/>
        <n v="359.0"/>
        <n v="4.0"/>
        <n v="292.0"/>
        <n v="-141.0"/>
        <n v="-2.0"/>
        <n v="-423.0"/>
        <n v="321.0"/>
        <n v="-344.0"/>
        <n v="-5.0"/>
        <n v="-476.0"/>
        <n v="-744.0"/>
        <n v="-332.0"/>
        <n v="-51.0"/>
        <n v="7.0"/>
        <n v="-619.0"/>
        <n v="-27.0"/>
        <n v="-3.0"/>
        <n v="-498.0"/>
        <n v="-1085.0"/>
        <n v="-508.0"/>
        <n v="-363.0"/>
        <n v="-1652.0"/>
        <n v="-877.0"/>
        <n v="-398.0"/>
        <n v="-38.0"/>
        <n v="-633.0"/>
        <n v="-335.0"/>
        <n v="125.0"/>
        <n v="-505.0"/>
        <n v="-4.0"/>
        <n v="-134.0"/>
        <n v="-1431.0"/>
        <n v="-1046.0"/>
        <n v="-90.0"/>
        <n v="-173.0"/>
        <n v="-349.0"/>
        <n v="-17529.0"/>
        <n v="-3990.0"/>
        <n v="2189.0"/>
        <n v="-664.0"/>
        <n v="1143.0"/>
        <n v="520.0"/>
        <n v="-37718.0"/>
        <n v="-43.0"/>
        <n v="-143.0"/>
        <n v="-12774.0"/>
        <n v="181.0"/>
        <n v="165.0"/>
        <n v="-30231.0"/>
        <n v="-48358.0"/>
        <n v="-21.0"/>
        <n v="-26294.0"/>
        <n v="-34957.0"/>
        <n v="-25738.0"/>
        <n v="-3015.0"/>
        <n v="638.0"/>
        <n v="-1493.0"/>
        <n v="-168.0"/>
        <n v="-185.0"/>
        <n v="238.0"/>
        <n v="-8.0"/>
        <n v="502.0"/>
        <n v="31.0"/>
        <n v="-390.0"/>
        <n v="893.0"/>
        <n v="-12.0"/>
        <n v="1.0"/>
        <n v="554.0"/>
        <n v="1001.0"/>
        <n v="633.0"/>
        <n v="16.0"/>
        <n v="41.0"/>
        <n v="-841.0"/>
        <n v="-35.0"/>
        <n v="-1071.0"/>
        <n v="-1697.0"/>
        <n v="-1176.0"/>
        <n v="-599.0"/>
        <n v="-244.0"/>
        <n v="597.0"/>
        <n v="116.0"/>
        <n v="236.0"/>
        <n v="-228.0"/>
        <n v="-412.0"/>
        <n v="-3692.0"/>
        <n v="2.0"/>
        <n v="-1939.0"/>
        <n v="-5777.0"/>
        <n v="66.0"/>
        <n v="-701.0"/>
        <n v="-13531.0"/>
        <n v="-2565.0"/>
        <n v="-2490.0"/>
        <n v="-11222.0"/>
        <n v="-2680.0"/>
        <n v="-3489.0"/>
        <n v="-3986.0"/>
        <n v="-540.0"/>
        <n v="-5307.0"/>
        <n v="-1263.0"/>
        <n v="-6259.0"/>
        <n v="-4707.0"/>
        <n v="-13.0"/>
        <n v="336.0"/>
        <n v="-78.0"/>
        <n v="279.0"/>
        <n v="266.0"/>
        <n v="99.0"/>
        <n v="-57.0"/>
        <n v="659.0"/>
        <n v="-29.0"/>
        <n v="-272.0"/>
        <n v="-63.0"/>
        <n v="-107.0"/>
        <n v="38.0"/>
        <n v="185.0"/>
        <n v="-73.0"/>
        <n v="91.0"/>
        <n v="87.0"/>
        <n v="-139.0"/>
        <n v="111.0"/>
        <n v="665.0"/>
        <n v="254.0"/>
        <n v="234.0"/>
        <n v="427.0"/>
        <n v="4665.0"/>
        <n v="-1075.0"/>
        <n v="923.0"/>
        <n v="538.0"/>
        <n v="887.0"/>
        <n v="-2750.0"/>
        <n v="1062.0"/>
        <n v="156.0"/>
        <n v="517.0"/>
        <n v="337.0"/>
        <n v="225.0"/>
        <n v="516.0"/>
        <n v="386.0"/>
        <n v="806.0"/>
        <n v="219.0"/>
        <n v="20.0"/>
        <n v="268.0"/>
        <n v="-945.0"/>
        <n v="-8422.0"/>
        <n v="-15888.0"/>
        <n v="2518.0"/>
        <n v="-22720.0"/>
        <n v="-4640.0"/>
        <n v="-1615.0"/>
        <n v="-33107.0"/>
        <n v="-3655.0"/>
        <n v="-371.0"/>
        <n v="1090.0"/>
        <n v="-1013.0"/>
        <n v="-559.0"/>
        <n v="59.0"/>
        <n v="-3095.0"/>
        <n v="1098.0"/>
        <n v="-9.0"/>
        <n v="-154.0"/>
        <n v="17.0"/>
        <n v="1404.0"/>
        <n v="1091.0"/>
        <n v="-327.0"/>
        <n v="308.0"/>
        <n v="-930.0"/>
        <n v="-2101.0"/>
        <n v="-321.0"/>
        <n v="-248.0"/>
        <n v="-3429.0"/>
        <n v="-529.0"/>
        <n v="3792.0"/>
        <n v="-578.0"/>
        <n v="-8156.0"/>
        <n v="-2800.0"/>
        <n v="-5948.0"/>
        <n v="-196.0"/>
        <n v="-8391.0"/>
        <n v="-7738.0"/>
        <n v="4117.0"/>
        <n v="1128.0"/>
        <n v="-1070.0"/>
        <n v="-732.0"/>
        <n v="-2898.0"/>
        <n v="-669.0"/>
        <n v="-4189.0"/>
        <n v="132.0"/>
        <n v="-222.0"/>
        <n v="-135.0"/>
        <n v="-161.0"/>
        <n v="-5147.0"/>
        <n v="694.0"/>
        <n v="-4441.0"/>
        <n v="-10193.0"/>
        <n v="-18.0"/>
        <n v="-165.0"/>
        <n v="-5168.0"/>
        <n v="1179.0"/>
        <n v="-5273.0"/>
        <n v="-18037.0"/>
        <n v="145.0"/>
        <n v="-5195.0"/>
        <n v="-5569.0"/>
        <n v="-15551.0"/>
        <n v="-20754.0"/>
        <n v="-4790.0"/>
        <n v="-964.0"/>
        <n v="-267.0"/>
        <n v="-15645.0"/>
        <n v="4929.0"/>
        <n v="-7883.0"/>
        <n v="-7171.0"/>
        <n v="203.0"/>
        <n v="6.0"/>
        <n v="-355.0"/>
        <n v="-108.0"/>
        <n v="-346.0"/>
        <n v="-132.0"/>
        <n v="-20.0"/>
        <n v="149.0"/>
        <n v="-4177.0"/>
        <n v="412.0"/>
        <n v="-868.0"/>
        <n v="-24996.0"/>
        <n v="-59790.0"/>
        <n v="-50820.0"/>
        <n v="-58650.0"/>
        <n v="-22613.0"/>
        <n v="-22601.0"/>
        <n v="-11796.0"/>
        <n v="-40416.0"/>
        <n v="-30013.0"/>
        <n v="-19936.0"/>
        <n v="-2084.0"/>
        <n v="-60.0"/>
        <n v="78.0"/>
        <n v="143.0"/>
        <n v="-123.0"/>
        <n v="-2203.0"/>
        <n v="-213.0"/>
        <n v="498.0"/>
        <n v="-95.0"/>
        <n v="-1563.0"/>
        <n v="-83.0"/>
        <n v="-46.0"/>
        <n v="18.0"/>
        <n v="999.0"/>
        <n v="88.0"/>
        <n v="108.0"/>
        <n v="-33.0"/>
        <n v="333.0"/>
        <n v="10.0"/>
        <n v="-496.0"/>
        <n v="159.0"/>
        <n v="354.0"/>
        <n v="-963.0"/>
        <n v="-91.0"/>
        <n v="-1311.0"/>
        <n v="229.0"/>
        <n v="-1684.0"/>
        <n v="228.0"/>
        <n v="-2018.0"/>
        <n v="230.0"/>
        <n v="-356.0"/>
        <n v="-827.0"/>
        <n v="618.0"/>
        <n v="-555.0"/>
        <n v="-891.0"/>
        <n v="-215.0"/>
        <n v="-23.0"/>
        <n v="749.0"/>
        <n v="832.0"/>
        <n v="-30.0"/>
        <n v="-308.0"/>
        <n v="312.0"/>
        <n v="196.0"/>
        <n v="-506.0"/>
        <n v="-138.0"/>
        <n v="-694.0"/>
        <n v="-177.0"/>
        <n v="368.0"/>
        <n v="-4778.0"/>
        <n v="-11.0"/>
        <n v="861.0"/>
        <n v="257.0"/>
        <n v="-628.0"/>
        <n v="397.0"/>
        <n v="1357.0"/>
        <n v="531.0"/>
        <n v="1099.0"/>
        <n v="-2387.0"/>
        <n v="-16418.0"/>
        <n v="-14364.0"/>
        <n v="-6172.0"/>
        <n v="-77.0"/>
        <n v="-4188.0"/>
        <n v="-292.0"/>
        <n v="-15526.0"/>
        <n v="-3385.0"/>
        <n v="-812.0"/>
        <n v="843.0"/>
        <n v="-743.0"/>
        <n v="-200.0"/>
        <n v="-14116.0"/>
        <n v="-137.0"/>
        <n v="4973.0"/>
        <n v="-1783.0"/>
        <n v="-1299.0"/>
        <n v="245.0"/>
        <n v="-993.0"/>
        <n v="1523.0"/>
        <n v="-6190.0"/>
        <n v="-10.0"/>
        <n v="-219.0"/>
        <n v="-2641.0"/>
        <n v="4383.0"/>
        <n v="-2214.0"/>
        <n v="252.0"/>
        <n v="-2257.0"/>
        <n v="70.0"/>
        <n v="-616.0"/>
        <n v="11.0"/>
        <n v="933.0"/>
        <n v="-298.0"/>
        <n v="409.0"/>
        <n v="-233.0"/>
        <n v="-17.0"/>
        <n v="44.0"/>
        <n v="157.0"/>
        <n v="-582.0"/>
        <n v="204.0"/>
        <n v="366.0"/>
        <n v="983.0"/>
        <n v="1054.0"/>
        <n v="-294.0"/>
        <n v="55.0"/>
        <n v="140.0"/>
        <n v="-1069.0"/>
        <n v="-156.0"/>
        <n v="-1020.0"/>
        <n v="-576.0"/>
        <n v="-1221.0"/>
        <n v="-92.0"/>
        <n v="-1051.0"/>
        <n v="-4043.0"/>
        <n v="-3526.0"/>
        <n v="-1319.0"/>
        <n v="-100.0"/>
        <n v="558.0"/>
        <n v="378.0"/>
        <n v="25.0"/>
        <n v="144.0"/>
        <n v="475.0"/>
        <n v="-277.0"/>
        <n v="-67.0"/>
        <n v="58.0"/>
        <n v="-1124.0"/>
        <n v="-2135.0"/>
        <n v="291.0"/>
        <n v="-273.0"/>
        <n v="-48.0"/>
        <n v="-456.0"/>
        <n v="-547.0"/>
        <n v="-159.0"/>
        <n v="-492.0"/>
        <n v="-117.0"/>
        <n v="673.0"/>
        <n v="-953.0"/>
        <n v="190.0"/>
        <n v="-259.0"/>
        <n v="-311.0"/>
        <n v="1103.0"/>
        <n v="56.0"/>
        <n v="343.0"/>
        <n v="1692.0"/>
        <n v="471.0"/>
        <n v="-1535.0"/>
        <n v="1029.0"/>
        <n v="1155.0"/>
        <n v="-122.0"/>
        <n v="-1103.0"/>
        <n v="328.0"/>
        <n v="-158.0"/>
        <n v="2734.0"/>
        <n v="-217.0"/>
        <n v="-17824.0"/>
        <n v="29.0"/>
        <n v="-40863.0"/>
        <n v="-1909.0"/>
        <n v="-35391.0"/>
        <n v="-52523.0"/>
        <n v="-27750.0"/>
        <n v="-22858.0"/>
        <n v="-13811.0"/>
        <n v="-140.0"/>
        <n v="-5522.0"/>
        <n v="46.0"/>
        <n v="-16308.0"/>
        <n v="-33015.0"/>
        <n v="-562.0"/>
        <n v="-4656.0"/>
        <n v="-19137.0"/>
        <n v="-382.0"/>
        <n v="-2366.0"/>
        <n v="-74380.0"/>
        <n v="-4999.0"/>
        <n v="-1669.0"/>
        <n v="-12710.0"/>
        <n v="-2358.0"/>
        <n v="-8317.0"/>
        <n v="127.0"/>
        <n v="463.0"/>
        <n v="269.0"/>
        <n v="989.0"/>
        <n v="-329.0"/>
        <n v="391.0"/>
        <n v="248.0"/>
        <n v="207.0"/>
        <n v="765.0"/>
        <n v="80.0"/>
        <n v="-847.0"/>
        <n v="-1631.0"/>
        <n v="-278.0"/>
        <n v="-2702.0"/>
        <n v="-6365.0"/>
        <n v="-10740.0"/>
        <n v="-5250.0"/>
        <n v="-2025.0"/>
        <n v="-1213.0"/>
        <n v="-72.0"/>
        <n v="23.0"/>
        <n v="-904.0"/>
        <n v="-15.0"/>
        <n v="-2154.0"/>
        <n v="-1585.0"/>
        <n v="-271.0"/>
        <n v="-126.0"/>
        <n v="-210.0"/>
        <n v="-870.0"/>
        <n v="-64.0"/>
        <n v="-695.0"/>
        <n v="-266.0"/>
        <n v="-352.0"/>
        <n v="-241.0"/>
        <n v="-3067.0"/>
        <n v="-754.0"/>
        <n v="-1600.0"/>
        <n v="-25.0"/>
        <n v="-2576.0"/>
        <n v="-4720.0"/>
        <n v="-4468.0"/>
        <n v="73.0"/>
        <n v="-50.0"/>
        <n v="-4230.0"/>
        <n v="-1439.0"/>
        <n v="-523.0"/>
        <n v="-1148.0"/>
        <n v="62.0"/>
        <n v="-34.0"/>
        <n v="-1818.0"/>
        <n v="-6069.0"/>
        <n v="-666.0"/>
        <n v="-2878.0"/>
        <n v="-860.0"/>
        <n v="202.0"/>
        <n v="955.0"/>
        <n v="-366.0"/>
        <n v="195.0"/>
        <n v="1210.0"/>
        <n v="577.0"/>
        <n v="-1682.0"/>
        <n v="71.0"/>
        <n v="54.0"/>
        <n v="24.0"/>
        <n v="57.0"/>
        <n v="-726.0"/>
        <n v="-631.0"/>
        <n v="9.0"/>
        <n v="-1594.0"/>
        <n v="-120.0"/>
        <n v="588.0"/>
        <n v="47.0"/>
        <n v="1140.0"/>
        <n v="-670.0"/>
        <n v="330.0"/>
        <n v="1489.0"/>
        <n v="410.0"/>
        <n v="-1128.0"/>
        <n v="-3061.0"/>
        <n v="115.0"/>
        <n v="184.0"/>
        <n v="-3755.0"/>
        <n v="-4609.0"/>
        <n v="110.0"/>
        <n v="-2045.0"/>
        <n v="-641.0"/>
        <n v="-1416.0"/>
        <n v="-2833.0"/>
        <n v="522.0"/>
        <n v="-2359.0"/>
        <n v="-1846.0"/>
        <n v="-552.0"/>
        <n v="-1657.0"/>
        <n v="-646.0"/>
        <n v="-596.0"/>
        <n v="-6979.0"/>
        <n v="-1656.0"/>
        <n v="461.0"/>
        <n v="-13142.0"/>
        <n v="281.0"/>
        <n v="425.0"/>
        <n v="-19832.0"/>
        <n v="-131.0"/>
        <n v="-8681.0"/>
        <n v="-7405.0"/>
        <n v="-1135.0"/>
        <n v="-237.0"/>
        <n v="433.0"/>
        <n v="1306.0"/>
        <n v="932.0"/>
        <n v="-2929.0"/>
        <n v="-3424.0"/>
        <n v="-1194.0"/>
        <n v="1297.0"/>
        <n v="-2363.0"/>
        <n v="679.0"/>
        <n v="3356.0"/>
        <n v="919.0"/>
        <n v="-4967.0"/>
        <n v="-14068.0"/>
        <n v="-1466.0"/>
        <n v="-2042.0"/>
        <n v="-524.0"/>
        <n v="-1738.0"/>
        <n v="5521.0"/>
        <n v="-490.0"/>
        <n v="30.0"/>
        <n v="-1304.0"/>
        <n v="118.0"/>
        <n v="-1875.0"/>
        <n v="-1385.0"/>
        <n v="-471.0"/>
        <n v="-864.0"/>
        <n v="-2195.0"/>
        <n v="-1274.0"/>
        <n v="-2180.0"/>
        <n v="-2403.0"/>
        <n v="-1142.0"/>
        <n v="-9371.0"/>
        <n v="-4633.0"/>
        <n v="-484.0"/>
        <n v="-3332.0"/>
        <n v="-1380.0"/>
        <n v="-8590.0"/>
        <n v="-3882.0"/>
        <n v="-1203.0"/>
        <n v="-2256.0"/>
        <n v="-3080.0"/>
        <n v="4803.0"/>
        <n v="-7288.0"/>
        <n v="1579.0"/>
        <n v="-3647.0"/>
        <n v="-14174.0"/>
        <n v="1850.0"/>
        <n v="-69.0"/>
        <n v="-41.0"/>
        <n v="2307.0"/>
        <n v="-2004.0"/>
        <n v="379.0"/>
        <n v="-4573.0"/>
        <n v="-6960.0"/>
        <n v="-2122.0"/>
        <n v="27.0"/>
        <n v="-4044.0"/>
        <n v="-835.0"/>
        <n v="-7846.0"/>
        <n v="-338.0"/>
        <n v="-172.0"/>
        <n v="-585.0"/>
        <n v="3415.0"/>
        <n v="-566.0"/>
        <n v="-704.0"/>
        <n v="152.0"/>
        <n v="-793.0"/>
        <n v="-4286.0"/>
        <n v="155.0"/>
        <n v="-11157.0"/>
        <n v="-17062.0"/>
        <n v="1420.0"/>
        <n v="-1963.0"/>
        <n v="-472.0"/>
        <n v="-128.0"/>
        <n v="-1914.0"/>
        <n v="1251.0"/>
        <n v="2103.0"/>
        <n v="-20140.0"/>
        <n v="564.0"/>
        <n v="148.0"/>
        <n v="-720.0"/>
        <n v="-66.0"/>
        <n v="-653.0"/>
        <n v="2691.0"/>
        <n v="-1865.0"/>
        <n v="-828.0"/>
        <n v="235.0"/>
        <n v="76.0"/>
        <n v="-1740.0"/>
        <n v="-3311.0"/>
        <n v="-4079.0"/>
        <n v="-1325.0"/>
        <n v="-16684.0"/>
        <n v="5348.0"/>
        <n v="-2451.0"/>
        <n v="287.0"/>
        <n v="1072.0"/>
        <n v="-579.0"/>
        <n v="-14069.0"/>
        <n v="121.0"/>
        <n v="2357.0"/>
        <n v="-1224.0"/>
        <n v="-433.0"/>
        <n v="-1708.0"/>
        <n v="637.0"/>
        <n v="-6220.0"/>
        <n v="-4568.0"/>
        <n v="-2719.0"/>
        <n v="-3192.0"/>
        <n v="-8141.0"/>
        <n v="-61945.0"/>
        <n v="-11072.0"/>
        <n v="-19996.0"/>
        <n v="-1608.0"/>
        <n v="-36.0"/>
        <n v="-636.0"/>
        <n v="-2858.0"/>
        <n v="429.0"/>
        <n v="270.0"/>
        <n v="-799.0"/>
        <n v="-1336.0"/>
        <n v="-415.0"/>
        <n v="-4432.0"/>
        <n v="-11585.0"/>
        <n v="-934.0"/>
        <n v="-1709.0"/>
        <n v="1397.0"/>
        <n v="-592.0"/>
        <n v="-15532.0"/>
        <n v="-3763.0"/>
        <n v="-12827.0"/>
        <n v="-380.0"/>
        <n v="318.0"/>
        <n v="-1225.0"/>
        <n v="-5.3085"/>
        <n v="-9.5553"/>
        <n v="305.0"/>
        <n v="-413.0"/>
        <n v="-2960.0"/>
        <n v="-1338.0"/>
        <n v="678.0"/>
        <n v="615.0"/>
        <n v="113.0"/>
        <n v="1652.0"/>
        <n v="107.0"/>
        <n v="-4.9799999999999995"/>
        <n v="-507.96"/>
        <n v="-4337.58"/>
        <n v="338.0"/>
        <n v="-458.0"/>
        <n v="-10150.0"/>
        <n v="-5726.0"/>
        <n v="-17851.0"/>
        <n v="-4575.0"/>
        <n v="-526.0"/>
        <n v="-189.0"/>
        <n v="10508.0"/>
        <n v="-1651.0"/>
        <n v="2352.0"/>
        <n v="-4916.0"/>
        <n v="442.0"/>
        <n v="-1365.0"/>
        <n v="-1077.0"/>
        <n v="-12707.0"/>
        <n v="-401.0"/>
        <n v="819.0"/>
        <n v="2276.0"/>
        <n v="-1032.0"/>
        <n v="-682.0"/>
        <n v="-1591.0"/>
        <n v="15.0"/>
        <n v="-56.0"/>
        <n v="-721.0"/>
        <n v="3202.0"/>
        <n v="-13176.0"/>
        <n v="-475.0"/>
        <n v="-1223.0"/>
        <n v="-334.0"/>
        <n v="-7717.0"/>
      </sharedItems>
    </cacheField>
    <cacheField name="Total&#10;in &#10;RB&#10;currency" numFmtId="3">
      <sharedItems containsString="0" containsBlank="1" containsNumber="1">
        <n v="0.0"/>
        <n v="400.0"/>
        <n v="685.0"/>
        <n v="-1.0"/>
        <n v="-2.0"/>
        <n v="3.0"/>
        <n v="177.0"/>
        <n v="-39.0"/>
        <n v="880.0"/>
        <n v="6.0"/>
        <n v="115.0"/>
        <n v="666.0"/>
        <n v="-568.0"/>
        <n v="1.0"/>
        <n v="4.0"/>
        <n v="1738.0"/>
        <n v="11.0"/>
        <n v="677.0"/>
        <n v="3169.0"/>
        <n v="726.0"/>
        <n v="-5.0"/>
        <n v="2907.0"/>
        <n v="1154.0"/>
        <n v="2.0"/>
        <n v="-23.0"/>
        <n v="-4.0"/>
        <n v="16.89"/>
        <n v="1063.17"/>
        <n v="2160.12"/>
        <n v="56.82"/>
        <n v="808.26"/>
        <n v="-682.8599999999999"/>
        <n v="-5.4"/>
        <n v="-297.74"/>
        <n v="-34.56"/>
        <n v="-43.61"/>
        <n v="-88.38"/>
        <n v="-15.719999999999999"/>
        <n v="59.0"/>
        <n v="23.0"/>
        <n v="65.0"/>
        <n v="263.0"/>
        <n v="39.0"/>
        <n v="8.0"/>
        <n v="-725.0"/>
        <n v="-89.0"/>
        <n v="1168.0"/>
        <n v="-200.0"/>
        <n v="140.0"/>
        <n v="261.0"/>
        <n v="-298.0"/>
        <n v="-81.0"/>
        <n v="-1125.0"/>
        <n v="60.0"/>
        <n v="182.0"/>
        <n v="-87.0"/>
        <n v="-115.0"/>
        <n v="41.0"/>
        <n v="-172.0"/>
        <n v="751.0"/>
        <n v="-843.0"/>
        <n v="768.0"/>
        <n v="2310.0"/>
        <n v="6480.0"/>
        <n v="6707.0"/>
        <n v="-10295.0"/>
        <n v="3599.0"/>
        <n v="7465.0"/>
        <n v="2514.0"/>
        <n v="587.0"/>
        <m/>
        <n v="2995.0"/>
        <n v="-357.0"/>
        <n v="34.0"/>
        <n v="592.0"/>
        <n v="2755.0"/>
        <n v="106.0"/>
        <n v="-294.0"/>
        <n v="-122.0"/>
        <n v="1399.0"/>
        <n v="3045.0"/>
        <n v="564.0"/>
        <n v="33.0"/>
        <n v="205.0"/>
        <n v="-6.0"/>
        <n v="-46.0"/>
        <n v="319.0"/>
        <n v="2955.0"/>
        <n v="161.0"/>
        <n v="323.0"/>
        <n v="-848.0"/>
        <n v="50.0"/>
        <n v="2009.0"/>
        <n v="6931.0"/>
        <n v="240.0"/>
        <n v="-21.0"/>
        <n v="2259.0"/>
        <n v="1966.0"/>
        <n v="155.0"/>
        <n v="2944.0"/>
        <n v="-141.0"/>
        <n v="-734.0"/>
        <n v="-611.0"/>
        <n v="6338.0"/>
        <n v="10685.0"/>
        <n v="110.0"/>
        <n v="7043.0"/>
        <n v="4973.0"/>
        <n v="-152.0"/>
        <n v="3217.0"/>
        <n v="-72.0"/>
        <n v="5945.0"/>
        <n v="2501.0"/>
        <n v="9352.0"/>
        <n v="6471.0"/>
        <n v="3764.0"/>
        <n v="623.0"/>
        <n v="708.0"/>
        <n v="-986.0"/>
        <n v="3901.0"/>
        <n v="1641.0"/>
        <n v="-3563.0"/>
        <n v="5.0"/>
        <n v="333.0"/>
        <n v="35.0"/>
        <n v="12919.0"/>
        <n v="-8495.0"/>
        <n v="-3.0"/>
        <n v="93.0"/>
        <n v="-0.5"/>
        <n v="-1450.0"/>
        <n v="16557.0"/>
        <n v="-207.0"/>
        <n v="-269.0"/>
        <n v="1200.0"/>
        <n v="934.0"/>
        <n v="-684.0"/>
        <n v="-289.0"/>
        <n v="-657.0"/>
        <n v="21.0"/>
        <n v="-96.0"/>
        <n v="-1113.0"/>
        <n v="10.0"/>
        <n v="-86.0"/>
        <n v="1287.0"/>
        <n v="-7662.0"/>
        <n v="-2248.0"/>
        <n v="-1680.0"/>
        <n v="203.0"/>
        <n v="-49.0"/>
        <n v="-67.0"/>
        <n v="317.0"/>
        <n v="5401.0"/>
        <n v="784.0"/>
        <n v="207.0"/>
        <n v="-2717.0"/>
        <n v="-171.0"/>
        <n v="-394.0"/>
        <n v="654.0"/>
        <n v="485.0"/>
        <n v="-78.0"/>
        <n v="173.0"/>
        <n v="1267.0"/>
        <n v="613.0"/>
        <n v="348.0"/>
        <n v="-121.0"/>
        <n v="189.0"/>
        <n v="745.0"/>
        <n v="64.0"/>
        <n v="61.0"/>
        <n v="598.0"/>
        <n v="-176.0"/>
        <n v="686.0"/>
        <n v="-341.0"/>
        <n v="15.0"/>
        <n v="-254.0"/>
        <n v="-332.0"/>
        <n v="619.0"/>
        <n v="-17.0"/>
        <n v="51.0"/>
        <n v="509.0"/>
        <n v="2201.0"/>
        <n v="293.0"/>
        <n v="219.0"/>
        <n v="11328.0"/>
        <n v="1823.0"/>
        <n v="70.0"/>
        <n v="382.0"/>
        <n v="942.0"/>
        <n v="-31.0"/>
        <n v="1322.0"/>
        <n v="-13980.0"/>
        <n v="34271.0"/>
        <n v="-9420.0"/>
        <n v="585.0"/>
        <n v="-489.0"/>
        <n v="-3473.0"/>
        <n v="1006.0"/>
        <n v="-8182.0"/>
        <n v="-6129.0"/>
        <n v="98.0"/>
        <n v="-4600.0"/>
        <n v="-3050.0"/>
        <n v="-1682.0"/>
        <n v="218.0"/>
        <n v="760.0"/>
        <n v="1317.0"/>
        <n v="387.0"/>
        <n v="159.0"/>
        <n v="384.0"/>
        <n v="793.0"/>
        <n v="-2663.0"/>
        <n v="90.0"/>
        <n v="336.0"/>
        <n v="232.0"/>
        <n v="1364.0"/>
        <n v="1953.0"/>
        <n v="588.0"/>
        <n v="-453.0"/>
        <n v="-27.0"/>
        <n v="267.0"/>
        <n v="373.0"/>
        <n v="9.0"/>
        <n v="576.0"/>
        <n v="-212.0"/>
        <n v="434.0"/>
        <n v="7.0"/>
        <n v="1009.0"/>
        <n v="-126.0"/>
        <n v="681.0"/>
        <n v="884.0"/>
        <n v="-40.0"/>
        <n v="296.0"/>
        <n v="713.0"/>
        <n v="1469.0"/>
        <n v="1428.0"/>
        <n v="1327.0"/>
        <n v="-920.0"/>
        <n v="1265.0"/>
        <n v="842.0"/>
        <n v="-243.0"/>
        <n v="38.0"/>
        <n v="223.0"/>
        <n v="-47.0"/>
        <n v="-238.0"/>
        <n v="144.0"/>
        <n v="-264.0"/>
        <n v="92.0"/>
        <n v="289.0"/>
        <n v="186.0"/>
        <n v="534.0"/>
        <n v="-71.0"/>
        <n v="-97.0"/>
        <n v="-219.0"/>
        <n v="-1881.0"/>
        <n v="5090.0"/>
        <n v="409.0"/>
        <n v="6720.0"/>
        <n v="7137.0"/>
        <n v="9130.0"/>
        <n v="18.0"/>
        <n v="-22.0"/>
        <n v="1371.0"/>
        <n v="1657.0"/>
        <n v="481.0"/>
        <n v="320.0"/>
        <n v="27.0"/>
        <n v="9255.0"/>
        <n v="-19.0"/>
        <n v="24791.0"/>
        <n v="-7.0"/>
        <n v="2041.0"/>
        <n v="498.0"/>
        <n v="-1274.0"/>
        <n v="365.0"/>
        <n v="2918.0"/>
        <n v="-720.0"/>
        <n v="150.0"/>
        <n v="830.0"/>
        <n v="-397.0"/>
        <n v="-460.0"/>
        <n v="243.0"/>
        <n v="-8.0"/>
        <n v="505.0"/>
        <n v="767.0"/>
        <n v="352.0"/>
        <n v="1078.0"/>
        <n v="-296.0"/>
        <n v="1163.0"/>
        <n v="28.0"/>
        <n v="1658.0"/>
        <n v="13.0"/>
        <n v="2504.0"/>
        <n v="3533.0"/>
        <n v="24.0"/>
        <n v="49.0"/>
        <n v="1007.0"/>
        <n v="1220.0"/>
        <n v="83.0"/>
        <n v="679.0"/>
        <n v="228.0"/>
        <n v="-315.0"/>
        <n v="375.0"/>
        <n v="-365.0"/>
        <n v="1350.0"/>
        <n v="897.0"/>
        <n v="2056.0"/>
        <n v="4241.0"/>
        <n v="88.0"/>
        <n v="1209.0"/>
        <n v="-100.0"/>
        <n v="1107.0"/>
        <n v="6356.0"/>
        <n v="2636.0"/>
        <n v="47.0"/>
        <n v="-1985.0"/>
        <n v="45.0"/>
        <n v="1575.0"/>
        <n v="-1017.0"/>
        <n v="4018.0"/>
        <n v="937.0"/>
        <n v="-902.0"/>
        <n v="-853.0"/>
        <n v="3288.0"/>
        <n v="905.0"/>
        <n v="405.0"/>
        <n v="-36.0"/>
        <n v="1067.0"/>
        <n v="774.0"/>
        <n v="17.0"/>
        <n v="1694.0"/>
        <n v="334.0"/>
        <n v="26.0"/>
        <n v="628.0"/>
        <n v="44.0"/>
        <n v="410.0"/>
        <n v="-52.0"/>
        <n v="32.0"/>
        <n v="160.0"/>
        <n v="201.0"/>
        <n v="-108.0"/>
        <n v="1145.0"/>
        <n v="259.0"/>
        <n v="339.0"/>
        <n v="427.0"/>
        <n v="4768.0"/>
        <n v="805.0"/>
        <n v="-600.0"/>
        <n v="1671.0"/>
        <n v="538.0"/>
        <n v="3036.0"/>
        <n v="-2750.0"/>
        <n v="1062.0"/>
        <n v="157.0"/>
        <n v="1286.0"/>
        <n v="496.0"/>
        <n v="251.0"/>
        <n v="524.0"/>
        <n v="703.0"/>
        <n v="871.0"/>
        <n v="391.0"/>
        <n v="-250.0"/>
        <n v="1139.0"/>
        <n v="16.0"/>
        <n v="89.0"/>
        <n v="235.0"/>
        <n v="258.0"/>
        <n v="-25.0"/>
        <n v="275.0"/>
        <n v="750.0"/>
        <n v="264.0"/>
        <n v="1605.0"/>
        <n v="-8422.0"/>
        <n v="-7768.0"/>
        <n v="3815.0"/>
        <n v="4046.0"/>
        <n v="5580.0"/>
        <n v="474.0"/>
        <n v="-6508.0"/>
        <n v="-3655.0"/>
        <n v="5743.59477124183"/>
        <n v="1991.9504295051356"/>
        <n v="696.25"/>
        <n v="-304.0"/>
        <n v="-533.0"/>
        <n v="1496.0"/>
        <n v="-1308.0"/>
        <n v="-433.0"/>
        <n v="-490.0"/>
        <n v="94.0"/>
        <n v="-2897.0"/>
        <n v="1110.0"/>
        <n v="-137.0"/>
        <n v="1780.0"/>
        <n v="2147.0"/>
        <n v="2182.0"/>
        <n v="2262.0"/>
        <n v="753.0"/>
        <n v="2008.0"/>
        <n v="52.0"/>
        <n v="-111.0"/>
        <n v="669.0"/>
        <n v="-237.0"/>
        <n v="371.0"/>
        <n v="2550.0"/>
        <n v="7887.0"/>
        <n v="-136.0"/>
        <n v="7560.0"/>
        <n v="5915.0"/>
        <n v="1828.0"/>
        <n v="213.0"/>
        <n v="756.0"/>
        <n v="11804.0"/>
        <n v="3520.0"/>
        <n v="1264.0"/>
        <n v="302.0"/>
        <n v="11991.0"/>
        <n v="5889.0"/>
        <n v="4010.0"/>
        <n v="202.0"/>
        <n v="-195.0"/>
        <n v="-55.0"/>
        <n v="1691.0"/>
        <n v="-3138.0"/>
        <n v="7333.0"/>
        <n v="3473.0"/>
        <n v="2036.0"/>
        <n v="6586.0"/>
        <n v="620.0"/>
        <n v="-12.0"/>
        <n v="-3676.0"/>
        <n v="5216.0"/>
        <n v="-1620.0"/>
        <n v="-7981.0"/>
        <n v="85.0"/>
        <n v="1784.0"/>
        <n v="362.0"/>
        <n v="-4102.0"/>
        <n v="-16257.0"/>
        <n v="-2908.0"/>
        <n v="1365.0"/>
        <n v="-233.0"/>
        <n v="18639.0"/>
        <n v="25861.0"/>
        <n v="12445.0"/>
        <n v="-3642.0"/>
        <n v="1218.0"/>
        <n v="529.0"/>
        <n v="376.65999999999997"/>
        <n v="174.34"/>
        <n v="294.28"/>
        <n v="133.72"/>
        <n v="765.0"/>
        <n v="-343.33000000000004"/>
        <n v="-253.14999999999998"/>
        <n v="-339.59000000000003"/>
        <n v="-237.92999999999995"/>
        <n v="-25.990000000000002"/>
        <n v="533.87"/>
        <n v="82.13"/>
        <n v="499.78"/>
        <n v="187.22"/>
        <n v="24.4"/>
        <n v="918.6"/>
        <n v="-309.0"/>
        <n v="-975.0"/>
        <n v="132.0"/>
        <n v="287.0"/>
        <n v="399.0"/>
        <n v="-336.0"/>
        <n v="30.0"/>
        <n v="-529.0"/>
        <n v="408.0"/>
        <n v="5571.0"/>
        <n v="-3818.0"/>
        <n v="11416.0"/>
        <n v="7231.0"/>
        <n v="6534.0"/>
        <n v="863.0"/>
        <n v="-3228.0"/>
        <n v="450.0"/>
        <n v="1376.0"/>
        <n v="6966.0"/>
        <n v="13464.0"/>
        <n v="-14743.0"/>
        <n v="-8900.0"/>
        <n v="4152.0"/>
        <n v="-8065.0"/>
        <n v="-738.0"/>
        <n v="806.0"/>
        <n v="10422.0"/>
        <n v="-5519.0"/>
        <n v="4645.0"/>
        <n v="1698.0"/>
        <n v="14171.0"/>
        <n v="-2474.0"/>
        <n v="9810.0"/>
        <n v="-668.0"/>
        <n v="4597.0"/>
        <n v="-60.0"/>
        <n v="82.0"/>
        <n v="525.0"/>
        <n v="-268.0"/>
        <n v="1757.0"/>
        <n v="1598.0"/>
        <n v="-95.0"/>
        <n v="-125.0"/>
        <n v="1509.0"/>
        <n v="237.0"/>
        <n v="67.0"/>
        <n v="458.0"/>
        <n v="1189.0"/>
        <n v="46.0"/>
        <n v="295.0"/>
        <n v="1347.0"/>
        <n v="31.0"/>
        <n v="-63.0"/>
        <n v="-459.0"/>
        <n v="1579.0"/>
        <n v="-1134.0"/>
        <n v="298.0"/>
        <n v="1853.0"/>
        <n v="318.0"/>
        <n v="440.0"/>
        <n v="40.0"/>
        <n v="301.0"/>
        <n v="79.0"/>
        <n v="0.17"/>
        <n v="3.67"/>
        <n v="3023.17"/>
        <n v="-0.010000000000000009"/>
        <n v="1.48"/>
        <n v="255.52999999999997"/>
        <n v="1045.0"/>
        <n v="-48.0"/>
        <n v="0.97"/>
        <n v="1060.17"/>
        <n v="108.86"/>
        <n v="221667.0"/>
        <n v="165833.34"/>
        <n v="-65000.0"/>
        <n v="355857.0"/>
        <n v="-172629.0"/>
        <n v="285076.0"/>
        <n v="42553.0"/>
        <n v="74457.06"/>
        <n v="445785.33"/>
        <n v="460.0"/>
        <n v="56666.67"/>
        <n v="1835.22"/>
        <n v="1.6099999999999999"/>
        <n v="-1673.0"/>
        <n v="30094.0"/>
        <n v="-35000.0"/>
        <n v="1649.0"/>
        <n v="5423.0"/>
        <n v="5525.0"/>
        <n v="5822.0"/>
        <n v="-5244.0"/>
        <n v="5213.0"/>
        <n v="3042.0"/>
        <n v="1191.0"/>
        <n v="-826.0"/>
        <n v="9876.0"/>
        <n v="-2595.0"/>
        <n v="1986.0"/>
        <n v="1177.0"/>
        <n v="-5946.0"/>
        <n v="16364.0"/>
        <n v="-962.0"/>
        <n v="-637.0"/>
        <n v="-5755.0"/>
        <n v="2555.0"/>
        <n v="5696.0"/>
        <n v="6508.0"/>
        <n v="1003.0"/>
        <n v="-0.25"/>
        <n v="-1949.0"/>
        <n v="572.0"/>
        <n v="-4063.0"/>
        <n v="-241.0"/>
        <n v="-70.0"/>
        <n v="2148.0"/>
        <n v="1440.0"/>
        <n v="280.0"/>
        <n v="55.0"/>
        <n v="-7550.0"/>
        <n v="4062.0"/>
        <n v="14190.0"/>
        <n v="-3823.0"/>
        <n v="676.0"/>
        <n v="-202.0"/>
        <n v="-15.0"/>
        <n v="548.0"/>
        <n v="-679.0"/>
        <n v="1471.0"/>
        <n v="2434.0"/>
        <n v="1656.0"/>
        <n v="1219.0"/>
        <n v="-13.0"/>
        <n v="2245.0"/>
        <n v="-132.0"/>
        <n v="312.0"/>
        <n v="196.0"/>
        <n v="-506.0"/>
        <n v="625.0"/>
        <n v="2057.0"/>
        <n v="-535.0"/>
        <n v="-157.0"/>
        <n v="928.0"/>
        <n v="3226.0"/>
        <n v="-2945.0"/>
        <n v="1754.0"/>
        <n v="257.0"/>
        <n v="146.0"/>
        <n v="397.0"/>
        <n v="1732.0"/>
        <n v="531.0"/>
        <n v="430.0"/>
        <n v="1099.0"/>
        <n v="-11471.0"/>
        <n v="33260.0"/>
        <n v="278.0"/>
        <n v="-1097.0"/>
        <n v="-57.0"/>
        <n v="-917.0"/>
        <n v="221.0"/>
        <n v="3376.0"/>
        <n v="-297.0"/>
        <n v="7146.0"/>
        <n v="1254.0"/>
        <n v="1571.0"/>
        <n v="-142.0"/>
        <n v="10562.0"/>
        <n v="6874.0"/>
        <n v="-1497.0"/>
        <n v="432.0"/>
        <n v="10062.0"/>
        <n v="436.0"/>
        <n v="7459.0"/>
        <n v="473.0"/>
        <n v="292.0"/>
        <n v="8924.0"/>
        <n v="411.0"/>
        <n v="15735.0"/>
        <n v="1591.0"/>
        <n v="454.0"/>
        <n v="2843.0"/>
        <n v="72.0"/>
        <n v="7568.0"/>
        <n v="3374.0"/>
        <n v="-155.0"/>
        <n v="916.0"/>
        <n v="2085.0"/>
        <n v="0.75"/>
        <n v="338.0"/>
        <n v="141.0"/>
        <n v="-0.75"/>
        <n v="-232.0"/>
        <n v="608.0"/>
        <n v="97.0"/>
        <n v="1735.0"/>
        <n v="2237.0"/>
        <n v="2235.0"/>
        <n v="786.0"/>
        <n v="326.0"/>
        <n v="181.0"/>
        <n v="-509.0"/>
        <n v="208.0"/>
        <n v="-411.0"/>
        <n v="1251.0"/>
        <n v="2336.0"/>
        <n v="-539.0"/>
        <n v="-1755.0"/>
        <n v="19.0"/>
        <n v="542.0"/>
        <n v="-14.0"/>
        <n v="1968.0"/>
        <n v="-277.0"/>
        <n v="3749.0"/>
        <n v="1165.0"/>
        <n v="265.0"/>
        <n v="718.0"/>
        <n v="2327.0"/>
        <n v="-33.0"/>
        <n v="-56.0"/>
        <n v="178.0"/>
        <n v="1620.0"/>
        <n v="-763.0"/>
        <n v="22.0"/>
        <n v="-352.0"/>
        <n v="1704.0"/>
        <n v="290.0"/>
        <n v="595.0"/>
        <n v="734.0"/>
        <n v="379.0"/>
        <n v="29.0"/>
        <n v="2256.0"/>
        <n v="-64.0"/>
        <n v="214.0"/>
        <n v="-54.0"/>
        <n v="2805.0"/>
        <n v="1214.0"/>
        <n v="1374.0"/>
        <n v="1696.0"/>
        <n v="-1520.0"/>
        <n v="2962.0"/>
        <n v="1604.0"/>
        <n v="426.0"/>
        <n v="75.0"/>
        <n v="328.0"/>
        <n v="-145.5"/>
        <n v="4414.0"/>
        <n v="128.0"/>
        <n v="343.0"/>
        <n v="324.0"/>
        <n v="565.0"/>
        <n v="111.0"/>
        <n v="-217.0"/>
        <n v="1610.0"/>
        <n v="8251.0"/>
        <n v="624.0"/>
        <n v="-5944.0"/>
        <n v="-579.0"/>
        <n v="10360.0"/>
        <n v="11404.0"/>
        <n v="17025.0"/>
        <n v="6126.0"/>
        <n v="9995.0"/>
        <n v="-6362.0"/>
        <n v="71.0"/>
        <n v="3266.0"/>
        <n v="4066.0"/>
        <n v="-216.0"/>
        <n v="1305.0"/>
        <n v="158.0"/>
        <n v="19082.0"/>
        <n v="107.0"/>
        <n v="792.0"/>
        <n v="864.0"/>
        <n v="-1137.0"/>
        <n v="-407.0"/>
        <n v="961.0"/>
        <n v="7019.0"/>
        <n v="-0.30000000000000004"/>
        <n v="-1.1900000000000004"/>
        <n v="-442.98"/>
        <n v="-154.54000000000002"/>
        <n v="0.5"/>
        <n v="773.9"/>
        <n v="180.09"/>
        <n v="4.1899999999999995"/>
        <n v="4.91"/>
        <n v="2600.05"/>
        <n v="789.85"/>
        <n v="-1.3900000000000001"/>
        <n v="-2.7800000000000002"/>
        <n v="-1661.94"/>
        <n v="-475.89"/>
        <n v="-2.0599999999999996"/>
        <n v="-34.400000000000006"/>
        <n v="-4172.540000000001"/>
        <n v="-1.62"/>
        <n v="-1.02"/>
        <n v="-767.05"/>
        <n v="-316.32000000000005"/>
        <n v="15810.0"/>
        <n v="3.0300000000000002"/>
        <n v="2.79"/>
        <n v="14.440000000000001"/>
        <n v="1555.95"/>
        <n v="137.79"/>
        <n v="3.37"/>
        <n v="5.64"/>
        <n v="10.2"/>
        <n v="2085.01"/>
        <n v="3064.7799999999997"/>
        <n v="87.0"/>
        <n v="6.95"/>
        <n v="2.76"/>
        <n v="29.69"/>
        <n v="6456.43"/>
        <n v="1673.3"/>
        <n v="378.86"/>
        <n v="143.0"/>
        <n v="486.0"/>
        <n v="1031.0"/>
        <n v="-311.0"/>
        <n v="448.0"/>
        <n v="-84.0"/>
        <n v="238.0"/>
        <n v="20.0"/>
        <n v="965.0"/>
        <n v="73.0"/>
        <n v="2318.0"/>
        <n v="1153.0"/>
        <n v="138.0"/>
        <n v="-520.0"/>
        <n v="-2711.0"/>
        <n v="3468.0"/>
        <n v="95.0"/>
        <n v="-384.0"/>
        <n v="-319.0"/>
        <n v="-189.0"/>
        <n v="2614.0"/>
        <n v="1670.0"/>
        <n v="-650.0"/>
        <n v="284.0"/>
        <n v="-85.0"/>
        <n v="1.5"/>
        <n v="-1.75"/>
        <n v="630.0"/>
        <n v="25.0"/>
        <n v="1600.0"/>
        <n v="354.0"/>
        <n v="-42.0"/>
        <n v="579.0"/>
        <n v="714.0"/>
        <n v="1167.0"/>
        <n v="-24.0"/>
        <n v="870.0"/>
        <n v="2846.0"/>
        <n v="665.0"/>
        <n v="-1444.0"/>
        <n v="1346.0"/>
        <n v="1409.0"/>
        <n v="415.0"/>
        <n v="651.0"/>
        <n v="722.0"/>
        <n v="1136.0"/>
        <n v="-53.0"/>
        <n v="342.0"/>
        <n v="12.0"/>
        <n v="1506.0"/>
        <n v="1565.0"/>
        <n v="1800.0"/>
        <n v="247.0"/>
        <n v="1335.0"/>
        <n v="-261.0"/>
        <n v="-748.0"/>
        <n v="957.0"/>
        <n v="174.0"/>
        <n v="-793.0"/>
        <n v="789.0"/>
        <n v="2065.0"/>
        <n v="-501.0"/>
        <n v="747.0"/>
        <n v="988.0"/>
        <n v="785.0"/>
        <n v="-0.3799999999999999"/>
        <n v="-391.6199999999999"/>
        <n v="1.18"/>
        <n v="461.82000000000005"/>
        <n v="7587.0"/>
        <n v="936.0"/>
        <n v="962.0"/>
        <n v="1741.0"/>
        <n v="-80.0"/>
        <n v="668.0"/>
        <n v="-10.0"/>
        <n v="2552.32"/>
        <n v="23.68"/>
        <n v="2031.0"/>
        <n v="-9.0"/>
        <n v="-34.0"/>
        <n v="-45.0"/>
        <n v="1237.1599999999999"/>
        <n v="4.6899999999999995"/>
        <n v="3.15"/>
        <n v="2.1"/>
        <n v="13.23"/>
        <n v="2903.26"/>
        <n v="723.4200000000001"/>
        <n v="2016.0"/>
        <n v="559.0"/>
        <n v="-98.0"/>
        <n v="-106.0"/>
        <n v="-751.0"/>
        <n v="1542.0"/>
        <n v="655.0"/>
        <n v="195.0"/>
        <n v="1906.0"/>
        <n v="-37.0"/>
        <n v="-435.0"/>
        <n v="184.0"/>
        <n v="-727.0"/>
        <n v="-3339.0"/>
        <n v="118.0"/>
        <n v="21655.0"/>
        <n v="19250.0"/>
        <n v="-1299.0"/>
        <n v="-101.0"/>
        <n v="-295.0"/>
        <n v="-2054.0"/>
        <n v="15497.0"/>
        <n v="4280.0"/>
        <n v="2414.0"/>
        <n v="357.0"/>
        <n v="7246.0"/>
        <n v="1592.0"/>
        <n v="366.0"/>
        <n v="2721.0"/>
        <n v="-1070.0"/>
        <n v="547.0"/>
        <n v="439.0"/>
        <n v="-1315.0"/>
        <n v="1183.0"/>
        <n v="2579.0"/>
        <n v="43.0"/>
        <n v="-4168.0"/>
        <n v="14.0"/>
        <n v="7847.0"/>
        <n v="1204.8819119025304"/>
        <n v="80.0"/>
        <n v="1439.295051353875"/>
        <n v="113.0"/>
        <n v="5143.0"/>
        <n v="3013.0"/>
        <n v="-1440.0"/>
        <n v="314.0"/>
        <n v="2081.0"/>
        <n v="-75.0"/>
        <n v="5640.0"/>
        <n v="-822.0"/>
        <n v="989.0"/>
        <n v="101.0"/>
        <n v="483.0"/>
        <n v="1613.0"/>
        <n v="820.0"/>
        <n v="7012.0"/>
        <n v="1545.0"/>
        <n v="958.0"/>
        <n v="-1962.0"/>
        <n v="-6566.0"/>
        <n v="743.0"/>
        <n v="-1248.0"/>
        <n v="-193.0"/>
        <n v="2302.0"/>
        <n v="4655.0"/>
        <n v="1580.0"/>
        <n v="299.0"/>
        <n v="8587.0"/>
        <n v="1297.0"/>
        <n v="-536.0"/>
        <n v="119.0"/>
        <n v="601.0"/>
        <n v="-991.0"/>
        <n v="-456.0"/>
        <n v="-242.0"/>
        <n v="-324.0"/>
        <n v="2541.0"/>
        <n v="2360.0"/>
        <n v="-1172.0"/>
        <n v="396.0"/>
        <n v="-3026.0"/>
        <n v="-951.0"/>
        <n v="-430.0"/>
        <n v="-591.0"/>
        <n v="-1855.0"/>
        <n v="-887.0"/>
        <n v="-1105.0"/>
        <n v="1034.0"/>
        <n v="-508.0"/>
        <n v="12658.0"/>
        <n v="-3700.0"/>
        <n v="3882.0"/>
        <n v="-2505.0"/>
        <n v="-7539.0"/>
        <n v="3869.0"/>
        <n v="1693.0"/>
        <n v="7671.0"/>
        <n v="-395.0"/>
        <n v="446.0"/>
        <n v="-3408.0"/>
        <n v="-223.0"/>
        <n v="-5540.0"/>
        <n v="-1612.0"/>
        <n v="6157.0"/>
        <n v="-688.0"/>
        <n v="-994.0"/>
        <n v="230.0"/>
        <n v="7159.0"/>
        <n v="-183.0"/>
        <n v="9219.0"/>
        <n v="398.0"/>
        <n v="-680.0"/>
        <n v="-1316.0"/>
        <n v="-559.0"/>
        <n v="-2679.0"/>
        <n v="1615.0"/>
        <n v="-1548.0"/>
        <n v="-2042.0"/>
        <n v="-1930.0"/>
        <n v="-427.0"/>
        <n v="-123.0"/>
        <n v="-1537.0"/>
        <n v="5773.0"/>
        <n v="2356.0"/>
        <n v="-14486.0"/>
        <n v="568.0"/>
        <n v="406.0"/>
        <n v="-605.0"/>
        <n v="10551.0"/>
        <n v="688.0"/>
        <n v="10246.0"/>
        <n v="-1636.0"/>
        <n v="-755.0"/>
        <n v="245.0"/>
        <n v="-1667.0"/>
        <n v="-1773.0"/>
        <n v="3330.0"/>
        <n v="596.0"/>
        <n v="-5589.0"/>
        <n v="13107.0"/>
        <n v="-2001.0"/>
        <n v="4412.0"/>
        <n v="1129.0"/>
        <n v="34872.0"/>
        <n v="2796.0"/>
        <n v="246.0"/>
        <n v="-469.0"/>
        <n v="-1119.0"/>
        <n v="2131.0"/>
        <n v="2377.0"/>
        <n v="779.0"/>
        <n v="-161.0"/>
        <n v="2243.0"/>
        <n v="1281.0"/>
        <n v="2042.0"/>
        <n v="1782.0"/>
        <n v="1935.0"/>
        <n v="10832.0"/>
        <n v="286.0"/>
        <n v="2221.8599999999997"/>
        <n v="6170.41"/>
        <n v="11596.649999999994"/>
        <n v="2088.0"/>
        <n v="10554.0"/>
        <n v="78.0"/>
        <n v="717.3699999999999"/>
        <n v="422.0"/>
        <n v="-236.0"/>
        <n v="-511.0"/>
        <n v="7972.0"/>
        <n v="14950.0"/>
        <n v="-1000.0"/>
        <n v="2100.0"/>
        <n v="4500.0"/>
        <n v="3500.0"/>
        <n v="-2000.0"/>
        <n v="-500.0"/>
        <n v="1385.0"/>
        <n v="-400.0"/>
        <n v="1501.0"/>
        <n v="-117.0"/>
        <n v="3010.4700000000003"/>
        <n v="-3900.0"/>
        <n v="-370.15000000000003"/>
        <n v="94.15"/>
        <n v="46.900000000000006"/>
        <n v="1675.0850000000003"/>
        <n v="2.45"/>
        <n v="1.05"/>
        <n v="1269.8000000000002"/>
        <n v="-899.0600000000001"/>
        <n v="1035.65"/>
        <n v="427.70000000000005"/>
        <n v="1282.26"/>
        <n v="490.00000000000006"/>
        <n v="407.75000000000006"/>
        <n v="2601.0"/>
        <n v="-50.0"/>
        <n v="2116.0"/>
        <n v="-415.0"/>
        <n v="-150.0"/>
        <n v="29468.0"/>
        <n v="-11585.0"/>
        <n v="-934.0"/>
        <n v="-1709.0"/>
        <n v="1397.0"/>
        <n v="-592.0"/>
        <n v="-4235.759999999998"/>
        <n v="-3763.0"/>
        <n v="-130.0"/>
        <n v="3324.99"/>
        <n v="-2100.0"/>
        <n v="3800.0"/>
        <n v="-222.0"/>
        <n v="-380.0"/>
        <n v="2404.0"/>
        <n v="-1225.0"/>
        <n v="-4.6085"/>
        <n v="270.4447"/>
        <n v="594.0"/>
        <n v="757.0"/>
        <n v="2808.46"/>
        <n v="-1338.0"/>
        <n v="887.0"/>
        <n v="11.75"/>
        <n v="269.8"/>
        <n v="2572.5"/>
        <n v="1257.0"/>
        <n v="0.2839999999999998"/>
        <n v="-201.98999999999995"/>
        <n v="-2600.46"/>
        <n v="76.0"/>
        <n v="4154.0"/>
        <n v="161.37784143627636"/>
        <n v="-30.6250495639122"/>
        <n v="-336.3551099460655"/>
        <n v="98.79726233077996"/>
        <n v="-3546.420254214985"/>
        <n v="-2832.5894008599867"/>
        <n v="-12092.643705992592"/>
        <n v="1889.5570142948045"/>
        <n v="-428.78140386889555"/>
        <n v="-57.004867586619326"/>
        <n v="16242.687673971199"/>
        <n v="7949.0"/>
        <n v="2362.0"/>
        <n v="26784.0"/>
        <n v="-1309.0"/>
        <n v="-1027.0"/>
        <n v="-3301.0"/>
        <n v="1332.0"/>
        <n v="4610.0"/>
        <n v="6543.0"/>
        <n v="250.0"/>
        <n v="-149.0"/>
        <n v="5419.0"/>
        <n v="3395.0"/>
        <n v="853.0"/>
        <n v="1668.0"/>
        <n v="-1591.0"/>
        <n v="1119.0"/>
        <n v="1840.0"/>
        <n v="2077.0"/>
        <n v="1715.3199999999997"/>
        <n v="5392.0"/>
        <n v="10228.66"/>
        <n v="-475.0"/>
        <n v="3098.25"/>
        <n v="2718.0"/>
        <n v="2783.16"/>
        <n v="18.200000000000003"/>
        <n v="981.0"/>
        <n v="5724.0"/>
      </sharedItems>
    </cacheField>
    <cacheField name="Exchange Rate" numFmtId="165">
      <sharedItems containsString="0" containsBlank="1" containsNumber="1">
        <n v="1.0"/>
        <n v="0.97"/>
        <n v="0.98"/>
        <n v="1.052"/>
        <n v="1.021"/>
        <n v="1.004"/>
        <n v="1.075"/>
        <m/>
        <n v="1.07"/>
        <n v="1.062"/>
        <n v="1.067"/>
        <n v="1.071"/>
        <n v="1.055"/>
        <n v="1.086"/>
        <n v="1.053"/>
        <n v="1.061"/>
        <n v="1.0617"/>
        <n v="1.08"/>
        <n v="1.05"/>
        <n v="0.015"/>
        <n v="0.016"/>
        <n v="0.014"/>
        <n v="1.024"/>
        <n v="1.028"/>
        <n v="0.935"/>
        <n v="0.979"/>
        <n v="1.06"/>
      </sharedItems>
    </cacheField>
    <cacheField name="ABI" numFmtId="1">
      <sharedItems containsString="0" containsBlank="1" containsNumber="1">
        <n v="8.17"/>
        <n v="10.0"/>
        <n v="11.42804391217565"/>
        <n v="10.920875054418808"/>
        <n v="10.88274044795784"/>
        <n v="12.88600794206961"/>
        <n v="14.41670582706767"/>
        <n v="15.0669099756691"/>
        <n v="27.49137931034483"/>
        <n v="17.516129032258064"/>
        <n v="16.99367088607595"/>
        <n v="13.09375"/>
        <m/>
        <n v="15.374762808349146"/>
        <n v="20.63326653306613"/>
        <n v="18.24397638423488"/>
        <n v="20.0"/>
        <n v="50.0"/>
        <n v="30.912901723334887"/>
        <n v="27.384162784996324"/>
        <n v="76.07259482542075"/>
        <n v="95.45768218456983"/>
        <n v="75.0"/>
        <n v="95.44159544159544"/>
        <n v="93.85964912280701"/>
        <n v="50.01993355481728"/>
        <n v="49.88480697384807"/>
        <n v="49.32706340197827"/>
        <n v="48.87223735997578"/>
        <n v="49.47622214832059"/>
        <n v="41.34696016771488"/>
        <n v="49.824876515491695"/>
        <n v="25.0"/>
        <n v="25.0373599003736"/>
        <n v="30.19148936170213"/>
        <n v="49.76780185758514"/>
        <n v="49.647887323943664"/>
        <n v="27.072653884964684"/>
        <n v="48.60864941510103"/>
        <n v="82.0617059891107"/>
        <n v="72.4418955629339"/>
        <n v="37.32526141992295"/>
        <n v="46.54329608938548"/>
        <n v="43.526543878656554"/>
        <n v="59.40509231326173"/>
        <n v="54.81700753498385"/>
        <n v="9.997255762897915"/>
        <n v="9.996677740863788"/>
        <n v="9.993552546744036"/>
        <n v="9.98654467168999"/>
        <n v="9.997893850042123"/>
        <n v="9.650107991360692"/>
        <n v="9.9801521667218"/>
        <n v="9.996614759647935"/>
        <n v="9.998196898665705"/>
        <n v="23.487133984028393"/>
        <n v="8.136015092502435"/>
        <n v="9.946798266730863"/>
        <n v="8.86807804404145"/>
        <n v="38.88557057529079"/>
        <n v="20.403768506056526"/>
        <n v="10.962177121771218"/>
        <n v="5.0"/>
        <n v="4.987021857923497"/>
        <n v="5.005353319057816"/>
        <n v="9.91701244813278"/>
        <n v="9.964739069111424"/>
        <n v="5.383752803388986"/>
        <n v="9.993270524899058"/>
        <n v="9.996375498368975"/>
        <n v="24.536822603056972"/>
        <n v="24.9818676337262"/>
        <n v="12.72369407648088"/>
        <n v="19.994596541786745"/>
        <n v="21.0"/>
        <n v="20.86070591164692"/>
        <n v="12.0"/>
        <n v="9.391069012178619"/>
        <n v="9.501039501039502"/>
        <n v="11.946107784431138"/>
        <n v="9.932960893854748"/>
        <n v="9.446826758147512"/>
        <n v="9.820592823712948"/>
        <n v="9.880336351875808"/>
        <n v="9.78818998716303"/>
        <n v="8.557312252964428"/>
        <n v="8.743256743256744"/>
        <n v="12.92317708"/>
        <n v="13.449229553536151"/>
        <n v="147.51"/>
        <n v="13.0"/>
        <n v="9.679789298586083"/>
        <n v="8.25864276568502"/>
        <n v="46.78102189781022"/>
        <n v="22.48961218836565"/>
        <n v="9.996059544658493"/>
        <n v="9.987228607918263"/>
        <n v="7.74"/>
        <n v="49.968936953520476"/>
        <n v="147.5306203"/>
        <n v="29.40107393638992"/>
        <n v="20.415667466027177"/>
        <n v="47.0827201217965"/>
        <n v="24.29418831656405"/>
        <n v="24.6878612716763"/>
        <n v="4.71"/>
        <n v="19.86"/>
        <n v="11.71"/>
        <n v="27.338282078472957"/>
        <n v="25.06013229104029"/>
        <n v="26.84250764525994"/>
        <n v="23.3980490874764"/>
        <n v="18.89"/>
        <n v="20.820623342175065"/>
        <n v="146.82203389830508"/>
        <n v="18.475536992840095"/>
        <n v="36.57524613220816"/>
        <n v="9.74414155906265"/>
        <n v="11.483812949640289"/>
        <n v="7.948541461815798"/>
        <n v="19.89311163895487"/>
        <n v="9.997160704"/>
        <n v="8.816886726893676"/>
        <n v="26.776094759511846"/>
      </sharedItems>
    </cacheField>
    <cacheField name="ABI Won" numFmtId="1">
      <sharedItems containsString="0" containsBlank="1" containsNumber="1">
        <n v="132.53"/>
        <n v="17.7"/>
        <n v="84.17888550244959"/>
        <n v="9.43147865777698"/>
        <n v="222.92179176755448"/>
        <n v="301.87782108220796"/>
        <n v="279.8836328077252"/>
        <n v="218.82389987888578"/>
        <n v="4.365004703668864"/>
        <n v="-27.40388581952118"/>
        <n v="8.2"/>
        <n v="19.301303538175045"/>
        <n v="3.5894988066825775"/>
        <m/>
        <n v="60.553779697624186"/>
        <n v="-151.89063714063715"/>
        <n v="-7.4"/>
        <n v="0.1"/>
        <n v="75.1"/>
        <n v="61.26"/>
        <n v="324.0"/>
        <n v="134.14"/>
        <n v="12.82"/>
        <n v="100.31410275726985"/>
        <n v="96.33305282005371"/>
        <n v="175.2405058693391"/>
        <n v="22.68"/>
        <n v="1.6666666666666667"/>
        <n v="9.75465671641791"/>
        <n v="2.663551401869159"/>
        <n v="-18.492627523910734"/>
        <n v="-25.759345940210945"/>
        <n v="-129.23939842209072"/>
        <n v="-77.221756233545"/>
        <n v="5.052932280289027"/>
        <n v="154.59419444796552"/>
        <n v="-57.963013698630135"/>
        <n v="13.0"/>
        <n v="19.4"/>
        <n v="3.8"/>
        <n v="50.68"/>
        <n v="24.52"/>
        <n v="1.34"/>
        <n v="29.8"/>
        <n v="2.56"/>
        <n v="2.44"/>
        <n v="32.35165381745834"/>
        <n v="16.892177589852007"/>
        <n v="-13.64"/>
        <n v="-4.802301710730949"/>
        <n v="-6.002269503546099"/>
        <n v="68.03913675500391"/>
        <n v="89.09936918869644"/>
        <n v="38.19077317763624"/>
        <n v="7.688920833333333"/>
        <n v="65.0"/>
        <n v="67.52852213053262"/>
        <n v="55.32"/>
        <n v="93.73590541381456"/>
        <n v="25.570198460257167"/>
        <n v="27.03540500736377"/>
        <n v="38.510568213011254"/>
        <n v="58.01927550681289"/>
        <n v="4.37"/>
        <n v="101.73689032605766"/>
        <n v="27.5"/>
        <n v="88.4"/>
        <n v="26.528200537153086"/>
        <n v="72.44378521710308"/>
        <n v="146.9"/>
        <n v="142.8"/>
        <n v="132.44483576024382"/>
        <n v="35.0"/>
        <n v="84.2151848512173"/>
        <n v="0.38"/>
        <n v="35.15"/>
        <n v="27.44601757060916"/>
        <n v="53.4"/>
        <n v="75.0"/>
        <n v="29.97"/>
        <n v="336.0"/>
        <n v="356.85"/>
        <n v="33.48"/>
        <n v="-27.93601583113457"/>
        <n v="41.5"/>
        <n v="-69.23807119414289"/>
        <n v="3.0"/>
        <n v="47.12231201205314"/>
        <n v="101.0"/>
        <n v="153.03614973262032"/>
        <n v="35.393723849372385"/>
        <n v="107.1"/>
        <n v="-30.005803255484786"/>
        <n v="221.22115251099282"/>
        <n v="166.1117845117845"/>
        <n v="251.79126178390135"/>
        <n v="353.3"/>
        <n v="44.01547899952808"/>
        <n v="51.91765559789512"/>
        <n v="27.16"/>
        <n v="33.35"/>
        <n v="89.7"/>
        <n v="60.71640392757409"/>
        <n v="305.2"/>
        <n v="60.42"/>
        <n v="101.5"/>
        <n v="42.3806916426513"/>
        <n v="94.83172866520786"/>
        <n v="98.94436090225564"/>
        <n v="78.72778402699663"/>
        <n v="181.11901951883794"/>
        <n v="28.61334392374901"/>
        <n v="66.19207855973814"/>
        <n v="41.06990163934426"/>
        <n v="22.43695150115473"/>
        <n v="32.82529707495429"/>
        <n v="18.6"/>
        <n v="568.1497632"/>
        <n v="79.67801718020543"/>
        <n v="41.48936545240893"/>
        <n v="85.0"/>
        <n v="4.0"/>
        <n v="97.41947586996992"/>
        <n v="5.28"/>
        <n v="11.48"/>
        <n v="38.0"/>
        <n v="143.9295051353875"/>
        <n v="176.48"/>
        <n v="19.37364341085271"/>
        <n v="45.16"/>
        <n v="-10.025432984865033"/>
        <n v="213.0"/>
        <n v="105.69324095458045"/>
        <n v="61.72432219350883"/>
        <n v="224.58682864450128"/>
        <n v="129.1"/>
        <n v="81.68"/>
        <n v="230.2325581395349"/>
        <n v="38.72405774411162"/>
        <n v="73.42204606"/>
        <n v="9.727535824669852"/>
        <n v="222.18599999999998"/>
        <n v="102.27"/>
        <n v="224.16"/>
        <n v="4.5"/>
        <n v="7.8"/>
        <n v="96.58146279"/>
        <n v="328.1443239066605"/>
        <n v="39.89815031608523"/>
        <n v="148.4687425"/>
        <n v="48.19808417"/>
        <n v="85.22883747090769"/>
        <n v="101.79515296940612"/>
        <n v="56.85012816861293"/>
        <n v="24.4998"/>
        <n v="152.14943718984924"/>
        <n v="110.0956935"/>
        <n v="75.7"/>
        <n v="70.62516697189267"/>
        <n v="88.7"/>
        <n v="160.5"/>
        <n v="54.14037518037518"/>
        <n v="127.8447279186178"/>
        <n v="133.2"/>
        <n v="126.04153047490867"/>
        <n v="23.92"/>
        <n v="10.159950920245398"/>
        <n v="74.27846515270164"/>
        <n v="66.72"/>
        <n v="29.0"/>
        <n v="166.19401261803637"/>
        <n v="73.6"/>
        <n v="343.06399999999996"/>
        <n v="112.75259701492537"/>
        <n v="140.06799999999998"/>
        <n v="98.1278614"/>
        <n v="57.27645320197044"/>
        <n v="-74.43206404444075"/>
      </sharedItems>
    </cacheField>
    <cacheField name="Coaching Cut % (3/4)">
      <sharedItems containsBlank="1" containsMixedTypes="1" containsNumber="1">
        <n v="0.17"/>
        <n v="0.3"/>
        <n v="0.23"/>
        <e v="#N/A"/>
        <n v="0.2"/>
        <n v="0.15"/>
        <n v="0.12"/>
        <m/>
        <n v="0.22"/>
        <n v="0.26"/>
        <n v="0.25"/>
        <n v="0.35"/>
        <n v="0.1"/>
        <n v="0.1875"/>
        <n v="0.06"/>
        <n v="0.19"/>
        <n v="0.1125"/>
        <n v="0.09"/>
        <n v="0.0"/>
        <n v="0.16"/>
        <b v="0"/>
      </sharedItems>
    </cacheField>
    <cacheField name="Stacking Cut % (1/4)">
      <sharedItems containsBlank="1" containsMixedTypes="1" containsNumber="1">
        <n v="0.0"/>
        <e v="#N/A"/>
        <n v="0.05"/>
        <m/>
        <n v="0.06"/>
        <n v="0.1"/>
        <n v="0.0625"/>
        <n v="0.12"/>
        <n v="0.0375"/>
        <n v="0.03"/>
        <n v="0.22"/>
        <n v="0.15"/>
      </sharedItems>
    </cacheField>
    <cacheField name="Player Cut">
      <sharedItems containsBlank="1" containsMixedTypes="1" containsNumber="1">
        <n v="0.0"/>
        <n v="332.0"/>
        <n v="568.55"/>
        <n v="-0.83"/>
        <n v="-1.66"/>
        <n v="2.49"/>
        <n v="123.9"/>
        <n v="-30.03"/>
        <n v="677.6"/>
        <n v="4.62"/>
        <n v="88.55"/>
        <n v="466.20000000000005"/>
        <n v="-397.6"/>
        <n v="0.7"/>
        <n v="2.8"/>
        <n v="1442.54"/>
        <n v="9.129999999999999"/>
        <n v="561.91"/>
        <n v="2630.27"/>
        <n v="602.5799999999999"/>
        <n v="-4.15"/>
        <n v="2412.81"/>
        <n v="957.8199999999999"/>
        <n v="1.66"/>
        <n v="-19.09"/>
        <n v="-3.32"/>
        <e v="#N/A"/>
        <n v="47.2"/>
        <n v="18.4"/>
        <n v="52.0"/>
        <n v="210.4"/>
        <n v="31.2"/>
        <n v="6.4"/>
        <n v="-580.0"/>
        <n v="-71.0"/>
        <n v="931.25"/>
        <n v="-159.16"/>
        <n v="111.412"/>
        <n v="207.708"/>
        <n v="-237.14000000000001"/>
        <n v="-64.72"/>
        <n v="-897.888"/>
        <n v="47.952"/>
        <n v="145.48"/>
        <n v="-69.52000000000001"/>
        <n v="-92.0"/>
        <n v="32.8"/>
        <n v="578.27"/>
        <n v="-649.11"/>
        <n v="591.36"/>
        <n v="1778.6999999999998"/>
        <n v="5378.4"/>
        <n v="5902.16"/>
        <n v="-7206.5"/>
        <n v="2519.3"/>
        <n v="5225.5"/>
        <n v="2086.62"/>
        <n v="487.21"/>
        <m/>
        <n v="2306.15"/>
        <n v="-274.89"/>
        <n v="27.2"/>
        <n v="473.59999999999997"/>
        <n v="2204.0"/>
        <n v="84.8"/>
        <n v="-235.20000000000002"/>
        <n v="-97.60000000000001"/>
        <n v="1119.2"/>
        <n v="4.8"/>
        <n v="2436.0"/>
        <n v="451.2"/>
        <n v="26.400000000000002"/>
        <n v="164.0"/>
        <n v="-4.8"/>
        <n v="-36.800000000000004"/>
        <n v="255.2"/>
        <n v="2364.0"/>
        <n v="128.79999999999998"/>
        <n v="258.40000000000003"/>
        <n v="-678.4"/>
        <n v="40.0"/>
        <n v="1607.2"/>
        <n v="5544.8"/>
        <n v="192.0"/>
        <n v="-0.7999999999999999"/>
        <n v="-16.8"/>
        <n v="1807.2"/>
        <n v="1572.8"/>
        <n v="124.0"/>
        <n v="2355.2000000000003"/>
        <n v="-112.8"/>
        <n v="-587.1999999999999"/>
        <n v="-488.8"/>
        <n v="5070.400000000001"/>
        <n v="8548.0"/>
        <n v="88.0"/>
        <n v="5634.400000000001"/>
        <n v="-4.0"/>
        <n v="3978.4"/>
        <n v="-3.1999999999999997"/>
        <n v="-121.6"/>
        <n v="2573.6"/>
        <n v="-57.6"/>
        <n v="4756.0"/>
        <n v="2000.8"/>
        <n v="7481.599999999999"/>
        <n v="5176.8"/>
        <n v="3011.2000000000003"/>
        <n v="498.4"/>
        <n v="566.4"/>
        <n v="-788.8000000000001"/>
        <n v="3120.7999999999997"/>
        <n v="1312.8"/>
        <n v="-2850.4"/>
        <n v="3.9"/>
        <n v="26.52"/>
        <n v="259.74"/>
        <n v="27.3"/>
        <n v="10076.82"/>
        <n v="-6626.1"/>
        <n v="-2.34"/>
        <n v="72.53999999999999"/>
        <n v="-0.39"/>
        <n v="-3.9"/>
        <n v="-1131.0"/>
        <n v="12914.46"/>
        <n v="-161.46"/>
        <n v="50.7"/>
        <n v="46.8"/>
        <n v="-209.82"/>
        <n v="936.0"/>
        <n v="728.52"/>
        <n v="-533.52"/>
        <n v="-213.86"/>
        <n v="-486.18"/>
        <n v="15.54"/>
        <n v="-71.03999999999999"/>
        <n v="-823.62"/>
        <n v="7.4"/>
        <n v="-63.64"/>
        <n v="952.38"/>
        <n v="-5669.88"/>
        <n v="-1663.52"/>
        <n v="-1243.2"/>
        <n v="150.22"/>
        <n v="-36.26"/>
        <n v="-49.58"/>
        <n v="234.57999999999998"/>
        <n v="4212.78"/>
        <n v="611.52"/>
        <n v="161.46"/>
        <n v="-2010.58"/>
        <n v="-126.53999999999999"/>
        <n v="-275.8"/>
        <n v="457.8"/>
        <n v="339.5"/>
        <n v="-54.6"/>
        <n v="121.1"/>
        <n v="886.9000000000001"/>
        <n v="429.1"/>
        <n v="278.0"/>
        <n v="-97.0"/>
        <n v="-85.4"/>
        <n v="132.3"/>
        <n v="521.5"/>
        <n v="44.8"/>
        <n v="42.7"/>
        <n v="418.6"/>
        <n v="7.0"/>
        <n v="-3.5"/>
        <n v="144.9"/>
        <n v="-123.2"/>
        <n v="480.20000000000005"/>
        <n v="-238.7"/>
        <n v="11.1"/>
        <n v="-187.95999999999998"/>
        <n v="25.16"/>
        <n v="-245.68"/>
        <n v="495.2"/>
        <n v="-13.6"/>
        <n v="40.8"/>
        <n v="373.0"/>
        <n v="1717.0"/>
        <n v="234.4"/>
        <n v="175.2"/>
        <n v="8836.0"/>
        <n v="1549.55"/>
        <n v="59.5"/>
        <n v="324.7"/>
        <n v="753.6"/>
        <n v="-24.8"/>
        <n v="1057.6"/>
        <n v="-11184.0"/>
        <n v="27417.0"/>
        <n v="-7536.0"/>
        <n v="438.75"/>
        <n v="-366.75"/>
        <n v="-2779.0"/>
        <n v="805.0"/>
        <n v="-6546.0"/>
        <n v="-4903.2"/>
        <n v="78.4"/>
        <n v="-3386.75"/>
        <n v="-2234.125"/>
        <n v="-1229.125"/>
        <n v="174.4"/>
        <n v="608.0"/>
        <n v="53.5744"/>
        <n v="987.864"/>
        <n v="290.25"/>
        <n v="119.25"/>
        <n v="288.0"/>
        <n v="594.75"/>
        <n v="-1997.25"/>
        <n v="67.5"/>
        <n v="252.0"/>
        <n v="169.7"/>
        <n v="1023.0"/>
        <n v="1621.0"/>
        <n v="466.132"/>
        <n v="-385.05"/>
        <n v="-22.95"/>
        <n v="226.95"/>
        <n v="2.1"/>
        <n v="261.1"/>
        <n v="6.300000000000001"/>
        <n v="403.20000000000005"/>
        <n v="-62.3"/>
        <n v="-1.4"/>
        <n v="-148.4"/>
        <n v="303.8"/>
        <n v="5.25"/>
        <n v="756.75"/>
        <n v="-88.2"/>
        <n v="476.70000000000005"/>
        <n v="618.8"/>
        <n v="-28.0"/>
        <n v="207.2"/>
        <n v="499.1"/>
        <n v="1101.75"/>
        <n v="1071.0"/>
        <n v="-2.25"/>
        <n v="995.25"/>
        <n v="-644.0"/>
        <n v="885.5"/>
        <n v="589.4"/>
        <n v="-170.10000000000002"/>
        <n v="26.6"/>
        <n v="156.10000000000002"/>
        <n v="-32.9"/>
        <n v="-166.60000000000002"/>
        <n v="100.80000000000001"/>
        <n v="-184.8"/>
        <n v="-0.7"/>
        <n v="64.4"/>
        <n v="202.3"/>
        <n v="-2.1"/>
        <n v="130.2"/>
        <n v="373.8"/>
        <n v="-54.67"/>
        <n v="-74.69"/>
        <n v="-168.63"/>
        <n v="0.77"/>
        <n v="-1316.7"/>
        <n v="3563.0"/>
        <n v="286.3"/>
        <n v="5913.6"/>
        <n v="6280.56"/>
        <n v="7304.0"/>
        <n v="14.4"/>
        <n v="-17.599999999999998"/>
        <n v="1096.8"/>
        <n v="1325.6000000000001"/>
        <n v="384.8"/>
        <n v="256.0"/>
        <n v="21.599999999999998"/>
        <n v="7404.0"/>
        <n v="-15.2"/>
        <n v="19832.8"/>
        <n v="-5.6000000000000005"/>
        <n v="1632.8"/>
        <n v="398.40000000000003"/>
        <n v="-891.8"/>
        <n v="255.5"/>
        <n v="2042.6"/>
        <n v="-504.0"/>
        <n v="105.0"/>
        <n v="581.0"/>
        <n v="7.7"/>
        <n v="-277.9"/>
        <n v="-322.0"/>
        <n v="10.5"/>
        <n v="170.10000000000002"/>
        <n v="-5.6"/>
        <n v="378.75"/>
        <n v="575.25"/>
        <n v="-0.75"/>
        <n v="246.4"/>
        <n v="808.5"/>
        <n v="-5.25"/>
        <n v="-207.2"/>
        <n v="872.25"/>
        <n v="21.0"/>
        <n v="1.5"/>
        <n v="1243.5"/>
        <n v="9.75"/>
        <n v="1878.0"/>
        <n v="2649.75"/>
        <n v="19.0"/>
        <n v="38.0"/>
        <n v="785.0"/>
        <n v="-4.2"/>
        <n v="854.0"/>
        <n v="475.3"/>
        <n v="159.60000000000002"/>
        <n v="-220.5"/>
        <n v="-2.8"/>
        <n v="262.5"/>
        <n v="-255.5"/>
        <n v="945.0"/>
        <n v="672.75"/>
        <n v="1746.6778"/>
        <n v="3391.8088"/>
        <n v="66.22800000000001"/>
        <n v="930.9300000000001"/>
        <n v="3.8499999999999996"/>
        <n v="-88.0"/>
        <n v="2.64"/>
        <n v="974.16"/>
        <n v="5593.28"/>
        <n v="2319.68"/>
        <n v="1.54"/>
        <n v="36.19"/>
        <n v="-1528.45"/>
        <n v="34.65"/>
        <n v="1212.75"/>
        <n v="145.53"/>
        <n v="-783.09"/>
        <n v="3093.86"/>
        <n v="721.49"/>
        <n v="-23.87"/>
        <n v="-694.54"/>
        <n v="-656.81"/>
        <n v="-1.54"/>
        <n v="2531.76"/>
        <n v="696.85"/>
        <n v="2.31"/>
        <n v="-5.81"/>
        <n v="336.15"/>
        <n v="-27.72"/>
        <n v="821.59"/>
        <n v="6.16"/>
        <n v="595.98"/>
        <n v="14.11"/>
        <n v="1406.02"/>
        <n v="233.8"/>
        <n v="-34.3"/>
        <n v="20.02"/>
        <n v="483.56"/>
        <n v="30.8"/>
        <n v="287.0"/>
        <n v="-36.4"/>
        <n v="22.4"/>
        <n v="112.0"/>
        <n v="140.7"/>
        <n v="-75.6"/>
        <n v="5.6"/>
        <n v="75.0"/>
        <n v="950.0"/>
        <n v="215.0"/>
        <n v="1.0"/>
        <n v="281.0"/>
        <n v="354.0"/>
        <n v="42.0"/>
        <n v="3719.2"/>
        <n v="603.0675"/>
        <n v="-444.35625000000005"/>
        <n v="1336.8"/>
        <n v="395.2955"/>
        <n v="2569.1577"/>
        <n v="-1842.0"/>
        <n v="-14.9"/>
        <n v="775.26"/>
        <n v="131.0"/>
        <n v="1067.0"/>
        <n v="372.0"/>
        <n v="188.0"/>
        <n v="435.0"/>
        <n v="583.0"/>
        <n v="653.0"/>
        <n v="294.0"/>
        <n v="-207.5"/>
        <n v="945.37"/>
        <n v="13.28"/>
        <n v="74.0"/>
        <n v="195.0"/>
        <n v="214.0"/>
        <n v="50.629999999999995"/>
        <n v="-20.75"/>
        <n v="220.0"/>
        <n v="18.0"/>
        <n v="600.0"/>
        <n v="193.625"/>
        <n v="1252.0"/>
        <n v="-6569.0"/>
        <n v="-6215.0"/>
        <n v="3052.0"/>
        <n v="3237.0"/>
        <n v="4464.0"/>
        <n v="379.0"/>
        <n v="-5206.0"/>
        <n v="-2924.0"/>
        <n v="4921.111999999999"/>
        <n v="1533.8018307189545"/>
        <n v="557.0"/>
        <n v="-243.0"/>
        <n v="-381.1875"/>
        <n v="1104.5"/>
        <n v="-936.375"/>
        <n v="-316.22525"/>
        <n v="-392.0"/>
        <n v="-2317.0"/>
        <n v="888.0"/>
        <n v="13.7161"/>
        <n v="-113.71"/>
        <n v="-5.1"/>
        <n v="1513.0"/>
        <n v="1824.95"/>
        <n v="-5.4"/>
        <n v="1963.8"/>
        <n v="2035.8"/>
        <n v="640.05"/>
        <n v="1706.8"/>
        <n v="44.2"/>
        <n v="950.25"/>
        <n v="-83.25"/>
        <n v="501.75"/>
        <n v="-177.75"/>
        <n v="278.25"/>
        <n v="1912.5"/>
        <n v="5915.25"/>
        <n v="-102.0"/>
        <n v="5670.0"/>
        <n v="4436.25"/>
        <n v="1371.0"/>
        <n v="2.25"/>
        <n v="159.75"/>
        <n v="567.0"/>
        <n v="3180.75"/>
        <n v="8853.0"/>
        <n v="2640.0"/>
        <n v="948.0"/>
        <n v="226.5"/>
        <n v="8993.25"/>
        <n v="4416.75"/>
        <n v="3007.5"/>
        <n v="151.5"/>
        <n v="-146.25"/>
        <n v="-41.25"/>
        <n v="1268.25"/>
        <n v="-2353.5"/>
        <n v="5499.75"/>
        <n v="2604.75"/>
        <n v="1527.0"/>
        <n v="5486.0"/>
        <n v="465.0"/>
        <n v="-9.0"/>
        <n v="-2757.0"/>
        <n v="3912.0"/>
        <n v="-1215.0"/>
        <n v="-5985.75"/>
        <n v="63.75"/>
        <n v="117.75"/>
        <n v="1338.0"/>
        <n v="271.5"/>
        <n v="-3076.5"/>
        <n v="-12192.75"/>
        <n v="-2181.0"/>
        <n v="1023.75"/>
        <n v="-174.75"/>
        <n v="13979.25"/>
        <n v="19395.75"/>
        <n v="9333.75"/>
        <n v="-2731.5"/>
        <n v="913.5"/>
        <n v="22.8"/>
        <n v="-226.1"/>
        <n v="-711.75"/>
        <n v="92.4"/>
        <n v="200.9"/>
        <n v="331.0"/>
        <n v="-153.0"/>
        <n v="-382.0"/>
        <n v="194.0"/>
        <n v="4568.219999999999"/>
        <n v="-3130.76"/>
        <n v="9361.12"/>
        <n v="5929.42"/>
        <n v="5052.0"/>
        <n v="734.0"/>
        <n v="-2744.0"/>
        <n v="382.0"/>
        <n v="1170.0"/>
        <n v="5921.0"/>
        <n v="11444.0"/>
        <n v="-12532.0"/>
        <n v="-7565.0"/>
        <n v="3529.0"/>
        <n v="-6855.0"/>
        <n v="-627.0"/>
        <n v="685.0"/>
        <n v="8859.0"/>
        <n v="-4691.0"/>
        <n v="3948.0"/>
        <n v="1443.0"/>
        <n v="12045.0"/>
        <n v="-2103.0"/>
        <n v="8338.0"/>
        <n v="-567.8"/>
        <n v="3907.45"/>
        <n v="-48.0"/>
        <n v="65.6"/>
        <n v="420.0"/>
        <n v="1352.8"/>
        <n v="-1.6"/>
        <n v="-214.4"/>
        <n v="1458.31"/>
        <n v="1326.0"/>
        <n v="-67.0"/>
        <n v="370.0"/>
        <n v="16.0"/>
        <n v="15.0"/>
        <n v="197.0"/>
        <n v="56.0"/>
        <n v="380.0"/>
        <n v="27.0"/>
        <n v="12.0"/>
        <n v="987.0"/>
        <n v="32.0"/>
        <n v="111.0"/>
        <n v="206.0"/>
        <n v="399.0"/>
        <n v="1118.0"/>
        <n v="-5.0"/>
        <n v="24.0"/>
        <n v="-49.0"/>
        <n v="-353.0"/>
        <n v="1216.0"/>
        <n v="-873.0"/>
        <n v="229.0"/>
        <n v="6.0"/>
        <n v="-1.0"/>
        <n v="1427.0"/>
        <n v="263.94"/>
        <n v="365.2"/>
        <n v="33.2"/>
        <n v="231.76999999999998"/>
        <n v="257.18"/>
        <n v="60.83"/>
        <n v="3.0"/>
        <n v="2635.0"/>
        <n v="207.0"/>
        <n v="-37.0"/>
        <n v="816.0"/>
        <n v="83.0"/>
        <n v="2686.0"/>
        <n v="2010.0"/>
        <n v="-788.0"/>
        <n v="4312.0"/>
        <n v="-2092.0"/>
        <n v="3786.0"/>
        <n v="565.0"/>
        <n v="989.0"/>
        <n v="5920.0"/>
        <n v="753.0"/>
        <n v="1616.0"/>
        <n v="2.0"/>
        <n v="-19.0"/>
        <n v="350.0"/>
        <n v="-407.0"/>
        <n v="1471.0"/>
        <n v="1.62"/>
        <n v="4392.63"/>
        <n v="75.33"/>
        <n v="4475.25"/>
        <n v="4715.82"/>
        <n v="5.67"/>
        <n v="-4247.64"/>
        <n v="4222.53"/>
        <n v="2464.02"/>
        <n v="964.71"/>
        <n v="-669.06"/>
        <n v="7999.5599999999995"/>
        <n v="-2101.95"/>
        <n v="1608.6599999999999"/>
        <n v="953.37"/>
        <n v="3.24"/>
        <n v="-4816.26"/>
        <n v="13254.84"/>
        <n v="-779.22"/>
        <n v="-515.97"/>
        <n v="-4661.55"/>
        <n v="2069.55"/>
        <n v="4613.76"/>
        <n v="5271.48"/>
        <n v="812.4300000000001"/>
        <n v="-0.2025"/>
        <n v="-1578.69"/>
        <n v="1480.68"/>
        <n v="463.32"/>
        <n v="-3291.0299999999997"/>
        <n v="-38.879999999999995"/>
        <n v="-195.21"/>
        <n v="-13.77"/>
        <n v="-56.7"/>
        <n v="1739.88"/>
        <n v="1166.4"/>
        <n v="6.48"/>
        <n v="226.8"/>
        <n v="4.05"/>
        <n v="44.55"/>
        <n v="-6115.5"/>
        <n v="3290.2200000000003"/>
        <n v="622.0799999999999"/>
        <n v="11493.9"/>
        <n v="-3096.63"/>
        <n v="473.20000000000005"/>
        <n v="-141.4"/>
        <n v="1273.5"/>
        <n v="-11.25"/>
        <n v="411.0"/>
        <n v="-509.25"/>
        <n v="1103.25"/>
        <n v="120.75"/>
        <n v="1825.5"/>
        <n v="1242.0"/>
        <n v="914.25"/>
        <n v="-9.75"/>
        <n v="1683.75"/>
        <n v="-92.4"/>
        <n v="218.4"/>
        <n v="-0.175"/>
        <n v="137.2"/>
        <n v="-354.20000000000005"/>
        <n v="4.9"/>
        <n v="437.5"/>
        <n v="1439.9"/>
        <n v="-374.5"/>
        <n v="-109.9"/>
        <n v="649.6"/>
        <n v="2258.2"/>
        <n v="-2061.5"/>
        <n v="1455.82"/>
        <n v="213.31"/>
        <n v="102.2"/>
        <n v="277.9"/>
        <n v="11.2"/>
        <n v="-17.5"/>
        <n v="1437.56"/>
        <n v="440.73"/>
        <n v="63.91"/>
        <n v="331.1"/>
        <n v="23.87"/>
        <n v="846.23"/>
        <n v="1555.525"/>
        <n v="-7886.512500000001"/>
        <n v="24529.25"/>
        <n v="204.725"/>
        <n v="-808.5875"/>
        <n v="-41.5875"/>
        <n v="-35.6"/>
        <n v="-675.8375"/>
        <n v="163.1375"/>
        <n v="2490.2"/>
        <n v="-218.58749999999998"/>
        <n v="5270.075"/>
        <n v="924.925"/>
        <n v="1158.2625"/>
        <n v="-105.025"/>
        <n v="7789.775"/>
        <n v="557.95"/>
        <n v="5069.675"/>
        <n v="-1103.5875"/>
        <n v="318.4"/>
        <n v="275.0375"/>
        <n v="7421.025"/>
        <n v="321.95"/>
        <n v="5500.8625"/>
        <n v="348.7875"/>
        <n v="215.14999999999998"/>
        <n v="45.1375"/>
        <n v="6581.05"/>
        <n v="302.7625"/>
        <n v="11604.8125"/>
        <n v="1173.0125"/>
        <n v="71.975"/>
        <n v="334.925"/>
        <n v="2096.1625"/>
        <n v="52.9"/>
        <n v="5581.6"/>
        <n v="425.2"/>
        <n v="19.075"/>
        <n v="19.92"/>
        <n v="2800.42"/>
        <n v="-128.65"/>
        <n v="760.28"/>
        <n v="1730.55"/>
        <n v="-12.75"/>
        <n v="0.5625"/>
        <n v="11.25"/>
        <n v="66.0"/>
        <n v="253.5"/>
        <n v="105.75"/>
        <n v="-0.5625"/>
        <n v="-174.0"/>
        <n v="-16.5"/>
        <n v="34.5"/>
        <n v="456.0"/>
        <n v="31.54"/>
        <n v="80.50999999999999"/>
        <n v="1440.05"/>
        <n v="1856.71"/>
        <n v="1855.05"/>
        <n v="652.38"/>
        <n v="270.58"/>
        <n v="150.23"/>
        <n v="2078.32"/>
        <n v="-422.47"/>
        <n v="-6.0"/>
        <n v="156.0"/>
        <n v="-1.5"/>
        <n v="-308.25"/>
        <n v="938.25"/>
        <n v="17.25"/>
        <n v="-458.25"/>
        <n v="1752.0"/>
        <n v="-404.25"/>
        <n v="-1316.25"/>
        <n v="14.25"/>
        <n v="406.5"/>
        <n v="-231.75"/>
        <n v="-10.5"/>
        <n v="6.75"/>
        <n v="1476.0"/>
        <n v="-207.75"/>
        <n v="3.75"/>
        <n v="2811.75"/>
        <n v="-15.75"/>
        <n v="873.75"/>
        <n v="21.58"/>
        <n v="219.95"/>
        <n v="595.94"/>
        <n v="1931.4099999999999"/>
        <n v="8.3"/>
        <n v="14.950000000000001"/>
        <n v="-21.450000000000003"/>
        <n v="-36.400000000000006"/>
        <n v="115.7"/>
        <n v="1053.0"/>
        <n v="43.55"/>
        <n v="-495.95"/>
        <n v="-81.25"/>
        <n v="7.15"/>
        <n v="0.65"/>
        <n v="2.6"/>
        <n v="-3.25"/>
        <n v="340.5"/>
        <n v="364.98"/>
        <n v="16.939999999999998"/>
        <n v="-271.03999999999996"/>
        <n v="1414.32"/>
        <n v="240.7"/>
        <n v="0.8"/>
        <n v="476.0"/>
        <n v="-53.6"/>
        <n v="4.199999999999999"/>
        <n v="5.6000000000000005"/>
        <n v="513.8000000000001"/>
        <n v="-16.099999999999998"/>
        <n v="265.3"/>
        <n v="20.299999999999997"/>
        <n v="25.55"/>
        <n v="1646.88"/>
        <n v="-46.72"/>
        <n v="143.38"/>
        <n v="70.71600000000001"/>
        <n v="-7.0"/>
        <n v="2187.5"/>
        <n v="907.4375"/>
        <n v="44.769999999999996"/>
        <n v="1099.2"/>
        <n v="322.0792"/>
        <n v="1246.1970000000001"/>
        <n v="163.5"/>
        <n v="570.0"/>
        <n v="994.3741"/>
        <n v="-1064.0"/>
        <n v="303.75"/>
        <n v="1984.8"/>
        <n v="1170.6"/>
        <n v="-0.8000000000000003"/>
        <n v="255.4"/>
        <n v="-801.3"/>
        <n v="54.75"/>
        <n v="239.44"/>
        <n v="-100.4102775"/>
        <n v="3663.62"/>
        <n v="106.24"/>
        <n v="284.69"/>
        <n v="268.92"/>
        <n v="468.95"/>
        <n v="92.13"/>
        <n v="-162.53300000000002"/>
        <n v="1416.8"/>
        <n v="25.52"/>
        <n v="7260.88"/>
        <n v="549.12"/>
        <n v="-5230.72"/>
        <n v="-509.52"/>
        <n v="9116.800000000001"/>
        <n v="10035.519999999999"/>
        <n v="14982.0"/>
        <n v="321.2"/>
        <n v="5390.88"/>
        <n v="43.120000000000005"/>
        <n v="8795.6"/>
        <n v="-5598.56"/>
        <n v="62.48"/>
        <n v="2874.08"/>
        <n v="3578.08"/>
        <n v="-190.08"/>
        <n v="1148.3999999999999"/>
        <n v="139.04"/>
        <n v="16792.16"/>
        <n v="261.0"/>
        <n v="403.0"/>
        <n v="-62.0"/>
        <n v="-148.0"/>
        <n v="304.0"/>
        <n v="5.0"/>
        <n v="757.0"/>
        <n v="-3.0"/>
        <n v="477.0"/>
        <n v="663.0"/>
        <n v="499.0"/>
        <n v="1102.0"/>
        <n v="-2.0"/>
        <n v="995.0"/>
        <n v="885.0"/>
        <n v="632.0"/>
        <n v="-170.0"/>
        <n v="82.39"/>
        <n v="609.84"/>
        <n v="665.28"/>
        <n v="-875.49"/>
        <n v="-358.16"/>
        <n v="845.6800000000001"/>
        <n v="821.92"/>
        <n v="6176.72"/>
        <n v="-14.96"/>
        <n v="107.25"/>
        <n v="364.5"/>
        <n v="217.5"/>
        <n v="773.25"/>
        <n v="-233.25"/>
        <n v="336.0"/>
        <n v="-63.0"/>
        <n v="184.8"/>
        <n v="166.60000000000002"/>
        <n v="723.75"/>
        <n v="167.25"/>
        <n v="75.66"/>
        <n v="56.94"/>
        <n v="1808.04"/>
        <n v="899.34"/>
        <n v="6.24"/>
        <n v="-118.56"/>
        <n v="96.6"/>
        <n v="-364.0"/>
        <n v="-1897.7"/>
        <n v="2427.6000000000004"/>
        <n v="1321.32"/>
        <n v="74.1"/>
        <n v="-299.52"/>
        <n v="-248.82"/>
        <n v="-44.46"/>
        <n v="69.42"/>
        <n v="-147.42000000000002"/>
        <n v="10.14"/>
        <n v="-10.92"/>
        <n v="2038.92"/>
        <n v="1302.6"/>
        <n v="-507.0"/>
        <n v="198.8"/>
        <n v="-59.5"/>
        <n v="1.05"/>
        <n v="-1.225"/>
        <n v="472.5"/>
        <n v="18.75"/>
        <n v="1200.0"/>
        <n v="265.5"/>
        <n v="-31.5"/>
        <n v="572.52"/>
        <n v="451.62"/>
        <n v="556.92"/>
        <n v="910.26"/>
        <n v="-18.72"/>
        <n v="678.6"/>
        <n v="2219.88"/>
        <n v="465.5"/>
        <n v="-1010.8"/>
        <n v="942.2"/>
        <n v="51.1"/>
        <n v="986.3"/>
        <n v="-132.3"/>
        <n v="311.25"/>
        <n v="488.25"/>
        <n v="197.25"/>
        <n v="541.5"/>
        <n v="852.0"/>
        <n v="-39.75"/>
        <n v="239.4"/>
        <n v="9.36"/>
        <n v="1174.68"/>
        <n v="1220.7"/>
        <n v="592.8"/>
        <n v="1404.0"/>
        <n v="190.0"/>
        <n v="1028.0"/>
        <n v="-201.0"/>
        <n v="2328.0"/>
        <n v="17.0"/>
        <n v="-621.0"/>
        <n v="794.0"/>
        <n v="122.0"/>
        <n v="-50.0"/>
        <n v="4.0"/>
        <n v="-556.0"/>
        <n v="22.0"/>
        <n v="553.0"/>
        <n v="60.0"/>
        <n v="50.0"/>
        <n v="28.0"/>
        <n v="1713.0"/>
        <n v="-0.5"/>
        <n v="-347.0"/>
        <n v="517.0"/>
        <n v="875.0"/>
        <n v="761.0"/>
        <n v="605.0"/>
        <n v="514.0"/>
        <n v="-8.0"/>
        <n v="132.0"/>
        <n v="1686.0"/>
        <n v="-118.0"/>
        <n v="249.0"/>
        <n v="389.0"/>
        <n v="-35.0"/>
        <n v="1673.0"/>
        <n v="464.0"/>
        <n v="-40.0"/>
        <n v="-81.0"/>
        <n v="-7.5"/>
        <n v="-79.5"/>
        <n v="-563.25"/>
        <n v="1156.5"/>
        <n v="491.25"/>
        <n v="180.0"/>
        <n v="146.25"/>
        <n v="-180.75"/>
        <n v="132.75"/>
        <n v="1429.5"/>
        <n v="-27.75"/>
        <n v="243.75"/>
        <n v="-0.7958000000000001"/>
        <n v="-317.5"/>
        <n v="138.0"/>
        <n v="-541.495"/>
        <n v="-2651.8422"/>
        <n v="88.5"/>
        <n v="16891.0"/>
        <n v="15015.0"/>
        <n v="44.0"/>
        <n v="-1039.0"/>
        <n v="-73.9"/>
        <n v="-216.0"/>
        <n v="-1490.9225"/>
        <n v="221.25"/>
        <n v="12397.6"/>
        <n v="-18.0"/>
        <n v="3210.0"/>
        <n v="1810.5"/>
        <n v="267.75"/>
        <n v="5434.5"/>
        <n v="1194.0"/>
        <n v="-31.200000000000003"/>
        <n v="237.9"/>
        <n v="1768.65"/>
        <n v="-695.5"/>
        <n v="-0.65"/>
        <n v="-28.22"/>
        <n v="454.01"/>
        <n v="364.37"/>
        <n v="-1091.45"/>
        <n v="324.53"/>
        <n v="981.89"/>
        <n v="2140.57"/>
        <n v="32.25"/>
        <n v="-3126.0"/>
        <n v="5885.25"/>
        <n v="843.4173383317714"/>
        <n v="59.97599999999999"/>
        <n v="1194.614892623716"/>
        <n v="84.3375"/>
        <n v="4268.69"/>
        <n v="77.19"/>
        <n v="2320.01"/>
        <n v="-1108.8"/>
        <n v="219.8"/>
        <n v="-23.1"/>
        <n v="1519.13"/>
        <n v="-54.75"/>
        <n v="4117.2"/>
        <n v="12.41"/>
        <n v="3.5"/>
        <n v="-575.4"/>
        <n v="692.3"/>
        <n v="70.7"/>
        <n v="4.2"/>
        <n v="338.1"/>
        <n v="1451.7"/>
        <n v="738.0"/>
        <n v="6310.8"/>
        <n v="1390.5"/>
        <n v="862.2"/>
        <n v="-1765.8"/>
        <n v="-5909.4"/>
        <n v="668.7"/>
        <n v="-1123.2"/>
        <n v="-173.7"/>
        <n v="-3.6"/>
        <n v="2071.8"/>
        <n v="-48.6"/>
        <n v="4189.5"/>
        <n v="1422.0"/>
        <n v="1808.1"/>
        <n v="269.1"/>
        <n v="7728.3"/>
        <n v="1167.3"/>
        <n v="0.9"/>
        <n v="-482.4"/>
        <n v="107.1"/>
        <n v="540.9"/>
        <n v="-891.9"/>
        <n v="-410.4"/>
        <n v="-217.8"/>
        <n v="-291.6"/>
        <n v="2286.9"/>
        <n v="2124.0"/>
        <n v="-1054.8"/>
        <n v="356.4"/>
        <n v="-2723.4"/>
        <n v="-855.9"/>
        <n v="-387.0"/>
        <n v="-531.9"/>
        <n v="270.9"/>
        <n v="-1669.5"/>
        <n v="-798.3"/>
        <n v="-994.5"/>
        <n v="-0.9"/>
        <n v="930.6"/>
        <n v="-457.2"/>
        <n v="11392.2"/>
        <n v="-3330.0"/>
        <n v="3493.8"/>
        <n v="-2254.5"/>
        <n v="-6785.1"/>
        <n v="3482.1"/>
        <n v="1523.7"/>
        <n v="156.6"/>
        <n v="6903.9"/>
        <n v="-355.5"/>
        <n v="401.4"/>
        <n v="11.7"/>
        <n v="-3067.2"/>
        <n v="-200.7"/>
        <n v="-4986.0"/>
        <n v="-1450.8"/>
        <n v="5541.3"/>
        <n v="-619.2"/>
        <n v="-894.6"/>
        <n v="6443.1"/>
        <n v="-164.7"/>
        <n v="8297.1"/>
        <n v="358.2"/>
        <n v="-530.4"/>
        <n v="-1026.48"/>
        <n v="349.44"/>
        <n v="-436.02"/>
        <n v="-2089.62"/>
        <n v="1259.7"/>
        <n v="-1207.44"/>
        <n v="-1592.76"/>
        <n v="-109.98"/>
        <n v="1113.84"/>
        <n v="-1505.4"/>
        <n v="-333.06"/>
        <n v="-95.94"/>
        <n v="49.92"/>
        <n v="-1198.8600000000001"/>
        <n v="4502.9400000000005"/>
        <n v="1837.6799999999998"/>
        <n v="-11299.08"/>
        <n v="295.62"/>
        <n v="443.04"/>
        <n v="316.68"/>
        <n v="-0.78"/>
        <n v="-471.9"/>
        <n v="225.42000000000002"/>
        <n v="8229.78"/>
        <n v="113.88"/>
        <n v="536.64"/>
        <n v="3.12"/>
        <n v="7991.88"/>
        <n v="-1276.08"/>
        <n v="-641.75"/>
        <n v="208.25"/>
        <n v="83.3"/>
        <n v="-1416.95"/>
        <n v="-1507.05"/>
        <n v="2830.5"/>
        <n v="506.6"/>
        <n v="-4750.65"/>
        <n v="11140.95"/>
        <n v="-1600.8"/>
        <n v="3661.96"/>
        <n v="790.3000000000001"/>
        <n v="29641.2"/>
        <n v="2376.6"/>
        <n v="209.1"/>
        <n v="-510.0"/>
        <n v="-347.06"/>
        <n v="-895.1999999999999"/>
        <n v="1811.35"/>
        <n v="1972.9099999999999"/>
        <n v="599.8299999999999"/>
        <n v="-123.97"/>
        <n v="1682.25"/>
        <n v="960.75"/>
        <n v="7.5"/>
        <n v="1592.76"/>
        <n v="278.74"/>
        <n v="1479.06"/>
        <n v="1431.9"/>
        <n v="9748.8"/>
        <n v="200.2"/>
        <n v="1666.3949999999998"/>
        <n v="5429.9608"/>
        <n v="9277.319999999994"/>
        <n v="1733.04"/>
        <n v="9287.52"/>
        <n v="36.0"/>
        <n v="62.4"/>
        <n v="595.4170999999999"/>
        <n v="337.6"/>
        <n v="-165.0"/>
        <n v="94.0"/>
        <n v="7015.36"/>
        <n v="12109.5"/>
        <n v="-810.0"/>
        <n v="1701.0"/>
        <n v="3645.0"/>
        <n v="2835.0"/>
        <n v="-1620.0"/>
        <n v="-405.0"/>
        <n v="969.5"/>
        <n v="-280.0"/>
        <n v="-53.0"/>
        <n v="804.0"/>
        <n v="-97.11"/>
        <n v="-73.034"/>
        <n v="58.5"/>
        <n v="2107.329"/>
        <n v="-2730.0"/>
        <n v="1898.73"/>
        <n v="-36.5"/>
        <n v="1629.32"/>
        <n v="-19.25"/>
        <n v="-319.55"/>
        <n v="-115.5"/>
        <n v="22101.0"/>
        <n v="147.0"/>
        <n v="-8688.75"/>
        <n v="-700.5"/>
        <n v="-1281.75"/>
        <n v="1047.75"/>
        <n v="-444.0"/>
        <n v="-3600.395999999999"/>
        <n v="-3198.55"/>
        <n v="-32.5"/>
        <n v="-84.5"/>
        <n v="2327.493"/>
        <n v="-1470.0"/>
        <n v="3154.0"/>
        <n v="-45.65"/>
        <n v="73.03999999999999"/>
        <n v="7.47"/>
        <n v="-184.26"/>
        <n v="-315.4"/>
        <n v="1995.32"/>
        <n v="-1016.75"/>
        <n v="34.03"/>
        <n v="493.02"/>
        <n v="582.89"/>
        <n v="2162.5142"/>
        <n v="-1030.26"/>
        <n v="-8.3"/>
        <n v="736.21"/>
        <n v="1332.15"/>
        <n v="8.577499999999999"/>
        <n v="196.954"/>
        <n v="1877.9250000000002"/>
        <n v="879.9000000000001"/>
        <n v="115.5"/>
        <n v="51.4"/>
        <n v="3032.6"/>
        <n v="161.37784143627636"/>
        <n v="-30.6250495639122"/>
        <n v="-336.3551099460655"/>
        <n v="98.79726233077996"/>
        <n v="-3546.420254214985"/>
        <n v="-2832.5894008599867"/>
        <n v="-12092.643705992592"/>
        <n v="1889.5570142948045"/>
        <n v="-428.78140386889555"/>
        <n v="-57.004867586619326"/>
        <n v="16242.687673971199"/>
        <n v="7154.1"/>
        <n v="1960.46"/>
        <n v="22766.399999999998"/>
        <n v="-1112.6499999999999"/>
        <n v="-872.9499999999999"/>
        <n v="-2805.85"/>
        <n v="1105.56"/>
        <n v="3826.3"/>
        <n v="400.66"/>
        <n v="5234.400000000001"/>
        <n v="200.0"/>
        <n v="-105.0"/>
        <n v="-104.30000000000001"/>
        <n v="3793.3"/>
        <n v="2478.5"/>
        <n v="682.4"/>
        <n v="1167.6"/>
        <n v="-1113.7"/>
        <n v="928.77"/>
        <n v="1599.29"/>
        <n v="1423.7155999999998"/>
        <n v="4475.36"/>
        <n v="8182.928000000001"/>
        <n v="-394.25"/>
        <n v="2261.7225"/>
        <n v="2255.94"/>
        <n v="2310.0227999999997"/>
        <n v="735.75"/>
        <n v="388.85"/>
        <n v="4006.8"/>
      </sharedItems>
    </cacheField>
    <cacheField name="School Cut Coaching">
      <sharedItems containsMixedTypes="1" containsNumber="1">
        <n v="0.0"/>
        <n v="68.0"/>
        <n v="116.45"/>
        <n v="-0.17"/>
        <n v="-0.34"/>
        <n v="0.51"/>
        <n v="53.1"/>
        <n v="-8.97"/>
        <n v="202.4"/>
        <n v="1.3800000000000001"/>
        <n v="26.450000000000003"/>
        <n v="199.79999999999998"/>
        <n v="-170.4"/>
        <n v="0.3"/>
        <n v="1.2"/>
        <n v="295.46000000000004"/>
        <n v="1.87"/>
        <n v="115.09"/>
        <n v="538.73"/>
        <n v="123.42000000000002"/>
        <n v="-0.8500000000000001"/>
        <n v="494.19000000000005"/>
        <n v="196.18"/>
        <n v="0.34"/>
        <n v="-3.91"/>
        <n v="-0.68"/>
        <e v="#N/A"/>
        <n v="11.8"/>
        <n v="4.6000000000000005"/>
        <n v="13.0"/>
        <n v="52.6"/>
        <n v="7.800000000000001"/>
        <n v="1.6"/>
        <n v="-145.0"/>
        <n v="-18.0"/>
        <n v="236.75"/>
        <n v="-40.839999999999996"/>
        <n v="28.587999999999997"/>
        <n v="53.292"/>
        <n v="-60.85999999999999"/>
        <n v="-16.279999999999998"/>
        <n v="-227.11199999999997"/>
        <n v="12.048"/>
        <n v="36.52"/>
        <n v="-17.479999999999997"/>
        <n v="-23.0"/>
        <n v="8.2"/>
        <n v="172.73000000000002"/>
        <n v="-193.89000000000001"/>
        <n v="176.64000000000001"/>
        <n v="531.3000000000001"/>
        <n v="1101.6000000000001"/>
        <n v="804.8399999999999"/>
        <n v="-3088.5"/>
        <n v="1079.7"/>
        <n v="2239.5"/>
        <n v="427.38000000000005"/>
        <n v="99.79"/>
        <n v="-4000.0"/>
        <n v="688.85"/>
        <n v="-82.11"/>
        <n v="5.1"/>
        <n v="88.8"/>
        <n v="413.25"/>
        <n v="15.899999999999999"/>
        <n v="-44.1"/>
        <n v="-18.3"/>
        <n v="209.85"/>
        <n v="0.8999999999999999"/>
        <n v="456.75"/>
        <n v="84.6"/>
        <n v="4.95"/>
        <n v="30.75"/>
        <n v="-0.8999999999999999"/>
        <n v="-6.8999999999999995"/>
        <n v="47.85"/>
        <n v="443.25"/>
        <n v="24.15"/>
        <n v="48.449999999999996"/>
        <n v="-127.19999999999999"/>
        <n v="7.5"/>
        <n v="301.34999999999997"/>
        <n v="1039.6499999999999"/>
        <n v="36.0"/>
        <n v="-0.15"/>
        <n v="-3.15"/>
        <n v="338.84999999999997"/>
        <n v="294.9"/>
        <n v="23.25"/>
        <n v="441.59999999999997"/>
        <n v="-21.15"/>
        <n v="-110.1"/>
        <n v="-91.64999999999999"/>
        <n v="950.6999999999999"/>
        <n v="1602.75"/>
        <n v="16.5"/>
        <n v="1056.45"/>
        <n v="-0.75"/>
        <n v="745.9499999999999"/>
        <n v="-0.6"/>
        <n v="-22.8"/>
        <n v="482.54999999999995"/>
        <n v="-10.799999999999999"/>
        <n v="891.75"/>
        <n v="375.15"/>
        <n v="1402.8"/>
        <n v="970.65"/>
        <n v="564.6"/>
        <n v="93.45"/>
        <n v="106.2"/>
        <n v="-147.9"/>
        <n v="585.15"/>
        <n v="246.14999999999998"/>
        <n v="-534.4499999999999"/>
        <n v="1.1"/>
        <n v="7.48"/>
        <n v="73.26"/>
        <n v="7.7"/>
        <n v="2842.18"/>
        <n v="-1868.9"/>
        <n v="-0.66"/>
        <n v="20.46"/>
        <n v="-0.11"/>
        <n v="-1.1"/>
        <n v="-319.0"/>
        <n v="3642.54"/>
        <n v="-45.54"/>
        <n v="14.3"/>
        <n v="13.2"/>
        <n v="-59.18"/>
        <n v="264.0"/>
        <n v="205.48"/>
        <n v="-150.48"/>
        <n v="-75.14"/>
        <n v="-170.82"/>
        <n v="5.46"/>
        <n v="-24.96"/>
        <n v="-289.38"/>
        <n v="2.6"/>
        <n v="-22.36"/>
        <n v="334.62"/>
        <n v="-1992.1200000000001"/>
        <n v="-584.48"/>
        <n v="-436.8"/>
        <n v="52.78"/>
        <n v="-12.74"/>
        <n v="-17.42"/>
        <n v="82.42"/>
        <n v="1188.22"/>
        <n v="172.48"/>
        <n v="45.54"/>
        <n v="-706.4200000000001"/>
        <n v="-44.46"/>
        <n v="-118.19999999999999"/>
        <n v="196.2"/>
        <n v="145.5"/>
        <n v="-23.4"/>
        <n v="51.9"/>
        <n v="380.09999999999997"/>
        <n v="183.9"/>
        <n v="70.0"/>
        <n v="-24.0"/>
        <n v="-36.6"/>
        <n v="56.699999999999996"/>
        <n v="223.5"/>
        <n v="19.2"/>
        <n v="18.3"/>
        <n v="179.4"/>
        <n v="3.0"/>
        <n v="-1.5"/>
        <n v="62.099999999999994"/>
        <n v="-52.8"/>
        <n v="205.79999999999998"/>
        <n v="-102.3"/>
        <n v="3.9000000000000004"/>
        <n v="-66.04"/>
        <n v="8.84"/>
        <n v="-86.32000000000001"/>
        <n v="123.80000000000001"/>
        <n v="-3.4000000000000004"/>
        <n v="10.200000000000001"/>
        <n v="136.0"/>
        <n v="484.0"/>
        <n v="58.6"/>
        <n v="43.800000000000004"/>
        <n v="2492.0"/>
        <n v="273.45"/>
        <n v="10.5"/>
        <n v="57.3"/>
        <n v="188.4"/>
        <n v="-6.2"/>
        <n v="264.40000000000003"/>
        <n v="-2796.0"/>
        <n v="6854.0"/>
        <n v="-1884.0"/>
        <n v="146.25"/>
        <n v="-122.25"/>
        <n v="-695.0"/>
        <n v="201.0"/>
        <n v="-1636.0"/>
        <n v="-919.35"/>
        <n v="19.6"/>
        <n v="-1213.25"/>
        <n v="-815.875"/>
        <n v="-452.87500000000006"/>
        <n v="43.6"/>
        <n v="152.0"/>
        <n v="10.425600000000001"/>
        <n v="329.136"/>
        <n v="96.75"/>
        <n v="39.75"/>
        <n v="96.0"/>
        <n v="198.25"/>
        <n v="-665.75"/>
        <n v="22.5"/>
        <n v="84.0"/>
        <n v="62.300000000000004"/>
        <n v="341.0"/>
        <n v="332.0"/>
        <n v="121.86800000000001"/>
        <n v="-67.95"/>
        <n v="-4.05"/>
        <n v="40.05"/>
        <n v="111.89999999999999"/>
        <n v="2.6999999999999997"/>
        <n v="172.79999999999998"/>
        <n v="-26.7"/>
        <n v="-63.599999999999994"/>
        <n v="130.2"/>
        <n v="1.75"/>
        <n v="252.25"/>
        <n v="-37.8"/>
        <n v="204.29999999999998"/>
        <n v="265.2"/>
        <n v="-12.0"/>
        <n v="213.9"/>
        <n v="367.25"/>
        <n v="357.0"/>
        <n v="331.75"/>
        <n v="-276.0"/>
        <n v="379.5"/>
        <n v="252.6"/>
        <n v="-72.89999999999999"/>
        <n v="11.4"/>
        <n v="66.89999999999999"/>
        <n v="-14.1"/>
        <n v="-71.39999999999999"/>
        <n v="43.199999999999996"/>
        <n v="-79.2"/>
        <n v="-0.3"/>
        <n v="27.599999999999998"/>
        <n v="86.7"/>
        <n v="55.8"/>
        <n v="160.2"/>
        <n v="-16.330000000000002"/>
        <n v="-22.310000000000002"/>
        <n v="-50.370000000000005"/>
        <n v="0.23"/>
        <n v="-564.3"/>
        <n v="1527.0"/>
        <n v="122.69999999999999"/>
        <n v="806.4"/>
        <n v="856.4399999999999"/>
        <n v="1369.5"/>
        <n v="-3.3"/>
        <n v="205.65"/>
        <n v="248.54999999999998"/>
        <n v="72.14999999999999"/>
        <n v="48.0"/>
        <n v="4.05"/>
        <n v="1388.25"/>
        <n v="-2.85"/>
        <n v="3718.6499999999996"/>
        <n v="-1.05"/>
        <n v="306.15"/>
        <n v="74.7"/>
        <n v="-382.2"/>
        <n v="109.5"/>
        <n v="875.4"/>
        <n v="-216.0"/>
        <n v="45.0"/>
        <n v="249.0"/>
        <n v="3.3"/>
        <n v="-119.1"/>
        <n v="-138.0"/>
        <n v="4.5"/>
        <n v="72.89999999999999"/>
        <n v="-2.4"/>
        <n v="126.25"/>
        <n v="191.75"/>
        <n v="-0.25"/>
        <n v="105.6"/>
        <n v="269.5"/>
        <n v="-1.75"/>
        <n v="-88.8"/>
        <n v="290.75"/>
        <n v="7.0"/>
        <n v="0.5"/>
        <n v="414.5"/>
        <n v="3.25"/>
        <n v="626.0"/>
        <n v="883.25"/>
        <n v="5.0"/>
        <n v="11.0"/>
        <n v="222.0"/>
        <n v="-1.7999999999999998"/>
        <n v="366.0"/>
        <n v="83.0"/>
        <n v="203.7"/>
        <n v="68.39999999999999"/>
        <n v="-94.5"/>
        <n v="-1.2"/>
        <n v="112.5"/>
        <n v="-109.5"/>
        <n v="405.0"/>
        <n v="224.25"/>
        <n v="309.3222"/>
        <n v="849.1912"/>
        <n v="21.772"/>
        <n v="278.07"/>
        <n v="1.1500000000000001"/>
        <n v="0.36"/>
        <n v="132.84"/>
        <n v="762.72"/>
        <n v="316.32"/>
        <n v="0.46"/>
        <n v="10.81"/>
        <n v="-456.55"/>
        <n v="10.35"/>
        <n v="362.25"/>
        <n v="43.47"/>
        <n v="-233.91"/>
        <n v="924.14"/>
        <n v="215.51000000000002"/>
        <n v="-7.13"/>
        <n v="-207.46"/>
        <n v="-196.19"/>
        <n v="-0.46"/>
        <n v="756.24"/>
        <n v="208.15"/>
        <n v="0.6900000000000001"/>
        <n v="-1.1900000000000002"/>
        <n v="68.85000000000001"/>
        <n v="-8.280000000000001"/>
        <n v="245.41"/>
        <n v="1.84"/>
        <n v="178.02"/>
        <n v="2.89"/>
        <n v="287.98"/>
        <n v="100.2"/>
        <n v="-14.7"/>
        <n v="5.98"/>
        <n v="144.44"/>
        <n v="123.0"/>
        <n v="-15.6"/>
        <n v="9.6"/>
        <n v="60.3"/>
        <n v="-32.4"/>
        <n v="2.4"/>
        <n v="15.0"/>
        <n v="195.0"/>
        <n v="44.0"/>
        <n v="58.0"/>
        <n v="73.0"/>
        <n v="9.0"/>
        <n v="572.0"/>
        <n v="201.9325"/>
        <n v="-155.64374999999995"/>
        <n v="334.20000000000005"/>
        <n v="142.7045"/>
        <n v="466.84229999999997"/>
        <n v="-633.0"/>
        <n v="-4.0"/>
        <n v="180.54000000000002"/>
        <n v="27.0"/>
        <n v="219.0"/>
        <n v="124.0"/>
        <n v="63.0"/>
        <n v="89.0"/>
        <n v="120.0"/>
        <n v="218.0"/>
        <n v="98.0"/>
        <n v="-42.5"/>
        <n v="193.63"/>
        <n v="2.72"/>
        <n v="40.0"/>
        <n v="10.370000000000001"/>
        <n v="-4.25"/>
        <n v="55.0"/>
        <n v="150.0"/>
        <n v="70.375"/>
        <n v="353.0"/>
        <n v="-1853.0"/>
        <n v="-1554.0"/>
        <n v="763.0"/>
        <n v="809.0"/>
        <n v="1116.0"/>
        <n v="95.0"/>
        <n v="-1302.0"/>
        <n v="-548.25"/>
        <n v="1230.278"/>
        <n v="458.1485987861812"/>
        <n v="139.25"/>
        <n v="-61.0"/>
        <n v="-151.8125"/>
        <n v="391.5"/>
        <n v="-371.625"/>
        <n v="-116.77474999999998"/>
        <n v="-98.0"/>
        <n v="19.0"/>
        <n v="-579.0"/>
        <n v="2.2839"/>
        <n v="-23.290000000000003"/>
        <n v="267.0"/>
        <n v="322.05"/>
        <n v="-0.6000000000000001"/>
        <n v="218.20000000000002"/>
        <n v="226.20000000000002"/>
        <n v="112.95"/>
        <n v="301.2"/>
        <n v="7.8"/>
        <n v="316.75"/>
        <n v="-27.75"/>
        <n v="167.25"/>
        <n v="-44.4375"/>
        <n v="69.5625"/>
        <n v="478.125"/>
        <n v="1478.8125"/>
        <n v="-25.5"/>
        <n v="1417.5"/>
        <n v="1109.0625"/>
        <n v="342.75"/>
        <n v="0.5625"/>
        <n v="39.9375"/>
        <n v="141.75"/>
        <n v="795.1875"/>
        <n v="2213.25"/>
        <n v="660.0"/>
        <n v="237.0"/>
        <n v="56.625"/>
        <n v="2248.3125"/>
        <n v="1104.1875"/>
        <n v="751.875"/>
        <n v="37.875"/>
        <n v="-36.5625"/>
        <n v="-10.3125"/>
        <n v="317.0625"/>
        <n v="-588.375"/>
        <n v="1374.9375"/>
        <n v="651.1875"/>
        <n v="381.75"/>
        <n v="1100.0"/>
        <n v="116.25"/>
        <n v="-2.25"/>
        <n v="-689.25"/>
        <n v="978.0"/>
        <n v="-303.75"/>
        <n v="-1496.4375"/>
        <n v="15.9375"/>
        <n v="29.4375"/>
        <n v="334.5"/>
        <n v="67.875"/>
        <n v="-769.125"/>
        <n v="-3048.1875"/>
        <n v="-545.25"/>
        <n v="255.9375"/>
        <n v="-43.6875"/>
        <n v="3494.8125"/>
        <n v="4848.9375"/>
        <n v="2333.4375"/>
        <n v="-682.875"/>
        <n v="228.375"/>
        <n v="121.67"/>
        <n v="4.140000000000001"/>
        <n v="86.6318"/>
        <n v="40.098200000000006"/>
        <n v="88.28399999999999"/>
        <n v="40.116"/>
        <n v="130.05"/>
        <n v="97.92"/>
        <n v="6.0"/>
        <n v="-52.0"/>
        <n v="-263.25"/>
        <n v="39.6"/>
        <n v="86.1"/>
        <n v="-51.0"/>
        <n v="-127.0"/>
        <n v="65.0"/>
        <n v="334.26"/>
        <n v="-229.07999999999998"/>
        <n v="684.9599999999999"/>
        <n v="433.85999999999996"/>
        <n v="1482.0"/>
        <n v="129.0"/>
        <n v="-484.0"/>
        <n v="206.0"/>
        <n v="1045.0"/>
        <n v="2020.0"/>
        <n v="-2211.0"/>
        <n v="-1335.0"/>
        <n v="623.0"/>
        <n v="-1210.0"/>
        <n v="-111.0"/>
        <n v="121.0"/>
        <n v="1563.0"/>
        <n v="-828.0"/>
        <n v="697.0"/>
        <n v="255.0"/>
        <n v="2126.0"/>
        <n v="-371.0"/>
        <n v="1472.0"/>
        <n v="-100.2"/>
        <n v="689.55"/>
        <n v="16.400000000000002"/>
        <n v="105.0"/>
        <n v="1.4000000000000001"/>
        <n v="338.20000000000005"/>
        <n v="-0.4"/>
        <n v="-53.6"/>
        <n v="298.69"/>
        <n v="272.0"/>
        <n v="-28.0"/>
        <n v="-37.0"/>
        <n v="159.0"/>
        <n v="257.0"/>
        <n v="78.0"/>
        <n v="202.0"/>
        <n v="14.0"/>
        <n v="82.0"/>
        <n v="229.0"/>
        <n v="-2.0"/>
        <n v="-14.0"/>
        <n v="-106.0"/>
        <n v="363.0"/>
        <n v="-261.0"/>
        <n v="69.0"/>
        <n v="2.0"/>
        <n v="426.0"/>
        <n v="-1.0"/>
        <n v="54.06"/>
        <n v="74.80000000000001"/>
        <n v="6.800000000000001"/>
        <n v="69.23"/>
        <n v="76.82000000000001"/>
        <n v="18.17"/>
        <n v="1.0"/>
        <n v="540.0"/>
        <n v="62.0"/>
        <n v="240.0"/>
        <n v="-11.0"/>
        <n v="244.0"/>
        <n v="25.0"/>
        <n v="550.0"/>
        <n v="412.0"/>
        <n v="-161.0"/>
        <n v="883.0"/>
        <n v="-428.0"/>
        <n v="775.0"/>
        <n v="116.0"/>
        <n v="203.0"/>
        <n v="1213.0"/>
        <n v="154.0"/>
        <n v="331.0"/>
        <n v="72.0"/>
        <n v="-83.0"/>
        <n v="301.0"/>
        <n v="0.38"/>
        <n v="1030.3700000000001"/>
        <n v="17.67"/>
        <n v="1049.75"/>
        <n v="1106.18"/>
        <n v="1.33"/>
        <n v="-996.36"/>
        <n v="990.47"/>
        <n v="577.98"/>
        <n v="226.29"/>
        <n v="-156.94"/>
        <n v="1876.44"/>
        <n v="-493.05"/>
        <n v="377.34000000000003"/>
        <n v="223.63"/>
        <n v="0.76"/>
        <n v="-1129.74"/>
        <n v="3109.16"/>
        <n v="-182.78"/>
        <n v="-121.03"/>
        <n v="-1093.45"/>
        <n v="485.45"/>
        <n v="1082.24"/>
        <n v="1236.52"/>
        <n v="190.57"/>
        <n v="-0.0475"/>
        <n v="-370.31"/>
        <n v="347.32"/>
        <n v="108.68"/>
        <n v="-771.97"/>
        <n v="-9.120000000000001"/>
        <n v="-45.79"/>
        <n v="-3.23"/>
        <n v="-13.3"/>
        <n v="408.12"/>
        <n v="273.6"/>
        <n v="1.52"/>
        <n v="53.2"/>
        <n v="0.95"/>
        <n v="10.45"/>
        <n v="-1434.5"/>
        <n v="771.78"/>
        <n v="145.92000000000002"/>
        <n v="2696.1"/>
        <n v="-726.37"/>
        <n v="202.79999999999998"/>
        <n v="-60.599999999999994"/>
        <n v="424.5"/>
        <n v="-3.75"/>
        <n v="0.75"/>
        <n v="137.0"/>
        <n v="-169.75"/>
        <n v="367.75"/>
        <n v="40.25"/>
        <n v="608.5"/>
        <n v="414.0"/>
        <n v="304.75"/>
        <n v="-3.25"/>
        <n v="561.25"/>
        <n v="-39.6"/>
        <n v="93.6"/>
        <n v="-0.075"/>
        <n v="58.8"/>
        <n v="-151.79999999999998"/>
        <n v="2.1"/>
        <n v="187.5"/>
        <n v="617.1"/>
        <n v="-160.5"/>
        <n v="-47.1"/>
        <n v="278.4"/>
        <n v="967.8"/>
        <n v="-883.5"/>
        <n v="298.18"/>
        <n v="43.690000000000005"/>
        <n v="43.8"/>
        <n v="119.1"/>
        <n v="4.8"/>
        <n v="-7.5"/>
        <n v="294.44"/>
        <n v="90.27000000000001"/>
        <n v="19.09"/>
        <n v="98.9"/>
        <n v="7.13"/>
        <n v="252.77"/>
        <n v="254.475"/>
        <n v="-1290.4875"/>
        <n v="3741.75"/>
        <n v="31.275000000000002"/>
        <n v="-123.41250000000001"/>
        <n v="-6.4125000000000005"/>
        <n v="-5.4"/>
        <n v="-103.16250000000001"/>
        <n v="24.8625"/>
        <n v="379.8"/>
        <n v="-33.4125"/>
        <n v="803.9250000000001"/>
        <n v="141.07500000000002"/>
        <n v="176.7375"/>
        <n v="-15.975"/>
        <n v="1188.2250000000001"/>
        <n v="85.05"/>
        <n v="773.325"/>
        <n v="-168.4125"/>
        <n v="48.6"/>
        <n v="41.9625"/>
        <n v="1131.9750000000001"/>
        <n v="49.050000000000004"/>
        <n v="839.1375"/>
        <n v="53.2125"/>
        <n v="32.85"/>
        <n v="6.8625"/>
        <n v="1003.95"/>
        <n v="46.237500000000004"/>
        <n v="1770.1875"/>
        <n v="178.9875"/>
        <n v="11.025"/>
        <n v="51.075"/>
        <n v="319.83750000000003"/>
        <n v="8.1"/>
        <n v="851.4"/>
        <n v="64.8"/>
        <n v="2.9250000000000003"/>
        <n v="4.08"/>
        <n v="573.58"/>
        <n v="-26.35"/>
        <n v="155.72"/>
        <n v="354.45000000000005"/>
        <n v="0.1875"/>
        <n v="3.75"/>
        <n v="22.0"/>
        <n v="84.5"/>
        <n v="35.25"/>
        <n v="-0.1875"/>
        <n v="-58.0"/>
        <n v="-5.5"/>
        <n v="11.5"/>
        <n v="6.460000000000001"/>
        <n v="16.490000000000002"/>
        <n v="294.95000000000005"/>
        <n v="380.29"/>
        <n v="379.95000000000005"/>
        <n v="133.62"/>
        <n v="55.42"/>
        <n v="30.770000000000003"/>
        <n v="425.68"/>
        <n v="-86.53"/>
        <n v="52.0"/>
        <n v="-0.5"/>
        <n v="-102.75"/>
        <n v="312.75"/>
        <n v="5.75"/>
        <n v="-152.75"/>
        <n v="584.0"/>
        <n v="-134.75"/>
        <n v="-438.75"/>
        <n v="4.75"/>
        <n v="135.5"/>
        <n v="-77.25"/>
        <n v="-3.5"/>
        <n v="2.25"/>
        <n v="492.0"/>
        <n v="-69.25"/>
        <n v="1.25"/>
        <n v="937.25"/>
        <n v="-5.25"/>
        <n v="291.25"/>
        <n v="4.42"/>
        <n v="45.050000000000004"/>
        <n v="122.06"/>
        <n v="395.59000000000003"/>
        <n v="1.7000000000000002"/>
        <n v="8.049999999999999"/>
        <n v="-11.549999999999999"/>
        <n v="-19.599999999999998"/>
        <n v="62.3"/>
        <n v="567.0"/>
        <n v="23.45"/>
        <n v="-267.05"/>
        <n v="-43.75"/>
        <n v="3.8499999999999996"/>
        <n v="0.35"/>
        <n v="1.4"/>
        <n v="113.5"/>
        <n v="109.02000000000001"/>
        <n v="5.0600000000000005"/>
        <n v="-80.96000000000001"/>
        <n v="289.68"/>
        <n v="49.300000000000004"/>
        <n v="0.2"/>
        <n v="1.2000000000000002"/>
        <n v="119.0"/>
        <n v="-13.4"/>
        <n v="146.8"/>
        <n v="-4.6000000000000005"/>
        <n v="75.8"/>
        <n v="5.800000000000001"/>
        <n v="5.95"/>
        <n v="383.52000000000004"/>
        <n v="-10.88"/>
        <n v="49.22"/>
        <n v="18.284"/>
        <n v="337.0"/>
        <n v="306.5625"/>
        <n v="16.23"/>
        <n v="274.8"/>
        <n v="82.92080000000001"/>
        <n v="449.803"/>
        <n v="54.5"/>
        <n v="190.0"/>
        <n v="182.6259"/>
        <n v="-456.0"/>
        <n v="101.25"/>
        <n v="681.0"/>
        <n v="273.0"/>
        <n v="26.0"/>
        <n v="128.0"/>
        <n v="-186.0"/>
        <n v="20.25"/>
        <n v="55.760000000000005"/>
        <n v="-54.0670725"/>
        <n v="750.3800000000001"/>
        <n v="21.76"/>
        <n v="58.31"/>
        <n v="55.080000000000005"/>
        <n v="96.05000000000001"/>
        <n v="18.87"/>
        <n v="-54.467"/>
        <n v="144.9"/>
        <n v="2.61"/>
        <n v="742.5899999999999"/>
        <n v="56.16"/>
        <n v="-534.96"/>
        <n v="-52.11"/>
        <n v="932.4"/>
        <n v="1026.36"/>
        <n v="1532.25"/>
        <n v="551.34"/>
        <n v="4.41"/>
        <n v="899.55"/>
        <n v="-572.5799999999999"/>
        <n v="6.39"/>
        <n v="293.94"/>
        <n v="365.94"/>
        <n v="-19.439999999999998"/>
        <n v="117.44999999999999"/>
        <n v="14.219999999999999"/>
        <n v="1717.3799999999999"/>
        <n v="112.0"/>
        <n v="173.0"/>
        <n v="-27.0"/>
        <n v="-64.0"/>
        <n v="130.0"/>
        <n v="252.0"/>
        <n v="-38.0"/>
        <n v="204.0"/>
        <n v="221.0"/>
        <n v="214.0"/>
        <n v="367.0"/>
        <n v="380.0"/>
        <n v="210.0"/>
        <n v="-73.0"/>
        <n v="67.0"/>
        <n v="24.61"/>
        <n v="182.16"/>
        <n v="198.72"/>
        <n v="-261.51"/>
        <n v="-48.839999999999996"/>
        <n v="115.32"/>
        <n v="112.08"/>
        <n v="842.28"/>
        <n v="-2.04"/>
        <n v="-133.0"/>
        <n v="-46.0"/>
        <n v="232.0"/>
        <n v="54.0"/>
        <n v="442.0"/>
        <n v="134.0"/>
        <n v="-266.0"/>
        <n v="-76.0"/>
        <n v="-5.0"/>
        <n v="-668.0"/>
        <n v="-123.0"/>
        <n v="2533.0"/>
        <n v="358.0"/>
        <n v="32.0"/>
        <n v="354.0"/>
        <n v="521.0"/>
        <n v="4.0"/>
        <n v="35.75"/>
        <n v="121.5"/>
        <n v="72.5"/>
        <n v="257.75"/>
        <n v="-77.75"/>
        <n v="-21.0"/>
        <n v="79.2"/>
        <n v="71.39999999999999"/>
        <n v="241.25"/>
        <n v="55.75"/>
        <n v="21.34"/>
        <n v="16.06"/>
        <n v="509.96"/>
        <n v="253.66"/>
        <n v="1.76"/>
        <n v="-33.44"/>
        <n v="41.4"/>
        <n v="-156.0"/>
        <n v="-813.3"/>
        <n v="1040.3999999999999"/>
        <n v="372.68"/>
        <n v="20.9"/>
        <n v="-84.48"/>
        <n v="-70.18"/>
        <n v="-12.540000000000001"/>
        <n v="19.580000000000002"/>
        <n v="-41.58"/>
        <n v="2.86"/>
        <n v="-3.08"/>
        <n v="575.08"/>
        <n v="367.4"/>
        <n v="-143.0"/>
        <n v="85.2"/>
        <n v="0.44999999999999996"/>
        <n v="-0.525"/>
        <n v="157.5"/>
        <n v="6.25"/>
        <n v="400.0"/>
        <n v="88.5"/>
        <n v="-10.5"/>
        <n v="161.48"/>
        <n v="127.38"/>
        <n v="157.08"/>
        <n v="256.74"/>
        <n v="-5.28"/>
        <n v="191.4"/>
        <n v="626.12"/>
        <n v="199.5"/>
        <n v="-433.2"/>
        <n v="403.8"/>
        <n v="21.9"/>
        <n v="422.7"/>
        <n v="-56.699999999999996"/>
        <n v="103.75"/>
        <n v="162.75"/>
        <n v="65.75"/>
        <n v="180.5"/>
        <n v="284.0"/>
        <n v="-13.25"/>
        <n v="102.6"/>
        <n v="2.64"/>
        <n v="331.32"/>
        <n v="344.3"/>
        <n v="167.2"/>
        <n v="396.0"/>
        <n v="8.8"/>
        <n v="57.0"/>
        <n v="307.0"/>
        <n v="-60.0"/>
        <n v="477.0"/>
        <n v="163.0"/>
        <n v="-22.0"/>
        <n v="-237.0"/>
        <n v="10.0"/>
        <n v="236.0"/>
        <n v="12.0"/>
        <n v="352.0"/>
        <n v="-154.0"/>
        <n v="230.0"/>
        <n v="261.0"/>
        <n v="227.0"/>
        <n v="180.0"/>
        <n v="-110.0"/>
        <n v="1263.0"/>
        <n v="215.0"/>
        <n v="434.0"/>
        <n v="345.0"/>
        <n v="-6.0"/>
        <n v="74.0"/>
        <n v="-10.0"/>
        <n v="285.0"/>
        <n v="494.0"/>
        <n v="343.0"/>
        <n v="-8.0"/>
        <n v="-17.0"/>
        <n v="-2.5"/>
        <n v="-26.5"/>
        <n v="-187.75"/>
        <n v="385.5"/>
        <n v="163.75"/>
        <n v="60.0"/>
        <n v="48.75"/>
        <n v="-60.25"/>
        <n v="44.25"/>
        <n v="476.5"/>
        <n v="-9.25"/>
        <n v="131.25"/>
        <n v="-0.2042"/>
        <n v="-117.5"/>
        <n v="46.0"/>
        <n v="-185.505"/>
        <n v="-687.1578"/>
        <n v="29.5"/>
        <n v="4764.0"/>
        <n v="4235.0"/>
        <n v="-260.0"/>
        <n v="-79.0"/>
        <n v="-563.0775000000001"/>
        <n v="73.75"/>
        <n v="2324.5499999999997"/>
        <n v="1070.0"/>
        <n v="603.5"/>
        <n v="89.25"/>
        <n v="1811.5"/>
        <n v="398.0"/>
        <n v="-16.799999999999997"/>
        <n v="128.1"/>
        <n v="952.3499999999999"/>
        <n v="-374.5"/>
        <n v="-0.35"/>
        <n v="-5.78"/>
        <n v="92.99000000000001"/>
        <n v="74.63000000000001"/>
        <n v="-223.55"/>
        <n v="66.47"/>
        <n v="201.11"/>
        <n v="438.43"/>
        <n v="10.75"/>
        <n v="-1042.0"/>
        <n v="3.5"/>
        <n v="1961.75"/>
        <n v="361.4645735707591"/>
        <n v="25.704"/>
        <n v="244.68015873015875"/>
        <n v="28.6625"/>
        <n v="874.3100000000001"/>
        <n v="15.81"/>
        <n v="692.99"/>
        <n v="-331.2"/>
        <n v="94.2"/>
        <n v="-9.9"/>
        <n v="353.77000000000004"/>
        <n v="-12.750000000000002"/>
        <n v="958.8000000000001"/>
        <n v="1.5"/>
        <n v="-246.6"/>
        <n v="296.7"/>
        <n v="30.299999999999997"/>
        <n v="1.7999999999999998"/>
        <n v="161.3"/>
        <n v="701.2"/>
        <n v="154.5"/>
        <n v="95.80000000000001"/>
        <n v="-196.20000000000002"/>
        <n v="-656.6"/>
        <n v="74.3"/>
        <n v="-124.80000000000001"/>
        <n v="-19.3"/>
        <n v="230.20000000000002"/>
        <n v="465.5"/>
        <n v="158.0"/>
        <n v="200.9"/>
        <n v="29.900000000000002"/>
        <n v="858.7"/>
        <n v="129.70000000000002"/>
        <n v="0.1"/>
        <n v="11.9"/>
        <n v="60.1"/>
        <n v="-99.10000000000001"/>
        <n v="-45.6"/>
        <n v="-24.200000000000003"/>
        <n v="254.10000000000002"/>
        <n v="-117.2"/>
        <n v="-302.6"/>
        <n v="-95.10000000000001"/>
        <n v="-43.0"/>
        <n v="-59.1"/>
        <n v="30.1"/>
        <n v="-185.5"/>
        <n v="-88.7"/>
        <n v="-110.5"/>
        <n v="-0.1"/>
        <n v="103.4"/>
        <n v="-50.800000000000004"/>
        <n v="1265.8000000000002"/>
        <n v="-370.0"/>
        <n v="388.20000000000005"/>
        <n v="-250.5"/>
        <n v="-753.9000000000001"/>
        <n v="386.90000000000003"/>
        <n v="169.3"/>
        <n v="17.400000000000002"/>
        <n v="767.1"/>
        <n v="-39.5"/>
        <n v="44.6"/>
        <n v="1.3"/>
        <n v="-340.8"/>
        <n v="-22.3"/>
        <n v="-554.0"/>
        <n v="-161.20000000000002"/>
        <n v="615.7"/>
        <n v="-68.8"/>
        <n v="-99.4"/>
        <n v="23.0"/>
        <n v="715.9000000000001"/>
        <n v="921.9000000000001"/>
        <n v="39.800000000000004"/>
        <n v="-400.20000000000005"/>
        <n v="750.0400000000001"/>
        <n v="225.8"/>
        <n v="3923.1"/>
        <n v="314.55"/>
        <n v="27.675"/>
        <n v="-67.5"/>
        <n v="-121.94"/>
        <n v="-167.85"/>
        <n v="319.65"/>
        <n v="404.09000000000003"/>
        <n v="179.17000000000002"/>
        <n v="-37.03"/>
        <n v="560.75"/>
        <n v="320.25"/>
        <n v="2.5"/>
        <n v="449.24"/>
        <n v="83.26"/>
        <n v="302.94"/>
        <n v="503.1"/>
        <n v="1083.2"/>
        <n v="85.8"/>
        <n v="555.4649999999999"/>
        <n v="555.3369"/>
        <n v="1739.497499999999"/>
        <n v="354.96000000000004"/>
        <n v="1266.48"/>
        <n v="15.600000000000001"/>
        <n v="121.95289999999999"/>
        <n v="84.4"/>
        <n v="-16.0"/>
        <n v="-55.0"/>
        <n v="31.0"/>
        <n v="956.64"/>
        <n v="2840.5"/>
        <n v="-190.0"/>
        <n v="399.0"/>
        <n v="855.0"/>
        <n v="665.0"/>
        <n v="-380.0"/>
        <n v="-95.0"/>
        <n v="415.5"/>
        <n v="-120.0"/>
        <n v="268.0"/>
        <n v="-19.89"/>
        <n v="-39.32599999999999"/>
        <n v="31.499999999999996"/>
        <n v="903.1410000000001"/>
        <n v="-1170.0"/>
        <n v="442.17"/>
        <n v="-8.5"/>
        <n v="486.68"/>
        <n v="-5.75"/>
        <n v="-95.45"/>
        <n v="-34.5"/>
        <n v="5525.25"/>
        <n v="36.75"/>
        <n v="-2172.1875"/>
        <n v="-175.125"/>
        <n v="-320.4375"/>
        <n v="261.9375"/>
        <n v="-635.3639999999997"/>
        <n v="-564.4499999999999"/>
        <n v="-17.5"/>
        <n v="-45.5"/>
        <n v="997.4969999999998"/>
        <n v="-630.0"/>
        <n v="646.0"/>
        <n v="-9.350000000000001"/>
        <n v="14.96"/>
        <n v="1.53"/>
        <n v="-37.74"/>
        <n v="-64.60000000000001"/>
        <n v="408.68"/>
        <n v="-208.25000000000003"/>
        <n v="6.970000000000001"/>
        <n v="100.98"/>
        <n v="174.11"/>
        <n v="645.9458000000001"/>
        <n v="-307.74"/>
        <n v="-1.7000000000000002"/>
        <n v="150.79000000000002"/>
        <n v="272.85"/>
        <n v="1.9975"/>
        <n v="45.86600000000001"/>
        <n v="437.32500000000005"/>
        <n v="377.09999999999997"/>
        <n v="34.5"/>
        <n v="17.0"/>
        <n v="706.0"/>
        <n v="-164.2"/>
        <n v="794.9000000000001"/>
        <n v="401.54"/>
        <n v="3013.2000000000003"/>
        <n v="-147.26250000000002"/>
        <n v="-115.53750000000001"/>
        <n v="-371.3625"/>
        <n v="226.44000000000003"/>
        <n v="783.7"/>
        <n v="137.54"/>
        <n v="981.4499999999999"/>
        <n v="37.5"/>
        <n v="-45.0"/>
        <n v="-44.699999999999996"/>
        <n v="1625.7"/>
        <n v="577.0"/>
        <n v="170.60000000000002"/>
        <n v="500.4"/>
        <n v="-477.29999999999995"/>
        <n v="190.23000000000002"/>
        <n v="423.20000000000005"/>
        <n v="477.71000000000004"/>
        <n v="291.6044"/>
        <n v="916.6400000000001"/>
        <n v="1534.299"/>
        <n v="-80.75"/>
        <n v="526.7025"/>
        <n v="462.06000000000006"/>
        <n v="473.1372"/>
        <n v="245.25"/>
        <n v="116.15"/>
        <n v="1717.2"/>
      </sharedItems>
    </cacheField>
    <cacheField name="School Cut Backing">
      <sharedItems containsBlank="1" containsMixedTypes="1" containsNumber="1">
        <n v="0.0"/>
        <e v="#N/A"/>
        <m/>
        <n v="1.7000000000000002"/>
        <n v="29.6"/>
        <n v="137.75"/>
        <n v="5.300000000000001"/>
        <n v="-14.700000000000001"/>
        <n v="-6.1000000000000005"/>
        <n v="69.95"/>
        <n v="0.30000000000000004"/>
        <n v="152.25"/>
        <n v="28.200000000000003"/>
        <n v="1.6500000000000001"/>
        <n v="10.25"/>
        <n v="-0.30000000000000004"/>
        <n v="-2.3000000000000003"/>
        <n v="15.950000000000001"/>
        <n v="147.75"/>
        <n v="8.05"/>
        <n v="16.150000000000002"/>
        <n v="-42.400000000000006"/>
        <n v="2.5"/>
        <n v="100.45"/>
        <n v="346.55"/>
        <n v="12.0"/>
        <n v="-0.05"/>
        <n v="-1.05"/>
        <n v="112.95"/>
        <n v="98.30000000000001"/>
        <n v="7.75"/>
        <n v="147.20000000000002"/>
        <n v="-7.050000000000001"/>
        <n v="-36.7"/>
        <n v="-30.55"/>
        <n v="316.90000000000003"/>
        <n v="534.25"/>
        <n v="5.5"/>
        <n v="352.15000000000003"/>
        <n v="-0.25"/>
        <n v="248.65"/>
        <n v="-0.2"/>
        <n v="-7.6000000000000005"/>
        <n v="160.85000000000002"/>
        <n v="-3.6"/>
        <n v="297.25"/>
        <n v="125.05000000000001"/>
        <n v="467.6"/>
        <n v="323.55"/>
        <n v="188.20000000000002"/>
        <n v="31.150000000000002"/>
        <n v="35.4"/>
        <n v="-49.300000000000004"/>
        <n v="195.05"/>
        <n v="82.05000000000001"/>
        <n v="-178.15"/>
        <n v="-306.45"/>
        <n v="456.5"/>
        <n v="0.9"/>
        <n v="-1.1"/>
        <n v="68.55"/>
        <n v="82.85000000000001"/>
        <n v="24.05"/>
        <n v="16.0"/>
        <n v="1.35"/>
        <n v="462.75"/>
        <n v="-0.9500000000000001"/>
        <n v="1239.5500000000002"/>
        <n v="-0.35000000000000003"/>
        <n v="102.05000000000001"/>
        <n v="24.900000000000002"/>
        <n v="476.8"/>
        <n v="-275.0"/>
        <n v="-2.1"/>
        <n v="106.2"/>
        <n v="-182.75"/>
        <n v="-14.8125"/>
        <n v="23.1875"/>
        <n v="159.375"/>
        <n v="492.9375"/>
        <n v="-8.5"/>
        <n v="472.5"/>
        <n v="369.6875"/>
        <n v="114.25"/>
        <n v="0.1875"/>
        <n v="13.3125"/>
        <n v="47.25"/>
        <n v="265.0625"/>
        <n v="737.75"/>
        <n v="220.0"/>
        <n v="79.0"/>
        <n v="18.875"/>
        <n v="749.4375"/>
        <n v="368.0625"/>
        <n v="250.625"/>
        <n v="12.625"/>
        <n v="-12.1875"/>
        <n v="-3.4375"/>
        <n v="105.6875"/>
        <n v="-196.125"/>
        <n v="458.3125"/>
        <n v="217.0625"/>
        <n v="127.25"/>
        <n v="38.75"/>
        <n v="-0.75"/>
        <n v="-229.75"/>
        <n v="326.0"/>
        <n v="-101.25"/>
        <n v="-498.8125"/>
        <n v="5.3125"/>
        <n v="9.8125"/>
        <n v="111.5"/>
        <n v="22.625"/>
        <n v="-256.375"/>
        <n v="-1016.0625"/>
        <n v="-181.75"/>
        <n v="85.3125"/>
        <n v="-14.5625"/>
        <n v="1164.9375"/>
        <n v="1616.3125"/>
        <n v="777.8125"/>
        <n v="-227.625"/>
        <n v="76.125"/>
        <n v="3.2"/>
        <n v="-30.900000000000002"/>
        <n v="668.52"/>
        <n v="-458.15999999999997"/>
        <n v="1369.9199999999998"/>
        <n v="867.7199999999999"/>
        <n v="452.0"/>
        <n v="-2294.0"/>
        <n v="4989.0"/>
        <n v="42.0"/>
        <n v="-165.0"/>
        <n v="-9.0"/>
        <n v="-7.0"/>
        <n v="-138.0"/>
        <n v="33.0"/>
        <n v="506.0"/>
        <n v="-45.0"/>
        <n v="1072.0"/>
        <n v="188.0"/>
        <n v="236.0"/>
        <n v="-21.0"/>
        <n v="1584.0"/>
        <n v="113.0"/>
        <n v="1031.0"/>
        <n v="-225.0"/>
        <n v="65.0"/>
        <n v="56.0"/>
        <n v="1509.0"/>
        <n v="1119.0"/>
        <n v="71.0"/>
        <n v="44.0"/>
        <n v="9.0"/>
        <n v="1339.0"/>
        <n v="62.0"/>
        <n v="2360.0"/>
        <n v="239.0"/>
        <n v="15.0"/>
        <n v="68.0"/>
        <n v="427.0"/>
        <n v="11.0"/>
        <n v="1135.0"/>
        <n v="86.0"/>
        <n v="4.0"/>
        <n v="0.6000000000000001"/>
        <n v="0.8"/>
        <n v="73.4"/>
        <n v="37.9"/>
        <n v="2.9000000000000004"/>
        <n v="3.5"/>
        <n v="225.60000000000002"/>
        <n v="-6.4"/>
        <n v="21.400000000000002"/>
        <n v="280.5"/>
        <n v="296.2"/>
        <n v="160.4"/>
        <n v="2.8000000000000003"/>
        <n v="42.6"/>
        <n v="-109.7"/>
        <n v="32.800000000000004"/>
        <n v="48.3"/>
        <n v="0.87"/>
        <n v="247.53"/>
        <n v="18.72"/>
        <n v="-178.32"/>
        <n v="-17.37"/>
        <n v="310.8"/>
        <n v="342.12"/>
        <n v="510.75"/>
        <n v="10.95"/>
        <n v="183.78"/>
        <n v="1.47"/>
        <n v="299.84999999999997"/>
        <n v="-190.85999999999999"/>
        <n v="2.13"/>
        <n v="97.97999999999999"/>
        <n v="121.97999999999999"/>
        <n v="-6.4799999999999995"/>
        <n v="39.15"/>
        <n v="4.74"/>
        <n v="572.4599999999999"/>
        <n v="-10.100000000000001"/>
        <n v="774.85"/>
        <n v="208.10000000000002"/>
        <n v="-7.5"/>
        <n v="564.0"/>
        <n v="-149.6"/>
        <n v="-289.52"/>
        <n v="98.56"/>
        <n v="-122.98"/>
        <n v="-589.38"/>
        <n v="355.3"/>
        <n v="-340.56"/>
        <n v="-449.24"/>
        <n v="-31.02"/>
        <n v="314.16"/>
        <n v="-424.6"/>
        <n v="-93.94"/>
        <n v="-27.06"/>
        <n v="14.08"/>
        <n v="-338.14"/>
        <n v="1270.06"/>
        <n v="518.32"/>
        <n v="-3186.92"/>
        <n v="83.38"/>
        <n v="124.96"/>
        <n v="89.32000000000001"/>
        <n v="-0.22"/>
        <n v="-133.1"/>
        <n v="63.58"/>
        <n v="2321.22"/>
        <n v="32.12"/>
        <n v="151.36"/>
        <n v="0.88"/>
        <n v="2254.12"/>
        <n v="-359.92"/>
        <n v="-113.25"/>
        <n v="36.75"/>
        <n v="14.7"/>
        <n v="-250.04999999999998"/>
        <n v="-265.95"/>
        <n v="499.5"/>
        <n v="89.39999999999999"/>
        <n v="-838.35"/>
        <n v="1966.05"/>
        <n v="112.9"/>
        <n v="1307.7"/>
        <n v="104.85"/>
        <n v="9.225"/>
        <n v="-22.5"/>
        <n v="-55.95"/>
        <n v="185.11229999999998"/>
        <n v="579.8324999999998"/>
        <n v="260.1"/>
        <n v="-5.0"/>
        <n v="1841.75"/>
        <n v="12.25"/>
        <n v="-724.0625"/>
        <n v="-58.375"/>
        <n v="-106.8125"/>
        <n v="87.3125"/>
        <n v="-37.0"/>
        <n v="1.175"/>
        <n v="26.980000000000004"/>
        <n v="257.25"/>
        <n v="7.6000000000000005"/>
        <n v="415.40000000000003"/>
        <n v="1004.4"/>
        <n v="-49.0875"/>
        <n v="-38.512499999999996"/>
        <n v="-123.7875"/>
        <n v="59.800000000000004"/>
        <n v="327.15000000000003"/>
        <n v="12.5"/>
        <n v="339.5"/>
        <n v="511.433"/>
        <n v="309.82500000000005"/>
      </sharedItems>
    </cacheField>
    <cacheField name="Split?" numFmtId="0">
      <sharedItems>
        <b v="1"/>
        <b v="0"/>
      </sharedItems>
    </cacheField>
    <cacheField name="RB&#10;Currency" numFmtId="0">
      <sharedItems>
        <s v="USD"/>
        <s v="EUR"/>
      </sharedItems>
    </cacheField>
    <cacheField name="Split &#10;Currency" numFmtId="0">
      <sharedItems containsBlank="1">
        <s v="USD"/>
        <m/>
        <s v="EUR"/>
      </sharedItems>
    </cacheField>
    <cacheField name="Coaching Deal Type" numFmtId="0">
      <sharedItems>
        <s v="DoEV"/>
        <e v="#N/A"/>
        <s v="DoEV2017"/>
        <s v="Fix15"/>
        <s v="SF"/>
        <s v="DoEVLo"/>
        <s v="DoEVold"/>
        <s v="DoEVsu"/>
        <s v="DoEVs1"/>
        <s v="DoEVold15"/>
        <s v="Fix18.75"/>
        <s v="DoEVba"/>
        <s v="Fix19"/>
        <s v="Fix11.25"/>
        <s v="DoEVku"/>
        <s v="Fix9"/>
        <s v="DoEVni"/>
        <s v="Fix10"/>
        <s v="None"/>
      </sharedItems>
    </cacheField>
    <cacheField name="Stacking Deal Type" numFmtId="164">
      <sharedItems>
        <s v="None"/>
        <e v="#N/A"/>
        <s v="Fix5"/>
        <s v="Fix10"/>
        <s v="Fix6.25"/>
        <s v="Fix3.75"/>
        <s v="Fix3"/>
        <s v="guilexperi"/>
      </sharedItems>
    </cacheField>
    <cacheField name="abi2" formula="(BuyIns)/(Games)" databaseField="0"/>
    <cacheField name="School's Cut" formula="(SUM('School Cut Coaching') + SUM('School Cut Backing'))/(COUNTUNIQUE(Period))" databaseField="0"/>
    <cacheField name="abi won2" formula="('Total&#10;in &#10;RB&#10;currency')/(BuyIns/Games)" databaseField="0"/>
    <cacheField name="Calculated Field 1" formula="SUM(IF(ISBLANK(Speed), &quot;&quot;, IF(Speed=&quot;WMX&quot;, Games/2, IF(REGEXMATCH(Speed, &quot;^(GG|Flash|Ultra|Nitro)$&quot;), Games/3, IF(Speed=&quot;HT&quot;, Games*0, Games)))))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or notion" cacheId="0" dataCaption="" compact="0" compactData="0">
  <location ref="A4:F80" firstHeaderRow="0" firstDataRow="3" firstDataCol="0" rowPageCount="2" colPageCount="1"/>
  <pivotFields>
    <pivotField name="Alias" axis="axisRow" compact="0" outline="0" multipleItemSelectionAllowed="1" showAll="0" sortType="ascending">
      <items>
        <item x="0"/>
        <item x="1"/>
        <item x="3"/>
        <item x="6"/>
        <item x="26"/>
        <item x="7"/>
        <item x="24"/>
        <item x="27"/>
        <item x="28"/>
        <item x="19"/>
        <item x="29"/>
        <item x="48"/>
        <item x="17"/>
        <item x="52"/>
        <item x="30"/>
        <item x="31"/>
        <item x="32"/>
        <item x="37"/>
        <item x="33"/>
        <item x="8"/>
        <item x="34"/>
        <item x="4"/>
        <item x="25"/>
        <item x="11"/>
        <item x="15"/>
        <item x="47"/>
        <item x="22"/>
        <item x="16"/>
        <item x="35"/>
        <item x="36"/>
        <item x="9"/>
        <item x="20"/>
        <item x="39"/>
        <item x="51"/>
        <item x="12"/>
        <item x="23"/>
        <item x="40"/>
        <item x="49"/>
        <item x="41"/>
        <item x="5"/>
        <item x="42"/>
        <item x="43"/>
        <item x="18"/>
        <item x="13"/>
        <item x="10"/>
        <item x="14"/>
        <item x="38"/>
        <item x="44"/>
        <item x="45"/>
        <item x="50"/>
        <item x="21"/>
        <item x="46"/>
        <item x="2"/>
        <item t="default"/>
      </items>
    </pivotField>
    <pivotField name="Scree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Start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End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Period" axis="axisRow" compact="0" outline="0" multipleItemSelectionAllowed="1" showAll="0" sortType="ascending">
      <items>
        <item x="32"/>
        <item x="28"/>
        <item x="29"/>
        <item x="30"/>
        <item x="31"/>
        <item x="26"/>
        <item x="13"/>
        <item x="14"/>
        <item x="15"/>
        <item x="16"/>
        <item x="17"/>
        <item x="18"/>
        <item x="19"/>
        <item x="20"/>
        <item x="10"/>
        <item x="11"/>
        <item x="12"/>
        <item x="21"/>
        <item x="22"/>
        <item x="23"/>
        <item x="2"/>
        <item x="3"/>
        <item x="4"/>
        <item x="5"/>
        <item x="6"/>
        <item x="7"/>
        <item x="8"/>
        <item x="9"/>
        <item x="0"/>
        <item x="1"/>
        <item x="24"/>
        <item x="25"/>
        <item x="27"/>
        <item t="default"/>
      </items>
    </pivotField>
    <pivotField name="EV Deal" axis="axisPage" compact="0" numFmtId="169" outline="0" multipleItemSelectionAllowed="1" showAll="0">
      <items>
        <item x="0"/>
        <item x="1"/>
        <item x="2"/>
        <item h="1" x="3"/>
        <item t="default"/>
      </items>
    </pivotField>
    <pivotField name="Poker Room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take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Spee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ta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Gam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Net W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t="default"/>
      </items>
    </pivotField>
    <pivotField name="Rakeback Act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t="default"/>
      </items>
    </pivotField>
    <pivotField name="Buy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t="default"/>
      </items>
    </pivotField>
    <pivotField name="Equity Adjus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t="default"/>
      </items>
    </pivotField>
    <pivotField name="ChipEV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t="default"/>
      </items>
    </pivotField>
    <pivotField name="Rakeback %" compact="0" outline="0" multipleItemSelectionAllowed="1" showAll="0">
      <items>
        <item x="0"/>
        <item x="1"/>
        <item x="2"/>
        <item t="default"/>
      </items>
    </pivotField>
    <pivotField name="Rakeback Total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t="default"/>
      </items>
    </pivotField>
    <pivotField name="Final EV For Players with EV D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t="default"/>
      </items>
    </pivotField>
    <pivotField name="Total&#10;in &#10;RB&#10;currency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Exchange R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BI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ABI Won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Coaching Cut % (3/4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cking Cut % (1/4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layer Cu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t="default"/>
      </items>
    </pivotField>
    <pivotField name="School Cut Coach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t="default"/>
      </items>
    </pivotField>
    <pivotField name="School Cut Back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name="Split?" axis="axisPage" compact="0" outline="0" multipleItemSelectionAllowed="1" showAll="0">
      <items>
        <item h="1" x="0"/>
        <item x="1"/>
        <item t="default"/>
      </items>
    </pivotField>
    <pivotField name="RB&#10;Currency" compact="0" outline="0" multipleItemSelectionAllowed="1" showAll="0">
      <items>
        <item x="0"/>
        <item x="1"/>
        <item t="default"/>
      </items>
    </pivotField>
    <pivotField name="Split &#10;Currency" compact="0" outline="0" multipleItemSelectionAllowed="1" showAll="0">
      <items>
        <item x="0"/>
        <item x="1"/>
        <item x="2"/>
        <item t="default"/>
      </items>
    </pivotField>
    <pivotField name="Coaching Dea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Stacking Deal Typ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0"/>
    <field x="4"/>
  </rowFields>
  <colFields>
    <field x="-2"/>
  </colFields>
  <pageFields>
    <pageField fld="28"/>
    <pageField fld="5"/>
  </pageFields>
  <dataFields>
    <dataField name="SUM of abi2" fld="33" baseField="0"/>
    <dataField name="SUM of Games" fld="10" baseField="0"/>
    <dataField name="Total $" fld="19" baseField="0"/>
    <dataField name="SUM of School's Cut" fld="34" baseField="0"/>
  </dataFields>
</pivotTableDefinition>
</file>

<file path=xl/pivotTables/pivotTable2.xml><?xml version="1.0" encoding="utf-8"?>
<pivotTableDefinition xmlns="http://schemas.openxmlformats.org/spreadsheetml/2006/main" name="Tournaments Table" cacheId="0" dataCaption="" colGrandTotals="0" compact="0" compactData="0">
  <location ref="A1:I55" firstHeaderRow="0" firstDataRow="2" firstDataCol="1"/>
  <pivotFields>
    <pivotField name="Alias" axis="axisRow" compact="0" outline="0" multipleItemSelectionAllowed="1" showAll="0" sortType="ascending">
      <items>
        <item x="0"/>
        <item x="1"/>
        <item x="3"/>
        <item x="6"/>
        <item x="26"/>
        <item x="7"/>
        <item x="24"/>
        <item x="27"/>
        <item x="28"/>
        <item x="19"/>
        <item x="29"/>
        <item x="48"/>
        <item x="17"/>
        <item x="52"/>
        <item x="30"/>
        <item x="31"/>
        <item x="32"/>
        <item x="37"/>
        <item x="33"/>
        <item x="8"/>
        <item x="34"/>
        <item x="4"/>
        <item x="25"/>
        <item x="11"/>
        <item x="15"/>
        <item x="47"/>
        <item x="22"/>
        <item x="16"/>
        <item x="35"/>
        <item x="36"/>
        <item x="9"/>
        <item x="20"/>
        <item x="39"/>
        <item x="51"/>
        <item x="12"/>
        <item x="23"/>
        <item x="40"/>
        <item x="49"/>
        <item x="41"/>
        <item x="5"/>
        <item x="42"/>
        <item x="43"/>
        <item x="18"/>
        <item x="13"/>
        <item x="10"/>
        <item x="14"/>
        <item x="38"/>
        <item x="44"/>
        <item x="45"/>
        <item x="50"/>
        <item x="21"/>
        <item x="46"/>
        <item x="2"/>
        <item t="default"/>
      </items>
    </pivotField>
    <pivotField name="Scree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Start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End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Period" axis="axisCol" compact="0" outline="0" multipleItemSelectionAllowed="1" showAll="0" sortType="ascending">
      <items>
        <item h="1" x="32"/>
        <item h="1" x="28"/>
        <item h="1" x="29"/>
        <item h="1" x="30"/>
        <item h="1" x="31"/>
        <item h="1" x="26"/>
        <item h="1" x="13"/>
        <item h="1" x="14"/>
        <item h="1" x="15"/>
        <item h="1" x="16"/>
        <item h="1" x="17"/>
        <item h="1" x="18"/>
        <item h="1" x="19"/>
        <item h="1" x="20"/>
        <item h="1" x="10"/>
        <item h="1" x="11"/>
        <item h="1" x="12"/>
        <item h="1" x="21"/>
        <item h="1" x="22"/>
        <item h="1" x="23"/>
        <item h="1" x="2"/>
        <item h="1" x="3"/>
        <item h="1" x="4"/>
        <item h="1" x="5"/>
        <item h="1" x="6"/>
        <item h="1" x="7"/>
        <item h="1" x="8"/>
        <item h="1" x="9"/>
        <item x="0"/>
        <item x="1"/>
        <item x="24"/>
        <item x="25"/>
        <item h="1" x="27"/>
        <item t="default"/>
      </items>
    </pivotField>
    <pivotField name="EV Deal" compact="0" numFmtId="169" outline="0" multipleItemSelectionAllowed="1" showAll="0">
      <items>
        <item x="0"/>
        <item x="1"/>
        <item x="2"/>
        <item x="3"/>
        <item t="default"/>
      </items>
    </pivotField>
    <pivotField name="Poker Room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take 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Spee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ta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Gam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t="default"/>
      </items>
    </pivotField>
    <pivotField name="Net W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t="default"/>
      </items>
    </pivotField>
    <pivotField name="Rakeback Actu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t="default"/>
      </items>
    </pivotField>
    <pivotField name="BuyI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t="default"/>
      </items>
    </pivotField>
    <pivotField name="Equity Adjus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t="default"/>
      </items>
    </pivotField>
    <pivotField name="ChipEV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t="default"/>
      </items>
    </pivotField>
    <pivotField name="Rakeback %" compact="0" outline="0" multipleItemSelectionAllowed="1" showAll="0">
      <items>
        <item x="0"/>
        <item x="1"/>
        <item x="2"/>
        <item t="default"/>
      </items>
    </pivotField>
    <pivotField name="Rakeback Total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t="default"/>
      </items>
    </pivotField>
    <pivotField name="Final EV For Players with EV De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t="default"/>
      </items>
    </pivotField>
    <pivotField name="Total&#10;in &#10;RB&#10;currenc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Exchange R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BI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ABI Won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Coaching Cut % (3/4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cking Cut % (1/4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layer Cu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t="default"/>
      </items>
    </pivotField>
    <pivotField name="School Cut Coach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t="default"/>
      </items>
    </pivotField>
    <pivotField name="School Cut Back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name="Split?" compact="0" outline="0" multipleItemSelectionAllowed="1" showAll="0">
      <items>
        <item x="0"/>
        <item x="1"/>
        <item t="default"/>
      </items>
    </pivotField>
    <pivotField name="RB&#10;Currency" compact="0" outline="0" multipleItemSelectionAllowed="1" showAll="0">
      <items>
        <item x="0"/>
        <item x="1"/>
        <item t="default"/>
      </items>
    </pivotField>
    <pivotField name="Split &#10;Currency" compact="0" outline="0" multipleItemSelectionAllowed="1" showAll="0">
      <items>
        <item x="0"/>
        <item x="1"/>
        <item x="2"/>
        <item t="default"/>
      </items>
    </pivotField>
    <pivotField name="Coaching Dea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Stacking Deal Typ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0"/>
  </rowFields>
  <colFields>
    <field x="4"/>
    <field x="-2"/>
  </colFields>
  <dataFields>
    <dataField name="SUM of Games" fld="10" baseField="0"/>
    <dataField name="SUM of Calculated Field 1" fld="3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api.typeform.com/responses/files/2ed04f14ffc41a69d4768b03ef338c861a475991c73331410e29905b9521ac89/IMG_7753.JPG" TargetMode="External"/><Relationship Id="rId20" Type="http://schemas.openxmlformats.org/officeDocument/2006/relationships/hyperlink" Target="https://i.gyazo.com/2082c0d17f29cc66fd6f9bb1268398fb.png" TargetMode="External"/><Relationship Id="rId42" Type="http://schemas.openxmlformats.org/officeDocument/2006/relationships/drawing" Target="../drawings/drawing4.xml"/><Relationship Id="rId41" Type="http://schemas.openxmlformats.org/officeDocument/2006/relationships/hyperlink" Target="https://api.typeform.com/responses/files/801bf84281d2152ed688fe0fee501e1203507cde05b937a6f57ca60d9856b864/IMG_7754.JPG" TargetMode="External"/><Relationship Id="rId22" Type="http://schemas.openxmlformats.org/officeDocument/2006/relationships/hyperlink" Target="https://api.typeform.com/responses/files/375c16dd982b8c0de6b6f438d048648446297f042263d6874207dc274d294e20/P90927_222334.jpg" TargetMode="External"/><Relationship Id="rId21" Type="http://schemas.openxmlformats.org/officeDocument/2006/relationships/hyperlink" Target="https://i.gyazo.com/2082c0d17f29cc66fd6f9bb1268398fb.png" TargetMode="External"/><Relationship Id="rId43" Type="http://schemas.openxmlformats.org/officeDocument/2006/relationships/vmlDrawing" Target="../drawings/vmlDrawing2.vml"/><Relationship Id="rId24" Type="http://schemas.openxmlformats.org/officeDocument/2006/relationships/hyperlink" Target="https://api.typeform.com/responses/files/1ce21189f783822db2d446dc7660f6d12b1ecc4ef0ad4d148358a2179fda1612/IMAG2742.jpg" TargetMode="External"/><Relationship Id="rId23" Type="http://schemas.openxmlformats.org/officeDocument/2006/relationships/hyperlink" Target="https://api.typeform.com/responses/files/7f38caa9f0b416468e0eeecdc4d64ad9e8b78164bfb992cefb6b025b0774ef79/P90927_222752.jpg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api.typeform.com/responses/files/97ff9c8895d3e950985f35a690a8247a5e2b81ef470c75caeb13ebd97c3dc000/IMG_0280.JPG" TargetMode="External"/><Relationship Id="rId3" Type="http://schemas.openxmlformats.org/officeDocument/2006/relationships/hyperlink" Target="https://api.typeform.com/responses/files/97ff9c8895d3e950985f35a690a8247a5e2b81ef470c75caeb13ebd97c3dc000/IMG_0280.JPG" TargetMode="External"/><Relationship Id="rId4" Type="http://schemas.openxmlformats.org/officeDocument/2006/relationships/hyperlink" Target="https://api.typeform.com/responses/files/7fe31e44ca61cc477175f0c61a45b5f2cd869a6c5f0f6a1fae4ab6e99b2ea0cc/20160422_165416.jpg" TargetMode="External"/><Relationship Id="rId9" Type="http://schemas.openxmlformats.org/officeDocument/2006/relationships/hyperlink" Target="https://api.typeform.com/responses/files/b43de880822aa06ff75207f0a30dad8d48c20965913f6ecdf95dc8922dcc114e/W_0wr_CSHTQ.jpg" TargetMode="External"/><Relationship Id="rId26" Type="http://schemas.openxmlformats.org/officeDocument/2006/relationships/hyperlink" Target="https://drive.google.com/open?id=1XoUwQCjvL_yVWjyHlj382Yq-RrYetDjN" TargetMode="External"/><Relationship Id="rId25" Type="http://schemas.openxmlformats.org/officeDocument/2006/relationships/hyperlink" Target="https://api.typeform.com/responses/files/1ce21189f783822db2d446dc7660f6d12b1ecc4ef0ad4d148358a2179fda1612/IMAG2742.jpg" TargetMode="External"/><Relationship Id="rId28" Type="http://schemas.openxmlformats.org/officeDocument/2006/relationships/hyperlink" Target="https://drive.google.com/open?id=1DHuyAv1plZ8IDNNpn3PCP3-XJVUCYkAO" TargetMode="External"/><Relationship Id="rId27" Type="http://schemas.openxmlformats.org/officeDocument/2006/relationships/hyperlink" Target="https://www.gipsyteam.ru/profile/incrementx" TargetMode="External"/><Relationship Id="rId5" Type="http://schemas.openxmlformats.org/officeDocument/2006/relationships/hyperlink" Target="https://api.typeform.com/responses/files/f3ea1628ef2772b4af3c1d3c75224aed69f5c0de0aa430c86c923dabac4c0407/IMG_20191006_202830.jpg" TargetMode="External"/><Relationship Id="rId6" Type="http://schemas.openxmlformats.org/officeDocument/2006/relationships/hyperlink" Target="https://api.typeform.com/responses/files/e7384479ce72ada7892d34bee9a3335beded2dc94b57837dcf84fb84513baf05/photo5413793718579866584.jpg" TargetMode="External"/><Relationship Id="rId29" Type="http://schemas.openxmlformats.org/officeDocument/2006/relationships/hyperlink" Target="https://drive.google.com/open?id=1WO3xCFVzV1Espw0HW9-u0v6U474ckoJR" TargetMode="External"/><Relationship Id="rId7" Type="http://schemas.openxmlformats.org/officeDocument/2006/relationships/hyperlink" Target="https://api.typeform.com/responses/files/16e07da00e7b3aa58492616af7caa6991c3582284e4bb7b4e6263e89dc5851ae/photo5413417561049115599.jpg" TargetMode="External"/><Relationship Id="rId8" Type="http://schemas.openxmlformats.org/officeDocument/2006/relationships/hyperlink" Target="https://api.typeform.com/responses/files/e4d080bd8362a98021c793949056ad5e1b064557e4562a5c38332e7a39f0314c/97841937_DL2.jpg" TargetMode="External"/><Relationship Id="rId31" Type="http://schemas.openxmlformats.org/officeDocument/2006/relationships/hyperlink" Target="https://api.typeform.com/responses/files/f459d58778f603b3dc995d3006b1833d5064cfc2b87385633256b122a7feac12/IMG_20210221_144205.jpg" TargetMode="External"/><Relationship Id="rId30" Type="http://schemas.openxmlformats.org/officeDocument/2006/relationships/hyperlink" Target="https://www.gipsyteam.ru/profile/tadaer" TargetMode="External"/><Relationship Id="rId11" Type="http://schemas.openxmlformats.org/officeDocument/2006/relationships/hyperlink" Target="https://drive.google.com/open?id=1QAXsWKFH4nfxsLslFZt9IAnVjXi873gN" TargetMode="External"/><Relationship Id="rId33" Type="http://schemas.openxmlformats.org/officeDocument/2006/relationships/hyperlink" Target="https://api.typeform.com/responses/files/43b4accfc593ef7e7c1da6b141ca9017f50aa8fabb47008d269eb1c7e52faf4f/20200203_214758.jpg" TargetMode="External"/><Relationship Id="rId10" Type="http://schemas.openxmlformats.org/officeDocument/2006/relationships/hyperlink" Target="https://drive.google.com/open?id=1oCdVMsg65aLYUFqxFkIImuAOCzpwK2t2" TargetMode="External"/><Relationship Id="rId32" Type="http://schemas.openxmlformats.org/officeDocument/2006/relationships/hyperlink" Target="https://api.typeform.com/responses/files/0c8ea11ab5387b485f3838884f64977feb4427d777ad3cca6c065344e6beb368/IMG_20210221_144602.jpg" TargetMode="External"/><Relationship Id="rId13" Type="http://schemas.openxmlformats.org/officeDocument/2006/relationships/hyperlink" Target="https://drive.google.com/open?id=1XGHZE_nyv5LEdjsxuqfR3AiTfJG4unTJ" TargetMode="External"/><Relationship Id="rId35" Type="http://schemas.openxmlformats.org/officeDocument/2006/relationships/hyperlink" Target="https://drive.google.com/open?id=1yPsN0YQDpINu8mIt0kmzVpelIBGqx2sL" TargetMode="External"/><Relationship Id="rId12" Type="http://schemas.openxmlformats.org/officeDocument/2006/relationships/hyperlink" Target="https://www.gipsyteam.ru/profile/depositbeast" TargetMode="External"/><Relationship Id="rId34" Type="http://schemas.openxmlformats.org/officeDocument/2006/relationships/hyperlink" Target="https://api.typeform.com/responses/files/facdd1d0c9546e715c01e578c1698629d146ad165ac4f4a1ff11510d695176af/20200203_215026.jpg" TargetMode="External"/><Relationship Id="rId15" Type="http://schemas.openxmlformats.org/officeDocument/2006/relationships/hyperlink" Target="https://www.gipsyteam.ru/profile/dimantt" TargetMode="External"/><Relationship Id="rId37" Type="http://schemas.openxmlformats.org/officeDocument/2006/relationships/hyperlink" Target="https://vk.com/vsklyarov93" TargetMode="External"/><Relationship Id="rId14" Type="http://schemas.openxmlformats.org/officeDocument/2006/relationships/hyperlink" Target="https://drive.google.com/open?id=1ZJ7cHjAg1ydaTE-V7bK70Kf6XgmOw8w2" TargetMode="External"/><Relationship Id="rId36" Type="http://schemas.openxmlformats.org/officeDocument/2006/relationships/hyperlink" Target="https://www.gipsyteam.ru/profile/orthodoxxxx93" TargetMode="External"/><Relationship Id="rId17" Type="http://schemas.openxmlformats.org/officeDocument/2006/relationships/hyperlink" Target="https://api.typeform.com/responses/files/9e1e96f0252f371c69adb97530214abadc0fee9ad7f7d4161b0d7ce58dccdde5/20210210_213146.jpg" TargetMode="External"/><Relationship Id="rId39" Type="http://schemas.openxmlformats.org/officeDocument/2006/relationships/hyperlink" Target="https://api.typeform.com/responses/files/303ea2d40a982adb52112b76983e420512a91ad9d8fab2418b0d3c1babffb056/_Vtoa0EKWcw.jpg" TargetMode="External"/><Relationship Id="rId16" Type="http://schemas.openxmlformats.org/officeDocument/2006/relationships/hyperlink" Target="https://api.typeform.com/responses/files/1eff527d253333d2fa27caa6cd93119e7a100a7e4885d872a93d197f92e74f89/20210210_212757.jpg" TargetMode="External"/><Relationship Id="rId38" Type="http://schemas.openxmlformats.org/officeDocument/2006/relationships/hyperlink" Target="https://api.typeform.com/responses/files/658004086033b7b70adf715964698309d50bf8a2423efc7e29501110ba038719/4sLizNN962Y.jpg" TargetMode="External"/><Relationship Id="rId19" Type="http://schemas.openxmlformats.org/officeDocument/2006/relationships/hyperlink" Target="https://api.typeform.com/responses/files/b10ecb0b69d4119bc5ad25252efa5d435e853e83f09c4c12618c3165340e6f39/IMG_20190521_145713.jpg" TargetMode="External"/><Relationship Id="rId18" Type="http://schemas.openxmlformats.org/officeDocument/2006/relationships/hyperlink" Target="https://api.typeform.com/responses/files/7e4a1e7a85b4597e9a1af02adc2b23895a263aa8f4c321818ddaf42e40d523b2/WP_000218.jpg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google.com/document/d/1OQthQ5hjmewItE27NGG6QEVKo1oKodkd2gVjo8_1hvY/edit" TargetMode="External"/><Relationship Id="rId42" Type="http://schemas.openxmlformats.org/officeDocument/2006/relationships/hyperlink" Target="https://docs.google.com/document/d/1EAUvM7EvgCirxs1Jt7yMS60QM5KrUJvjO9xQ4DCiFKM/edit?usp=sharing" TargetMode="External"/><Relationship Id="rId41" Type="http://schemas.openxmlformats.org/officeDocument/2006/relationships/hyperlink" Target="https://docs.google.com/document/d/1j3e37YeQGL8ZzwQ8caZXRAJZoV9fM94b5DT-Xo4r9Y0/edit" TargetMode="External"/><Relationship Id="rId44" Type="http://schemas.openxmlformats.org/officeDocument/2006/relationships/hyperlink" Target="https://docs.google.com/document/d/1dZetT-lef4J72j_opJVMMT5f5Ezfs0d23X9-9ElFWfg/edit" TargetMode="External"/><Relationship Id="rId43" Type="http://schemas.openxmlformats.org/officeDocument/2006/relationships/hyperlink" Target="https://docs.google.com/document/d/1V2kym5QSWQ3vpDWnV-3Qv4EfUmXxUInY7cgEKgJCc6c/edit" TargetMode="External"/><Relationship Id="rId46" Type="http://schemas.openxmlformats.org/officeDocument/2006/relationships/hyperlink" Target="https://docs.google.com/document/d/1zmNgo_Oe9UrOsh4MKWbvJwLv1VKdlXovlGPiyohfMpw/edit" TargetMode="External"/><Relationship Id="rId45" Type="http://schemas.openxmlformats.org/officeDocument/2006/relationships/hyperlink" Target="https://docs.google.com/document/d/1RB0Czl7BJRo3EiVBOcCqsP5k6E1RSA7iEYNZ0GYzQTk/edit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docs.google.com/document/d/1C2j2cvIdQE4b6GJmGraXLZ3LZVbGvmndCgY3e9wEU3I/edit" TargetMode="External"/><Relationship Id="rId3" Type="http://schemas.openxmlformats.org/officeDocument/2006/relationships/hyperlink" Target="https://docs.google.com/document/d/1aeVpexZsHf8SZJvV_tFgpnj4YXhkRfoeOlQmuQvB2WI/edit" TargetMode="External"/><Relationship Id="rId4" Type="http://schemas.openxmlformats.org/officeDocument/2006/relationships/hyperlink" Target="https://docs.google.com/document/d/1svZojIAVF_F1XM3K-hxm8egIv37QTY8rLamf2cwKiIQ/edit" TargetMode="External"/><Relationship Id="rId9" Type="http://schemas.openxmlformats.org/officeDocument/2006/relationships/hyperlink" Target="https://docs.google.com/document/d/1AU9wJt8RBc4mwF0WQluBbVSuRO7lKHut1QyxLMT6jcA/edit" TargetMode="External"/><Relationship Id="rId48" Type="http://schemas.openxmlformats.org/officeDocument/2006/relationships/hyperlink" Target="https://docs.google.com/document/d/1lkRpS8T1vAA8woQWzR-8KFDjAFW4AiSOsNOW0OyoIoQ/edit" TargetMode="External"/><Relationship Id="rId47" Type="http://schemas.openxmlformats.org/officeDocument/2006/relationships/hyperlink" Target="https://docs.google.com/document/d/1WLhkmHRa8z9YmCF9wbHgJyveYHYjcEp4BkwAtrT6Sic/edit?usp=sharing" TargetMode="External"/><Relationship Id="rId49" Type="http://schemas.openxmlformats.org/officeDocument/2006/relationships/hyperlink" Target="https://docs.google.com/document/d/1Z9L87zlGM39kbzfXkPKSKsS2M6bKKPvees7T9L8B9N8/edit?usp=sharing" TargetMode="External"/><Relationship Id="rId5" Type="http://schemas.openxmlformats.org/officeDocument/2006/relationships/hyperlink" Target="https://docs.google.com/document/d/1HahcUN8qtPPzSsiT4uXlV36eXu50uoblP339ItVFDLQ/edit" TargetMode="External"/><Relationship Id="rId6" Type="http://schemas.openxmlformats.org/officeDocument/2006/relationships/hyperlink" Target="https://docs.google.com/document/d/11CfoQLvDiMCwdKc2a3TpzaKWdWSqGU8J736aimrsu6Q/edit" TargetMode="External"/><Relationship Id="rId7" Type="http://schemas.openxmlformats.org/officeDocument/2006/relationships/hyperlink" Target="https://docs.google.com/document/d/115CA019kE8h6oFKK75Tg6G_EZAOXBs-n/edit?usp=sharing&amp;ouid=109714701348271020736&amp;rtpof=true&amp;sd=true" TargetMode="External"/><Relationship Id="rId8" Type="http://schemas.openxmlformats.org/officeDocument/2006/relationships/hyperlink" Target="https://docs.google.com/document/d/18XC4-h_e5TFUX5iSrk6lgvzsRHMoXc-w8d1kWjjVaOY/edit" TargetMode="External"/><Relationship Id="rId31" Type="http://schemas.openxmlformats.org/officeDocument/2006/relationships/hyperlink" Target="https://docs.google.com/document/d/1MAclH8cw6sxO8TafElUqRL2tuWqCajT33UHGVMpaZmY/edit" TargetMode="External"/><Relationship Id="rId30" Type="http://schemas.openxmlformats.org/officeDocument/2006/relationships/hyperlink" Target="https://docs.google.com/document/d/10w3Q4olfT_8stsoLAkFZFgREUkLVKMks5mD3xzvJj7g/edit" TargetMode="External"/><Relationship Id="rId33" Type="http://schemas.openxmlformats.org/officeDocument/2006/relationships/hyperlink" Target="https://docs.google.com/document/d/1Qc8BSj5yB6uKoMXtuvjTTTD16N92mKtKlMlysxsPUns/edit" TargetMode="External"/><Relationship Id="rId32" Type="http://schemas.openxmlformats.org/officeDocument/2006/relationships/hyperlink" Target="https://docs.google.com/document/d/18cRMoHPubzmwqaymhEuF08ywTdxOwz2ZSrJ4HBx95uQ/edit" TargetMode="External"/><Relationship Id="rId35" Type="http://schemas.openxmlformats.org/officeDocument/2006/relationships/hyperlink" Target="https://docs.google.com/document/d/1l7Lbnkj5X1GWkYI5Lrgi5bZDroMrMl65hFlv57avLMQ/edit" TargetMode="External"/><Relationship Id="rId34" Type="http://schemas.openxmlformats.org/officeDocument/2006/relationships/hyperlink" Target="https://docs.google.com/document/d/1bXZWnSTgaOKE-ydDwffpYO7FVRtA5f6J/edit" TargetMode="External"/><Relationship Id="rId37" Type="http://schemas.openxmlformats.org/officeDocument/2006/relationships/hyperlink" Target="https://docs.google.com/document/d/1h_VAB_GPKEdrk4c0-BLidPA1lfm-6pMWMywuPXSRQYA/edit" TargetMode="External"/><Relationship Id="rId36" Type="http://schemas.openxmlformats.org/officeDocument/2006/relationships/hyperlink" Target="https://docs.google.com/document/d/1i0nZ1z4SITsADhvYCLLr1N7Hf8kmpGndQRL02kNkMEQ/edit?usp=sharing" TargetMode="External"/><Relationship Id="rId39" Type="http://schemas.openxmlformats.org/officeDocument/2006/relationships/hyperlink" Target="https://docs.google.com/document/d/1-Vk5ISnaB3SyhICpPkYA2J0-sqBb7FNy1v4-EZPdG6w/edit" TargetMode="External"/><Relationship Id="rId38" Type="http://schemas.openxmlformats.org/officeDocument/2006/relationships/hyperlink" Target="https://docs.google.com/document/d/17S40WWT29RPQ5AiRnet-KCtPnPaC4Nus/edit" TargetMode="External"/><Relationship Id="rId20" Type="http://schemas.openxmlformats.org/officeDocument/2006/relationships/hyperlink" Target="https://docs.google.com/document/d/16M22gb4upZMrgGfqsVBbzRE6qbtKkj3xCaMauLLnMyo/edit" TargetMode="External"/><Relationship Id="rId22" Type="http://schemas.openxmlformats.org/officeDocument/2006/relationships/hyperlink" Target="https://docs.google.com/document/d/1sPzatE_R9jfAQ91birjuxg-NS2nXqkZZm1kjyi-cbuY/edit" TargetMode="External"/><Relationship Id="rId21" Type="http://schemas.openxmlformats.org/officeDocument/2006/relationships/hyperlink" Target="https://docs.google.com/document/d/16M22gb4upZMrgGfqsVBbzRE6qbtKkj3xCaMauLLnMyo/edit" TargetMode="External"/><Relationship Id="rId24" Type="http://schemas.openxmlformats.org/officeDocument/2006/relationships/hyperlink" Target="https://docs.google.com/document/d/1him85b-xInISxgRXBNwPUWSZJ2BXMAfItIzwZAyfp-U/edit" TargetMode="External"/><Relationship Id="rId23" Type="http://schemas.openxmlformats.org/officeDocument/2006/relationships/hyperlink" Target="https://docs.google.com/document/d/1sPzatE_R9jfAQ91birjuxg-NS2nXqkZZm1kjyi-cbuY/edit" TargetMode="External"/><Relationship Id="rId26" Type="http://schemas.openxmlformats.org/officeDocument/2006/relationships/hyperlink" Target="https://docs.google.com/document/d/1NF25SaXR2IiytLOk7Q2Zgyui56SrcNzXl_dzZ2Ww5wM/edit" TargetMode="External"/><Relationship Id="rId25" Type="http://schemas.openxmlformats.org/officeDocument/2006/relationships/hyperlink" Target="https://docs.google.com/document/d/1NF25SaXR2IiytLOk7Q2Zgyui56SrcNzXl_dzZ2Ww5wM/edit" TargetMode="External"/><Relationship Id="rId28" Type="http://schemas.openxmlformats.org/officeDocument/2006/relationships/hyperlink" Target="https://docs.google.com/document/d/1U-d450q_ceHkCLH32wmvaAPq50-KJFq3NUJmrCjymiQ/edit" TargetMode="External"/><Relationship Id="rId27" Type="http://schemas.openxmlformats.org/officeDocument/2006/relationships/hyperlink" Target="https://drive.google.com/file/d/1MuPxIffyNa1xuQ8Q78uGvCKZmSYqhmdy/view?usp=sharing" TargetMode="External"/><Relationship Id="rId29" Type="http://schemas.openxmlformats.org/officeDocument/2006/relationships/hyperlink" Target="https://docs.google.com/document/d/1iEG6qHqKPgWcrEbCj49ESWq0O_nxx1L5i8KPEAyBlbc/edit" TargetMode="External"/><Relationship Id="rId51" Type="http://schemas.openxmlformats.org/officeDocument/2006/relationships/hyperlink" Target="https://docs.google.com/document/d/1bDWdEpDPV1TN6awGgeYkrUO9n1OVl9ZfLOHzr42BsBU/edit" TargetMode="External"/><Relationship Id="rId50" Type="http://schemas.openxmlformats.org/officeDocument/2006/relationships/hyperlink" Target="https://docs.google.com/document/d/10ebrmvYOkWsmxN7wBujOu8RhvoyhvekNwJQPN4xXk1Q/edit" TargetMode="External"/><Relationship Id="rId53" Type="http://schemas.openxmlformats.org/officeDocument/2006/relationships/hyperlink" Target="https://docs.google.com/document/d/1EQojdMIfnkOLebjnM1jaCtutIJEwJ0kndq8K2CRCIdU/edit?usp=share_link" TargetMode="External"/><Relationship Id="rId52" Type="http://schemas.openxmlformats.org/officeDocument/2006/relationships/hyperlink" Target="https://docs.google.com/document/d/1c2Djqls_HKszTJK1IzGd81AF6iLY5GwToCBpUV0ZTrE/edit?usp=share_link" TargetMode="External"/><Relationship Id="rId11" Type="http://schemas.openxmlformats.org/officeDocument/2006/relationships/hyperlink" Target="https://docs.google.com/document/d/13Lu5Zyjf5hcI7ZHd_dPzzz74Hooc9QGDnPaQuB1f62Y/edit" TargetMode="External"/><Relationship Id="rId55" Type="http://schemas.openxmlformats.org/officeDocument/2006/relationships/hyperlink" Target="https://docs.google.com/document/d/1YBNDSLt3_GBIK231ZsiDW4ek5kSiHWSuGvZjz5RaT6s/edit" TargetMode="External"/><Relationship Id="rId10" Type="http://schemas.openxmlformats.org/officeDocument/2006/relationships/hyperlink" Target="https://docs.google.com/document/d/1iFZ4XUTizX4joco29-OVJlBNAZ4Jbdol6cDZaR7RF8A/edit" TargetMode="External"/><Relationship Id="rId54" Type="http://schemas.openxmlformats.org/officeDocument/2006/relationships/hyperlink" Target="https://docs.google.com/document/d/1xyPmDdq_f7EfVxRYkSSFJ56BHgXZURDbsgyY3ZTb_Qs/edit?usp=share_link" TargetMode="External"/><Relationship Id="rId13" Type="http://schemas.openxmlformats.org/officeDocument/2006/relationships/hyperlink" Target="https://docs.google.com/document/d/1BW30bCRoLu_LS2mTloDwMHSZ4nTvPxxxVFHo5leTEWM/edit" TargetMode="External"/><Relationship Id="rId57" Type="http://schemas.openxmlformats.org/officeDocument/2006/relationships/drawing" Target="../drawings/drawing5.xml"/><Relationship Id="rId12" Type="http://schemas.openxmlformats.org/officeDocument/2006/relationships/hyperlink" Target="https://docs.google.com/document/d/13sF5i-a9FaA0dD4NPSnaszOjDbj5GGXN5AnqXuom6Jc/edit" TargetMode="External"/><Relationship Id="rId56" Type="http://schemas.openxmlformats.org/officeDocument/2006/relationships/hyperlink" Target="https://docs.google.com/document/d/1pJrnULCkk91HeUMtK9V24bs3hg9bVHlGgwvdkFfBDr8/edit" TargetMode="External"/><Relationship Id="rId15" Type="http://schemas.openxmlformats.org/officeDocument/2006/relationships/hyperlink" Target="https://docs.google.com/document/d/1P-pTlKvazDBlPUh1KIJ9NKLxdZa8bpzn/edit" TargetMode="External"/><Relationship Id="rId14" Type="http://schemas.openxmlformats.org/officeDocument/2006/relationships/hyperlink" Target="https://docs.google.com/document/d/1ghLT7_3y8Sxu4W4cB2Du6iv9MhEP_G3oM-1-XIH_aHY/edit" TargetMode="External"/><Relationship Id="rId58" Type="http://schemas.openxmlformats.org/officeDocument/2006/relationships/vmlDrawing" Target="../drawings/vmlDrawing3.vml"/><Relationship Id="rId17" Type="http://schemas.openxmlformats.org/officeDocument/2006/relationships/hyperlink" Target="https://docs.google.com/document/d/14tmRkW0WjYUfesPPerv3kt3eizhuTz1eyuSwsMysTHg/edit?usp=sharing" TargetMode="External"/><Relationship Id="rId16" Type="http://schemas.openxmlformats.org/officeDocument/2006/relationships/hyperlink" Target="https://docs.google.com/document/d/1iXFlRel46W9KqYZ-sYMrBSPUTO1jKVvDBCgFWYzAH_s/edit" TargetMode="External"/><Relationship Id="rId19" Type="http://schemas.openxmlformats.org/officeDocument/2006/relationships/hyperlink" Target="https://drive.google.com/file/d/1U5PHWA832EdhU2Y-ui1x4gAGcRQTo7uj/view?usp=sharing" TargetMode="External"/><Relationship Id="rId18" Type="http://schemas.openxmlformats.org/officeDocument/2006/relationships/hyperlink" Target="https://docs.google.com/document/d/1CAEj8YnzQ5m_PeFBrrtPIoipZzkFggUsOCzjOl6skZ8/edit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drive.google.com/drive/u/7/folders/1UvSorLAsaoXmH0G__4D6yRo-zTfQDCAt" TargetMode="External"/><Relationship Id="rId3" Type="http://schemas.openxmlformats.org/officeDocument/2006/relationships/hyperlink" Target="https://drive.google.com/drive/u/7/folders/1BHXjt_nLSjJmM6r2_QOhJD5pRY7g7fGC" TargetMode="External"/><Relationship Id="rId4" Type="http://schemas.openxmlformats.org/officeDocument/2006/relationships/hyperlink" Target="https://drive.google.com/drive/folders/1bmlGVnlnGF4x2juR9haa2BOTLgWftFiS?usp=share_link" TargetMode="External"/><Relationship Id="rId9" Type="http://schemas.openxmlformats.org/officeDocument/2006/relationships/hyperlink" Target="https://drive.google.com/drive/u/7/folders/15BILPApQBIBCEh-w7RXXO-9FAucFV96r" TargetMode="External"/><Relationship Id="rId5" Type="http://schemas.openxmlformats.org/officeDocument/2006/relationships/hyperlink" Target="https://drive.google.com/drive/u/7/folders/1CT92ot93R5WGSr1j2Uz3aOg8UKThleuF" TargetMode="External"/><Relationship Id="rId6" Type="http://schemas.openxmlformats.org/officeDocument/2006/relationships/hyperlink" Target="https://drive.google.com/drive/u/7/folders/1Iho-aLANsOobCW6XzPdgEumhw5fYIR8i" TargetMode="External"/><Relationship Id="rId7" Type="http://schemas.openxmlformats.org/officeDocument/2006/relationships/hyperlink" Target="https://drive.google.com/drive/u/7/folders/1MoiOjLGycr5noHe4SCqvaQLYRMOS1qyd" TargetMode="External"/><Relationship Id="rId8" Type="http://schemas.openxmlformats.org/officeDocument/2006/relationships/hyperlink" Target="https://drive.google.com/drive/u/7/folders/17WMuwx0DBXc_TJoYYhNcx295k204BoJu" TargetMode="External"/><Relationship Id="rId20" Type="http://schemas.openxmlformats.org/officeDocument/2006/relationships/hyperlink" Target="https://drive.google.com/drive/u/7/folders/1ANla_CU0FBj6mS68-YXk7jxwXdG-xNVa" TargetMode="External"/><Relationship Id="rId22" Type="http://schemas.openxmlformats.org/officeDocument/2006/relationships/hyperlink" Target="https://drive.google.com/drive/u/7/folders/1hlWMNAqmFf4EOx533f0694UTwzFd9Deh" TargetMode="External"/><Relationship Id="rId21" Type="http://schemas.openxmlformats.org/officeDocument/2006/relationships/hyperlink" Target="https://drive.google.com/drive/u/7/folders/1Wdo8mxq0d__oXPrsEgtTMKf8M8vAwHYF" TargetMode="External"/><Relationship Id="rId24" Type="http://schemas.openxmlformats.org/officeDocument/2006/relationships/hyperlink" Target="https://drive.google.com/drive/u/7/folders/1FfrmzxOaPl4R3ipSWbOK86pvFkk7UGQo" TargetMode="External"/><Relationship Id="rId23" Type="http://schemas.openxmlformats.org/officeDocument/2006/relationships/hyperlink" Target="https://drive.google.com/drive/u/7/folders/1GFUQTeWvv_i2EDhZIAD6UeFTyGxchfNt" TargetMode="External"/><Relationship Id="rId26" Type="http://schemas.openxmlformats.org/officeDocument/2006/relationships/drawing" Target="../drawings/drawing8.xml"/><Relationship Id="rId25" Type="http://schemas.openxmlformats.org/officeDocument/2006/relationships/hyperlink" Target="https://drive.google.com/drive/folders/1XoGnDZrIJAuPqDIW8js6wfJ5MujQSbxM?usp=share_link" TargetMode="External"/><Relationship Id="rId27" Type="http://schemas.openxmlformats.org/officeDocument/2006/relationships/vmlDrawing" Target="../drawings/vmlDrawing6.vml"/><Relationship Id="rId11" Type="http://schemas.openxmlformats.org/officeDocument/2006/relationships/hyperlink" Target="https://drive.google.com/drive/u/7/folders/1L0UIUpES6itKbCop0MYcvCMdyxQbqbJ4" TargetMode="External"/><Relationship Id="rId10" Type="http://schemas.openxmlformats.org/officeDocument/2006/relationships/hyperlink" Target="https://drive.google.com/drive/folders/1BwNVgSvSn9Icypi0ZvR5JiZhLF1A2N2E?usp=share_link" TargetMode="External"/><Relationship Id="rId13" Type="http://schemas.openxmlformats.org/officeDocument/2006/relationships/hyperlink" Target="https://drive.google.com/drive/u/7/folders/1aYDkj8aVfKuACZ02q8-nZheuEU_M3pgx" TargetMode="External"/><Relationship Id="rId12" Type="http://schemas.openxmlformats.org/officeDocument/2006/relationships/hyperlink" Target="https://drive.google.com/drive/u/7/folders/1DAjm4ac7HuEzSxS5JmVLPW2fFhT5Ytbi" TargetMode="External"/><Relationship Id="rId15" Type="http://schemas.openxmlformats.org/officeDocument/2006/relationships/hyperlink" Target="https://drive.google.com/drive/u/7/folders/1iXfYc3o6SLgPBnK2TG6nIeyO4cDMG6aL" TargetMode="External"/><Relationship Id="rId14" Type="http://schemas.openxmlformats.org/officeDocument/2006/relationships/hyperlink" Target="https://drive.google.com/drive/u/7/folders/1I8H0zYhIbwc7wHtxTpbTOmHeZPZiN51I" TargetMode="External"/><Relationship Id="rId17" Type="http://schemas.openxmlformats.org/officeDocument/2006/relationships/hyperlink" Target="https://drive.google.com/drive/u/7/folders/1wXA_epqDH_O77TSJiNEM4KYb-h9Nt4tn" TargetMode="External"/><Relationship Id="rId16" Type="http://schemas.openxmlformats.org/officeDocument/2006/relationships/hyperlink" Target="https://drive.google.com/drive/folders/1C5bi6IyHfwhCSB2gH3inU6gHFztn7XTo?usp=share_link" TargetMode="External"/><Relationship Id="rId19" Type="http://schemas.openxmlformats.org/officeDocument/2006/relationships/hyperlink" Target="https://drive.google.com/drive/u/7/folders/1dWQusP9WFX840qMLZd0DRqlIhfeMs8Xc" TargetMode="External"/><Relationship Id="rId18" Type="http://schemas.openxmlformats.org/officeDocument/2006/relationships/hyperlink" Target="https://drive.google.com/drive/u/7/folders/1uyPus4IdJIaDqhqbzZCddmbj4CxLfEsR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4" t="s">
        <v>3</v>
      </c>
    </row>
    <row r="2">
      <c r="A2" s="5" t="s">
        <v>4</v>
      </c>
      <c r="B2" s="6" t="s">
        <v>5</v>
      </c>
      <c r="C2" s="7" t="s">
        <v>6</v>
      </c>
      <c r="D2" s="6" t="s">
        <v>7</v>
      </c>
    </row>
    <row r="3">
      <c r="A3" s="5" t="s">
        <v>8</v>
      </c>
      <c r="B3" s="6" t="s">
        <v>9</v>
      </c>
      <c r="C3" s="7" t="s">
        <v>10</v>
      </c>
      <c r="D3" s="6" t="s">
        <v>11</v>
      </c>
    </row>
    <row r="4">
      <c r="A4" s="5" t="s">
        <v>12</v>
      </c>
      <c r="B4" s="6" t="s">
        <v>13</v>
      </c>
      <c r="C4" s="7" t="s">
        <v>14</v>
      </c>
      <c r="D4" s="6" t="s">
        <v>15</v>
      </c>
    </row>
    <row r="5">
      <c r="B5" s="6" t="s">
        <v>16</v>
      </c>
      <c r="C5" s="7" t="s">
        <v>17</v>
      </c>
      <c r="D5" s="6" t="s">
        <v>18</v>
      </c>
    </row>
    <row r="6">
      <c r="B6" s="6" t="s">
        <v>19</v>
      </c>
      <c r="C6" s="7" t="s">
        <v>20</v>
      </c>
      <c r="D6" s="6" t="s">
        <v>21</v>
      </c>
    </row>
    <row r="7">
      <c r="B7" s="6" t="s">
        <v>22</v>
      </c>
      <c r="C7" s="7" t="s">
        <v>23</v>
      </c>
      <c r="D7" s="6" t="s">
        <v>24</v>
      </c>
    </row>
    <row r="8">
      <c r="B8" s="6" t="s">
        <v>25</v>
      </c>
      <c r="C8" s="7" t="s">
        <v>26</v>
      </c>
      <c r="D8" s="6" t="s">
        <v>27</v>
      </c>
    </row>
    <row r="9">
      <c r="C9" s="7" t="s">
        <v>28</v>
      </c>
    </row>
    <row r="10">
      <c r="C10" s="7" t="s">
        <v>29</v>
      </c>
    </row>
    <row r="11">
      <c r="C11" s="7" t="s">
        <v>30</v>
      </c>
    </row>
    <row r="12">
      <c r="C12" s="7" t="s">
        <v>31</v>
      </c>
    </row>
    <row r="13">
      <c r="C13" s="7" t="s">
        <v>32</v>
      </c>
    </row>
    <row r="14">
      <c r="C14" s="7" t="s">
        <v>33</v>
      </c>
    </row>
    <row r="15">
      <c r="C15" s="7" t="s">
        <v>34</v>
      </c>
    </row>
    <row r="16">
      <c r="C16" s="7" t="s">
        <v>35</v>
      </c>
    </row>
    <row r="17">
      <c r="C17" s="7" t="s">
        <v>36</v>
      </c>
    </row>
    <row r="18">
      <c r="C18" s="7" t="s">
        <v>37</v>
      </c>
    </row>
    <row r="19">
      <c r="C19" s="7" t="s">
        <v>38</v>
      </c>
    </row>
    <row r="20">
      <c r="C20" s="7" t="s">
        <v>39</v>
      </c>
    </row>
    <row r="21">
      <c r="C21" s="7" t="s">
        <v>40</v>
      </c>
    </row>
    <row r="22">
      <c r="C22" s="7" t="s">
        <v>41</v>
      </c>
    </row>
    <row r="23">
      <c r="C23" s="7" t="s">
        <v>42</v>
      </c>
    </row>
    <row r="24">
      <c r="C24" s="7" t="s">
        <v>43</v>
      </c>
    </row>
    <row r="25">
      <c r="C25" s="7" t="s">
        <v>44</v>
      </c>
    </row>
    <row r="26">
      <c r="C26" s="7" t="s">
        <v>45</v>
      </c>
    </row>
    <row r="27">
      <c r="C27" s="7" t="s">
        <v>46</v>
      </c>
    </row>
    <row r="28">
      <c r="C28" s="7" t="s">
        <v>47</v>
      </c>
    </row>
    <row r="29">
      <c r="C29" s="7" t="s">
        <v>48</v>
      </c>
    </row>
    <row r="30">
      <c r="C30" s="7" t="s">
        <v>49</v>
      </c>
    </row>
    <row r="31">
      <c r="C31" s="7" t="s">
        <v>50</v>
      </c>
    </row>
    <row r="32">
      <c r="C32" s="7" t="s">
        <v>51</v>
      </c>
    </row>
    <row r="33">
      <c r="C33" s="7" t="s">
        <v>52</v>
      </c>
    </row>
    <row r="34">
      <c r="C34" s="7" t="s">
        <v>53</v>
      </c>
    </row>
    <row r="35">
      <c r="C35" s="7" t="s">
        <v>54</v>
      </c>
    </row>
    <row r="36">
      <c r="C36" s="7" t="s">
        <v>55</v>
      </c>
    </row>
    <row r="37">
      <c r="C37" s="7" t="s">
        <v>56</v>
      </c>
    </row>
    <row r="38">
      <c r="C38" s="7" t="s">
        <v>57</v>
      </c>
    </row>
    <row r="39">
      <c r="C39" s="7" t="s">
        <v>58</v>
      </c>
    </row>
    <row r="40">
      <c r="C40" s="7" t="s">
        <v>59</v>
      </c>
    </row>
    <row r="41">
      <c r="C41" s="7" t="s">
        <v>60</v>
      </c>
    </row>
    <row r="42">
      <c r="C42" s="7" t="s">
        <v>61</v>
      </c>
    </row>
    <row r="43">
      <c r="C43" s="7" t="s">
        <v>62</v>
      </c>
    </row>
    <row r="44">
      <c r="C44" s="7" t="s">
        <v>63</v>
      </c>
    </row>
    <row r="45">
      <c r="C45" s="7" t="s">
        <v>64</v>
      </c>
    </row>
    <row r="46">
      <c r="C46" s="7" t="s">
        <v>65</v>
      </c>
    </row>
    <row r="47">
      <c r="C47" s="7" t="s">
        <v>66</v>
      </c>
    </row>
    <row r="48">
      <c r="C48" s="7" t="s">
        <v>67</v>
      </c>
    </row>
    <row r="49">
      <c r="C49" s="7" t="s">
        <v>68</v>
      </c>
    </row>
    <row r="50">
      <c r="C50" s="7" t="s">
        <v>69</v>
      </c>
    </row>
    <row r="51">
      <c r="C51" s="7" t="s">
        <v>70</v>
      </c>
    </row>
    <row r="52">
      <c r="C52" s="7" t="s">
        <v>71</v>
      </c>
    </row>
    <row r="53">
      <c r="C53" s="7" t="s">
        <v>72</v>
      </c>
    </row>
    <row r="54">
      <c r="C54" s="7" t="s">
        <v>73</v>
      </c>
    </row>
    <row r="55">
      <c r="C55" s="7" t="s">
        <v>74</v>
      </c>
    </row>
    <row r="56">
      <c r="C56" s="7" t="s">
        <v>75</v>
      </c>
    </row>
    <row r="57">
      <c r="C57" s="7" t="s">
        <v>76</v>
      </c>
    </row>
    <row r="58">
      <c r="C58" s="7" t="s">
        <v>77</v>
      </c>
    </row>
    <row r="59">
      <c r="C59" s="7" t="s">
        <v>78</v>
      </c>
    </row>
    <row r="60">
      <c r="C60" s="7" t="s">
        <v>79</v>
      </c>
    </row>
    <row r="61">
      <c r="C61" s="7" t="s">
        <v>80</v>
      </c>
    </row>
    <row r="62">
      <c r="C62" s="7" t="s">
        <v>81</v>
      </c>
    </row>
    <row r="63">
      <c r="C63" s="7" t="s">
        <v>82</v>
      </c>
    </row>
    <row r="64">
      <c r="C64" s="7" t="s">
        <v>83</v>
      </c>
    </row>
    <row r="65">
      <c r="C65" s="7" t="s">
        <v>84</v>
      </c>
    </row>
    <row r="66">
      <c r="C66" s="7" t="s">
        <v>85</v>
      </c>
    </row>
    <row r="67">
      <c r="C67" s="7" t="s">
        <v>86</v>
      </c>
    </row>
    <row r="68">
      <c r="C68" s="7" t="s">
        <v>87</v>
      </c>
    </row>
    <row r="69">
      <c r="C69" s="7" t="s">
        <v>88</v>
      </c>
    </row>
    <row r="70">
      <c r="C70" s="7" t="s">
        <v>89</v>
      </c>
    </row>
    <row r="71">
      <c r="C71" s="7" t="s">
        <v>90</v>
      </c>
    </row>
    <row r="72">
      <c r="C72" s="7" t="s">
        <v>91</v>
      </c>
    </row>
    <row r="73">
      <c r="C73" s="7" t="s">
        <v>92</v>
      </c>
    </row>
    <row r="74">
      <c r="C74" s="7" t="s">
        <v>93</v>
      </c>
    </row>
    <row r="75">
      <c r="C75" s="7" t="s">
        <v>94</v>
      </c>
    </row>
    <row r="76">
      <c r="C76" s="7" t="s">
        <v>95</v>
      </c>
    </row>
    <row r="77">
      <c r="C77" s="7" t="s">
        <v>96</v>
      </c>
    </row>
    <row r="78">
      <c r="C78" s="7" t="s">
        <v>97</v>
      </c>
    </row>
    <row r="79">
      <c r="C79" s="7" t="s">
        <v>98</v>
      </c>
    </row>
    <row r="80">
      <c r="C80" s="7" t="s">
        <v>99</v>
      </c>
    </row>
    <row r="81">
      <c r="C81" s="7" t="s">
        <v>100</v>
      </c>
    </row>
    <row r="82">
      <c r="C82" s="7" t="s">
        <v>101</v>
      </c>
    </row>
    <row r="83">
      <c r="C83" s="7" t="s">
        <v>102</v>
      </c>
    </row>
    <row r="84">
      <c r="C84" s="7" t="s">
        <v>103</v>
      </c>
    </row>
    <row r="85">
      <c r="C85" s="7" t="s">
        <v>104</v>
      </c>
    </row>
    <row r="86">
      <c r="C86" s="7" t="s">
        <v>105</v>
      </c>
    </row>
    <row r="87">
      <c r="C87" s="7" t="s">
        <v>106</v>
      </c>
    </row>
    <row r="88">
      <c r="C88" s="7" t="s">
        <v>107</v>
      </c>
    </row>
    <row r="89">
      <c r="C89" s="7"/>
    </row>
    <row r="90">
      <c r="C90" s="7"/>
    </row>
    <row r="91">
      <c r="C91" s="7"/>
    </row>
    <row r="92">
      <c r="C92" s="7"/>
    </row>
    <row r="93">
      <c r="C93" s="8"/>
    </row>
    <row r="94">
      <c r="C94" s="8"/>
    </row>
    <row r="95">
      <c r="C95" s="8"/>
    </row>
    <row r="96">
      <c r="C96" s="8"/>
    </row>
    <row r="97">
      <c r="C97" s="8"/>
    </row>
    <row r="98">
      <c r="C98" s="8"/>
    </row>
    <row r="99">
      <c r="C99" s="8"/>
    </row>
    <row r="100">
      <c r="C100" s="8"/>
    </row>
    <row r="101">
      <c r="C101" s="8"/>
    </row>
    <row r="102">
      <c r="C102" s="8"/>
    </row>
    <row r="103">
      <c r="C103" s="8"/>
    </row>
    <row r="104">
      <c r="C104" s="8"/>
    </row>
    <row r="105">
      <c r="C105" s="8"/>
    </row>
    <row r="106">
      <c r="C106" s="8"/>
    </row>
    <row r="107">
      <c r="C107" s="8"/>
    </row>
    <row r="108">
      <c r="C108" s="8"/>
    </row>
    <row r="109">
      <c r="C109" s="8"/>
    </row>
    <row r="110">
      <c r="C110" s="8"/>
    </row>
    <row r="111">
      <c r="C111" s="8"/>
    </row>
    <row r="112">
      <c r="C112" s="8"/>
    </row>
    <row r="113">
      <c r="C113" s="8"/>
    </row>
    <row r="114">
      <c r="C114" s="8"/>
    </row>
    <row r="115">
      <c r="C115" s="8"/>
    </row>
    <row r="116">
      <c r="C116" s="8"/>
    </row>
    <row r="117">
      <c r="C117" s="8"/>
    </row>
    <row r="118">
      <c r="C118" s="8"/>
    </row>
    <row r="119">
      <c r="C119" s="8"/>
    </row>
    <row r="120">
      <c r="C120" s="8"/>
    </row>
    <row r="121">
      <c r="C121" s="8"/>
    </row>
    <row r="122">
      <c r="C122" s="8"/>
    </row>
    <row r="123">
      <c r="C123" s="8"/>
    </row>
    <row r="124">
      <c r="C124" s="8"/>
    </row>
    <row r="125">
      <c r="C125" s="8"/>
    </row>
    <row r="126">
      <c r="C126" s="8"/>
    </row>
    <row r="127">
      <c r="C127" s="8"/>
    </row>
    <row r="128">
      <c r="C128" s="8"/>
    </row>
    <row r="129">
      <c r="C129" s="8"/>
    </row>
    <row r="130">
      <c r="C130" s="8"/>
    </row>
    <row r="131">
      <c r="C131" s="8"/>
    </row>
    <row r="132">
      <c r="C132" s="8"/>
    </row>
    <row r="133">
      <c r="C133" s="8"/>
    </row>
    <row r="134">
      <c r="C134" s="8"/>
    </row>
    <row r="135">
      <c r="C135" s="8"/>
    </row>
    <row r="136">
      <c r="C136" s="8"/>
    </row>
    <row r="137">
      <c r="C137" s="8"/>
    </row>
    <row r="138">
      <c r="C138" s="8"/>
    </row>
    <row r="139">
      <c r="C139" s="8"/>
    </row>
    <row r="140">
      <c r="C140" s="8"/>
    </row>
    <row r="141">
      <c r="C141" s="8"/>
    </row>
    <row r="142">
      <c r="C142" s="8"/>
    </row>
    <row r="143">
      <c r="C143" s="8"/>
    </row>
    <row r="144">
      <c r="C144" s="8"/>
    </row>
    <row r="145">
      <c r="C145" s="8"/>
    </row>
    <row r="146">
      <c r="C146" s="8"/>
    </row>
    <row r="147">
      <c r="C147" s="8"/>
    </row>
    <row r="148">
      <c r="C148" s="8"/>
    </row>
    <row r="149">
      <c r="C149" s="8"/>
    </row>
    <row r="150">
      <c r="C150" s="8"/>
    </row>
    <row r="151">
      <c r="C151" s="8"/>
    </row>
    <row r="152">
      <c r="C152" s="8"/>
    </row>
    <row r="153">
      <c r="C153" s="8"/>
    </row>
    <row r="154">
      <c r="C154" s="8"/>
    </row>
    <row r="155">
      <c r="C155" s="8"/>
    </row>
    <row r="156">
      <c r="C156" s="8"/>
    </row>
    <row r="157">
      <c r="C157" s="8"/>
    </row>
    <row r="158">
      <c r="C158" s="8"/>
    </row>
    <row r="159">
      <c r="C159" s="8"/>
    </row>
    <row r="160">
      <c r="C160" s="8"/>
    </row>
    <row r="161">
      <c r="C161" s="8"/>
    </row>
    <row r="162">
      <c r="C162" s="8"/>
    </row>
    <row r="163">
      <c r="C163" s="8"/>
    </row>
    <row r="164">
      <c r="C164" s="8"/>
    </row>
    <row r="165">
      <c r="C165" s="8"/>
    </row>
    <row r="166">
      <c r="C166" s="8"/>
    </row>
    <row r="167">
      <c r="C167" s="8"/>
    </row>
    <row r="168">
      <c r="C168" s="8"/>
    </row>
    <row r="169">
      <c r="C169" s="8"/>
    </row>
    <row r="170">
      <c r="C170" s="8"/>
    </row>
    <row r="171">
      <c r="C171" s="8"/>
    </row>
    <row r="172">
      <c r="C172" s="8"/>
    </row>
    <row r="173">
      <c r="C173" s="8"/>
    </row>
    <row r="174">
      <c r="C174" s="8"/>
    </row>
    <row r="175">
      <c r="C175" s="8"/>
    </row>
    <row r="176">
      <c r="C176" s="8"/>
    </row>
    <row r="177">
      <c r="C177" s="8"/>
    </row>
    <row r="178">
      <c r="C178" s="8"/>
    </row>
    <row r="179">
      <c r="C179" s="8"/>
    </row>
    <row r="180">
      <c r="C180" s="8"/>
    </row>
    <row r="181">
      <c r="C181" s="8"/>
    </row>
    <row r="182">
      <c r="C182" s="8"/>
    </row>
    <row r="183">
      <c r="C183" s="8"/>
    </row>
    <row r="184">
      <c r="C184" s="8"/>
    </row>
    <row r="185">
      <c r="C185" s="8"/>
    </row>
    <row r="186">
      <c r="C186" s="8"/>
    </row>
    <row r="187">
      <c r="C187" s="8"/>
    </row>
    <row r="188">
      <c r="C188" s="8"/>
    </row>
    <row r="189">
      <c r="C189" s="8"/>
    </row>
    <row r="190">
      <c r="C190" s="8"/>
    </row>
    <row r="191">
      <c r="C191" s="8"/>
    </row>
    <row r="192">
      <c r="C192" s="8"/>
    </row>
    <row r="193">
      <c r="C193" s="8"/>
    </row>
    <row r="194">
      <c r="C194" s="8"/>
    </row>
    <row r="195">
      <c r="C195" s="8"/>
    </row>
    <row r="196">
      <c r="C196" s="8"/>
    </row>
    <row r="197">
      <c r="C197" s="8"/>
    </row>
    <row r="198">
      <c r="C198" s="8"/>
    </row>
    <row r="199">
      <c r="C199" s="8"/>
    </row>
    <row r="200">
      <c r="C200" s="8"/>
    </row>
    <row r="201">
      <c r="C201" s="8"/>
    </row>
    <row r="202">
      <c r="C202" s="8"/>
    </row>
    <row r="203">
      <c r="C203" s="8"/>
    </row>
    <row r="204">
      <c r="C204" s="8"/>
    </row>
    <row r="205">
      <c r="C205" s="8"/>
    </row>
    <row r="206">
      <c r="C206" s="8"/>
    </row>
    <row r="207">
      <c r="C207" s="8"/>
    </row>
    <row r="208">
      <c r="C208" s="8"/>
    </row>
    <row r="209">
      <c r="C209" s="8"/>
    </row>
    <row r="210">
      <c r="C210" s="8"/>
    </row>
    <row r="211">
      <c r="C211" s="8"/>
    </row>
    <row r="212">
      <c r="C212" s="8"/>
    </row>
    <row r="213">
      <c r="C213" s="8"/>
    </row>
    <row r="214">
      <c r="C214" s="8"/>
    </row>
    <row r="215">
      <c r="C215" s="8"/>
    </row>
    <row r="216">
      <c r="C216" s="8"/>
    </row>
    <row r="217">
      <c r="C217" s="8"/>
    </row>
    <row r="218">
      <c r="C218" s="8"/>
    </row>
    <row r="219">
      <c r="C219" s="8"/>
    </row>
    <row r="220">
      <c r="C220" s="8"/>
    </row>
    <row r="221">
      <c r="C221" s="8"/>
    </row>
    <row r="222">
      <c r="C222" s="8"/>
    </row>
    <row r="223">
      <c r="C223" s="8"/>
    </row>
    <row r="224">
      <c r="C224" s="8"/>
    </row>
    <row r="225">
      <c r="C225" s="8"/>
    </row>
    <row r="226">
      <c r="C226" s="8"/>
    </row>
    <row r="227">
      <c r="C227" s="8"/>
    </row>
    <row r="228">
      <c r="C228" s="8"/>
    </row>
    <row r="229">
      <c r="C229" s="8"/>
    </row>
    <row r="230">
      <c r="C230" s="8"/>
    </row>
    <row r="231">
      <c r="C231" s="8"/>
    </row>
    <row r="232">
      <c r="C232" s="8"/>
    </row>
    <row r="233">
      <c r="C233" s="8"/>
    </row>
    <row r="234">
      <c r="C234" s="8"/>
    </row>
    <row r="235">
      <c r="C235" s="8"/>
    </row>
    <row r="236">
      <c r="C236" s="8"/>
    </row>
    <row r="237">
      <c r="C237" s="8"/>
    </row>
    <row r="238">
      <c r="C238" s="8"/>
    </row>
    <row r="239">
      <c r="C239" s="8"/>
    </row>
    <row r="240">
      <c r="C240" s="8"/>
    </row>
    <row r="241">
      <c r="C241" s="8"/>
    </row>
    <row r="242">
      <c r="C242" s="8"/>
    </row>
    <row r="243">
      <c r="C243" s="8"/>
    </row>
    <row r="244">
      <c r="C244" s="8"/>
    </row>
    <row r="245">
      <c r="C245" s="8"/>
    </row>
    <row r="246">
      <c r="C246" s="8"/>
    </row>
    <row r="247">
      <c r="C247" s="8"/>
    </row>
    <row r="248">
      <c r="C248" s="8"/>
    </row>
    <row r="249">
      <c r="C249" s="8"/>
    </row>
    <row r="250">
      <c r="C250" s="8"/>
    </row>
    <row r="251">
      <c r="C251" s="8"/>
    </row>
    <row r="252">
      <c r="C252" s="8"/>
    </row>
    <row r="253">
      <c r="C253" s="8"/>
    </row>
    <row r="254">
      <c r="C254" s="8"/>
    </row>
    <row r="255">
      <c r="C255" s="8"/>
    </row>
    <row r="256">
      <c r="C256" s="8"/>
    </row>
    <row r="257">
      <c r="C257" s="8"/>
    </row>
    <row r="258">
      <c r="C258" s="8"/>
    </row>
    <row r="259">
      <c r="C259" s="8"/>
    </row>
    <row r="260">
      <c r="C260" s="8"/>
    </row>
    <row r="261">
      <c r="C261" s="8"/>
    </row>
    <row r="262">
      <c r="C262" s="8"/>
    </row>
    <row r="263">
      <c r="C263" s="8"/>
    </row>
    <row r="264">
      <c r="C264" s="8"/>
    </row>
    <row r="265">
      <c r="C265" s="8"/>
    </row>
    <row r="266">
      <c r="C266" s="8"/>
    </row>
    <row r="267">
      <c r="C267" s="8"/>
    </row>
    <row r="268">
      <c r="C268" s="8"/>
    </row>
    <row r="269">
      <c r="C269" s="8"/>
    </row>
    <row r="270">
      <c r="C270" s="8"/>
    </row>
    <row r="271">
      <c r="C271" s="8"/>
    </row>
    <row r="272">
      <c r="C272" s="8"/>
    </row>
    <row r="273">
      <c r="C273" s="8"/>
    </row>
    <row r="274">
      <c r="C274" s="8"/>
    </row>
    <row r="275">
      <c r="C275" s="8"/>
    </row>
    <row r="276">
      <c r="C276" s="8"/>
    </row>
    <row r="277">
      <c r="C277" s="8"/>
    </row>
    <row r="278">
      <c r="C278" s="8"/>
    </row>
    <row r="279">
      <c r="C279" s="8"/>
    </row>
    <row r="280">
      <c r="C280" s="8"/>
    </row>
    <row r="281">
      <c r="C281" s="8"/>
    </row>
    <row r="282">
      <c r="C282" s="8"/>
    </row>
    <row r="283">
      <c r="C283" s="8"/>
    </row>
    <row r="284">
      <c r="C284" s="8"/>
    </row>
    <row r="285">
      <c r="C285" s="8"/>
    </row>
    <row r="286">
      <c r="C286" s="8"/>
    </row>
    <row r="287">
      <c r="C287" s="8"/>
    </row>
    <row r="288">
      <c r="C288" s="8"/>
    </row>
    <row r="289">
      <c r="C289" s="8"/>
    </row>
    <row r="290">
      <c r="C290" s="8"/>
    </row>
    <row r="291">
      <c r="C291" s="8"/>
    </row>
    <row r="292">
      <c r="C292" s="8"/>
    </row>
    <row r="293">
      <c r="C293" s="8"/>
    </row>
    <row r="294">
      <c r="C294" s="8"/>
    </row>
    <row r="295">
      <c r="C295" s="8"/>
    </row>
    <row r="296">
      <c r="C296" s="8"/>
    </row>
    <row r="297">
      <c r="C297" s="8"/>
    </row>
    <row r="298">
      <c r="C298" s="8"/>
    </row>
    <row r="299">
      <c r="C299" s="8"/>
    </row>
    <row r="300">
      <c r="C300" s="8"/>
    </row>
    <row r="301">
      <c r="C301" s="8"/>
    </row>
    <row r="302">
      <c r="C302" s="8"/>
    </row>
    <row r="303">
      <c r="C303" s="8"/>
    </row>
    <row r="304">
      <c r="C304" s="8"/>
    </row>
    <row r="305">
      <c r="C305" s="8"/>
    </row>
    <row r="306">
      <c r="C306" s="8"/>
    </row>
    <row r="307">
      <c r="C307" s="8"/>
    </row>
    <row r="308">
      <c r="C308" s="8"/>
    </row>
    <row r="309">
      <c r="C309" s="8"/>
    </row>
    <row r="310">
      <c r="C310" s="8"/>
    </row>
    <row r="311">
      <c r="C311" s="8"/>
    </row>
    <row r="312">
      <c r="C312" s="8"/>
    </row>
    <row r="313">
      <c r="C313" s="8"/>
    </row>
    <row r="314">
      <c r="C314" s="8"/>
    </row>
    <row r="315">
      <c r="C315" s="8"/>
    </row>
    <row r="316">
      <c r="C316" s="8"/>
    </row>
    <row r="317">
      <c r="C317" s="8"/>
    </row>
    <row r="318">
      <c r="C318" s="8"/>
    </row>
    <row r="319">
      <c r="C319" s="8"/>
    </row>
    <row r="320">
      <c r="C320" s="8"/>
    </row>
    <row r="321">
      <c r="C321" s="8"/>
    </row>
    <row r="322">
      <c r="C322" s="8"/>
    </row>
    <row r="323">
      <c r="C323" s="8"/>
    </row>
    <row r="324">
      <c r="C324" s="8"/>
    </row>
    <row r="325">
      <c r="C325" s="8"/>
    </row>
    <row r="326">
      <c r="C326" s="8"/>
    </row>
    <row r="327">
      <c r="C327" s="8"/>
    </row>
    <row r="328">
      <c r="C328" s="8"/>
    </row>
    <row r="329">
      <c r="C329" s="8"/>
    </row>
    <row r="330">
      <c r="C330" s="8"/>
    </row>
    <row r="331">
      <c r="C331" s="8"/>
    </row>
    <row r="332">
      <c r="C332" s="8"/>
    </row>
    <row r="333">
      <c r="C333" s="8"/>
    </row>
    <row r="334">
      <c r="C334" s="8"/>
    </row>
    <row r="335">
      <c r="C335" s="8"/>
    </row>
    <row r="336">
      <c r="C336" s="8"/>
    </row>
    <row r="337">
      <c r="C337" s="8"/>
    </row>
    <row r="338">
      <c r="C338" s="8"/>
    </row>
    <row r="339">
      <c r="C339" s="8"/>
    </row>
    <row r="340">
      <c r="C340" s="8"/>
    </row>
    <row r="341">
      <c r="C341" s="8"/>
    </row>
    <row r="342">
      <c r="C342" s="8"/>
    </row>
    <row r="343">
      <c r="C343" s="8"/>
    </row>
    <row r="344">
      <c r="C344" s="8"/>
    </row>
    <row r="345">
      <c r="C345" s="8"/>
    </row>
    <row r="346">
      <c r="C346" s="8"/>
    </row>
    <row r="347">
      <c r="C347" s="8"/>
    </row>
    <row r="348">
      <c r="C348" s="8"/>
    </row>
    <row r="349">
      <c r="C349" s="8"/>
    </row>
    <row r="350">
      <c r="C350" s="8"/>
    </row>
    <row r="351">
      <c r="C351" s="8"/>
    </row>
    <row r="352">
      <c r="C352" s="8"/>
    </row>
    <row r="353">
      <c r="C353" s="8"/>
    </row>
    <row r="354">
      <c r="C354" s="8"/>
    </row>
    <row r="355">
      <c r="C355" s="8"/>
    </row>
    <row r="356">
      <c r="C356" s="8"/>
    </row>
    <row r="357">
      <c r="C357" s="8"/>
    </row>
    <row r="358">
      <c r="C358" s="8"/>
    </row>
    <row r="359">
      <c r="C359" s="8"/>
    </row>
    <row r="360">
      <c r="C360" s="8"/>
    </row>
    <row r="361">
      <c r="C361" s="8"/>
    </row>
    <row r="362">
      <c r="C362" s="8"/>
    </row>
    <row r="363">
      <c r="C363" s="8"/>
    </row>
    <row r="364">
      <c r="C364" s="8"/>
    </row>
    <row r="365">
      <c r="C365" s="8"/>
    </row>
    <row r="366">
      <c r="C366" s="8"/>
    </row>
    <row r="367">
      <c r="C367" s="8"/>
    </row>
    <row r="368">
      <c r="C368" s="8"/>
    </row>
    <row r="369">
      <c r="C369" s="8"/>
    </row>
    <row r="370">
      <c r="C370" s="8"/>
    </row>
    <row r="371">
      <c r="C371" s="8"/>
    </row>
    <row r="372">
      <c r="C372" s="8"/>
    </row>
    <row r="373">
      <c r="C373" s="8"/>
    </row>
    <row r="374">
      <c r="C374" s="8"/>
    </row>
    <row r="375">
      <c r="C375" s="8"/>
    </row>
    <row r="376">
      <c r="C376" s="8"/>
    </row>
    <row r="377">
      <c r="C377" s="8"/>
    </row>
    <row r="378">
      <c r="C378" s="8"/>
    </row>
    <row r="379">
      <c r="C379" s="8"/>
    </row>
    <row r="380">
      <c r="C380" s="8"/>
    </row>
    <row r="381">
      <c r="C381" s="8"/>
    </row>
    <row r="382">
      <c r="C382" s="8"/>
    </row>
    <row r="383">
      <c r="C383" s="8"/>
    </row>
    <row r="384">
      <c r="C384" s="8"/>
    </row>
    <row r="385">
      <c r="C385" s="8"/>
    </row>
    <row r="386">
      <c r="C386" s="8"/>
    </row>
    <row r="387">
      <c r="C387" s="8"/>
    </row>
    <row r="388">
      <c r="C388" s="8"/>
    </row>
    <row r="389">
      <c r="C389" s="8"/>
    </row>
    <row r="390">
      <c r="C390" s="8"/>
    </row>
    <row r="391">
      <c r="C391" s="8"/>
    </row>
    <row r="392">
      <c r="C392" s="8"/>
    </row>
    <row r="393">
      <c r="C393" s="8"/>
    </row>
    <row r="394">
      <c r="C394" s="8"/>
    </row>
    <row r="395">
      <c r="C395" s="8"/>
    </row>
    <row r="396">
      <c r="C396" s="8"/>
    </row>
    <row r="397">
      <c r="C397" s="8"/>
    </row>
    <row r="398">
      <c r="C398" s="8"/>
    </row>
    <row r="399">
      <c r="C399" s="8"/>
    </row>
    <row r="400">
      <c r="C400" s="8"/>
    </row>
    <row r="401">
      <c r="C401" s="8"/>
    </row>
    <row r="402">
      <c r="C402" s="8"/>
    </row>
    <row r="403">
      <c r="C403" s="8"/>
    </row>
    <row r="404">
      <c r="C404" s="8"/>
    </row>
    <row r="405">
      <c r="C405" s="8"/>
    </row>
    <row r="406">
      <c r="C406" s="8"/>
    </row>
    <row r="407">
      <c r="C407" s="8"/>
    </row>
    <row r="408">
      <c r="C408" s="8"/>
    </row>
    <row r="409">
      <c r="C409" s="8"/>
    </row>
    <row r="410">
      <c r="C410" s="8"/>
    </row>
    <row r="411">
      <c r="C411" s="8"/>
    </row>
    <row r="412">
      <c r="C412" s="8"/>
    </row>
    <row r="413">
      <c r="C413" s="8"/>
    </row>
    <row r="414">
      <c r="C414" s="8"/>
    </row>
    <row r="415">
      <c r="C415" s="8"/>
    </row>
    <row r="416">
      <c r="C416" s="8"/>
    </row>
    <row r="417">
      <c r="C417" s="8"/>
    </row>
    <row r="418">
      <c r="C418" s="8"/>
    </row>
    <row r="419">
      <c r="C419" s="8"/>
    </row>
    <row r="420">
      <c r="C420" s="8"/>
    </row>
    <row r="421">
      <c r="C421" s="8"/>
    </row>
    <row r="422">
      <c r="C422" s="8"/>
    </row>
    <row r="423">
      <c r="C423" s="8"/>
    </row>
    <row r="424">
      <c r="C424" s="8"/>
    </row>
    <row r="425">
      <c r="C425" s="8"/>
    </row>
    <row r="426">
      <c r="C426" s="8"/>
    </row>
    <row r="427">
      <c r="C427" s="8"/>
    </row>
    <row r="428">
      <c r="C428" s="8"/>
    </row>
    <row r="429">
      <c r="C429" s="8"/>
    </row>
    <row r="430">
      <c r="C430" s="8"/>
    </row>
    <row r="431">
      <c r="C431" s="8"/>
    </row>
    <row r="432">
      <c r="C432" s="8"/>
    </row>
    <row r="433">
      <c r="C433" s="8"/>
    </row>
    <row r="434">
      <c r="C434" s="8"/>
    </row>
    <row r="435">
      <c r="C435" s="8"/>
    </row>
    <row r="436">
      <c r="C436" s="8"/>
    </row>
    <row r="437">
      <c r="C437" s="8"/>
    </row>
    <row r="438">
      <c r="C438" s="8"/>
    </row>
    <row r="439">
      <c r="C439" s="8"/>
    </row>
    <row r="440">
      <c r="C440" s="8"/>
    </row>
    <row r="441">
      <c r="C441" s="8"/>
    </row>
    <row r="442">
      <c r="C442" s="8"/>
    </row>
    <row r="443">
      <c r="C443" s="8"/>
    </row>
    <row r="444">
      <c r="C444" s="8"/>
    </row>
    <row r="445">
      <c r="C445" s="8"/>
    </row>
    <row r="446">
      <c r="C446" s="8"/>
    </row>
    <row r="447">
      <c r="C447" s="8"/>
    </row>
    <row r="448">
      <c r="C448" s="8"/>
    </row>
    <row r="449">
      <c r="C449" s="8"/>
    </row>
    <row r="450">
      <c r="C450" s="8"/>
    </row>
    <row r="451">
      <c r="C451" s="8"/>
    </row>
    <row r="452">
      <c r="C452" s="8"/>
    </row>
    <row r="453">
      <c r="C453" s="8"/>
    </row>
    <row r="454">
      <c r="C454" s="8"/>
    </row>
    <row r="455">
      <c r="C455" s="8"/>
    </row>
    <row r="456">
      <c r="C456" s="8"/>
    </row>
    <row r="457">
      <c r="C457" s="8"/>
    </row>
    <row r="458">
      <c r="C458" s="8"/>
    </row>
    <row r="459">
      <c r="C459" s="8"/>
    </row>
    <row r="460">
      <c r="C460" s="8"/>
    </row>
    <row r="461">
      <c r="C461" s="8"/>
    </row>
    <row r="462">
      <c r="C462" s="8"/>
    </row>
    <row r="463">
      <c r="C463" s="8"/>
    </row>
    <row r="464">
      <c r="C464" s="8"/>
    </row>
    <row r="465">
      <c r="C465" s="8"/>
    </row>
    <row r="466">
      <c r="C466" s="8"/>
    </row>
    <row r="467">
      <c r="C467" s="8"/>
    </row>
    <row r="468">
      <c r="C468" s="8"/>
    </row>
    <row r="469">
      <c r="C469" s="8"/>
    </row>
    <row r="470">
      <c r="C470" s="8"/>
    </row>
    <row r="471">
      <c r="C471" s="8"/>
    </row>
    <row r="472">
      <c r="C472" s="8"/>
    </row>
    <row r="473">
      <c r="C473" s="8"/>
    </row>
    <row r="474">
      <c r="C474" s="8"/>
    </row>
    <row r="475">
      <c r="C475" s="8"/>
    </row>
    <row r="476">
      <c r="C476" s="8"/>
    </row>
    <row r="477">
      <c r="C477" s="8"/>
    </row>
    <row r="478">
      <c r="C478" s="8"/>
    </row>
    <row r="479">
      <c r="C479" s="8"/>
    </row>
    <row r="480">
      <c r="C480" s="8"/>
    </row>
    <row r="481">
      <c r="C481" s="8"/>
    </row>
    <row r="482">
      <c r="C482" s="8"/>
    </row>
    <row r="483">
      <c r="C483" s="8"/>
    </row>
    <row r="484">
      <c r="C484" s="8"/>
    </row>
    <row r="485">
      <c r="C485" s="8"/>
    </row>
    <row r="486">
      <c r="C486" s="8"/>
    </row>
    <row r="487">
      <c r="C487" s="8"/>
    </row>
    <row r="488">
      <c r="C488" s="8"/>
    </row>
    <row r="489">
      <c r="C489" s="8"/>
    </row>
    <row r="490">
      <c r="C490" s="8"/>
    </row>
    <row r="491">
      <c r="C491" s="8"/>
    </row>
    <row r="492">
      <c r="C492" s="8"/>
    </row>
    <row r="493">
      <c r="C493" s="8"/>
    </row>
    <row r="494">
      <c r="C494" s="8"/>
    </row>
    <row r="495">
      <c r="C495" s="8"/>
    </row>
    <row r="496">
      <c r="C496" s="8"/>
    </row>
    <row r="497">
      <c r="C497" s="8"/>
    </row>
    <row r="498">
      <c r="C498" s="8"/>
    </row>
    <row r="499">
      <c r="C499" s="8"/>
    </row>
    <row r="500">
      <c r="C500" s="8"/>
    </row>
    <row r="501">
      <c r="C501" s="8"/>
    </row>
    <row r="502">
      <c r="C502" s="8"/>
    </row>
    <row r="503">
      <c r="C503" s="8"/>
    </row>
    <row r="504">
      <c r="C504" s="8"/>
    </row>
    <row r="505">
      <c r="C505" s="8"/>
    </row>
    <row r="506">
      <c r="C506" s="8"/>
    </row>
    <row r="507">
      <c r="C507" s="8"/>
    </row>
    <row r="508">
      <c r="C508" s="8"/>
    </row>
    <row r="509">
      <c r="C509" s="8"/>
    </row>
    <row r="510">
      <c r="C510" s="8"/>
    </row>
    <row r="511">
      <c r="C511" s="8"/>
    </row>
    <row r="512">
      <c r="C512" s="8"/>
    </row>
    <row r="513">
      <c r="C513" s="8"/>
    </row>
    <row r="514">
      <c r="C514" s="8"/>
    </row>
    <row r="515">
      <c r="C515" s="8"/>
    </row>
    <row r="516">
      <c r="C516" s="8"/>
    </row>
    <row r="517">
      <c r="C517" s="8"/>
    </row>
    <row r="518">
      <c r="C518" s="8"/>
    </row>
    <row r="519">
      <c r="C519" s="8"/>
    </row>
    <row r="520">
      <c r="C520" s="8"/>
    </row>
    <row r="521">
      <c r="C521" s="8"/>
    </row>
    <row r="522">
      <c r="C522" s="8"/>
    </row>
    <row r="523">
      <c r="C523" s="8"/>
    </row>
    <row r="524">
      <c r="C524" s="8"/>
    </row>
    <row r="525">
      <c r="C525" s="8"/>
    </row>
    <row r="526">
      <c r="C526" s="8"/>
    </row>
    <row r="527">
      <c r="C527" s="8"/>
    </row>
    <row r="528">
      <c r="C528" s="8"/>
    </row>
    <row r="529">
      <c r="C529" s="8"/>
    </row>
    <row r="530">
      <c r="C530" s="8"/>
    </row>
    <row r="531">
      <c r="C531" s="8"/>
    </row>
    <row r="532">
      <c r="C532" s="8"/>
    </row>
    <row r="533">
      <c r="C533" s="8"/>
    </row>
    <row r="534">
      <c r="C534" s="8"/>
    </row>
    <row r="535">
      <c r="C535" s="8"/>
    </row>
    <row r="536">
      <c r="C536" s="8"/>
    </row>
    <row r="537">
      <c r="C537" s="8"/>
    </row>
    <row r="538">
      <c r="C538" s="8"/>
    </row>
    <row r="539">
      <c r="C539" s="8"/>
    </row>
    <row r="540">
      <c r="C540" s="8"/>
    </row>
    <row r="541">
      <c r="C541" s="8"/>
    </row>
    <row r="542">
      <c r="C542" s="8"/>
    </row>
    <row r="543">
      <c r="C543" s="8"/>
    </row>
    <row r="544">
      <c r="C544" s="8"/>
    </row>
    <row r="545">
      <c r="C545" s="8"/>
    </row>
    <row r="546">
      <c r="C546" s="8"/>
    </row>
    <row r="547">
      <c r="C547" s="8"/>
    </row>
    <row r="548">
      <c r="C548" s="8"/>
    </row>
    <row r="549">
      <c r="C549" s="8"/>
    </row>
    <row r="550">
      <c r="C550" s="8"/>
    </row>
    <row r="551">
      <c r="C551" s="8"/>
    </row>
    <row r="552">
      <c r="C552" s="8"/>
    </row>
    <row r="553">
      <c r="C553" s="8"/>
    </row>
    <row r="554">
      <c r="C554" s="8"/>
    </row>
    <row r="555">
      <c r="C555" s="8"/>
    </row>
    <row r="556">
      <c r="C556" s="8"/>
    </row>
    <row r="557">
      <c r="C557" s="8"/>
    </row>
    <row r="558">
      <c r="C558" s="8"/>
    </row>
    <row r="559">
      <c r="C559" s="8"/>
    </row>
    <row r="560">
      <c r="C560" s="8"/>
    </row>
    <row r="561">
      <c r="C561" s="8"/>
    </row>
    <row r="562">
      <c r="C562" s="8"/>
    </row>
    <row r="563">
      <c r="C563" s="8"/>
    </row>
    <row r="564">
      <c r="C564" s="8"/>
    </row>
    <row r="565">
      <c r="C565" s="8"/>
    </row>
    <row r="566">
      <c r="C566" s="8"/>
    </row>
    <row r="567">
      <c r="C567" s="8"/>
    </row>
    <row r="568">
      <c r="C568" s="8"/>
    </row>
    <row r="569">
      <c r="C569" s="8"/>
    </row>
    <row r="570">
      <c r="C570" s="8"/>
    </row>
    <row r="571">
      <c r="C571" s="8"/>
    </row>
    <row r="572">
      <c r="C572" s="8"/>
    </row>
    <row r="573">
      <c r="C573" s="8"/>
    </row>
    <row r="574">
      <c r="C574" s="8"/>
    </row>
    <row r="575">
      <c r="C575" s="8"/>
    </row>
    <row r="576">
      <c r="C576" s="8"/>
    </row>
    <row r="577">
      <c r="C577" s="8"/>
    </row>
    <row r="578">
      <c r="C578" s="8"/>
    </row>
    <row r="579">
      <c r="C579" s="8"/>
    </row>
    <row r="580">
      <c r="C580" s="8"/>
    </row>
    <row r="581">
      <c r="C581" s="8"/>
    </row>
    <row r="582">
      <c r="C582" s="8"/>
    </row>
    <row r="583">
      <c r="C583" s="8"/>
    </row>
    <row r="584">
      <c r="C584" s="8"/>
    </row>
    <row r="585">
      <c r="C585" s="8"/>
    </row>
    <row r="586">
      <c r="C586" s="8"/>
    </row>
    <row r="587">
      <c r="C587" s="8"/>
    </row>
    <row r="588">
      <c r="C588" s="8"/>
    </row>
    <row r="589">
      <c r="C589" s="8"/>
    </row>
    <row r="590">
      <c r="C590" s="8"/>
    </row>
    <row r="591">
      <c r="C591" s="8"/>
    </row>
    <row r="592">
      <c r="C592" s="8"/>
    </row>
    <row r="593">
      <c r="C593" s="8"/>
    </row>
    <row r="594">
      <c r="C594" s="8"/>
    </row>
    <row r="595">
      <c r="C595" s="8"/>
    </row>
    <row r="596">
      <c r="C596" s="8"/>
    </row>
    <row r="597">
      <c r="C597" s="8"/>
    </row>
    <row r="598">
      <c r="C598" s="8"/>
    </row>
    <row r="599">
      <c r="C599" s="8"/>
    </row>
    <row r="600">
      <c r="C600" s="8"/>
    </row>
    <row r="601">
      <c r="C601" s="8"/>
    </row>
    <row r="602">
      <c r="C602" s="8"/>
    </row>
    <row r="603">
      <c r="C603" s="8"/>
    </row>
    <row r="604">
      <c r="C604" s="8"/>
    </row>
    <row r="605">
      <c r="C605" s="8"/>
    </row>
    <row r="606">
      <c r="C606" s="8"/>
    </row>
    <row r="607">
      <c r="C607" s="8"/>
    </row>
    <row r="608">
      <c r="C608" s="8"/>
    </row>
    <row r="609">
      <c r="C609" s="8"/>
    </row>
    <row r="610">
      <c r="C610" s="8"/>
    </row>
    <row r="611">
      <c r="C611" s="8"/>
    </row>
    <row r="612">
      <c r="C612" s="8"/>
    </row>
    <row r="613">
      <c r="C613" s="8"/>
    </row>
    <row r="614">
      <c r="C614" s="8"/>
    </row>
    <row r="615">
      <c r="C615" s="8"/>
    </row>
    <row r="616">
      <c r="C616" s="8"/>
    </row>
    <row r="617">
      <c r="C617" s="8"/>
    </row>
    <row r="618">
      <c r="C618" s="8"/>
    </row>
    <row r="619">
      <c r="C619" s="8"/>
    </row>
    <row r="620">
      <c r="C620" s="8"/>
    </row>
    <row r="621">
      <c r="C621" s="8"/>
    </row>
    <row r="622">
      <c r="C622" s="8"/>
    </row>
    <row r="623">
      <c r="C623" s="8"/>
    </row>
    <row r="624">
      <c r="C624" s="8"/>
    </row>
    <row r="625">
      <c r="C625" s="8"/>
    </row>
    <row r="626">
      <c r="C626" s="8"/>
    </row>
    <row r="627">
      <c r="C627" s="8"/>
    </row>
    <row r="628">
      <c r="C628" s="8"/>
    </row>
    <row r="629">
      <c r="C629" s="8"/>
    </row>
    <row r="630">
      <c r="C630" s="8"/>
    </row>
    <row r="631">
      <c r="C631" s="8"/>
    </row>
    <row r="632">
      <c r="C632" s="8"/>
    </row>
    <row r="633">
      <c r="C633" s="8"/>
    </row>
    <row r="634">
      <c r="C634" s="8"/>
    </row>
    <row r="635">
      <c r="C635" s="8"/>
    </row>
    <row r="636">
      <c r="C636" s="8"/>
    </row>
    <row r="637">
      <c r="C637" s="8"/>
    </row>
    <row r="638">
      <c r="C638" s="8"/>
    </row>
    <row r="639">
      <c r="C639" s="8"/>
    </row>
    <row r="640">
      <c r="C640" s="8"/>
    </row>
    <row r="641">
      <c r="C641" s="8"/>
    </row>
    <row r="642">
      <c r="C642" s="8"/>
    </row>
    <row r="643">
      <c r="C643" s="8"/>
    </row>
    <row r="644">
      <c r="C644" s="8"/>
    </row>
    <row r="645">
      <c r="C645" s="8"/>
    </row>
    <row r="646">
      <c r="C646" s="8"/>
    </row>
    <row r="647">
      <c r="C647" s="8"/>
    </row>
    <row r="648">
      <c r="C648" s="8"/>
    </row>
    <row r="649">
      <c r="C649" s="8"/>
    </row>
    <row r="650">
      <c r="C650" s="8"/>
    </row>
    <row r="651">
      <c r="C651" s="8"/>
    </row>
    <row r="652">
      <c r="C652" s="8"/>
    </row>
    <row r="653">
      <c r="C653" s="8"/>
    </row>
    <row r="654">
      <c r="C654" s="8"/>
    </row>
    <row r="655">
      <c r="C655" s="8"/>
    </row>
    <row r="656">
      <c r="C656" s="8"/>
    </row>
    <row r="657">
      <c r="C657" s="8"/>
    </row>
    <row r="658">
      <c r="C658" s="8"/>
    </row>
    <row r="659">
      <c r="C659" s="8"/>
    </row>
    <row r="660">
      <c r="C660" s="8"/>
    </row>
    <row r="661">
      <c r="C661" s="8"/>
    </row>
    <row r="662">
      <c r="C662" s="8"/>
    </row>
    <row r="663">
      <c r="C663" s="8"/>
    </row>
    <row r="664">
      <c r="C664" s="8"/>
    </row>
    <row r="665">
      <c r="C665" s="8"/>
    </row>
    <row r="666">
      <c r="C666" s="8"/>
    </row>
    <row r="667">
      <c r="C667" s="8"/>
    </row>
    <row r="668">
      <c r="C668" s="8"/>
    </row>
    <row r="669">
      <c r="C669" s="8"/>
    </row>
    <row r="670">
      <c r="C670" s="8"/>
    </row>
    <row r="671">
      <c r="C671" s="8"/>
    </row>
    <row r="672">
      <c r="C672" s="8"/>
    </row>
    <row r="673">
      <c r="C673" s="8"/>
    </row>
    <row r="674">
      <c r="C674" s="8"/>
    </row>
    <row r="675">
      <c r="C675" s="8"/>
    </row>
    <row r="676">
      <c r="C676" s="8"/>
    </row>
    <row r="677">
      <c r="C677" s="8"/>
    </row>
    <row r="678">
      <c r="C678" s="8"/>
    </row>
    <row r="679">
      <c r="C679" s="8"/>
    </row>
    <row r="680">
      <c r="C680" s="8"/>
    </row>
    <row r="681">
      <c r="C681" s="8"/>
    </row>
    <row r="682">
      <c r="C682" s="8"/>
    </row>
    <row r="683">
      <c r="C683" s="8"/>
    </row>
    <row r="684">
      <c r="C684" s="8"/>
    </row>
    <row r="685">
      <c r="C685" s="8"/>
    </row>
    <row r="686">
      <c r="C686" s="8"/>
    </row>
    <row r="687">
      <c r="C687" s="8"/>
    </row>
    <row r="688">
      <c r="C688" s="8"/>
    </row>
    <row r="689">
      <c r="C689" s="8"/>
    </row>
    <row r="690">
      <c r="C690" s="8"/>
    </row>
    <row r="691">
      <c r="C691" s="8"/>
    </row>
    <row r="692">
      <c r="C692" s="8"/>
    </row>
    <row r="693">
      <c r="C693" s="8"/>
    </row>
    <row r="694">
      <c r="C694" s="8"/>
    </row>
    <row r="695">
      <c r="C695" s="8"/>
    </row>
    <row r="696">
      <c r="C696" s="8"/>
    </row>
    <row r="697">
      <c r="C697" s="8"/>
    </row>
    <row r="698">
      <c r="C698" s="8"/>
    </row>
    <row r="699">
      <c r="C699" s="8"/>
    </row>
    <row r="700">
      <c r="C700" s="8"/>
    </row>
    <row r="701">
      <c r="C701" s="8"/>
    </row>
    <row r="702">
      <c r="C702" s="8"/>
    </row>
    <row r="703">
      <c r="C703" s="8"/>
    </row>
    <row r="704">
      <c r="C704" s="8"/>
    </row>
    <row r="705">
      <c r="C705" s="8"/>
    </row>
    <row r="706">
      <c r="C706" s="8"/>
    </row>
    <row r="707">
      <c r="C707" s="8"/>
    </row>
    <row r="708">
      <c r="C708" s="8"/>
    </row>
    <row r="709">
      <c r="C709" s="8"/>
    </row>
    <row r="710">
      <c r="C710" s="8"/>
    </row>
    <row r="711">
      <c r="C711" s="8"/>
    </row>
    <row r="712">
      <c r="C712" s="8"/>
    </row>
    <row r="713">
      <c r="C713" s="8"/>
    </row>
    <row r="714">
      <c r="C714" s="8"/>
    </row>
    <row r="715">
      <c r="C715" s="8"/>
    </row>
    <row r="716">
      <c r="C716" s="8"/>
    </row>
    <row r="717">
      <c r="C717" s="8"/>
    </row>
    <row r="718">
      <c r="C718" s="8"/>
    </row>
    <row r="719">
      <c r="C719" s="8"/>
    </row>
    <row r="720">
      <c r="C720" s="8"/>
    </row>
    <row r="721">
      <c r="C721" s="8"/>
    </row>
    <row r="722">
      <c r="C722" s="8"/>
    </row>
    <row r="723">
      <c r="C723" s="8"/>
    </row>
    <row r="724">
      <c r="C724" s="8"/>
    </row>
    <row r="725">
      <c r="C725" s="8"/>
    </row>
    <row r="726">
      <c r="C726" s="8"/>
    </row>
    <row r="727">
      <c r="C727" s="8"/>
    </row>
    <row r="728">
      <c r="C728" s="8"/>
    </row>
    <row r="729">
      <c r="C729" s="8"/>
    </row>
    <row r="730">
      <c r="C730" s="8"/>
    </row>
    <row r="731">
      <c r="C731" s="8"/>
    </row>
    <row r="732">
      <c r="C732" s="8"/>
    </row>
    <row r="733">
      <c r="C733" s="8"/>
    </row>
    <row r="734">
      <c r="C734" s="8"/>
    </row>
    <row r="735">
      <c r="C735" s="8"/>
    </row>
    <row r="736">
      <c r="C736" s="8"/>
    </row>
    <row r="737">
      <c r="C737" s="8"/>
    </row>
    <row r="738">
      <c r="C738" s="8"/>
    </row>
    <row r="739">
      <c r="C739" s="8"/>
    </row>
    <row r="740">
      <c r="C740" s="8"/>
    </row>
    <row r="741">
      <c r="C741" s="8"/>
    </row>
    <row r="742">
      <c r="C742" s="8"/>
    </row>
    <row r="743">
      <c r="C743" s="8"/>
    </row>
    <row r="744">
      <c r="C744" s="8"/>
    </row>
    <row r="745">
      <c r="C745" s="8"/>
    </row>
    <row r="746">
      <c r="C746" s="8"/>
    </row>
    <row r="747">
      <c r="C747" s="8"/>
    </row>
    <row r="748">
      <c r="C748" s="8"/>
    </row>
    <row r="749">
      <c r="C749" s="8"/>
    </row>
    <row r="750">
      <c r="C750" s="8"/>
    </row>
    <row r="751">
      <c r="C751" s="8"/>
    </row>
    <row r="752">
      <c r="C752" s="8"/>
    </row>
    <row r="753">
      <c r="C753" s="8"/>
    </row>
    <row r="754">
      <c r="C754" s="8"/>
    </row>
    <row r="755">
      <c r="C755" s="8"/>
    </row>
    <row r="756">
      <c r="C756" s="8"/>
    </row>
    <row r="757">
      <c r="C757" s="8"/>
    </row>
    <row r="758">
      <c r="C758" s="8"/>
    </row>
    <row r="759">
      <c r="C759" s="8"/>
    </row>
    <row r="760">
      <c r="C760" s="8"/>
    </row>
    <row r="761">
      <c r="C761" s="8"/>
    </row>
    <row r="762">
      <c r="C762" s="8"/>
    </row>
    <row r="763">
      <c r="C763" s="8"/>
    </row>
    <row r="764">
      <c r="C764" s="8"/>
    </row>
    <row r="765">
      <c r="C765" s="8"/>
    </row>
    <row r="766">
      <c r="C766" s="8"/>
    </row>
    <row r="767">
      <c r="C767" s="8"/>
    </row>
    <row r="768">
      <c r="C768" s="8"/>
    </row>
    <row r="769">
      <c r="C769" s="8"/>
    </row>
    <row r="770">
      <c r="C770" s="8"/>
    </row>
    <row r="771">
      <c r="C771" s="8"/>
    </row>
    <row r="772">
      <c r="C772" s="8"/>
    </row>
    <row r="773">
      <c r="C773" s="8"/>
    </row>
    <row r="774">
      <c r="C774" s="8"/>
    </row>
    <row r="775">
      <c r="C775" s="8"/>
    </row>
    <row r="776">
      <c r="C776" s="8"/>
    </row>
    <row r="777">
      <c r="C777" s="8"/>
    </row>
    <row r="778">
      <c r="C778" s="8"/>
    </row>
    <row r="779">
      <c r="C779" s="8"/>
    </row>
    <row r="780">
      <c r="C780" s="8"/>
    </row>
    <row r="781">
      <c r="C781" s="8"/>
    </row>
    <row r="782">
      <c r="C782" s="8"/>
    </row>
    <row r="783">
      <c r="C783" s="8"/>
    </row>
    <row r="784">
      <c r="C784" s="8"/>
    </row>
    <row r="785">
      <c r="C785" s="8"/>
    </row>
    <row r="786">
      <c r="C786" s="8"/>
    </row>
    <row r="787">
      <c r="C787" s="8"/>
    </row>
    <row r="788">
      <c r="C788" s="8"/>
    </row>
    <row r="789">
      <c r="C789" s="8"/>
    </row>
    <row r="790">
      <c r="C790" s="8"/>
    </row>
    <row r="791">
      <c r="C791" s="8"/>
    </row>
    <row r="792">
      <c r="C792" s="8"/>
    </row>
    <row r="793">
      <c r="C793" s="8"/>
    </row>
    <row r="794">
      <c r="C794" s="8"/>
    </row>
    <row r="795">
      <c r="C795" s="8"/>
    </row>
    <row r="796">
      <c r="C796" s="8"/>
    </row>
    <row r="797">
      <c r="C797" s="8"/>
    </row>
    <row r="798">
      <c r="C798" s="8"/>
    </row>
    <row r="799">
      <c r="C799" s="8"/>
    </row>
    <row r="800">
      <c r="C800" s="8"/>
    </row>
    <row r="801">
      <c r="C801" s="8"/>
    </row>
    <row r="802">
      <c r="C802" s="8"/>
    </row>
    <row r="803">
      <c r="C803" s="8"/>
    </row>
    <row r="804">
      <c r="C804" s="8"/>
    </row>
    <row r="805">
      <c r="C805" s="8"/>
    </row>
    <row r="806">
      <c r="C806" s="8"/>
    </row>
    <row r="807">
      <c r="C807" s="8"/>
    </row>
    <row r="808">
      <c r="C808" s="8"/>
    </row>
    <row r="809">
      <c r="C809" s="8"/>
    </row>
    <row r="810">
      <c r="C810" s="8"/>
    </row>
    <row r="811">
      <c r="C811" s="8"/>
    </row>
    <row r="812">
      <c r="C812" s="8"/>
    </row>
    <row r="813">
      <c r="C813" s="8"/>
    </row>
    <row r="814">
      <c r="C814" s="8"/>
    </row>
    <row r="815">
      <c r="C815" s="8"/>
    </row>
    <row r="816">
      <c r="C816" s="8"/>
    </row>
    <row r="817">
      <c r="C817" s="8"/>
    </row>
    <row r="818">
      <c r="C818" s="8"/>
    </row>
    <row r="819">
      <c r="C819" s="8"/>
    </row>
    <row r="820">
      <c r="C820" s="8"/>
    </row>
    <row r="821">
      <c r="C821" s="8"/>
    </row>
    <row r="822">
      <c r="C822" s="8"/>
    </row>
    <row r="823">
      <c r="C823" s="8"/>
    </row>
    <row r="824">
      <c r="C824" s="8"/>
    </row>
    <row r="825">
      <c r="C825" s="8"/>
    </row>
    <row r="826">
      <c r="C826" s="8"/>
    </row>
    <row r="827">
      <c r="C827" s="8"/>
    </row>
    <row r="828">
      <c r="C828" s="8"/>
    </row>
    <row r="829">
      <c r="C829" s="8"/>
    </row>
    <row r="830">
      <c r="C830" s="8"/>
    </row>
    <row r="831">
      <c r="C831" s="8"/>
    </row>
    <row r="832">
      <c r="C832" s="8"/>
    </row>
    <row r="833">
      <c r="C833" s="8"/>
    </row>
    <row r="834">
      <c r="C834" s="8"/>
    </row>
    <row r="835">
      <c r="C835" s="8"/>
    </row>
    <row r="836">
      <c r="C836" s="8"/>
    </row>
    <row r="837">
      <c r="C837" s="8"/>
    </row>
    <row r="838">
      <c r="C838" s="8"/>
    </row>
    <row r="839">
      <c r="C839" s="8"/>
    </row>
    <row r="840">
      <c r="C840" s="8"/>
    </row>
    <row r="841">
      <c r="C841" s="8"/>
    </row>
    <row r="842">
      <c r="C842" s="8"/>
    </row>
    <row r="843">
      <c r="C843" s="8"/>
    </row>
    <row r="844">
      <c r="C844" s="8"/>
    </row>
    <row r="845">
      <c r="C845" s="8"/>
    </row>
    <row r="846">
      <c r="C846" s="8"/>
    </row>
    <row r="847">
      <c r="C847" s="8"/>
    </row>
    <row r="848">
      <c r="C848" s="8"/>
    </row>
    <row r="849">
      <c r="C849" s="8"/>
    </row>
    <row r="850">
      <c r="C850" s="8"/>
    </row>
    <row r="851">
      <c r="C851" s="8"/>
    </row>
    <row r="852">
      <c r="C852" s="8"/>
    </row>
    <row r="853">
      <c r="C853" s="8"/>
    </row>
    <row r="854">
      <c r="C854" s="8"/>
    </row>
    <row r="855">
      <c r="C855" s="8"/>
    </row>
    <row r="856">
      <c r="C856" s="8"/>
    </row>
    <row r="857">
      <c r="C857" s="8"/>
    </row>
    <row r="858">
      <c r="C858" s="8"/>
    </row>
    <row r="859">
      <c r="C859" s="8"/>
    </row>
    <row r="860">
      <c r="C860" s="8"/>
    </row>
    <row r="861">
      <c r="C861" s="8"/>
    </row>
    <row r="862">
      <c r="C862" s="8"/>
    </row>
    <row r="863">
      <c r="C863" s="8"/>
    </row>
    <row r="864">
      <c r="C864" s="8"/>
    </row>
    <row r="865">
      <c r="C865" s="8"/>
    </row>
    <row r="866">
      <c r="C866" s="8"/>
    </row>
    <row r="867">
      <c r="C867" s="8"/>
    </row>
    <row r="868">
      <c r="C868" s="8"/>
    </row>
    <row r="869">
      <c r="C869" s="8"/>
    </row>
    <row r="870">
      <c r="C870" s="8"/>
    </row>
    <row r="871">
      <c r="C871" s="8"/>
    </row>
    <row r="872">
      <c r="C872" s="8"/>
    </row>
    <row r="873">
      <c r="C873" s="8"/>
    </row>
    <row r="874">
      <c r="C874" s="8"/>
    </row>
    <row r="875">
      <c r="C875" s="8"/>
    </row>
    <row r="876">
      <c r="C876" s="8"/>
    </row>
    <row r="877">
      <c r="C877" s="8"/>
    </row>
    <row r="878">
      <c r="C878" s="8"/>
    </row>
    <row r="879">
      <c r="C879" s="8"/>
    </row>
    <row r="880">
      <c r="C880" s="8"/>
    </row>
    <row r="881">
      <c r="C881" s="8"/>
    </row>
    <row r="882">
      <c r="C882" s="8"/>
    </row>
    <row r="883">
      <c r="C883" s="8"/>
    </row>
    <row r="884">
      <c r="C884" s="8"/>
    </row>
    <row r="885">
      <c r="C885" s="8"/>
    </row>
    <row r="886">
      <c r="C886" s="8"/>
    </row>
    <row r="887">
      <c r="C887" s="8"/>
    </row>
    <row r="888">
      <c r="C888" s="8"/>
    </row>
    <row r="889">
      <c r="C889" s="8"/>
    </row>
    <row r="890">
      <c r="C890" s="8"/>
    </row>
    <row r="891">
      <c r="C891" s="8"/>
    </row>
    <row r="892">
      <c r="C892" s="8"/>
    </row>
    <row r="893">
      <c r="C893" s="8"/>
    </row>
    <row r="894">
      <c r="C894" s="8"/>
    </row>
    <row r="895">
      <c r="C895" s="8"/>
    </row>
    <row r="896">
      <c r="C896" s="8"/>
    </row>
    <row r="897">
      <c r="C897" s="8"/>
    </row>
    <row r="898">
      <c r="C898" s="8"/>
    </row>
    <row r="899">
      <c r="C899" s="8"/>
    </row>
    <row r="900">
      <c r="C900" s="8"/>
    </row>
    <row r="901">
      <c r="C901" s="8"/>
    </row>
    <row r="902">
      <c r="C902" s="8"/>
    </row>
    <row r="903">
      <c r="C903" s="8"/>
    </row>
    <row r="904">
      <c r="C904" s="8"/>
    </row>
    <row r="905">
      <c r="C905" s="8"/>
    </row>
    <row r="906">
      <c r="C906" s="8"/>
    </row>
    <row r="907">
      <c r="C907" s="8"/>
    </row>
    <row r="908">
      <c r="C908" s="8"/>
    </row>
    <row r="909">
      <c r="C909" s="8"/>
    </row>
    <row r="910">
      <c r="C910" s="8"/>
    </row>
    <row r="911">
      <c r="C911" s="8"/>
    </row>
    <row r="912">
      <c r="C912" s="8"/>
    </row>
    <row r="913">
      <c r="C913" s="8"/>
    </row>
    <row r="914">
      <c r="C914" s="8"/>
    </row>
    <row r="915">
      <c r="C915" s="8"/>
    </row>
    <row r="916">
      <c r="C916" s="8"/>
    </row>
    <row r="917">
      <c r="C917" s="8"/>
    </row>
    <row r="918">
      <c r="C918" s="8"/>
    </row>
    <row r="919">
      <c r="C919" s="8"/>
    </row>
    <row r="920">
      <c r="C920" s="8"/>
    </row>
    <row r="921">
      <c r="C921" s="8"/>
    </row>
    <row r="922">
      <c r="C922" s="8"/>
    </row>
    <row r="923">
      <c r="C923" s="8"/>
    </row>
    <row r="924">
      <c r="C924" s="8"/>
    </row>
    <row r="925">
      <c r="C925" s="8"/>
    </row>
    <row r="926">
      <c r="C926" s="8"/>
    </row>
    <row r="927">
      <c r="C927" s="8"/>
    </row>
    <row r="928">
      <c r="C928" s="8"/>
    </row>
    <row r="929">
      <c r="C929" s="8"/>
    </row>
    <row r="930">
      <c r="C930" s="8"/>
    </row>
    <row r="931">
      <c r="C931" s="8"/>
    </row>
    <row r="932">
      <c r="C932" s="8"/>
    </row>
    <row r="933">
      <c r="C933" s="8"/>
    </row>
    <row r="934">
      <c r="C934" s="8"/>
    </row>
    <row r="935">
      <c r="C935" s="8"/>
    </row>
    <row r="936">
      <c r="C936" s="8"/>
    </row>
    <row r="937">
      <c r="C937" s="8"/>
    </row>
    <row r="938">
      <c r="C938" s="8"/>
    </row>
    <row r="939">
      <c r="C939" s="8"/>
    </row>
    <row r="940">
      <c r="C940" s="8"/>
    </row>
    <row r="941">
      <c r="C941" s="8"/>
    </row>
    <row r="942">
      <c r="C942" s="8"/>
    </row>
    <row r="943">
      <c r="C943" s="8"/>
    </row>
    <row r="944">
      <c r="C944" s="8"/>
    </row>
    <row r="945">
      <c r="C945" s="8"/>
    </row>
    <row r="946">
      <c r="C946" s="8"/>
    </row>
    <row r="947">
      <c r="C947" s="8"/>
    </row>
    <row r="948">
      <c r="C948" s="8"/>
    </row>
    <row r="949">
      <c r="C949" s="8"/>
    </row>
    <row r="950">
      <c r="C950" s="8"/>
    </row>
    <row r="951">
      <c r="C951" s="8"/>
    </row>
    <row r="952">
      <c r="C952" s="8"/>
    </row>
    <row r="953">
      <c r="C953" s="8"/>
    </row>
    <row r="954">
      <c r="C954" s="8"/>
    </row>
    <row r="955">
      <c r="C955" s="8"/>
    </row>
    <row r="956">
      <c r="C956" s="8"/>
    </row>
    <row r="957">
      <c r="C957" s="8"/>
    </row>
    <row r="958">
      <c r="C958" s="8"/>
    </row>
    <row r="959">
      <c r="C959" s="8"/>
    </row>
    <row r="960">
      <c r="C960" s="8"/>
    </row>
    <row r="961">
      <c r="C961" s="8"/>
    </row>
    <row r="962">
      <c r="C962" s="8"/>
    </row>
    <row r="963">
      <c r="C963" s="8"/>
    </row>
    <row r="964">
      <c r="C964" s="8"/>
    </row>
    <row r="965">
      <c r="C965" s="8"/>
    </row>
    <row r="966">
      <c r="C966" s="8"/>
    </row>
    <row r="967">
      <c r="C967" s="8"/>
    </row>
    <row r="968">
      <c r="C968" s="8"/>
    </row>
    <row r="969">
      <c r="C969" s="8"/>
    </row>
    <row r="970">
      <c r="C970" s="8"/>
    </row>
    <row r="971">
      <c r="C971" s="8"/>
    </row>
    <row r="972">
      <c r="C972" s="8"/>
    </row>
    <row r="973">
      <c r="C973" s="8"/>
    </row>
    <row r="974">
      <c r="C974" s="8"/>
    </row>
    <row r="975">
      <c r="C975" s="8"/>
    </row>
    <row r="976">
      <c r="C976" s="8"/>
    </row>
    <row r="977">
      <c r="C977" s="8"/>
    </row>
    <row r="978">
      <c r="C978" s="8"/>
    </row>
    <row r="979">
      <c r="C979" s="8"/>
    </row>
    <row r="980">
      <c r="C980" s="8"/>
    </row>
    <row r="981">
      <c r="C981" s="8"/>
    </row>
    <row r="982">
      <c r="C982" s="8"/>
    </row>
    <row r="983">
      <c r="C983" s="8"/>
    </row>
    <row r="984">
      <c r="C984" s="8"/>
    </row>
    <row r="985">
      <c r="C985" s="8"/>
    </row>
    <row r="986">
      <c r="C986" s="8"/>
    </row>
    <row r="987">
      <c r="C987" s="8"/>
    </row>
    <row r="988">
      <c r="C988" s="8"/>
    </row>
    <row r="989">
      <c r="C989" s="8"/>
    </row>
    <row r="990">
      <c r="C990" s="8"/>
    </row>
    <row r="991">
      <c r="C991" s="8"/>
    </row>
    <row r="992">
      <c r="C992" s="8"/>
    </row>
    <row r="993">
      <c r="C993" s="8"/>
    </row>
    <row r="994">
      <c r="C994" s="8"/>
    </row>
    <row r="995">
      <c r="C995" s="8"/>
    </row>
    <row r="996">
      <c r="C996" s="8"/>
    </row>
    <row r="997">
      <c r="C997" s="8"/>
    </row>
    <row r="998">
      <c r="C998" s="8"/>
    </row>
    <row r="999">
      <c r="C999" s="8"/>
    </row>
    <row r="1000">
      <c r="C1000" s="8"/>
    </row>
    <row r="1001">
      <c r="C1001" s="8"/>
    </row>
    <row r="1002">
      <c r="C1002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customWidth="1" min="1" max="1" width="16.25"/>
    <col customWidth="1" min="2" max="2" width="14.88"/>
    <col customWidth="1" min="3" max="4" width="11.38"/>
    <col customWidth="1" min="5" max="5" width="15.75"/>
    <col customWidth="1" min="6" max="6" width="14.13"/>
    <col customWidth="1" min="7" max="7" width="20.88"/>
    <col customWidth="1" min="8" max="9" width="16.75"/>
    <col customWidth="1" min="10" max="11" width="9.75"/>
    <col customWidth="1" min="12" max="12" width="11.75"/>
    <col customWidth="1" min="13" max="13" width="12.63"/>
    <col customWidth="1" min="14" max="14" width="9.75"/>
    <col customWidth="1" min="15" max="16" width="11.75"/>
    <col customWidth="1" min="17" max="17" width="12.38"/>
    <col customWidth="1" min="18" max="18" width="8.75"/>
    <col customWidth="1" min="19" max="19" width="10.75"/>
    <col customWidth="1" min="20" max="20" width="7.75"/>
    <col customWidth="1" min="21" max="21" width="8.88"/>
    <col customWidth="1" min="22" max="23" width="11.75"/>
    <col customWidth="1" min="24" max="24" width="11.88"/>
    <col customWidth="1" min="25" max="25" width="11.13"/>
    <col customWidth="1" min="26" max="26" width="10.75"/>
    <col customWidth="1" min="27" max="27" width="7.75"/>
    <col customWidth="1" min="28" max="28" width="11.75"/>
    <col customWidth="1" min="29" max="29" width="9.88"/>
    <col customWidth="1" min="30" max="33" width="11.75"/>
  </cols>
  <sheetData>
    <row r="1">
      <c r="A1" s="9" t="s">
        <v>108</v>
      </c>
      <c r="B1" s="2" t="s">
        <v>109</v>
      </c>
      <c r="C1" s="2" t="s">
        <v>110</v>
      </c>
      <c r="D1" s="2" t="s">
        <v>111</v>
      </c>
      <c r="E1" s="4" t="s">
        <v>112</v>
      </c>
      <c r="F1" s="1" t="s">
        <v>0</v>
      </c>
      <c r="G1" s="2" t="s">
        <v>1</v>
      </c>
      <c r="H1" s="2" t="s">
        <v>2</v>
      </c>
      <c r="I1" s="4" t="s">
        <v>3</v>
      </c>
      <c r="J1" s="10" t="s">
        <v>113</v>
      </c>
      <c r="K1" s="11" t="s">
        <v>114</v>
      </c>
      <c r="L1" s="12" t="s">
        <v>115</v>
      </c>
      <c r="M1" s="13" t="s">
        <v>116</v>
      </c>
      <c r="N1" s="14" t="s">
        <v>117</v>
      </c>
      <c r="O1" s="15" t="s">
        <v>118</v>
      </c>
      <c r="P1" s="16" t="s">
        <v>119</v>
      </c>
      <c r="Q1" s="2" t="s">
        <v>120</v>
      </c>
      <c r="R1" s="17" t="s">
        <v>121</v>
      </c>
      <c r="S1" s="18" t="s">
        <v>122</v>
      </c>
      <c r="T1" s="19" t="s">
        <v>123</v>
      </c>
      <c r="U1" s="20" t="s">
        <v>124</v>
      </c>
      <c r="V1" s="21" t="s">
        <v>125</v>
      </c>
      <c r="W1" s="15" t="s">
        <v>126</v>
      </c>
      <c r="X1" s="22" t="s">
        <v>127</v>
      </c>
      <c r="Y1" s="22" t="s">
        <v>128</v>
      </c>
      <c r="Z1" s="15" t="s">
        <v>129</v>
      </c>
      <c r="AA1" s="21" t="s">
        <v>130</v>
      </c>
      <c r="AB1" s="21" t="s">
        <v>131</v>
      </c>
      <c r="AC1" s="4" t="s">
        <v>132</v>
      </c>
      <c r="AD1" s="4" t="s">
        <v>133</v>
      </c>
      <c r="AE1" s="4" t="s">
        <v>134</v>
      </c>
      <c r="AF1" s="4" t="s">
        <v>135</v>
      </c>
      <c r="AG1" s="4" t="s">
        <v>136</v>
      </c>
    </row>
    <row r="2" hidden="1">
      <c r="A2" s="23" t="str">
        <f t="array" ref="A2">if(G2='Room Info'!$B$1, INDEX('Room Info'!$A$2:$A3446, MATCH(B2,'Room Info'!$B$2:$B3446, 0)),if(G2='Room Info'!$C$1, INDEX('Room Info'!$A$2:$A3446, MATCH(B2,'Room Info'!$C$2:$C3446, 0)),if(G2='Room Info'!$D$1, INDEX('Room Info'!$A$2:$A3446, MATCH(B2,'Room Info'!$D$2:$D3446, 0)),if(G2='Room Info'!$E$1, INDEX('Room Info'!$A$2:$A3446, MATCH(B2,'Room Info'!$E$2:$E3446, 0)),if(G2='Room Info'!$F$1, INDEX('Room Info'!$A$2:$A3446, MATCH(B2,'Room Info'!$F$2:$F3446, 0)),if(G2='Room Info'!$H$1, INDEX('Room Info'!$A$2:$A3446, MATCH(B2,'Room Info'!$H$2:$H3446, 0)),if(G2='Room Info'!$G$1, INDEX('Room Info'!$A$2:$A3446, MATCH(B2,'Room Info'!$G$2:$G3446, 0)))))))))</f>
        <v>007x2</v>
      </c>
      <c r="B2" s="23" t="s">
        <v>137</v>
      </c>
      <c r="C2" s="24">
        <v>44886.0</v>
      </c>
      <c r="D2" s="25">
        <v>44915.0</v>
      </c>
      <c r="E2" s="26">
        <v>44896.0</v>
      </c>
      <c r="F2" s="27" t="s">
        <v>4</v>
      </c>
      <c r="G2" s="23" t="s">
        <v>5</v>
      </c>
      <c r="H2" s="28" t="s">
        <v>28</v>
      </c>
      <c r="I2" s="28" t="s">
        <v>7</v>
      </c>
      <c r="J2" s="29">
        <v>2.0</v>
      </c>
      <c r="K2" s="30">
        <v>1.0</v>
      </c>
      <c r="L2" s="31">
        <v>2.0</v>
      </c>
      <c r="M2" s="32"/>
      <c r="N2" s="33">
        <f t="shared" ref="N2:N76" si="1">K2*J2</f>
        <v>2</v>
      </c>
      <c r="O2" s="23">
        <v>102.0</v>
      </c>
      <c r="P2" s="34">
        <f t="shared" ref="P2:P76" si="2">iferror(O2/K2)</f>
        <v>102</v>
      </c>
      <c r="Q2" s="35"/>
      <c r="R2" s="36">
        <f t="shared" ref="R2:R76" si="3">M2+Q2</f>
        <v>0</v>
      </c>
      <c r="S2" s="33">
        <v>0.0</v>
      </c>
      <c r="T2" s="37">
        <f t="shared" ref="T2:T76" si="4">R2+S2+if(F2="Without EV deal",L2,0)</f>
        <v>0</v>
      </c>
      <c r="U2" s="38">
        <v>1.0</v>
      </c>
      <c r="V2" s="39">
        <v>8.17</v>
      </c>
      <c r="W2" s="39">
        <v>132.53</v>
      </c>
      <c r="X2" s="35">
        <f t="shared" ref="X2:X71" si="5">IF(AF2="DoEV",IF(AND(V2&lt;20,W2&lt;55),0.3,0)+IF(AND(V2&lt;20,W2&gt;=55,W2&lt;105),0.23,0)+IF(AND(V2&lt;20,W2&gt;=105),0.17,0)+IF(AND(V2&gt;=20,V2&lt;40,W2&lt;45),0.3,0)+IF(AND(V2&gt;=20,V2&lt;40,W2&gt;=45,W2&lt;95),0.23,0)+IF(AND(V2&gt;=20,V2&lt;40,W2&gt;=95),0.17,0)+IF(AND(V2&gt;=40,V2&lt;75,W2&lt;35),0.3,0)+IF(AND(V2&gt;=40,V2&lt;75,W2&gt;=35,W2&lt;75),0.23,0)+IF(AND(V2&gt;=40,V2&lt;75,W2&gt;=75,W2&lt;120),0.17,0)+IF(AND(V2&gt;=40,V2&lt;75,W2&gt;=120),0.12,0)+IF(AND(V2&gt;=75,V2&lt;175,W2&lt;35),0.3,0)+IF(AND(V2&gt;=75,V2&lt;=175,W2&gt;=35,W2&lt;65),0.23,0)+IF(AND(V2&gt;=75,V2&lt;=175,W2&gt;=65,W2&lt;110),0.17,0)+IF(AND(V2&gt;=75,V2&lt;=175,W2&gt;=110),0.12,0)+IF(AND(V2&gt;175,W2&lt;25),0.3,0)+IF(AND(V2&gt;175,W2&gt;=25,W2&lt;55),0.23,0)+IF(AND(V2&gt;175,W2&gt;=55,W2&lt;95),0.17,0)+IF(AND(V2&gt;175,W2&gt;=95),0.12,0),
IF(AF2="Fix15",0.15,
IF(AF2="Fix11.25",0.1125,
IF(AF2="Fix10",0.1,
IF(AF2="Fix9",0.09,
IF(AF2="DoEV2017",IF(AND(W2&lt;74),0.2,0)+IF(AND(W2&gt;=74),0.17,0),
IF(AF2="SF",IF(AND(V2&lt;20,W2&lt;89),0.3,0)+IF(AND(V2&lt;20,W2&gt;=89),0.25,0)+IF(AND(V2&gt;=20,V2&lt;40,W2&lt;74),0.3,0)+IF(AND(V2&gt;=20,V2&lt;40,W2&gt;=75),0.22,0)+IF(AND(V2&gt;=40,V2&lt;75,W2&lt;75),0.26,0)+IF(AND(V2&gt;=40,V2&lt;75,W2&gt;=75),0.22,0)+IF(V2&gt;=75,0.22,0),
IF(AF2="DoEVold",IF(AND(V2&lt;40,W2&lt;35),0.35,0)+IF(AND(V2&lt;40,W2&gt;=35,W2&lt;75),0.25,0)+IF(AND(V2&lt;40,W2&gt;=75),0.17,0)+IF(AND(V2&gt;=40,V2&lt;75,W2&lt;25),0.35,0)+IF(AND(V2&gt;=40,V2&lt;75,W2&gt;=25,W2&lt;65),0.25,0)+IF(AND(V2&gt;=40,V2&lt;75,W2&gt;=65,W2&lt;100),0.17,0)+IF(AND(V2&gt;=40,V2&lt;75,W2&gt;=100),0.1,0)+IF(AND(V2&gt;=75,W2&lt;25),0.35,0)+IF(AND(V2&gt;=75,W2&gt;=25,W2&lt;60),0.25,0)+IF(AND(V2&gt;=75,W2&gt;=60,W2&lt;95),0.17,0)+IF(AND(V2&gt;=75,W2&gt;=95),0.1,0),
IF(AF2="DoEVold15",IF(AND(V2&lt;=40,W2&lt;35),0.35,0)+IF(AND(V2&lt;=40,W2&gt;=35,W2&lt;75),0.25,0)+IF(AND(V2&lt;=40,W2&gt;=75,W2&lt;120),0.17,0)+IF(AND(V2&lt;=40,W2&gt;=120),0.15,0)+IF(AND(V2&gt;40,V2&lt;75,W2&lt;25),0.35,0)+IF(AND(V2&gt;=40,V2&lt;75,W2&gt;=25,W2&lt;65),0.25,0)+IF(AND(V2&gt;=40,V2&lt;75,W2&gt;=65,W2&lt;100),0.17,0)+IF(AND(V2&gt;=40,V2&lt;75,W2&gt;=100),0.1,0)+IF(AND(V2&gt;=75,W2&lt;25),0.35,0)+IF(AND(V2&gt;=75,W2&gt;=25,W2&lt;60),0.25,0)+IF(AND(V2&gt;=75,W2&gt;=60,W2&lt;95),0.17,0)+IF(AND(V2&gt;=75,W2&gt;=95),0.1,0),
IF(AF2="DoEVba",IF(AND(V2&lt;20,W2&lt;105),0.2,0)+IF(AND(V2&lt;20,W2&gt;=105),0.15,0)+IF(AND(V2&gt;=20,V2&lt;40,W2&lt;95),0.2,0)+IF(AND(V2&gt;=20,V2&lt;40,W2&gt;=95,W2&lt;150),0.15,0)+IF(AND(V2&gt;=20,V2&lt;40,W2&gt;=150),0.12,0)+IF(AND(V2&gt;=40,V2&lt;75,W2&lt;75),0.2,0)+IF(AND(V2&gt;=40,V2&lt;75,W2&gt;=75,W2&lt;120),0.15,0)+IF(AND(V2&gt;=40,V2&lt;75,W2&gt;=120),0.12,0)+IF(AND(V2&gt;=75,V2&lt;175,W2&lt;65),0.2,0)+IF(AND(V2&gt;=75,V2&lt;175,W2&gt;=65,W2&lt;110),0.15,0)+IF(AND(V2&gt;=75,V2&lt;175,W2&gt;=110),0.12,0)+IF(AND(V2&gt;=175,W2&lt;55),0.2,0)+IF(AND(V2&gt;=175,W2&gt;=55,W2&lt;95),0.15,0)+IF(AND(V2&gt;=175,W2&gt;=95),0.12,0),
IF(AF2="DoEVku",IF(AND(V2&lt;20,W2&lt;55),0.23,0)+IF(AND(V2&lt;20,W2&gt;=55,W2&lt;105),0.2,0)+IF(AND(V2&lt;20,W2&gt;=105),0.17,0)+IF(AND(V2&gt;=20,V2&lt;40,W2&lt;45),0.23,0)+IF(AND(V2&gt;=20,V2&lt;40,W2&gt;=45,W2&lt;95),0.2,0)+IF(AND(V2&gt;=20,V2&lt;40,W2&gt;=95,W2&lt;=150),0.17,0)+IF(AND(V2&gt;=20,V2&lt;40,W2&gt;=150),0.12,0)+IF(AND(V2&gt;=40,V2&lt;75,W2&lt;35),0.23,0)+IF(AND(V2&gt;=40,V2&lt;75,W2&gt;=35,W2&lt;75),0.2,0)+IF(AND(V2&gt;=40,V2&lt;75,W2&gt;=75,W2&lt;120),0.17,0)+IF(AND(V2&gt;=40,V2&lt;75,W2&gt;=120),0.12,0)+IF(AND(V2&gt;=75,V2&lt;175,W2&lt;35),0.23,0)+IF(AND(V2&gt;=75,V2&lt;=175,W2&gt;=35,W2&lt;65),0.2,0)+IF(AND(V2&gt;=75,V2&lt;=175,W2&gt;=65,W2&lt;110),0.17,0)+IF(AND(V2&gt;=75,V2&lt;=175,W2&gt;=110),0.12,0)+IF(AND(V2&gt;175,W2&lt;25),0.23,0)+IF(AND(V2&gt;175,W2&gt;=25,W2&lt;55),0.2,0)+IF(AND(V2&gt;175,W2&gt;=55,W2&lt;95),0.17,0)+IF(AND(V2&gt;175,W2&gt;=95),0.12,0),
IF(AF2="DoEVs1",IF(AND(V2&lt;20,W2&lt;55),0.3,0)+IF(AND(V2&lt;20,W2&gt;=55,W2&lt;105),0.23,0)+IF(AND(V2&lt;20,W2&gt;=105),0.17,0)+IF(AND(V2&gt;=20,V2&lt;40,W2&lt;45),0.3,0)+IF(AND(V2&gt;=20,V2&lt;40,W2&gt;=45,W2&lt;95),0.23,0)+IF(AND(V2&gt;=20,V2&lt;40,W2&gt;=95,W2&lt;=150),0.17,0)+IF(AND(V2&gt;=20,V2&lt;40,W2&gt;=150),0.12,0)+IF(AND(V2&gt;=40,V2&lt;75,W2&lt;35),0.3,0)+IF(AND(V2&gt;=40,V2&lt;75,W2&gt;=35,W2&lt;75),0.23,0)+IF(AND(V2&gt;=40,V2&lt;75,W2&gt;=75,W2&lt;120),0.17,0)+IF(AND(V2&gt;=40,V2&lt;75,W2&gt;=120),0.12,0)+IF(AND(V2&gt;=75,V2&lt;175,W2&lt;35),0.3,0)+IF(AND(V2&gt;=75,V2&lt;=175,W2&gt;=35,W2&lt;65),0.23,0)+IF(AND(V2&gt;=75,V2&lt;=175,W2&gt;=65,W2&lt;110),0.17,0)+IF(AND(V2&gt;=75,V2&lt;=175,W2&gt;=110),0.12,0)+IF(AND(V2&gt;175,W2&lt;25),0.3,0)+IF(AND(V2&gt;175,W2&gt;=25,W2&lt;55),0.23,0)+IF(AND(V2&gt;175,W2&gt;=55,W2&lt;95),0.17,0)+IF(AND(V2&gt;175,W2&gt;=95),0.12,0),
IF(AF2="DoEVsu",IF(AND(V2&lt;20,W2&lt;55),0.3,0)+IF(AND(V2&lt;20,W2&gt;=55,W2&lt;105),0.23,0)+IF(AND(V2&lt;20,W2&gt;=105),0.17,0)+IF(AND(V2&gt;=20,V2&lt;40,W2&lt;45),0.3,0)+IF(AND(V2&gt;=20,V2&lt;40,W2&gt;=45,W2&lt;95),0.23,0)+IF(AND(V2&gt;=20,V2&lt;40,W2&gt;=95,W2&lt;=250),0.17,0)+IF(AND(V2&gt;=20,V2&lt;40,W2&gt;=250),0.12,0)+IF(AND(V2&gt;=40,V2&lt;75,W2&lt;35),0.3,0)+IF(AND(V2&gt;=40,V2&lt;75,W2&gt;=35,W2&lt;75),0.23,0)+IF(AND(V2&gt;=40,V2&lt;75,W2&gt;=75,W2&lt;120),0.17,0)+IF(AND(V2&gt;=40,V2&lt;75,W2&gt;=120),0.12,0)+IF(AND(V2&gt;=75,V2&lt;175,W2&lt;35),0.3,0)+IF(AND(V2&gt;=75,V2&lt;=175,W2&gt;=35,W2&lt;65),0.23,0)+IF(AND(V2&gt;=75,V2&lt;=175,W2&gt;=65,W2&lt;110),0.17,0)+IF(AND(V2&gt;=75,V2&lt;=175,W2&gt;=110),0.12,0)+IF(AND(V2&gt;175,W2&lt;25),0.3,0)+IF(AND(V2&gt;175,W2&gt;=25,W2&lt;55),0.23,0)+IF(AND(V2&gt;175,W2&gt;=55,W2&lt;95),0.17,0)+IF(AND(V2&gt;175,W2&gt;=95),0.12,0),
IF(AF2="DoEVni",IF(AND(V2&lt;20,W2&lt;55),0.3,0)+IF(AND(V2&lt;20,W2&gt;=55,W2&lt;105),0.23,0)+IF(AND(V2&lt;20,W2&gt;=105),0.17,0)+IF(AND(V2&gt;=20,V2&lt;40,W2&lt;45),0.3,0)+IF(AND(V2&gt;=20,V2&lt;40,W2&gt;=45,W2&lt;95),0.23,0)+IF(AND(V2&gt;=20,V2&lt;40,W2&gt;=95,W2&lt;=200),0.17,0)+IF(AND(V2&gt;=20,V2&lt;40,W2&gt;=200),0.12,0)+IF(AND(V2&gt;=40,V2&lt;75,W2&lt;35),0.3,0)+IF(AND(V2&gt;=40,V2&lt;75,W2&gt;=35,W2&lt;75),0.23,0)+IF(AND(V2&gt;=40,V2&lt;75,W2&gt;=75,W2&lt;120),0.17,0)+IF(AND(V2&gt;=40,V2&lt;75,W2&gt;=120),0.12,0)+IF(AND(V2&gt;=75,V2&lt;175,W2&lt;35),0.3,0)+IF(AND(V2&gt;=75,V2&lt;=175,W2&gt;=35,W2&lt;65),0.23,0)+IF(AND(V2&gt;=75,V2&lt;=175,W2&gt;=65,W2&lt;110),0.17,0)+IF(AND(V2&gt;=75,V2&lt;=175,W2&gt;=110),0.12,0)+IF(AND(V2&gt;175,W2&lt;25),0.3,0)+IF(AND(V2&gt;175,W2&gt;=25,W2&lt;55),0.23,0)+IF(AND(V2&gt;175,W2&gt;=55,W2&lt;95),0.17,0)+IF(AND(V2&gt;175,W2&gt;=95),0.12,0),
IF(AF2="DoEVLo",IF(AND(V2&lt;20,W2&lt;55),0.25,0)+IF(AND(V2&lt;20,W2&gt;=55,W2&lt;105),0.2,0)+IF(AND(V2&lt;20,W2&gt;=105),0.15,0)+IF(AND(V2&gt;=20,V2&lt;40,W2&lt;45),0.25,0)+IF(AND(V2&gt;=20,V2&lt;40,W2&gt;=45,W2&lt;95),0.2,0)+IF(AND(V2&gt;=20,V2&lt;40,W2&gt;=95),0.15,0)+IF(AND(V2&gt;=40,V2&lt;75,W2&lt;35),0.25,0)+IF(AND(V2&gt;=40,V2&lt;75,W2&gt;=35,W2&lt;75),0.2,0)+IF(AND(V2&gt;=40,V2&lt;75,W2&gt;=75,W2&lt;120),0.15,0)+IF(AND(V2&gt;=40,V2&lt;75,W2&gt;=120),0.1,0)+IF(AND(V2&gt;=75,V2&lt;175,W2&lt;35),0.25,0)+IF(AND(V2&gt;=75,V2&lt;=175,W2&gt;=35,W2&lt;65),0.2,0)+IF(AND(V2&gt;=75,V2&lt;=175,W2&gt;=65,W2&lt;110),0.15,0)+IF(AND(V2&gt;=75,V2&lt;=175,W2&gt;=110),0.1,0)+IF(AND(V2&gt;175,W2&lt;25),0.25,0)+IF(AND(V2&gt;175,W2&gt;=25,W2&lt;55),0.2,0)+IF(AND(V2&gt;175,W2&gt;=55,W2&lt;95),0.15,0)+IF(AND(V2&gt;175,W2&gt;=95),0.1,0))))))))))))))))</f>
        <v>0.17</v>
      </c>
      <c r="Y2" s="35">
        <f t="shared" ref="Y2:Y76" si="6">if(AG2="None",0,if(AG2="Fix5",0.05,if(AG2="Fix3.75",0.0375,if(AG2="Fix10",0.1,if(AG2="Fix3",0.03,0)))))</f>
        <v>0</v>
      </c>
      <c r="Z2" s="40">
        <f t="shared" ref="Z2:Z50" si="7">T2-AA2-AB2</f>
        <v>0</v>
      </c>
      <c r="AA2" s="34">
        <f t="shared" ref="AA2:AA50" si="8">if(AD2="EUR",((T2-R2)*X2)*U2+(R2*X2),(T2*X2))</f>
        <v>0</v>
      </c>
      <c r="AB2" s="41">
        <f t="shared" ref="AB2:AB50" si="9">if(AD2="EUR",((T2-R2)*Y2)*U2+(R2*Y2),(T2*Y2))</f>
        <v>0</v>
      </c>
      <c r="AC2" s="42" t="b">
        <v>1</v>
      </c>
      <c r="AD2" s="42" t="s">
        <v>138</v>
      </c>
      <c r="AE2" s="42" t="s">
        <v>138</v>
      </c>
      <c r="AF2" s="42" t="str">
        <f t="array" ref="AF2">INDEX('Deal Info'!D:D, MATCH(A2,'Deal Info'!A:A, 0))</f>
        <v>DoEV</v>
      </c>
      <c r="AG2" s="43" t="str">
        <f t="array" ref="AG2">INDEX('Deal Info'!G:G, MATCH(A2,'Deal Info'!A:A, 0))</f>
        <v>None</v>
      </c>
    </row>
    <row r="3" hidden="1">
      <c r="A3" s="23" t="str">
        <f t="array" ref="A3">if(G3='Room Info'!$B$1, INDEX('Room Info'!$A$2:$A3446, MATCH(B3,'Room Info'!$B$2:$B3446, 0)),if(G3='Room Info'!$C$1, INDEX('Room Info'!$A$2:$A3446, MATCH(B3,'Room Info'!$C$2:$C3446, 0)),if(G3='Room Info'!$D$1, INDEX('Room Info'!$A$2:$A3446, MATCH(B3,'Room Info'!$D$2:$D3446, 0)),if(G3='Room Info'!$E$1, INDEX('Room Info'!$A$2:$A3446, MATCH(B3,'Room Info'!$E$2:$E3446, 0)),if(G3='Room Info'!$F$1, INDEX('Room Info'!$A$2:$A3446, MATCH(B3,'Room Info'!$F$2:$F3446, 0)),if(G3='Room Info'!$H$1, INDEX('Room Info'!$A$2:$A3446, MATCH(B3,'Room Info'!$H$2:$H3446, 0)),if(G3='Room Info'!$G$1, INDEX('Room Info'!$A$2:$A3446, MATCH(B3,'Room Info'!$G$2:$G3446, 0)))))))))</f>
        <v>007x2</v>
      </c>
      <c r="B3" s="23" t="s">
        <v>137</v>
      </c>
      <c r="C3" s="24">
        <v>44886.0</v>
      </c>
      <c r="D3" s="25">
        <v>44915.0</v>
      </c>
      <c r="E3" s="26">
        <v>44896.0</v>
      </c>
      <c r="F3" s="27" t="s">
        <v>4</v>
      </c>
      <c r="G3" s="23" t="s">
        <v>5</v>
      </c>
      <c r="H3" s="28" t="s">
        <v>35</v>
      </c>
      <c r="I3" s="28" t="s">
        <v>7</v>
      </c>
      <c r="J3" s="44">
        <v>5.0</v>
      </c>
      <c r="K3" s="30">
        <v>695.0</v>
      </c>
      <c r="L3" s="31">
        <v>80.0</v>
      </c>
      <c r="M3" s="32">
        <v>239.0</v>
      </c>
      <c r="N3" s="33">
        <f t="shared" si="1"/>
        <v>3475</v>
      </c>
      <c r="O3" s="23">
        <v>51600.0</v>
      </c>
      <c r="P3" s="34">
        <f t="shared" si="2"/>
        <v>74.24460432</v>
      </c>
      <c r="Q3" s="35"/>
      <c r="R3" s="36">
        <f t="shared" si="3"/>
        <v>239</v>
      </c>
      <c r="S3" s="33">
        <v>161.0</v>
      </c>
      <c r="T3" s="37">
        <f t="shared" si="4"/>
        <v>400</v>
      </c>
      <c r="U3" s="38">
        <v>1.0</v>
      </c>
      <c r="V3" s="39">
        <v>8.17</v>
      </c>
      <c r="W3" s="39">
        <v>132.53</v>
      </c>
      <c r="X3" s="35">
        <f t="shared" si="5"/>
        <v>0.17</v>
      </c>
      <c r="Y3" s="35">
        <f t="shared" si="6"/>
        <v>0</v>
      </c>
      <c r="Z3" s="40">
        <f t="shared" si="7"/>
        <v>332</v>
      </c>
      <c r="AA3" s="34">
        <f t="shared" si="8"/>
        <v>68</v>
      </c>
      <c r="AB3" s="41">
        <f t="shared" si="9"/>
        <v>0</v>
      </c>
      <c r="AC3" s="42" t="b">
        <v>1</v>
      </c>
      <c r="AD3" s="42" t="s">
        <v>138</v>
      </c>
      <c r="AE3" s="42" t="s">
        <v>138</v>
      </c>
      <c r="AF3" s="42" t="str">
        <f t="array" ref="AF3">INDEX('Deal Info'!D:D, MATCH(A3,'Deal Info'!A:A, 0))</f>
        <v>DoEV</v>
      </c>
      <c r="AG3" s="43" t="str">
        <f t="array" ref="AG3">INDEX('Deal Info'!G:G, MATCH(A3,'Deal Info'!A:A, 0))</f>
        <v>None</v>
      </c>
    </row>
    <row r="4" hidden="1">
      <c r="A4" s="23" t="str">
        <f t="array" ref="A4">if(G4='Room Info'!$B$1, INDEX('Room Info'!$A$2:$A3446, MATCH(B4,'Room Info'!$B$2:$B3446, 0)),if(G4='Room Info'!$C$1, INDEX('Room Info'!$A$2:$A3446, MATCH(B4,'Room Info'!$C$2:$C3446, 0)),if(G4='Room Info'!$D$1, INDEX('Room Info'!$A$2:$A3446, MATCH(B4,'Room Info'!$D$2:$D3446, 0)),if(G4='Room Info'!$E$1, INDEX('Room Info'!$A$2:$A3446, MATCH(B4,'Room Info'!$E$2:$E3446, 0)),if(G4='Room Info'!$F$1, INDEX('Room Info'!$A$2:$A3446, MATCH(B4,'Room Info'!$F$2:$F3446, 0)),if(G4='Room Info'!$H$1, INDEX('Room Info'!$A$2:$A3446, MATCH(B4,'Room Info'!$H$2:$H3446, 0)),if(G4='Room Info'!$G$1, INDEX('Room Info'!$A$2:$A3446, MATCH(B4,'Room Info'!$G$2:$G3446, 0)))))))))</f>
        <v>007x2</v>
      </c>
      <c r="B4" s="23" t="s">
        <v>137</v>
      </c>
      <c r="C4" s="24">
        <v>44886.0</v>
      </c>
      <c r="D4" s="25">
        <v>44915.0</v>
      </c>
      <c r="E4" s="26">
        <v>44896.0</v>
      </c>
      <c r="F4" s="27" t="s">
        <v>4</v>
      </c>
      <c r="G4" s="23" t="s">
        <v>5</v>
      </c>
      <c r="H4" s="28" t="s">
        <v>45</v>
      </c>
      <c r="I4" s="28" t="s">
        <v>7</v>
      </c>
      <c r="J4" s="44">
        <v>10.0</v>
      </c>
      <c r="K4" s="30">
        <v>1210.0</v>
      </c>
      <c r="L4" s="31">
        <v>1340.0</v>
      </c>
      <c r="M4" s="32">
        <v>730.0</v>
      </c>
      <c r="N4" s="33">
        <f t="shared" si="1"/>
        <v>12100</v>
      </c>
      <c r="O4" s="23">
        <v>46480.0</v>
      </c>
      <c r="P4" s="34">
        <f t="shared" si="2"/>
        <v>38.41322314</v>
      </c>
      <c r="Q4" s="35"/>
      <c r="R4" s="36">
        <f t="shared" si="3"/>
        <v>730</v>
      </c>
      <c r="S4" s="33">
        <v>-45.0</v>
      </c>
      <c r="T4" s="37">
        <f t="shared" si="4"/>
        <v>685</v>
      </c>
      <c r="U4" s="38">
        <v>1.0</v>
      </c>
      <c r="V4" s="39">
        <v>8.17</v>
      </c>
      <c r="W4" s="39">
        <v>132.53</v>
      </c>
      <c r="X4" s="35">
        <f t="shared" si="5"/>
        <v>0.17</v>
      </c>
      <c r="Y4" s="35">
        <f t="shared" si="6"/>
        <v>0</v>
      </c>
      <c r="Z4" s="40">
        <f t="shared" si="7"/>
        <v>568.55</v>
      </c>
      <c r="AA4" s="34">
        <f t="shared" si="8"/>
        <v>116.45</v>
      </c>
      <c r="AB4" s="41">
        <f t="shared" si="9"/>
        <v>0</v>
      </c>
      <c r="AC4" s="42" t="b">
        <v>1</v>
      </c>
      <c r="AD4" s="42" t="s">
        <v>138</v>
      </c>
      <c r="AE4" s="42" t="s">
        <v>138</v>
      </c>
      <c r="AF4" s="42" t="str">
        <f t="array" ref="AF4">INDEX('Deal Info'!D:D, MATCH(A4,'Deal Info'!A:A, 0))</f>
        <v>DoEV</v>
      </c>
      <c r="AG4" s="43" t="str">
        <f t="array" ref="AG4">INDEX('Deal Info'!G:G, MATCH(A4,'Deal Info'!A:A, 0))</f>
        <v>None</v>
      </c>
    </row>
    <row r="5" hidden="1">
      <c r="A5" s="23" t="str">
        <f t="array" ref="A5">if(G5='Room Info'!$B$1, INDEX('Room Info'!$A$2:$A3446, MATCH(B5,'Room Info'!$B$2:$B3446, 0)),if(G5='Room Info'!$C$1, INDEX('Room Info'!$A$2:$A3446, MATCH(B5,'Room Info'!$C$2:$C3446, 0)),if(G5='Room Info'!$D$1, INDEX('Room Info'!$A$2:$A3446, MATCH(B5,'Room Info'!$D$2:$D3446, 0)),if(G5='Room Info'!$E$1, INDEX('Room Info'!$A$2:$A3446, MATCH(B5,'Room Info'!$E$2:$E3446, 0)),if(G5='Room Info'!$F$1, INDEX('Room Info'!$A$2:$A3446, MATCH(B5,'Room Info'!$F$2:$F3446, 0)),if(G5='Room Info'!$H$1, INDEX('Room Info'!$A$2:$A3446, MATCH(B5,'Room Info'!$H$2:$H3446, 0)),if(G5='Room Info'!$G$1, INDEX('Room Info'!$A$2:$A3446, MATCH(B5,'Room Info'!$G$2:$G3446, 0)))))))))</f>
        <v>007x2</v>
      </c>
      <c r="B5" s="23" t="s">
        <v>137</v>
      </c>
      <c r="C5" s="24">
        <v>44886.0</v>
      </c>
      <c r="D5" s="25">
        <v>44915.0</v>
      </c>
      <c r="E5" s="26">
        <v>44896.0</v>
      </c>
      <c r="F5" s="45" t="s">
        <v>12</v>
      </c>
      <c r="G5" s="23" t="s">
        <v>5</v>
      </c>
      <c r="H5" s="28" t="s">
        <v>20</v>
      </c>
      <c r="I5" s="28" t="s">
        <v>7</v>
      </c>
      <c r="J5" s="44">
        <v>1.0</v>
      </c>
      <c r="K5" s="30">
        <v>1.0</v>
      </c>
      <c r="L5" s="31">
        <v>-1.0</v>
      </c>
      <c r="M5" s="32"/>
      <c r="N5" s="33">
        <f t="shared" si="1"/>
        <v>1</v>
      </c>
      <c r="O5" s="23"/>
      <c r="P5" s="34">
        <f t="shared" si="2"/>
        <v>0</v>
      </c>
      <c r="Q5" s="35"/>
      <c r="R5" s="36">
        <f t="shared" si="3"/>
        <v>0</v>
      </c>
      <c r="S5" s="33"/>
      <c r="T5" s="37">
        <f t="shared" si="4"/>
        <v>-1</v>
      </c>
      <c r="U5" s="38">
        <v>1.0</v>
      </c>
      <c r="V5" s="39">
        <v>8.17</v>
      </c>
      <c r="W5" s="39">
        <v>132.53</v>
      </c>
      <c r="X5" s="35">
        <f t="shared" si="5"/>
        <v>0.17</v>
      </c>
      <c r="Y5" s="35">
        <f t="shared" si="6"/>
        <v>0</v>
      </c>
      <c r="Z5" s="40">
        <f t="shared" si="7"/>
        <v>-0.83</v>
      </c>
      <c r="AA5" s="34">
        <f t="shared" si="8"/>
        <v>-0.17</v>
      </c>
      <c r="AB5" s="41">
        <f t="shared" si="9"/>
        <v>0</v>
      </c>
      <c r="AC5" s="42" t="b">
        <v>1</v>
      </c>
      <c r="AD5" s="42" t="s">
        <v>138</v>
      </c>
      <c r="AE5" s="42" t="s">
        <v>138</v>
      </c>
      <c r="AF5" s="42" t="str">
        <f t="array" ref="AF5">INDEX('Deal Info'!D:D, MATCH(A5,'Deal Info'!A:A, 0))</f>
        <v>DoEV</v>
      </c>
      <c r="AG5" s="43" t="str">
        <f t="array" ref="AG5">INDEX('Deal Info'!G:G, MATCH(A5,'Deal Info'!A:A, 0))</f>
        <v>None</v>
      </c>
    </row>
    <row r="6" hidden="1">
      <c r="A6" s="23" t="str">
        <f t="array" ref="A6">if(G6='Room Info'!$B$1, INDEX('Room Info'!$A$2:$A3446, MATCH(B6,'Room Info'!$B$2:$B3446, 0)),if(G6='Room Info'!$C$1, INDEX('Room Info'!$A$2:$A3446, MATCH(B6,'Room Info'!$C$2:$C3446, 0)),if(G6='Room Info'!$D$1, INDEX('Room Info'!$A$2:$A3446, MATCH(B6,'Room Info'!$D$2:$D3446, 0)),if(G6='Room Info'!$E$1, INDEX('Room Info'!$A$2:$A3446, MATCH(B6,'Room Info'!$E$2:$E3446, 0)),if(G6='Room Info'!$F$1, INDEX('Room Info'!$A$2:$A3446, MATCH(B6,'Room Info'!$F$2:$F3446, 0)),if(G6='Room Info'!$H$1, INDEX('Room Info'!$A$2:$A3446, MATCH(B6,'Room Info'!$H$2:$H3446, 0)),if(G6='Room Info'!$G$1, INDEX('Room Info'!$A$2:$A3446, MATCH(B6,'Room Info'!$G$2:$G3446, 0)))))))))</f>
        <v>007x2</v>
      </c>
      <c r="B6" s="23" t="s">
        <v>137</v>
      </c>
      <c r="C6" s="24">
        <v>44886.0</v>
      </c>
      <c r="D6" s="25">
        <v>44915.0</v>
      </c>
      <c r="E6" s="26">
        <v>44896.0</v>
      </c>
      <c r="F6" s="45" t="s">
        <v>12</v>
      </c>
      <c r="G6" s="23" t="s">
        <v>5</v>
      </c>
      <c r="H6" s="28" t="s">
        <v>29</v>
      </c>
      <c r="I6" s="28" t="s">
        <v>11</v>
      </c>
      <c r="J6" s="44">
        <v>2.0</v>
      </c>
      <c r="K6" s="30">
        <v>1.0</v>
      </c>
      <c r="L6" s="31">
        <v>-2.0</v>
      </c>
      <c r="M6" s="32"/>
      <c r="N6" s="33">
        <f t="shared" si="1"/>
        <v>2</v>
      </c>
      <c r="O6" s="23"/>
      <c r="P6" s="34">
        <f t="shared" si="2"/>
        <v>0</v>
      </c>
      <c r="Q6" s="35"/>
      <c r="R6" s="36">
        <f t="shared" si="3"/>
        <v>0</v>
      </c>
      <c r="S6" s="33"/>
      <c r="T6" s="37">
        <f t="shared" si="4"/>
        <v>-2</v>
      </c>
      <c r="U6" s="38">
        <v>1.0</v>
      </c>
      <c r="V6" s="39">
        <v>8.17</v>
      </c>
      <c r="W6" s="39">
        <v>132.53</v>
      </c>
      <c r="X6" s="35">
        <f t="shared" si="5"/>
        <v>0.17</v>
      </c>
      <c r="Y6" s="35">
        <f t="shared" si="6"/>
        <v>0</v>
      </c>
      <c r="Z6" s="40">
        <f t="shared" si="7"/>
        <v>-1.66</v>
      </c>
      <c r="AA6" s="34">
        <f t="shared" si="8"/>
        <v>-0.34</v>
      </c>
      <c r="AB6" s="41">
        <f t="shared" si="9"/>
        <v>0</v>
      </c>
      <c r="AC6" s="42" t="b">
        <v>1</v>
      </c>
      <c r="AD6" s="42" t="s">
        <v>138</v>
      </c>
      <c r="AE6" s="42" t="s">
        <v>138</v>
      </c>
      <c r="AF6" s="42" t="str">
        <f t="array" ref="AF6">INDEX('Deal Info'!D:D, MATCH(A6,'Deal Info'!A:A, 0))</f>
        <v>DoEV</v>
      </c>
      <c r="AG6" s="43" t="str">
        <f t="array" ref="AG6">INDEX('Deal Info'!G:G, MATCH(A6,'Deal Info'!A:A, 0))</f>
        <v>None</v>
      </c>
    </row>
    <row r="7" hidden="1">
      <c r="A7" s="23" t="str">
        <f t="array" ref="A7">if(G7='Room Info'!$B$1, INDEX('Room Info'!$A$2:$A3446, MATCH(B7,'Room Info'!$B$2:$B3446, 0)),if(G7='Room Info'!$C$1, INDEX('Room Info'!$A$2:$A3446, MATCH(B7,'Room Info'!$C$2:$C3446, 0)),if(G7='Room Info'!$D$1, INDEX('Room Info'!$A$2:$A3446, MATCH(B7,'Room Info'!$D$2:$D3446, 0)),if(G7='Room Info'!$E$1, INDEX('Room Info'!$A$2:$A3446, MATCH(B7,'Room Info'!$E$2:$E3446, 0)),if(G7='Room Info'!$F$1, INDEX('Room Info'!$A$2:$A3446, MATCH(B7,'Room Info'!$F$2:$F3446, 0)),if(G7='Room Info'!$H$1, INDEX('Room Info'!$A$2:$A3446, MATCH(B7,'Room Info'!$H$2:$H3446, 0)),if(G7='Room Info'!$G$1, INDEX('Room Info'!$A$2:$A3446, MATCH(B7,'Room Info'!$G$2:$G3446, 0)))))))))</f>
        <v>007x2</v>
      </c>
      <c r="B7" s="23" t="s">
        <v>137</v>
      </c>
      <c r="C7" s="24">
        <v>44886.0</v>
      </c>
      <c r="D7" s="25">
        <v>44915.0</v>
      </c>
      <c r="E7" s="26">
        <v>44896.0</v>
      </c>
      <c r="F7" s="27" t="s">
        <v>12</v>
      </c>
      <c r="G7" s="23" t="s">
        <v>5</v>
      </c>
      <c r="H7" s="28" t="s">
        <v>6</v>
      </c>
      <c r="I7" s="28" t="s">
        <v>7</v>
      </c>
      <c r="J7" s="44">
        <v>0.25</v>
      </c>
      <c r="K7" s="30">
        <v>1.0</v>
      </c>
      <c r="L7" s="31">
        <v>0.0</v>
      </c>
      <c r="M7" s="32"/>
      <c r="N7" s="33">
        <f t="shared" si="1"/>
        <v>0.25</v>
      </c>
      <c r="O7" s="23"/>
      <c r="P7" s="34">
        <f t="shared" si="2"/>
        <v>0</v>
      </c>
      <c r="Q7" s="35"/>
      <c r="R7" s="36">
        <f t="shared" si="3"/>
        <v>0</v>
      </c>
      <c r="S7" s="33"/>
      <c r="T7" s="37">
        <f t="shared" si="4"/>
        <v>0</v>
      </c>
      <c r="U7" s="38">
        <v>1.0</v>
      </c>
      <c r="V7" s="39">
        <v>8.17</v>
      </c>
      <c r="W7" s="39">
        <v>132.53</v>
      </c>
      <c r="X7" s="35">
        <f t="shared" si="5"/>
        <v>0.17</v>
      </c>
      <c r="Y7" s="35">
        <f t="shared" si="6"/>
        <v>0</v>
      </c>
      <c r="Z7" s="40">
        <f t="shared" si="7"/>
        <v>0</v>
      </c>
      <c r="AA7" s="34">
        <f t="shared" si="8"/>
        <v>0</v>
      </c>
      <c r="AB7" s="41">
        <f t="shared" si="9"/>
        <v>0</v>
      </c>
      <c r="AC7" s="42" t="b">
        <v>1</v>
      </c>
      <c r="AD7" s="42" t="s">
        <v>138</v>
      </c>
      <c r="AE7" s="42" t="s">
        <v>138</v>
      </c>
      <c r="AF7" s="42" t="str">
        <f t="array" ref="AF7">INDEX('Deal Info'!D:D, MATCH(A7,'Deal Info'!A:A, 0))</f>
        <v>DoEV</v>
      </c>
      <c r="AG7" s="43" t="str">
        <f t="array" ref="AG7">INDEX('Deal Info'!G:G, MATCH(A7,'Deal Info'!A:A, 0))</f>
        <v>None</v>
      </c>
    </row>
    <row r="8" hidden="1">
      <c r="A8" s="23" t="str">
        <f t="array" ref="A8">if(G8='Room Info'!$B$1, INDEX('Room Info'!$A$2:$A3446, MATCH(B8,'Room Info'!$B$2:$B3446, 0)),if(G8='Room Info'!$C$1, INDEX('Room Info'!$A$2:$A3446, MATCH(B8,'Room Info'!$C$2:$C3446, 0)),if(G8='Room Info'!$D$1, INDEX('Room Info'!$A$2:$A3446, MATCH(B8,'Room Info'!$D$2:$D3446, 0)),if(G8='Room Info'!$E$1, INDEX('Room Info'!$A$2:$A3446, MATCH(B8,'Room Info'!$E$2:$E3446, 0)),if(G8='Room Info'!$F$1, INDEX('Room Info'!$A$2:$A3446, MATCH(B8,'Room Info'!$F$2:$F3446, 0)),if(G8='Room Info'!$H$1, INDEX('Room Info'!$A$2:$A3446, MATCH(B8,'Room Info'!$H$2:$H3446, 0)),if(G8='Room Info'!$G$1, INDEX('Room Info'!$A$2:$A3446, MATCH(B8,'Room Info'!$G$2:$G3446, 0)))))))))</f>
        <v>007x2</v>
      </c>
      <c r="B8" s="23" t="s">
        <v>137</v>
      </c>
      <c r="C8" s="24">
        <v>44886.0</v>
      </c>
      <c r="D8" s="25">
        <v>44915.0</v>
      </c>
      <c r="E8" s="26">
        <v>44896.0</v>
      </c>
      <c r="F8" s="27" t="s">
        <v>12</v>
      </c>
      <c r="G8" s="23" t="s">
        <v>5</v>
      </c>
      <c r="H8" s="28" t="s">
        <v>62</v>
      </c>
      <c r="I8" s="28" t="s">
        <v>7</v>
      </c>
      <c r="J8" s="44">
        <v>25.0</v>
      </c>
      <c r="K8" s="30">
        <v>2.0</v>
      </c>
      <c r="L8" s="31">
        <v>0.0</v>
      </c>
      <c r="M8" s="32">
        <v>3.0</v>
      </c>
      <c r="N8" s="33">
        <f t="shared" si="1"/>
        <v>50</v>
      </c>
      <c r="O8" s="23"/>
      <c r="P8" s="34">
        <f t="shared" si="2"/>
        <v>0</v>
      </c>
      <c r="Q8" s="35"/>
      <c r="R8" s="36">
        <f t="shared" si="3"/>
        <v>3</v>
      </c>
      <c r="S8" s="33"/>
      <c r="T8" s="37">
        <f t="shared" si="4"/>
        <v>3</v>
      </c>
      <c r="U8" s="38">
        <v>1.0</v>
      </c>
      <c r="V8" s="39">
        <v>8.17</v>
      </c>
      <c r="W8" s="39">
        <v>132.53</v>
      </c>
      <c r="X8" s="35">
        <f t="shared" si="5"/>
        <v>0.17</v>
      </c>
      <c r="Y8" s="35">
        <f t="shared" si="6"/>
        <v>0</v>
      </c>
      <c r="Z8" s="40">
        <f t="shared" si="7"/>
        <v>2.49</v>
      </c>
      <c r="AA8" s="34">
        <f t="shared" si="8"/>
        <v>0.51</v>
      </c>
      <c r="AB8" s="41">
        <f t="shared" si="9"/>
        <v>0</v>
      </c>
      <c r="AC8" s="42" t="b">
        <v>1</v>
      </c>
      <c r="AD8" s="42" t="s">
        <v>138</v>
      </c>
      <c r="AE8" s="42" t="s">
        <v>138</v>
      </c>
      <c r="AF8" s="42" t="str">
        <f t="array" ref="AF8">INDEX('Deal Info'!D:D, MATCH(A8,'Deal Info'!A:A, 0))</f>
        <v>DoEV</v>
      </c>
      <c r="AG8" s="43" t="str">
        <f t="array" ref="AG8">INDEX('Deal Info'!G:G, MATCH(A8,'Deal Info'!A:A, 0))</f>
        <v>None</v>
      </c>
    </row>
    <row r="9" hidden="1">
      <c r="A9" s="23" t="str">
        <f t="array" ref="A9">if(G9='Room Info'!$B$1, INDEX('Room Info'!$A$2:$A3446, MATCH(B9,'Room Info'!$B$2:$B3446, 0)),if(G9='Room Info'!$C$1, INDEX('Room Info'!$A$2:$A3446, MATCH(B9,'Room Info'!$C$2:$C3446, 0)),if(G9='Room Info'!$D$1, INDEX('Room Info'!$A$2:$A3446, MATCH(B9,'Room Info'!$D$2:$D3446, 0)),if(G9='Room Info'!$E$1, INDEX('Room Info'!$A$2:$A3446, MATCH(B9,'Room Info'!$E$2:$E3446, 0)),if(G9='Room Info'!$F$1, INDEX('Room Info'!$A$2:$A3446, MATCH(B9,'Room Info'!$F$2:$F3446, 0)),if(G9='Room Info'!$H$1, INDEX('Room Info'!$A$2:$A3446, MATCH(B9,'Room Info'!$H$2:$H3446, 0)),if(G9='Room Info'!$G$1, INDEX('Room Info'!$A$2:$A3446, MATCH(B9,'Room Info'!$G$2:$G3446, 0)))))))))</f>
        <v>007x2</v>
      </c>
      <c r="B9" s="23" t="s">
        <v>137</v>
      </c>
      <c r="C9" s="24">
        <v>44886.0</v>
      </c>
      <c r="D9" s="25">
        <v>44915.0</v>
      </c>
      <c r="E9" s="26">
        <v>44896.0</v>
      </c>
      <c r="F9" s="27" t="s">
        <v>12</v>
      </c>
      <c r="G9" s="23" t="s">
        <v>5</v>
      </c>
      <c r="H9" s="28" t="s">
        <v>23</v>
      </c>
      <c r="I9" s="28" t="s">
        <v>11</v>
      </c>
      <c r="J9" s="44">
        <v>1.0</v>
      </c>
      <c r="K9" s="30">
        <v>2.0</v>
      </c>
      <c r="L9" s="31">
        <v>-2.0</v>
      </c>
      <c r="M9" s="32"/>
      <c r="N9" s="33">
        <f t="shared" si="1"/>
        <v>2</v>
      </c>
      <c r="O9" s="23"/>
      <c r="P9" s="34">
        <f t="shared" si="2"/>
        <v>0</v>
      </c>
      <c r="Q9" s="35"/>
      <c r="R9" s="36">
        <f t="shared" si="3"/>
        <v>0</v>
      </c>
      <c r="S9" s="33"/>
      <c r="T9" s="37">
        <f t="shared" si="4"/>
        <v>-2</v>
      </c>
      <c r="U9" s="38">
        <v>1.0</v>
      </c>
      <c r="V9" s="39">
        <v>8.17</v>
      </c>
      <c r="W9" s="39">
        <v>132.53</v>
      </c>
      <c r="X9" s="35">
        <f t="shared" si="5"/>
        <v>0.17</v>
      </c>
      <c r="Y9" s="35">
        <f t="shared" si="6"/>
        <v>0</v>
      </c>
      <c r="Z9" s="40">
        <f t="shared" si="7"/>
        <v>-1.66</v>
      </c>
      <c r="AA9" s="34">
        <f t="shared" si="8"/>
        <v>-0.34</v>
      </c>
      <c r="AB9" s="41">
        <f t="shared" si="9"/>
        <v>0</v>
      </c>
      <c r="AC9" s="42" t="b">
        <v>1</v>
      </c>
      <c r="AD9" s="42" t="s">
        <v>138</v>
      </c>
      <c r="AE9" s="42" t="s">
        <v>138</v>
      </c>
      <c r="AF9" s="42" t="str">
        <f t="array" ref="AF9">INDEX('Deal Info'!D:D, MATCH(A9,'Deal Info'!A:A, 0))</f>
        <v>DoEV</v>
      </c>
      <c r="AG9" s="43" t="str">
        <f t="array" ref="AG9">INDEX('Deal Info'!G:G, MATCH(A9,'Deal Info'!A:A, 0))</f>
        <v>None</v>
      </c>
    </row>
    <row r="10" hidden="1">
      <c r="A10" s="23" t="str">
        <f t="array" ref="A10">if(G10='Room Info'!$B$1, INDEX('Room Info'!$A$2:$A3446, MATCH(B10,'Room Info'!$B$2:$B3446, 0)),if(G10='Room Info'!$C$1, INDEX('Room Info'!$A$2:$A3446, MATCH(B10,'Room Info'!$C$2:$C3446, 0)),if(G10='Room Info'!$D$1, INDEX('Room Info'!$A$2:$A3446, MATCH(B10,'Room Info'!$D$2:$D3446, 0)),if(G10='Room Info'!$E$1, INDEX('Room Info'!$A$2:$A3446, MATCH(B10,'Room Info'!$E$2:$E3446, 0)),if(G10='Room Info'!$F$1, INDEX('Room Info'!$A$2:$A3446, MATCH(B10,'Room Info'!$F$2:$F3446, 0)),if(G10='Room Info'!$H$1, INDEX('Room Info'!$A$2:$A3446, MATCH(B10,'Room Info'!$H$2:$H3446, 0)),if(G10='Room Info'!$G$1, INDEX('Room Info'!$A$2:$A3446, MATCH(B10,'Room Info'!$G$2:$G3446, 0)))))))))</f>
        <v>007x2</v>
      </c>
      <c r="B10" s="23" t="s">
        <v>137</v>
      </c>
      <c r="C10" s="24">
        <v>44916.0</v>
      </c>
      <c r="D10" s="25">
        <v>44946.0</v>
      </c>
      <c r="E10" s="26">
        <v>44927.0</v>
      </c>
      <c r="F10" s="27" t="s">
        <v>4</v>
      </c>
      <c r="G10" s="23" t="s">
        <v>5</v>
      </c>
      <c r="H10" s="28" t="s">
        <v>45</v>
      </c>
      <c r="I10" s="28" t="s">
        <v>7</v>
      </c>
      <c r="J10" s="44">
        <v>10.0</v>
      </c>
      <c r="K10" s="30">
        <v>497.0</v>
      </c>
      <c r="L10" s="31">
        <v>350.0</v>
      </c>
      <c r="M10" s="32">
        <v>125.0</v>
      </c>
      <c r="N10" s="33">
        <f t="shared" si="1"/>
        <v>4970</v>
      </c>
      <c r="O10" s="23">
        <v>24382.0</v>
      </c>
      <c r="P10" s="34">
        <f t="shared" si="2"/>
        <v>49.0583501</v>
      </c>
      <c r="Q10" s="35"/>
      <c r="R10" s="36">
        <f t="shared" si="3"/>
        <v>125</v>
      </c>
      <c r="S10" s="33">
        <v>52.0</v>
      </c>
      <c r="T10" s="37">
        <f t="shared" si="4"/>
        <v>177</v>
      </c>
      <c r="U10" s="38">
        <v>1.0</v>
      </c>
      <c r="V10" s="39">
        <v>10.0</v>
      </c>
      <c r="W10" s="39">
        <v>17.7</v>
      </c>
      <c r="X10" s="35">
        <f t="shared" si="5"/>
        <v>0.3</v>
      </c>
      <c r="Y10" s="35">
        <f t="shared" si="6"/>
        <v>0</v>
      </c>
      <c r="Z10" s="40">
        <f t="shared" si="7"/>
        <v>123.9</v>
      </c>
      <c r="AA10" s="34">
        <f t="shared" si="8"/>
        <v>53.1</v>
      </c>
      <c r="AB10" s="41">
        <f t="shared" si="9"/>
        <v>0</v>
      </c>
      <c r="AC10" s="42" t="b">
        <v>1</v>
      </c>
      <c r="AD10" s="42" t="s">
        <v>138</v>
      </c>
      <c r="AE10" s="42" t="s">
        <v>138</v>
      </c>
      <c r="AF10" s="42" t="str">
        <f t="array" ref="AF10">INDEX('Deal Info'!D:D, MATCH(A10,'Deal Info'!A:A, 0))</f>
        <v>DoEV</v>
      </c>
      <c r="AG10" s="43" t="str">
        <f t="array" ref="AG10">INDEX('Deal Info'!G:G, MATCH(A10,'Deal Info'!A:A, 0))</f>
        <v>None</v>
      </c>
    </row>
    <row r="11" hidden="1">
      <c r="A11" s="23" t="str">
        <f t="array" ref="A11">if(G11='Room Info'!$B$1, INDEX('Room Info'!$A$2:$A3446, MATCH(B11,'Room Info'!$B$2:$B3446, 0)),if(G11='Room Info'!$C$1, INDEX('Room Info'!$A$2:$A3446, MATCH(B11,'Room Info'!$C$2:$C3446, 0)),if(G11='Room Info'!$D$1, INDEX('Room Info'!$A$2:$A3446, MATCH(B11,'Room Info'!$D$2:$D3446, 0)),if(G11='Room Info'!$E$1, INDEX('Room Info'!$A$2:$A3446, MATCH(B11,'Room Info'!$E$2:$E3446, 0)),if(G11='Room Info'!$F$1, INDEX('Room Info'!$A$2:$A3446, MATCH(B11,'Room Info'!$F$2:$F3446, 0)),if(G11='Room Info'!$H$1, INDEX('Room Info'!$A$2:$A3446, MATCH(B11,'Room Info'!$H$2:$H3446, 0)),if(G11='Room Info'!$G$1, INDEX('Room Info'!$A$2:$A3446, MATCH(B11,'Room Info'!$G$2:$G3446, 0)))))))))</f>
        <v>00goldimon</v>
      </c>
      <c r="B11" s="23" t="s">
        <v>139</v>
      </c>
      <c r="C11" s="46">
        <v>44649.0</v>
      </c>
      <c r="D11" s="46">
        <v>44681.0</v>
      </c>
      <c r="E11" s="26">
        <v>44652.0</v>
      </c>
      <c r="F11" s="27" t="s">
        <v>8</v>
      </c>
      <c r="G11" s="23" t="s">
        <v>5</v>
      </c>
      <c r="H11" s="28" t="s">
        <v>62</v>
      </c>
      <c r="I11" s="28" t="s">
        <v>7</v>
      </c>
      <c r="J11" s="44">
        <v>25.0</v>
      </c>
      <c r="K11" s="30">
        <v>322.0</v>
      </c>
      <c r="L11" s="31">
        <v>-50.0</v>
      </c>
      <c r="M11" s="47">
        <v>144.0</v>
      </c>
      <c r="N11" s="33">
        <f t="shared" si="1"/>
        <v>8050</v>
      </c>
      <c r="O11" s="23">
        <v>7148.0</v>
      </c>
      <c r="P11" s="34">
        <f t="shared" si="2"/>
        <v>22.19875776</v>
      </c>
      <c r="Q11" s="35"/>
      <c r="R11" s="36">
        <f t="shared" si="3"/>
        <v>144</v>
      </c>
      <c r="S11" s="33">
        <v>-183.0</v>
      </c>
      <c r="T11" s="37">
        <f t="shared" si="4"/>
        <v>-39</v>
      </c>
      <c r="U11" s="38">
        <v>1.0</v>
      </c>
      <c r="V11" s="39">
        <v>11.42804391217565</v>
      </c>
      <c r="W11" s="39">
        <v>84.17888550244959</v>
      </c>
      <c r="X11" s="35">
        <f t="shared" si="5"/>
        <v>0.23</v>
      </c>
      <c r="Y11" s="35">
        <f t="shared" si="6"/>
        <v>0</v>
      </c>
      <c r="Z11" s="40">
        <f t="shared" si="7"/>
        <v>-30.03</v>
      </c>
      <c r="AA11" s="34">
        <f t="shared" si="8"/>
        <v>-8.97</v>
      </c>
      <c r="AB11" s="41">
        <f t="shared" si="9"/>
        <v>0</v>
      </c>
      <c r="AC11" s="42" t="b">
        <v>1</v>
      </c>
      <c r="AD11" s="42" t="s">
        <v>138</v>
      </c>
      <c r="AE11" s="42" t="s">
        <v>138</v>
      </c>
      <c r="AF11" s="42" t="str">
        <f t="array" ref="AF11">INDEX('Deal Info'!D:D, MATCH(A11,'Deal Info'!A:A, 0))</f>
        <v>DoEV</v>
      </c>
      <c r="AG11" s="43" t="str">
        <f t="array" ref="AG11">INDEX('Deal Info'!G:G, MATCH(A11,'Deal Info'!A:A, 0))</f>
        <v>None</v>
      </c>
    </row>
    <row r="12" hidden="1">
      <c r="A12" s="23" t="str">
        <f t="array" ref="A12">if(G12='Room Info'!$B$1, INDEX('Room Info'!$A$2:$A3446, MATCH(B12,'Room Info'!$B$2:$B3446, 0)),if(G12='Room Info'!$C$1, INDEX('Room Info'!$A$2:$A3446, MATCH(B12,'Room Info'!$C$2:$C3446, 0)),if(G12='Room Info'!$D$1, INDEX('Room Info'!$A$2:$A3446, MATCH(B12,'Room Info'!$D$2:$D3446, 0)),if(G12='Room Info'!$E$1, INDEX('Room Info'!$A$2:$A3446, MATCH(B12,'Room Info'!$E$2:$E3446, 0)),if(G12='Room Info'!$F$1, INDEX('Room Info'!$A$2:$A3446, MATCH(B12,'Room Info'!$F$2:$F3446, 0)),if(G12='Room Info'!$H$1, INDEX('Room Info'!$A$2:$A3446, MATCH(B12,'Room Info'!$H$2:$H3446, 0)),if(G12='Room Info'!$G$1, INDEX('Room Info'!$A$2:$A3446, MATCH(B12,'Room Info'!$G$2:$G3446, 0)))))))))</f>
        <v>00goldimon</v>
      </c>
      <c r="B12" s="23" t="s">
        <v>139</v>
      </c>
      <c r="C12" s="46">
        <v>44649.0</v>
      </c>
      <c r="D12" s="46">
        <v>44681.0</v>
      </c>
      <c r="E12" s="26">
        <v>44652.0</v>
      </c>
      <c r="F12" s="27" t="s">
        <v>8</v>
      </c>
      <c r="G12" s="23" t="s">
        <v>5</v>
      </c>
      <c r="H12" s="28" t="s">
        <v>45</v>
      </c>
      <c r="I12" s="28" t="s">
        <v>7</v>
      </c>
      <c r="J12" s="44">
        <v>10.0</v>
      </c>
      <c r="K12" s="30">
        <v>1951.0</v>
      </c>
      <c r="L12" s="31">
        <v>-60.0</v>
      </c>
      <c r="M12" s="47">
        <v>408.0</v>
      </c>
      <c r="N12" s="33">
        <f t="shared" si="1"/>
        <v>19510</v>
      </c>
      <c r="O12" s="23">
        <v>104281.0</v>
      </c>
      <c r="P12" s="34">
        <f t="shared" si="2"/>
        <v>53.45002563</v>
      </c>
      <c r="Q12" s="35"/>
      <c r="R12" s="36">
        <f t="shared" si="3"/>
        <v>408</v>
      </c>
      <c r="S12" s="33">
        <v>472.0</v>
      </c>
      <c r="T12" s="37">
        <f t="shared" si="4"/>
        <v>880</v>
      </c>
      <c r="U12" s="38">
        <v>1.0</v>
      </c>
      <c r="V12" s="39">
        <v>11.42804391217565</v>
      </c>
      <c r="W12" s="39">
        <v>84.17888550244959</v>
      </c>
      <c r="X12" s="35">
        <f t="shared" si="5"/>
        <v>0.23</v>
      </c>
      <c r="Y12" s="35">
        <f t="shared" si="6"/>
        <v>0</v>
      </c>
      <c r="Z12" s="40">
        <f t="shared" si="7"/>
        <v>677.6</v>
      </c>
      <c r="AA12" s="34">
        <f t="shared" si="8"/>
        <v>202.4</v>
      </c>
      <c r="AB12" s="41">
        <f t="shared" si="9"/>
        <v>0</v>
      </c>
      <c r="AC12" s="42" t="b">
        <v>1</v>
      </c>
      <c r="AD12" s="42" t="s">
        <v>138</v>
      </c>
      <c r="AE12" s="42" t="s">
        <v>138</v>
      </c>
      <c r="AF12" s="42" t="str">
        <f t="array" ref="AF12">INDEX('Deal Info'!D:D, MATCH(A12,'Deal Info'!A:A, 0))</f>
        <v>DoEV</v>
      </c>
      <c r="AG12" s="43" t="str">
        <f t="array" ref="AG12">INDEX('Deal Info'!G:G, MATCH(A12,'Deal Info'!A:A, 0))</f>
        <v>None</v>
      </c>
    </row>
    <row r="13" hidden="1">
      <c r="A13" s="23" t="str">
        <f t="array" ref="A13">if(G13='Room Info'!$B$1, INDEX('Room Info'!$A$2:$A3446, MATCH(B13,'Room Info'!$B$2:$B3446, 0)),if(G13='Room Info'!$C$1, INDEX('Room Info'!$A$2:$A3446, MATCH(B13,'Room Info'!$C$2:$C3446, 0)),if(G13='Room Info'!$D$1, INDEX('Room Info'!$A$2:$A3446, MATCH(B13,'Room Info'!$D$2:$D3446, 0)),if(G13='Room Info'!$E$1, INDEX('Room Info'!$A$2:$A3446, MATCH(B13,'Room Info'!$E$2:$E3446, 0)),if(G13='Room Info'!$F$1, INDEX('Room Info'!$A$2:$A3446, MATCH(B13,'Room Info'!$F$2:$F3446, 0)),if(G13='Room Info'!$H$1, INDEX('Room Info'!$A$2:$A3446, MATCH(B13,'Room Info'!$H$2:$H3446, 0)),if(G13='Room Info'!$G$1, INDEX('Room Info'!$A$2:$A3446, MATCH(B13,'Room Info'!$G$2:$G3446, 0)))))))))</f>
        <v>00goldimon</v>
      </c>
      <c r="B13" s="23" t="s">
        <v>139</v>
      </c>
      <c r="C13" s="46">
        <v>44649.0</v>
      </c>
      <c r="D13" s="46">
        <v>44681.0</v>
      </c>
      <c r="E13" s="26">
        <v>44652.0</v>
      </c>
      <c r="F13" s="27" t="s">
        <v>12</v>
      </c>
      <c r="G13" s="23" t="s">
        <v>5</v>
      </c>
      <c r="H13" s="28" t="s">
        <v>20</v>
      </c>
      <c r="I13" s="28" t="s">
        <v>7</v>
      </c>
      <c r="J13" s="44">
        <v>1.0</v>
      </c>
      <c r="K13" s="30">
        <v>22.0</v>
      </c>
      <c r="L13" s="31">
        <v>6.0</v>
      </c>
      <c r="M13" s="32"/>
      <c r="N13" s="33">
        <f t="shared" si="1"/>
        <v>22</v>
      </c>
      <c r="O13" s="23"/>
      <c r="P13" s="34">
        <f t="shared" si="2"/>
        <v>0</v>
      </c>
      <c r="Q13" s="35"/>
      <c r="R13" s="36">
        <f t="shared" si="3"/>
        <v>0</v>
      </c>
      <c r="S13" s="33"/>
      <c r="T13" s="37">
        <f t="shared" si="4"/>
        <v>6</v>
      </c>
      <c r="U13" s="38">
        <v>1.0</v>
      </c>
      <c r="V13" s="39">
        <v>11.42804391217565</v>
      </c>
      <c r="W13" s="39">
        <v>84.17888550244959</v>
      </c>
      <c r="X13" s="35">
        <f t="shared" si="5"/>
        <v>0.23</v>
      </c>
      <c r="Y13" s="35">
        <f t="shared" si="6"/>
        <v>0</v>
      </c>
      <c r="Z13" s="40">
        <f t="shared" si="7"/>
        <v>4.62</v>
      </c>
      <c r="AA13" s="34">
        <f t="shared" si="8"/>
        <v>1.38</v>
      </c>
      <c r="AB13" s="41">
        <f t="shared" si="9"/>
        <v>0</v>
      </c>
      <c r="AC13" s="42" t="b">
        <v>1</v>
      </c>
      <c r="AD13" s="42" t="s">
        <v>138</v>
      </c>
      <c r="AE13" s="42" t="s">
        <v>138</v>
      </c>
      <c r="AF13" s="42" t="str">
        <f t="array" ref="AF13">INDEX('Deal Info'!D:D, MATCH(A13,'Deal Info'!A:A, 0))</f>
        <v>DoEV</v>
      </c>
      <c r="AG13" s="43" t="str">
        <f t="array" ref="AG13">INDEX('Deal Info'!G:G, MATCH(A13,'Deal Info'!A:A, 0))</f>
        <v>None</v>
      </c>
    </row>
    <row r="14" hidden="1">
      <c r="A14" s="23" t="str">
        <f t="array" ref="A14">if(G14='Room Info'!$B$1, INDEX('Room Info'!$A$2:$A3446, MATCH(B14,'Room Info'!$B$2:$B3446, 0)),if(G14='Room Info'!$C$1, INDEX('Room Info'!$A$2:$A3446, MATCH(B14,'Room Info'!$C$2:$C3446, 0)),if(G14='Room Info'!$D$1, INDEX('Room Info'!$A$2:$A3446, MATCH(B14,'Room Info'!$D$2:$D3446, 0)),if(G14='Room Info'!$E$1, INDEX('Room Info'!$A$2:$A3446, MATCH(B14,'Room Info'!$E$2:$E3446, 0)),if(G14='Room Info'!$F$1, INDEX('Room Info'!$A$2:$A3446, MATCH(B14,'Room Info'!$F$2:$F3446, 0)),if(G14='Room Info'!$H$1, INDEX('Room Info'!$A$2:$A3446, MATCH(B14,'Room Info'!$H$2:$H3446, 0)),if(G14='Room Info'!$G$1, INDEX('Room Info'!$A$2:$A3446, MATCH(B14,'Room Info'!$G$2:$G3446, 0)))))))))</f>
        <v>00goldimon</v>
      </c>
      <c r="B14" s="23" t="s">
        <v>139</v>
      </c>
      <c r="C14" s="24">
        <v>44649.0</v>
      </c>
      <c r="D14" s="24">
        <v>44681.0</v>
      </c>
      <c r="E14" s="26">
        <v>44652.0</v>
      </c>
      <c r="F14" s="45" t="s">
        <v>12</v>
      </c>
      <c r="G14" s="23" t="s">
        <v>5</v>
      </c>
      <c r="H14" s="28" t="s">
        <v>6</v>
      </c>
      <c r="I14" s="28" t="s">
        <v>7</v>
      </c>
      <c r="J14" s="44">
        <v>0.25</v>
      </c>
      <c r="K14" s="30">
        <v>1.0</v>
      </c>
      <c r="L14" s="31">
        <v>0.0</v>
      </c>
      <c r="M14" s="32"/>
      <c r="N14" s="33">
        <f t="shared" si="1"/>
        <v>0.25</v>
      </c>
      <c r="O14" s="23"/>
      <c r="P14" s="34">
        <f t="shared" si="2"/>
        <v>0</v>
      </c>
      <c r="Q14" s="35"/>
      <c r="R14" s="36">
        <f t="shared" si="3"/>
        <v>0</v>
      </c>
      <c r="S14" s="33"/>
      <c r="T14" s="37">
        <f t="shared" si="4"/>
        <v>0</v>
      </c>
      <c r="U14" s="38">
        <v>1.0</v>
      </c>
      <c r="V14" s="39">
        <v>11.42804391217565</v>
      </c>
      <c r="W14" s="39">
        <v>84.17888550244959</v>
      </c>
      <c r="X14" s="35">
        <f t="shared" si="5"/>
        <v>0.23</v>
      </c>
      <c r="Y14" s="35">
        <f t="shared" si="6"/>
        <v>0</v>
      </c>
      <c r="Z14" s="40">
        <f t="shared" si="7"/>
        <v>0</v>
      </c>
      <c r="AA14" s="34">
        <f t="shared" si="8"/>
        <v>0</v>
      </c>
      <c r="AB14" s="41">
        <f t="shared" si="9"/>
        <v>0</v>
      </c>
      <c r="AC14" s="42" t="b">
        <v>1</v>
      </c>
      <c r="AD14" s="42" t="s">
        <v>138</v>
      </c>
      <c r="AE14" s="42" t="s">
        <v>138</v>
      </c>
      <c r="AF14" s="42" t="str">
        <f t="array" ref="AF14">INDEX('Deal Info'!D:D, MATCH(A14,'Deal Info'!A:A, 0))</f>
        <v>DoEV</v>
      </c>
      <c r="AG14" s="43" t="str">
        <f t="array" ref="AG14">INDEX('Deal Info'!G:G, MATCH(A14,'Deal Info'!A:A, 0))</f>
        <v>None</v>
      </c>
    </row>
    <row r="15" hidden="1">
      <c r="A15" s="23" t="str">
        <f t="array" ref="A15">if(G15='Room Info'!$B$1, INDEX('Room Info'!$A$2:$A3446, MATCH(B15,'Room Info'!$B$2:$B3446, 0)),if(G15='Room Info'!$C$1, INDEX('Room Info'!$A$2:$A3446, MATCH(B15,'Room Info'!$C$2:$C3446, 0)),if(G15='Room Info'!$D$1, INDEX('Room Info'!$A$2:$A3446, MATCH(B15,'Room Info'!$D$2:$D3446, 0)),if(G15='Room Info'!$E$1, INDEX('Room Info'!$A$2:$A3446, MATCH(B15,'Room Info'!$E$2:$E3446, 0)),if(G15='Room Info'!$F$1, INDEX('Room Info'!$A$2:$A3446, MATCH(B15,'Room Info'!$F$2:$F3446, 0)),if(G15='Room Info'!$H$1, INDEX('Room Info'!$A$2:$A3446, MATCH(B15,'Room Info'!$H$2:$H3446, 0)),if(G15='Room Info'!$G$1, INDEX('Room Info'!$A$2:$A3446, MATCH(B15,'Room Info'!$G$2:$G3446, 0)))))))))</f>
        <v>00goldimon</v>
      </c>
      <c r="B15" s="23" t="s">
        <v>139</v>
      </c>
      <c r="C15" s="24">
        <v>44649.0</v>
      </c>
      <c r="D15" s="24">
        <v>44681.0</v>
      </c>
      <c r="E15" s="26">
        <v>44652.0</v>
      </c>
      <c r="F15" s="45" t="s">
        <v>12</v>
      </c>
      <c r="G15" s="23" t="s">
        <v>5</v>
      </c>
      <c r="H15" s="28" t="s">
        <v>35</v>
      </c>
      <c r="I15" s="28" t="s">
        <v>7</v>
      </c>
      <c r="J15" s="44">
        <v>5.0</v>
      </c>
      <c r="K15" s="30">
        <v>209.0</v>
      </c>
      <c r="L15" s="31">
        <v>90.0</v>
      </c>
      <c r="M15" s="47">
        <v>25.0</v>
      </c>
      <c r="N15" s="33">
        <f t="shared" si="1"/>
        <v>1045</v>
      </c>
      <c r="O15" s="23"/>
      <c r="P15" s="34">
        <f t="shared" si="2"/>
        <v>0</v>
      </c>
      <c r="Q15" s="35"/>
      <c r="R15" s="36">
        <f t="shared" si="3"/>
        <v>25</v>
      </c>
      <c r="S15" s="33"/>
      <c r="T15" s="37">
        <f t="shared" si="4"/>
        <v>115</v>
      </c>
      <c r="U15" s="38">
        <v>1.0</v>
      </c>
      <c r="V15" s="39">
        <v>11.42804391217565</v>
      </c>
      <c r="W15" s="39">
        <v>84.17888550244959</v>
      </c>
      <c r="X15" s="35">
        <f t="shared" si="5"/>
        <v>0.23</v>
      </c>
      <c r="Y15" s="35">
        <f t="shared" si="6"/>
        <v>0</v>
      </c>
      <c r="Z15" s="40">
        <f t="shared" si="7"/>
        <v>88.55</v>
      </c>
      <c r="AA15" s="34">
        <f t="shared" si="8"/>
        <v>26.45</v>
      </c>
      <c r="AB15" s="41">
        <f t="shared" si="9"/>
        <v>0</v>
      </c>
      <c r="AC15" s="42" t="b">
        <v>1</v>
      </c>
      <c r="AD15" s="42" t="s">
        <v>138</v>
      </c>
      <c r="AE15" s="42" t="s">
        <v>138</v>
      </c>
      <c r="AF15" s="42" t="str">
        <f t="array" ref="AF15">INDEX('Deal Info'!D:D, MATCH(A15,'Deal Info'!A:A, 0))</f>
        <v>DoEV</v>
      </c>
      <c r="AG15" s="43" t="str">
        <f t="array" ref="AG15">INDEX('Deal Info'!G:G, MATCH(A15,'Deal Info'!A:A, 0))</f>
        <v>None</v>
      </c>
    </row>
    <row r="16" hidden="1">
      <c r="A16" s="23" t="str">
        <f t="array" ref="A16">if(G16='Room Info'!$B$1, INDEX('Room Info'!$A$2:$A3446, MATCH(B16,'Room Info'!$B$2:$B3446, 0)),if(G16='Room Info'!$C$1, INDEX('Room Info'!$A$2:$A3446, MATCH(B16,'Room Info'!$C$2:$C3446, 0)),if(G16='Room Info'!$D$1, INDEX('Room Info'!$A$2:$A3446, MATCH(B16,'Room Info'!$D$2:$D3446, 0)),if(G16='Room Info'!$E$1, INDEX('Room Info'!$A$2:$A3446, MATCH(B16,'Room Info'!$E$2:$E3446, 0)),if(G16='Room Info'!$F$1, INDEX('Room Info'!$A$2:$A3446, MATCH(B16,'Room Info'!$F$2:$F3446, 0)),if(G16='Room Info'!$H$1, INDEX('Room Info'!$A$2:$A3446, MATCH(B16,'Room Info'!$H$2:$H3446, 0)),if(G16='Room Info'!$G$1, INDEX('Room Info'!$A$2:$A3446, MATCH(B16,'Room Info'!$G$2:$G3446, 0)))))))))</f>
        <v>00goldimon</v>
      </c>
      <c r="B16" s="23" t="s">
        <v>139</v>
      </c>
      <c r="C16" s="46">
        <v>44682.0</v>
      </c>
      <c r="D16" s="46">
        <v>44712.0</v>
      </c>
      <c r="E16" s="26">
        <v>44682.0</v>
      </c>
      <c r="F16" s="27" t="s">
        <v>8</v>
      </c>
      <c r="G16" s="23" t="s">
        <v>5</v>
      </c>
      <c r="H16" s="28" t="s">
        <v>45</v>
      </c>
      <c r="I16" s="28" t="s">
        <v>7</v>
      </c>
      <c r="J16" s="44">
        <v>10.0</v>
      </c>
      <c r="K16" s="30">
        <v>1337.0</v>
      </c>
      <c r="L16" s="31">
        <v>-280.0</v>
      </c>
      <c r="M16" s="47">
        <v>473.0</v>
      </c>
      <c r="N16" s="33">
        <f t="shared" si="1"/>
        <v>13370</v>
      </c>
      <c r="O16" s="23">
        <v>74892.0</v>
      </c>
      <c r="P16" s="34">
        <f t="shared" si="2"/>
        <v>56.01495886</v>
      </c>
      <c r="Q16" s="35"/>
      <c r="R16" s="36">
        <f t="shared" si="3"/>
        <v>473</v>
      </c>
      <c r="S16" s="33">
        <v>193.0</v>
      </c>
      <c r="T16" s="37">
        <f t="shared" si="4"/>
        <v>666</v>
      </c>
      <c r="U16" s="38">
        <v>1.0</v>
      </c>
      <c r="V16" s="39">
        <v>10.920875054418808</v>
      </c>
      <c r="W16" s="39">
        <v>9.43147865777698</v>
      </c>
      <c r="X16" s="35">
        <f t="shared" si="5"/>
        <v>0.3</v>
      </c>
      <c r="Y16" s="35">
        <f t="shared" si="6"/>
        <v>0</v>
      </c>
      <c r="Z16" s="40">
        <f t="shared" si="7"/>
        <v>466.2</v>
      </c>
      <c r="AA16" s="34">
        <f t="shared" si="8"/>
        <v>199.8</v>
      </c>
      <c r="AB16" s="41">
        <f t="shared" si="9"/>
        <v>0</v>
      </c>
      <c r="AC16" s="42" t="b">
        <v>1</v>
      </c>
      <c r="AD16" s="42" t="s">
        <v>138</v>
      </c>
      <c r="AE16" s="42" t="s">
        <v>138</v>
      </c>
      <c r="AF16" s="42" t="str">
        <f t="array" ref="AF16">INDEX('Deal Info'!D:D, MATCH(A16,'Deal Info'!A:A, 0))</f>
        <v>DoEV</v>
      </c>
      <c r="AG16" s="43" t="str">
        <f t="array" ref="AG16">INDEX('Deal Info'!G:G, MATCH(A16,'Deal Info'!A:A, 0))</f>
        <v>None</v>
      </c>
    </row>
    <row r="17" hidden="1">
      <c r="A17" s="23" t="str">
        <f t="array" ref="A17">if(G17='Room Info'!$B$1, INDEX('Room Info'!$A$2:$A3446, MATCH(B17,'Room Info'!$B$2:$B3446, 0)),if(G17='Room Info'!$C$1, INDEX('Room Info'!$A$2:$A3446, MATCH(B17,'Room Info'!$C$2:$C3446, 0)),if(G17='Room Info'!$D$1, INDEX('Room Info'!$A$2:$A3446, MATCH(B17,'Room Info'!$D$2:$D3446, 0)),if(G17='Room Info'!$E$1, INDEX('Room Info'!$A$2:$A3446, MATCH(B17,'Room Info'!$E$2:$E3446, 0)),if(G17='Room Info'!$F$1, INDEX('Room Info'!$A$2:$A3446, MATCH(B17,'Room Info'!$F$2:$F3446, 0)),if(G17='Room Info'!$H$1, INDEX('Room Info'!$A$2:$A3446, MATCH(B17,'Room Info'!$H$2:$H3446, 0)),if(G17='Room Info'!$G$1, INDEX('Room Info'!$A$2:$A3446, MATCH(B17,'Room Info'!$G$2:$G3446, 0)))))))))</f>
        <v>00goldimon</v>
      </c>
      <c r="B17" s="23" t="s">
        <v>139</v>
      </c>
      <c r="C17" s="46">
        <v>44682.0</v>
      </c>
      <c r="D17" s="46">
        <v>44712.0</v>
      </c>
      <c r="E17" s="26">
        <v>44682.0</v>
      </c>
      <c r="F17" s="27" t="s">
        <v>8</v>
      </c>
      <c r="G17" s="23" t="s">
        <v>5</v>
      </c>
      <c r="H17" s="28" t="s">
        <v>62</v>
      </c>
      <c r="I17" s="28" t="s">
        <v>7</v>
      </c>
      <c r="J17" s="44">
        <v>25.0</v>
      </c>
      <c r="K17" s="30">
        <v>346.0</v>
      </c>
      <c r="L17" s="31">
        <v>-750.0</v>
      </c>
      <c r="M17" s="47">
        <v>263.0</v>
      </c>
      <c r="N17" s="33">
        <f t="shared" si="1"/>
        <v>8650</v>
      </c>
      <c r="O17" s="23">
        <v>-3473.0</v>
      </c>
      <c r="P17" s="34">
        <f t="shared" si="2"/>
        <v>-10.03757225</v>
      </c>
      <c r="Q17" s="35"/>
      <c r="R17" s="36">
        <f t="shared" si="3"/>
        <v>263</v>
      </c>
      <c r="S17" s="33">
        <v>-831.0</v>
      </c>
      <c r="T17" s="37">
        <f t="shared" si="4"/>
        <v>-568</v>
      </c>
      <c r="U17" s="38">
        <v>1.0</v>
      </c>
      <c r="V17" s="39">
        <v>10.920875054418808</v>
      </c>
      <c r="W17" s="39">
        <v>9.43147865777698</v>
      </c>
      <c r="X17" s="35">
        <f t="shared" si="5"/>
        <v>0.3</v>
      </c>
      <c r="Y17" s="35">
        <f t="shared" si="6"/>
        <v>0</v>
      </c>
      <c r="Z17" s="40">
        <f t="shared" si="7"/>
        <v>-397.6</v>
      </c>
      <c r="AA17" s="34">
        <f t="shared" si="8"/>
        <v>-170.4</v>
      </c>
      <c r="AB17" s="41">
        <f t="shared" si="9"/>
        <v>0</v>
      </c>
      <c r="AC17" s="42" t="b">
        <v>1</v>
      </c>
      <c r="AD17" s="42" t="s">
        <v>138</v>
      </c>
      <c r="AE17" s="42" t="s">
        <v>138</v>
      </c>
      <c r="AF17" s="42" t="str">
        <f t="array" ref="AF17">INDEX('Deal Info'!D:D, MATCH(A17,'Deal Info'!A:A, 0))</f>
        <v>DoEV</v>
      </c>
      <c r="AG17" s="43" t="str">
        <f t="array" ref="AG17">INDEX('Deal Info'!G:G, MATCH(A17,'Deal Info'!A:A, 0))</f>
        <v>None</v>
      </c>
    </row>
    <row r="18" hidden="1">
      <c r="A18" s="23" t="str">
        <f t="array" ref="A18">if(G18='Room Info'!$B$1, INDEX('Room Info'!$A$2:$A3446, MATCH(B18,'Room Info'!$B$2:$B3446, 0)),if(G18='Room Info'!$C$1, INDEX('Room Info'!$A$2:$A3446, MATCH(B18,'Room Info'!$C$2:$C3446, 0)),if(G18='Room Info'!$D$1, INDEX('Room Info'!$A$2:$A3446, MATCH(B18,'Room Info'!$D$2:$D3446, 0)),if(G18='Room Info'!$E$1, INDEX('Room Info'!$A$2:$A3446, MATCH(B18,'Room Info'!$E$2:$E3446, 0)),if(G18='Room Info'!$F$1, INDEX('Room Info'!$A$2:$A3446, MATCH(B18,'Room Info'!$F$2:$F3446, 0)),if(G18='Room Info'!$H$1, INDEX('Room Info'!$A$2:$A3446, MATCH(B18,'Room Info'!$H$2:$H3446, 0)),if(G18='Room Info'!$G$1, INDEX('Room Info'!$A$2:$A3446, MATCH(B18,'Room Info'!$G$2:$G3446, 0)))))))))</f>
        <v>00goldimon</v>
      </c>
      <c r="B18" s="23" t="s">
        <v>139</v>
      </c>
      <c r="C18" s="46">
        <v>44682.0</v>
      </c>
      <c r="D18" s="46">
        <v>44712.0</v>
      </c>
      <c r="E18" s="26">
        <v>44682.0</v>
      </c>
      <c r="F18" s="27" t="s">
        <v>12</v>
      </c>
      <c r="G18" s="23" t="s">
        <v>5</v>
      </c>
      <c r="H18" s="28" t="s">
        <v>6</v>
      </c>
      <c r="I18" s="28" t="s">
        <v>7</v>
      </c>
      <c r="J18" s="44">
        <v>0.25</v>
      </c>
      <c r="K18" s="30">
        <v>1.0</v>
      </c>
      <c r="L18" s="31">
        <v>1.0</v>
      </c>
      <c r="M18" s="32"/>
      <c r="N18" s="33">
        <f t="shared" si="1"/>
        <v>0.25</v>
      </c>
      <c r="O18" s="23"/>
      <c r="P18" s="34">
        <f t="shared" si="2"/>
        <v>0</v>
      </c>
      <c r="Q18" s="35"/>
      <c r="R18" s="36">
        <f t="shared" si="3"/>
        <v>0</v>
      </c>
      <c r="S18" s="33"/>
      <c r="T18" s="37">
        <f t="shared" si="4"/>
        <v>1</v>
      </c>
      <c r="U18" s="38">
        <v>1.0</v>
      </c>
      <c r="V18" s="39">
        <v>10.920875054418808</v>
      </c>
      <c r="W18" s="39">
        <v>9.43147865777698</v>
      </c>
      <c r="X18" s="35">
        <f t="shared" si="5"/>
        <v>0.3</v>
      </c>
      <c r="Y18" s="35">
        <f t="shared" si="6"/>
        <v>0</v>
      </c>
      <c r="Z18" s="40">
        <f t="shared" si="7"/>
        <v>0.7</v>
      </c>
      <c r="AA18" s="34">
        <f t="shared" si="8"/>
        <v>0.3</v>
      </c>
      <c r="AB18" s="41">
        <f t="shared" si="9"/>
        <v>0</v>
      </c>
      <c r="AC18" s="42" t="b">
        <v>1</v>
      </c>
      <c r="AD18" s="42" t="s">
        <v>138</v>
      </c>
      <c r="AE18" s="42" t="s">
        <v>138</v>
      </c>
      <c r="AF18" s="42" t="str">
        <f t="array" ref="AF18">INDEX('Deal Info'!D:D, MATCH(A18,'Deal Info'!A:A, 0))</f>
        <v>DoEV</v>
      </c>
      <c r="AG18" s="43" t="str">
        <f t="array" ref="AG18">INDEX('Deal Info'!G:G, MATCH(A18,'Deal Info'!A:A, 0))</f>
        <v>None</v>
      </c>
    </row>
    <row r="19" hidden="1">
      <c r="A19" s="23" t="str">
        <f t="array" ref="A19">if(G19='Room Info'!$B$1, INDEX('Room Info'!$A$2:$A3446, MATCH(B19,'Room Info'!$B$2:$B3446, 0)),if(G19='Room Info'!$C$1, INDEX('Room Info'!$A$2:$A3446, MATCH(B19,'Room Info'!$C$2:$C3446, 0)),if(G19='Room Info'!$D$1, INDEX('Room Info'!$A$2:$A3446, MATCH(B19,'Room Info'!$D$2:$D3446, 0)),if(G19='Room Info'!$E$1, INDEX('Room Info'!$A$2:$A3446, MATCH(B19,'Room Info'!$E$2:$E3446, 0)),if(G19='Room Info'!$F$1, INDEX('Room Info'!$A$2:$A3446, MATCH(B19,'Room Info'!$F$2:$F3446, 0)),if(G19='Room Info'!$H$1, INDEX('Room Info'!$A$2:$A3446, MATCH(B19,'Room Info'!$H$2:$H3446, 0)),if(G19='Room Info'!$G$1, INDEX('Room Info'!$A$2:$A3446, MATCH(B19,'Room Info'!$G$2:$G3446, 0)))))))))</f>
        <v>00goldimon</v>
      </c>
      <c r="B19" s="23" t="s">
        <v>139</v>
      </c>
      <c r="C19" s="46">
        <v>44682.0</v>
      </c>
      <c r="D19" s="46">
        <v>44712.0</v>
      </c>
      <c r="E19" s="26">
        <v>44682.0</v>
      </c>
      <c r="F19" s="27" t="s">
        <v>12</v>
      </c>
      <c r="G19" s="23" t="s">
        <v>5</v>
      </c>
      <c r="H19" s="28" t="s">
        <v>35</v>
      </c>
      <c r="I19" s="28" t="s">
        <v>7</v>
      </c>
      <c r="J19" s="44">
        <v>5.0</v>
      </c>
      <c r="K19" s="30">
        <v>613.0</v>
      </c>
      <c r="L19" s="31">
        <v>-120.0</v>
      </c>
      <c r="M19" s="47">
        <v>124.0</v>
      </c>
      <c r="N19" s="33">
        <f t="shared" si="1"/>
        <v>3065</v>
      </c>
      <c r="O19" s="23"/>
      <c r="P19" s="34">
        <f t="shared" si="2"/>
        <v>0</v>
      </c>
      <c r="Q19" s="35"/>
      <c r="R19" s="36">
        <f t="shared" si="3"/>
        <v>124</v>
      </c>
      <c r="S19" s="33"/>
      <c r="T19" s="37">
        <f t="shared" si="4"/>
        <v>4</v>
      </c>
      <c r="U19" s="38">
        <v>1.0</v>
      </c>
      <c r="V19" s="39">
        <v>10.920875054418808</v>
      </c>
      <c r="W19" s="39">
        <v>9.43147865777698</v>
      </c>
      <c r="X19" s="35">
        <f t="shared" si="5"/>
        <v>0.3</v>
      </c>
      <c r="Y19" s="35">
        <f t="shared" si="6"/>
        <v>0</v>
      </c>
      <c r="Z19" s="40">
        <f t="shared" si="7"/>
        <v>2.8</v>
      </c>
      <c r="AA19" s="34">
        <f t="shared" si="8"/>
        <v>1.2</v>
      </c>
      <c r="AB19" s="41">
        <f t="shared" si="9"/>
        <v>0</v>
      </c>
      <c r="AC19" s="42" t="b">
        <v>1</v>
      </c>
      <c r="AD19" s="42" t="s">
        <v>138</v>
      </c>
      <c r="AE19" s="42" t="s">
        <v>138</v>
      </c>
      <c r="AF19" s="42" t="str">
        <f t="array" ref="AF19">INDEX('Deal Info'!D:D, MATCH(A19,'Deal Info'!A:A, 0))</f>
        <v>DoEV</v>
      </c>
      <c r="AG19" s="43" t="str">
        <f t="array" ref="AG19">INDEX('Deal Info'!G:G, MATCH(A19,'Deal Info'!A:A, 0))</f>
        <v>None</v>
      </c>
    </row>
    <row r="20" hidden="1">
      <c r="A20" s="23" t="str">
        <f t="array" ref="A20">if(G20='Room Info'!$B$1, INDEX('Room Info'!$A$2:$A3446, MATCH(B20,'Room Info'!$B$2:$B3446, 0)),if(G20='Room Info'!$C$1, INDEX('Room Info'!$A$2:$A3446, MATCH(B20,'Room Info'!$C$2:$C3446, 0)),if(G20='Room Info'!$D$1, INDEX('Room Info'!$A$2:$A3446, MATCH(B20,'Room Info'!$D$2:$D3446, 0)),if(G20='Room Info'!$E$1, INDEX('Room Info'!$A$2:$A3446, MATCH(B20,'Room Info'!$E$2:$E3446, 0)),if(G20='Room Info'!$F$1, INDEX('Room Info'!$A$2:$A3446, MATCH(B20,'Room Info'!$F$2:$F3446, 0)),if(G20='Room Info'!$H$1, INDEX('Room Info'!$A$2:$A3446, MATCH(B20,'Room Info'!$H$2:$H3446, 0)),if(G20='Room Info'!$G$1, INDEX('Room Info'!$A$2:$A3446, MATCH(B20,'Room Info'!$G$2:$G3446, 0)))))))))</f>
        <v>00goldimon</v>
      </c>
      <c r="B20" s="23" t="s">
        <v>139</v>
      </c>
      <c r="C20" s="46">
        <v>44713.0</v>
      </c>
      <c r="D20" s="46">
        <v>44742.0</v>
      </c>
      <c r="E20" s="26">
        <v>44713.0</v>
      </c>
      <c r="F20" s="27" t="s">
        <v>8</v>
      </c>
      <c r="G20" s="23" t="s">
        <v>5</v>
      </c>
      <c r="H20" s="28" t="s">
        <v>45</v>
      </c>
      <c r="I20" s="28" t="s">
        <v>7</v>
      </c>
      <c r="J20" s="44">
        <v>10.0</v>
      </c>
      <c r="K20" s="30">
        <v>2139.0</v>
      </c>
      <c r="L20" s="31">
        <v>-30.0</v>
      </c>
      <c r="M20" s="47">
        <v>1122.0</v>
      </c>
      <c r="N20" s="33">
        <f t="shared" si="1"/>
        <v>21390</v>
      </c>
      <c r="O20" s="23">
        <v>126061.0</v>
      </c>
      <c r="P20" s="34">
        <f t="shared" si="2"/>
        <v>58.93454885</v>
      </c>
      <c r="Q20" s="35"/>
      <c r="R20" s="36">
        <f t="shared" si="3"/>
        <v>1122</v>
      </c>
      <c r="S20" s="33">
        <v>616.0</v>
      </c>
      <c r="T20" s="37">
        <f t="shared" si="4"/>
        <v>1738</v>
      </c>
      <c r="U20" s="38">
        <v>1.0</v>
      </c>
      <c r="V20" s="39">
        <v>10.88274044795784</v>
      </c>
      <c r="W20" s="39">
        <v>222.92179176755448</v>
      </c>
      <c r="X20" s="35">
        <f t="shared" si="5"/>
        <v>0.17</v>
      </c>
      <c r="Y20" s="35">
        <f t="shared" si="6"/>
        <v>0</v>
      </c>
      <c r="Z20" s="40">
        <f t="shared" si="7"/>
        <v>1442.54</v>
      </c>
      <c r="AA20" s="34">
        <f t="shared" si="8"/>
        <v>295.46</v>
      </c>
      <c r="AB20" s="41">
        <f t="shared" si="9"/>
        <v>0</v>
      </c>
      <c r="AC20" s="42" t="b">
        <v>1</v>
      </c>
      <c r="AD20" s="42" t="s">
        <v>138</v>
      </c>
      <c r="AE20" s="42" t="s">
        <v>138</v>
      </c>
      <c r="AF20" s="42" t="str">
        <f t="array" ref="AF20">INDEX('Deal Info'!D:D, MATCH(A20,'Deal Info'!A:A, 0))</f>
        <v>DoEV</v>
      </c>
      <c r="AG20" s="43" t="str">
        <f t="array" ref="AG20">INDEX('Deal Info'!G:G, MATCH(A20,'Deal Info'!A:A, 0))</f>
        <v>None</v>
      </c>
    </row>
    <row r="21" hidden="1">
      <c r="A21" s="23" t="str">
        <f t="array" ref="A21">if(G21='Room Info'!$B$1, INDEX('Room Info'!$A$2:$A3446, MATCH(B21,'Room Info'!$B$2:$B3446, 0)),if(G21='Room Info'!$C$1, INDEX('Room Info'!$A$2:$A3446, MATCH(B21,'Room Info'!$C$2:$C3446, 0)),if(G21='Room Info'!$D$1, INDEX('Room Info'!$A$2:$A3446, MATCH(B21,'Room Info'!$D$2:$D3446, 0)),if(G21='Room Info'!$E$1, INDEX('Room Info'!$A$2:$A3446, MATCH(B21,'Room Info'!$E$2:$E3446, 0)),if(G21='Room Info'!$F$1, INDEX('Room Info'!$A$2:$A3446, MATCH(B21,'Room Info'!$F$2:$F3446, 0)),if(G21='Room Info'!$H$1, INDEX('Room Info'!$A$2:$A3446, MATCH(B21,'Room Info'!$H$2:$H3446, 0)),if(G21='Room Info'!$G$1, INDEX('Room Info'!$A$2:$A3446, MATCH(B21,'Room Info'!$G$2:$G3446, 0)))))))))</f>
        <v>00goldimon</v>
      </c>
      <c r="B21" s="23" t="s">
        <v>139</v>
      </c>
      <c r="C21" s="46">
        <v>44713.0</v>
      </c>
      <c r="D21" s="46">
        <v>44742.0</v>
      </c>
      <c r="E21" s="26">
        <v>44713.0</v>
      </c>
      <c r="F21" s="27" t="s">
        <v>12</v>
      </c>
      <c r="G21" s="23" t="s">
        <v>5</v>
      </c>
      <c r="H21" s="28" t="s">
        <v>35</v>
      </c>
      <c r="I21" s="28" t="s">
        <v>7</v>
      </c>
      <c r="J21" s="44">
        <v>5.0</v>
      </c>
      <c r="K21" s="30">
        <v>3.0</v>
      </c>
      <c r="L21" s="31">
        <v>10.0</v>
      </c>
      <c r="M21" s="47">
        <v>1.0</v>
      </c>
      <c r="N21" s="33">
        <f t="shared" si="1"/>
        <v>15</v>
      </c>
      <c r="O21" s="23"/>
      <c r="P21" s="34">
        <f t="shared" si="2"/>
        <v>0</v>
      </c>
      <c r="Q21" s="35"/>
      <c r="R21" s="36">
        <f t="shared" si="3"/>
        <v>1</v>
      </c>
      <c r="S21" s="33"/>
      <c r="T21" s="37">
        <f t="shared" si="4"/>
        <v>11</v>
      </c>
      <c r="U21" s="38">
        <v>1.0</v>
      </c>
      <c r="V21" s="39">
        <v>10.88274044795784</v>
      </c>
      <c r="W21" s="39">
        <v>222.92179176755448</v>
      </c>
      <c r="X21" s="35">
        <f t="shared" si="5"/>
        <v>0.17</v>
      </c>
      <c r="Y21" s="35">
        <f t="shared" si="6"/>
        <v>0</v>
      </c>
      <c r="Z21" s="40">
        <f t="shared" si="7"/>
        <v>9.13</v>
      </c>
      <c r="AA21" s="34">
        <f t="shared" si="8"/>
        <v>1.87</v>
      </c>
      <c r="AB21" s="41">
        <f t="shared" si="9"/>
        <v>0</v>
      </c>
      <c r="AC21" s="42" t="b">
        <v>1</v>
      </c>
      <c r="AD21" s="42" t="s">
        <v>138</v>
      </c>
      <c r="AE21" s="42" t="s">
        <v>138</v>
      </c>
      <c r="AF21" s="42" t="str">
        <f t="array" ref="AF21">INDEX('Deal Info'!D:D, MATCH(A21,'Deal Info'!A:A, 0))</f>
        <v>DoEV</v>
      </c>
      <c r="AG21" s="43" t="str">
        <f t="array" ref="AG21">INDEX('Deal Info'!G:G, MATCH(A21,'Deal Info'!A:A, 0))</f>
        <v>None</v>
      </c>
    </row>
    <row r="22" hidden="1">
      <c r="A22" s="23" t="str">
        <f t="array" ref="A22">if(G22='Room Info'!$B$1, INDEX('Room Info'!$A$2:$A3446, MATCH(B22,'Room Info'!$B$2:$B3446, 0)),if(G22='Room Info'!$C$1, INDEX('Room Info'!$A$2:$A3446, MATCH(B22,'Room Info'!$C$2:$C3446, 0)),if(G22='Room Info'!$D$1, INDEX('Room Info'!$A$2:$A3446, MATCH(B22,'Room Info'!$D$2:$D3446, 0)),if(G22='Room Info'!$E$1, INDEX('Room Info'!$A$2:$A3446, MATCH(B22,'Room Info'!$E$2:$E3446, 0)),if(G22='Room Info'!$F$1, INDEX('Room Info'!$A$2:$A3446, MATCH(B22,'Room Info'!$F$2:$F3446, 0)),if(G22='Room Info'!$H$1, INDEX('Room Info'!$A$2:$A3446, MATCH(B22,'Room Info'!$H$2:$H3446, 0)),if(G22='Room Info'!$G$1, INDEX('Room Info'!$A$2:$A3446, MATCH(B22,'Room Info'!$G$2:$G3446, 0)))))))))</f>
        <v>00goldimon</v>
      </c>
      <c r="B22" s="23" t="s">
        <v>139</v>
      </c>
      <c r="C22" s="46">
        <v>44713.0</v>
      </c>
      <c r="D22" s="46">
        <v>44742.0</v>
      </c>
      <c r="E22" s="26">
        <v>44713.0</v>
      </c>
      <c r="F22" s="27" t="s">
        <v>12</v>
      </c>
      <c r="G22" s="23" t="s">
        <v>5</v>
      </c>
      <c r="H22" s="28" t="s">
        <v>62</v>
      </c>
      <c r="I22" s="28" t="s">
        <v>7</v>
      </c>
      <c r="J22" s="44">
        <v>25.0</v>
      </c>
      <c r="K22" s="30">
        <v>135.0</v>
      </c>
      <c r="L22" s="31">
        <v>525.0</v>
      </c>
      <c r="M22" s="47">
        <v>152.0</v>
      </c>
      <c r="N22" s="33">
        <f t="shared" si="1"/>
        <v>3375</v>
      </c>
      <c r="O22" s="23"/>
      <c r="P22" s="34">
        <f t="shared" si="2"/>
        <v>0</v>
      </c>
      <c r="Q22" s="35"/>
      <c r="R22" s="36">
        <f t="shared" si="3"/>
        <v>152</v>
      </c>
      <c r="S22" s="33"/>
      <c r="T22" s="37">
        <f t="shared" si="4"/>
        <v>677</v>
      </c>
      <c r="U22" s="38">
        <v>1.0</v>
      </c>
      <c r="V22" s="39">
        <v>10.88274044795784</v>
      </c>
      <c r="W22" s="39">
        <v>222.92179176755448</v>
      </c>
      <c r="X22" s="35">
        <f t="shared" si="5"/>
        <v>0.17</v>
      </c>
      <c r="Y22" s="35">
        <f t="shared" si="6"/>
        <v>0</v>
      </c>
      <c r="Z22" s="40">
        <f t="shared" si="7"/>
        <v>561.91</v>
      </c>
      <c r="AA22" s="34">
        <f t="shared" si="8"/>
        <v>115.09</v>
      </c>
      <c r="AB22" s="41">
        <f t="shared" si="9"/>
        <v>0</v>
      </c>
      <c r="AC22" s="42" t="b">
        <v>1</v>
      </c>
      <c r="AD22" s="42" t="s">
        <v>138</v>
      </c>
      <c r="AE22" s="42" t="s">
        <v>138</v>
      </c>
      <c r="AF22" s="42" t="str">
        <f t="array" ref="AF22">INDEX('Deal Info'!D:D, MATCH(A22,'Deal Info'!A:A, 0))</f>
        <v>DoEV</v>
      </c>
      <c r="AG22" s="43" t="str">
        <f t="array" ref="AG22">INDEX('Deal Info'!G:G, MATCH(A22,'Deal Info'!A:A, 0))</f>
        <v>None</v>
      </c>
    </row>
    <row r="23" hidden="1">
      <c r="A23" s="23" t="str">
        <f t="array" ref="A23">if(G23='Room Info'!$B$1, INDEX('Room Info'!$A$2:$A3446, MATCH(B23,'Room Info'!$B$2:$B3446, 0)),if(G23='Room Info'!$C$1, INDEX('Room Info'!$A$2:$A3446, MATCH(B23,'Room Info'!$C$2:$C3446, 0)),if(G23='Room Info'!$D$1, INDEX('Room Info'!$A$2:$A3446, MATCH(B23,'Room Info'!$D$2:$D3446, 0)),if(G23='Room Info'!$E$1, INDEX('Room Info'!$A$2:$A3446, MATCH(B23,'Room Info'!$E$2:$E3446, 0)),if(G23='Room Info'!$F$1, INDEX('Room Info'!$A$2:$A3446, MATCH(B23,'Room Info'!$F$2:$F3446, 0)),if(G23='Room Info'!$H$1, INDEX('Room Info'!$A$2:$A3446, MATCH(B23,'Room Info'!$H$2:$H3446, 0)),if(G23='Room Info'!$G$1, INDEX('Room Info'!$A$2:$A3446, MATCH(B23,'Room Info'!$G$2:$G3446, 0)))))))))</f>
        <v>00goldimon</v>
      </c>
      <c r="B23" s="23" t="s">
        <v>139</v>
      </c>
      <c r="C23" s="24">
        <v>44743.0</v>
      </c>
      <c r="D23" s="24">
        <v>44773.0</v>
      </c>
      <c r="E23" s="26">
        <v>44743.0</v>
      </c>
      <c r="F23" s="27" t="s">
        <v>8</v>
      </c>
      <c r="G23" s="23" t="s">
        <v>5</v>
      </c>
      <c r="H23" s="28" t="s">
        <v>45</v>
      </c>
      <c r="I23" s="28" t="s">
        <v>7</v>
      </c>
      <c r="J23" s="44">
        <v>10.0</v>
      </c>
      <c r="K23" s="30">
        <v>3456.0</v>
      </c>
      <c r="L23" s="31">
        <v>1560.0</v>
      </c>
      <c r="M23" s="47">
        <v>1651.0</v>
      </c>
      <c r="N23" s="33">
        <f t="shared" si="1"/>
        <v>34560</v>
      </c>
      <c r="O23" s="23">
        <v>218147.0</v>
      </c>
      <c r="P23" s="34">
        <f t="shared" si="2"/>
        <v>63.12123843</v>
      </c>
      <c r="Q23" s="35"/>
      <c r="R23" s="36">
        <f t="shared" si="3"/>
        <v>1651</v>
      </c>
      <c r="S23" s="33">
        <v>1518.0</v>
      </c>
      <c r="T23" s="37">
        <f t="shared" si="4"/>
        <v>3169</v>
      </c>
      <c r="U23" s="38">
        <v>1.0</v>
      </c>
      <c r="V23" s="39">
        <v>12.88600794206961</v>
      </c>
      <c r="W23" s="39">
        <v>301.87782108220796</v>
      </c>
      <c r="X23" s="35">
        <f t="shared" si="5"/>
        <v>0.17</v>
      </c>
      <c r="Y23" s="35">
        <f t="shared" si="6"/>
        <v>0</v>
      </c>
      <c r="Z23" s="40">
        <f t="shared" si="7"/>
        <v>2630.27</v>
      </c>
      <c r="AA23" s="34">
        <f t="shared" si="8"/>
        <v>538.73</v>
      </c>
      <c r="AB23" s="41">
        <f t="shared" si="9"/>
        <v>0</v>
      </c>
      <c r="AC23" s="42" t="b">
        <v>1</v>
      </c>
      <c r="AD23" s="42" t="s">
        <v>138</v>
      </c>
      <c r="AE23" s="42" t="s">
        <v>138</v>
      </c>
      <c r="AF23" s="42" t="str">
        <f t="array" ref="AF23">INDEX('Deal Info'!D:D, MATCH(A23,'Deal Info'!A:A, 0))</f>
        <v>DoEV</v>
      </c>
      <c r="AG23" s="43" t="str">
        <f t="array" ref="AG23">INDEX('Deal Info'!G:G, MATCH(A23,'Deal Info'!A:A, 0))</f>
        <v>None</v>
      </c>
    </row>
    <row r="24" hidden="1">
      <c r="A24" s="23" t="str">
        <f t="array" ref="A24">if(G24='Room Info'!$B$1, INDEX('Room Info'!$A$2:$A3446, MATCH(B24,'Room Info'!$B$2:$B3446, 0)),if(G24='Room Info'!$C$1, INDEX('Room Info'!$A$2:$A3446, MATCH(B24,'Room Info'!$C$2:$C3446, 0)),if(G24='Room Info'!$D$1, INDEX('Room Info'!$A$2:$A3446, MATCH(B24,'Room Info'!$D$2:$D3446, 0)),if(G24='Room Info'!$E$1, INDEX('Room Info'!$A$2:$A3446, MATCH(B24,'Room Info'!$E$2:$E3446, 0)),if(G24='Room Info'!$F$1, INDEX('Room Info'!$A$2:$A3446, MATCH(B24,'Room Info'!$F$2:$F3446, 0)),if(G24='Room Info'!$H$1, INDEX('Room Info'!$A$2:$A3446, MATCH(B24,'Room Info'!$H$2:$H3446, 0)),if(G24='Room Info'!$G$1, INDEX('Room Info'!$A$2:$A3446, MATCH(B24,'Room Info'!$G$2:$G3446, 0)))))))))</f>
        <v>00goldimon</v>
      </c>
      <c r="B24" s="23" t="s">
        <v>139</v>
      </c>
      <c r="C24" s="24">
        <v>44743.0</v>
      </c>
      <c r="D24" s="24">
        <v>44773.0</v>
      </c>
      <c r="E24" s="26">
        <v>44743.0</v>
      </c>
      <c r="F24" s="27" t="s">
        <v>8</v>
      </c>
      <c r="G24" s="23" t="s">
        <v>5</v>
      </c>
      <c r="H24" s="28" t="s">
        <v>62</v>
      </c>
      <c r="I24" s="28" t="s">
        <v>7</v>
      </c>
      <c r="J24" s="44">
        <v>25.0</v>
      </c>
      <c r="K24" s="30">
        <v>824.0</v>
      </c>
      <c r="L24" s="31">
        <v>-925.0</v>
      </c>
      <c r="M24" s="47">
        <v>844.0</v>
      </c>
      <c r="N24" s="33">
        <f t="shared" si="1"/>
        <v>20600</v>
      </c>
      <c r="O24" s="23">
        <v>24990.0</v>
      </c>
      <c r="P24" s="34">
        <f t="shared" si="2"/>
        <v>30.3276699</v>
      </c>
      <c r="Q24" s="35"/>
      <c r="R24" s="36">
        <f t="shared" si="3"/>
        <v>844</v>
      </c>
      <c r="S24" s="33">
        <v>-118.0</v>
      </c>
      <c r="T24" s="37">
        <f t="shared" si="4"/>
        <v>726</v>
      </c>
      <c r="U24" s="38">
        <v>1.0</v>
      </c>
      <c r="V24" s="39">
        <v>12.88600794206961</v>
      </c>
      <c r="W24" s="39">
        <v>301.87782108220796</v>
      </c>
      <c r="X24" s="35">
        <f t="shared" si="5"/>
        <v>0.17</v>
      </c>
      <c r="Y24" s="35">
        <f t="shared" si="6"/>
        <v>0</v>
      </c>
      <c r="Z24" s="40">
        <f t="shared" si="7"/>
        <v>602.58</v>
      </c>
      <c r="AA24" s="34">
        <f t="shared" si="8"/>
        <v>123.42</v>
      </c>
      <c r="AB24" s="41">
        <f t="shared" si="9"/>
        <v>0</v>
      </c>
      <c r="AC24" s="42" t="b">
        <v>1</v>
      </c>
      <c r="AD24" s="42" t="s">
        <v>138</v>
      </c>
      <c r="AE24" s="42" t="s">
        <v>138</v>
      </c>
      <c r="AF24" s="42" t="str">
        <f t="array" ref="AF24">INDEX('Deal Info'!D:D, MATCH(A24,'Deal Info'!A:A, 0))</f>
        <v>DoEV</v>
      </c>
      <c r="AG24" s="43" t="str">
        <f t="array" ref="AG24">INDEX('Deal Info'!G:G, MATCH(A24,'Deal Info'!A:A, 0))</f>
        <v>None</v>
      </c>
    </row>
    <row r="25" hidden="1">
      <c r="A25" s="23" t="str">
        <f t="array" ref="A25">if(G25='Room Info'!$B$1, INDEX('Room Info'!$A$2:$A3446, MATCH(B25,'Room Info'!$B$2:$B3446, 0)),if(G25='Room Info'!$C$1, INDEX('Room Info'!$A$2:$A3446, MATCH(B25,'Room Info'!$C$2:$C3446, 0)),if(G25='Room Info'!$D$1, INDEX('Room Info'!$A$2:$A3446, MATCH(B25,'Room Info'!$D$2:$D3446, 0)),if(G25='Room Info'!$E$1, INDEX('Room Info'!$A$2:$A3446, MATCH(B25,'Room Info'!$E$2:$E3446, 0)),if(G25='Room Info'!$F$1, INDEX('Room Info'!$A$2:$A3446, MATCH(B25,'Room Info'!$F$2:$F3446, 0)),if(G25='Room Info'!$H$1, INDEX('Room Info'!$A$2:$A3446, MATCH(B25,'Room Info'!$H$2:$H3446, 0)),if(G25='Room Info'!$G$1, INDEX('Room Info'!$A$2:$A3446, MATCH(B25,'Room Info'!$G$2:$G3446, 0)))))))))</f>
        <v>00goldimon</v>
      </c>
      <c r="B25" s="23" t="s">
        <v>139</v>
      </c>
      <c r="C25" s="24">
        <v>44743.0</v>
      </c>
      <c r="D25" s="24">
        <v>44773.0</v>
      </c>
      <c r="E25" s="26">
        <v>44743.0</v>
      </c>
      <c r="F25" s="27" t="s">
        <v>12</v>
      </c>
      <c r="G25" s="23" t="s">
        <v>5</v>
      </c>
      <c r="H25" s="28" t="s">
        <v>35</v>
      </c>
      <c r="I25" s="28" t="s">
        <v>7</v>
      </c>
      <c r="J25" s="44">
        <v>5.0</v>
      </c>
      <c r="K25" s="30">
        <v>1.0</v>
      </c>
      <c r="L25" s="31">
        <v>-5.0</v>
      </c>
      <c r="M25" s="32"/>
      <c r="N25" s="33">
        <f t="shared" si="1"/>
        <v>5</v>
      </c>
      <c r="O25" s="23"/>
      <c r="P25" s="34">
        <f t="shared" si="2"/>
        <v>0</v>
      </c>
      <c r="Q25" s="35"/>
      <c r="R25" s="36">
        <f t="shared" si="3"/>
        <v>0</v>
      </c>
      <c r="S25" s="33"/>
      <c r="T25" s="37">
        <f t="shared" si="4"/>
        <v>-5</v>
      </c>
      <c r="U25" s="38">
        <v>1.0</v>
      </c>
      <c r="V25" s="39">
        <v>12.88600794206961</v>
      </c>
      <c r="W25" s="39">
        <v>301.87782108220796</v>
      </c>
      <c r="X25" s="35">
        <f t="shared" si="5"/>
        <v>0.17</v>
      </c>
      <c r="Y25" s="35">
        <f t="shared" si="6"/>
        <v>0</v>
      </c>
      <c r="Z25" s="40">
        <f t="shared" si="7"/>
        <v>-4.15</v>
      </c>
      <c r="AA25" s="34">
        <f t="shared" si="8"/>
        <v>-0.85</v>
      </c>
      <c r="AB25" s="41">
        <f t="shared" si="9"/>
        <v>0</v>
      </c>
      <c r="AC25" s="42" t="b">
        <v>1</v>
      </c>
      <c r="AD25" s="42" t="s">
        <v>138</v>
      </c>
      <c r="AE25" s="42" t="s">
        <v>138</v>
      </c>
      <c r="AF25" s="42" t="str">
        <f t="array" ref="AF25">INDEX('Deal Info'!D:D, MATCH(A25,'Deal Info'!A:A, 0))</f>
        <v>DoEV</v>
      </c>
      <c r="AG25" s="43" t="str">
        <f t="array" ref="AG25">INDEX('Deal Info'!G:G, MATCH(A25,'Deal Info'!A:A, 0))</f>
        <v>None</v>
      </c>
    </row>
    <row r="26" hidden="1">
      <c r="A26" s="23" t="str">
        <f t="array" ref="A26">if(G26='Room Info'!$B$1, INDEX('Room Info'!$A$2:$A3446, MATCH(B26,'Room Info'!$B$2:$B3446, 0)),if(G26='Room Info'!$C$1, INDEX('Room Info'!$A$2:$A3446, MATCH(B26,'Room Info'!$C$2:$C3446, 0)),if(G26='Room Info'!$D$1, INDEX('Room Info'!$A$2:$A3446, MATCH(B26,'Room Info'!$D$2:$D3446, 0)),if(G26='Room Info'!$E$1, INDEX('Room Info'!$A$2:$A3446, MATCH(B26,'Room Info'!$E$2:$E3446, 0)),if(G26='Room Info'!$F$1, INDEX('Room Info'!$A$2:$A3446, MATCH(B26,'Room Info'!$F$2:$F3446, 0)),if(G26='Room Info'!$H$1, INDEX('Room Info'!$A$2:$A3446, MATCH(B26,'Room Info'!$H$2:$H3446, 0)),if(G26='Room Info'!$G$1, INDEX('Room Info'!$A$2:$A3446, MATCH(B26,'Room Info'!$G$2:$G3446, 0)))))))))</f>
        <v>00goldimon</v>
      </c>
      <c r="B26" s="23" t="s">
        <v>139</v>
      </c>
      <c r="C26" s="24">
        <v>44774.0</v>
      </c>
      <c r="D26" s="24">
        <v>44804.0</v>
      </c>
      <c r="E26" s="26">
        <v>44774.0</v>
      </c>
      <c r="F26" s="27" t="s">
        <v>8</v>
      </c>
      <c r="G26" s="23" t="s">
        <v>5</v>
      </c>
      <c r="H26" s="28" t="s">
        <v>45</v>
      </c>
      <c r="I26" s="28" t="s">
        <v>7</v>
      </c>
      <c r="J26" s="44">
        <v>10.0</v>
      </c>
      <c r="K26" s="30">
        <v>2938.0</v>
      </c>
      <c r="L26" s="31">
        <v>1220.0</v>
      </c>
      <c r="M26" s="47">
        <v>1541.0</v>
      </c>
      <c r="N26" s="33">
        <f t="shared" si="1"/>
        <v>29380</v>
      </c>
      <c r="O26" s="23">
        <v>194942.0</v>
      </c>
      <c r="P26" s="34">
        <f t="shared" si="2"/>
        <v>66.3519401</v>
      </c>
      <c r="Q26" s="35"/>
      <c r="R26" s="36">
        <f t="shared" si="3"/>
        <v>1541</v>
      </c>
      <c r="S26" s="33">
        <v>1366.0</v>
      </c>
      <c r="T26" s="37">
        <f t="shared" si="4"/>
        <v>2907</v>
      </c>
      <c r="U26" s="38">
        <v>1.0</v>
      </c>
      <c r="V26" s="39">
        <v>14.41670582706767</v>
      </c>
      <c r="W26" s="39">
        <v>279.8836328077252</v>
      </c>
      <c r="X26" s="35">
        <f t="shared" si="5"/>
        <v>0.17</v>
      </c>
      <c r="Y26" s="35">
        <f t="shared" si="6"/>
        <v>0</v>
      </c>
      <c r="Z26" s="40">
        <f t="shared" si="7"/>
        <v>2412.81</v>
      </c>
      <c r="AA26" s="34">
        <f t="shared" si="8"/>
        <v>494.19</v>
      </c>
      <c r="AB26" s="41">
        <f t="shared" si="9"/>
        <v>0</v>
      </c>
      <c r="AC26" s="42" t="b">
        <v>1</v>
      </c>
      <c r="AD26" s="42" t="s">
        <v>138</v>
      </c>
      <c r="AE26" s="42" t="s">
        <v>138</v>
      </c>
      <c r="AF26" s="42" t="str">
        <f t="array" ref="AF26">INDEX('Deal Info'!D:D, MATCH(A26,'Deal Info'!A:A, 0))</f>
        <v>DoEV</v>
      </c>
      <c r="AG26" s="43" t="str">
        <f t="array" ref="AG26">INDEX('Deal Info'!G:G, MATCH(A26,'Deal Info'!A:A, 0))</f>
        <v>None</v>
      </c>
    </row>
    <row r="27" hidden="1">
      <c r="A27" s="23" t="str">
        <f t="array" ref="A27">if(G27='Room Info'!$B$1, INDEX('Room Info'!$A$2:$A3446, MATCH(B27,'Room Info'!$B$2:$B3446, 0)),if(G27='Room Info'!$C$1, INDEX('Room Info'!$A$2:$A3446, MATCH(B27,'Room Info'!$C$2:$C3446, 0)),if(G27='Room Info'!$D$1, INDEX('Room Info'!$A$2:$A3446, MATCH(B27,'Room Info'!$D$2:$D3446, 0)),if(G27='Room Info'!$E$1, INDEX('Room Info'!$A$2:$A3446, MATCH(B27,'Room Info'!$E$2:$E3446, 0)),if(G27='Room Info'!$F$1, INDEX('Room Info'!$A$2:$A3446, MATCH(B27,'Room Info'!$F$2:$F3446, 0)),if(G27='Room Info'!$H$1, INDEX('Room Info'!$A$2:$A3446, MATCH(B27,'Room Info'!$H$2:$H3446, 0)),if(G27='Room Info'!$G$1, INDEX('Room Info'!$A$2:$A3446, MATCH(B27,'Room Info'!$G$2:$G3446, 0)))))))))</f>
        <v>00goldimon</v>
      </c>
      <c r="B27" s="23" t="s">
        <v>139</v>
      </c>
      <c r="C27" s="24">
        <v>44774.0</v>
      </c>
      <c r="D27" s="24">
        <v>44804.0</v>
      </c>
      <c r="E27" s="26">
        <v>44774.0</v>
      </c>
      <c r="F27" s="45" t="s">
        <v>8</v>
      </c>
      <c r="G27" s="23" t="s">
        <v>5</v>
      </c>
      <c r="H27" s="28" t="s">
        <v>62</v>
      </c>
      <c r="I27" s="28" t="s">
        <v>7</v>
      </c>
      <c r="J27" s="44">
        <v>25.0</v>
      </c>
      <c r="K27" s="30">
        <v>1277.0</v>
      </c>
      <c r="L27" s="31">
        <v>3775.0</v>
      </c>
      <c r="M27" s="47">
        <v>1435.0</v>
      </c>
      <c r="N27" s="33">
        <f t="shared" si="1"/>
        <v>31925</v>
      </c>
      <c r="O27" s="23">
        <v>38812.0</v>
      </c>
      <c r="P27" s="34">
        <f t="shared" si="2"/>
        <v>30.39310885</v>
      </c>
      <c r="Q27" s="35"/>
      <c r="R27" s="36">
        <f t="shared" si="3"/>
        <v>1435</v>
      </c>
      <c r="S27" s="33">
        <v>-281.0</v>
      </c>
      <c r="T27" s="37">
        <f t="shared" si="4"/>
        <v>1154</v>
      </c>
      <c r="U27" s="38">
        <v>1.0</v>
      </c>
      <c r="V27" s="39">
        <v>14.41670582706767</v>
      </c>
      <c r="W27" s="39">
        <v>279.8836328077252</v>
      </c>
      <c r="X27" s="35">
        <f t="shared" si="5"/>
        <v>0.17</v>
      </c>
      <c r="Y27" s="35">
        <f t="shared" si="6"/>
        <v>0</v>
      </c>
      <c r="Z27" s="40">
        <f t="shared" si="7"/>
        <v>957.82</v>
      </c>
      <c r="AA27" s="34">
        <f t="shared" si="8"/>
        <v>196.18</v>
      </c>
      <c r="AB27" s="41">
        <f t="shared" si="9"/>
        <v>0</v>
      </c>
      <c r="AC27" s="42" t="b">
        <v>1</v>
      </c>
      <c r="AD27" s="42" t="s">
        <v>138</v>
      </c>
      <c r="AE27" s="42" t="s">
        <v>138</v>
      </c>
      <c r="AF27" s="42" t="str">
        <f t="array" ref="AF27">INDEX('Deal Info'!D:D, MATCH(A27,'Deal Info'!A:A, 0))</f>
        <v>DoEV</v>
      </c>
      <c r="AG27" s="43" t="str">
        <f t="array" ref="AG27">INDEX('Deal Info'!G:G, MATCH(A27,'Deal Info'!A:A, 0))</f>
        <v>None</v>
      </c>
    </row>
    <row r="28" hidden="1">
      <c r="A28" s="23" t="str">
        <f t="array" ref="A28">if(G28='Room Info'!$B$1, INDEX('Room Info'!$A$2:$A3446, MATCH(B28,'Room Info'!$B$2:$B3446, 0)),if(G28='Room Info'!$C$1, INDEX('Room Info'!$A$2:$A3446, MATCH(B28,'Room Info'!$C$2:$C3446, 0)),if(G28='Room Info'!$D$1, INDEX('Room Info'!$A$2:$A3446, MATCH(B28,'Room Info'!$D$2:$D3446, 0)),if(G28='Room Info'!$E$1, INDEX('Room Info'!$A$2:$A3446, MATCH(B28,'Room Info'!$E$2:$E3446, 0)),if(G28='Room Info'!$F$1, INDEX('Room Info'!$A$2:$A3446, MATCH(B28,'Room Info'!$F$2:$F3446, 0)),if(G28='Room Info'!$H$1, INDEX('Room Info'!$A$2:$A3446, MATCH(B28,'Room Info'!$H$2:$H3446, 0)),if(G28='Room Info'!$G$1, INDEX('Room Info'!$A$2:$A3446, MATCH(B28,'Room Info'!$G$2:$G3446, 0)))))))))</f>
        <v>00goldimon</v>
      </c>
      <c r="B28" s="23" t="s">
        <v>139</v>
      </c>
      <c r="C28" s="24">
        <v>44774.0</v>
      </c>
      <c r="D28" s="24">
        <v>44804.0</v>
      </c>
      <c r="E28" s="26">
        <v>44774.0</v>
      </c>
      <c r="F28" s="45" t="s">
        <v>12</v>
      </c>
      <c r="G28" s="23" t="s">
        <v>5</v>
      </c>
      <c r="H28" s="28" t="s">
        <v>20</v>
      </c>
      <c r="I28" s="28" t="s">
        <v>7</v>
      </c>
      <c r="J28" s="44">
        <v>1.0</v>
      </c>
      <c r="K28" s="30">
        <v>20.0</v>
      </c>
      <c r="L28" s="31">
        <v>1.0</v>
      </c>
      <c r="M28" s="47">
        <v>1.0</v>
      </c>
      <c r="N28" s="33">
        <f t="shared" si="1"/>
        <v>20</v>
      </c>
      <c r="O28" s="23"/>
      <c r="P28" s="34">
        <f t="shared" si="2"/>
        <v>0</v>
      </c>
      <c r="Q28" s="35"/>
      <c r="R28" s="36">
        <f t="shared" si="3"/>
        <v>1</v>
      </c>
      <c r="S28" s="33"/>
      <c r="T28" s="37">
        <f t="shared" si="4"/>
        <v>2</v>
      </c>
      <c r="U28" s="38">
        <v>1.0</v>
      </c>
      <c r="V28" s="39">
        <v>14.41670582706767</v>
      </c>
      <c r="W28" s="39">
        <v>279.8836328077252</v>
      </c>
      <c r="X28" s="35">
        <f t="shared" si="5"/>
        <v>0.17</v>
      </c>
      <c r="Y28" s="35">
        <f t="shared" si="6"/>
        <v>0</v>
      </c>
      <c r="Z28" s="40">
        <f t="shared" si="7"/>
        <v>1.66</v>
      </c>
      <c r="AA28" s="34">
        <f t="shared" si="8"/>
        <v>0.34</v>
      </c>
      <c r="AB28" s="41">
        <f t="shared" si="9"/>
        <v>0</v>
      </c>
      <c r="AC28" s="42" t="b">
        <v>1</v>
      </c>
      <c r="AD28" s="42" t="s">
        <v>140</v>
      </c>
      <c r="AE28" s="42"/>
      <c r="AF28" s="42" t="str">
        <f t="array" ref="AF28">INDEX('Deal Info'!D:D, MATCH(A28,'Deal Info'!A:A, 0))</f>
        <v>DoEV</v>
      </c>
      <c r="AG28" s="43" t="str">
        <f t="array" ref="AG28">INDEX('Deal Info'!G:G, MATCH(A28,'Deal Info'!A:A, 0))</f>
        <v>None</v>
      </c>
    </row>
    <row r="29" hidden="1">
      <c r="A29" s="23" t="str">
        <f t="array" ref="A29">if(G29='Room Info'!$B$1, INDEX('Room Info'!$A$2:$A3446, MATCH(B29,'Room Info'!$B$2:$B3446, 0)),if(G29='Room Info'!$C$1, INDEX('Room Info'!$A$2:$A3446, MATCH(B29,'Room Info'!$C$2:$C3446, 0)),if(G29='Room Info'!$D$1, INDEX('Room Info'!$A$2:$A3446, MATCH(B29,'Room Info'!$D$2:$D3446, 0)),if(G29='Room Info'!$E$1, INDEX('Room Info'!$A$2:$A3446, MATCH(B29,'Room Info'!$E$2:$E3446, 0)),if(G29='Room Info'!$F$1, INDEX('Room Info'!$A$2:$A3446, MATCH(B29,'Room Info'!$F$2:$F3446, 0)),if(G29='Room Info'!$H$1, INDEX('Room Info'!$A$2:$A3446, MATCH(B29,'Room Info'!$H$2:$H3446, 0)),if(G29='Room Info'!$G$1, INDEX('Room Info'!$A$2:$A3446, MATCH(B29,'Room Info'!$G$2:$G3446, 0)))))))))</f>
        <v>00goldimon</v>
      </c>
      <c r="B29" s="23" t="s">
        <v>139</v>
      </c>
      <c r="C29" s="24">
        <v>44774.0</v>
      </c>
      <c r="D29" s="24">
        <v>44804.0</v>
      </c>
      <c r="E29" s="26">
        <v>44774.0</v>
      </c>
      <c r="F29" s="45" t="s">
        <v>12</v>
      </c>
      <c r="G29" s="23" t="s">
        <v>5</v>
      </c>
      <c r="H29" s="28" t="s">
        <v>35</v>
      </c>
      <c r="I29" s="28" t="s">
        <v>7</v>
      </c>
      <c r="J29" s="44">
        <v>5.0</v>
      </c>
      <c r="K29" s="30">
        <v>5.0</v>
      </c>
      <c r="L29" s="31">
        <v>-25.0</v>
      </c>
      <c r="M29" s="47">
        <v>2.0</v>
      </c>
      <c r="N29" s="33">
        <f t="shared" si="1"/>
        <v>25</v>
      </c>
      <c r="O29" s="23"/>
      <c r="P29" s="34">
        <f t="shared" si="2"/>
        <v>0</v>
      </c>
      <c r="Q29" s="35"/>
      <c r="R29" s="36">
        <f t="shared" si="3"/>
        <v>2</v>
      </c>
      <c r="S29" s="33"/>
      <c r="T29" s="37">
        <f t="shared" si="4"/>
        <v>-23</v>
      </c>
      <c r="U29" s="38">
        <v>1.0</v>
      </c>
      <c r="V29" s="39">
        <v>14.41670582706767</v>
      </c>
      <c r="W29" s="39">
        <v>279.8836328077252</v>
      </c>
      <c r="X29" s="35">
        <f t="shared" si="5"/>
        <v>0.17</v>
      </c>
      <c r="Y29" s="35">
        <f t="shared" si="6"/>
        <v>0</v>
      </c>
      <c r="Z29" s="40">
        <f t="shared" si="7"/>
        <v>-19.09</v>
      </c>
      <c r="AA29" s="34">
        <f t="shared" si="8"/>
        <v>-3.91</v>
      </c>
      <c r="AB29" s="41">
        <f t="shared" si="9"/>
        <v>0</v>
      </c>
      <c r="AC29" s="42" t="b">
        <v>1</v>
      </c>
      <c r="AD29" s="42" t="s">
        <v>140</v>
      </c>
      <c r="AE29" s="42"/>
      <c r="AF29" s="42" t="str">
        <f t="array" ref="AF29">INDEX('Deal Info'!D:D, MATCH(A29,'Deal Info'!A:A, 0))</f>
        <v>DoEV</v>
      </c>
      <c r="AG29" s="43" t="str">
        <f t="array" ref="AG29">INDEX('Deal Info'!G:G, MATCH(A29,'Deal Info'!A:A, 0))</f>
        <v>None</v>
      </c>
    </row>
    <row r="30" hidden="1">
      <c r="A30" s="23" t="str">
        <f t="array" ref="A30">if(G30='Room Info'!$B$1, INDEX('Room Info'!$A$2:$A3446, MATCH(B30,'Room Info'!$B$2:$B3446, 0)),if(G30='Room Info'!$C$1, INDEX('Room Info'!$A$2:$A3446, MATCH(B30,'Room Info'!$C$2:$C3446, 0)),if(G30='Room Info'!$D$1, INDEX('Room Info'!$A$2:$A3446, MATCH(B30,'Room Info'!$D$2:$D3446, 0)),if(G30='Room Info'!$E$1, INDEX('Room Info'!$A$2:$A3446, MATCH(B30,'Room Info'!$E$2:$E3446, 0)),if(G30='Room Info'!$F$1, INDEX('Room Info'!$A$2:$A3446, MATCH(B30,'Room Info'!$F$2:$F3446, 0)),if(G30='Room Info'!$H$1, INDEX('Room Info'!$A$2:$A3446, MATCH(B30,'Room Info'!$H$2:$H3446, 0)),if(G30='Room Info'!$G$1, INDEX('Room Info'!$A$2:$A3446, MATCH(B30,'Room Info'!$G$2:$G3446, 0)))))))))</f>
        <v>00goldimon</v>
      </c>
      <c r="B30" s="23" t="s">
        <v>139</v>
      </c>
      <c r="C30" s="46">
        <v>44774.0</v>
      </c>
      <c r="D30" s="46">
        <v>44804.0</v>
      </c>
      <c r="E30" s="26">
        <v>44774.0</v>
      </c>
      <c r="F30" s="27" t="s">
        <v>12</v>
      </c>
      <c r="G30" s="23" t="s">
        <v>5</v>
      </c>
      <c r="H30" s="28" t="s">
        <v>6</v>
      </c>
      <c r="I30" s="28" t="s">
        <v>7</v>
      </c>
      <c r="J30" s="44">
        <v>0.25</v>
      </c>
      <c r="K30" s="30">
        <v>12.0</v>
      </c>
      <c r="L30" s="31">
        <v>-1.0</v>
      </c>
      <c r="M30" s="32"/>
      <c r="N30" s="33">
        <f t="shared" si="1"/>
        <v>3</v>
      </c>
      <c r="O30" s="23"/>
      <c r="P30" s="34">
        <f t="shared" si="2"/>
        <v>0</v>
      </c>
      <c r="Q30" s="35"/>
      <c r="R30" s="36">
        <f t="shared" si="3"/>
        <v>0</v>
      </c>
      <c r="S30" s="33"/>
      <c r="T30" s="37">
        <f t="shared" si="4"/>
        <v>-1</v>
      </c>
      <c r="U30" s="38">
        <v>1.0</v>
      </c>
      <c r="V30" s="39">
        <v>14.41670582706767</v>
      </c>
      <c r="W30" s="39">
        <v>279.8836328077252</v>
      </c>
      <c r="X30" s="35">
        <f t="shared" si="5"/>
        <v>0.17</v>
      </c>
      <c r="Y30" s="35">
        <f t="shared" si="6"/>
        <v>0</v>
      </c>
      <c r="Z30" s="40">
        <f t="shared" si="7"/>
        <v>-0.83</v>
      </c>
      <c r="AA30" s="34">
        <f t="shared" si="8"/>
        <v>-0.17</v>
      </c>
      <c r="AB30" s="41">
        <f t="shared" si="9"/>
        <v>0</v>
      </c>
      <c r="AC30" s="42" t="b">
        <v>1</v>
      </c>
      <c r="AD30" s="42" t="s">
        <v>140</v>
      </c>
      <c r="AE30" s="42"/>
      <c r="AF30" s="42" t="str">
        <f t="array" ref="AF30">INDEX('Deal Info'!D:D, MATCH(A30,'Deal Info'!A:A, 0))</f>
        <v>DoEV</v>
      </c>
      <c r="AG30" s="43" t="str">
        <f t="array" ref="AG30">INDEX('Deal Info'!G:G, MATCH(A30,'Deal Info'!A:A, 0))</f>
        <v>None</v>
      </c>
    </row>
    <row r="31" hidden="1">
      <c r="A31" s="23" t="str">
        <f t="array" ref="A31">if(G31='Room Info'!$B$1, INDEX('Room Info'!$A$2:$A3446, MATCH(B31,'Room Info'!$B$2:$B3446, 0)),if(G31='Room Info'!$C$1, INDEX('Room Info'!$A$2:$A3446, MATCH(B31,'Room Info'!$C$2:$C3446, 0)),if(G31='Room Info'!$D$1, INDEX('Room Info'!$A$2:$A3446, MATCH(B31,'Room Info'!$D$2:$D3446, 0)),if(G31='Room Info'!$E$1, INDEX('Room Info'!$A$2:$A3446, MATCH(B31,'Room Info'!$E$2:$E3446, 0)),if(G31='Room Info'!$F$1, INDEX('Room Info'!$A$2:$A3446, MATCH(B31,'Room Info'!$F$2:$F3446, 0)),if(G31='Room Info'!$H$1, INDEX('Room Info'!$A$2:$A3446, MATCH(B31,'Room Info'!$H$2:$H3446, 0)),if(G31='Room Info'!$G$1, INDEX('Room Info'!$A$2:$A3446, MATCH(B31,'Room Info'!$G$2:$G3446, 0)))))))))</f>
        <v>00goldimon</v>
      </c>
      <c r="B31" s="23" t="s">
        <v>139</v>
      </c>
      <c r="C31" s="46">
        <v>44774.0</v>
      </c>
      <c r="D31" s="46">
        <v>44804.0</v>
      </c>
      <c r="E31" s="26">
        <v>44774.0</v>
      </c>
      <c r="F31" s="27" t="s">
        <v>12</v>
      </c>
      <c r="G31" s="23" t="s">
        <v>5</v>
      </c>
      <c r="H31" s="28" t="s">
        <v>28</v>
      </c>
      <c r="I31" s="28" t="s">
        <v>7</v>
      </c>
      <c r="J31" s="44">
        <v>2.0</v>
      </c>
      <c r="K31" s="30">
        <v>2.0</v>
      </c>
      <c r="L31" s="31">
        <v>-4.0</v>
      </c>
      <c r="M31" s="32"/>
      <c r="N31" s="33">
        <f t="shared" si="1"/>
        <v>4</v>
      </c>
      <c r="O31" s="23"/>
      <c r="P31" s="34">
        <f t="shared" si="2"/>
        <v>0</v>
      </c>
      <c r="Q31" s="35"/>
      <c r="R31" s="36">
        <f t="shared" si="3"/>
        <v>0</v>
      </c>
      <c r="S31" s="33"/>
      <c r="T31" s="37">
        <f t="shared" si="4"/>
        <v>-4</v>
      </c>
      <c r="U31" s="38">
        <v>1.0</v>
      </c>
      <c r="V31" s="39">
        <v>14.41670582706767</v>
      </c>
      <c r="W31" s="39">
        <v>279.8836328077252</v>
      </c>
      <c r="X31" s="35">
        <f t="shared" si="5"/>
        <v>0.17</v>
      </c>
      <c r="Y31" s="35">
        <f t="shared" si="6"/>
        <v>0</v>
      </c>
      <c r="Z31" s="40">
        <f t="shared" si="7"/>
        <v>-3.32</v>
      </c>
      <c r="AA31" s="34">
        <f t="shared" si="8"/>
        <v>-0.68</v>
      </c>
      <c r="AB31" s="41">
        <f t="shared" si="9"/>
        <v>0</v>
      </c>
      <c r="AC31" s="42" t="b">
        <v>1</v>
      </c>
      <c r="AD31" s="42" t="s">
        <v>140</v>
      </c>
      <c r="AE31" s="42"/>
      <c r="AF31" s="42" t="str">
        <f t="array" ref="AF31">INDEX('Deal Info'!D:D, MATCH(A31,'Deal Info'!A:A, 0))</f>
        <v>DoEV</v>
      </c>
      <c r="AG31" s="43" t="str">
        <f t="array" ref="AG31">INDEX('Deal Info'!G:G, MATCH(A31,'Deal Info'!A:A, 0))</f>
        <v>None</v>
      </c>
    </row>
    <row r="32" hidden="1">
      <c r="A32" s="23" t="str">
        <f t="array" ref="A32">if(G32='Room Info'!$B$1, INDEX('Room Info'!$A$2:$A3446, MATCH(B32,'Room Info'!$B$2:$B3446, 0)),if(G32='Room Info'!$C$1, INDEX('Room Info'!$A$2:$A3446, MATCH(B32,'Room Info'!$C$2:$C3446, 0)),if(G32='Room Info'!$D$1, INDEX('Room Info'!$A$2:$A3446, MATCH(B32,'Room Info'!$D$2:$D3446, 0)),if(G32='Room Info'!$E$1, INDEX('Room Info'!$A$2:$A3446, MATCH(B32,'Room Info'!$E$2:$E3446, 0)),if(G32='Room Info'!$F$1, INDEX('Room Info'!$A$2:$A3446, MATCH(B32,'Room Info'!$F$2:$F3446, 0)),if(G32='Room Info'!$H$1, INDEX('Room Info'!$A$2:$A3446, MATCH(B32,'Room Info'!$H$2:$H3446, 0)),if(G32='Room Info'!$G$1, INDEX('Room Info'!$A$2:$A3446, MATCH(B32,'Room Info'!$G$2:$G3446, 0)))))))))</f>
        <v>00goldimon</v>
      </c>
      <c r="B32" s="23" t="s">
        <v>139</v>
      </c>
      <c r="C32" s="46">
        <v>44774.0</v>
      </c>
      <c r="D32" s="46">
        <v>44804.0</v>
      </c>
      <c r="E32" s="26">
        <v>44774.0</v>
      </c>
      <c r="F32" s="27" t="s">
        <v>12</v>
      </c>
      <c r="G32" s="23" t="s">
        <v>5</v>
      </c>
      <c r="H32" s="28" t="s">
        <v>10</v>
      </c>
      <c r="I32" s="28" t="s">
        <v>11</v>
      </c>
      <c r="J32" s="44">
        <v>0.25</v>
      </c>
      <c r="K32" s="30">
        <v>2.0</v>
      </c>
      <c r="L32" s="31">
        <v>0.0</v>
      </c>
      <c r="M32" s="32"/>
      <c r="N32" s="33">
        <f t="shared" si="1"/>
        <v>0.5</v>
      </c>
      <c r="O32" s="23"/>
      <c r="P32" s="34">
        <f t="shared" si="2"/>
        <v>0</v>
      </c>
      <c r="Q32" s="35"/>
      <c r="R32" s="36">
        <f t="shared" si="3"/>
        <v>0</v>
      </c>
      <c r="S32" s="33"/>
      <c r="T32" s="37">
        <f t="shared" si="4"/>
        <v>0</v>
      </c>
      <c r="U32" s="38">
        <v>1.0</v>
      </c>
      <c r="V32" s="39">
        <v>14.41670582706767</v>
      </c>
      <c r="W32" s="39">
        <v>279.8836328077252</v>
      </c>
      <c r="X32" s="35">
        <f t="shared" si="5"/>
        <v>0.17</v>
      </c>
      <c r="Y32" s="35">
        <f t="shared" si="6"/>
        <v>0</v>
      </c>
      <c r="Z32" s="40">
        <f t="shared" si="7"/>
        <v>0</v>
      </c>
      <c r="AA32" s="34">
        <f t="shared" si="8"/>
        <v>0</v>
      </c>
      <c r="AB32" s="41">
        <f t="shared" si="9"/>
        <v>0</v>
      </c>
      <c r="AC32" s="42" t="b">
        <v>1</v>
      </c>
      <c r="AD32" s="42" t="s">
        <v>140</v>
      </c>
      <c r="AE32" s="42"/>
      <c r="AF32" s="42" t="str">
        <f t="array" ref="AF32">INDEX('Deal Info'!D:D, MATCH(A32,'Deal Info'!A:A, 0))</f>
        <v>DoEV</v>
      </c>
      <c r="AG32" s="43" t="str">
        <f t="array" ref="AG32">INDEX('Deal Info'!G:G, MATCH(A32,'Deal Info'!A:A, 0))</f>
        <v>None</v>
      </c>
    </row>
    <row r="33" hidden="1">
      <c r="A33" s="23" t="b">
        <f t="array" ref="A33">if(G33='Room Info'!$B$1, INDEX('Room Info'!$A$2:$A3446, MATCH(B33,'Room Info'!$B$2:$B3446, 0)),if(G33='Room Info'!$C$1, INDEX('Room Info'!$A$2:$A3446, MATCH(B33,'Room Info'!$C$2:$C3446, 0)),if(G33='Room Info'!$D$1, INDEX('Room Info'!$A$2:$A3446, MATCH(B33,'Room Info'!$D$2:$D3446, 0)),if(G33='Room Info'!$E$1, INDEX('Room Info'!$A$2:$A3446, MATCH(B33,'Room Info'!$E$2:$E3446, 0)),if(G33='Room Info'!$F$1, INDEX('Room Info'!$A$2:$A3446, MATCH(B33,'Room Info'!$F$2:$F3446, 0)),if(G33='Room Info'!$H$1, INDEX('Room Info'!$A$2:$A3446, MATCH(B33,'Room Info'!$H$2:$H3446, 0)),if(G33='Room Info'!$G$1, INDEX('Room Info'!$A$2:$A3446, MATCH(B33,'Room Info'!$G$2:$G3446, 0)))))))))</f>
        <v>0</v>
      </c>
      <c r="B33" s="23" t="s">
        <v>141</v>
      </c>
      <c r="C33" s="46">
        <v>44805.0</v>
      </c>
      <c r="D33" s="46">
        <v>44834.0</v>
      </c>
      <c r="E33" s="26">
        <v>44805.0</v>
      </c>
      <c r="F33" s="27" t="s">
        <v>12</v>
      </c>
      <c r="G33" s="23" t="s">
        <v>142</v>
      </c>
      <c r="H33" s="28" t="s">
        <v>39</v>
      </c>
      <c r="I33" s="28" t="s">
        <v>7</v>
      </c>
      <c r="J33" s="44">
        <v>5.0</v>
      </c>
      <c r="K33" s="30">
        <v>50.0</v>
      </c>
      <c r="L33" s="31">
        <v>7.89</v>
      </c>
      <c r="M33" s="48">
        <v>9.0</v>
      </c>
      <c r="N33" s="33">
        <f t="shared" si="1"/>
        <v>250</v>
      </c>
      <c r="O33" s="23"/>
      <c r="P33" s="34">
        <f t="shared" si="2"/>
        <v>0</v>
      </c>
      <c r="Q33" s="35"/>
      <c r="R33" s="36">
        <f t="shared" si="3"/>
        <v>9</v>
      </c>
      <c r="S33" s="33"/>
      <c r="T33" s="37">
        <f t="shared" si="4"/>
        <v>16.89</v>
      </c>
      <c r="U33" s="38">
        <v>0.97</v>
      </c>
      <c r="V33" s="39">
        <v>15.0669099756691</v>
      </c>
      <c r="W33" s="39">
        <v>218.82389987888578</v>
      </c>
      <c r="X33" s="35" t="str">
        <f t="shared" si="5"/>
        <v>#N/A</v>
      </c>
      <c r="Y33" s="35" t="str">
        <f t="shared" si="6"/>
        <v>#N/A</v>
      </c>
      <c r="Z33" s="40" t="str">
        <f t="shared" si="7"/>
        <v>#N/A</v>
      </c>
      <c r="AA33" s="34" t="str">
        <f t="shared" si="8"/>
        <v>#N/A</v>
      </c>
      <c r="AB33" s="41" t="str">
        <f t="shared" si="9"/>
        <v>#N/A</v>
      </c>
      <c r="AC33" s="42" t="b">
        <v>1</v>
      </c>
      <c r="AD33" s="42" t="s">
        <v>140</v>
      </c>
      <c r="AE33" s="42"/>
      <c r="AF33" s="42" t="str">
        <f t="array" ref="AF33">INDEX('Deal Info'!D:D, MATCH(A33,'Deal Info'!A:A, 0))</f>
        <v>#N/A</v>
      </c>
      <c r="AG33" s="43" t="str">
        <f t="array" ref="AG33">INDEX('Deal Info'!G:G, MATCH(A33,'Deal Info'!A:A, 0))</f>
        <v>#N/A</v>
      </c>
    </row>
    <row r="34" hidden="1">
      <c r="A34" s="23" t="b">
        <f t="array" ref="A34">if(G34='Room Info'!$B$1, INDEX('Room Info'!$A$2:$A3446, MATCH(B34,'Room Info'!$B$2:$B3446, 0)),if(G34='Room Info'!$C$1, INDEX('Room Info'!$A$2:$A3446, MATCH(B34,'Room Info'!$C$2:$C3446, 0)),if(G34='Room Info'!$D$1, INDEX('Room Info'!$A$2:$A3446, MATCH(B34,'Room Info'!$D$2:$D3446, 0)),if(G34='Room Info'!$E$1, INDEX('Room Info'!$A$2:$A3446, MATCH(B34,'Room Info'!$E$2:$E3446, 0)),if(G34='Room Info'!$F$1, INDEX('Room Info'!$A$2:$A3446, MATCH(B34,'Room Info'!$F$2:$F3446, 0)),if(G34='Room Info'!$H$1, INDEX('Room Info'!$A$2:$A3446, MATCH(B34,'Room Info'!$H$2:$H3446, 0)),if(G34='Room Info'!$G$1, INDEX('Room Info'!$A$2:$A3446, MATCH(B34,'Room Info'!$G$2:$G3446, 0)))))))))</f>
        <v>0</v>
      </c>
      <c r="B34" s="23" t="s">
        <v>141</v>
      </c>
      <c r="C34" s="46">
        <v>44805.0</v>
      </c>
      <c r="D34" s="46">
        <v>44834.0</v>
      </c>
      <c r="E34" s="26">
        <v>44805.0</v>
      </c>
      <c r="F34" s="27" t="s">
        <v>12</v>
      </c>
      <c r="G34" s="23" t="s">
        <v>142</v>
      </c>
      <c r="H34" s="28" t="s">
        <v>50</v>
      </c>
      <c r="I34" s="28" t="s">
        <v>7</v>
      </c>
      <c r="J34" s="44">
        <v>10.0</v>
      </c>
      <c r="K34" s="30">
        <v>1598.0</v>
      </c>
      <c r="L34" s="31">
        <v>504.17</v>
      </c>
      <c r="M34" s="48">
        <v>559.0</v>
      </c>
      <c r="N34" s="33">
        <f t="shared" si="1"/>
        <v>15980</v>
      </c>
      <c r="O34" s="23"/>
      <c r="P34" s="34">
        <f t="shared" si="2"/>
        <v>0</v>
      </c>
      <c r="Q34" s="35"/>
      <c r="R34" s="36">
        <f t="shared" si="3"/>
        <v>559</v>
      </c>
      <c r="S34" s="33"/>
      <c r="T34" s="37">
        <f t="shared" si="4"/>
        <v>1063.17</v>
      </c>
      <c r="U34" s="38">
        <v>0.97</v>
      </c>
      <c r="V34" s="39">
        <v>15.0669099756691</v>
      </c>
      <c r="W34" s="39">
        <v>218.82389987888578</v>
      </c>
      <c r="X34" s="35" t="str">
        <f t="shared" si="5"/>
        <v>#N/A</v>
      </c>
      <c r="Y34" s="35" t="str">
        <f t="shared" si="6"/>
        <v>#N/A</v>
      </c>
      <c r="Z34" s="40" t="str">
        <f t="shared" si="7"/>
        <v>#N/A</v>
      </c>
      <c r="AA34" s="34" t="str">
        <f t="shared" si="8"/>
        <v>#N/A</v>
      </c>
      <c r="AB34" s="41" t="str">
        <f t="shared" si="9"/>
        <v>#N/A</v>
      </c>
      <c r="AC34" s="42" t="b">
        <v>1</v>
      </c>
      <c r="AD34" s="42" t="s">
        <v>140</v>
      </c>
      <c r="AE34" s="42"/>
      <c r="AF34" s="42" t="str">
        <f t="array" ref="AF34">INDEX('Deal Info'!D:D, MATCH(A34,'Deal Info'!A:A, 0))</f>
        <v>#N/A</v>
      </c>
      <c r="AG34" s="43" t="str">
        <f t="array" ref="AG34">INDEX('Deal Info'!G:G, MATCH(A34,'Deal Info'!A:A, 0))</f>
        <v>#N/A</v>
      </c>
    </row>
    <row r="35" hidden="1">
      <c r="A35" s="23" t="b">
        <f t="array" ref="A35">if(G35='Room Info'!$B$1, INDEX('Room Info'!$A$2:$A3446, MATCH(B35,'Room Info'!$B$2:$B3446, 0)),if(G35='Room Info'!$C$1, INDEX('Room Info'!$A$2:$A3446, MATCH(B35,'Room Info'!$C$2:$C3446, 0)),if(G35='Room Info'!$D$1, INDEX('Room Info'!$A$2:$A3446, MATCH(B35,'Room Info'!$D$2:$D3446, 0)),if(G35='Room Info'!$E$1, INDEX('Room Info'!$A$2:$A3446, MATCH(B35,'Room Info'!$E$2:$E3446, 0)),if(G35='Room Info'!$F$1, INDEX('Room Info'!$A$2:$A3446, MATCH(B35,'Room Info'!$F$2:$F3446, 0)),if(G35='Room Info'!$H$1, INDEX('Room Info'!$A$2:$A3446, MATCH(B35,'Room Info'!$H$2:$H3446, 0)),if(G35='Room Info'!$G$1, INDEX('Room Info'!$A$2:$A3446, MATCH(B35,'Room Info'!$G$2:$G3446, 0)))))))))</f>
        <v>0</v>
      </c>
      <c r="B35" s="23" t="s">
        <v>141</v>
      </c>
      <c r="C35" s="46">
        <v>44805.0</v>
      </c>
      <c r="D35" s="46">
        <v>44834.0</v>
      </c>
      <c r="E35" s="26">
        <v>44805.0</v>
      </c>
      <c r="F35" s="27" t="s">
        <v>12</v>
      </c>
      <c r="G35" s="23" t="s">
        <v>142</v>
      </c>
      <c r="H35" s="28" t="s">
        <v>61</v>
      </c>
      <c r="I35" s="28" t="s">
        <v>7</v>
      </c>
      <c r="J35" s="44">
        <v>20.0</v>
      </c>
      <c r="K35" s="30">
        <v>1623.0</v>
      </c>
      <c r="L35" s="31">
        <v>1024.12</v>
      </c>
      <c r="M35" s="49">
        <v>1136.0</v>
      </c>
      <c r="N35" s="33">
        <f t="shared" si="1"/>
        <v>32460</v>
      </c>
      <c r="O35" s="23"/>
      <c r="P35" s="34">
        <f t="shared" si="2"/>
        <v>0</v>
      </c>
      <c r="Q35" s="35"/>
      <c r="R35" s="36">
        <f t="shared" si="3"/>
        <v>1136</v>
      </c>
      <c r="S35" s="33"/>
      <c r="T35" s="37">
        <f t="shared" si="4"/>
        <v>2160.12</v>
      </c>
      <c r="U35" s="38">
        <v>0.97</v>
      </c>
      <c r="V35" s="39">
        <v>15.0669099756691</v>
      </c>
      <c r="W35" s="39">
        <v>218.82389987888578</v>
      </c>
      <c r="X35" s="35" t="str">
        <f t="shared" si="5"/>
        <v>#N/A</v>
      </c>
      <c r="Y35" s="35" t="str">
        <f t="shared" si="6"/>
        <v>#N/A</v>
      </c>
      <c r="Z35" s="40" t="str">
        <f t="shared" si="7"/>
        <v>#N/A</v>
      </c>
      <c r="AA35" s="34" t="str">
        <f t="shared" si="8"/>
        <v>#N/A</v>
      </c>
      <c r="AB35" s="41" t="str">
        <f t="shared" si="9"/>
        <v>#N/A</v>
      </c>
      <c r="AC35" s="42" t="b">
        <v>1</v>
      </c>
      <c r="AD35" s="42" t="s">
        <v>140</v>
      </c>
      <c r="AE35" s="42"/>
      <c r="AF35" s="42" t="str">
        <f t="array" ref="AF35">INDEX('Deal Info'!D:D, MATCH(A35,'Deal Info'!A:A, 0))</f>
        <v>#N/A</v>
      </c>
      <c r="AG35" s="43" t="str">
        <f t="array" ref="AG35">INDEX('Deal Info'!G:G, MATCH(A35,'Deal Info'!A:A, 0))</f>
        <v>#N/A</v>
      </c>
    </row>
    <row r="36" hidden="1">
      <c r="A36" s="23" t="b">
        <f t="array" ref="A36">if(G36='Room Info'!$B$1, INDEX('Room Info'!$A$2:$A3446, MATCH(B36,'Room Info'!$B$2:$B3446, 0)),if(G36='Room Info'!$C$1, INDEX('Room Info'!$A$2:$A3446, MATCH(B36,'Room Info'!$C$2:$C3446, 0)),if(G36='Room Info'!$D$1, INDEX('Room Info'!$A$2:$A3446, MATCH(B36,'Room Info'!$D$2:$D3446, 0)),if(G36='Room Info'!$E$1, INDEX('Room Info'!$A$2:$A3446, MATCH(B36,'Room Info'!$E$2:$E3446, 0)),if(G36='Room Info'!$F$1, INDEX('Room Info'!$A$2:$A3446, MATCH(B36,'Room Info'!$F$2:$F3446, 0)),if(G36='Room Info'!$H$1, INDEX('Room Info'!$A$2:$A3446, MATCH(B36,'Room Info'!$H$2:$H3446, 0)),if(G36='Room Info'!$G$1, INDEX('Room Info'!$A$2:$A3446, MATCH(B36,'Room Info'!$G$2:$G3446, 0)))))))))</f>
        <v>0</v>
      </c>
      <c r="B36" s="23" t="s">
        <v>141</v>
      </c>
      <c r="C36" s="24">
        <v>44805.0</v>
      </c>
      <c r="D36" s="24">
        <v>44834.0</v>
      </c>
      <c r="E36" s="26">
        <v>44805.0</v>
      </c>
      <c r="F36" s="45" t="s">
        <v>12</v>
      </c>
      <c r="G36" s="23" t="s">
        <v>142</v>
      </c>
      <c r="H36" s="28" t="s">
        <v>77</v>
      </c>
      <c r="I36" s="28" t="s">
        <v>7</v>
      </c>
      <c r="J36" s="44">
        <v>50.0</v>
      </c>
      <c r="K36" s="30">
        <v>17.0</v>
      </c>
      <c r="L36" s="31">
        <v>26.82</v>
      </c>
      <c r="M36" s="48">
        <v>30.0</v>
      </c>
      <c r="N36" s="33">
        <f t="shared" si="1"/>
        <v>850</v>
      </c>
      <c r="O36" s="23"/>
      <c r="P36" s="34">
        <f t="shared" si="2"/>
        <v>0</v>
      </c>
      <c r="Q36" s="35"/>
      <c r="R36" s="36">
        <f t="shared" si="3"/>
        <v>30</v>
      </c>
      <c r="S36" s="33"/>
      <c r="T36" s="37">
        <f t="shared" si="4"/>
        <v>56.82</v>
      </c>
      <c r="U36" s="38">
        <v>0.97</v>
      </c>
      <c r="V36" s="39">
        <v>15.0669099756691</v>
      </c>
      <c r="W36" s="39">
        <v>218.82389987888578</v>
      </c>
      <c r="X36" s="35" t="str">
        <f t="shared" si="5"/>
        <v>#N/A</v>
      </c>
      <c r="Y36" s="35" t="str">
        <f t="shared" si="6"/>
        <v>#N/A</v>
      </c>
      <c r="Z36" s="40" t="str">
        <f t="shared" si="7"/>
        <v>#N/A</v>
      </c>
      <c r="AA36" s="34" t="str">
        <f t="shared" si="8"/>
        <v>#N/A</v>
      </c>
      <c r="AB36" s="41" t="str">
        <f t="shared" si="9"/>
        <v>#N/A</v>
      </c>
      <c r="AC36" s="42" t="b">
        <v>1</v>
      </c>
      <c r="AD36" s="42" t="s">
        <v>140</v>
      </c>
      <c r="AE36" s="42"/>
      <c r="AF36" s="42" t="str">
        <f t="array" ref="AF36">INDEX('Deal Info'!D:D, MATCH(A36,'Deal Info'!A:A, 0))</f>
        <v>#N/A</v>
      </c>
      <c r="AG36" s="43" t="str">
        <f t="array" ref="AG36">INDEX('Deal Info'!G:G, MATCH(A36,'Deal Info'!A:A, 0))</f>
        <v>#N/A</v>
      </c>
    </row>
    <row r="37" hidden="1">
      <c r="A37" s="23" t="b">
        <f t="array" ref="A37">if(G37='Room Info'!$B$1, INDEX('Room Info'!$A$2:$A3446, MATCH(B37,'Room Info'!$B$2:$B3446, 0)),if(G37='Room Info'!$C$1, INDEX('Room Info'!$A$2:$A3446, MATCH(B37,'Room Info'!$C$2:$C3446, 0)),if(G37='Room Info'!$D$1, INDEX('Room Info'!$A$2:$A3446, MATCH(B37,'Room Info'!$D$2:$D3446, 0)),if(G37='Room Info'!$E$1, INDEX('Room Info'!$A$2:$A3446, MATCH(B37,'Room Info'!$E$2:$E3446, 0)),if(G37='Room Info'!$F$1, INDEX('Room Info'!$A$2:$A3446, MATCH(B37,'Room Info'!$F$2:$F3446, 0)),if(G37='Room Info'!$H$1, INDEX('Room Info'!$A$2:$A3446, MATCH(B37,'Room Info'!$H$2:$H3446, 0)),if(G37='Room Info'!$G$1, INDEX('Room Info'!$A$2:$A3446, MATCH(B37,'Room Info'!$G$2:$G3446, 0)))))))))</f>
        <v>0</v>
      </c>
      <c r="B37" s="23" t="s">
        <v>141</v>
      </c>
      <c r="C37" s="24">
        <v>44835.0</v>
      </c>
      <c r="D37" s="24">
        <v>44865.0</v>
      </c>
      <c r="E37" s="26">
        <v>44835.0</v>
      </c>
      <c r="F37" s="45" t="s">
        <v>12</v>
      </c>
      <c r="G37" s="23" t="s">
        <v>142</v>
      </c>
      <c r="H37" s="28" t="s">
        <v>61</v>
      </c>
      <c r="I37" s="28" t="s">
        <v>7</v>
      </c>
      <c r="J37" s="44">
        <v>20.0</v>
      </c>
      <c r="K37" s="30">
        <v>2572.0</v>
      </c>
      <c r="L37" s="31">
        <v>-1344.74</v>
      </c>
      <c r="M37" s="49">
        <v>1800.0</v>
      </c>
      <c r="N37" s="33">
        <f t="shared" si="1"/>
        <v>51440</v>
      </c>
      <c r="O37" s="23">
        <v>116645.0</v>
      </c>
      <c r="P37" s="34">
        <f t="shared" si="2"/>
        <v>45.35186625</v>
      </c>
      <c r="Q37" s="35"/>
      <c r="R37" s="36">
        <f t="shared" si="3"/>
        <v>1800</v>
      </c>
      <c r="S37" s="33">
        <v>353.0</v>
      </c>
      <c r="T37" s="37">
        <f t="shared" si="4"/>
        <v>808.26</v>
      </c>
      <c r="U37" s="38">
        <v>0.98</v>
      </c>
      <c r="V37" s="39">
        <v>27.49137931034483</v>
      </c>
      <c r="W37" s="39">
        <v>4.365004703668864</v>
      </c>
      <c r="X37" s="35" t="str">
        <f t="shared" si="5"/>
        <v>#N/A</v>
      </c>
      <c r="Y37" s="35" t="str">
        <f t="shared" si="6"/>
        <v>#N/A</v>
      </c>
      <c r="Z37" s="40" t="str">
        <f t="shared" si="7"/>
        <v>#N/A</v>
      </c>
      <c r="AA37" s="34" t="str">
        <f t="shared" si="8"/>
        <v>#N/A</v>
      </c>
      <c r="AB37" s="41" t="str">
        <f t="shared" si="9"/>
        <v>#N/A</v>
      </c>
      <c r="AC37" s="42" t="b">
        <v>1</v>
      </c>
      <c r="AD37" s="42" t="s">
        <v>140</v>
      </c>
      <c r="AE37" s="42"/>
      <c r="AF37" s="42" t="str">
        <f t="array" ref="AF37">INDEX('Deal Info'!D:D, MATCH(A37,'Deal Info'!A:A, 0))</f>
        <v>#N/A</v>
      </c>
      <c r="AG37" s="43" t="str">
        <f t="array" ref="AG37">INDEX('Deal Info'!G:G, MATCH(A37,'Deal Info'!A:A, 0))</f>
        <v>#N/A</v>
      </c>
    </row>
    <row r="38" hidden="1">
      <c r="A38" s="23" t="b">
        <f t="array" ref="A38">if(G38='Room Info'!$B$1, INDEX('Room Info'!$A$2:$A3446, MATCH(B38,'Room Info'!$B$2:$B3446, 0)),if(G38='Room Info'!$C$1, INDEX('Room Info'!$A$2:$A3446, MATCH(B38,'Room Info'!$C$2:$C3446, 0)),if(G38='Room Info'!$D$1, INDEX('Room Info'!$A$2:$A3446, MATCH(B38,'Room Info'!$D$2:$D3446, 0)),if(G38='Room Info'!$E$1, INDEX('Room Info'!$A$2:$A3446, MATCH(B38,'Room Info'!$E$2:$E3446, 0)),if(G38='Room Info'!$F$1, INDEX('Room Info'!$A$2:$A3446, MATCH(B38,'Room Info'!$F$2:$F3446, 0)),if(G38='Room Info'!$H$1, INDEX('Room Info'!$A$2:$A3446, MATCH(B38,'Room Info'!$H$2:$H3446, 0)),if(G38='Room Info'!$G$1, INDEX('Room Info'!$A$2:$A3446, MATCH(B38,'Room Info'!$G$2:$G3446, 0)))))))))</f>
        <v>0</v>
      </c>
      <c r="B38" s="23" t="s">
        <v>141</v>
      </c>
      <c r="C38" s="24">
        <v>44835.0</v>
      </c>
      <c r="D38" s="24">
        <v>44865.0</v>
      </c>
      <c r="E38" s="26">
        <v>44835.0</v>
      </c>
      <c r="F38" s="27" t="s">
        <v>12</v>
      </c>
      <c r="G38" s="23" t="s">
        <v>142</v>
      </c>
      <c r="H38" s="28" t="s">
        <v>77</v>
      </c>
      <c r="I38" s="28" t="s">
        <v>7</v>
      </c>
      <c r="J38" s="44">
        <v>50.0</v>
      </c>
      <c r="K38" s="30">
        <v>882.0</v>
      </c>
      <c r="L38" s="31">
        <v>-1152.86</v>
      </c>
      <c r="M38" s="49">
        <v>1544.0</v>
      </c>
      <c r="N38" s="33">
        <f t="shared" si="1"/>
        <v>44100</v>
      </c>
      <c r="O38" s="23">
        <v>25048.0</v>
      </c>
      <c r="P38" s="34">
        <f t="shared" si="2"/>
        <v>28.39909297</v>
      </c>
      <c r="Q38" s="35"/>
      <c r="R38" s="36">
        <f t="shared" si="3"/>
        <v>1544</v>
      </c>
      <c r="S38" s="33">
        <v>-1074.0</v>
      </c>
      <c r="T38" s="37">
        <f t="shared" si="4"/>
        <v>-682.86</v>
      </c>
      <c r="U38" s="38">
        <v>0.98</v>
      </c>
      <c r="V38" s="39">
        <v>27.49137931034483</v>
      </c>
      <c r="W38" s="39">
        <v>4.365004703668864</v>
      </c>
      <c r="X38" s="35" t="str">
        <f t="shared" si="5"/>
        <v>#N/A</v>
      </c>
      <c r="Y38" s="35" t="str">
        <f t="shared" si="6"/>
        <v>#N/A</v>
      </c>
      <c r="Z38" s="40" t="str">
        <f t="shared" si="7"/>
        <v>#N/A</v>
      </c>
      <c r="AA38" s="34" t="str">
        <f t="shared" si="8"/>
        <v>#N/A</v>
      </c>
      <c r="AB38" s="41" t="str">
        <f t="shared" si="9"/>
        <v>#N/A</v>
      </c>
      <c r="AC38" s="42" t="b">
        <v>1</v>
      </c>
      <c r="AD38" s="42" t="s">
        <v>140</v>
      </c>
      <c r="AE38" s="42"/>
      <c r="AF38" s="42" t="str">
        <f t="array" ref="AF38">INDEX('Deal Info'!D:D, MATCH(A38,'Deal Info'!A:A, 0))</f>
        <v>#N/A</v>
      </c>
      <c r="AG38" s="43" t="str">
        <f t="array" ref="AG38">INDEX('Deal Info'!G:G, MATCH(A38,'Deal Info'!A:A, 0))</f>
        <v>#N/A</v>
      </c>
    </row>
    <row r="39" hidden="1">
      <c r="A39" s="23" t="b">
        <f t="array" ref="A39">if(G39='Room Info'!$B$1, INDEX('Room Info'!$A$2:$A3446, MATCH(B39,'Room Info'!$B$2:$B3446, 0)),if(G39='Room Info'!$C$1, INDEX('Room Info'!$A$2:$A3446, MATCH(B39,'Room Info'!$C$2:$C3446, 0)),if(G39='Room Info'!$D$1, INDEX('Room Info'!$A$2:$A3446, MATCH(B39,'Room Info'!$D$2:$D3446, 0)),if(G39='Room Info'!$E$1, INDEX('Room Info'!$A$2:$A3446, MATCH(B39,'Room Info'!$E$2:$E3446, 0)),if(G39='Room Info'!$F$1, INDEX('Room Info'!$A$2:$A3446, MATCH(B39,'Room Info'!$F$2:$F3446, 0)),if(G39='Room Info'!$H$1, INDEX('Room Info'!$A$2:$A3446, MATCH(B39,'Room Info'!$H$2:$H3446, 0)),if(G39='Room Info'!$G$1, INDEX('Room Info'!$A$2:$A3446, MATCH(B39,'Room Info'!$G$2:$G3446, 0)))))))))</f>
        <v>0</v>
      </c>
      <c r="B39" s="23" t="s">
        <v>141</v>
      </c>
      <c r="C39" s="24">
        <v>44835.0</v>
      </c>
      <c r="D39" s="24">
        <v>44865.0</v>
      </c>
      <c r="E39" s="26">
        <v>44835.0</v>
      </c>
      <c r="F39" s="27" t="s">
        <v>12</v>
      </c>
      <c r="G39" s="23" t="s">
        <v>142</v>
      </c>
      <c r="H39" s="28" t="s">
        <v>39</v>
      </c>
      <c r="I39" s="28" t="s">
        <v>7</v>
      </c>
      <c r="J39" s="44">
        <v>5.0</v>
      </c>
      <c r="K39" s="30">
        <v>26.0</v>
      </c>
      <c r="L39" s="31">
        <v>-3.4</v>
      </c>
      <c r="M39" s="48">
        <v>5.0</v>
      </c>
      <c r="N39" s="33">
        <f t="shared" si="1"/>
        <v>130</v>
      </c>
      <c r="O39" s="23">
        <v>291.0</v>
      </c>
      <c r="P39" s="34">
        <f t="shared" si="2"/>
        <v>11.19230769</v>
      </c>
      <c r="Q39" s="35"/>
      <c r="R39" s="36">
        <f t="shared" si="3"/>
        <v>5</v>
      </c>
      <c r="S39" s="33">
        <v>-7.0</v>
      </c>
      <c r="T39" s="37">
        <f t="shared" si="4"/>
        <v>-5.4</v>
      </c>
      <c r="U39" s="38">
        <v>0.98</v>
      </c>
      <c r="V39" s="39">
        <v>27.49137931034483</v>
      </c>
      <c r="W39" s="39">
        <v>4.365004703668864</v>
      </c>
      <c r="X39" s="35" t="str">
        <f t="shared" si="5"/>
        <v>#N/A</v>
      </c>
      <c r="Y39" s="35" t="str">
        <f t="shared" si="6"/>
        <v>#N/A</v>
      </c>
      <c r="Z39" s="40" t="str">
        <f t="shared" si="7"/>
        <v>#N/A</v>
      </c>
      <c r="AA39" s="34" t="str">
        <f t="shared" si="8"/>
        <v>#N/A</v>
      </c>
      <c r="AB39" s="41" t="str">
        <f t="shared" si="9"/>
        <v>#N/A</v>
      </c>
      <c r="AC39" s="42" t="b">
        <v>1</v>
      </c>
      <c r="AD39" s="42" t="s">
        <v>140</v>
      </c>
      <c r="AE39" s="42"/>
      <c r="AF39" s="42" t="str">
        <f t="array" ref="AF39">INDEX('Deal Info'!D:D, MATCH(A39,'Deal Info'!A:A, 0))</f>
        <v>#N/A</v>
      </c>
      <c r="AG39" s="43" t="str">
        <f t="array" ref="AG39">INDEX('Deal Info'!G:G, MATCH(A39,'Deal Info'!A:A, 0))</f>
        <v>#N/A</v>
      </c>
    </row>
    <row r="40" hidden="1">
      <c r="A40" s="23" t="b">
        <f t="array" ref="A40">if(G40='Room Info'!$B$1, INDEX('Room Info'!$A$2:$A3446, MATCH(B40,'Room Info'!$B$2:$B3446, 0)),if(G40='Room Info'!$C$1, INDEX('Room Info'!$A$2:$A3446, MATCH(B40,'Room Info'!$C$2:$C3446, 0)),if(G40='Room Info'!$D$1, INDEX('Room Info'!$A$2:$A3446, MATCH(B40,'Room Info'!$D$2:$D3446, 0)),if(G40='Room Info'!$E$1, INDEX('Room Info'!$A$2:$A3446, MATCH(B40,'Room Info'!$E$2:$E3446, 0)),if(G40='Room Info'!$F$1, INDEX('Room Info'!$A$2:$A3446, MATCH(B40,'Room Info'!$F$2:$F3446, 0)),if(G40='Room Info'!$H$1, INDEX('Room Info'!$A$2:$A3446, MATCH(B40,'Room Info'!$H$2:$H3446, 0)),if(G40='Room Info'!$G$1, INDEX('Room Info'!$A$2:$A3446, MATCH(B40,'Room Info'!$G$2:$G3446, 0)))))))))</f>
        <v>0</v>
      </c>
      <c r="B40" s="23" t="s">
        <v>143</v>
      </c>
      <c r="C40" s="24">
        <v>44866.0</v>
      </c>
      <c r="D40" s="24">
        <v>44895.0</v>
      </c>
      <c r="E40" s="26">
        <v>44866.0</v>
      </c>
      <c r="F40" s="27" t="s">
        <v>12</v>
      </c>
      <c r="G40" s="23" t="s">
        <v>142</v>
      </c>
      <c r="H40" s="28" t="s">
        <v>61</v>
      </c>
      <c r="I40" s="28" t="s">
        <v>7</v>
      </c>
      <c r="J40" s="44">
        <v>20.0</v>
      </c>
      <c r="K40" s="30">
        <v>337.0</v>
      </c>
      <c r="L40" s="31">
        <v>-533.74</v>
      </c>
      <c r="M40" s="48">
        <v>236.0</v>
      </c>
      <c r="N40" s="33">
        <f t="shared" si="1"/>
        <v>6740</v>
      </c>
      <c r="O40" s="23"/>
      <c r="P40" s="34">
        <f t="shared" si="2"/>
        <v>0</v>
      </c>
      <c r="Q40" s="35"/>
      <c r="R40" s="36">
        <f t="shared" si="3"/>
        <v>236</v>
      </c>
      <c r="S40" s="33"/>
      <c r="T40" s="37">
        <f t="shared" si="4"/>
        <v>-297.74</v>
      </c>
      <c r="U40" s="38">
        <v>1.052</v>
      </c>
      <c r="V40" s="39">
        <v>17.516129032258064</v>
      </c>
      <c r="W40" s="39">
        <v>-27.40388581952118</v>
      </c>
      <c r="X40" s="35" t="str">
        <f t="shared" si="5"/>
        <v>#N/A</v>
      </c>
      <c r="Y40" s="35" t="str">
        <f t="shared" si="6"/>
        <v>#N/A</v>
      </c>
      <c r="Z40" s="40" t="str">
        <f t="shared" si="7"/>
        <v>#N/A</v>
      </c>
      <c r="AA40" s="34" t="str">
        <f t="shared" si="8"/>
        <v>#N/A</v>
      </c>
      <c r="AB40" s="41" t="str">
        <f t="shared" si="9"/>
        <v>#N/A</v>
      </c>
      <c r="AC40" s="42" t="b">
        <v>0</v>
      </c>
      <c r="AD40" s="42" t="s">
        <v>140</v>
      </c>
      <c r="AE40" s="42"/>
      <c r="AF40" s="42" t="str">
        <f t="array" ref="AF40">INDEX('Deal Info'!D:D, MATCH(A40,'Deal Info'!A:A, 0))</f>
        <v>#N/A</v>
      </c>
      <c r="AG40" s="43" t="str">
        <f t="array" ref="AG40">INDEX('Deal Info'!G:G, MATCH(A40,'Deal Info'!A:A, 0))</f>
        <v>#N/A</v>
      </c>
    </row>
    <row r="41" hidden="1">
      <c r="A41" s="23" t="b">
        <f t="array" ref="A41">if(G41='Room Info'!$B$1, INDEX('Room Info'!$A$2:$A3446, MATCH(B41,'Room Info'!$B$2:$B3446, 0)),if(G41='Room Info'!$C$1, INDEX('Room Info'!$A$2:$A3446, MATCH(B41,'Room Info'!$C$2:$C3446, 0)),if(G41='Room Info'!$D$1, INDEX('Room Info'!$A$2:$A3446, MATCH(B41,'Room Info'!$D$2:$D3446, 0)),if(G41='Room Info'!$E$1, INDEX('Room Info'!$A$2:$A3446, MATCH(B41,'Room Info'!$E$2:$E3446, 0)),if(G41='Room Info'!$F$1, INDEX('Room Info'!$A$2:$A3446, MATCH(B41,'Room Info'!$F$2:$F3446, 0)),if(G41='Room Info'!$H$1, INDEX('Room Info'!$A$2:$A3446, MATCH(B41,'Room Info'!$H$2:$H3446, 0)),if(G41='Room Info'!$G$1, INDEX('Room Info'!$A$2:$A3446, MATCH(B41,'Room Info'!$G$2:$G3446, 0)))))))))</f>
        <v>0</v>
      </c>
      <c r="B41" s="23" t="s">
        <v>143</v>
      </c>
      <c r="C41" s="24">
        <v>44866.0</v>
      </c>
      <c r="D41" s="24">
        <v>44895.0</v>
      </c>
      <c r="E41" s="26">
        <v>44866.0</v>
      </c>
      <c r="F41" s="27" t="s">
        <v>12</v>
      </c>
      <c r="G41" s="23" t="s">
        <v>142</v>
      </c>
      <c r="H41" s="28" t="s">
        <v>39</v>
      </c>
      <c r="I41" s="28" t="s">
        <v>7</v>
      </c>
      <c r="J41" s="44">
        <v>5.0</v>
      </c>
      <c r="K41" s="30">
        <v>158.0</v>
      </c>
      <c r="L41" s="31">
        <v>-62.56</v>
      </c>
      <c r="M41" s="48">
        <v>28.0</v>
      </c>
      <c r="N41" s="33">
        <f t="shared" si="1"/>
        <v>790</v>
      </c>
      <c r="O41" s="23"/>
      <c r="P41" s="34">
        <f t="shared" si="2"/>
        <v>0</v>
      </c>
      <c r="Q41" s="35"/>
      <c r="R41" s="36">
        <f t="shared" si="3"/>
        <v>28</v>
      </c>
      <c r="S41" s="33"/>
      <c r="T41" s="37">
        <f t="shared" si="4"/>
        <v>-34.56</v>
      </c>
      <c r="U41" s="38">
        <v>1.052</v>
      </c>
      <c r="V41" s="39">
        <v>17.516129032258064</v>
      </c>
      <c r="W41" s="39">
        <v>-27.40388581952118</v>
      </c>
      <c r="X41" s="35" t="str">
        <f t="shared" si="5"/>
        <v>#N/A</v>
      </c>
      <c r="Y41" s="35" t="str">
        <f t="shared" si="6"/>
        <v>#N/A</v>
      </c>
      <c r="Z41" s="40" t="str">
        <f t="shared" si="7"/>
        <v>#N/A</v>
      </c>
      <c r="AA41" s="34" t="str">
        <f t="shared" si="8"/>
        <v>#N/A</v>
      </c>
      <c r="AB41" s="41" t="str">
        <f t="shared" si="9"/>
        <v>#N/A</v>
      </c>
      <c r="AC41" s="42" t="b">
        <v>0</v>
      </c>
      <c r="AD41" s="42" t="s">
        <v>140</v>
      </c>
      <c r="AE41" s="42"/>
      <c r="AF41" s="42" t="str">
        <f t="array" ref="AF41">INDEX('Deal Info'!D:D, MATCH(A41,'Deal Info'!A:A, 0))</f>
        <v>#N/A</v>
      </c>
      <c r="AG41" s="43" t="str">
        <f t="array" ref="AG41">INDEX('Deal Info'!G:G, MATCH(A41,'Deal Info'!A:A, 0))</f>
        <v>#N/A</v>
      </c>
    </row>
    <row r="42" hidden="1">
      <c r="A42" s="23" t="b">
        <f t="array" ref="A42">if(G42='Room Info'!$B$1, INDEX('Room Info'!$A$2:$A3446, MATCH(B42,'Room Info'!$B$2:$B3446, 0)),if(G42='Room Info'!$C$1, INDEX('Room Info'!$A$2:$A3446, MATCH(B42,'Room Info'!$C$2:$C3446, 0)),if(G42='Room Info'!$D$1, INDEX('Room Info'!$A$2:$A3446, MATCH(B42,'Room Info'!$D$2:$D3446, 0)),if(G42='Room Info'!$E$1, INDEX('Room Info'!$A$2:$A3446, MATCH(B42,'Room Info'!$E$2:$E3446, 0)),if(G42='Room Info'!$F$1, INDEX('Room Info'!$A$2:$A3446, MATCH(B42,'Room Info'!$F$2:$F3446, 0)),if(G42='Room Info'!$H$1, INDEX('Room Info'!$A$2:$A3446, MATCH(B42,'Room Info'!$H$2:$H3446, 0)),if(G42='Room Info'!$G$1, INDEX('Room Info'!$A$2:$A3446, MATCH(B42,'Room Info'!$G$2:$G3446, 0)))))))))</f>
        <v>0</v>
      </c>
      <c r="B42" s="23" t="s">
        <v>143</v>
      </c>
      <c r="C42" s="24">
        <v>44866.0</v>
      </c>
      <c r="D42" s="24">
        <v>44895.0</v>
      </c>
      <c r="E42" s="26">
        <v>44866.0</v>
      </c>
      <c r="F42" s="27" t="s">
        <v>12</v>
      </c>
      <c r="G42" s="23" t="s">
        <v>142</v>
      </c>
      <c r="H42" s="28" t="s">
        <v>50</v>
      </c>
      <c r="I42" s="28" t="s">
        <v>7</v>
      </c>
      <c r="J42" s="44">
        <v>10.0</v>
      </c>
      <c r="K42" s="30">
        <v>98.0</v>
      </c>
      <c r="L42" s="31">
        <v>-77.61</v>
      </c>
      <c r="M42" s="48">
        <v>34.0</v>
      </c>
      <c r="N42" s="33">
        <f t="shared" si="1"/>
        <v>980</v>
      </c>
      <c r="O42" s="23"/>
      <c r="P42" s="34">
        <f t="shared" si="2"/>
        <v>0</v>
      </c>
      <c r="Q42" s="35"/>
      <c r="R42" s="36">
        <f t="shared" si="3"/>
        <v>34</v>
      </c>
      <c r="S42" s="33"/>
      <c r="T42" s="37">
        <f t="shared" si="4"/>
        <v>-43.61</v>
      </c>
      <c r="U42" s="38">
        <v>1.052</v>
      </c>
      <c r="V42" s="39">
        <v>17.516129032258064</v>
      </c>
      <c r="W42" s="39">
        <v>-27.40388581952118</v>
      </c>
      <c r="X42" s="35" t="str">
        <f t="shared" si="5"/>
        <v>#N/A</v>
      </c>
      <c r="Y42" s="35" t="str">
        <f t="shared" si="6"/>
        <v>#N/A</v>
      </c>
      <c r="Z42" s="40" t="str">
        <f t="shared" si="7"/>
        <v>#N/A</v>
      </c>
      <c r="AA42" s="34" t="str">
        <f t="shared" si="8"/>
        <v>#N/A</v>
      </c>
      <c r="AB42" s="41" t="str">
        <f t="shared" si="9"/>
        <v>#N/A</v>
      </c>
      <c r="AC42" s="42" t="b">
        <v>0</v>
      </c>
      <c r="AD42" s="42" t="s">
        <v>140</v>
      </c>
      <c r="AE42" s="42"/>
      <c r="AF42" s="42" t="str">
        <f t="array" ref="AF42">INDEX('Deal Info'!D:D, MATCH(A42,'Deal Info'!A:A, 0))</f>
        <v>#N/A</v>
      </c>
      <c r="AG42" s="43" t="str">
        <f t="array" ref="AG42">INDEX('Deal Info'!G:G, MATCH(A42,'Deal Info'!A:A, 0))</f>
        <v>#N/A</v>
      </c>
    </row>
    <row r="43" hidden="1">
      <c r="A43" s="23" t="b">
        <f t="array" ref="A43">if(G43='Room Info'!$B$1, INDEX('Room Info'!$A$2:$A3446, MATCH(B43,'Room Info'!$B$2:$B3446, 0)),if(G43='Room Info'!$C$1, INDEX('Room Info'!$A$2:$A3446, MATCH(B43,'Room Info'!$C$2:$C3446, 0)),if(G43='Room Info'!$D$1, INDEX('Room Info'!$A$2:$A3446, MATCH(B43,'Room Info'!$D$2:$D3446, 0)),if(G43='Room Info'!$E$1, INDEX('Room Info'!$A$2:$A3446, MATCH(B43,'Room Info'!$E$2:$E3446, 0)),if(G43='Room Info'!$F$1, INDEX('Room Info'!$A$2:$A3446, MATCH(B43,'Room Info'!$F$2:$F3446, 0)),if(G43='Room Info'!$H$1, INDEX('Room Info'!$A$2:$A3446, MATCH(B43,'Room Info'!$H$2:$H3446, 0)),if(G43='Room Info'!$G$1, INDEX('Room Info'!$A$2:$A3446, MATCH(B43,'Room Info'!$G$2:$G3446, 0)))))))))</f>
        <v>0</v>
      </c>
      <c r="B43" s="23" t="s">
        <v>143</v>
      </c>
      <c r="C43" s="24">
        <v>44866.0</v>
      </c>
      <c r="D43" s="24">
        <v>44895.0</v>
      </c>
      <c r="E43" s="26">
        <v>44866.0</v>
      </c>
      <c r="F43" s="27" t="s">
        <v>12</v>
      </c>
      <c r="G43" s="23" t="s">
        <v>142</v>
      </c>
      <c r="H43" s="28" t="s">
        <v>89</v>
      </c>
      <c r="I43" s="28" t="s">
        <v>7</v>
      </c>
      <c r="J43" s="44">
        <v>100.0</v>
      </c>
      <c r="K43" s="30">
        <v>20.0</v>
      </c>
      <c r="L43" s="31">
        <v>-158.38</v>
      </c>
      <c r="M43" s="48">
        <v>70.0</v>
      </c>
      <c r="N43" s="33">
        <f t="shared" si="1"/>
        <v>2000</v>
      </c>
      <c r="O43" s="23"/>
      <c r="P43" s="34">
        <f t="shared" si="2"/>
        <v>0</v>
      </c>
      <c r="Q43" s="35"/>
      <c r="R43" s="36">
        <f t="shared" si="3"/>
        <v>70</v>
      </c>
      <c r="S43" s="33"/>
      <c r="T43" s="37">
        <f t="shared" si="4"/>
        <v>-88.38</v>
      </c>
      <c r="U43" s="38">
        <v>1.052</v>
      </c>
      <c r="V43" s="39">
        <v>17.516129032258064</v>
      </c>
      <c r="W43" s="39">
        <v>-27.40388581952118</v>
      </c>
      <c r="X43" s="35" t="str">
        <f t="shared" si="5"/>
        <v>#N/A</v>
      </c>
      <c r="Y43" s="35" t="str">
        <f t="shared" si="6"/>
        <v>#N/A</v>
      </c>
      <c r="Z43" s="40" t="str">
        <f t="shared" si="7"/>
        <v>#N/A</v>
      </c>
      <c r="AA43" s="34" t="str">
        <f t="shared" si="8"/>
        <v>#N/A</v>
      </c>
      <c r="AB43" s="41" t="str">
        <f t="shared" si="9"/>
        <v>#N/A</v>
      </c>
      <c r="AC43" s="42" t="b">
        <v>0</v>
      </c>
      <c r="AD43" s="42" t="s">
        <v>140</v>
      </c>
      <c r="AE43" s="42"/>
      <c r="AF43" s="42" t="str">
        <f t="array" ref="AF43">INDEX('Deal Info'!D:D, MATCH(A43,'Deal Info'!A:A, 0))</f>
        <v>#N/A</v>
      </c>
      <c r="AG43" s="43" t="str">
        <f t="array" ref="AG43">INDEX('Deal Info'!G:G, MATCH(A43,'Deal Info'!A:A, 0))</f>
        <v>#N/A</v>
      </c>
    </row>
    <row r="44" hidden="1">
      <c r="A44" s="23" t="b">
        <f t="array" ref="A44">if(G44='Room Info'!$B$1, INDEX('Room Info'!$A$2:$A3446, MATCH(B44,'Room Info'!$B$2:$B3446, 0)),if(G44='Room Info'!$C$1, INDEX('Room Info'!$A$2:$A3446, MATCH(B44,'Room Info'!$C$2:$C3446, 0)),if(G44='Room Info'!$D$1, INDEX('Room Info'!$A$2:$A3446, MATCH(B44,'Room Info'!$D$2:$D3446, 0)),if(G44='Room Info'!$E$1, INDEX('Room Info'!$A$2:$A3446, MATCH(B44,'Room Info'!$E$2:$E3446, 0)),if(G44='Room Info'!$F$1, INDEX('Room Info'!$A$2:$A3446, MATCH(B44,'Room Info'!$F$2:$F3446, 0)),if(G44='Room Info'!$H$1, INDEX('Room Info'!$A$2:$A3446, MATCH(B44,'Room Info'!$H$2:$H3446, 0)),if(G44='Room Info'!$G$1, INDEX('Room Info'!$A$2:$A3446, MATCH(B44,'Room Info'!$G$2:$G3446, 0)))))))))</f>
        <v>0</v>
      </c>
      <c r="B44" s="23" t="s">
        <v>143</v>
      </c>
      <c r="C44" s="24">
        <v>44866.0</v>
      </c>
      <c r="D44" s="24">
        <v>44895.0</v>
      </c>
      <c r="E44" s="26">
        <v>44866.0</v>
      </c>
      <c r="F44" s="27" t="s">
        <v>12</v>
      </c>
      <c r="G44" s="23" t="s">
        <v>142</v>
      </c>
      <c r="H44" s="28" t="s">
        <v>77</v>
      </c>
      <c r="I44" s="28" t="s">
        <v>7</v>
      </c>
      <c r="J44" s="44">
        <v>50.0</v>
      </c>
      <c r="K44" s="30">
        <v>7.0</v>
      </c>
      <c r="L44" s="31">
        <v>-27.72</v>
      </c>
      <c r="M44" s="48">
        <v>12.0</v>
      </c>
      <c r="N44" s="33">
        <f t="shared" si="1"/>
        <v>350</v>
      </c>
      <c r="O44" s="23"/>
      <c r="P44" s="34">
        <f t="shared" si="2"/>
        <v>0</v>
      </c>
      <c r="Q44" s="35"/>
      <c r="R44" s="36">
        <f t="shared" si="3"/>
        <v>12</v>
      </c>
      <c r="S44" s="33"/>
      <c r="T44" s="37">
        <f t="shared" si="4"/>
        <v>-15.72</v>
      </c>
      <c r="U44" s="38">
        <v>1.052</v>
      </c>
      <c r="V44" s="39">
        <v>17.516129032258064</v>
      </c>
      <c r="W44" s="39">
        <v>-27.40388581952118</v>
      </c>
      <c r="X44" s="35" t="str">
        <f t="shared" si="5"/>
        <v>#N/A</v>
      </c>
      <c r="Y44" s="35" t="str">
        <f t="shared" si="6"/>
        <v>#N/A</v>
      </c>
      <c r="Z44" s="40" t="str">
        <f t="shared" si="7"/>
        <v>#N/A</v>
      </c>
      <c r="AA44" s="34" t="str">
        <f t="shared" si="8"/>
        <v>#N/A</v>
      </c>
      <c r="AB44" s="41" t="str">
        <f t="shared" si="9"/>
        <v>#N/A</v>
      </c>
      <c r="AC44" s="42" t="b">
        <v>0</v>
      </c>
      <c r="AD44" s="42" t="s">
        <v>140</v>
      </c>
      <c r="AE44" s="42"/>
      <c r="AF44" s="42" t="str">
        <f t="array" ref="AF44">INDEX('Deal Info'!D:D, MATCH(A44,'Deal Info'!A:A, 0))</f>
        <v>#N/A</v>
      </c>
      <c r="AG44" s="43" t="str">
        <f t="array" ref="AG44">INDEX('Deal Info'!G:G, MATCH(A44,'Deal Info'!A:A, 0))</f>
        <v>#N/A</v>
      </c>
    </row>
    <row r="45" hidden="1">
      <c r="A45" s="23" t="str">
        <f t="array" ref="A45">if(G45='Room Info'!$B$1, INDEX('Room Info'!$A$2:$A3446, MATCH(B45,'Room Info'!$B$2:$B3446, 0)),if(G45='Room Info'!$C$1, INDEX('Room Info'!$A$2:$A3446, MATCH(B45,'Room Info'!$C$2:$C3446, 0)),if(G45='Room Info'!$D$1, INDEX('Room Info'!$A$2:$A3446, MATCH(B45,'Room Info'!$D$2:$D3446, 0)),if(G45='Room Info'!$E$1, INDEX('Room Info'!$A$2:$A3446, MATCH(B45,'Room Info'!$E$2:$E3446, 0)),if(G45='Room Info'!$F$1, INDEX('Room Info'!$A$2:$A3446, MATCH(B45,'Room Info'!$F$2:$F3446, 0)),if(G45='Room Info'!$H$1, INDEX('Room Info'!$A$2:$A3446, MATCH(B45,'Room Info'!$H$2:$H3446, 0)),if(G45='Room Info'!$G$1, INDEX('Room Info'!$A$2:$A3446, MATCH(B45,'Room Info'!$G$2:$G3446, 0)))))))))</f>
        <v>Abcdf</v>
      </c>
      <c r="B45" s="23" t="s">
        <v>144</v>
      </c>
      <c r="C45" s="24">
        <v>44460.0</v>
      </c>
      <c r="D45" s="24">
        <v>44489.0</v>
      </c>
      <c r="E45" s="26">
        <v>44470.0</v>
      </c>
      <c r="F45" s="45" t="s">
        <v>4</v>
      </c>
      <c r="G45" s="23" t="s">
        <v>9</v>
      </c>
      <c r="H45" s="28" t="s">
        <v>54</v>
      </c>
      <c r="I45" s="28" t="s">
        <v>7</v>
      </c>
      <c r="J45" s="44">
        <v>10.0</v>
      </c>
      <c r="K45" s="30">
        <v>175.0</v>
      </c>
      <c r="L45" s="31">
        <v>-70.0</v>
      </c>
      <c r="M45" s="47">
        <v>9.0</v>
      </c>
      <c r="N45" s="33">
        <f t="shared" si="1"/>
        <v>1750</v>
      </c>
      <c r="O45" s="23">
        <v>12078.0</v>
      </c>
      <c r="P45" s="34">
        <f t="shared" si="2"/>
        <v>69.01714286</v>
      </c>
      <c r="Q45" s="35"/>
      <c r="R45" s="36">
        <f t="shared" si="3"/>
        <v>9</v>
      </c>
      <c r="S45" s="33">
        <v>50.0</v>
      </c>
      <c r="T45" s="37">
        <f t="shared" si="4"/>
        <v>59</v>
      </c>
      <c r="U45" s="38">
        <v>1.0</v>
      </c>
      <c r="V45" s="39">
        <v>10.0</v>
      </c>
      <c r="W45" s="39">
        <v>8.2</v>
      </c>
      <c r="X45" s="35">
        <f t="shared" si="5"/>
        <v>0.2</v>
      </c>
      <c r="Y45" s="35">
        <f t="shared" si="6"/>
        <v>0</v>
      </c>
      <c r="Z45" s="40">
        <f t="shared" si="7"/>
        <v>47.2</v>
      </c>
      <c r="AA45" s="34">
        <f t="shared" si="8"/>
        <v>11.8</v>
      </c>
      <c r="AB45" s="41">
        <f t="shared" si="9"/>
        <v>0</v>
      </c>
      <c r="AC45" s="42" t="b">
        <v>1</v>
      </c>
      <c r="AD45" s="42" t="s">
        <v>140</v>
      </c>
      <c r="AE45" s="42"/>
      <c r="AF45" s="42" t="str">
        <f t="array" ref="AF45">INDEX('Deal Info'!D:D, MATCH(A45,'Deal Info'!A:A, 0))</f>
        <v>DoEV2017</v>
      </c>
      <c r="AG45" s="43" t="str">
        <f t="array" ref="AG45">INDEX('Deal Info'!G:G, MATCH(A45,'Deal Info'!A:A, 0))</f>
        <v>None</v>
      </c>
    </row>
    <row r="46" hidden="1">
      <c r="A46" s="23" t="str">
        <f t="array" ref="A46">if(G46='Room Info'!$B$1, INDEX('Room Info'!$A$2:$A3446, MATCH(B46,'Room Info'!$B$2:$B3446, 0)),if(G46='Room Info'!$C$1, INDEX('Room Info'!$A$2:$A3446, MATCH(B46,'Room Info'!$C$2:$C3446, 0)),if(G46='Room Info'!$D$1, INDEX('Room Info'!$A$2:$A3446, MATCH(B46,'Room Info'!$D$2:$D3446, 0)),if(G46='Room Info'!$E$1, INDEX('Room Info'!$A$2:$A3446, MATCH(B46,'Room Info'!$E$2:$E3446, 0)),if(G46='Room Info'!$F$1, INDEX('Room Info'!$A$2:$A3446, MATCH(B46,'Room Info'!$F$2:$F3446, 0)),if(G46='Room Info'!$H$1, INDEX('Room Info'!$A$2:$A3446, MATCH(B46,'Room Info'!$H$2:$H3446, 0)),if(G46='Room Info'!$G$1, INDEX('Room Info'!$A$2:$A3446, MATCH(B46,'Room Info'!$G$2:$G3446, 0)))))))))</f>
        <v>Abcdf</v>
      </c>
      <c r="B46" s="23" t="s">
        <v>144</v>
      </c>
      <c r="C46" s="24">
        <v>44460.0</v>
      </c>
      <c r="D46" s="24">
        <v>44489.0</v>
      </c>
      <c r="E46" s="26">
        <v>44470.0</v>
      </c>
      <c r="F46" s="45" t="s">
        <v>4</v>
      </c>
      <c r="G46" s="23" t="s">
        <v>9</v>
      </c>
      <c r="H46" s="28" t="s">
        <v>55</v>
      </c>
      <c r="I46" s="28" t="s">
        <v>7</v>
      </c>
      <c r="J46" s="44">
        <v>10.0</v>
      </c>
      <c r="K46" s="30">
        <v>625.0</v>
      </c>
      <c r="L46" s="31">
        <v>58.0</v>
      </c>
      <c r="M46" s="47">
        <v>1.0</v>
      </c>
      <c r="N46" s="33">
        <f t="shared" si="1"/>
        <v>6250</v>
      </c>
      <c r="O46" s="23">
        <v>30306.0</v>
      </c>
      <c r="P46" s="34">
        <f t="shared" si="2"/>
        <v>48.4896</v>
      </c>
      <c r="Q46" s="35"/>
      <c r="R46" s="36">
        <f t="shared" si="3"/>
        <v>1</v>
      </c>
      <c r="S46" s="33">
        <v>22.0</v>
      </c>
      <c r="T46" s="37">
        <f t="shared" si="4"/>
        <v>23</v>
      </c>
      <c r="U46" s="38">
        <v>1.0</v>
      </c>
      <c r="V46" s="39">
        <v>10.0</v>
      </c>
      <c r="W46" s="39">
        <v>8.2</v>
      </c>
      <c r="X46" s="35">
        <f t="shared" si="5"/>
        <v>0.2</v>
      </c>
      <c r="Y46" s="35">
        <f t="shared" si="6"/>
        <v>0</v>
      </c>
      <c r="Z46" s="40">
        <f t="shared" si="7"/>
        <v>18.4</v>
      </c>
      <c r="AA46" s="34">
        <f t="shared" si="8"/>
        <v>4.6</v>
      </c>
      <c r="AB46" s="41">
        <f t="shared" si="9"/>
        <v>0</v>
      </c>
      <c r="AC46" s="42" t="b">
        <v>1</v>
      </c>
      <c r="AD46" s="42" t="s">
        <v>140</v>
      </c>
      <c r="AE46" s="42"/>
      <c r="AF46" s="42" t="str">
        <f t="array" ref="AF46">INDEX('Deal Info'!D:D, MATCH(A46,'Deal Info'!A:A, 0))</f>
        <v>DoEV2017</v>
      </c>
      <c r="AG46" s="43" t="str">
        <f t="array" ref="AG46">INDEX('Deal Info'!G:G, MATCH(A46,'Deal Info'!A:A, 0))</f>
        <v>None</v>
      </c>
    </row>
    <row r="47" hidden="1">
      <c r="A47" s="23" t="str">
        <f t="array" ref="A47">if(G47='Room Info'!$B$1, INDEX('Room Info'!$A$2:$A3446, MATCH(B47,'Room Info'!$B$2:$B3446, 0)),if(G47='Room Info'!$C$1, INDEX('Room Info'!$A$2:$A3446, MATCH(B47,'Room Info'!$C$2:$C3446, 0)),if(G47='Room Info'!$D$1, INDEX('Room Info'!$A$2:$A3446, MATCH(B47,'Room Info'!$D$2:$D3446, 0)),if(G47='Room Info'!$E$1, INDEX('Room Info'!$A$2:$A3446, MATCH(B47,'Room Info'!$E$2:$E3446, 0)),if(G47='Room Info'!$F$1, INDEX('Room Info'!$A$2:$A3446, MATCH(B47,'Room Info'!$F$2:$F3446, 0)),if(G47='Room Info'!$H$1, INDEX('Room Info'!$A$2:$A3446, MATCH(B47,'Room Info'!$H$2:$H3446, 0)),if(G47='Room Info'!$G$1, INDEX('Room Info'!$A$2:$A3446, MATCH(B47,'Room Info'!$G$2:$G3446, 0)))))))))</f>
        <v>Abcdf</v>
      </c>
      <c r="B47" s="23" t="s">
        <v>144</v>
      </c>
      <c r="C47" s="46">
        <v>44490.0</v>
      </c>
      <c r="D47" s="46">
        <v>44520.0</v>
      </c>
      <c r="E47" s="26">
        <v>44501.0</v>
      </c>
      <c r="F47" s="27" t="s">
        <v>4</v>
      </c>
      <c r="G47" s="23" t="s">
        <v>9</v>
      </c>
      <c r="H47" s="28" t="s">
        <v>53</v>
      </c>
      <c r="I47" s="28" t="s">
        <v>7</v>
      </c>
      <c r="J47" s="44">
        <v>10.0</v>
      </c>
      <c r="K47" s="30">
        <v>253.0</v>
      </c>
      <c r="L47" s="31">
        <v>45.0</v>
      </c>
      <c r="M47" s="47">
        <v>5.0</v>
      </c>
      <c r="N47" s="33">
        <f t="shared" si="1"/>
        <v>2530</v>
      </c>
      <c r="O47" s="23">
        <v>15636.0</v>
      </c>
      <c r="P47" s="34">
        <f t="shared" si="2"/>
        <v>61.80237154</v>
      </c>
      <c r="Q47" s="35"/>
      <c r="R47" s="36">
        <f t="shared" si="3"/>
        <v>5</v>
      </c>
      <c r="S47" s="33">
        <v>60.0</v>
      </c>
      <c r="T47" s="37">
        <f t="shared" si="4"/>
        <v>65</v>
      </c>
      <c r="U47" s="38">
        <v>1.0</v>
      </c>
      <c r="V47" s="39">
        <v>16.99367088607595</v>
      </c>
      <c r="W47" s="39">
        <v>19.301303538175045</v>
      </c>
      <c r="X47" s="35">
        <f t="shared" si="5"/>
        <v>0.2</v>
      </c>
      <c r="Y47" s="35">
        <f t="shared" si="6"/>
        <v>0</v>
      </c>
      <c r="Z47" s="40">
        <f t="shared" si="7"/>
        <v>52</v>
      </c>
      <c r="AA47" s="34">
        <f t="shared" si="8"/>
        <v>13</v>
      </c>
      <c r="AB47" s="41">
        <f t="shared" si="9"/>
        <v>0</v>
      </c>
      <c r="AC47" s="42" t="b">
        <v>1</v>
      </c>
      <c r="AD47" s="42" t="s">
        <v>140</v>
      </c>
      <c r="AE47" s="42"/>
      <c r="AF47" s="42" t="str">
        <f t="array" ref="AF47">INDEX('Deal Info'!D:D, MATCH(A47,'Deal Info'!A:A, 0))</f>
        <v>DoEV2017</v>
      </c>
      <c r="AG47" s="43" t="str">
        <f t="array" ref="AG47">INDEX('Deal Info'!G:G, MATCH(A47,'Deal Info'!A:A, 0))</f>
        <v>None</v>
      </c>
    </row>
    <row r="48" hidden="1">
      <c r="A48" s="23" t="str">
        <f t="array" ref="A48">if(G48='Room Info'!$B$1, INDEX('Room Info'!$A$2:$A3446, MATCH(B48,'Room Info'!$B$2:$B3446, 0)),if(G48='Room Info'!$C$1, INDEX('Room Info'!$A$2:$A3446, MATCH(B48,'Room Info'!$C$2:$C3446, 0)),if(G48='Room Info'!$D$1, INDEX('Room Info'!$A$2:$A3446, MATCH(B48,'Room Info'!$D$2:$D3446, 0)),if(G48='Room Info'!$E$1, INDEX('Room Info'!$A$2:$A3446, MATCH(B48,'Room Info'!$E$2:$E3446, 0)),if(G48='Room Info'!$F$1, INDEX('Room Info'!$A$2:$A3446, MATCH(B48,'Room Info'!$F$2:$F3446, 0)),if(G48='Room Info'!$H$1, INDEX('Room Info'!$A$2:$A3446, MATCH(B48,'Room Info'!$H$2:$H3446, 0)),if(G48='Room Info'!$G$1, INDEX('Room Info'!$A$2:$A3446, MATCH(B48,'Room Info'!$G$2:$G3446, 0)))))))))</f>
        <v>Abcdf</v>
      </c>
      <c r="B48" s="23" t="s">
        <v>144</v>
      </c>
      <c r="C48" s="46">
        <v>44490.0</v>
      </c>
      <c r="D48" s="46">
        <v>44520.0</v>
      </c>
      <c r="E48" s="26">
        <v>44501.0</v>
      </c>
      <c r="F48" s="27" t="s">
        <v>4</v>
      </c>
      <c r="G48" s="23" t="s">
        <v>9</v>
      </c>
      <c r="H48" s="28" t="s">
        <v>66</v>
      </c>
      <c r="I48" s="28" t="s">
        <v>7</v>
      </c>
      <c r="J48" s="44">
        <v>25.0</v>
      </c>
      <c r="K48" s="30">
        <v>221.0</v>
      </c>
      <c r="L48" s="31">
        <v>-310.0</v>
      </c>
      <c r="M48" s="47">
        <v>0.0</v>
      </c>
      <c r="N48" s="33">
        <f t="shared" si="1"/>
        <v>5525</v>
      </c>
      <c r="O48" s="23">
        <v>16556.0</v>
      </c>
      <c r="P48" s="34">
        <f t="shared" si="2"/>
        <v>74.91402715</v>
      </c>
      <c r="Q48" s="35"/>
      <c r="R48" s="36">
        <f t="shared" si="3"/>
        <v>0</v>
      </c>
      <c r="S48" s="33">
        <v>263.0</v>
      </c>
      <c r="T48" s="37">
        <f t="shared" si="4"/>
        <v>263</v>
      </c>
      <c r="U48" s="38">
        <v>1.0</v>
      </c>
      <c r="V48" s="39">
        <v>16.99367088607595</v>
      </c>
      <c r="W48" s="39">
        <v>19.301303538175045</v>
      </c>
      <c r="X48" s="35">
        <f t="shared" si="5"/>
        <v>0.2</v>
      </c>
      <c r="Y48" s="35">
        <f t="shared" si="6"/>
        <v>0</v>
      </c>
      <c r="Z48" s="40">
        <f t="shared" si="7"/>
        <v>210.4</v>
      </c>
      <c r="AA48" s="34">
        <f t="shared" si="8"/>
        <v>52.6</v>
      </c>
      <c r="AB48" s="41">
        <f t="shared" si="9"/>
        <v>0</v>
      </c>
      <c r="AC48" s="42" t="b">
        <v>1</v>
      </c>
      <c r="AD48" s="42" t="s">
        <v>140</v>
      </c>
      <c r="AE48" s="42"/>
      <c r="AF48" s="42" t="str">
        <f t="array" ref="AF48">INDEX('Deal Info'!D:D, MATCH(A48,'Deal Info'!A:A, 0))</f>
        <v>DoEV2017</v>
      </c>
      <c r="AG48" s="43" t="str">
        <f t="array" ref="AG48">INDEX('Deal Info'!G:G, MATCH(A48,'Deal Info'!A:A, 0))</f>
        <v>None</v>
      </c>
    </row>
    <row r="49" hidden="1">
      <c r="A49" s="23" t="str">
        <f t="array" ref="A49">if(G49='Room Info'!$B$1, INDEX('Room Info'!$A$2:$A3446, MATCH(B49,'Room Info'!$B$2:$B3446, 0)),if(G49='Room Info'!$C$1, INDEX('Room Info'!$A$2:$A3446, MATCH(B49,'Room Info'!$C$2:$C3446, 0)),if(G49='Room Info'!$D$1, INDEX('Room Info'!$A$2:$A3446, MATCH(B49,'Room Info'!$D$2:$D3446, 0)),if(G49='Room Info'!$E$1, INDEX('Room Info'!$A$2:$A3446, MATCH(B49,'Room Info'!$E$2:$E3446, 0)),if(G49='Room Info'!$F$1, INDEX('Room Info'!$A$2:$A3446, MATCH(B49,'Room Info'!$F$2:$F3446, 0)),if(G49='Room Info'!$H$1, INDEX('Room Info'!$A$2:$A3446, MATCH(B49,'Room Info'!$H$2:$H3446, 0)),if(G49='Room Info'!$G$1, INDEX('Room Info'!$A$2:$A3446, MATCH(B49,'Room Info'!$G$2:$G3446, 0)))))))))</f>
        <v>Abcdf</v>
      </c>
      <c r="B49" s="23" t="s">
        <v>144</v>
      </c>
      <c r="C49" s="46">
        <v>44521.0</v>
      </c>
      <c r="D49" s="46">
        <v>44550.0</v>
      </c>
      <c r="E49" s="26">
        <v>44531.0</v>
      </c>
      <c r="F49" s="27" t="s">
        <v>4</v>
      </c>
      <c r="G49" s="23" t="s">
        <v>9</v>
      </c>
      <c r="H49" s="28" t="s">
        <v>53</v>
      </c>
      <c r="I49" s="28" t="s">
        <v>7</v>
      </c>
      <c r="J49" s="44">
        <v>10.0</v>
      </c>
      <c r="K49" s="30">
        <v>127.0</v>
      </c>
      <c r="L49" s="31">
        <v>-90.0</v>
      </c>
      <c r="M49" s="47">
        <v>0.0</v>
      </c>
      <c r="N49" s="33">
        <f t="shared" si="1"/>
        <v>1270</v>
      </c>
      <c r="O49" s="23">
        <v>7588.0</v>
      </c>
      <c r="P49" s="34">
        <f t="shared" si="2"/>
        <v>59.7480315</v>
      </c>
      <c r="Q49" s="35"/>
      <c r="R49" s="36">
        <f t="shared" si="3"/>
        <v>0</v>
      </c>
      <c r="S49" s="33">
        <v>39.0</v>
      </c>
      <c r="T49" s="37">
        <f t="shared" si="4"/>
        <v>39</v>
      </c>
      <c r="U49" s="38">
        <v>1.0</v>
      </c>
      <c r="V49" s="39">
        <v>13.09375</v>
      </c>
      <c r="W49" s="39">
        <v>3.5894988066825775</v>
      </c>
      <c r="X49" s="35">
        <f t="shared" si="5"/>
        <v>0.2</v>
      </c>
      <c r="Y49" s="35">
        <f t="shared" si="6"/>
        <v>0</v>
      </c>
      <c r="Z49" s="40">
        <f t="shared" si="7"/>
        <v>31.2</v>
      </c>
      <c r="AA49" s="34">
        <f t="shared" si="8"/>
        <v>7.8</v>
      </c>
      <c r="AB49" s="41">
        <f t="shared" si="9"/>
        <v>0</v>
      </c>
      <c r="AC49" s="42" t="b">
        <v>1</v>
      </c>
      <c r="AD49" s="42" t="s">
        <v>140</v>
      </c>
      <c r="AE49" s="42"/>
      <c r="AF49" s="42" t="str">
        <f t="array" ref="AF49">INDEX('Deal Info'!D:D, MATCH(A49,'Deal Info'!A:A, 0))</f>
        <v>DoEV2017</v>
      </c>
      <c r="AG49" s="43" t="str">
        <f t="array" ref="AG49">INDEX('Deal Info'!G:G, MATCH(A49,'Deal Info'!A:A, 0))</f>
        <v>None</v>
      </c>
    </row>
    <row r="50" hidden="1">
      <c r="A50" s="23" t="str">
        <f t="array" ref="A50">if(G50='Room Info'!$B$1, INDEX('Room Info'!$A$2:$A3446, MATCH(B50,'Room Info'!$B$2:$B3446, 0)),if(G50='Room Info'!$C$1, INDEX('Room Info'!$A$2:$A3446, MATCH(B50,'Room Info'!$C$2:$C3446, 0)),if(G50='Room Info'!$D$1, INDEX('Room Info'!$A$2:$A3446, MATCH(B50,'Room Info'!$D$2:$D3446, 0)),if(G50='Room Info'!$E$1, INDEX('Room Info'!$A$2:$A3446, MATCH(B50,'Room Info'!$E$2:$E3446, 0)),if(G50='Room Info'!$F$1, INDEX('Room Info'!$A$2:$A3446, MATCH(B50,'Room Info'!$F$2:$F3446, 0)),if(G50='Room Info'!$H$1, INDEX('Room Info'!$A$2:$A3446, MATCH(B50,'Room Info'!$H$2:$H3446, 0)),if(G50='Room Info'!$G$1, INDEX('Room Info'!$A$2:$A3446, MATCH(B50,'Room Info'!$G$2:$G3446, 0)))))))))</f>
        <v>Abcdf</v>
      </c>
      <c r="B50" s="23" t="s">
        <v>144</v>
      </c>
      <c r="C50" s="46">
        <v>44521.0</v>
      </c>
      <c r="D50" s="46">
        <v>44550.0</v>
      </c>
      <c r="E50" s="26">
        <v>44531.0</v>
      </c>
      <c r="F50" s="27" t="s">
        <v>4</v>
      </c>
      <c r="G50" s="23" t="s">
        <v>9</v>
      </c>
      <c r="H50" s="28" t="s">
        <v>66</v>
      </c>
      <c r="I50" s="28" t="s">
        <v>7</v>
      </c>
      <c r="J50" s="44">
        <v>25.0</v>
      </c>
      <c r="K50" s="30">
        <v>33.0</v>
      </c>
      <c r="L50" s="31">
        <v>-310.0</v>
      </c>
      <c r="M50" s="47">
        <v>0.0</v>
      </c>
      <c r="N50" s="33">
        <f t="shared" si="1"/>
        <v>825</v>
      </c>
      <c r="O50" s="23">
        <v>1810.0</v>
      </c>
      <c r="P50" s="34">
        <f t="shared" si="2"/>
        <v>54.84848485</v>
      </c>
      <c r="Q50" s="35"/>
      <c r="R50" s="36">
        <f t="shared" si="3"/>
        <v>0</v>
      </c>
      <c r="S50" s="33">
        <v>8.0</v>
      </c>
      <c r="T50" s="37">
        <f t="shared" si="4"/>
        <v>8</v>
      </c>
      <c r="U50" s="38">
        <v>1.0</v>
      </c>
      <c r="V50" s="39">
        <v>13.09375</v>
      </c>
      <c r="W50" s="39">
        <v>3.5894988066825775</v>
      </c>
      <c r="X50" s="35">
        <f t="shared" si="5"/>
        <v>0.2</v>
      </c>
      <c r="Y50" s="35">
        <f t="shared" si="6"/>
        <v>0</v>
      </c>
      <c r="Z50" s="40">
        <f t="shared" si="7"/>
        <v>6.4</v>
      </c>
      <c r="AA50" s="34">
        <f t="shared" si="8"/>
        <v>1.6</v>
      </c>
      <c r="AB50" s="41">
        <f t="shared" si="9"/>
        <v>0</v>
      </c>
      <c r="AC50" s="42" t="b">
        <v>1</v>
      </c>
      <c r="AD50" s="42" t="s">
        <v>140</v>
      </c>
      <c r="AE50" s="42"/>
      <c r="AF50" s="42" t="str">
        <f t="array" ref="AF50">INDEX('Deal Info'!D:D, MATCH(A50,'Deal Info'!A:A, 0))</f>
        <v>DoEV2017</v>
      </c>
      <c r="AG50" s="43" t="str">
        <f t="array" ref="AG50">INDEX('Deal Info'!G:G, MATCH(A50,'Deal Info'!A:A, 0))</f>
        <v>None</v>
      </c>
    </row>
    <row r="51" hidden="1">
      <c r="A51" s="23" t="str">
        <f t="array" ref="A51">if(G51='Room Info'!$B$1, INDEX('Room Info'!$A$2:$A3446, MATCH(B51,'Room Info'!$B$2:$B3446, 0)),if(G51='Room Info'!$C$1, INDEX('Room Info'!$A$2:$A3446, MATCH(B51,'Room Info'!$C$2:$C3446, 0)),if(G51='Room Info'!$D$1, INDEX('Room Info'!$A$2:$A3446, MATCH(B51,'Room Info'!$D$2:$D3446, 0)),if(G51='Room Info'!$E$1, INDEX('Room Info'!$A$2:$A3446, MATCH(B51,'Room Info'!$E$2:$E3446, 0)),if(G51='Room Info'!$F$1, INDEX('Room Info'!$A$2:$A3446, MATCH(B51,'Room Info'!$F$2:$F3446, 0)),if(G51='Room Info'!$H$1, INDEX('Room Info'!$A$2:$A3446, MATCH(B51,'Room Info'!$H$2:$H3446, 0)),if(G51='Room Info'!$G$1, INDEX('Room Info'!$A$2:$A3446, MATCH(B51,'Room Info'!$G$2:$G3446, 0)))))))))</f>
        <v>fortunate773</v>
      </c>
      <c r="B51" s="50" t="s">
        <v>145</v>
      </c>
      <c r="C51" s="51">
        <v>44774.0</v>
      </c>
      <c r="D51" s="51">
        <v>44804.0</v>
      </c>
      <c r="E51" s="52">
        <v>44774.0</v>
      </c>
      <c r="F51" s="53" t="s">
        <v>8</v>
      </c>
      <c r="G51" s="50" t="s">
        <v>9</v>
      </c>
      <c r="H51" s="54" t="s">
        <v>105</v>
      </c>
      <c r="I51" s="54" t="s">
        <v>24</v>
      </c>
      <c r="J51" s="55">
        <v>500.0</v>
      </c>
      <c r="K51" s="56">
        <v>13.0</v>
      </c>
      <c r="L51" s="57">
        <v>2500.0</v>
      </c>
      <c r="M51" s="58">
        <v>12.0</v>
      </c>
      <c r="N51" s="33">
        <f t="shared" si="1"/>
        <v>6500</v>
      </c>
      <c r="O51" s="59">
        <v>-145.0</v>
      </c>
      <c r="P51" s="34">
        <f t="shared" si="2"/>
        <v>-11.15384615</v>
      </c>
      <c r="Q51" s="60"/>
      <c r="R51" s="36">
        <f t="shared" si="3"/>
        <v>12</v>
      </c>
      <c r="S51" s="61">
        <v>-737.0</v>
      </c>
      <c r="T51" s="37">
        <f t="shared" si="4"/>
        <v>-725</v>
      </c>
      <c r="U51" s="62">
        <v>1.0</v>
      </c>
      <c r="V51" s="63"/>
      <c r="W51" s="63"/>
      <c r="X51" s="35">
        <f t="shared" si="5"/>
        <v>0.15</v>
      </c>
      <c r="Y51" s="35">
        <f t="shared" si="6"/>
        <v>0.05</v>
      </c>
      <c r="Z51" s="64">
        <v>-580.0</v>
      </c>
      <c r="AA51" s="65">
        <v>-145.0</v>
      </c>
      <c r="AB51" s="41"/>
      <c r="AC51" s="42" t="b">
        <v>1</v>
      </c>
      <c r="AD51" s="66" t="s">
        <v>140</v>
      </c>
      <c r="AE51" s="66"/>
      <c r="AF51" s="42" t="str">
        <f t="array" ref="AF51">INDEX('Deal Info'!D:D, MATCH(A51,'Deal Info'!A:A, 0))</f>
        <v>Fix15</v>
      </c>
      <c r="AG51" s="43" t="str">
        <f t="array" ref="AG51">INDEX('Deal Info'!G:G, MATCH(A51,'Deal Info'!A:A, 0))</f>
        <v>Fix5</v>
      </c>
    </row>
    <row r="52" hidden="1">
      <c r="A52" s="23" t="str">
        <f t="array" ref="A52">if(G52='Room Info'!$B$1, INDEX('Room Info'!$A$2:$A3446, MATCH(B52,'Room Info'!$B$2:$B3446, 0)),if(G52='Room Info'!$C$1, INDEX('Room Info'!$A$2:$A3446, MATCH(B52,'Room Info'!$C$2:$C3446, 0)),if(G52='Room Info'!$D$1, INDEX('Room Info'!$A$2:$A3446, MATCH(B52,'Room Info'!$D$2:$D3446, 0)),if(G52='Room Info'!$E$1, INDEX('Room Info'!$A$2:$A3446, MATCH(B52,'Room Info'!$E$2:$E3446, 0)),if(G52='Room Info'!$F$1, INDEX('Room Info'!$A$2:$A3446, MATCH(B52,'Room Info'!$F$2:$F3446, 0)),if(G52='Room Info'!$H$1, INDEX('Room Info'!$A$2:$A3446, MATCH(B52,'Room Info'!$H$2:$H3446, 0)),if(G52='Room Info'!$G$1, INDEX('Room Info'!$A$2:$A3446, MATCH(B52,'Room Info'!$G$2:$G3446, 0)))))))))</f>
        <v>fortunate773</v>
      </c>
      <c r="B52" s="50" t="s">
        <v>145</v>
      </c>
      <c r="C52" s="51">
        <v>44805.0</v>
      </c>
      <c r="D52" s="51">
        <v>44834.0</v>
      </c>
      <c r="E52" s="52">
        <v>44805.0</v>
      </c>
      <c r="F52" s="53" t="s">
        <v>8</v>
      </c>
      <c r="G52" s="59" t="s">
        <v>9</v>
      </c>
      <c r="H52" s="54" t="s">
        <v>105</v>
      </c>
      <c r="I52" s="54" t="s">
        <v>24</v>
      </c>
      <c r="J52" s="55">
        <v>500.0</v>
      </c>
      <c r="K52" s="56">
        <v>1.0</v>
      </c>
      <c r="L52" s="57">
        <v>-500.0</v>
      </c>
      <c r="M52" s="67"/>
      <c r="N52" s="33">
        <f t="shared" si="1"/>
        <v>500</v>
      </c>
      <c r="O52" s="59">
        <v>-33.0</v>
      </c>
      <c r="P52" s="34">
        <f t="shared" si="2"/>
        <v>-33</v>
      </c>
      <c r="Q52" s="60"/>
      <c r="R52" s="36">
        <f t="shared" si="3"/>
        <v>0</v>
      </c>
      <c r="S52" s="61">
        <v>-89.0</v>
      </c>
      <c r="T52" s="37">
        <f t="shared" si="4"/>
        <v>-89</v>
      </c>
      <c r="U52" s="62">
        <v>1.0</v>
      </c>
      <c r="V52" s="63"/>
      <c r="W52" s="63"/>
      <c r="X52" s="35">
        <f t="shared" si="5"/>
        <v>0.15</v>
      </c>
      <c r="Y52" s="35">
        <f t="shared" si="6"/>
        <v>0.05</v>
      </c>
      <c r="Z52" s="64">
        <v>-71.0</v>
      </c>
      <c r="AA52" s="65">
        <v>-18.0</v>
      </c>
      <c r="AB52" s="41"/>
      <c r="AC52" s="42" t="b">
        <v>1</v>
      </c>
      <c r="AD52" s="66" t="s">
        <v>140</v>
      </c>
      <c r="AE52" s="66"/>
      <c r="AF52" s="42" t="str">
        <f t="array" ref="AF52">INDEX('Deal Info'!D:D, MATCH(A52,'Deal Info'!A:A, 0))</f>
        <v>Fix15</v>
      </c>
      <c r="AG52" s="43" t="str">
        <f t="array" ref="AG52">INDEX('Deal Info'!G:G, MATCH(A52,'Deal Info'!A:A, 0))</f>
        <v>Fix5</v>
      </c>
    </row>
    <row r="53" hidden="1">
      <c r="A53" s="23" t="str">
        <f t="array" ref="A53">if(G53='Room Info'!$B$1, INDEX('Room Info'!$A$2:$A3446, MATCH(B53,'Room Info'!$B$2:$B3446, 0)),if(G53='Room Info'!$C$1, INDEX('Room Info'!$A$2:$A3446, MATCH(B53,'Room Info'!$C$2:$C3446, 0)),if(G53='Room Info'!$D$1, INDEX('Room Info'!$A$2:$A3446, MATCH(B53,'Room Info'!$D$2:$D3446, 0)),if(G53='Room Info'!$E$1, INDEX('Room Info'!$A$2:$A3446, MATCH(B53,'Room Info'!$E$2:$E3446, 0)),if(G53='Room Info'!$F$1, INDEX('Room Info'!$A$2:$A3446, MATCH(B53,'Room Info'!$F$2:$F3446, 0)),if(G53='Room Info'!$H$1, INDEX('Room Info'!$A$2:$A3446, MATCH(B53,'Room Info'!$H$2:$H3446, 0)),if(G53='Room Info'!$G$1, INDEX('Room Info'!$A$2:$A3446, MATCH(B53,'Room Info'!$G$2:$G3446, 0)))))))))</f>
        <v>Abcdf</v>
      </c>
      <c r="B53" s="23" t="s">
        <v>144</v>
      </c>
      <c r="C53" s="46">
        <v>44713.0</v>
      </c>
      <c r="D53" s="46">
        <v>44742.0</v>
      </c>
      <c r="E53" s="26">
        <v>44713.0</v>
      </c>
      <c r="F53" s="27" t="s">
        <v>12</v>
      </c>
      <c r="G53" s="23" t="s">
        <v>16</v>
      </c>
      <c r="H53" s="28" t="s">
        <v>45</v>
      </c>
      <c r="I53" s="28" t="s">
        <v>7</v>
      </c>
      <c r="J53" s="44">
        <v>10.0</v>
      </c>
      <c r="K53" s="30">
        <v>352.0</v>
      </c>
      <c r="L53" s="31">
        <v>750.0</v>
      </c>
      <c r="M53" s="47">
        <v>418.0</v>
      </c>
      <c r="N53" s="33">
        <f t="shared" si="1"/>
        <v>3520</v>
      </c>
      <c r="O53" s="23"/>
      <c r="P53" s="34">
        <f t="shared" si="2"/>
        <v>0</v>
      </c>
      <c r="Q53" s="35"/>
      <c r="R53" s="36">
        <f t="shared" si="3"/>
        <v>418</v>
      </c>
      <c r="S53" s="33"/>
      <c r="T53" s="37">
        <f t="shared" si="4"/>
        <v>1168</v>
      </c>
      <c r="U53" s="38">
        <v>1.021</v>
      </c>
      <c r="V53" s="39">
        <v>15.374762808349146</v>
      </c>
      <c r="W53" s="39">
        <v>60.553779697624186</v>
      </c>
      <c r="X53" s="35">
        <f t="shared" si="5"/>
        <v>0.2</v>
      </c>
      <c r="Y53" s="35">
        <f t="shared" si="6"/>
        <v>0</v>
      </c>
      <c r="Z53" s="40">
        <f t="shared" ref="Z53:Z76" si="10">T53-AA53-AB53</f>
        <v>931.25</v>
      </c>
      <c r="AA53" s="34">
        <f t="shared" ref="AA53:AA76" si="11">if(AD53="EUR",((T53-R53)*X53)*U53+(R53*X53),(T53*X53))</f>
        <v>236.75</v>
      </c>
      <c r="AB53" s="41">
        <f t="shared" ref="AB53:AB184" si="12">if(AD53="EUR",((T53-R53)*Y53)*U53+(R53*Y53),(T53*Y53))</f>
        <v>0</v>
      </c>
      <c r="AC53" s="42" t="b">
        <v>1</v>
      </c>
      <c r="AD53" s="42" t="s">
        <v>140</v>
      </c>
      <c r="AE53" s="42"/>
      <c r="AF53" s="42" t="str">
        <f t="array" ref="AF53">INDEX('Deal Info'!D:D, MATCH(A53,'Deal Info'!A:A, 0))</f>
        <v>DoEV2017</v>
      </c>
      <c r="AG53" s="43" t="str">
        <f t="array" ref="AG53">INDEX('Deal Info'!G:G, MATCH(A53,'Deal Info'!A:A, 0))</f>
        <v>None</v>
      </c>
    </row>
    <row r="54" hidden="1">
      <c r="A54" s="23" t="str">
        <f t="array" ref="A54">if(G54='Room Info'!$B$1, INDEX('Room Info'!$A$2:$A3446, MATCH(B54,'Room Info'!$B$2:$B3446, 0)),if(G54='Room Info'!$C$1, INDEX('Room Info'!$A$2:$A3446, MATCH(B54,'Room Info'!$C$2:$C3446, 0)),if(G54='Room Info'!$D$1, INDEX('Room Info'!$A$2:$A3446, MATCH(B54,'Room Info'!$D$2:$D3446, 0)),if(G54='Room Info'!$E$1, INDEX('Room Info'!$A$2:$A3446, MATCH(B54,'Room Info'!$E$2:$E3446, 0)),if(G54='Room Info'!$F$1, INDEX('Room Info'!$A$2:$A3446, MATCH(B54,'Room Info'!$F$2:$F3446, 0)),if(G54='Room Info'!$H$1, INDEX('Room Info'!$A$2:$A3446, MATCH(B54,'Room Info'!$H$2:$H3446, 0)),if(G54='Room Info'!$G$1, INDEX('Room Info'!$A$2:$A3446, MATCH(B54,'Room Info'!$G$2:$G3446, 0)))))))))</f>
        <v>Abcdf</v>
      </c>
      <c r="B54" s="23" t="s">
        <v>144</v>
      </c>
      <c r="C54" s="46">
        <v>44713.0</v>
      </c>
      <c r="D54" s="46">
        <v>44742.0</v>
      </c>
      <c r="E54" s="26">
        <v>44713.0</v>
      </c>
      <c r="F54" s="45" t="s">
        <v>12</v>
      </c>
      <c r="G54" s="23" t="s">
        <v>16</v>
      </c>
      <c r="H54" s="28" t="s">
        <v>85</v>
      </c>
      <c r="I54" s="28" t="s">
        <v>7</v>
      </c>
      <c r="J54" s="44">
        <v>100.0</v>
      </c>
      <c r="K54" s="30">
        <v>2.0</v>
      </c>
      <c r="L54" s="31">
        <v>-200.0</v>
      </c>
      <c r="M54" s="47">
        <v>0.0</v>
      </c>
      <c r="N54" s="33">
        <f t="shared" si="1"/>
        <v>200</v>
      </c>
      <c r="O54" s="23"/>
      <c r="P54" s="34">
        <f t="shared" si="2"/>
        <v>0</v>
      </c>
      <c r="Q54" s="35"/>
      <c r="R54" s="36">
        <f t="shared" si="3"/>
        <v>0</v>
      </c>
      <c r="S54" s="33"/>
      <c r="T54" s="37">
        <f t="shared" si="4"/>
        <v>-200</v>
      </c>
      <c r="U54" s="38">
        <v>1.021</v>
      </c>
      <c r="V54" s="39">
        <v>15.374762808349146</v>
      </c>
      <c r="W54" s="39">
        <v>60.553779697624186</v>
      </c>
      <c r="X54" s="35">
        <f t="shared" si="5"/>
        <v>0.2</v>
      </c>
      <c r="Y54" s="35">
        <f t="shared" si="6"/>
        <v>0</v>
      </c>
      <c r="Z54" s="40">
        <f t="shared" si="10"/>
        <v>-159.16</v>
      </c>
      <c r="AA54" s="34">
        <f t="shared" si="11"/>
        <v>-40.84</v>
      </c>
      <c r="AB54" s="41">
        <f t="shared" si="12"/>
        <v>0</v>
      </c>
      <c r="AC54" s="42" t="b">
        <v>1</v>
      </c>
      <c r="AD54" s="42" t="s">
        <v>140</v>
      </c>
      <c r="AE54" s="42"/>
      <c r="AF54" s="42" t="str">
        <f t="array" ref="AF54">INDEX('Deal Info'!D:D, MATCH(A54,'Deal Info'!A:A, 0))</f>
        <v>DoEV2017</v>
      </c>
      <c r="AG54" s="43" t="str">
        <f t="array" ref="AG54">INDEX('Deal Info'!G:G, MATCH(A54,'Deal Info'!A:A, 0))</f>
        <v>None</v>
      </c>
    </row>
    <row r="55" hidden="1">
      <c r="A55" s="23" t="str">
        <f t="array" ref="A55">if(G55='Room Info'!$B$1, INDEX('Room Info'!$A$2:$A3446, MATCH(B55,'Room Info'!$B$2:$B3446, 0)),if(G55='Room Info'!$C$1, INDEX('Room Info'!$A$2:$A3446, MATCH(B55,'Room Info'!$C$2:$C3446, 0)),if(G55='Room Info'!$D$1, INDEX('Room Info'!$A$2:$A3446, MATCH(B55,'Room Info'!$D$2:$D3446, 0)),if(G55='Room Info'!$E$1, INDEX('Room Info'!$A$2:$A3446, MATCH(B55,'Room Info'!$E$2:$E3446, 0)),if(G55='Room Info'!$F$1, INDEX('Room Info'!$A$2:$A3446, MATCH(B55,'Room Info'!$F$2:$F3446, 0)),if(G55='Room Info'!$H$1, INDEX('Room Info'!$A$2:$A3446, MATCH(B55,'Room Info'!$H$2:$H3446, 0)),if(G55='Room Info'!$G$1, INDEX('Room Info'!$A$2:$A3446, MATCH(B55,'Room Info'!$G$2:$G3446, 0)))))))))</f>
        <v>Abcdf</v>
      </c>
      <c r="B55" s="23" t="s">
        <v>144</v>
      </c>
      <c r="C55" s="46">
        <v>44713.0</v>
      </c>
      <c r="D55" s="46">
        <v>44742.0</v>
      </c>
      <c r="E55" s="26">
        <v>44713.0</v>
      </c>
      <c r="F55" s="45" t="s">
        <v>12</v>
      </c>
      <c r="G55" s="23" t="s">
        <v>16</v>
      </c>
      <c r="H55" s="28" t="s">
        <v>59</v>
      </c>
      <c r="I55" s="28" t="s">
        <v>7</v>
      </c>
      <c r="J55" s="44">
        <v>20.0</v>
      </c>
      <c r="K55" s="30">
        <v>455.0</v>
      </c>
      <c r="L55" s="31">
        <v>140.0</v>
      </c>
      <c r="M55" s="47">
        <v>0.0</v>
      </c>
      <c r="N55" s="33">
        <f t="shared" si="1"/>
        <v>9100</v>
      </c>
      <c r="O55" s="23">
        <v>11830.0</v>
      </c>
      <c r="P55" s="34">
        <f t="shared" si="2"/>
        <v>26</v>
      </c>
      <c r="Q55" s="35"/>
      <c r="R55" s="36">
        <f t="shared" si="3"/>
        <v>0</v>
      </c>
      <c r="S55" s="33"/>
      <c r="T55" s="37">
        <f t="shared" si="4"/>
        <v>140</v>
      </c>
      <c r="U55" s="38">
        <v>1.021</v>
      </c>
      <c r="V55" s="39">
        <v>15.374762808349146</v>
      </c>
      <c r="W55" s="39">
        <v>60.553779697624186</v>
      </c>
      <c r="X55" s="35">
        <f t="shared" si="5"/>
        <v>0.2</v>
      </c>
      <c r="Y55" s="35">
        <f t="shared" si="6"/>
        <v>0</v>
      </c>
      <c r="Z55" s="40">
        <f t="shared" si="10"/>
        <v>111.412</v>
      </c>
      <c r="AA55" s="34">
        <f t="shared" si="11"/>
        <v>28.588</v>
      </c>
      <c r="AB55" s="41">
        <f t="shared" si="12"/>
        <v>0</v>
      </c>
      <c r="AC55" s="42" t="b">
        <v>1</v>
      </c>
      <c r="AD55" s="42" t="s">
        <v>140</v>
      </c>
      <c r="AE55" s="42"/>
      <c r="AF55" s="42" t="str">
        <f t="array" ref="AF55">INDEX('Deal Info'!D:D, MATCH(A55,'Deal Info'!A:A, 0))</f>
        <v>DoEV2017</v>
      </c>
      <c r="AG55" s="43" t="str">
        <f t="array" ref="AG55">INDEX('Deal Info'!G:G, MATCH(A55,'Deal Info'!A:A, 0))</f>
        <v>None</v>
      </c>
    </row>
    <row r="56" hidden="1">
      <c r="A56" s="23" t="str">
        <f t="array" ref="A56">if(G56='Room Info'!$B$1, INDEX('Room Info'!$A$2:$A3446, MATCH(B56,'Room Info'!$B$2:$B3446, 0)),if(G56='Room Info'!$C$1, INDEX('Room Info'!$A$2:$A3446, MATCH(B56,'Room Info'!$C$2:$C3446, 0)),if(G56='Room Info'!$D$1, INDEX('Room Info'!$A$2:$A3446, MATCH(B56,'Room Info'!$D$2:$D3446, 0)),if(G56='Room Info'!$E$1, INDEX('Room Info'!$A$2:$A3446, MATCH(B56,'Room Info'!$E$2:$E3446, 0)),if(G56='Room Info'!$F$1, INDEX('Room Info'!$A$2:$A3446, MATCH(B56,'Room Info'!$F$2:$F3446, 0)),if(G56='Room Info'!$H$1, INDEX('Room Info'!$A$2:$A3446, MATCH(B56,'Room Info'!$H$2:$H3446, 0)),if(G56='Room Info'!$G$1, INDEX('Room Info'!$A$2:$A3446, MATCH(B56,'Room Info'!$G$2:$G3446, 0)))))))))</f>
        <v>Abcdf</v>
      </c>
      <c r="B56" s="23" t="s">
        <v>144</v>
      </c>
      <c r="C56" s="24">
        <v>44713.0</v>
      </c>
      <c r="D56" s="24">
        <v>44742.0</v>
      </c>
      <c r="E56" s="26">
        <v>44713.0</v>
      </c>
      <c r="F56" s="45" t="s">
        <v>12</v>
      </c>
      <c r="G56" s="23" t="s">
        <v>16</v>
      </c>
      <c r="H56" s="28" t="s">
        <v>35</v>
      </c>
      <c r="I56" s="28" t="s">
        <v>7</v>
      </c>
      <c r="J56" s="44">
        <v>5.0</v>
      </c>
      <c r="K56" s="30">
        <v>197.0</v>
      </c>
      <c r="L56" s="31">
        <v>260.0</v>
      </c>
      <c r="M56" s="47">
        <v>1.0</v>
      </c>
      <c r="N56" s="33">
        <f t="shared" si="1"/>
        <v>985</v>
      </c>
      <c r="O56" s="23"/>
      <c r="P56" s="34">
        <f t="shared" si="2"/>
        <v>0</v>
      </c>
      <c r="Q56" s="35"/>
      <c r="R56" s="36">
        <f t="shared" si="3"/>
        <v>1</v>
      </c>
      <c r="S56" s="33"/>
      <c r="T56" s="37">
        <f t="shared" si="4"/>
        <v>261</v>
      </c>
      <c r="U56" s="38">
        <v>1.021</v>
      </c>
      <c r="V56" s="39">
        <v>15.374762808349146</v>
      </c>
      <c r="W56" s="39">
        <v>60.553779697624186</v>
      </c>
      <c r="X56" s="35">
        <f t="shared" si="5"/>
        <v>0.2</v>
      </c>
      <c r="Y56" s="35">
        <f t="shared" si="6"/>
        <v>0</v>
      </c>
      <c r="Z56" s="40">
        <f t="shared" si="10"/>
        <v>207.708</v>
      </c>
      <c r="AA56" s="34">
        <f t="shared" si="11"/>
        <v>53.292</v>
      </c>
      <c r="AB56" s="41">
        <f t="shared" si="12"/>
        <v>0</v>
      </c>
      <c r="AC56" s="42" t="b">
        <v>1</v>
      </c>
      <c r="AD56" s="42" t="s">
        <v>140</v>
      </c>
      <c r="AE56" s="42"/>
      <c r="AF56" s="42" t="str">
        <f t="array" ref="AF56">INDEX('Deal Info'!D:D, MATCH(A56,'Deal Info'!A:A, 0))</f>
        <v>DoEV2017</v>
      </c>
      <c r="AG56" s="43" t="str">
        <f t="array" ref="AG56">INDEX('Deal Info'!G:G, MATCH(A56,'Deal Info'!A:A, 0))</f>
        <v>None</v>
      </c>
    </row>
    <row r="57" hidden="1">
      <c r="A57" s="23" t="str">
        <f t="array" ref="A57">if(G57='Room Info'!$B$1, INDEX('Room Info'!$A$2:$A3446, MATCH(B57,'Room Info'!$B$2:$B3446, 0)),if(G57='Room Info'!$C$1, INDEX('Room Info'!$A$2:$A3446, MATCH(B57,'Room Info'!$C$2:$C3446, 0)),if(G57='Room Info'!$D$1, INDEX('Room Info'!$A$2:$A3446, MATCH(B57,'Room Info'!$D$2:$D3446, 0)),if(G57='Room Info'!$E$1, INDEX('Room Info'!$A$2:$A3446, MATCH(B57,'Room Info'!$E$2:$E3446, 0)),if(G57='Room Info'!$F$1, INDEX('Room Info'!$A$2:$A3446, MATCH(B57,'Room Info'!$F$2:$F3446, 0)),if(G57='Room Info'!$H$1, INDEX('Room Info'!$A$2:$A3446, MATCH(B57,'Room Info'!$H$2:$H3446, 0)),if(G57='Room Info'!$G$1, INDEX('Room Info'!$A$2:$A3446, MATCH(B57,'Room Info'!$G$2:$G3446, 0)))))))))</f>
        <v>Abcdf</v>
      </c>
      <c r="B57" s="23" t="s">
        <v>144</v>
      </c>
      <c r="C57" s="24">
        <v>44713.0</v>
      </c>
      <c r="D57" s="24">
        <v>44742.0</v>
      </c>
      <c r="E57" s="26">
        <v>44713.0</v>
      </c>
      <c r="F57" s="45" t="s">
        <v>12</v>
      </c>
      <c r="G57" s="23" t="s">
        <v>16</v>
      </c>
      <c r="H57" s="28" t="s">
        <v>74</v>
      </c>
      <c r="I57" s="28" t="s">
        <v>7</v>
      </c>
      <c r="J57" s="44">
        <v>50.0</v>
      </c>
      <c r="K57" s="30">
        <v>48.0</v>
      </c>
      <c r="L57" s="31">
        <v>-300.0</v>
      </c>
      <c r="M57" s="47">
        <v>2.0</v>
      </c>
      <c r="N57" s="33">
        <f t="shared" si="1"/>
        <v>2400</v>
      </c>
      <c r="O57" s="23"/>
      <c r="P57" s="34">
        <f t="shared" si="2"/>
        <v>0</v>
      </c>
      <c r="Q57" s="35"/>
      <c r="R57" s="36">
        <f t="shared" si="3"/>
        <v>2</v>
      </c>
      <c r="S57" s="33"/>
      <c r="T57" s="37">
        <f t="shared" si="4"/>
        <v>-298</v>
      </c>
      <c r="U57" s="38">
        <v>1.021</v>
      </c>
      <c r="V57" s="39">
        <v>15.374762808349146</v>
      </c>
      <c r="W57" s="39">
        <v>60.553779697624186</v>
      </c>
      <c r="X57" s="35">
        <f t="shared" si="5"/>
        <v>0.2</v>
      </c>
      <c r="Y57" s="35">
        <f t="shared" si="6"/>
        <v>0</v>
      </c>
      <c r="Z57" s="40">
        <f t="shared" si="10"/>
        <v>-237.14</v>
      </c>
      <c r="AA57" s="34">
        <f t="shared" si="11"/>
        <v>-60.86</v>
      </c>
      <c r="AB57" s="41">
        <f t="shared" si="12"/>
        <v>0</v>
      </c>
      <c r="AC57" s="42" t="b">
        <v>1</v>
      </c>
      <c r="AD57" s="42" t="s">
        <v>140</v>
      </c>
      <c r="AE57" s="42"/>
      <c r="AF57" s="42" t="str">
        <f t="array" ref="AF57">INDEX('Deal Info'!D:D, MATCH(A57,'Deal Info'!A:A, 0))</f>
        <v>DoEV2017</v>
      </c>
      <c r="AG57" s="43" t="str">
        <f t="array" ref="AG57">INDEX('Deal Info'!G:G, MATCH(A57,'Deal Info'!A:A, 0))</f>
        <v>None</v>
      </c>
    </row>
    <row r="58" hidden="1">
      <c r="A58" s="23" t="str">
        <f t="array" ref="A58">if(G58='Room Info'!$B$1, INDEX('Room Info'!$A$2:$A3446, MATCH(B58,'Room Info'!$B$2:$B3446, 0)),if(G58='Room Info'!$C$1, INDEX('Room Info'!$A$2:$A3446, MATCH(B58,'Room Info'!$C$2:$C3446, 0)),if(G58='Room Info'!$D$1, INDEX('Room Info'!$A$2:$A3446, MATCH(B58,'Room Info'!$D$2:$D3446, 0)),if(G58='Room Info'!$E$1, INDEX('Room Info'!$A$2:$A3446, MATCH(B58,'Room Info'!$E$2:$E3446, 0)),if(G58='Room Info'!$F$1, INDEX('Room Info'!$A$2:$A3446, MATCH(B58,'Room Info'!$F$2:$F3446, 0)),if(G58='Room Info'!$H$1, INDEX('Room Info'!$A$2:$A3446, MATCH(B58,'Room Info'!$H$2:$H3446, 0)),if(G58='Room Info'!$G$1, INDEX('Room Info'!$A$2:$A3446, MATCH(B58,'Room Info'!$G$2:$G3446, 0)))))))))</f>
        <v>Abcdf</v>
      </c>
      <c r="B58" s="23" t="s">
        <v>144</v>
      </c>
      <c r="C58" s="24">
        <v>44774.0</v>
      </c>
      <c r="D58" s="24">
        <v>44804.0</v>
      </c>
      <c r="E58" s="26">
        <v>44774.0</v>
      </c>
      <c r="F58" s="45" t="s">
        <v>12</v>
      </c>
      <c r="G58" s="23" t="s">
        <v>16</v>
      </c>
      <c r="H58" s="28" t="s">
        <v>88</v>
      </c>
      <c r="I58" s="28" t="s">
        <v>27</v>
      </c>
      <c r="J58" s="44">
        <v>100.0</v>
      </c>
      <c r="K58" s="30">
        <v>1.0</v>
      </c>
      <c r="L58" s="31">
        <v>-100.0</v>
      </c>
      <c r="M58" s="47">
        <v>19.0</v>
      </c>
      <c r="N58" s="33">
        <f t="shared" si="1"/>
        <v>100</v>
      </c>
      <c r="O58" s="23">
        <v>7.0</v>
      </c>
      <c r="P58" s="34">
        <f t="shared" si="2"/>
        <v>7</v>
      </c>
      <c r="Q58" s="35"/>
      <c r="R58" s="36">
        <f t="shared" si="3"/>
        <v>19</v>
      </c>
      <c r="S58" s="33"/>
      <c r="T58" s="37">
        <f t="shared" si="4"/>
        <v>-81</v>
      </c>
      <c r="U58" s="38">
        <v>1.004</v>
      </c>
      <c r="V58" s="39">
        <v>20.63326653306613</v>
      </c>
      <c r="W58" s="39">
        <v>-151.89063714063715</v>
      </c>
      <c r="X58" s="35">
        <f t="shared" si="5"/>
        <v>0.2</v>
      </c>
      <c r="Y58" s="35">
        <f t="shared" si="6"/>
        <v>0</v>
      </c>
      <c r="Z58" s="40">
        <f t="shared" si="10"/>
        <v>-64.72</v>
      </c>
      <c r="AA58" s="34">
        <f t="shared" si="11"/>
        <v>-16.28</v>
      </c>
      <c r="AB58" s="41">
        <f t="shared" si="12"/>
        <v>0</v>
      </c>
      <c r="AC58" s="42" t="b">
        <v>0</v>
      </c>
      <c r="AD58" s="42" t="s">
        <v>140</v>
      </c>
      <c r="AE58" s="42"/>
      <c r="AF58" s="42" t="str">
        <f t="array" ref="AF58">INDEX('Deal Info'!D:D, MATCH(A58,'Deal Info'!A:A, 0))</f>
        <v>DoEV2017</v>
      </c>
      <c r="AG58" s="43" t="str">
        <f t="array" ref="AG58">INDEX('Deal Info'!G:G, MATCH(A58,'Deal Info'!A:A, 0))</f>
        <v>None</v>
      </c>
    </row>
    <row r="59" hidden="1">
      <c r="A59" s="23" t="str">
        <f t="array" ref="A59">if(G59='Room Info'!$B$1, INDEX('Room Info'!$A$2:$A3446, MATCH(B59,'Room Info'!$B$2:$B3446, 0)),if(G59='Room Info'!$C$1, INDEX('Room Info'!$A$2:$A3446, MATCH(B59,'Room Info'!$C$2:$C3446, 0)),if(G59='Room Info'!$D$1, INDEX('Room Info'!$A$2:$A3446, MATCH(B59,'Room Info'!$D$2:$D3446, 0)),if(G59='Room Info'!$E$1, INDEX('Room Info'!$A$2:$A3446, MATCH(B59,'Room Info'!$E$2:$E3446, 0)),if(G59='Room Info'!$F$1, INDEX('Room Info'!$A$2:$A3446, MATCH(B59,'Room Info'!$F$2:$F3446, 0)),if(G59='Room Info'!$H$1, INDEX('Room Info'!$A$2:$A3446, MATCH(B59,'Room Info'!$H$2:$H3446, 0)),if(G59='Room Info'!$G$1, INDEX('Room Info'!$A$2:$A3446, MATCH(B59,'Room Info'!$G$2:$G3446, 0)))))))))</f>
        <v>Abcdf</v>
      </c>
      <c r="B59" s="23" t="s">
        <v>144</v>
      </c>
      <c r="C59" s="24">
        <v>44774.0</v>
      </c>
      <c r="D59" s="24">
        <v>44804.0</v>
      </c>
      <c r="E59" s="26">
        <v>44774.0</v>
      </c>
      <c r="F59" s="45" t="s">
        <v>12</v>
      </c>
      <c r="G59" s="23" t="s">
        <v>16</v>
      </c>
      <c r="H59" s="28" t="s">
        <v>60</v>
      </c>
      <c r="I59" s="28" t="s">
        <v>27</v>
      </c>
      <c r="J59" s="44">
        <v>20.0</v>
      </c>
      <c r="K59" s="30">
        <v>2332.0</v>
      </c>
      <c r="L59" s="31">
        <v>-2640.0</v>
      </c>
      <c r="M59" s="47">
        <v>1515.0</v>
      </c>
      <c r="N59" s="33">
        <f t="shared" si="1"/>
        <v>46640</v>
      </c>
      <c r="O59" s="23">
        <v>16324.0</v>
      </c>
      <c r="P59" s="34">
        <f t="shared" si="2"/>
        <v>7</v>
      </c>
      <c r="Q59" s="35"/>
      <c r="R59" s="36">
        <f t="shared" si="3"/>
        <v>1515</v>
      </c>
      <c r="S59" s="33"/>
      <c r="T59" s="37">
        <f t="shared" si="4"/>
        <v>-1125</v>
      </c>
      <c r="U59" s="38">
        <v>1.004</v>
      </c>
      <c r="V59" s="39">
        <v>20.63326653306613</v>
      </c>
      <c r="W59" s="39">
        <v>-151.89063714063715</v>
      </c>
      <c r="X59" s="35">
        <f t="shared" si="5"/>
        <v>0.2</v>
      </c>
      <c r="Y59" s="35">
        <f t="shared" si="6"/>
        <v>0</v>
      </c>
      <c r="Z59" s="40">
        <f t="shared" si="10"/>
        <v>-897.888</v>
      </c>
      <c r="AA59" s="34">
        <f t="shared" si="11"/>
        <v>-227.112</v>
      </c>
      <c r="AB59" s="41">
        <f t="shared" si="12"/>
        <v>0</v>
      </c>
      <c r="AC59" s="42" t="b">
        <v>0</v>
      </c>
      <c r="AD59" s="42" t="s">
        <v>140</v>
      </c>
      <c r="AE59" s="42"/>
      <c r="AF59" s="42" t="str">
        <f t="array" ref="AF59">INDEX('Deal Info'!D:D, MATCH(A59,'Deal Info'!A:A, 0))</f>
        <v>DoEV2017</v>
      </c>
      <c r="AG59" s="43" t="str">
        <f t="array" ref="AG59">INDEX('Deal Info'!G:G, MATCH(A59,'Deal Info'!A:A, 0))</f>
        <v>None</v>
      </c>
    </row>
    <row r="60" hidden="1">
      <c r="A60" s="23" t="str">
        <f t="array" ref="A60">if(G60='Room Info'!$B$1, INDEX('Room Info'!$A$2:$A3446, MATCH(B60,'Room Info'!$B$2:$B3446, 0)),if(G60='Room Info'!$C$1, INDEX('Room Info'!$A$2:$A3446, MATCH(B60,'Room Info'!$C$2:$C3446, 0)),if(G60='Room Info'!$D$1, INDEX('Room Info'!$A$2:$A3446, MATCH(B60,'Room Info'!$D$2:$D3446, 0)),if(G60='Room Info'!$E$1, INDEX('Room Info'!$A$2:$A3446, MATCH(B60,'Room Info'!$E$2:$E3446, 0)),if(G60='Room Info'!$F$1, INDEX('Room Info'!$A$2:$A3446, MATCH(B60,'Room Info'!$F$2:$F3446, 0)),if(G60='Room Info'!$H$1, INDEX('Room Info'!$A$2:$A3446, MATCH(B60,'Room Info'!$H$2:$H3446, 0)),if(G60='Room Info'!$G$1, INDEX('Room Info'!$A$2:$A3446, MATCH(B60,'Room Info'!$G$2:$G3446, 0)))))))))</f>
        <v>Abcdf</v>
      </c>
      <c r="B60" s="23" t="s">
        <v>144</v>
      </c>
      <c r="C60" s="24">
        <v>44774.0</v>
      </c>
      <c r="D60" s="24">
        <v>44804.0</v>
      </c>
      <c r="E60" s="26">
        <v>44774.0</v>
      </c>
      <c r="F60" s="45" t="s">
        <v>12</v>
      </c>
      <c r="G60" s="23" t="s">
        <v>16</v>
      </c>
      <c r="H60" s="28" t="s">
        <v>59</v>
      </c>
      <c r="I60" s="28" t="s">
        <v>7</v>
      </c>
      <c r="J60" s="44">
        <v>20.0</v>
      </c>
      <c r="K60" s="30">
        <v>112.0</v>
      </c>
      <c r="L60" s="31">
        <v>60.0</v>
      </c>
      <c r="M60" s="47">
        <v>0.0</v>
      </c>
      <c r="N60" s="33">
        <f t="shared" si="1"/>
        <v>2240</v>
      </c>
      <c r="O60" s="23">
        <v>2576.0</v>
      </c>
      <c r="P60" s="34">
        <f t="shared" si="2"/>
        <v>23</v>
      </c>
      <c r="Q60" s="35"/>
      <c r="R60" s="36">
        <f t="shared" si="3"/>
        <v>0</v>
      </c>
      <c r="S60" s="33"/>
      <c r="T60" s="37">
        <f t="shared" si="4"/>
        <v>60</v>
      </c>
      <c r="U60" s="38">
        <v>1.004</v>
      </c>
      <c r="V60" s="39">
        <v>20.63326653306613</v>
      </c>
      <c r="W60" s="39">
        <v>-151.89063714063715</v>
      </c>
      <c r="X60" s="35">
        <f t="shared" si="5"/>
        <v>0.2</v>
      </c>
      <c r="Y60" s="35">
        <f t="shared" si="6"/>
        <v>0</v>
      </c>
      <c r="Z60" s="40">
        <f t="shared" si="10"/>
        <v>47.952</v>
      </c>
      <c r="AA60" s="34">
        <f t="shared" si="11"/>
        <v>12.048</v>
      </c>
      <c r="AB60" s="41">
        <f t="shared" si="12"/>
        <v>0</v>
      </c>
      <c r="AC60" s="42" t="b">
        <v>0</v>
      </c>
      <c r="AD60" s="42" t="s">
        <v>140</v>
      </c>
      <c r="AE60" s="42"/>
      <c r="AF60" s="42" t="str">
        <f t="array" ref="AF60">INDEX('Deal Info'!D:D, MATCH(A60,'Deal Info'!A:A, 0))</f>
        <v>DoEV2017</v>
      </c>
      <c r="AG60" s="43" t="str">
        <f t="array" ref="AG60">INDEX('Deal Info'!G:G, MATCH(A60,'Deal Info'!A:A, 0))</f>
        <v>None</v>
      </c>
    </row>
    <row r="61" hidden="1">
      <c r="A61" s="23" t="str">
        <f t="array" ref="A61">if(G61='Room Info'!$B$1, INDEX('Room Info'!$A$2:$A3446, MATCH(B61,'Room Info'!$B$2:$B3446, 0)),if(G61='Room Info'!$C$1, INDEX('Room Info'!$A$2:$A3446, MATCH(B61,'Room Info'!$C$2:$C3446, 0)),if(G61='Room Info'!$D$1, INDEX('Room Info'!$A$2:$A3446, MATCH(B61,'Room Info'!$D$2:$D3446, 0)),if(G61='Room Info'!$E$1, INDEX('Room Info'!$A$2:$A3446, MATCH(B61,'Room Info'!$E$2:$E3446, 0)),if(G61='Room Info'!$F$1, INDEX('Room Info'!$A$2:$A3446, MATCH(B61,'Room Info'!$F$2:$F3446, 0)),if(G61='Room Info'!$H$1, INDEX('Room Info'!$A$2:$A3446, MATCH(B61,'Room Info'!$H$2:$H3446, 0)),if(G61='Room Info'!$G$1, INDEX('Room Info'!$A$2:$A3446, MATCH(B61,'Room Info'!$G$2:$G3446, 0)))))))))</f>
        <v>Abcdf</v>
      </c>
      <c r="B61" s="23" t="s">
        <v>144</v>
      </c>
      <c r="C61" s="24">
        <v>44774.0</v>
      </c>
      <c r="D61" s="24">
        <v>44804.0</v>
      </c>
      <c r="E61" s="26">
        <v>44774.0</v>
      </c>
      <c r="F61" s="45" t="s">
        <v>12</v>
      </c>
      <c r="G61" s="23" t="s">
        <v>16</v>
      </c>
      <c r="H61" s="28" t="s">
        <v>76</v>
      </c>
      <c r="I61" s="28" t="s">
        <v>27</v>
      </c>
      <c r="J61" s="44">
        <v>50.0</v>
      </c>
      <c r="K61" s="30">
        <v>36.0</v>
      </c>
      <c r="L61" s="31">
        <v>150.0</v>
      </c>
      <c r="M61" s="47">
        <v>32.0</v>
      </c>
      <c r="N61" s="33">
        <f t="shared" si="1"/>
        <v>1800</v>
      </c>
      <c r="O61" s="23">
        <v>252.0</v>
      </c>
      <c r="P61" s="34">
        <f t="shared" si="2"/>
        <v>7</v>
      </c>
      <c r="Q61" s="35"/>
      <c r="R61" s="36">
        <f t="shared" si="3"/>
        <v>32</v>
      </c>
      <c r="S61" s="33"/>
      <c r="T61" s="37">
        <f t="shared" si="4"/>
        <v>182</v>
      </c>
      <c r="U61" s="38">
        <v>1.004</v>
      </c>
      <c r="V61" s="39">
        <v>20.63326653306613</v>
      </c>
      <c r="W61" s="39">
        <v>-151.89063714063715</v>
      </c>
      <c r="X61" s="35">
        <f t="shared" si="5"/>
        <v>0.2</v>
      </c>
      <c r="Y61" s="35">
        <f t="shared" si="6"/>
        <v>0</v>
      </c>
      <c r="Z61" s="40">
        <f t="shared" si="10"/>
        <v>145.48</v>
      </c>
      <c r="AA61" s="34">
        <f t="shared" si="11"/>
        <v>36.52</v>
      </c>
      <c r="AB61" s="41">
        <f t="shared" si="12"/>
        <v>0</v>
      </c>
      <c r="AC61" s="42" t="b">
        <v>0</v>
      </c>
      <c r="AD61" s="42" t="s">
        <v>140</v>
      </c>
      <c r="AE61" s="42"/>
      <c r="AF61" s="42" t="str">
        <f t="array" ref="AF61">INDEX('Deal Info'!D:D, MATCH(A61,'Deal Info'!A:A, 0))</f>
        <v>DoEV2017</v>
      </c>
      <c r="AG61" s="43" t="str">
        <f t="array" ref="AG61">INDEX('Deal Info'!G:G, MATCH(A61,'Deal Info'!A:A, 0))</f>
        <v>None</v>
      </c>
    </row>
    <row r="62" hidden="1">
      <c r="A62" s="23" t="str">
        <f t="array" ref="A62">if(G62='Room Info'!$B$1, INDEX('Room Info'!$A$2:$A3446, MATCH(B62,'Room Info'!$B$2:$B3446, 0)),if(G62='Room Info'!$C$1, INDEX('Room Info'!$A$2:$A3446, MATCH(B62,'Room Info'!$C$2:$C3446, 0)),if(G62='Room Info'!$D$1, INDEX('Room Info'!$A$2:$A3446, MATCH(B62,'Room Info'!$D$2:$D3446, 0)),if(G62='Room Info'!$E$1, INDEX('Room Info'!$A$2:$A3446, MATCH(B62,'Room Info'!$E$2:$E3446, 0)),if(G62='Room Info'!$F$1, INDEX('Room Info'!$A$2:$A3446, MATCH(B62,'Room Info'!$F$2:$F3446, 0)),if(G62='Room Info'!$H$1, INDEX('Room Info'!$A$2:$A3446, MATCH(B62,'Room Info'!$H$2:$H3446, 0)),if(G62='Room Info'!$G$1, INDEX('Room Info'!$A$2:$A3446, MATCH(B62,'Room Info'!$G$2:$G3446, 0)))))))))</f>
        <v>Abcdf</v>
      </c>
      <c r="B62" s="23" t="s">
        <v>144</v>
      </c>
      <c r="C62" s="24">
        <v>44774.0</v>
      </c>
      <c r="D62" s="24">
        <v>44804.0</v>
      </c>
      <c r="E62" s="26">
        <v>44774.0</v>
      </c>
      <c r="F62" s="45" t="s">
        <v>12</v>
      </c>
      <c r="G62" s="23" t="s">
        <v>16</v>
      </c>
      <c r="H62" s="28" t="s">
        <v>74</v>
      </c>
      <c r="I62" s="28" t="s">
        <v>7</v>
      </c>
      <c r="J62" s="44">
        <v>50.0</v>
      </c>
      <c r="K62" s="30">
        <v>14.0</v>
      </c>
      <c r="L62" s="31">
        <v>-100.0</v>
      </c>
      <c r="M62" s="47">
        <v>13.0</v>
      </c>
      <c r="N62" s="33">
        <f t="shared" si="1"/>
        <v>700</v>
      </c>
      <c r="O62" s="23">
        <v>322.0</v>
      </c>
      <c r="P62" s="34">
        <f t="shared" si="2"/>
        <v>23</v>
      </c>
      <c r="Q62" s="35"/>
      <c r="R62" s="36">
        <f t="shared" si="3"/>
        <v>13</v>
      </c>
      <c r="S62" s="33"/>
      <c r="T62" s="37">
        <f t="shared" si="4"/>
        <v>-87</v>
      </c>
      <c r="U62" s="38">
        <v>1.004</v>
      </c>
      <c r="V62" s="39">
        <v>20.63326653306613</v>
      </c>
      <c r="W62" s="39">
        <v>-151.89063714063715</v>
      </c>
      <c r="X62" s="35">
        <f t="shared" si="5"/>
        <v>0.2</v>
      </c>
      <c r="Y62" s="35">
        <f t="shared" si="6"/>
        <v>0</v>
      </c>
      <c r="Z62" s="40">
        <f t="shared" si="10"/>
        <v>-69.52</v>
      </c>
      <c r="AA62" s="34">
        <f t="shared" si="11"/>
        <v>-17.48</v>
      </c>
      <c r="AB62" s="41">
        <f t="shared" si="12"/>
        <v>0</v>
      </c>
      <c r="AC62" s="42" t="b">
        <v>0</v>
      </c>
      <c r="AD62" s="42" t="s">
        <v>140</v>
      </c>
      <c r="AE62" s="42"/>
      <c r="AF62" s="42" t="str">
        <f t="array" ref="AF62">INDEX('Deal Info'!D:D, MATCH(A62,'Deal Info'!A:A, 0))</f>
        <v>DoEV2017</v>
      </c>
      <c r="AG62" s="43" t="str">
        <f t="array" ref="AG62">INDEX('Deal Info'!G:G, MATCH(A62,'Deal Info'!A:A, 0))</f>
        <v>None</v>
      </c>
    </row>
    <row r="63" hidden="1">
      <c r="A63" s="23" t="str">
        <f t="array" ref="A63">if(G63='Room Info'!$B$1, INDEX('Room Info'!$A$2:$A3446, MATCH(B63,'Room Info'!$B$2:$B3446, 0)),if(G63='Room Info'!$C$1, INDEX('Room Info'!$A$2:$A3446, MATCH(B63,'Room Info'!$C$2:$C3446, 0)),if(G63='Room Info'!$D$1, INDEX('Room Info'!$A$2:$A3446, MATCH(B63,'Room Info'!$D$2:$D3446, 0)),if(G63='Room Info'!$E$1, INDEX('Room Info'!$A$2:$A3446, MATCH(B63,'Room Info'!$E$2:$E3446, 0)),if(G63='Room Info'!$F$1, INDEX('Room Info'!$A$2:$A3446, MATCH(B63,'Room Info'!$F$2:$F3446, 0)),if(G63='Room Info'!$H$1, INDEX('Room Info'!$A$2:$A3446, MATCH(B63,'Room Info'!$H$2:$H3446, 0)),if(G63='Room Info'!$G$1, INDEX('Room Info'!$A$2:$A3446, MATCH(B63,'Room Info'!$G$2:$G3446, 0)))))))))</f>
        <v>Abcdf</v>
      </c>
      <c r="B63" s="23" t="s">
        <v>144</v>
      </c>
      <c r="C63" s="46">
        <v>44805.0</v>
      </c>
      <c r="D63" s="46">
        <v>44834.0</v>
      </c>
      <c r="E63" s="26">
        <v>44805.0</v>
      </c>
      <c r="F63" s="45" t="s">
        <v>12</v>
      </c>
      <c r="G63" s="23" t="s">
        <v>16</v>
      </c>
      <c r="H63" s="28" t="s">
        <v>49</v>
      </c>
      <c r="I63" s="28" t="s">
        <v>27</v>
      </c>
      <c r="J63" s="44">
        <v>10.0</v>
      </c>
      <c r="K63" s="30">
        <v>196.0</v>
      </c>
      <c r="L63" s="31">
        <v>-180.0</v>
      </c>
      <c r="M63" s="47">
        <v>65.0</v>
      </c>
      <c r="N63" s="33">
        <f t="shared" si="1"/>
        <v>1960</v>
      </c>
      <c r="O63" s="23">
        <v>1372.0</v>
      </c>
      <c r="P63" s="34">
        <f t="shared" si="2"/>
        <v>7</v>
      </c>
      <c r="Q63" s="35"/>
      <c r="R63" s="36">
        <f t="shared" si="3"/>
        <v>65</v>
      </c>
      <c r="S63" s="33"/>
      <c r="T63" s="37">
        <f t="shared" si="4"/>
        <v>-115</v>
      </c>
      <c r="U63" s="38">
        <v>1.0</v>
      </c>
      <c r="V63" s="39">
        <v>10.0</v>
      </c>
      <c r="W63" s="39">
        <v>-7.4</v>
      </c>
      <c r="X63" s="35">
        <f t="shared" si="5"/>
        <v>0.2</v>
      </c>
      <c r="Y63" s="35">
        <f t="shared" si="6"/>
        <v>0</v>
      </c>
      <c r="Z63" s="40">
        <f t="shared" si="10"/>
        <v>-92</v>
      </c>
      <c r="AA63" s="34">
        <f t="shared" si="11"/>
        <v>-23</v>
      </c>
      <c r="AB63" s="41">
        <f t="shared" si="12"/>
        <v>0</v>
      </c>
      <c r="AC63" s="42" t="b">
        <v>0</v>
      </c>
      <c r="AD63" s="42" t="s">
        <v>140</v>
      </c>
      <c r="AE63" s="42"/>
      <c r="AF63" s="42" t="str">
        <f t="array" ref="AF63">INDEX('Deal Info'!D:D, MATCH(A63,'Deal Info'!A:A, 0))</f>
        <v>DoEV2017</v>
      </c>
      <c r="AG63" s="43" t="str">
        <f t="array" ref="AG63">INDEX('Deal Info'!G:G, MATCH(A63,'Deal Info'!A:A, 0))</f>
        <v>None</v>
      </c>
    </row>
    <row r="64" hidden="1">
      <c r="A64" s="23" t="str">
        <f t="array" ref="A64">if(G64='Room Info'!$B$1, INDEX('Room Info'!$A$2:$A3446, MATCH(B64,'Room Info'!$B$2:$B3446, 0)),if(G64='Room Info'!$C$1, INDEX('Room Info'!$A$2:$A3446, MATCH(B64,'Room Info'!$C$2:$C3446, 0)),if(G64='Room Info'!$D$1, INDEX('Room Info'!$A$2:$A3446, MATCH(B64,'Room Info'!$D$2:$D3446, 0)),if(G64='Room Info'!$E$1, INDEX('Room Info'!$A$2:$A3446, MATCH(B64,'Room Info'!$E$2:$E3446, 0)),if(G64='Room Info'!$F$1, INDEX('Room Info'!$A$2:$A3446, MATCH(B64,'Room Info'!$F$2:$F3446, 0)),if(G64='Room Info'!$H$1, INDEX('Room Info'!$A$2:$A3446, MATCH(B64,'Room Info'!$H$2:$H3446, 0)),if(G64='Room Info'!$G$1, INDEX('Room Info'!$A$2:$A3446, MATCH(B64,'Room Info'!$G$2:$G3446, 0)))))))))</f>
        <v>Abcdf</v>
      </c>
      <c r="B64" s="23" t="s">
        <v>144</v>
      </c>
      <c r="C64" s="46">
        <v>44805.0</v>
      </c>
      <c r="D64" s="46">
        <v>44834.0</v>
      </c>
      <c r="E64" s="26">
        <v>44805.0</v>
      </c>
      <c r="F64" s="45" t="s">
        <v>12</v>
      </c>
      <c r="G64" s="23" t="s">
        <v>16</v>
      </c>
      <c r="H64" s="28" t="s">
        <v>45</v>
      </c>
      <c r="I64" s="28" t="s">
        <v>7</v>
      </c>
      <c r="J64" s="44">
        <v>10.0</v>
      </c>
      <c r="K64" s="30">
        <v>70.0</v>
      </c>
      <c r="L64" s="31">
        <v>40.0</v>
      </c>
      <c r="M64" s="47">
        <v>1.0</v>
      </c>
      <c r="N64" s="33">
        <f t="shared" si="1"/>
        <v>700</v>
      </c>
      <c r="O64" s="23">
        <v>3772.0</v>
      </c>
      <c r="P64" s="34">
        <f t="shared" si="2"/>
        <v>53.88571429</v>
      </c>
      <c r="Q64" s="35"/>
      <c r="R64" s="36">
        <f t="shared" si="3"/>
        <v>1</v>
      </c>
      <c r="S64" s="33"/>
      <c r="T64" s="37">
        <f t="shared" si="4"/>
        <v>41</v>
      </c>
      <c r="U64" s="38">
        <v>1.0</v>
      </c>
      <c r="V64" s="39">
        <v>10.0</v>
      </c>
      <c r="W64" s="39">
        <v>-7.4</v>
      </c>
      <c r="X64" s="35">
        <f t="shared" si="5"/>
        <v>0.2</v>
      </c>
      <c r="Y64" s="35">
        <f t="shared" si="6"/>
        <v>0</v>
      </c>
      <c r="Z64" s="40">
        <f t="shared" si="10"/>
        <v>32.8</v>
      </c>
      <c r="AA64" s="34">
        <f t="shared" si="11"/>
        <v>8.2</v>
      </c>
      <c r="AB64" s="41">
        <f t="shared" si="12"/>
        <v>0</v>
      </c>
      <c r="AC64" s="42" t="b">
        <v>0</v>
      </c>
      <c r="AD64" s="42" t="s">
        <v>140</v>
      </c>
      <c r="AE64" s="42"/>
      <c r="AF64" s="42" t="str">
        <f t="array" ref="AF64">INDEX('Deal Info'!D:D, MATCH(A64,'Deal Info'!A:A, 0))</f>
        <v>DoEV2017</v>
      </c>
      <c r="AG64" s="43" t="str">
        <f t="array" ref="AG64">INDEX('Deal Info'!G:G, MATCH(A64,'Deal Info'!A:A, 0))</f>
        <v>None</v>
      </c>
    </row>
    <row r="65" hidden="1">
      <c r="A65" s="23" t="b">
        <f t="array" ref="A65">if(G65='Room Info'!$B$1, INDEX('Room Info'!$A$2:$A3446, MATCH(B65,'Room Info'!$B$2:$B3446, 0)),if(G65='Room Info'!$C$1, INDEX('Room Info'!$A$2:$A3446, MATCH(B65,'Room Info'!$C$2:$C3446, 0)),if(G65='Room Info'!$D$1, INDEX('Room Info'!$A$2:$A3446, MATCH(B65,'Room Info'!$D$2:$D3446, 0)),if(G65='Room Info'!$E$1, INDEX('Room Info'!$A$2:$A3446, MATCH(B65,'Room Info'!$E$2:$E3446, 0)),if(G65='Room Info'!$F$1, INDEX('Room Info'!$A$2:$A3446, MATCH(B65,'Room Info'!$F$2:$F3446, 0)),if(G65='Room Info'!$H$1, INDEX('Room Info'!$A$2:$A3446, MATCH(B65,'Room Info'!$H$2:$H3446, 0)),if(G65='Room Info'!$G$1, INDEX('Room Info'!$A$2:$A3446, MATCH(B65,'Room Info'!$G$2:$G3446, 0)))))))))</f>
        <v>0</v>
      </c>
      <c r="B65" s="23" t="s">
        <v>146</v>
      </c>
      <c r="C65" s="46">
        <v>44927.0</v>
      </c>
      <c r="D65" s="46">
        <v>44957.0</v>
      </c>
      <c r="E65" s="26">
        <v>44927.0</v>
      </c>
      <c r="F65" s="45" t="s">
        <v>12</v>
      </c>
      <c r="G65" s="23" t="s">
        <v>142</v>
      </c>
      <c r="H65" s="28" t="s">
        <v>50</v>
      </c>
      <c r="I65" s="28" t="s">
        <v>7</v>
      </c>
      <c r="J65" s="44">
        <v>10.0</v>
      </c>
      <c r="K65" s="30">
        <v>495.0</v>
      </c>
      <c r="L65" s="31">
        <v>-172.0</v>
      </c>
      <c r="M65" s="32"/>
      <c r="N65" s="33">
        <f t="shared" si="1"/>
        <v>4950</v>
      </c>
      <c r="O65" s="23">
        <v>20295.0</v>
      </c>
      <c r="P65" s="34">
        <f t="shared" si="2"/>
        <v>41</v>
      </c>
      <c r="Q65" s="35"/>
      <c r="R65" s="36">
        <f t="shared" si="3"/>
        <v>0</v>
      </c>
      <c r="S65" s="33"/>
      <c r="T65" s="37">
        <f t="shared" si="4"/>
        <v>-172</v>
      </c>
      <c r="U65" s="38">
        <v>1.075</v>
      </c>
      <c r="V65" s="39">
        <v>10.0</v>
      </c>
      <c r="W65" s="39">
        <v>0.1</v>
      </c>
      <c r="X65" s="35" t="str">
        <f t="shared" si="5"/>
        <v>#N/A</v>
      </c>
      <c r="Y65" s="35" t="str">
        <f t="shared" si="6"/>
        <v>#N/A</v>
      </c>
      <c r="Z65" s="40" t="str">
        <f t="shared" si="10"/>
        <v>#N/A</v>
      </c>
      <c r="AA65" s="34" t="str">
        <f t="shared" si="11"/>
        <v>#N/A</v>
      </c>
      <c r="AB65" s="41" t="str">
        <f t="shared" si="12"/>
        <v>#N/A</v>
      </c>
      <c r="AC65" s="42" t="b">
        <v>0</v>
      </c>
      <c r="AD65" s="42" t="s">
        <v>140</v>
      </c>
      <c r="AE65" s="42"/>
      <c r="AF65" s="42" t="str">
        <f t="array" ref="AF65">INDEX('Deal Info'!D:D, MATCH(A65,'Deal Info'!A:A, 0))</f>
        <v>#N/A</v>
      </c>
      <c r="AG65" s="43" t="str">
        <f t="array" ref="AG65">INDEX('Deal Info'!G:G, MATCH(A65,'Deal Info'!A:A, 0))</f>
        <v>#N/A</v>
      </c>
    </row>
    <row r="66" hidden="1">
      <c r="A66" s="23" t="str">
        <f t="array" ref="A66">if(G66='Room Info'!$B$1, INDEX('Room Info'!$A$2:$A3446, MATCH(B66,'Room Info'!$B$2:$B3446, 0)),if(G66='Room Info'!$C$1, INDEX('Room Info'!$A$2:$A3446, MATCH(B66,'Room Info'!$C$2:$C3446, 0)),if(G66='Room Info'!$D$1, INDEX('Room Info'!$A$2:$A3446, MATCH(B66,'Room Info'!$D$2:$D3446, 0)),if(G66='Room Info'!$E$1, INDEX('Room Info'!$A$2:$A3446, MATCH(B66,'Room Info'!$E$2:$E3446, 0)),if(G66='Room Info'!$F$1, INDEX('Room Info'!$A$2:$A3446, MATCH(B66,'Room Info'!$F$2:$F3446, 0)),if(G66='Room Info'!$H$1, INDEX('Room Info'!$A$2:$A3446, MATCH(B66,'Room Info'!$H$2:$H3446, 0)),if(G66='Room Info'!$G$1, INDEX('Room Info'!$A$2:$A3446, MATCH(B66,'Room Info'!$G$2:$G3446, 0)))))))))</f>
        <v>prodoman</v>
      </c>
      <c r="B66" s="23" t="s">
        <v>147</v>
      </c>
      <c r="C66" s="46">
        <v>44657.0</v>
      </c>
      <c r="D66" s="46">
        <v>44681.0</v>
      </c>
      <c r="E66" s="26">
        <v>44652.0</v>
      </c>
      <c r="F66" s="45" t="s">
        <v>12</v>
      </c>
      <c r="G66" s="23" t="s">
        <v>13</v>
      </c>
      <c r="H66" s="28" t="s">
        <v>45</v>
      </c>
      <c r="I66" s="28" t="s">
        <v>18</v>
      </c>
      <c r="J66" s="44">
        <v>10.0</v>
      </c>
      <c r="K66" s="30">
        <v>6439.0</v>
      </c>
      <c r="L66" s="31">
        <v>-1393.0</v>
      </c>
      <c r="M66" s="47">
        <v>2144.0</v>
      </c>
      <c r="N66" s="33">
        <f t="shared" si="1"/>
        <v>64390</v>
      </c>
      <c r="O66" s="23">
        <v>75577.0</v>
      </c>
      <c r="P66" s="34">
        <f t="shared" si="2"/>
        <v>11.73738158</v>
      </c>
      <c r="Q66" s="35"/>
      <c r="R66" s="36">
        <f t="shared" si="3"/>
        <v>2144</v>
      </c>
      <c r="S66" s="68"/>
      <c r="T66" s="37">
        <f t="shared" si="4"/>
        <v>751</v>
      </c>
      <c r="U66" s="38">
        <v>1.0</v>
      </c>
      <c r="V66" s="39">
        <v>10.0</v>
      </c>
      <c r="W66" s="39">
        <v>75.1</v>
      </c>
      <c r="X66" s="35">
        <f t="shared" si="5"/>
        <v>0.23</v>
      </c>
      <c r="Y66" s="35">
        <f t="shared" si="6"/>
        <v>0</v>
      </c>
      <c r="Z66" s="40">
        <f t="shared" si="10"/>
        <v>578.27</v>
      </c>
      <c r="AA66" s="34">
        <f t="shared" si="11"/>
        <v>172.73</v>
      </c>
      <c r="AB66" s="41">
        <f t="shared" si="12"/>
        <v>0</v>
      </c>
      <c r="AC66" s="42" t="b">
        <v>1</v>
      </c>
      <c r="AD66" s="42" t="s">
        <v>138</v>
      </c>
      <c r="AE66" s="42" t="s">
        <v>138</v>
      </c>
      <c r="AF66" s="42" t="str">
        <f t="array" ref="AF66">INDEX('Deal Info'!D:D, MATCH(A66,'Deal Info'!A:A, 0))</f>
        <v>DoEV</v>
      </c>
      <c r="AG66" s="43" t="str">
        <f t="array" ref="AG66">INDEX('Deal Info'!G:G, MATCH(A66,'Deal Info'!A:A, 0))</f>
        <v>None</v>
      </c>
    </row>
    <row r="67" hidden="1">
      <c r="A67" s="23" t="str">
        <f t="array" ref="A67">if(G67='Room Info'!$B$1, INDEX('Room Info'!$A$2:$A3446, MATCH(B67,'Room Info'!$B$2:$B3446, 0)),if(G67='Room Info'!$C$1, INDEX('Room Info'!$A$2:$A3446, MATCH(B67,'Room Info'!$C$2:$C3446, 0)),if(G67='Room Info'!$D$1, INDEX('Room Info'!$A$2:$A3446, MATCH(B67,'Room Info'!$D$2:$D3446, 0)),if(G67='Room Info'!$E$1, INDEX('Room Info'!$A$2:$A3446, MATCH(B67,'Room Info'!$E$2:$E3446, 0)),if(G67='Room Info'!$F$1, INDEX('Room Info'!$A$2:$A3446, MATCH(B67,'Room Info'!$F$2:$F3446, 0)),if(G67='Room Info'!$H$1, INDEX('Room Info'!$A$2:$A3446, MATCH(B67,'Room Info'!$H$2:$H3446, 0)),if(G67='Room Info'!$G$1, INDEX('Room Info'!$A$2:$A3446, MATCH(B67,'Room Info'!$G$2:$G3446, 0)))))))))</f>
        <v>prodoman</v>
      </c>
      <c r="B67" s="23" t="s">
        <v>147</v>
      </c>
      <c r="C67" s="46">
        <v>44682.0</v>
      </c>
      <c r="D67" s="46">
        <v>44712.0</v>
      </c>
      <c r="E67" s="26">
        <v>44682.0</v>
      </c>
      <c r="F67" s="45" t="s">
        <v>12</v>
      </c>
      <c r="G67" s="23" t="s">
        <v>13</v>
      </c>
      <c r="H67" s="28" t="s">
        <v>59</v>
      </c>
      <c r="I67" s="28" t="s">
        <v>18</v>
      </c>
      <c r="J67" s="44">
        <v>20.0</v>
      </c>
      <c r="K67" s="30">
        <v>3906.0</v>
      </c>
      <c r="L67" s="31">
        <v>-4880.0</v>
      </c>
      <c r="M67" s="47">
        <v>4037.0</v>
      </c>
      <c r="N67" s="33">
        <f t="shared" si="1"/>
        <v>78120</v>
      </c>
      <c r="O67" s="23">
        <v>12689.0</v>
      </c>
      <c r="P67" s="34">
        <f t="shared" si="2"/>
        <v>3.24859191</v>
      </c>
      <c r="Q67" s="35"/>
      <c r="R67" s="36">
        <f t="shared" si="3"/>
        <v>4037</v>
      </c>
      <c r="S67" s="68"/>
      <c r="T67" s="37">
        <f t="shared" si="4"/>
        <v>-843</v>
      </c>
      <c r="U67" s="38">
        <v>1.0</v>
      </c>
      <c r="V67" s="39">
        <v>18.24397638423488</v>
      </c>
      <c r="W67" s="69">
        <v>61.26</v>
      </c>
      <c r="X67" s="35">
        <f t="shared" si="5"/>
        <v>0.23</v>
      </c>
      <c r="Y67" s="35">
        <f t="shared" si="6"/>
        <v>0</v>
      </c>
      <c r="Z67" s="40">
        <f t="shared" si="10"/>
        <v>-649.11</v>
      </c>
      <c r="AA67" s="34">
        <f t="shared" si="11"/>
        <v>-193.89</v>
      </c>
      <c r="AB67" s="41">
        <f t="shared" si="12"/>
        <v>0</v>
      </c>
      <c r="AC67" s="42" t="b">
        <v>1</v>
      </c>
      <c r="AD67" s="42" t="s">
        <v>138</v>
      </c>
      <c r="AE67" s="42" t="s">
        <v>138</v>
      </c>
      <c r="AF67" s="42" t="str">
        <f t="array" ref="AF67">INDEX('Deal Info'!D:D, MATCH(A67,'Deal Info'!A:A, 0))</f>
        <v>DoEV</v>
      </c>
      <c r="AG67" s="43" t="str">
        <f t="array" ref="AG67">INDEX('Deal Info'!G:G, MATCH(A67,'Deal Info'!A:A, 0))</f>
        <v>None</v>
      </c>
    </row>
    <row r="68" hidden="1">
      <c r="A68" s="23" t="str">
        <f t="array" ref="A68">if(G68='Room Info'!$B$1, INDEX('Room Info'!$A$2:$A3446, MATCH(B68,'Room Info'!$B$2:$B3446, 0)),if(G68='Room Info'!$C$1, INDEX('Room Info'!$A$2:$A3446, MATCH(B68,'Room Info'!$C$2:$C3446, 0)),if(G68='Room Info'!$D$1, INDEX('Room Info'!$A$2:$A3446, MATCH(B68,'Room Info'!$D$2:$D3446, 0)),if(G68='Room Info'!$E$1, INDEX('Room Info'!$A$2:$A3446, MATCH(B68,'Room Info'!$E$2:$E3446, 0)),if(G68='Room Info'!$F$1, INDEX('Room Info'!$A$2:$A3446, MATCH(B68,'Room Info'!$F$2:$F3446, 0)),if(G68='Room Info'!$H$1, INDEX('Room Info'!$A$2:$A3446, MATCH(B68,'Room Info'!$H$2:$H3446, 0)),if(G68='Room Info'!$G$1, INDEX('Room Info'!$A$2:$A3446, MATCH(B68,'Room Info'!$G$2:$G3446, 0)))))))))</f>
        <v>prodoman</v>
      </c>
      <c r="B68" s="23" t="s">
        <v>147</v>
      </c>
      <c r="C68" s="46">
        <v>44682.0</v>
      </c>
      <c r="D68" s="46">
        <v>44712.0</v>
      </c>
      <c r="E68" s="26">
        <v>44682.0</v>
      </c>
      <c r="F68" s="45" t="s">
        <v>12</v>
      </c>
      <c r="G68" s="23" t="s">
        <v>13</v>
      </c>
      <c r="H68" s="28" t="s">
        <v>45</v>
      </c>
      <c r="I68" s="28" t="s">
        <v>18</v>
      </c>
      <c r="J68" s="44">
        <v>10.0</v>
      </c>
      <c r="K68" s="30">
        <v>2201.0</v>
      </c>
      <c r="L68" s="31">
        <v>-370.0</v>
      </c>
      <c r="M68" s="47">
        <v>1138.0</v>
      </c>
      <c r="N68" s="33">
        <f t="shared" si="1"/>
        <v>22010</v>
      </c>
      <c r="O68" s="23">
        <v>46501.0</v>
      </c>
      <c r="P68" s="34">
        <f t="shared" si="2"/>
        <v>21.1272149</v>
      </c>
      <c r="Q68" s="35"/>
      <c r="R68" s="36">
        <f t="shared" si="3"/>
        <v>1138</v>
      </c>
      <c r="S68" s="68"/>
      <c r="T68" s="37">
        <f t="shared" si="4"/>
        <v>768</v>
      </c>
      <c r="U68" s="38">
        <v>1.0</v>
      </c>
      <c r="V68" s="39">
        <v>18.24397638423488</v>
      </c>
      <c r="W68" s="69">
        <v>61.26</v>
      </c>
      <c r="X68" s="35">
        <f t="shared" si="5"/>
        <v>0.23</v>
      </c>
      <c r="Y68" s="35">
        <f t="shared" si="6"/>
        <v>0</v>
      </c>
      <c r="Z68" s="40">
        <f t="shared" si="10"/>
        <v>591.36</v>
      </c>
      <c r="AA68" s="34">
        <f t="shared" si="11"/>
        <v>176.64</v>
      </c>
      <c r="AB68" s="41">
        <f t="shared" si="12"/>
        <v>0</v>
      </c>
      <c r="AC68" s="42" t="b">
        <v>1</v>
      </c>
      <c r="AD68" s="42" t="s">
        <v>138</v>
      </c>
      <c r="AE68" s="42" t="s">
        <v>138</v>
      </c>
      <c r="AF68" s="42" t="str">
        <f t="array" ref="AF68">INDEX('Deal Info'!D:D, MATCH(A68,'Deal Info'!A:A, 0))</f>
        <v>DoEV</v>
      </c>
      <c r="AG68" s="43" t="str">
        <f t="array" ref="AG68">INDEX('Deal Info'!G:G, MATCH(A68,'Deal Info'!A:A, 0))</f>
        <v>None</v>
      </c>
    </row>
    <row r="69" hidden="1">
      <c r="A69" s="23" t="str">
        <f t="array" ref="A69">if(G69='Room Info'!$B$1, INDEX('Room Info'!$A$2:$A3446, MATCH(B69,'Room Info'!$B$2:$B3446, 0)),if(G69='Room Info'!$C$1, INDEX('Room Info'!$A$2:$A3446, MATCH(B69,'Room Info'!$C$2:$C3446, 0)),if(G69='Room Info'!$D$1, INDEX('Room Info'!$A$2:$A3446, MATCH(B69,'Room Info'!$D$2:$D3446, 0)),if(G69='Room Info'!$E$1, INDEX('Room Info'!$A$2:$A3446, MATCH(B69,'Room Info'!$E$2:$E3446, 0)),if(G69='Room Info'!$F$1, INDEX('Room Info'!$A$2:$A3446, MATCH(B69,'Room Info'!$F$2:$F3446, 0)),if(G69='Room Info'!$H$1, INDEX('Room Info'!$A$2:$A3446, MATCH(B69,'Room Info'!$H$2:$H3446, 0)),if(G69='Room Info'!$G$1, INDEX('Room Info'!$A$2:$A3446, MATCH(B69,'Room Info'!$G$2:$G3446, 0)))))))))</f>
        <v>prodoman</v>
      </c>
      <c r="B69" s="23" t="s">
        <v>147</v>
      </c>
      <c r="C69" s="46">
        <v>44713.0</v>
      </c>
      <c r="D69" s="46">
        <v>44742.0</v>
      </c>
      <c r="E69" s="26">
        <v>44713.0</v>
      </c>
      <c r="F69" s="45" t="s">
        <v>12</v>
      </c>
      <c r="G69" s="23" t="s">
        <v>13</v>
      </c>
      <c r="H69" s="28" t="s">
        <v>59</v>
      </c>
      <c r="I69" s="28" t="s">
        <v>18</v>
      </c>
      <c r="J69" s="44">
        <v>20.0</v>
      </c>
      <c r="K69" s="30">
        <v>6427.0</v>
      </c>
      <c r="L69" s="31">
        <v>-4580.0</v>
      </c>
      <c r="M69" s="47">
        <v>6890.0</v>
      </c>
      <c r="N69" s="33">
        <f t="shared" si="1"/>
        <v>128540</v>
      </c>
      <c r="O69" s="23">
        <v>55430.0</v>
      </c>
      <c r="P69" s="34">
        <f t="shared" si="2"/>
        <v>8.624552668</v>
      </c>
      <c r="Q69" s="35"/>
      <c r="R69" s="36">
        <f t="shared" si="3"/>
        <v>6890</v>
      </c>
      <c r="S69" s="68"/>
      <c r="T69" s="37">
        <f t="shared" si="4"/>
        <v>2310</v>
      </c>
      <c r="U69" s="38">
        <v>1.0</v>
      </c>
      <c r="V69" s="39">
        <v>18.24397638423488</v>
      </c>
      <c r="W69" s="69">
        <v>61.26</v>
      </c>
      <c r="X69" s="35">
        <f t="shared" si="5"/>
        <v>0.23</v>
      </c>
      <c r="Y69" s="35">
        <f t="shared" si="6"/>
        <v>0</v>
      </c>
      <c r="Z69" s="40">
        <f t="shared" si="10"/>
        <v>1778.7</v>
      </c>
      <c r="AA69" s="34">
        <f t="shared" si="11"/>
        <v>531.3</v>
      </c>
      <c r="AB69" s="41">
        <f t="shared" si="12"/>
        <v>0</v>
      </c>
      <c r="AC69" s="42" t="b">
        <v>1</v>
      </c>
      <c r="AD69" s="42" t="s">
        <v>138</v>
      </c>
      <c r="AE69" s="42" t="s">
        <v>138</v>
      </c>
      <c r="AF69" s="42" t="str">
        <f t="array" ref="AF69">INDEX('Deal Info'!D:D, MATCH(A69,'Deal Info'!A:A, 0))</f>
        <v>DoEV</v>
      </c>
      <c r="AG69" s="43" t="str">
        <f t="array" ref="AG69">INDEX('Deal Info'!G:G, MATCH(A69,'Deal Info'!A:A, 0))</f>
        <v>None</v>
      </c>
    </row>
    <row r="70" hidden="1">
      <c r="A70" s="23" t="str">
        <f t="array" ref="A70">if(G70='Room Info'!$B$1, INDEX('Room Info'!$A$2:$A3446, MATCH(B70,'Room Info'!$B$2:$B3446, 0)),if(G70='Room Info'!$C$1, INDEX('Room Info'!$A$2:$A3446, MATCH(B70,'Room Info'!$C$2:$C3446, 0)),if(G70='Room Info'!$D$1, INDEX('Room Info'!$A$2:$A3446, MATCH(B70,'Room Info'!$D$2:$D3446, 0)),if(G70='Room Info'!$E$1, INDEX('Room Info'!$A$2:$A3446, MATCH(B70,'Room Info'!$E$2:$E3446, 0)),if(G70='Room Info'!$F$1, INDEX('Room Info'!$A$2:$A3446, MATCH(B70,'Room Info'!$F$2:$F3446, 0)),if(G70='Room Info'!$H$1, INDEX('Room Info'!$A$2:$A3446, MATCH(B70,'Room Info'!$H$2:$H3446, 0)),if(G70='Room Info'!$G$1, INDEX('Room Info'!$A$2:$A3446, MATCH(B70,'Room Info'!$G$2:$G3446, 0)))))))))</f>
        <v>prodoman</v>
      </c>
      <c r="B70" s="23" t="s">
        <v>147</v>
      </c>
      <c r="C70" s="46">
        <v>44743.0</v>
      </c>
      <c r="D70" s="46">
        <v>44773.0</v>
      </c>
      <c r="E70" s="26">
        <v>44743.0</v>
      </c>
      <c r="F70" s="45" t="s">
        <v>12</v>
      </c>
      <c r="G70" s="23" t="s">
        <v>13</v>
      </c>
      <c r="H70" s="28" t="s">
        <v>59</v>
      </c>
      <c r="I70" s="28" t="s">
        <v>18</v>
      </c>
      <c r="J70" s="44">
        <v>20.0</v>
      </c>
      <c r="K70" s="30">
        <v>7523.0</v>
      </c>
      <c r="L70" s="31">
        <v>-220.0</v>
      </c>
      <c r="M70" s="47">
        <v>6700.0</v>
      </c>
      <c r="N70" s="33">
        <f t="shared" si="1"/>
        <v>150460</v>
      </c>
      <c r="O70" s="23">
        <v>119819.0</v>
      </c>
      <c r="P70" s="34">
        <f t="shared" si="2"/>
        <v>15.92702379</v>
      </c>
      <c r="Q70" s="35"/>
      <c r="R70" s="36">
        <f t="shared" si="3"/>
        <v>6700</v>
      </c>
      <c r="S70" s="68"/>
      <c r="T70" s="37">
        <f t="shared" si="4"/>
        <v>6480</v>
      </c>
      <c r="U70" s="38">
        <v>1.0</v>
      </c>
      <c r="V70" s="39">
        <v>20.0</v>
      </c>
      <c r="W70" s="39">
        <v>324.0</v>
      </c>
      <c r="X70" s="35">
        <f t="shared" si="5"/>
        <v>0.17</v>
      </c>
      <c r="Y70" s="35">
        <f t="shared" si="6"/>
        <v>0</v>
      </c>
      <c r="Z70" s="40">
        <f t="shared" si="10"/>
        <v>5378.4</v>
      </c>
      <c r="AA70" s="34">
        <f t="shared" si="11"/>
        <v>1101.6</v>
      </c>
      <c r="AB70" s="41">
        <f t="shared" si="12"/>
        <v>0</v>
      </c>
      <c r="AC70" s="42" t="b">
        <v>1</v>
      </c>
      <c r="AD70" s="42" t="s">
        <v>138</v>
      </c>
      <c r="AE70" s="42" t="s">
        <v>138</v>
      </c>
      <c r="AF70" s="42" t="str">
        <f t="array" ref="AF70">INDEX('Deal Info'!D:D, MATCH(A70,'Deal Info'!A:A, 0))</f>
        <v>DoEV</v>
      </c>
      <c r="AG70" s="43" t="str">
        <f t="array" ref="AG70">INDEX('Deal Info'!G:G, MATCH(A70,'Deal Info'!A:A, 0))</f>
        <v>None</v>
      </c>
    </row>
    <row r="71" hidden="1">
      <c r="A71" s="23" t="str">
        <f t="array" ref="A71">if(G71='Room Info'!$B$1, INDEX('Room Info'!$A$2:$A3446, MATCH(B71,'Room Info'!$B$2:$B3446, 0)),if(G71='Room Info'!$C$1, INDEX('Room Info'!$A$2:$A3446, MATCH(B71,'Room Info'!$C$2:$C3446, 0)),if(G71='Room Info'!$D$1, INDEX('Room Info'!$A$2:$A3446, MATCH(B71,'Room Info'!$D$2:$D3446, 0)),if(G71='Room Info'!$E$1, INDEX('Room Info'!$A$2:$A3446, MATCH(B71,'Room Info'!$E$2:$E3446, 0)),if(G71='Room Info'!$F$1, INDEX('Room Info'!$A$2:$A3446, MATCH(B71,'Room Info'!$F$2:$F3446, 0)),if(G71='Room Info'!$H$1, INDEX('Room Info'!$A$2:$A3446, MATCH(B71,'Room Info'!$H$2:$H3446, 0)),if(G71='Room Info'!$G$1, INDEX('Room Info'!$A$2:$A3446, MATCH(B71,'Room Info'!$G$2:$G3446, 0)))))))))</f>
        <v>prodoman</v>
      </c>
      <c r="B71" s="23" t="s">
        <v>147</v>
      </c>
      <c r="C71" s="46">
        <v>44774.0</v>
      </c>
      <c r="D71" s="46">
        <v>44804.0</v>
      </c>
      <c r="E71" s="26">
        <v>44774.0</v>
      </c>
      <c r="F71" s="45" t="s">
        <v>12</v>
      </c>
      <c r="G71" s="23" t="s">
        <v>13</v>
      </c>
      <c r="H71" s="28" t="s">
        <v>74</v>
      </c>
      <c r="I71" s="28" t="s">
        <v>18</v>
      </c>
      <c r="J71" s="44">
        <v>50.0</v>
      </c>
      <c r="K71" s="30">
        <v>6140.0</v>
      </c>
      <c r="L71" s="31">
        <v>-8250.0</v>
      </c>
      <c r="M71" s="47">
        <v>14957.0</v>
      </c>
      <c r="N71" s="33">
        <f t="shared" si="1"/>
        <v>307000</v>
      </c>
      <c r="O71" s="23">
        <v>40077.0</v>
      </c>
      <c r="P71" s="34">
        <f t="shared" si="2"/>
        <v>6.527198697</v>
      </c>
      <c r="Q71" s="35"/>
      <c r="R71" s="36">
        <f t="shared" si="3"/>
        <v>14957</v>
      </c>
      <c r="S71" s="68"/>
      <c r="T71" s="37">
        <f t="shared" si="4"/>
        <v>6707</v>
      </c>
      <c r="U71" s="38">
        <v>1.0</v>
      </c>
      <c r="V71" s="39">
        <v>50.0</v>
      </c>
      <c r="W71" s="39">
        <v>134.14</v>
      </c>
      <c r="X71" s="35">
        <f t="shared" si="5"/>
        <v>0.12</v>
      </c>
      <c r="Y71" s="35">
        <f t="shared" si="6"/>
        <v>0</v>
      </c>
      <c r="Z71" s="40">
        <f t="shared" si="10"/>
        <v>5902.16</v>
      </c>
      <c r="AA71" s="34">
        <f t="shared" si="11"/>
        <v>804.84</v>
      </c>
      <c r="AB71" s="41">
        <f t="shared" si="12"/>
        <v>0</v>
      </c>
      <c r="AC71" s="42" t="b">
        <v>1</v>
      </c>
      <c r="AD71" s="42" t="s">
        <v>138</v>
      </c>
      <c r="AE71" s="42" t="s">
        <v>138</v>
      </c>
      <c r="AF71" s="42" t="str">
        <f t="array" ref="AF71">INDEX('Deal Info'!D:D, MATCH(A71,'Deal Info'!A:A, 0))</f>
        <v>DoEV</v>
      </c>
      <c r="AG71" s="43" t="str">
        <f t="array" ref="AG71">INDEX('Deal Info'!G:G, MATCH(A71,'Deal Info'!A:A, 0))</f>
        <v>None</v>
      </c>
    </row>
    <row r="72" hidden="1">
      <c r="A72" s="23" t="str">
        <f t="array" ref="A72">if(G72='Room Info'!$B$1, INDEX('Room Info'!$A$2:$A3446, MATCH(B72,'Room Info'!$B$2:$B3446, 0)),if(G72='Room Info'!$C$1, INDEX('Room Info'!$A$2:$A3446, MATCH(B72,'Room Info'!$C$2:$C3446, 0)),if(G72='Room Info'!$D$1, INDEX('Room Info'!$A$2:$A3446, MATCH(B72,'Room Info'!$D$2:$D3446, 0)),if(G72='Room Info'!$E$1, INDEX('Room Info'!$A$2:$A3446, MATCH(B72,'Room Info'!$E$2:$E3446, 0)),if(G72='Room Info'!$F$1, INDEX('Room Info'!$A$2:$A3446, MATCH(B72,'Room Info'!$F$2:$F3446, 0)),if(G72='Room Info'!$H$1, INDEX('Room Info'!$A$2:$A3446, MATCH(B72,'Room Info'!$H$2:$H3446, 0)),if(G72='Room Info'!$G$1, INDEX('Room Info'!$A$2:$A3446, MATCH(B72,'Room Info'!$G$2:$G3446, 0)))))))))</f>
        <v>prodoman</v>
      </c>
      <c r="B72" s="23" t="s">
        <v>147</v>
      </c>
      <c r="C72" s="46">
        <v>44805.0</v>
      </c>
      <c r="D72" s="46">
        <v>44834.0</v>
      </c>
      <c r="E72" s="26">
        <v>44805.0</v>
      </c>
      <c r="F72" s="45" t="s">
        <v>12</v>
      </c>
      <c r="G72" s="23" t="s">
        <v>13</v>
      </c>
      <c r="H72" s="28" t="s">
        <v>59</v>
      </c>
      <c r="I72" s="28" t="s">
        <v>18</v>
      </c>
      <c r="J72" s="44">
        <v>20.0</v>
      </c>
      <c r="K72" s="30">
        <v>7000.0</v>
      </c>
      <c r="L72" s="31">
        <v>-10295.0</v>
      </c>
      <c r="M72" s="47"/>
      <c r="N72" s="33">
        <f t="shared" si="1"/>
        <v>140000</v>
      </c>
      <c r="O72" s="23"/>
      <c r="P72" s="34">
        <f t="shared" si="2"/>
        <v>0</v>
      </c>
      <c r="Q72" s="35"/>
      <c r="R72" s="36">
        <f t="shared" si="3"/>
        <v>0</v>
      </c>
      <c r="S72" s="68"/>
      <c r="T72" s="37">
        <f t="shared" si="4"/>
        <v>-10295</v>
      </c>
      <c r="U72" s="38">
        <v>1.0</v>
      </c>
      <c r="V72" s="39">
        <v>20.0</v>
      </c>
      <c r="W72" s="69">
        <v>12.82</v>
      </c>
      <c r="X72" s="35">
        <v>0.3</v>
      </c>
      <c r="Y72" s="35">
        <f t="shared" si="6"/>
        <v>0</v>
      </c>
      <c r="Z72" s="40">
        <f t="shared" si="10"/>
        <v>-7206.5</v>
      </c>
      <c r="AA72" s="34">
        <f t="shared" si="11"/>
        <v>-3088.5</v>
      </c>
      <c r="AB72" s="41">
        <f t="shared" si="12"/>
        <v>0</v>
      </c>
      <c r="AC72" s="42" t="b">
        <v>0</v>
      </c>
      <c r="AD72" s="42" t="s">
        <v>138</v>
      </c>
      <c r="AE72" s="42" t="s">
        <v>138</v>
      </c>
      <c r="AF72" s="42" t="str">
        <f t="array" ref="AF72">INDEX('Deal Info'!D:D, MATCH(A72,'Deal Info'!A:A, 0))</f>
        <v>DoEV</v>
      </c>
      <c r="AG72" s="43" t="str">
        <f t="array" ref="AG72">INDEX('Deal Info'!G:G, MATCH(A72,'Deal Info'!A:A, 0))</f>
        <v>None</v>
      </c>
    </row>
    <row r="73" hidden="1">
      <c r="A73" s="23" t="str">
        <f t="array" ref="A73">if(G73='Room Info'!$B$1, INDEX('Room Info'!$A$2:$A3446, MATCH(B73,'Room Info'!$B$2:$B3446, 0)),if(G73='Room Info'!$C$1, INDEX('Room Info'!$A$2:$A3446, MATCH(B73,'Room Info'!$C$2:$C3446, 0)),if(G73='Room Info'!$D$1, INDEX('Room Info'!$A$2:$A3446, MATCH(B73,'Room Info'!$D$2:$D3446, 0)),if(G73='Room Info'!$E$1, INDEX('Room Info'!$A$2:$A3446, MATCH(B73,'Room Info'!$E$2:$E3446, 0)),if(G73='Room Info'!$F$1, INDEX('Room Info'!$A$2:$A3446, MATCH(B73,'Room Info'!$F$2:$F3446, 0)),if(G73='Room Info'!$H$1, INDEX('Room Info'!$A$2:$A3446, MATCH(B73,'Room Info'!$H$2:$H3446, 0)),if(G73='Room Info'!$G$1, INDEX('Room Info'!$A$2:$A3446, MATCH(B73,'Room Info'!$G$2:$G3446, 0)))))))))</f>
        <v>prodoman</v>
      </c>
      <c r="B73" s="23" t="s">
        <v>147</v>
      </c>
      <c r="C73" s="46">
        <v>44835.0</v>
      </c>
      <c r="D73" s="46">
        <v>44865.0</v>
      </c>
      <c r="E73" s="26">
        <v>44835.0</v>
      </c>
      <c r="F73" s="45" t="s">
        <v>12</v>
      </c>
      <c r="G73" s="23" t="s">
        <v>13</v>
      </c>
      <c r="H73" s="28" t="s">
        <v>59</v>
      </c>
      <c r="I73" s="28" t="s">
        <v>18</v>
      </c>
      <c r="J73" s="44">
        <v>20.0</v>
      </c>
      <c r="K73" s="30">
        <v>7714.0</v>
      </c>
      <c r="L73" s="31">
        <v>-4500.0</v>
      </c>
      <c r="M73" s="47">
        <v>8099.0</v>
      </c>
      <c r="N73" s="33">
        <f t="shared" si="1"/>
        <v>154280</v>
      </c>
      <c r="O73" s="23">
        <v>108010.0</v>
      </c>
      <c r="P73" s="34">
        <f t="shared" si="2"/>
        <v>14.00181488</v>
      </c>
      <c r="Q73" s="35"/>
      <c r="R73" s="36">
        <f t="shared" si="3"/>
        <v>8099</v>
      </c>
      <c r="S73" s="68"/>
      <c r="T73" s="37">
        <f t="shared" si="4"/>
        <v>3599</v>
      </c>
      <c r="U73" s="38">
        <v>1.0</v>
      </c>
      <c r="V73" s="39">
        <v>20.0</v>
      </c>
      <c r="W73" s="69">
        <v>12.82</v>
      </c>
      <c r="X73" s="35">
        <v>0.3</v>
      </c>
      <c r="Y73" s="35">
        <f t="shared" si="6"/>
        <v>0</v>
      </c>
      <c r="Z73" s="40">
        <f t="shared" si="10"/>
        <v>2519.3</v>
      </c>
      <c r="AA73" s="34">
        <f t="shared" si="11"/>
        <v>1079.7</v>
      </c>
      <c r="AB73" s="41">
        <f t="shared" si="12"/>
        <v>0</v>
      </c>
      <c r="AC73" s="42" t="b">
        <v>0</v>
      </c>
      <c r="AD73" s="42" t="s">
        <v>138</v>
      </c>
      <c r="AE73" s="42" t="s">
        <v>138</v>
      </c>
      <c r="AF73" s="42" t="str">
        <f t="array" ref="AF73">INDEX('Deal Info'!D:D, MATCH(A73,'Deal Info'!A:A, 0))</f>
        <v>DoEV</v>
      </c>
      <c r="AG73" s="43" t="str">
        <f t="array" ref="AG73">INDEX('Deal Info'!G:G, MATCH(A73,'Deal Info'!A:A, 0))</f>
        <v>None</v>
      </c>
    </row>
    <row r="74" hidden="1">
      <c r="A74" s="23" t="str">
        <f t="array" ref="A74">if(G74='Room Info'!$B$1, INDEX('Room Info'!$A$2:$A3446, MATCH(B74,'Room Info'!$B$2:$B3446, 0)),if(G74='Room Info'!$C$1, INDEX('Room Info'!$A$2:$A3446, MATCH(B74,'Room Info'!$C$2:$C3446, 0)),if(G74='Room Info'!$D$1, INDEX('Room Info'!$A$2:$A3446, MATCH(B74,'Room Info'!$D$2:$D3446, 0)),if(G74='Room Info'!$E$1, INDEX('Room Info'!$A$2:$A3446, MATCH(B74,'Room Info'!$E$2:$E3446, 0)),if(G74='Room Info'!$F$1, INDEX('Room Info'!$A$2:$A3446, MATCH(B74,'Room Info'!$F$2:$F3446, 0)),if(G74='Room Info'!$H$1, INDEX('Room Info'!$A$2:$A3446, MATCH(B74,'Room Info'!$H$2:$H3446, 0)),if(G74='Room Info'!$G$1, INDEX('Room Info'!$A$2:$A3446, MATCH(B74,'Room Info'!$G$2:$G3446, 0)))))))))</f>
        <v>prodoman</v>
      </c>
      <c r="B74" s="23" t="s">
        <v>147</v>
      </c>
      <c r="C74" s="46">
        <v>44866.0</v>
      </c>
      <c r="D74" s="46">
        <v>44895.0</v>
      </c>
      <c r="E74" s="26">
        <v>44866.0</v>
      </c>
      <c r="F74" s="45" t="s">
        <v>12</v>
      </c>
      <c r="G74" s="23" t="s">
        <v>13</v>
      </c>
      <c r="H74" s="28" t="s">
        <v>59</v>
      </c>
      <c r="I74" s="28" t="s">
        <v>18</v>
      </c>
      <c r="J74" s="44">
        <v>20.0</v>
      </c>
      <c r="K74" s="30">
        <v>6917.0</v>
      </c>
      <c r="L74" s="31">
        <v>500.0</v>
      </c>
      <c r="M74" s="47">
        <v>6965.0</v>
      </c>
      <c r="N74" s="33">
        <f t="shared" si="1"/>
        <v>138340</v>
      </c>
      <c r="O74" s="23">
        <v>142685.0</v>
      </c>
      <c r="P74" s="34">
        <f t="shared" si="2"/>
        <v>20.6281625</v>
      </c>
      <c r="Q74" s="35"/>
      <c r="R74" s="36">
        <f t="shared" si="3"/>
        <v>6965</v>
      </c>
      <c r="S74" s="68"/>
      <c r="T74" s="37">
        <f t="shared" si="4"/>
        <v>7465</v>
      </c>
      <c r="U74" s="38">
        <v>1.0</v>
      </c>
      <c r="V74" s="39">
        <v>20.0</v>
      </c>
      <c r="W74" s="69">
        <v>12.82</v>
      </c>
      <c r="X74" s="35">
        <v>0.3</v>
      </c>
      <c r="Y74" s="35">
        <f t="shared" si="6"/>
        <v>0</v>
      </c>
      <c r="Z74" s="40">
        <f t="shared" si="10"/>
        <v>5225.5</v>
      </c>
      <c r="AA74" s="34">
        <f t="shared" si="11"/>
        <v>2239.5</v>
      </c>
      <c r="AB74" s="41">
        <f t="shared" si="12"/>
        <v>0</v>
      </c>
      <c r="AC74" s="42" t="b">
        <v>0</v>
      </c>
      <c r="AD74" s="42" t="s">
        <v>138</v>
      </c>
      <c r="AE74" s="42" t="s">
        <v>138</v>
      </c>
      <c r="AF74" s="42" t="str">
        <f t="array" ref="AF74">INDEX('Deal Info'!D:D, MATCH(A74,'Deal Info'!A:A, 0))</f>
        <v>DoEV</v>
      </c>
      <c r="AG74" s="43" t="str">
        <f t="array" ref="AG74">INDEX('Deal Info'!G:G, MATCH(A74,'Deal Info'!A:A, 0))</f>
        <v>None</v>
      </c>
    </row>
    <row r="75" hidden="1">
      <c r="A75" s="23" t="str">
        <f t="array" ref="A75">if(G75='Room Info'!$B$1, INDEX('Room Info'!$A$2:$A3446, MATCH(B75,'Room Info'!$B$2:$B3446, 0)),if(G75='Room Info'!$C$1, INDEX('Room Info'!$A$2:$A3446, MATCH(B75,'Room Info'!$C$2:$C3446, 0)),if(G75='Room Info'!$D$1, INDEX('Room Info'!$A$2:$A3446, MATCH(B75,'Room Info'!$D$2:$D3446, 0)),if(G75='Room Info'!$E$1, INDEX('Room Info'!$A$2:$A3446, MATCH(B75,'Room Info'!$E$2:$E3446, 0)),if(G75='Room Info'!$F$1, INDEX('Room Info'!$A$2:$A3446, MATCH(B75,'Room Info'!$F$2:$F3446, 0)),if(G75='Room Info'!$H$1, INDEX('Room Info'!$A$2:$A3446, MATCH(B75,'Room Info'!$H$2:$H3446, 0)),if(G75='Room Info'!$G$1, INDEX('Room Info'!$A$2:$A3446, MATCH(B75,'Room Info'!$G$2:$G3446, 0)))))))))</f>
        <v>prodoman</v>
      </c>
      <c r="B75" s="23" t="s">
        <v>147</v>
      </c>
      <c r="C75" s="46">
        <v>44896.0</v>
      </c>
      <c r="D75" s="46">
        <v>44926.0</v>
      </c>
      <c r="E75" s="26">
        <v>44896.0</v>
      </c>
      <c r="F75" s="45" t="s">
        <v>12</v>
      </c>
      <c r="G75" s="23" t="s">
        <v>13</v>
      </c>
      <c r="H75" s="28" t="s">
        <v>59</v>
      </c>
      <c r="I75" s="28" t="s">
        <v>18</v>
      </c>
      <c r="J75" s="44">
        <v>20.0</v>
      </c>
      <c r="K75" s="30">
        <v>4098.0</v>
      </c>
      <c r="L75" s="31">
        <v>-1220.0</v>
      </c>
      <c r="M75" s="47">
        <v>3734.0</v>
      </c>
      <c r="N75" s="33">
        <f t="shared" si="1"/>
        <v>81960</v>
      </c>
      <c r="O75" s="23">
        <v>68536.0</v>
      </c>
      <c r="P75" s="34">
        <f t="shared" si="2"/>
        <v>16.72425573</v>
      </c>
      <c r="Q75" s="35"/>
      <c r="R75" s="36">
        <f t="shared" si="3"/>
        <v>3734</v>
      </c>
      <c r="S75" s="68"/>
      <c r="T75" s="37">
        <f t="shared" si="4"/>
        <v>2514</v>
      </c>
      <c r="U75" s="38">
        <v>1.0</v>
      </c>
      <c r="V75" s="39">
        <v>30.912901723334887</v>
      </c>
      <c r="W75" s="39">
        <v>100.31410275726985</v>
      </c>
      <c r="X75" s="35">
        <v>0.17</v>
      </c>
      <c r="Y75" s="35">
        <f t="shared" si="6"/>
        <v>0</v>
      </c>
      <c r="Z75" s="40">
        <f t="shared" si="10"/>
        <v>2086.62</v>
      </c>
      <c r="AA75" s="34">
        <f t="shared" si="11"/>
        <v>427.38</v>
      </c>
      <c r="AB75" s="41">
        <f t="shared" si="12"/>
        <v>0</v>
      </c>
      <c r="AC75" s="42" t="b">
        <v>0</v>
      </c>
      <c r="AD75" s="42" t="s">
        <v>138</v>
      </c>
      <c r="AE75" s="42" t="s">
        <v>138</v>
      </c>
      <c r="AF75" s="42" t="str">
        <f t="array" ref="AF75">INDEX('Deal Info'!D:D, MATCH(A75,'Deal Info'!A:A, 0))</f>
        <v>DoEV</v>
      </c>
      <c r="AG75" s="43" t="str">
        <f t="array" ref="AG75">INDEX('Deal Info'!G:G, MATCH(A75,'Deal Info'!A:A, 0))</f>
        <v>None</v>
      </c>
    </row>
    <row r="76" hidden="1">
      <c r="A76" s="23" t="str">
        <f t="array" ref="A76">if(G76='Room Info'!$B$1, INDEX('Room Info'!$A$2:$A3446, MATCH(B76,'Room Info'!$B$2:$B3446, 0)),if(G76='Room Info'!$C$1, INDEX('Room Info'!$A$2:$A3446, MATCH(B76,'Room Info'!$C$2:$C3446, 0)),if(G76='Room Info'!$D$1, INDEX('Room Info'!$A$2:$A3446, MATCH(B76,'Room Info'!$D$2:$D3446, 0)),if(G76='Room Info'!$E$1, INDEX('Room Info'!$A$2:$A3446, MATCH(B76,'Room Info'!$E$2:$E3446, 0)),if(G76='Room Info'!$F$1, INDEX('Room Info'!$A$2:$A3446, MATCH(B76,'Room Info'!$F$2:$F3446, 0)),if(G76='Room Info'!$H$1, INDEX('Room Info'!$A$2:$A3446, MATCH(B76,'Room Info'!$H$2:$H3446, 0)),if(G76='Room Info'!$G$1, INDEX('Room Info'!$A$2:$A3446, MATCH(B76,'Room Info'!$G$2:$G3446, 0)))))))))</f>
        <v>prodoman</v>
      </c>
      <c r="B76" s="23" t="s">
        <v>147</v>
      </c>
      <c r="C76" s="46">
        <v>44896.0</v>
      </c>
      <c r="D76" s="46">
        <v>44926.0</v>
      </c>
      <c r="E76" s="26">
        <v>44896.0</v>
      </c>
      <c r="F76" s="45" t="s">
        <v>12</v>
      </c>
      <c r="G76" s="23" t="s">
        <v>13</v>
      </c>
      <c r="H76" s="28" t="s">
        <v>74</v>
      </c>
      <c r="I76" s="28" t="s">
        <v>18</v>
      </c>
      <c r="J76" s="44">
        <v>50.0</v>
      </c>
      <c r="K76" s="30">
        <v>2343.0</v>
      </c>
      <c r="L76" s="31">
        <v>-4750.0</v>
      </c>
      <c r="M76" s="47">
        <v>5337.0</v>
      </c>
      <c r="N76" s="33">
        <f t="shared" si="1"/>
        <v>117150</v>
      </c>
      <c r="O76" s="23">
        <v>30175.0</v>
      </c>
      <c r="P76" s="34">
        <f t="shared" si="2"/>
        <v>12.87878788</v>
      </c>
      <c r="Q76" s="35"/>
      <c r="R76" s="36">
        <f t="shared" si="3"/>
        <v>5337</v>
      </c>
      <c r="S76" s="68"/>
      <c r="T76" s="37">
        <f t="shared" si="4"/>
        <v>587</v>
      </c>
      <c r="U76" s="38">
        <v>1.0</v>
      </c>
      <c r="V76" s="39">
        <v>30.912901723334887</v>
      </c>
      <c r="W76" s="39">
        <v>100.31410275726985</v>
      </c>
      <c r="X76" s="35">
        <v>0.17</v>
      </c>
      <c r="Y76" s="35">
        <f t="shared" si="6"/>
        <v>0</v>
      </c>
      <c r="Z76" s="40">
        <f t="shared" si="10"/>
        <v>487.21</v>
      </c>
      <c r="AA76" s="34">
        <f t="shared" si="11"/>
        <v>99.79</v>
      </c>
      <c r="AB76" s="41">
        <f t="shared" si="12"/>
        <v>0</v>
      </c>
      <c r="AC76" s="42" t="b">
        <v>0</v>
      </c>
      <c r="AD76" s="42" t="s">
        <v>138</v>
      </c>
      <c r="AE76" s="42" t="s">
        <v>138</v>
      </c>
      <c r="AF76" s="42" t="str">
        <f t="array" ref="AF76">INDEX('Deal Info'!D:D, MATCH(A76,'Deal Info'!A:A, 0))</f>
        <v>DoEV</v>
      </c>
      <c r="AG76" s="43" t="str">
        <f t="array" ref="AG76">INDEX('Deal Info'!G:G, MATCH(A76,'Deal Info'!A:A, 0))</f>
        <v>None</v>
      </c>
    </row>
    <row r="77" hidden="1">
      <c r="A77" s="23" t="str">
        <f t="array" ref="A77">if(G77='Room Info'!$B$1, INDEX('Room Info'!$A$2:$A3446, MATCH(B77,'Room Info'!$B$2:$B3446, 0)),if(G77='Room Info'!$C$1, INDEX('Room Info'!$A$2:$A3446, MATCH(B77,'Room Info'!$C$2:$C3446, 0)),if(G77='Room Info'!$D$1, INDEX('Room Info'!$A$2:$A3446, MATCH(B77,'Room Info'!$D$2:$D3446, 0)),if(G77='Room Info'!$E$1, INDEX('Room Info'!$A$2:$A3446, MATCH(B77,'Room Info'!$E$2:$E3446, 0)),if(G77='Room Info'!$F$1, INDEX('Room Info'!$A$2:$A3446, MATCH(B77,'Room Info'!$F$2:$F3446, 0)),if(G77='Room Info'!$H$1, INDEX('Room Info'!$A$2:$A3446, MATCH(B77,'Room Info'!$H$2:$H3446, 0)),if(G77='Room Info'!$G$1, INDEX('Room Info'!$A$2:$A3446, MATCH(B77,'Room Info'!$G$2:$G3446, 0)))))))))</f>
        <v>prodoman</v>
      </c>
      <c r="B77" s="23" t="s">
        <v>147</v>
      </c>
      <c r="C77" s="46">
        <v>44896.0</v>
      </c>
      <c r="D77" s="46">
        <v>44926.0</v>
      </c>
      <c r="E77" s="26">
        <v>44896.0</v>
      </c>
      <c r="F77" s="45" t="s">
        <v>12</v>
      </c>
      <c r="G77" s="23" t="s">
        <v>13</v>
      </c>
      <c r="H77" s="28"/>
      <c r="I77" s="28"/>
      <c r="J77" s="44"/>
      <c r="K77" s="30"/>
      <c r="L77" s="31"/>
      <c r="M77" s="47"/>
      <c r="N77" s="33"/>
      <c r="O77" s="23"/>
      <c r="P77" s="34"/>
      <c r="Q77" s="35"/>
      <c r="R77" s="36"/>
      <c r="S77" s="68"/>
      <c r="T77" s="37"/>
      <c r="U77" s="38"/>
      <c r="V77" s="39"/>
      <c r="W77" s="39"/>
      <c r="X77" s="35"/>
      <c r="Y77" s="35"/>
      <c r="Z77" s="40"/>
      <c r="AA77" s="65">
        <v>-4000.0</v>
      </c>
      <c r="AB77" s="41">
        <f t="shared" si="12"/>
        <v>0</v>
      </c>
      <c r="AC77" s="42" t="b">
        <v>0</v>
      </c>
      <c r="AD77" s="42" t="s">
        <v>138</v>
      </c>
      <c r="AE77" s="42" t="s">
        <v>138</v>
      </c>
      <c r="AF77" s="42" t="str">
        <f t="array" ref="AF77">INDEX('Deal Info'!D:D, MATCH(A77,'Deal Info'!A:A, 0))</f>
        <v>DoEV</v>
      </c>
      <c r="AG77" s="43" t="str">
        <f t="array" ref="AG77">INDEX('Deal Info'!G:G, MATCH(A77,'Deal Info'!A:A, 0))</f>
        <v>None</v>
      </c>
    </row>
    <row r="78" hidden="1">
      <c r="A78" s="23" t="str">
        <f t="array" ref="A78">if(G78='Room Info'!$B$1, INDEX('Room Info'!$A$2:$A3446, MATCH(B78,'Room Info'!$B$2:$B3446, 0)),if(G78='Room Info'!$C$1, INDEX('Room Info'!$A$2:$A3446, MATCH(B78,'Room Info'!$C$2:$C3446, 0)),if(G78='Room Info'!$D$1, INDEX('Room Info'!$A$2:$A3446, MATCH(B78,'Room Info'!$D$2:$D3446, 0)),if(G78='Room Info'!$E$1, INDEX('Room Info'!$A$2:$A3446, MATCH(B78,'Room Info'!$E$2:$E3446, 0)),if(G78='Room Info'!$F$1, INDEX('Room Info'!$A$2:$A3446, MATCH(B78,'Room Info'!$F$2:$F3446, 0)),if(G78='Room Info'!$H$1, INDEX('Room Info'!$A$2:$A3446, MATCH(B78,'Room Info'!$H$2:$H3446, 0)),if(G78='Room Info'!$G$1, INDEX('Room Info'!$A$2:$A3446, MATCH(B78,'Room Info'!$G$2:$G3446, 0)))))))))</f>
        <v>prodoman</v>
      </c>
      <c r="B78" s="23" t="s">
        <v>147</v>
      </c>
      <c r="C78" s="46">
        <v>44927.0</v>
      </c>
      <c r="D78" s="46">
        <v>44957.0</v>
      </c>
      <c r="E78" s="26">
        <v>44927.0</v>
      </c>
      <c r="F78" s="45" t="s">
        <v>12</v>
      </c>
      <c r="G78" s="23" t="s">
        <v>13</v>
      </c>
      <c r="H78" s="28" t="s">
        <v>59</v>
      </c>
      <c r="I78" s="28" t="s">
        <v>18</v>
      </c>
      <c r="J78" s="44">
        <v>20.0</v>
      </c>
      <c r="K78" s="30">
        <v>3075.0</v>
      </c>
      <c r="L78" s="31">
        <v>-120.0</v>
      </c>
      <c r="M78" s="47">
        <v>3115.0</v>
      </c>
      <c r="N78" s="33">
        <f t="shared" ref="N78:N944" si="13">K78*J78</f>
        <v>61500</v>
      </c>
      <c r="O78" s="23">
        <v>39802.0</v>
      </c>
      <c r="P78" s="34">
        <f t="shared" ref="P78:P1552" si="14">iferror(O78/K78)</f>
        <v>12.94373984</v>
      </c>
      <c r="Q78" s="35"/>
      <c r="R78" s="36">
        <f t="shared" ref="R78:R224" si="15">M78+Q78</f>
        <v>3115</v>
      </c>
      <c r="S78" s="68"/>
      <c r="T78" s="37">
        <f t="shared" ref="T78:T224" si="16">R78+S78+if(F78="Without EV deal",L78,0)</f>
        <v>2995</v>
      </c>
      <c r="U78" s="38">
        <v>1.0</v>
      </c>
      <c r="V78" s="39">
        <v>27.384162784996324</v>
      </c>
      <c r="W78" s="39">
        <v>96.33305282005371</v>
      </c>
      <c r="X78" s="35">
        <v>0.23</v>
      </c>
      <c r="Y78" s="35">
        <f t="shared" ref="Y78:Y205" si="17">if(AG78="None",0,if(AG78="Fix5",0.05,if(AG78="Fix3.75",0.0375,if(AG78="Fix10",0.1,if(AG78="Fix3",0.03,0)))))</f>
        <v>0</v>
      </c>
      <c r="Z78" s="40">
        <f t="shared" ref="Z78:Z184" si="18">T78-AA78-AB78</f>
        <v>2306.15</v>
      </c>
      <c r="AA78" s="34">
        <f t="shared" ref="AA78:AA184" si="19">if(AD78="EUR",((T78-R78)*X78)*U78+(R78*X78),(T78*X78))</f>
        <v>688.85</v>
      </c>
      <c r="AB78" s="41">
        <f t="shared" si="12"/>
        <v>0</v>
      </c>
      <c r="AC78" s="42" t="b">
        <v>0</v>
      </c>
      <c r="AD78" s="42" t="s">
        <v>138</v>
      </c>
      <c r="AE78" s="42" t="s">
        <v>138</v>
      </c>
      <c r="AF78" s="42" t="str">
        <f t="array" ref="AF78">INDEX('Deal Info'!D:D, MATCH(A78,'Deal Info'!A:A, 0))</f>
        <v>DoEV</v>
      </c>
      <c r="AG78" s="43" t="str">
        <f t="array" ref="AG78">INDEX('Deal Info'!G:G, MATCH(A78,'Deal Info'!A:A, 0))</f>
        <v>None</v>
      </c>
    </row>
    <row r="79" hidden="1">
      <c r="A79" s="23" t="str">
        <f t="array" ref="A79">if(G79='Room Info'!$B$1, INDEX('Room Info'!$A$2:$A3446, MATCH(B79,'Room Info'!$B$2:$B3446, 0)),if(G79='Room Info'!$C$1, INDEX('Room Info'!$A$2:$A3446, MATCH(B79,'Room Info'!$C$2:$C3446, 0)),if(G79='Room Info'!$D$1, INDEX('Room Info'!$A$2:$A3446, MATCH(B79,'Room Info'!$D$2:$D3446, 0)),if(G79='Room Info'!$E$1, INDEX('Room Info'!$A$2:$A3446, MATCH(B79,'Room Info'!$E$2:$E3446, 0)),if(G79='Room Info'!$F$1, INDEX('Room Info'!$A$2:$A3446, MATCH(B79,'Room Info'!$F$2:$F3446, 0)),if(G79='Room Info'!$H$1, INDEX('Room Info'!$A$2:$A3446, MATCH(B79,'Room Info'!$H$2:$H3446, 0)),if(G79='Room Info'!$G$1, INDEX('Room Info'!$A$2:$A3446, MATCH(B79,'Room Info'!$G$2:$G3446, 0)))))))))</f>
        <v>prodoman</v>
      </c>
      <c r="B79" s="23" t="s">
        <v>147</v>
      </c>
      <c r="C79" s="46">
        <v>44927.0</v>
      </c>
      <c r="D79" s="46">
        <v>44957.0</v>
      </c>
      <c r="E79" s="26">
        <v>44927.0</v>
      </c>
      <c r="F79" s="45" t="s">
        <v>12</v>
      </c>
      <c r="G79" s="23" t="s">
        <v>13</v>
      </c>
      <c r="H79" s="28" t="s">
        <v>74</v>
      </c>
      <c r="I79" s="28" t="s">
        <v>18</v>
      </c>
      <c r="J79" s="44">
        <v>50.0</v>
      </c>
      <c r="K79" s="30">
        <v>1004.0</v>
      </c>
      <c r="L79" s="31">
        <v>-2900.0</v>
      </c>
      <c r="M79" s="47">
        <v>2543.0</v>
      </c>
      <c r="N79" s="33">
        <f t="shared" si="13"/>
        <v>50200</v>
      </c>
      <c r="O79" s="23">
        <v>13604.0</v>
      </c>
      <c r="P79" s="34">
        <f t="shared" si="14"/>
        <v>13.5498008</v>
      </c>
      <c r="Q79" s="35"/>
      <c r="R79" s="36">
        <f t="shared" si="15"/>
        <v>2543</v>
      </c>
      <c r="S79" s="68"/>
      <c r="T79" s="37">
        <f t="shared" si="16"/>
        <v>-357</v>
      </c>
      <c r="U79" s="38">
        <v>1.0</v>
      </c>
      <c r="V79" s="39">
        <v>27.384162784996324</v>
      </c>
      <c r="W79" s="39">
        <v>96.33305282005371</v>
      </c>
      <c r="X79" s="35">
        <v>0.23</v>
      </c>
      <c r="Y79" s="35">
        <f t="shared" si="17"/>
        <v>0</v>
      </c>
      <c r="Z79" s="40">
        <f t="shared" si="18"/>
        <v>-274.89</v>
      </c>
      <c r="AA79" s="34">
        <f t="shared" si="19"/>
        <v>-82.11</v>
      </c>
      <c r="AB79" s="41">
        <f t="shared" si="12"/>
        <v>0</v>
      </c>
      <c r="AC79" s="42" t="b">
        <v>0</v>
      </c>
      <c r="AD79" s="42" t="s">
        <v>138</v>
      </c>
      <c r="AE79" s="42" t="s">
        <v>138</v>
      </c>
      <c r="AF79" s="42" t="str">
        <f t="array" ref="AF79">INDEX('Deal Info'!D:D, MATCH(A79,'Deal Info'!A:A, 0))</f>
        <v>DoEV</v>
      </c>
      <c r="AG79" s="43" t="str">
        <f t="array" ref="AG79">INDEX('Deal Info'!G:G, MATCH(A79,'Deal Info'!A:A, 0))</f>
        <v>None</v>
      </c>
    </row>
    <row r="80" hidden="1">
      <c r="A80" s="23" t="str">
        <f t="array" ref="A80">if(G80='Room Info'!$B$1, INDEX('Room Info'!$A$2:$A3446, MATCH(B80,'Room Info'!$B$2:$B3446, 0)),if(G80='Room Info'!$C$1, INDEX('Room Info'!$A$2:$A3446, MATCH(B80,'Room Info'!$C$2:$C3446, 0)),if(G80='Room Info'!$D$1, INDEX('Room Info'!$A$2:$A3446, MATCH(B80,'Room Info'!$D$2:$D3446, 0)),if(G80='Room Info'!$E$1, INDEX('Room Info'!$A$2:$A3446, MATCH(B80,'Room Info'!$E$2:$E3446, 0)),if(G80='Room Info'!$F$1, INDEX('Room Info'!$A$2:$A3446, MATCH(B80,'Room Info'!$F$2:$F3446, 0)),if(G80='Room Info'!$H$1, INDEX('Room Info'!$A$2:$A3446, MATCH(B80,'Room Info'!$H$2:$H3446, 0)),if(G80='Room Info'!$G$1, INDEX('Room Info'!$A$2:$A3446, MATCH(B80,'Room Info'!$G$2:$G3446, 0)))))))))</f>
        <v>AlexanderDSL</v>
      </c>
      <c r="B80" s="59" t="s">
        <v>148</v>
      </c>
      <c r="C80" s="51">
        <v>44217.0</v>
      </c>
      <c r="D80" s="51">
        <v>44247.0</v>
      </c>
      <c r="E80" s="52">
        <v>44228.0</v>
      </c>
      <c r="F80" s="50" t="s">
        <v>4</v>
      </c>
      <c r="G80" s="59" t="s">
        <v>5</v>
      </c>
      <c r="H80" s="54" t="s">
        <v>46</v>
      </c>
      <c r="I80" s="54" t="s">
        <v>7</v>
      </c>
      <c r="J80" s="55">
        <v>10.0</v>
      </c>
      <c r="K80" s="56">
        <v>15.0</v>
      </c>
      <c r="L80" s="57">
        <v>-30.0</v>
      </c>
      <c r="M80" s="58">
        <v>8.0</v>
      </c>
      <c r="N80" s="33">
        <f t="shared" si="13"/>
        <v>150</v>
      </c>
      <c r="O80" s="59">
        <v>2156.0</v>
      </c>
      <c r="P80" s="34">
        <f t="shared" si="14"/>
        <v>143.7333333</v>
      </c>
      <c r="Q80" s="60"/>
      <c r="R80" s="36">
        <f t="shared" si="15"/>
        <v>8</v>
      </c>
      <c r="S80" s="61">
        <v>26.0</v>
      </c>
      <c r="T80" s="37">
        <f t="shared" si="16"/>
        <v>34</v>
      </c>
      <c r="U80" s="38">
        <v>1.0</v>
      </c>
      <c r="V80" s="63"/>
      <c r="W80" s="63"/>
      <c r="X80" s="35">
        <f t="shared" ref="X80:X205" si="20">IF(AF80="DoEV",IF(AND(V80&lt;20,W80&lt;55),0.3,0)+IF(AND(V80&lt;20,W80&gt;=55,W80&lt;105),0.23,0)+IF(AND(V80&lt;20,W80&gt;=105),0.17,0)+IF(AND(V80&gt;=20,V80&lt;40,W80&lt;45),0.3,0)+IF(AND(V80&gt;=20,V80&lt;40,W80&gt;=45,W80&lt;95),0.23,0)+IF(AND(V80&gt;=20,V80&lt;40,W80&gt;=95),0.17,0)+IF(AND(V80&gt;=40,V80&lt;75,W80&lt;35),0.3,0)+IF(AND(V80&gt;=40,V80&lt;75,W80&gt;=35,W80&lt;75),0.23,0)+IF(AND(V80&gt;=40,V80&lt;75,W80&gt;=75,W80&lt;120),0.17,0)+IF(AND(V80&gt;=40,V80&lt;75,W80&gt;=120),0.12,0)+IF(AND(V80&gt;=75,V80&lt;175,W80&lt;35),0.3,0)+IF(AND(V80&gt;=75,V80&lt;=175,W80&gt;=35,W80&lt;65),0.23,0)+IF(AND(V80&gt;=75,V80&lt;=175,W80&gt;=65,W80&lt;110),0.17,0)+IF(AND(V80&gt;=75,V80&lt;=175,W80&gt;=110),0.12,0)+IF(AND(V80&gt;175,W80&lt;25),0.3,0)+IF(AND(V80&gt;175,W80&gt;=25,W80&lt;55),0.23,0)+IF(AND(V80&gt;175,W80&gt;=55,W80&lt;95),0.17,0)+IF(AND(V80&gt;175,W80&gt;=95),0.12,0),
IF(AF80="Fix15",0.15,
IF(AF80="Fix11.25",0.1125,
IF(AF80="Fix10",0.1,
IF(AF80="Fix9",0.09,
IF(AF80="DoEV2017",IF(AND(W80&lt;74),0.2,0)+IF(AND(W80&gt;=74),0.17,0),
IF(AF80="SF",IF(AND(V80&lt;20,W80&lt;89),0.3,0)+IF(AND(V80&lt;20,W80&gt;=89),0.25,0)+IF(AND(V80&gt;=20,V80&lt;40,W80&lt;74),0.3,0)+IF(AND(V80&gt;=20,V80&lt;40,W80&gt;=75),0.22,0)+IF(AND(V80&gt;=40,V80&lt;75,W80&lt;75),0.26,0)+IF(AND(V80&gt;=40,V80&lt;75,W80&gt;=75),0.22,0)+IF(V80&gt;=75,0.22,0),
IF(AF80="DoEVold",IF(AND(V80&lt;40,W80&lt;35),0.35,0)+IF(AND(V80&lt;40,W80&gt;=35,W80&lt;75),0.25,0)+IF(AND(V80&lt;40,W80&gt;=75),0.17,0)+IF(AND(V80&gt;=40,V80&lt;75,W80&lt;25),0.35,0)+IF(AND(V80&gt;=40,V80&lt;75,W80&gt;=25,W80&lt;65),0.25,0)+IF(AND(V80&gt;=40,V80&lt;75,W80&gt;=65,W80&lt;100),0.17,0)+IF(AND(V80&gt;=40,V80&lt;75,W80&gt;=100),0.1,0)+IF(AND(V80&gt;=75,W80&lt;25),0.35,0)+IF(AND(V80&gt;=75,W80&gt;=25,W80&lt;60),0.25,0)+IF(AND(V80&gt;=75,W80&gt;=60,W80&lt;95),0.17,0)+IF(AND(V80&gt;=75,W80&gt;=95),0.1,0),
IF(AF80="DoEVold15",IF(AND(V80&lt;=40,W80&lt;35),0.35,0)+IF(AND(V80&lt;=40,W80&gt;=35,W80&lt;75),0.25,0)+IF(AND(V80&lt;=40,W80&gt;=75,W80&lt;120),0.17,0)+IF(AND(V80&lt;=40,W80&gt;=120),0.15,0)+IF(AND(V80&gt;40,V80&lt;75,W80&lt;25),0.35,0)+IF(AND(V80&gt;=40,V80&lt;75,W80&gt;=25,W80&lt;65),0.25,0)+IF(AND(V80&gt;=40,V80&lt;75,W80&gt;=65,W80&lt;100),0.17,0)+IF(AND(V80&gt;=40,V80&lt;75,W80&gt;=100),0.1,0)+IF(AND(V80&gt;=75,W80&lt;25),0.35,0)+IF(AND(V80&gt;=75,W80&gt;=25,W80&lt;60),0.25,0)+IF(AND(V80&gt;=75,W80&gt;=60,W80&lt;95),0.17,0)+IF(AND(V80&gt;=75,W80&gt;=95),0.1,0),
IF(AF80="DoEVba",IF(AND(V80&lt;20,W80&lt;105),0.2,0)+IF(AND(V80&lt;20,W80&gt;=105),0.15,0)+IF(AND(V80&gt;=20,V80&lt;40,W80&lt;95),0.2,0)+IF(AND(V80&gt;=20,V80&lt;40,W80&gt;=95,W80&lt;150),0.15,0)+IF(AND(V80&gt;=20,V80&lt;40,W80&gt;=150),0.12,0)+IF(AND(V80&gt;=40,V80&lt;75,W80&lt;75),0.2,0)+IF(AND(V80&gt;=40,V80&lt;75,W80&gt;=75,W80&lt;120),0.15,0)+IF(AND(V80&gt;=40,V80&lt;75,W80&gt;=120),0.12,0)+IF(AND(V80&gt;=75,V80&lt;175,W80&lt;65),0.2,0)+IF(AND(V80&gt;=75,V80&lt;175,W80&gt;=65,W80&lt;110),0.15,0)+IF(AND(V80&gt;=75,V80&lt;175,W80&gt;=110),0.12,0)+IF(AND(V80&gt;=175,W80&lt;55),0.2,0)+IF(AND(V80&gt;=175,W80&gt;=55,W80&lt;95),0.15,0)+IF(AND(V80&gt;=175,W80&gt;=95),0.12,0),
IF(AF80="DoEVku",IF(AND(V80&lt;20,W80&lt;55),0.23,0)+IF(AND(V80&lt;20,W80&gt;=55,W80&lt;105),0.2,0)+IF(AND(V80&lt;20,W80&gt;=105),0.17,0)+IF(AND(V80&gt;=20,V80&lt;40,W80&lt;45),0.23,0)+IF(AND(V80&gt;=20,V80&lt;40,W80&gt;=45,W80&lt;95),0.2,0)+IF(AND(V80&gt;=20,V80&lt;40,W80&gt;=95,W80&lt;=150),0.17,0)+IF(AND(V80&gt;=20,V80&lt;40,W80&gt;=150),0.12,0)+IF(AND(V80&gt;=40,V80&lt;75,W80&lt;35),0.23,0)+IF(AND(V80&gt;=40,V80&lt;75,W80&gt;=35,W80&lt;75),0.2,0)+IF(AND(V80&gt;=40,V80&lt;75,W80&gt;=75,W80&lt;120),0.17,0)+IF(AND(V80&gt;=40,V80&lt;75,W80&gt;=120),0.12,0)+IF(AND(V80&gt;=75,V80&lt;175,W80&lt;35),0.23,0)+IF(AND(V80&gt;=75,V80&lt;=175,W80&gt;=35,W80&lt;65),0.2,0)+IF(AND(V80&gt;=75,V80&lt;=175,W80&gt;=65,W80&lt;110),0.17,0)+IF(AND(V80&gt;=75,V80&lt;=175,W80&gt;=110),0.12,0)+IF(AND(V80&gt;175,W80&lt;25),0.23,0)+IF(AND(V80&gt;175,W80&gt;=25,W80&lt;55),0.2,0)+IF(AND(V80&gt;175,W80&gt;=55,W80&lt;95),0.17,0)+IF(AND(V80&gt;175,W80&gt;=95),0.12,0),
IF(AF80="DoEVs1",IF(AND(V80&lt;20,W80&lt;55),0.3,0)+IF(AND(V80&lt;20,W80&gt;=55,W80&lt;105),0.23,0)+IF(AND(V80&lt;20,W80&gt;=105),0.17,0)+IF(AND(V80&gt;=20,V80&lt;40,W80&lt;45),0.3,0)+IF(AND(V80&gt;=20,V80&lt;40,W80&gt;=45,W80&lt;95),0.23,0)+IF(AND(V80&gt;=20,V80&lt;40,W80&gt;=95,W80&lt;=150),0.17,0)+IF(AND(V80&gt;=20,V80&lt;40,W80&gt;=150),0.12,0)+IF(AND(V80&gt;=40,V80&lt;75,W80&lt;35),0.3,0)+IF(AND(V80&gt;=40,V80&lt;75,W80&gt;=35,W80&lt;75),0.23,0)+IF(AND(V80&gt;=40,V80&lt;75,W80&gt;=75,W80&lt;120),0.17,0)+IF(AND(V80&gt;=40,V80&lt;75,W80&gt;=120),0.12,0)+IF(AND(V80&gt;=75,V80&lt;175,W80&lt;35),0.3,0)+IF(AND(V80&gt;=75,V80&lt;=175,W80&gt;=35,W80&lt;65),0.23,0)+IF(AND(V80&gt;=75,V80&lt;=175,W80&gt;=65,W80&lt;110),0.17,0)+IF(AND(V80&gt;=75,V80&lt;=175,W80&gt;=110),0.12,0)+IF(AND(V80&gt;175,W80&lt;25),0.3,0)+IF(AND(V80&gt;175,W80&gt;=25,W80&lt;55),0.23,0)+IF(AND(V80&gt;175,W80&gt;=55,W80&lt;95),0.17,0)+IF(AND(V80&gt;175,W80&gt;=95),0.12,0),
IF(AF80="DoEVsu",IF(AND(V80&lt;20,W80&lt;55),0.3,0)+IF(AND(V80&lt;20,W80&gt;=55,W80&lt;105),0.23,0)+IF(AND(V80&lt;20,W80&gt;=105),0.17,0)+IF(AND(V80&gt;=20,V80&lt;40,W80&lt;45),0.3,0)+IF(AND(V80&gt;=20,V80&lt;40,W80&gt;=45,W80&lt;95),0.23,0)+IF(AND(V80&gt;=20,V80&lt;40,W80&gt;=95,W80&lt;=250),0.17,0)+IF(AND(V80&gt;=20,V80&lt;40,W80&gt;=250),0.12,0)+IF(AND(V80&gt;=40,V80&lt;75,W80&lt;35),0.3,0)+IF(AND(V80&gt;=40,V80&lt;75,W80&gt;=35,W80&lt;75),0.23,0)+IF(AND(V80&gt;=40,V80&lt;75,W80&gt;=75,W80&lt;120),0.17,0)+IF(AND(V80&gt;=40,V80&lt;75,W80&gt;=120),0.12,0)+IF(AND(V80&gt;=75,V80&lt;175,W80&lt;35),0.3,0)+IF(AND(V80&gt;=75,V80&lt;=175,W80&gt;=35,W80&lt;65),0.23,0)+IF(AND(V80&gt;=75,V80&lt;=175,W80&gt;=65,W80&lt;110),0.17,0)+IF(AND(V80&gt;=75,V80&lt;=175,W80&gt;=110),0.12,0)+IF(AND(V80&gt;175,W80&lt;25),0.3,0)+IF(AND(V80&gt;175,W80&gt;=25,W80&lt;55),0.23,0)+IF(AND(V80&gt;175,W80&gt;=55,W80&lt;95),0.17,0)+IF(AND(V80&gt;175,W80&gt;=95),0.12,0),
IF(AF80="DoEVni",IF(AND(V80&lt;20,W80&lt;55),0.3,0)+IF(AND(V80&lt;20,W80&gt;=55,W80&lt;105),0.23,0)+IF(AND(V80&lt;20,W80&gt;=105),0.17,0)+IF(AND(V80&gt;=20,V80&lt;40,W80&lt;45),0.3,0)+IF(AND(V80&gt;=20,V80&lt;40,W80&gt;=45,W80&lt;95),0.23,0)+IF(AND(V80&gt;=20,V80&lt;40,W80&gt;=95,W80&lt;=200),0.17,0)+IF(AND(V80&gt;=20,V80&lt;40,W80&gt;=200),0.12,0)+IF(AND(V80&gt;=40,V80&lt;75,W80&lt;35),0.3,0)+IF(AND(V80&gt;=40,V80&lt;75,W80&gt;=35,W80&lt;75),0.23,0)+IF(AND(V80&gt;=40,V80&lt;75,W80&gt;=75,W80&lt;120),0.17,0)+IF(AND(V80&gt;=40,V80&lt;75,W80&gt;=120),0.12,0)+IF(AND(V80&gt;=75,V80&lt;175,W80&lt;35),0.3,0)+IF(AND(V80&gt;=75,V80&lt;=175,W80&gt;=35,W80&lt;65),0.23,0)+IF(AND(V80&gt;=75,V80&lt;=175,W80&gt;=65,W80&lt;110),0.17,0)+IF(AND(V80&gt;=75,V80&lt;=175,W80&gt;=110),0.12,0)+IF(AND(V80&gt;175,W80&lt;25),0.3,0)+IF(AND(V80&gt;175,W80&gt;=25,W80&lt;55),0.23,0)+IF(AND(V80&gt;175,W80&gt;=55,W80&lt;95),0.17,0)+IF(AND(V80&gt;175,W80&gt;=95),0.12,0),
IF(AF80="DoEVLo",IF(AND(V80&lt;20,W80&lt;55),0.25,0)+IF(AND(V80&lt;20,W80&gt;=55,W80&lt;105),0.2,0)+IF(AND(V80&lt;20,W80&gt;=105),0.15,0)+IF(AND(V80&gt;=20,V80&lt;40,W80&lt;45),0.25,0)+IF(AND(V80&gt;=20,V80&lt;40,W80&gt;=45,W80&lt;95),0.2,0)+IF(AND(V80&gt;=20,V80&lt;40,W80&gt;=95),0.15,0)+IF(AND(V80&gt;=40,V80&lt;75,W80&lt;35),0.25,0)+IF(AND(V80&gt;=40,V80&lt;75,W80&gt;=35,W80&lt;75),0.2,0)+IF(AND(V80&gt;=40,V80&lt;75,W80&gt;=75,W80&lt;120),0.15,0)+IF(AND(V80&gt;=40,V80&lt;75,W80&gt;=120),0.1,0)+IF(AND(V80&gt;=75,V80&lt;175,W80&lt;35),0.25,0)+IF(AND(V80&gt;=75,V80&lt;=175,W80&gt;=35,W80&lt;65),0.2,0)+IF(AND(V80&gt;=75,V80&lt;=175,W80&gt;=65,W80&lt;110),0.15,0)+IF(AND(V80&gt;=75,V80&lt;=175,W80&gt;=110),0.1,0)+IF(AND(V80&gt;175,W80&lt;25),0.25,0)+IF(AND(V80&gt;175,W80&gt;=25,W80&lt;55),0.2,0)+IF(AND(V80&gt;175,W80&gt;=55,W80&lt;95),0.15,0)+IF(AND(V80&gt;175,W80&gt;=95),0.1,0))))))))))))))))</f>
        <v>0.15</v>
      </c>
      <c r="Y80" s="35">
        <f t="shared" si="17"/>
        <v>0.05</v>
      </c>
      <c r="Z80" s="40">
        <f t="shared" si="18"/>
        <v>27.2</v>
      </c>
      <c r="AA80" s="34">
        <f t="shared" si="19"/>
        <v>5.1</v>
      </c>
      <c r="AB80" s="41">
        <f t="shared" si="12"/>
        <v>1.7</v>
      </c>
      <c r="AC80" s="42" t="b">
        <v>1</v>
      </c>
      <c r="AD80" s="42" t="s">
        <v>138</v>
      </c>
      <c r="AE80" s="42" t="s">
        <v>138</v>
      </c>
      <c r="AF80" s="42" t="str">
        <f t="array" ref="AF80">INDEX('Deal Info'!D:D, MATCH(A80,'Deal Info'!A:A, 0))</f>
        <v>Fix15</v>
      </c>
      <c r="AG80" s="43" t="str">
        <f t="array" ref="AG80">INDEX('Deal Info'!G:G, MATCH(A80,'Deal Info'!A:A, 0))</f>
        <v>Fix5</v>
      </c>
    </row>
    <row r="81" hidden="1">
      <c r="A81" s="23" t="str">
        <f t="array" ref="A81">if(G81='Room Info'!$B$1, INDEX('Room Info'!$A$2:$A3446, MATCH(B81,'Room Info'!$B$2:$B3446, 0)),if(G81='Room Info'!$C$1, INDEX('Room Info'!$A$2:$A3446, MATCH(B81,'Room Info'!$C$2:$C3446, 0)),if(G81='Room Info'!$D$1, INDEX('Room Info'!$A$2:$A3446, MATCH(B81,'Room Info'!$D$2:$D3446, 0)),if(G81='Room Info'!$E$1, INDEX('Room Info'!$A$2:$A3446, MATCH(B81,'Room Info'!$E$2:$E3446, 0)),if(G81='Room Info'!$F$1, INDEX('Room Info'!$A$2:$A3446, MATCH(B81,'Room Info'!$F$2:$F3446, 0)),if(G81='Room Info'!$H$1, INDEX('Room Info'!$A$2:$A3446, MATCH(B81,'Room Info'!$H$2:$H3446, 0)),if(G81='Room Info'!$G$1, INDEX('Room Info'!$A$2:$A3446, MATCH(B81,'Room Info'!$G$2:$G3446, 0)))))))))</f>
        <v>AlexanderDSL</v>
      </c>
      <c r="B81" s="59" t="s">
        <v>148</v>
      </c>
      <c r="C81" s="51">
        <v>44217.0</v>
      </c>
      <c r="D81" s="51">
        <v>44247.0</v>
      </c>
      <c r="E81" s="52">
        <v>44228.0</v>
      </c>
      <c r="F81" s="50" t="s">
        <v>4</v>
      </c>
      <c r="G81" s="59" t="s">
        <v>5</v>
      </c>
      <c r="H81" s="54" t="s">
        <v>62</v>
      </c>
      <c r="I81" s="54" t="s">
        <v>7</v>
      </c>
      <c r="J81" s="55">
        <v>25.0</v>
      </c>
      <c r="K81" s="56">
        <v>332.0</v>
      </c>
      <c r="L81" s="57">
        <v>200.0</v>
      </c>
      <c r="M81" s="58">
        <v>329.0</v>
      </c>
      <c r="N81" s="33">
        <f t="shared" si="13"/>
        <v>8300</v>
      </c>
      <c r="O81" s="59">
        <v>17620.0</v>
      </c>
      <c r="P81" s="34">
        <f t="shared" si="14"/>
        <v>53.07228916</v>
      </c>
      <c r="Q81" s="60"/>
      <c r="R81" s="36">
        <f t="shared" si="15"/>
        <v>329</v>
      </c>
      <c r="S81" s="61">
        <v>263.0</v>
      </c>
      <c r="T81" s="37">
        <f t="shared" si="16"/>
        <v>592</v>
      </c>
      <c r="U81" s="38">
        <v>1.0</v>
      </c>
      <c r="V81" s="63"/>
      <c r="W81" s="63"/>
      <c r="X81" s="35">
        <f t="shared" si="20"/>
        <v>0.15</v>
      </c>
      <c r="Y81" s="35">
        <f t="shared" si="17"/>
        <v>0.05</v>
      </c>
      <c r="Z81" s="40">
        <f t="shared" si="18"/>
        <v>473.6</v>
      </c>
      <c r="AA81" s="34">
        <f t="shared" si="19"/>
        <v>88.8</v>
      </c>
      <c r="AB81" s="41">
        <f t="shared" si="12"/>
        <v>29.6</v>
      </c>
      <c r="AC81" s="42" t="b">
        <v>1</v>
      </c>
      <c r="AD81" s="42" t="s">
        <v>138</v>
      </c>
      <c r="AE81" s="42" t="s">
        <v>138</v>
      </c>
      <c r="AF81" s="42" t="str">
        <f t="array" ref="AF81">INDEX('Deal Info'!D:D, MATCH(A81,'Deal Info'!A:A, 0))</f>
        <v>Fix15</v>
      </c>
      <c r="AG81" s="43" t="str">
        <f t="array" ref="AG81">INDEX('Deal Info'!G:G, MATCH(A81,'Deal Info'!A:A, 0))</f>
        <v>Fix5</v>
      </c>
    </row>
    <row r="82" hidden="1">
      <c r="A82" s="23" t="str">
        <f t="array" ref="A82">if(G82='Room Info'!$B$1, INDEX('Room Info'!$A$2:$A3446, MATCH(B82,'Room Info'!$B$2:$B3446, 0)),if(G82='Room Info'!$C$1, INDEX('Room Info'!$A$2:$A3446, MATCH(B82,'Room Info'!$C$2:$C3446, 0)),if(G82='Room Info'!$D$1, INDEX('Room Info'!$A$2:$A3446, MATCH(B82,'Room Info'!$D$2:$D3446, 0)),if(G82='Room Info'!$E$1, INDEX('Room Info'!$A$2:$A3446, MATCH(B82,'Room Info'!$E$2:$E3446, 0)),if(G82='Room Info'!$F$1, INDEX('Room Info'!$A$2:$A3446, MATCH(B82,'Room Info'!$F$2:$F3446, 0)),if(G82='Room Info'!$H$1, INDEX('Room Info'!$A$2:$A3446, MATCH(B82,'Room Info'!$H$2:$H3446, 0)),if(G82='Room Info'!$G$1, INDEX('Room Info'!$A$2:$A3446, MATCH(B82,'Room Info'!$G$2:$G3446, 0)))))))))</f>
        <v>AlexanderDSL</v>
      </c>
      <c r="B82" s="59" t="s">
        <v>148</v>
      </c>
      <c r="C82" s="51">
        <v>44217.0</v>
      </c>
      <c r="D82" s="51">
        <v>44247.0</v>
      </c>
      <c r="E82" s="52">
        <v>44228.0</v>
      </c>
      <c r="F82" s="50" t="s">
        <v>4</v>
      </c>
      <c r="G82" s="59" t="s">
        <v>5</v>
      </c>
      <c r="H82" s="54" t="s">
        <v>74</v>
      </c>
      <c r="I82" s="54" t="s">
        <v>7</v>
      </c>
      <c r="J82" s="55">
        <v>50.0</v>
      </c>
      <c r="K82" s="56">
        <v>3383.0</v>
      </c>
      <c r="L82" s="57">
        <v>-850.0</v>
      </c>
      <c r="M82" s="58">
        <v>6560.0</v>
      </c>
      <c r="N82" s="33">
        <f t="shared" si="13"/>
        <v>169150</v>
      </c>
      <c r="O82" s="59">
        <v>80626.0</v>
      </c>
      <c r="P82" s="34">
        <f t="shared" si="14"/>
        <v>23.83269288</v>
      </c>
      <c r="Q82" s="60"/>
      <c r="R82" s="36">
        <f t="shared" si="15"/>
        <v>6560</v>
      </c>
      <c r="S82" s="61">
        <v>-3805.0</v>
      </c>
      <c r="T82" s="37">
        <f t="shared" si="16"/>
        <v>2755</v>
      </c>
      <c r="U82" s="38">
        <v>1.0</v>
      </c>
      <c r="V82" s="63"/>
      <c r="W82" s="63"/>
      <c r="X82" s="35">
        <f t="shared" si="20"/>
        <v>0.15</v>
      </c>
      <c r="Y82" s="35">
        <f t="shared" si="17"/>
        <v>0.05</v>
      </c>
      <c r="Z82" s="40">
        <f t="shared" si="18"/>
        <v>2204</v>
      </c>
      <c r="AA82" s="34">
        <f t="shared" si="19"/>
        <v>413.25</v>
      </c>
      <c r="AB82" s="41">
        <f t="shared" si="12"/>
        <v>137.75</v>
      </c>
      <c r="AC82" s="42" t="b">
        <v>1</v>
      </c>
      <c r="AD82" s="42" t="s">
        <v>138</v>
      </c>
      <c r="AE82" s="42" t="s">
        <v>138</v>
      </c>
      <c r="AF82" s="42" t="str">
        <f t="array" ref="AF82">INDEX('Deal Info'!D:D, MATCH(A82,'Deal Info'!A:A, 0))</f>
        <v>Fix15</v>
      </c>
      <c r="AG82" s="43" t="str">
        <f t="array" ref="AG82">INDEX('Deal Info'!G:G, MATCH(A82,'Deal Info'!A:A, 0))</f>
        <v>Fix5</v>
      </c>
    </row>
    <row r="83" hidden="1">
      <c r="A83" s="23" t="str">
        <f t="array" ref="A83">if(G83='Room Info'!$B$1, INDEX('Room Info'!$A$2:$A3446, MATCH(B83,'Room Info'!$B$2:$B3446, 0)),if(G83='Room Info'!$C$1, INDEX('Room Info'!$A$2:$A3446, MATCH(B83,'Room Info'!$C$2:$C3446, 0)),if(G83='Room Info'!$D$1, INDEX('Room Info'!$A$2:$A3446, MATCH(B83,'Room Info'!$D$2:$D3446, 0)),if(G83='Room Info'!$E$1, INDEX('Room Info'!$A$2:$A3446, MATCH(B83,'Room Info'!$E$2:$E3446, 0)),if(G83='Room Info'!$F$1, INDEX('Room Info'!$A$2:$A3446, MATCH(B83,'Room Info'!$F$2:$F3446, 0)),if(G83='Room Info'!$H$1, INDEX('Room Info'!$A$2:$A3446, MATCH(B83,'Room Info'!$H$2:$H3446, 0)),if(G83='Room Info'!$G$1, INDEX('Room Info'!$A$2:$A3446, MATCH(B83,'Room Info'!$G$2:$G3446, 0)))))))))</f>
        <v>AlexanderDSL</v>
      </c>
      <c r="B83" s="59" t="s">
        <v>148</v>
      </c>
      <c r="C83" s="51">
        <v>44217.0</v>
      </c>
      <c r="D83" s="51">
        <v>44247.0</v>
      </c>
      <c r="E83" s="52">
        <v>44228.0</v>
      </c>
      <c r="F83" s="50" t="s">
        <v>12</v>
      </c>
      <c r="G83" s="59" t="s">
        <v>5</v>
      </c>
      <c r="H83" s="54" t="s">
        <v>86</v>
      </c>
      <c r="I83" s="54" t="s">
        <v>11</v>
      </c>
      <c r="J83" s="55">
        <v>100.0</v>
      </c>
      <c r="K83" s="56">
        <v>2.0</v>
      </c>
      <c r="L83" s="57">
        <v>100.0</v>
      </c>
      <c r="M83" s="58">
        <v>6.0</v>
      </c>
      <c r="N83" s="33">
        <f t="shared" si="13"/>
        <v>200</v>
      </c>
      <c r="O83" s="70"/>
      <c r="P83" s="34">
        <f t="shared" si="14"/>
        <v>0</v>
      </c>
      <c r="Q83" s="60"/>
      <c r="R83" s="36">
        <f t="shared" si="15"/>
        <v>6</v>
      </c>
      <c r="S83" s="71"/>
      <c r="T83" s="37">
        <f t="shared" si="16"/>
        <v>106</v>
      </c>
      <c r="U83" s="38">
        <v>1.0</v>
      </c>
      <c r="V83" s="63"/>
      <c r="W83" s="63"/>
      <c r="X83" s="35">
        <f t="shared" si="20"/>
        <v>0.15</v>
      </c>
      <c r="Y83" s="35">
        <f t="shared" si="17"/>
        <v>0.05</v>
      </c>
      <c r="Z83" s="40">
        <f t="shared" si="18"/>
        <v>84.8</v>
      </c>
      <c r="AA83" s="34">
        <f t="shared" si="19"/>
        <v>15.9</v>
      </c>
      <c r="AB83" s="41">
        <f t="shared" si="12"/>
        <v>5.3</v>
      </c>
      <c r="AC83" s="42" t="b">
        <v>1</v>
      </c>
      <c r="AD83" s="42" t="s">
        <v>138</v>
      </c>
      <c r="AE83" s="42" t="s">
        <v>138</v>
      </c>
      <c r="AF83" s="42" t="str">
        <f t="array" ref="AF83">INDEX('Deal Info'!D:D, MATCH(A83,'Deal Info'!A:A, 0))</f>
        <v>Fix15</v>
      </c>
      <c r="AG83" s="43" t="str">
        <f t="array" ref="AG83">INDEX('Deal Info'!G:G, MATCH(A83,'Deal Info'!A:A, 0))</f>
        <v>Fix5</v>
      </c>
    </row>
    <row r="84" hidden="1">
      <c r="A84" s="23" t="str">
        <f t="array" ref="A84">if(G84='Room Info'!$B$1, INDEX('Room Info'!$A$2:$A3446, MATCH(B84,'Room Info'!$B$2:$B3446, 0)),if(G84='Room Info'!$C$1, INDEX('Room Info'!$A$2:$A3446, MATCH(B84,'Room Info'!$C$2:$C3446, 0)),if(G84='Room Info'!$D$1, INDEX('Room Info'!$A$2:$A3446, MATCH(B84,'Room Info'!$D$2:$D3446, 0)),if(G84='Room Info'!$E$1, INDEX('Room Info'!$A$2:$A3446, MATCH(B84,'Room Info'!$E$2:$E3446, 0)),if(G84='Room Info'!$F$1, INDEX('Room Info'!$A$2:$A3446, MATCH(B84,'Room Info'!$F$2:$F3446, 0)),if(G84='Room Info'!$H$1, INDEX('Room Info'!$A$2:$A3446, MATCH(B84,'Room Info'!$H$2:$H3446, 0)),if(G84='Room Info'!$G$1, INDEX('Room Info'!$A$2:$A3446, MATCH(B84,'Room Info'!$G$2:$G3446, 0)))))))))</f>
        <v>AlexanderDSL</v>
      </c>
      <c r="B84" s="59" t="s">
        <v>148</v>
      </c>
      <c r="C84" s="72">
        <v>44217.0</v>
      </c>
      <c r="D84" s="72">
        <v>44247.0</v>
      </c>
      <c r="E84" s="52">
        <v>44228.0</v>
      </c>
      <c r="F84" s="50" t="s">
        <v>12</v>
      </c>
      <c r="G84" s="59" t="s">
        <v>5</v>
      </c>
      <c r="H84" s="54" t="s">
        <v>75</v>
      </c>
      <c r="I84" s="54" t="s">
        <v>11</v>
      </c>
      <c r="J84" s="55">
        <v>50.0</v>
      </c>
      <c r="K84" s="56">
        <v>2.0</v>
      </c>
      <c r="L84" s="57">
        <v>-300.0</v>
      </c>
      <c r="M84" s="58">
        <v>6.0</v>
      </c>
      <c r="N84" s="33">
        <f t="shared" si="13"/>
        <v>100</v>
      </c>
      <c r="O84" s="70"/>
      <c r="P84" s="34">
        <f t="shared" si="14"/>
        <v>0</v>
      </c>
      <c r="Q84" s="60"/>
      <c r="R84" s="36">
        <f t="shared" si="15"/>
        <v>6</v>
      </c>
      <c r="S84" s="71"/>
      <c r="T84" s="37">
        <f t="shared" si="16"/>
        <v>-294</v>
      </c>
      <c r="U84" s="38">
        <v>1.0</v>
      </c>
      <c r="V84" s="63"/>
      <c r="W84" s="63"/>
      <c r="X84" s="35">
        <f t="shared" si="20"/>
        <v>0.15</v>
      </c>
      <c r="Y84" s="35">
        <f t="shared" si="17"/>
        <v>0.05</v>
      </c>
      <c r="Z84" s="40">
        <f t="shared" si="18"/>
        <v>-235.2</v>
      </c>
      <c r="AA84" s="34">
        <f t="shared" si="19"/>
        <v>-44.1</v>
      </c>
      <c r="AB84" s="41">
        <f t="shared" si="12"/>
        <v>-14.7</v>
      </c>
      <c r="AC84" s="42" t="b">
        <v>1</v>
      </c>
      <c r="AD84" s="42" t="s">
        <v>138</v>
      </c>
      <c r="AE84" s="42" t="s">
        <v>138</v>
      </c>
      <c r="AF84" s="42" t="str">
        <f t="array" ref="AF84">INDEX('Deal Info'!D:D, MATCH(A84,'Deal Info'!A:A, 0))</f>
        <v>Fix15</v>
      </c>
      <c r="AG84" s="43" t="str">
        <f t="array" ref="AG84">INDEX('Deal Info'!G:G, MATCH(A84,'Deal Info'!A:A, 0))</f>
        <v>Fix5</v>
      </c>
    </row>
    <row r="85" hidden="1">
      <c r="A85" s="23" t="str">
        <f t="array" ref="A85">if(G85='Room Info'!$B$1, INDEX('Room Info'!$A$2:$A3446, MATCH(B85,'Room Info'!$B$2:$B3446, 0)),if(G85='Room Info'!$C$1, INDEX('Room Info'!$A$2:$A3446, MATCH(B85,'Room Info'!$C$2:$C3446, 0)),if(G85='Room Info'!$D$1, INDEX('Room Info'!$A$2:$A3446, MATCH(B85,'Room Info'!$D$2:$D3446, 0)),if(G85='Room Info'!$E$1, INDEX('Room Info'!$A$2:$A3446, MATCH(B85,'Room Info'!$E$2:$E3446, 0)),if(G85='Room Info'!$F$1, INDEX('Room Info'!$A$2:$A3446, MATCH(B85,'Room Info'!$F$2:$F3446, 0)),if(G85='Room Info'!$H$1, INDEX('Room Info'!$A$2:$A3446, MATCH(B85,'Room Info'!$H$2:$H3446, 0)),if(G85='Room Info'!$G$1, INDEX('Room Info'!$A$2:$A3446, MATCH(B85,'Room Info'!$G$2:$G3446, 0)))))))))</f>
        <v>AlexanderDSL</v>
      </c>
      <c r="B85" s="59" t="s">
        <v>148</v>
      </c>
      <c r="C85" s="72">
        <v>44248.0</v>
      </c>
      <c r="D85" s="72">
        <v>44275.0</v>
      </c>
      <c r="E85" s="52">
        <v>44256.0</v>
      </c>
      <c r="F85" s="50" t="s">
        <v>4</v>
      </c>
      <c r="G85" s="59" t="s">
        <v>5</v>
      </c>
      <c r="H85" s="54" t="s">
        <v>62</v>
      </c>
      <c r="I85" s="54" t="s">
        <v>7</v>
      </c>
      <c r="J85" s="55">
        <v>25.0</v>
      </c>
      <c r="K85" s="56">
        <v>1069.0</v>
      </c>
      <c r="L85" s="57">
        <v>-1450.0</v>
      </c>
      <c r="M85" s="58">
        <v>785.0</v>
      </c>
      <c r="N85" s="33">
        <f t="shared" si="13"/>
        <v>26725</v>
      </c>
      <c r="O85" s="59">
        <v>19568.0</v>
      </c>
      <c r="P85" s="34">
        <f t="shared" si="14"/>
        <v>18.3049579</v>
      </c>
      <c r="Q85" s="60"/>
      <c r="R85" s="36">
        <f t="shared" si="15"/>
        <v>785</v>
      </c>
      <c r="S85" s="61">
        <v>-907.0</v>
      </c>
      <c r="T85" s="37">
        <f t="shared" si="16"/>
        <v>-122</v>
      </c>
      <c r="U85" s="38">
        <v>1.0</v>
      </c>
      <c r="V85" s="63"/>
      <c r="W85" s="63"/>
      <c r="X85" s="35">
        <f t="shared" si="20"/>
        <v>0.15</v>
      </c>
      <c r="Y85" s="35">
        <f t="shared" si="17"/>
        <v>0.05</v>
      </c>
      <c r="Z85" s="40">
        <f t="shared" si="18"/>
        <v>-97.6</v>
      </c>
      <c r="AA85" s="34">
        <f t="shared" si="19"/>
        <v>-18.3</v>
      </c>
      <c r="AB85" s="41">
        <f t="shared" si="12"/>
        <v>-6.1</v>
      </c>
      <c r="AC85" s="42" t="b">
        <v>1</v>
      </c>
      <c r="AD85" s="42" t="s">
        <v>138</v>
      </c>
      <c r="AE85" s="42" t="s">
        <v>138</v>
      </c>
      <c r="AF85" s="42" t="str">
        <f t="array" ref="AF85">INDEX('Deal Info'!D:D, MATCH(A85,'Deal Info'!A:A, 0))</f>
        <v>Fix15</v>
      </c>
      <c r="AG85" s="43" t="str">
        <f t="array" ref="AG85">INDEX('Deal Info'!G:G, MATCH(A85,'Deal Info'!A:A, 0))</f>
        <v>Fix5</v>
      </c>
    </row>
    <row r="86" hidden="1">
      <c r="A86" s="23" t="str">
        <f t="array" ref="A86">if(G86='Room Info'!$B$1, INDEX('Room Info'!$A$2:$A3446, MATCH(B86,'Room Info'!$B$2:$B3446, 0)),if(G86='Room Info'!$C$1, INDEX('Room Info'!$A$2:$A3446, MATCH(B86,'Room Info'!$C$2:$C3446, 0)),if(G86='Room Info'!$D$1, INDEX('Room Info'!$A$2:$A3446, MATCH(B86,'Room Info'!$D$2:$D3446, 0)),if(G86='Room Info'!$E$1, INDEX('Room Info'!$A$2:$A3446, MATCH(B86,'Room Info'!$E$2:$E3446, 0)),if(G86='Room Info'!$F$1, INDEX('Room Info'!$A$2:$A3446, MATCH(B86,'Room Info'!$F$2:$F3446, 0)),if(G86='Room Info'!$H$1, INDEX('Room Info'!$A$2:$A3446, MATCH(B86,'Room Info'!$H$2:$H3446, 0)),if(G86='Room Info'!$G$1, INDEX('Room Info'!$A$2:$A3446, MATCH(B86,'Room Info'!$G$2:$G3446, 0)))))))))</f>
        <v>AlexanderDSL</v>
      </c>
      <c r="B86" s="59" t="s">
        <v>148</v>
      </c>
      <c r="C86" s="72">
        <v>44248.0</v>
      </c>
      <c r="D86" s="72">
        <v>44275.0</v>
      </c>
      <c r="E86" s="52">
        <v>44256.0</v>
      </c>
      <c r="F86" s="50" t="s">
        <v>4</v>
      </c>
      <c r="G86" s="59" t="s">
        <v>5</v>
      </c>
      <c r="H86" s="54" t="s">
        <v>74</v>
      </c>
      <c r="I86" s="54" t="s">
        <v>7</v>
      </c>
      <c r="J86" s="55">
        <v>50.0</v>
      </c>
      <c r="K86" s="56">
        <v>3025.0</v>
      </c>
      <c r="L86" s="57">
        <v>5000.0</v>
      </c>
      <c r="M86" s="58">
        <v>4425.0</v>
      </c>
      <c r="N86" s="33">
        <f t="shared" si="13"/>
        <v>151250</v>
      </c>
      <c r="O86" s="59">
        <v>78243.0</v>
      </c>
      <c r="P86" s="34">
        <f t="shared" si="14"/>
        <v>25.86545455</v>
      </c>
      <c r="Q86" s="60"/>
      <c r="R86" s="36">
        <f t="shared" si="15"/>
        <v>4425</v>
      </c>
      <c r="S86" s="61">
        <v>-3026.0</v>
      </c>
      <c r="T86" s="37">
        <f t="shared" si="16"/>
        <v>1399</v>
      </c>
      <c r="U86" s="38">
        <v>1.0</v>
      </c>
      <c r="V86" s="63"/>
      <c r="W86" s="63"/>
      <c r="X86" s="35">
        <f t="shared" si="20"/>
        <v>0.15</v>
      </c>
      <c r="Y86" s="35">
        <f t="shared" si="17"/>
        <v>0.05</v>
      </c>
      <c r="Z86" s="40">
        <f t="shared" si="18"/>
        <v>1119.2</v>
      </c>
      <c r="AA86" s="34">
        <f t="shared" si="19"/>
        <v>209.85</v>
      </c>
      <c r="AB86" s="41">
        <f t="shared" si="12"/>
        <v>69.95</v>
      </c>
      <c r="AC86" s="42" t="b">
        <v>1</v>
      </c>
      <c r="AD86" s="42" t="s">
        <v>138</v>
      </c>
      <c r="AE86" s="42" t="s">
        <v>138</v>
      </c>
      <c r="AF86" s="42" t="str">
        <f t="array" ref="AF86">INDEX('Deal Info'!D:D, MATCH(A86,'Deal Info'!A:A, 0))</f>
        <v>Fix15</v>
      </c>
      <c r="AG86" s="43" t="str">
        <f t="array" ref="AG86">INDEX('Deal Info'!G:G, MATCH(A86,'Deal Info'!A:A, 0))</f>
        <v>Fix5</v>
      </c>
    </row>
    <row r="87" hidden="1">
      <c r="A87" s="23" t="str">
        <f t="array" ref="A87">if(G87='Room Info'!$B$1, INDEX('Room Info'!$A$2:$A3446, MATCH(B87,'Room Info'!$B$2:$B3446, 0)),if(G87='Room Info'!$C$1, INDEX('Room Info'!$A$2:$A3446, MATCH(B87,'Room Info'!$C$2:$C3446, 0)),if(G87='Room Info'!$D$1, INDEX('Room Info'!$A$2:$A3446, MATCH(B87,'Room Info'!$D$2:$D3446, 0)),if(G87='Room Info'!$E$1, INDEX('Room Info'!$A$2:$A3446, MATCH(B87,'Room Info'!$E$2:$E3446, 0)),if(G87='Room Info'!$F$1, INDEX('Room Info'!$A$2:$A3446, MATCH(B87,'Room Info'!$F$2:$F3446, 0)),if(G87='Room Info'!$H$1, INDEX('Room Info'!$A$2:$A3446, MATCH(B87,'Room Info'!$H$2:$H3446, 0)),if(G87='Room Info'!$G$1, INDEX('Room Info'!$A$2:$A3446, MATCH(B87,'Room Info'!$G$2:$G3446, 0)))))))))</f>
        <v>AlexanderDSL</v>
      </c>
      <c r="B87" s="59" t="s">
        <v>148</v>
      </c>
      <c r="C87" s="72">
        <v>44248.0</v>
      </c>
      <c r="D87" s="72">
        <v>44275.0</v>
      </c>
      <c r="E87" s="52">
        <v>44256.0</v>
      </c>
      <c r="F87" s="50" t="s">
        <v>12</v>
      </c>
      <c r="G87" s="59" t="s">
        <v>5</v>
      </c>
      <c r="H87" s="54" t="s">
        <v>34</v>
      </c>
      <c r="I87" s="54" t="s">
        <v>7</v>
      </c>
      <c r="J87" s="55">
        <v>5.0</v>
      </c>
      <c r="K87" s="56">
        <v>5.0</v>
      </c>
      <c r="L87" s="57">
        <v>5.0</v>
      </c>
      <c r="M87" s="58">
        <v>1.0</v>
      </c>
      <c r="N87" s="33">
        <f t="shared" si="13"/>
        <v>25</v>
      </c>
      <c r="O87" s="70"/>
      <c r="P87" s="34">
        <f t="shared" si="14"/>
        <v>0</v>
      </c>
      <c r="Q87" s="60"/>
      <c r="R87" s="36">
        <f t="shared" si="15"/>
        <v>1</v>
      </c>
      <c r="S87" s="71"/>
      <c r="T87" s="37">
        <f t="shared" si="16"/>
        <v>6</v>
      </c>
      <c r="U87" s="38">
        <v>1.0</v>
      </c>
      <c r="V87" s="63"/>
      <c r="W87" s="63"/>
      <c r="X87" s="35">
        <f t="shared" si="20"/>
        <v>0.15</v>
      </c>
      <c r="Y87" s="35">
        <f t="shared" si="17"/>
        <v>0.05</v>
      </c>
      <c r="Z87" s="40">
        <f t="shared" si="18"/>
        <v>4.8</v>
      </c>
      <c r="AA87" s="34">
        <f t="shared" si="19"/>
        <v>0.9</v>
      </c>
      <c r="AB87" s="41">
        <f t="shared" si="12"/>
        <v>0.3</v>
      </c>
      <c r="AC87" s="42" t="b">
        <v>1</v>
      </c>
      <c r="AD87" s="42" t="s">
        <v>138</v>
      </c>
      <c r="AE87" s="42" t="s">
        <v>138</v>
      </c>
      <c r="AF87" s="42" t="str">
        <f t="array" ref="AF87">INDEX('Deal Info'!D:D, MATCH(A87,'Deal Info'!A:A, 0))</f>
        <v>Fix15</v>
      </c>
      <c r="AG87" s="43" t="str">
        <f t="array" ref="AG87">INDEX('Deal Info'!G:G, MATCH(A87,'Deal Info'!A:A, 0))</f>
        <v>Fix5</v>
      </c>
    </row>
    <row r="88" hidden="1">
      <c r="A88" s="23" t="str">
        <f t="array" ref="A88">if(G88='Room Info'!$B$1, INDEX('Room Info'!$A$2:$A3446, MATCH(B88,'Room Info'!$B$2:$B3446, 0)),if(G88='Room Info'!$C$1, INDEX('Room Info'!$A$2:$A3446, MATCH(B88,'Room Info'!$C$2:$C3446, 0)),if(G88='Room Info'!$D$1, INDEX('Room Info'!$A$2:$A3446, MATCH(B88,'Room Info'!$D$2:$D3446, 0)),if(G88='Room Info'!$E$1, INDEX('Room Info'!$A$2:$A3446, MATCH(B88,'Room Info'!$E$2:$E3446, 0)),if(G88='Room Info'!$F$1, INDEX('Room Info'!$A$2:$A3446, MATCH(B88,'Room Info'!$F$2:$F3446, 0)),if(G88='Room Info'!$H$1, INDEX('Room Info'!$A$2:$A3446, MATCH(B88,'Room Info'!$H$2:$H3446, 0)),if(G88='Room Info'!$G$1, INDEX('Room Info'!$A$2:$A3446, MATCH(B88,'Room Info'!$G$2:$G3446, 0)))))))))</f>
        <v>AlexanderDSL</v>
      </c>
      <c r="B88" s="59" t="s">
        <v>148</v>
      </c>
      <c r="C88" s="72">
        <v>44276.0</v>
      </c>
      <c r="D88" s="72">
        <v>44306.0</v>
      </c>
      <c r="E88" s="52">
        <v>44287.0</v>
      </c>
      <c r="F88" s="50" t="s">
        <v>4</v>
      </c>
      <c r="G88" s="59" t="s">
        <v>5</v>
      </c>
      <c r="H88" s="54" t="s">
        <v>62</v>
      </c>
      <c r="I88" s="54" t="s">
        <v>7</v>
      </c>
      <c r="J88" s="55">
        <v>25.0</v>
      </c>
      <c r="K88" s="56">
        <v>7097.0</v>
      </c>
      <c r="L88" s="57">
        <v>-975.0</v>
      </c>
      <c r="M88" s="58">
        <v>4438.0</v>
      </c>
      <c r="N88" s="33">
        <f t="shared" si="13"/>
        <v>177425</v>
      </c>
      <c r="O88" s="59">
        <v>226843.0</v>
      </c>
      <c r="P88" s="34">
        <f t="shared" si="14"/>
        <v>31.9632239</v>
      </c>
      <c r="Q88" s="60"/>
      <c r="R88" s="36">
        <f t="shared" si="15"/>
        <v>4438</v>
      </c>
      <c r="S88" s="61">
        <v>-1393.0</v>
      </c>
      <c r="T88" s="37">
        <f t="shared" si="16"/>
        <v>3045</v>
      </c>
      <c r="U88" s="38">
        <v>1.0</v>
      </c>
      <c r="V88" s="63"/>
      <c r="W88" s="63"/>
      <c r="X88" s="35">
        <f t="shared" si="20"/>
        <v>0.15</v>
      </c>
      <c r="Y88" s="35">
        <f t="shared" si="17"/>
        <v>0.05</v>
      </c>
      <c r="Z88" s="40">
        <f t="shared" si="18"/>
        <v>2436</v>
      </c>
      <c r="AA88" s="34">
        <f t="shared" si="19"/>
        <v>456.75</v>
      </c>
      <c r="AB88" s="41">
        <f t="shared" si="12"/>
        <v>152.25</v>
      </c>
      <c r="AC88" s="42" t="b">
        <v>1</v>
      </c>
      <c r="AD88" s="42" t="s">
        <v>138</v>
      </c>
      <c r="AE88" s="42" t="s">
        <v>138</v>
      </c>
      <c r="AF88" s="42" t="str">
        <f t="array" ref="AF88">INDEX('Deal Info'!D:D, MATCH(A88,'Deal Info'!A:A, 0))</f>
        <v>Fix15</v>
      </c>
      <c r="AG88" s="43" t="str">
        <f t="array" ref="AG88">INDEX('Deal Info'!G:G, MATCH(A88,'Deal Info'!A:A, 0))</f>
        <v>Fix5</v>
      </c>
    </row>
    <row r="89" hidden="1">
      <c r="A89" s="23" t="str">
        <f t="array" ref="A89">if(G89='Room Info'!$B$1, INDEX('Room Info'!$A$2:$A3446, MATCH(B89,'Room Info'!$B$2:$B3446, 0)),if(G89='Room Info'!$C$1, INDEX('Room Info'!$A$2:$A3446, MATCH(B89,'Room Info'!$C$2:$C3446, 0)),if(G89='Room Info'!$D$1, INDEX('Room Info'!$A$2:$A3446, MATCH(B89,'Room Info'!$D$2:$D3446, 0)),if(G89='Room Info'!$E$1, INDEX('Room Info'!$A$2:$A3446, MATCH(B89,'Room Info'!$E$2:$E3446, 0)),if(G89='Room Info'!$F$1, INDEX('Room Info'!$A$2:$A3446, MATCH(B89,'Room Info'!$F$2:$F3446, 0)),if(G89='Room Info'!$H$1, INDEX('Room Info'!$A$2:$A3446, MATCH(B89,'Room Info'!$H$2:$H3446, 0)),if(G89='Room Info'!$G$1, INDEX('Room Info'!$A$2:$A3446, MATCH(B89,'Room Info'!$G$2:$G3446, 0)))))))))</f>
        <v>AlexanderDSL</v>
      </c>
      <c r="B89" s="59" t="s">
        <v>148</v>
      </c>
      <c r="C89" s="72">
        <v>44276.0</v>
      </c>
      <c r="D89" s="72">
        <v>44306.0</v>
      </c>
      <c r="E89" s="52">
        <v>44287.0</v>
      </c>
      <c r="F89" s="50" t="s">
        <v>4</v>
      </c>
      <c r="G89" s="59" t="s">
        <v>5</v>
      </c>
      <c r="H89" s="54" t="s">
        <v>74</v>
      </c>
      <c r="I89" s="54" t="s">
        <v>7</v>
      </c>
      <c r="J89" s="55">
        <v>50.0</v>
      </c>
      <c r="K89" s="56">
        <v>309.0</v>
      </c>
      <c r="L89" s="57">
        <v>-700.0</v>
      </c>
      <c r="M89" s="58">
        <v>387.0</v>
      </c>
      <c r="N89" s="33">
        <f t="shared" si="13"/>
        <v>15450</v>
      </c>
      <c r="O89" s="59">
        <v>13097.0</v>
      </c>
      <c r="P89" s="34">
        <f t="shared" si="14"/>
        <v>42.38511327</v>
      </c>
      <c r="Q89" s="60"/>
      <c r="R89" s="36">
        <f t="shared" si="15"/>
        <v>387</v>
      </c>
      <c r="S89" s="61">
        <v>177.0</v>
      </c>
      <c r="T89" s="37">
        <f t="shared" si="16"/>
        <v>564</v>
      </c>
      <c r="U89" s="38">
        <v>1.0</v>
      </c>
      <c r="V89" s="63"/>
      <c r="W89" s="63"/>
      <c r="X89" s="35">
        <f t="shared" si="20"/>
        <v>0.15</v>
      </c>
      <c r="Y89" s="35">
        <f t="shared" si="17"/>
        <v>0.05</v>
      </c>
      <c r="Z89" s="40">
        <f t="shared" si="18"/>
        <v>451.2</v>
      </c>
      <c r="AA89" s="34">
        <f t="shared" si="19"/>
        <v>84.6</v>
      </c>
      <c r="AB89" s="41">
        <f t="shared" si="12"/>
        <v>28.2</v>
      </c>
      <c r="AC89" s="42" t="b">
        <v>1</v>
      </c>
      <c r="AD89" s="42" t="s">
        <v>138</v>
      </c>
      <c r="AE89" s="42" t="s">
        <v>138</v>
      </c>
      <c r="AF89" s="42" t="str">
        <f t="array" ref="AF89">INDEX('Deal Info'!D:D, MATCH(A89,'Deal Info'!A:A, 0))</f>
        <v>Fix15</v>
      </c>
      <c r="AG89" s="43" t="str">
        <f t="array" ref="AG89">INDEX('Deal Info'!G:G, MATCH(A89,'Deal Info'!A:A, 0))</f>
        <v>Fix5</v>
      </c>
    </row>
    <row r="90" hidden="1">
      <c r="A90" s="23" t="str">
        <f t="array" ref="A90">if(G90='Room Info'!$B$1, INDEX('Room Info'!$A$2:$A3446, MATCH(B90,'Room Info'!$B$2:$B3446, 0)),if(G90='Room Info'!$C$1, INDEX('Room Info'!$A$2:$A3446, MATCH(B90,'Room Info'!$C$2:$C3446, 0)),if(G90='Room Info'!$D$1, INDEX('Room Info'!$A$2:$A3446, MATCH(B90,'Room Info'!$D$2:$D3446, 0)),if(G90='Room Info'!$E$1, INDEX('Room Info'!$A$2:$A3446, MATCH(B90,'Room Info'!$E$2:$E3446, 0)),if(G90='Room Info'!$F$1, INDEX('Room Info'!$A$2:$A3446, MATCH(B90,'Room Info'!$F$2:$F3446, 0)),if(G90='Room Info'!$H$1, INDEX('Room Info'!$A$2:$A3446, MATCH(B90,'Room Info'!$H$2:$H3446, 0)),if(G90='Room Info'!$G$1, INDEX('Room Info'!$A$2:$A3446, MATCH(B90,'Room Info'!$G$2:$G3446, 0)))))))))</f>
        <v>AlexanderDSL</v>
      </c>
      <c r="B90" s="59" t="s">
        <v>148</v>
      </c>
      <c r="C90" s="72">
        <v>44276.0</v>
      </c>
      <c r="D90" s="72">
        <v>44306.0</v>
      </c>
      <c r="E90" s="52">
        <v>44287.0</v>
      </c>
      <c r="F90" s="50" t="s">
        <v>12</v>
      </c>
      <c r="G90" s="59" t="s">
        <v>5</v>
      </c>
      <c r="H90" s="54" t="s">
        <v>34</v>
      </c>
      <c r="I90" s="54" t="s">
        <v>7</v>
      </c>
      <c r="J90" s="55">
        <v>5.0</v>
      </c>
      <c r="K90" s="56">
        <v>22.0</v>
      </c>
      <c r="L90" s="57">
        <v>30.0</v>
      </c>
      <c r="M90" s="58">
        <v>3.0</v>
      </c>
      <c r="N90" s="33">
        <f t="shared" si="13"/>
        <v>110</v>
      </c>
      <c r="O90" s="70"/>
      <c r="P90" s="34">
        <f t="shared" si="14"/>
        <v>0</v>
      </c>
      <c r="Q90" s="60"/>
      <c r="R90" s="36">
        <f t="shared" si="15"/>
        <v>3</v>
      </c>
      <c r="S90" s="71"/>
      <c r="T90" s="37">
        <f t="shared" si="16"/>
        <v>33</v>
      </c>
      <c r="U90" s="38">
        <v>1.0</v>
      </c>
      <c r="V90" s="63"/>
      <c r="W90" s="63"/>
      <c r="X90" s="35">
        <f t="shared" si="20"/>
        <v>0.15</v>
      </c>
      <c r="Y90" s="35">
        <f t="shared" si="17"/>
        <v>0.05</v>
      </c>
      <c r="Z90" s="40">
        <f t="shared" si="18"/>
        <v>26.4</v>
      </c>
      <c r="AA90" s="34">
        <f t="shared" si="19"/>
        <v>4.95</v>
      </c>
      <c r="AB90" s="41">
        <f t="shared" si="12"/>
        <v>1.65</v>
      </c>
      <c r="AC90" s="42" t="b">
        <v>1</v>
      </c>
      <c r="AD90" s="42" t="s">
        <v>138</v>
      </c>
      <c r="AE90" s="42" t="s">
        <v>138</v>
      </c>
      <c r="AF90" s="42" t="str">
        <f t="array" ref="AF90">INDEX('Deal Info'!D:D, MATCH(A90,'Deal Info'!A:A, 0))</f>
        <v>Fix15</v>
      </c>
      <c r="AG90" s="43" t="str">
        <f t="array" ref="AG90">INDEX('Deal Info'!G:G, MATCH(A90,'Deal Info'!A:A, 0))</f>
        <v>Fix5</v>
      </c>
    </row>
    <row r="91" hidden="1">
      <c r="A91" s="23" t="str">
        <f t="array" ref="A91">if(G91='Room Info'!$B$1, INDEX('Room Info'!$A$2:$A3446, MATCH(B91,'Room Info'!$B$2:$B3446, 0)),if(G91='Room Info'!$C$1, INDEX('Room Info'!$A$2:$A3446, MATCH(B91,'Room Info'!$C$2:$C3446, 0)),if(G91='Room Info'!$D$1, INDEX('Room Info'!$A$2:$A3446, MATCH(B91,'Room Info'!$D$2:$D3446, 0)),if(G91='Room Info'!$E$1, INDEX('Room Info'!$A$2:$A3446, MATCH(B91,'Room Info'!$E$2:$E3446, 0)),if(G91='Room Info'!$F$1, INDEX('Room Info'!$A$2:$A3446, MATCH(B91,'Room Info'!$F$2:$F3446, 0)),if(G91='Room Info'!$H$1, INDEX('Room Info'!$A$2:$A3446, MATCH(B91,'Room Info'!$H$2:$H3446, 0)),if(G91='Room Info'!$G$1, INDEX('Room Info'!$A$2:$A3446, MATCH(B91,'Room Info'!$G$2:$G3446, 0)))))))))</f>
        <v>AlexanderDSL</v>
      </c>
      <c r="B91" s="59" t="s">
        <v>148</v>
      </c>
      <c r="C91" s="72">
        <v>44276.0</v>
      </c>
      <c r="D91" s="72">
        <v>44306.0</v>
      </c>
      <c r="E91" s="52">
        <v>44287.0</v>
      </c>
      <c r="F91" s="50" t="s">
        <v>12</v>
      </c>
      <c r="G91" s="59" t="s">
        <v>5</v>
      </c>
      <c r="H91" s="54" t="s">
        <v>75</v>
      </c>
      <c r="I91" s="54" t="s">
        <v>11</v>
      </c>
      <c r="J91" s="55">
        <v>50.0</v>
      </c>
      <c r="K91" s="56">
        <v>2.0</v>
      </c>
      <c r="L91" s="57">
        <v>200.0</v>
      </c>
      <c r="M91" s="58">
        <v>5.0</v>
      </c>
      <c r="N91" s="33">
        <f t="shared" si="13"/>
        <v>100</v>
      </c>
      <c r="O91" s="70"/>
      <c r="P91" s="34">
        <f t="shared" si="14"/>
        <v>0</v>
      </c>
      <c r="Q91" s="60"/>
      <c r="R91" s="36">
        <f t="shared" si="15"/>
        <v>5</v>
      </c>
      <c r="S91" s="71"/>
      <c r="T91" s="37">
        <f t="shared" si="16"/>
        <v>205</v>
      </c>
      <c r="U91" s="38">
        <v>1.0</v>
      </c>
      <c r="V91" s="63"/>
      <c r="W91" s="63"/>
      <c r="X91" s="35">
        <f t="shared" si="20"/>
        <v>0.15</v>
      </c>
      <c r="Y91" s="35">
        <f t="shared" si="17"/>
        <v>0.05</v>
      </c>
      <c r="Z91" s="40">
        <f t="shared" si="18"/>
        <v>164</v>
      </c>
      <c r="AA91" s="34">
        <f t="shared" si="19"/>
        <v>30.75</v>
      </c>
      <c r="AB91" s="41">
        <f t="shared" si="12"/>
        <v>10.25</v>
      </c>
      <c r="AC91" s="42" t="b">
        <v>1</v>
      </c>
      <c r="AD91" s="42" t="s">
        <v>138</v>
      </c>
      <c r="AE91" s="42" t="s">
        <v>138</v>
      </c>
      <c r="AF91" s="42" t="str">
        <f t="array" ref="AF91">INDEX('Deal Info'!D:D, MATCH(A91,'Deal Info'!A:A, 0))</f>
        <v>Fix15</v>
      </c>
      <c r="AG91" s="43" t="str">
        <f t="array" ref="AG91">INDEX('Deal Info'!G:G, MATCH(A91,'Deal Info'!A:A, 0))</f>
        <v>Fix5</v>
      </c>
    </row>
    <row r="92" hidden="1">
      <c r="A92" s="23" t="str">
        <f t="array" ref="A92">if(G92='Room Info'!$B$1, INDEX('Room Info'!$A$2:$A3446, MATCH(B92,'Room Info'!$B$2:$B3446, 0)),if(G92='Room Info'!$C$1, INDEX('Room Info'!$A$2:$A3446, MATCH(B92,'Room Info'!$C$2:$C3446, 0)),if(G92='Room Info'!$D$1, INDEX('Room Info'!$A$2:$A3446, MATCH(B92,'Room Info'!$D$2:$D3446, 0)),if(G92='Room Info'!$E$1, INDEX('Room Info'!$A$2:$A3446, MATCH(B92,'Room Info'!$E$2:$E3446, 0)),if(G92='Room Info'!$F$1, INDEX('Room Info'!$A$2:$A3446, MATCH(B92,'Room Info'!$F$2:$F3446, 0)),if(G92='Room Info'!$H$1, INDEX('Room Info'!$A$2:$A3446, MATCH(B92,'Room Info'!$H$2:$H3446, 0)),if(G92='Room Info'!$G$1, INDEX('Room Info'!$A$2:$A3446, MATCH(B92,'Room Info'!$G$2:$G3446, 0)))))))))</f>
        <v>AlexanderDSL</v>
      </c>
      <c r="B92" s="59" t="s">
        <v>148</v>
      </c>
      <c r="C92" s="72">
        <v>44307.0</v>
      </c>
      <c r="D92" s="72">
        <v>44336.0</v>
      </c>
      <c r="E92" s="52">
        <v>44317.0</v>
      </c>
      <c r="F92" s="50" t="s">
        <v>4</v>
      </c>
      <c r="G92" s="59" t="s">
        <v>5</v>
      </c>
      <c r="H92" s="54" t="s">
        <v>46</v>
      </c>
      <c r="I92" s="54" t="s">
        <v>7</v>
      </c>
      <c r="J92" s="55">
        <v>10.0</v>
      </c>
      <c r="K92" s="56">
        <v>1.0</v>
      </c>
      <c r="L92" s="57">
        <v>-10.0</v>
      </c>
      <c r="M92" s="67"/>
      <c r="N92" s="33">
        <f t="shared" si="13"/>
        <v>10</v>
      </c>
      <c r="O92" s="59">
        <v>-272.0</v>
      </c>
      <c r="P92" s="34">
        <f t="shared" si="14"/>
        <v>-272</v>
      </c>
      <c r="Q92" s="60"/>
      <c r="R92" s="36">
        <f t="shared" si="15"/>
        <v>0</v>
      </c>
      <c r="S92" s="61">
        <v>-6.0</v>
      </c>
      <c r="T92" s="37">
        <f t="shared" si="16"/>
        <v>-6</v>
      </c>
      <c r="U92" s="38">
        <v>1.0</v>
      </c>
      <c r="V92" s="63"/>
      <c r="W92" s="63"/>
      <c r="X92" s="35">
        <f t="shared" si="20"/>
        <v>0.15</v>
      </c>
      <c r="Y92" s="35">
        <f t="shared" si="17"/>
        <v>0.05</v>
      </c>
      <c r="Z92" s="40">
        <f t="shared" si="18"/>
        <v>-4.8</v>
      </c>
      <c r="AA92" s="34">
        <f t="shared" si="19"/>
        <v>-0.9</v>
      </c>
      <c r="AB92" s="41">
        <f t="shared" si="12"/>
        <v>-0.3</v>
      </c>
      <c r="AC92" s="42" t="b">
        <v>1</v>
      </c>
      <c r="AD92" s="42" t="s">
        <v>138</v>
      </c>
      <c r="AE92" s="42" t="s">
        <v>138</v>
      </c>
      <c r="AF92" s="42" t="str">
        <f t="array" ref="AF92">INDEX('Deal Info'!D:D, MATCH(A92,'Deal Info'!A:A, 0))</f>
        <v>Fix15</v>
      </c>
      <c r="AG92" s="43" t="str">
        <f t="array" ref="AG92">INDEX('Deal Info'!G:G, MATCH(A92,'Deal Info'!A:A, 0))</f>
        <v>Fix5</v>
      </c>
    </row>
    <row r="93" hidden="1">
      <c r="A93" s="23" t="str">
        <f t="array" ref="A93">if(G93='Room Info'!$B$1, INDEX('Room Info'!$A$2:$A3446, MATCH(B93,'Room Info'!$B$2:$B3446, 0)),if(G93='Room Info'!$C$1, INDEX('Room Info'!$A$2:$A3446, MATCH(B93,'Room Info'!$C$2:$C3446, 0)),if(G93='Room Info'!$D$1, INDEX('Room Info'!$A$2:$A3446, MATCH(B93,'Room Info'!$D$2:$D3446, 0)),if(G93='Room Info'!$E$1, INDEX('Room Info'!$A$2:$A3446, MATCH(B93,'Room Info'!$E$2:$E3446, 0)),if(G93='Room Info'!$F$1, INDEX('Room Info'!$A$2:$A3446, MATCH(B93,'Room Info'!$F$2:$F3446, 0)),if(G93='Room Info'!$H$1, INDEX('Room Info'!$A$2:$A3446, MATCH(B93,'Room Info'!$H$2:$H3446, 0)),if(G93='Room Info'!$G$1, INDEX('Room Info'!$A$2:$A3446, MATCH(B93,'Room Info'!$G$2:$G3446, 0)))))))))</f>
        <v>AlexanderDSL</v>
      </c>
      <c r="B93" s="59" t="s">
        <v>148</v>
      </c>
      <c r="C93" s="73">
        <v>44307.0</v>
      </c>
      <c r="D93" s="72">
        <v>44336.0</v>
      </c>
      <c r="E93" s="52">
        <v>44317.0</v>
      </c>
      <c r="F93" s="50" t="s">
        <v>4</v>
      </c>
      <c r="G93" s="59" t="s">
        <v>5</v>
      </c>
      <c r="H93" s="54" t="s">
        <v>62</v>
      </c>
      <c r="I93" s="54" t="s">
        <v>7</v>
      </c>
      <c r="J93" s="55">
        <v>25.0</v>
      </c>
      <c r="K93" s="56">
        <v>170.0</v>
      </c>
      <c r="L93" s="57">
        <v>-350.0</v>
      </c>
      <c r="M93" s="58">
        <v>128.0</v>
      </c>
      <c r="N93" s="33">
        <f t="shared" si="13"/>
        <v>4250</v>
      </c>
      <c r="O93" s="59">
        <v>3099.0</v>
      </c>
      <c r="P93" s="34">
        <f t="shared" si="14"/>
        <v>18.22941176</v>
      </c>
      <c r="Q93" s="60"/>
      <c r="R93" s="36">
        <f t="shared" si="15"/>
        <v>128</v>
      </c>
      <c r="S93" s="61">
        <v>-174.0</v>
      </c>
      <c r="T93" s="37">
        <f t="shared" si="16"/>
        <v>-46</v>
      </c>
      <c r="U93" s="38">
        <v>1.0</v>
      </c>
      <c r="V93" s="63"/>
      <c r="W93" s="63"/>
      <c r="X93" s="35">
        <f t="shared" si="20"/>
        <v>0.15</v>
      </c>
      <c r="Y93" s="35">
        <f t="shared" si="17"/>
        <v>0.05</v>
      </c>
      <c r="Z93" s="40">
        <f t="shared" si="18"/>
        <v>-36.8</v>
      </c>
      <c r="AA93" s="34">
        <f t="shared" si="19"/>
        <v>-6.9</v>
      </c>
      <c r="AB93" s="41">
        <f t="shared" si="12"/>
        <v>-2.3</v>
      </c>
      <c r="AC93" s="42" t="b">
        <v>1</v>
      </c>
      <c r="AD93" s="42" t="s">
        <v>138</v>
      </c>
      <c r="AE93" s="42" t="s">
        <v>138</v>
      </c>
      <c r="AF93" s="42" t="str">
        <f t="array" ref="AF93">INDEX('Deal Info'!D:D, MATCH(A93,'Deal Info'!A:A, 0))</f>
        <v>Fix15</v>
      </c>
      <c r="AG93" s="43" t="str">
        <f t="array" ref="AG93">INDEX('Deal Info'!G:G, MATCH(A93,'Deal Info'!A:A, 0))</f>
        <v>Fix5</v>
      </c>
    </row>
    <row r="94" hidden="1">
      <c r="A94" s="23" t="str">
        <f t="array" ref="A94">if(G94='Room Info'!$B$1, INDEX('Room Info'!$A$2:$A3446, MATCH(B94,'Room Info'!$B$2:$B3446, 0)),if(G94='Room Info'!$C$1, INDEX('Room Info'!$A$2:$A3446, MATCH(B94,'Room Info'!$C$2:$C3446, 0)),if(G94='Room Info'!$D$1, INDEX('Room Info'!$A$2:$A3446, MATCH(B94,'Room Info'!$D$2:$D3446, 0)),if(G94='Room Info'!$E$1, INDEX('Room Info'!$A$2:$A3446, MATCH(B94,'Room Info'!$E$2:$E3446, 0)),if(G94='Room Info'!$F$1, INDEX('Room Info'!$A$2:$A3446, MATCH(B94,'Room Info'!$F$2:$F3446, 0)),if(G94='Room Info'!$H$1, INDEX('Room Info'!$A$2:$A3446, MATCH(B94,'Room Info'!$H$2:$H3446, 0)),if(G94='Room Info'!$G$1, INDEX('Room Info'!$A$2:$A3446, MATCH(B94,'Room Info'!$G$2:$G3446, 0)))))))))</f>
        <v>AlexanderDSL</v>
      </c>
      <c r="B94" s="59" t="s">
        <v>148</v>
      </c>
      <c r="C94" s="73">
        <v>44307.0</v>
      </c>
      <c r="D94" s="72">
        <v>44336.0</v>
      </c>
      <c r="E94" s="52">
        <v>44317.0</v>
      </c>
      <c r="F94" s="50" t="s">
        <v>4</v>
      </c>
      <c r="G94" s="59" t="s">
        <v>5</v>
      </c>
      <c r="H94" s="54" t="s">
        <v>74</v>
      </c>
      <c r="I94" s="54" t="s">
        <v>7</v>
      </c>
      <c r="J94" s="55">
        <v>50.0</v>
      </c>
      <c r="K94" s="56">
        <v>3021.0</v>
      </c>
      <c r="L94" s="57">
        <v>250.0</v>
      </c>
      <c r="M94" s="58">
        <v>4570.0</v>
      </c>
      <c r="N94" s="33">
        <f t="shared" si="13"/>
        <v>151050</v>
      </c>
      <c r="O94" s="59">
        <v>66771.0</v>
      </c>
      <c r="P94" s="34">
        <f t="shared" si="14"/>
        <v>22.10228401</v>
      </c>
      <c r="Q94" s="60"/>
      <c r="R94" s="36">
        <f t="shared" si="15"/>
        <v>4570</v>
      </c>
      <c r="S94" s="61">
        <v>-4251.0</v>
      </c>
      <c r="T94" s="37">
        <f t="shared" si="16"/>
        <v>319</v>
      </c>
      <c r="U94" s="38">
        <v>1.0</v>
      </c>
      <c r="V94" s="63"/>
      <c r="W94" s="63"/>
      <c r="X94" s="35">
        <f t="shared" si="20"/>
        <v>0.15</v>
      </c>
      <c r="Y94" s="35">
        <f t="shared" si="17"/>
        <v>0.05</v>
      </c>
      <c r="Z94" s="40">
        <f t="shared" si="18"/>
        <v>255.2</v>
      </c>
      <c r="AA94" s="34">
        <f t="shared" si="19"/>
        <v>47.85</v>
      </c>
      <c r="AB94" s="41">
        <f t="shared" si="12"/>
        <v>15.95</v>
      </c>
      <c r="AC94" s="42" t="b">
        <v>1</v>
      </c>
      <c r="AD94" s="42" t="s">
        <v>138</v>
      </c>
      <c r="AE94" s="42" t="s">
        <v>138</v>
      </c>
      <c r="AF94" s="42" t="str">
        <f t="array" ref="AF94">INDEX('Deal Info'!D:D, MATCH(A94,'Deal Info'!A:A, 0))</f>
        <v>Fix15</v>
      </c>
      <c r="AG94" s="43" t="str">
        <f t="array" ref="AG94">INDEX('Deal Info'!G:G, MATCH(A94,'Deal Info'!A:A, 0))</f>
        <v>Fix5</v>
      </c>
    </row>
    <row r="95" hidden="1">
      <c r="A95" s="23" t="str">
        <f t="array" ref="A95">if(G95='Room Info'!$B$1, INDEX('Room Info'!$A$2:$A3446, MATCH(B95,'Room Info'!$B$2:$B3446, 0)),if(G95='Room Info'!$C$1, INDEX('Room Info'!$A$2:$A3446, MATCH(B95,'Room Info'!$C$2:$C3446, 0)),if(G95='Room Info'!$D$1, INDEX('Room Info'!$A$2:$A3446, MATCH(B95,'Room Info'!$D$2:$D3446, 0)),if(G95='Room Info'!$E$1, INDEX('Room Info'!$A$2:$A3446, MATCH(B95,'Room Info'!$E$2:$E3446, 0)),if(G95='Room Info'!$F$1, INDEX('Room Info'!$A$2:$A3446, MATCH(B95,'Room Info'!$F$2:$F3446, 0)),if(G95='Room Info'!$H$1, INDEX('Room Info'!$A$2:$A3446, MATCH(B95,'Room Info'!$H$2:$H3446, 0)),if(G95='Room Info'!$G$1, INDEX('Room Info'!$A$2:$A3446, MATCH(B95,'Room Info'!$G$2:$G3446, 0)))))))))</f>
        <v>AlexanderDSL</v>
      </c>
      <c r="B95" s="59" t="s">
        <v>148</v>
      </c>
      <c r="C95" s="73">
        <v>44337.0</v>
      </c>
      <c r="D95" s="73">
        <v>44367.0</v>
      </c>
      <c r="E95" s="52">
        <v>44348.0</v>
      </c>
      <c r="F95" s="50" t="s">
        <v>4</v>
      </c>
      <c r="G95" s="59" t="s">
        <v>5</v>
      </c>
      <c r="H95" s="54" t="s">
        <v>62</v>
      </c>
      <c r="I95" s="54" t="s">
        <v>7</v>
      </c>
      <c r="J95" s="55">
        <v>25.0</v>
      </c>
      <c r="K95" s="56">
        <v>4562.0</v>
      </c>
      <c r="L95" s="57">
        <v>300.0</v>
      </c>
      <c r="M95" s="58">
        <v>3016.0</v>
      </c>
      <c r="N95" s="33">
        <f t="shared" si="13"/>
        <v>114050</v>
      </c>
      <c r="O95" s="59">
        <v>154632.0</v>
      </c>
      <c r="P95" s="34">
        <f t="shared" si="14"/>
        <v>33.8956598</v>
      </c>
      <c r="Q95" s="60"/>
      <c r="R95" s="36">
        <f t="shared" si="15"/>
        <v>3016</v>
      </c>
      <c r="S95" s="61">
        <v>-61.0</v>
      </c>
      <c r="T95" s="37">
        <f t="shared" si="16"/>
        <v>2955</v>
      </c>
      <c r="U95" s="38">
        <v>1.0</v>
      </c>
      <c r="V95" s="63"/>
      <c r="W95" s="63"/>
      <c r="X95" s="35">
        <f t="shared" si="20"/>
        <v>0.15</v>
      </c>
      <c r="Y95" s="35">
        <f t="shared" si="17"/>
        <v>0.05</v>
      </c>
      <c r="Z95" s="40">
        <f t="shared" si="18"/>
        <v>2364</v>
      </c>
      <c r="AA95" s="34">
        <f t="shared" si="19"/>
        <v>443.25</v>
      </c>
      <c r="AB95" s="41">
        <f t="shared" si="12"/>
        <v>147.75</v>
      </c>
      <c r="AC95" s="42" t="b">
        <v>1</v>
      </c>
      <c r="AD95" s="42" t="s">
        <v>138</v>
      </c>
      <c r="AE95" s="42" t="s">
        <v>138</v>
      </c>
      <c r="AF95" s="42" t="str">
        <f t="array" ref="AF95">INDEX('Deal Info'!D:D, MATCH(A95,'Deal Info'!A:A, 0))</f>
        <v>Fix15</v>
      </c>
      <c r="AG95" s="43" t="str">
        <f t="array" ref="AG95">INDEX('Deal Info'!G:G, MATCH(A95,'Deal Info'!A:A, 0))</f>
        <v>Fix5</v>
      </c>
    </row>
    <row r="96" hidden="1">
      <c r="A96" s="23" t="str">
        <f t="array" ref="A96">if(G96='Room Info'!$B$1, INDEX('Room Info'!$A$2:$A3446, MATCH(B96,'Room Info'!$B$2:$B3446, 0)),if(G96='Room Info'!$C$1, INDEX('Room Info'!$A$2:$A3446, MATCH(B96,'Room Info'!$C$2:$C3446, 0)),if(G96='Room Info'!$D$1, INDEX('Room Info'!$A$2:$A3446, MATCH(B96,'Room Info'!$D$2:$D3446, 0)),if(G96='Room Info'!$E$1, INDEX('Room Info'!$A$2:$A3446, MATCH(B96,'Room Info'!$E$2:$E3446, 0)),if(G96='Room Info'!$F$1, INDEX('Room Info'!$A$2:$A3446, MATCH(B96,'Room Info'!$F$2:$F3446, 0)),if(G96='Room Info'!$H$1, INDEX('Room Info'!$A$2:$A3446, MATCH(B96,'Room Info'!$H$2:$H3446, 0)),if(G96='Room Info'!$G$1, INDEX('Room Info'!$A$2:$A3446, MATCH(B96,'Room Info'!$G$2:$G3446, 0)))))))))</f>
        <v>AlexanderDSL</v>
      </c>
      <c r="B96" s="59" t="s">
        <v>148</v>
      </c>
      <c r="C96" s="73">
        <v>44337.0</v>
      </c>
      <c r="D96" s="73">
        <v>44367.0</v>
      </c>
      <c r="E96" s="52">
        <v>44348.0</v>
      </c>
      <c r="F96" s="50" t="s">
        <v>4</v>
      </c>
      <c r="G96" s="59" t="s">
        <v>5</v>
      </c>
      <c r="H96" s="54" t="s">
        <v>74</v>
      </c>
      <c r="I96" s="54" t="s">
        <v>7</v>
      </c>
      <c r="J96" s="55">
        <v>50.0</v>
      </c>
      <c r="K96" s="56">
        <v>979.0</v>
      </c>
      <c r="L96" s="57">
        <v>-3250.0</v>
      </c>
      <c r="M96" s="58">
        <v>1295.0</v>
      </c>
      <c r="N96" s="33">
        <f t="shared" si="13"/>
        <v>48950</v>
      </c>
      <c r="O96" s="59">
        <v>20855.0</v>
      </c>
      <c r="P96" s="34">
        <f t="shared" si="14"/>
        <v>21.30234934</v>
      </c>
      <c r="Q96" s="60"/>
      <c r="R96" s="36">
        <f t="shared" si="15"/>
        <v>1295</v>
      </c>
      <c r="S96" s="61">
        <v>-1134.0</v>
      </c>
      <c r="T96" s="37">
        <f t="shared" si="16"/>
        <v>161</v>
      </c>
      <c r="U96" s="38">
        <v>1.0</v>
      </c>
      <c r="V96" s="63"/>
      <c r="W96" s="63"/>
      <c r="X96" s="35">
        <f t="shared" si="20"/>
        <v>0.15</v>
      </c>
      <c r="Y96" s="35">
        <f t="shared" si="17"/>
        <v>0.05</v>
      </c>
      <c r="Z96" s="40">
        <f t="shared" si="18"/>
        <v>128.8</v>
      </c>
      <c r="AA96" s="34">
        <f t="shared" si="19"/>
        <v>24.15</v>
      </c>
      <c r="AB96" s="41">
        <f t="shared" si="12"/>
        <v>8.05</v>
      </c>
      <c r="AC96" s="42" t="b">
        <v>1</v>
      </c>
      <c r="AD96" s="42" t="s">
        <v>138</v>
      </c>
      <c r="AE96" s="42" t="s">
        <v>138</v>
      </c>
      <c r="AF96" s="42" t="str">
        <f t="array" ref="AF96">INDEX('Deal Info'!D:D, MATCH(A96,'Deal Info'!A:A, 0))</f>
        <v>Fix15</v>
      </c>
      <c r="AG96" s="43" t="str">
        <f t="array" ref="AG96">INDEX('Deal Info'!G:G, MATCH(A96,'Deal Info'!A:A, 0))</f>
        <v>Fix5</v>
      </c>
    </row>
    <row r="97" hidden="1">
      <c r="A97" s="23" t="str">
        <f t="array" ref="A97">if(G97='Room Info'!$B$1, INDEX('Room Info'!$A$2:$A3446, MATCH(B97,'Room Info'!$B$2:$B3446, 0)),if(G97='Room Info'!$C$1, INDEX('Room Info'!$A$2:$A3446, MATCH(B97,'Room Info'!$C$2:$C3446, 0)),if(G97='Room Info'!$D$1, INDEX('Room Info'!$A$2:$A3446, MATCH(B97,'Room Info'!$D$2:$D3446, 0)),if(G97='Room Info'!$E$1, INDEX('Room Info'!$A$2:$A3446, MATCH(B97,'Room Info'!$E$2:$E3446, 0)),if(G97='Room Info'!$F$1, INDEX('Room Info'!$A$2:$A3446, MATCH(B97,'Room Info'!$F$2:$F3446, 0)),if(G97='Room Info'!$H$1, INDEX('Room Info'!$A$2:$A3446, MATCH(B97,'Room Info'!$H$2:$H3446, 0)),if(G97='Room Info'!$G$1, INDEX('Room Info'!$A$2:$A3446, MATCH(B97,'Room Info'!$G$2:$G3446, 0)))))))))</f>
        <v>AlexanderDSL</v>
      </c>
      <c r="B97" s="59" t="s">
        <v>148</v>
      </c>
      <c r="C97" s="73">
        <v>44368.0</v>
      </c>
      <c r="D97" s="73">
        <v>44397.0</v>
      </c>
      <c r="E97" s="52">
        <v>44378.0</v>
      </c>
      <c r="F97" s="50" t="s">
        <v>4</v>
      </c>
      <c r="G97" s="59" t="s">
        <v>5</v>
      </c>
      <c r="H97" s="54" t="s">
        <v>62</v>
      </c>
      <c r="I97" s="54" t="s">
        <v>7</v>
      </c>
      <c r="J97" s="55">
        <v>25.0</v>
      </c>
      <c r="K97" s="56">
        <v>1044.0</v>
      </c>
      <c r="L97" s="57">
        <v>3150.0</v>
      </c>
      <c r="M97" s="58">
        <v>48.0</v>
      </c>
      <c r="N97" s="33">
        <f t="shared" si="13"/>
        <v>26100</v>
      </c>
      <c r="O97" s="59">
        <v>40921.0</v>
      </c>
      <c r="P97" s="34">
        <f t="shared" si="14"/>
        <v>39.19636015</v>
      </c>
      <c r="Q97" s="60"/>
      <c r="R97" s="36">
        <f t="shared" si="15"/>
        <v>48</v>
      </c>
      <c r="S97" s="61">
        <v>275.0</v>
      </c>
      <c r="T97" s="37">
        <f t="shared" si="16"/>
        <v>323</v>
      </c>
      <c r="U97" s="38">
        <v>1.0</v>
      </c>
      <c r="V97" s="63"/>
      <c r="W97" s="63"/>
      <c r="X97" s="35">
        <f t="shared" si="20"/>
        <v>0.15</v>
      </c>
      <c r="Y97" s="35">
        <f t="shared" si="17"/>
        <v>0.05</v>
      </c>
      <c r="Z97" s="40">
        <f t="shared" si="18"/>
        <v>258.4</v>
      </c>
      <c r="AA97" s="34">
        <f t="shared" si="19"/>
        <v>48.45</v>
      </c>
      <c r="AB97" s="41">
        <f t="shared" si="12"/>
        <v>16.15</v>
      </c>
      <c r="AC97" s="42" t="b">
        <v>1</v>
      </c>
      <c r="AD97" s="42" t="s">
        <v>138</v>
      </c>
      <c r="AE97" s="42" t="s">
        <v>138</v>
      </c>
      <c r="AF97" s="42" t="str">
        <f t="array" ref="AF97">INDEX('Deal Info'!D:D, MATCH(A97,'Deal Info'!A:A, 0))</f>
        <v>Fix15</v>
      </c>
      <c r="AG97" s="43" t="str">
        <f t="array" ref="AG97">INDEX('Deal Info'!G:G, MATCH(A97,'Deal Info'!A:A, 0))</f>
        <v>Fix5</v>
      </c>
    </row>
    <row r="98" hidden="1">
      <c r="A98" s="23" t="str">
        <f t="array" ref="A98">if(G98='Room Info'!$B$1, INDEX('Room Info'!$A$2:$A3446, MATCH(B98,'Room Info'!$B$2:$B3446, 0)),if(G98='Room Info'!$C$1, INDEX('Room Info'!$A$2:$A3446, MATCH(B98,'Room Info'!$C$2:$C3446, 0)),if(G98='Room Info'!$D$1, INDEX('Room Info'!$A$2:$A3446, MATCH(B98,'Room Info'!$D$2:$D3446, 0)),if(G98='Room Info'!$E$1, INDEX('Room Info'!$A$2:$A3446, MATCH(B98,'Room Info'!$E$2:$E3446, 0)),if(G98='Room Info'!$F$1, INDEX('Room Info'!$A$2:$A3446, MATCH(B98,'Room Info'!$F$2:$F3446, 0)),if(G98='Room Info'!$H$1, INDEX('Room Info'!$A$2:$A3446, MATCH(B98,'Room Info'!$H$2:$H3446, 0)),if(G98='Room Info'!$G$1, INDEX('Room Info'!$A$2:$A3446, MATCH(B98,'Room Info'!$G$2:$G3446, 0)))))))))</f>
        <v>AlexanderDSL</v>
      </c>
      <c r="B98" s="59" t="s">
        <v>148</v>
      </c>
      <c r="C98" s="73">
        <v>44368.0</v>
      </c>
      <c r="D98" s="73">
        <v>44397.0</v>
      </c>
      <c r="E98" s="52">
        <v>44378.0</v>
      </c>
      <c r="F98" s="50" t="s">
        <v>4</v>
      </c>
      <c r="G98" s="59" t="s">
        <v>5</v>
      </c>
      <c r="H98" s="54" t="s">
        <v>74</v>
      </c>
      <c r="I98" s="54" t="s">
        <v>7</v>
      </c>
      <c r="J98" s="55">
        <v>50.0</v>
      </c>
      <c r="K98" s="56">
        <v>1901.0</v>
      </c>
      <c r="L98" s="57">
        <v>-1250.0</v>
      </c>
      <c r="M98" s="58">
        <v>174.0</v>
      </c>
      <c r="N98" s="33">
        <f t="shared" si="13"/>
        <v>95050</v>
      </c>
      <c r="O98" s="59">
        <v>52670.0</v>
      </c>
      <c r="P98" s="34">
        <f t="shared" si="14"/>
        <v>27.70647028</v>
      </c>
      <c r="Q98" s="60"/>
      <c r="R98" s="36">
        <f t="shared" si="15"/>
        <v>174</v>
      </c>
      <c r="S98" s="61">
        <v>-1022.0</v>
      </c>
      <c r="T98" s="37">
        <f t="shared" si="16"/>
        <v>-848</v>
      </c>
      <c r="U98" s="38">
        <v>1.0</v>
      </c>
      <c r="V98" s="63"/>
      <c r="W98" s="63"/>
      <c r="X98" s="35">
        <f t="shared" si="20"/>
        <v>0.15</v>
      </c>
      <c r="Y98" s="35">
        <f t="shared" si="17"/>
        <v>0.05</v>
      </c>
      <c r="Z98" s="40">
        <f t="shared" si="18"/>
        <v>-678.4</v>
      </c>
      <c r="AA98" s="34">
        <f t="shared" si="19"/>
        <v>-127.2</v>
      </c>
      <c r="AB98" s="41">
        <f t="shared" si="12"/>
        <v>-42.4</v>
      </c>
      <c r="AC98" s="42" t="b">
        <v>1</v>
      </c>
      <c r="AD98" s="42" t="s">
        <v>138</v>
      </c>
      <c r="AE98" s="42" t="s">
        <v>138</v>
      </c>
      <c r="AF98" s="42" t="str">
        <f t="array" ref="AF98">INDEX('Deal Info'!D:D, MATCH(A98,'Deal Info'!A:A, 0))</f>
        <v>Fix15</v>
      </c>
      <c r="AG98" s="43" t="str">
        <f t="array" ref="AG98">INDEX('Deal Info'!G:G, MATCH(A98,'Deal Info'!A:A, 0))</f>
        <v>Fix5</v>
      </c>
    </row>
    <row r="99" hidden="1">
      <c r="A99" s="23" t="str">
        <f t="array" ref="A99">if(G99='Room Info'!$B$1, INDEX('Room Info'!$A$2:$A3446, MATCH(B99,'Room Info'!$B$2:$B3446, 0)),if(G99='Room Info'!$C$1, INDEX('Room Info'!$A$2:$A3446, MATCH(B99,'Room Info'!$C$2:$C3446, 0)),if(G99='Room Info'!$D$1, INDEX('Room Info'!$A$2:$A3446, MATCH(B99,'Room Info'!$D$2:$D3446, 0)),if(G99='Room Info'!$E$1, INDEX('Room Info'!$A$2:$A3446, MATCH(B99,'Room Info'!$E$2:$E3446, 0)),if(G99='Room Info'!$F$1, INDEX('Room Info'!$A$2:$A3446, MATCH(B99,'Room Info'!$F$2:$F3446, 0)),if(G99='Room Info'!$H$1, INDEX('Room Info'!$A$2:$A3446, MATCH(B99,'Room Info'!$H$2:$H3446, 0)),if(G99='Room Info'!$G$1, INDEX('Room Info'!$A$2:$A3446, MATCH(B99,'Room Info'!$G$2:$G3446, 0)))))))))</f>
        <v>AlexanderDSL</v>
      </c>
      <c r="B99" s="59" t="s">
        <v>148</v>
      </c>
      <c r="C99" s="51">
        <v>44368.0</v>
      </c>
      <c r="D99" s="73">
        <v>44397.0</v>
      </c>
      <c r="E99" s="52">
        <v>44378.0</v>
      </c>
      <c r="F99" s="50" t="s">
        <v>12</v>
      </c>
      <c r="G99" s="59" t="s">
        <v>5</v>
      </c>
      <c r="H99" s="54" t="s">
        <v>63</v>
      </c>
      <c r="I99" s="54" t="s">
        <v>11</v>
      </c>
      <c r="J99" s="55">
        <v>25.0</v>
      </c>
      <c r="K99" s="56">
        <v>1.0</v>
      </c>
      <c r="L99" s="57">
        <v>50.0</v>
      </c>
      <c r="M99" s="67"/>
      <c r="N99" s="33">
        <f t="shared" si="13"/>
        <v>25</v>
      </c>
      <c r="O99" s="70"/>
      <c r="P99" s="34">
        <f t="shared" si="14"/>
        <v>0</v>
      </c>
      <c r="Q99" s="60"/>
      <c r="R99" s="36">
        <f t="shared" si="15"/>
        <v>0</v>
      </c>
      <c r="S99" s="71"/>
      <c r="T99" s="37">
        <f t="shared" si="16"/>
        <v>50</v>
      </c>
      <c r="U99" s="38">
        <v>1.0</v>
      </c>
      <c r="V99" s="63"/>
      <c r="W99" s="63"/>
      <c r="X99" s="35">
        <f t="shared" si="20"/>
        <v>0.15</v>
      </c>
      <c r="Y99" s="35">
        <f t="shared" si="17"/>
        <v>0.05</v>
      </c>
      <c r="Z99" s="40">
        <f t="shared" si="18"/>
        <v>40</v>
      </c>
      <c r="AA99" s="34">
        <f t="shared" si="19"/>
        <v>7.5</v>
      </c>
      <c r="AB99" s="41">
        <f t="shared" si="12"/>
        <v>2.5</v>
      </c>
      <c r="AC99" s="42" t="b">
        <v>1</v>
      </c>
      <c r="AD99" s="42" t="s">
        <v>138</v>
      </c>
      <c r="AE99" s="42" t="s">
        <v>138</v>
      </c>
      <c r="AF99" s="42" t="str">
        <f t="array" ref="AF99">INDEX('Deal Info'!D:D, MATCH(A99,'Deal Info'!A:A, 0))</f>
        <v>Fix15</v>
      </c>
      <c r="AG99" s="43" t="str">
        <f t="array" ref="AG99">INDEX('Deal Info'!G:G, MATCH(A99,'Deal Info'!A:A, 0))</f>
        <v>Fix5</v>
      </c>
    </row>
    <row r="100" hidden="1">
      <c r="A100" s="23" t="str">
        <f t="array" ref="A100">if(G100='Room Info'!$B$1, INDEX('Room Info'!$A$2:$A3446, MATCH(B100,'Room Info'!$B$2:$B3446, 0)),if(G100='Room Info'!$C$1, INDEX('Room Info'!$A$2:$A3446, MATCH(B100,'Room Info'!$C$2:$C3446, 0)),if(G100='Room Info'!$D$1, INDEX('Room Info'!$A$2:$A3446, MATCH(B100,'Room Info'!$D$2:$D3446, 0)),if(G100='Room Info'!$E$1, INDEX('Room Info'!$A$2:$A3446, MATCH(B100,'Room Info'!$E$2:$E3446, 0)),if(G100='Room Info'!$F$1, INDEX('Room Info'!$A$2:$A3446, MATCH(B100,'Room Info'!$F$2:$F3446, 0)),if(G100='Room Info'!$H$1, INDEX('Room Info'!$A$2:$A3446, MATCH(B100,'Room Info'!$H$2:$H3446, 0)),if(G100='Room Info'!$G$1, INDEX('Room Info'!$A$2:$A3446, MATCH(B100,'Room Info'!$G$2:$G3446, 0)))))))))</f>
        <v>AlexanderDSL</v>
      </c>
      <c r="B100" s="59" t="s">
        <v>148</v>
      </c>
      <c r="C100" s="51">
        <v>44398.0</v>
      </c>
      <c r="D100" s="51">
        <v>44428.0</v>
      </c>
      <c r="E100" s="52">
        <v>44409.0</v>
      </c>
      <c r="F100" s="50" t="s">
        <v>4</v>
      </c>
      <c r="G100" s="59" t="s">
        <v>5</v>
      </c>
      <c r="H100" s="54" t="s">
        <v>62</v>
      </c>
      <c r="I100" s="54" t="s">
        <v>7</v>
      </c>
      <c r="J100" s="55">
        <v>25.0</v>
      </c>
      <c r="K100" s="56">
        <v>1323.0</v>
      </c>
      <c r="L100" s="57">
        <v>875.0</v>
      </c>
      <c r="M100" s="58">
        <v>1105.0</v>
      </c>
      <c r="N100" s="33">
        <f t="shared" si="13"/>
        <v>33075</v>
      </c>
      <c r="O100" s="59">
        <v>67344.0</v>
      </c>
      <c r="P100" s="34">
        <f t="shared" si="14"/>
        <v>50.90249433</v>
      </c>
      <c r="Q100" s="60"/>
      <c r="R100" s="36">
        <f t="shared" si="15"/>
        <v>1105</v>
      </c>
      <c r="S100" s="61">
        <v>904.0</v>
      </c>
      <c r="T100" s="37">
        <f t="shared" si="16"/>
        <v>2009</v>
      </c>
      <c r="U100" s="38">
        <v>1.0</v>
      </c>
      <c r="V100" s="63"/>
      <c r="W100" s="63"/>
      <c r="X100" s="35">
        <f t="shared" si="20"/>
        <v>0.15</v>
      </c>
      <c r="Y100" s="35">
        <f t="shared" si="17"/>
        <v>0.05</v>
      </c>
      <c r="Z100" s="40">
        <f t="shared" si="18"/>
        <v>1607.2</v>
      </c>
      <c r="AA100" s="34">
        <f t="shared" si="19"/>
        <v>301.35</v>
      </c>
      <c r="AB100" s="41">
        <f t="shared" si="12"/>
        <v>100.45</v>
      </c>
      <c r="AC100" s="42" t="b">
        <v>1</v>
      </c>
      <c r="AD100" s="42" t="s">
        <v>138</v>
      </c>
      <c r="AE100" s="42" t="s">
        <v>138</v>
      </c>
      <c r="AF100" s="42" t="str">
        <f t="array" ref="AF100">INDEX('Deal Info'!D:D, MATCH(A100,'Deal Info'!A:A, 0))</f>
        <v>Fix15</v>
      </c>
      <c r="AG100" s="43" t="str">
        <f t="array" ref="AG100">INDEX('Deal Info'!G:G, MATCH(A100,'Deal Info'!A:A, 0))</f>
        <v>Fix5</v>
      </c>
    </row>
    <row r="101" hidden="1">
      <c r="A101" s="23" t="str">
        <f t="array" ref="A101">if(G101='Room Info'!$B$1, INDEX('Room Info'!$A$2:$A3446, MATCH(B101,'Room Info'!$B$2:$B3446, 0)),if(G101='Room Info'!$C$1, INDEX('Room Info'!$A$2:$A3446, MATCH(B101,'Room Info'!$C$2:$C3446, 0)),if(G101='Room Info'!$D$1, INDEX('Room Info'!$A$2:$A3446, MATCH(B101,'Room Info'!$D$2:$D3446, 0)),if(G101='Room Info'!$E$1, INDEX('Room Info'!$A$2:$A3446, MATCH(B101,'Room Info'!$E$2:$E3446, 0)),if(G101='Room Info'!$F$1, INDEX('Room Info'!$A$2:$A3446, MATCH(B101,'Room Info'!$F$2:$F3446, 0)),if(G101='Room Info'!$H$1, INDEX('Room Info'!$A$2:$A3446, MATCH(B101,'Room Info'!$H$2:$H3446, 0)),if(G101='Room Info'!$G$1, INDEX('Room Info'!$A$2:$A3446, MATCH(B101,'Room Info'!$G$2:$G3446, 0)))))))))</f>
        <v>AlexanderDSL</v>
      </c>
      <c r="B101" s="59" t="s">
        <v>148</v>
      </c>
      <c r="C101" s="51">
        <v>44398.0</v>
      </c>
      <c r="D101" s="51">
        <v>44428.0</v>
      </c>
      <c r="E101" s="52">
        <v>44409.0</v>
      </c>
      <c r="F101" s="50" t="s">
        <v>4</v>
      </c>
      <c r="G101" s="59" t="s">
        <v>5</v>
      </c>
      <c r="H101" s="54" t="s">
        <v>74</v>
      </c>
      <c r="I101" s="54" t="s">
        <v>7</v>
      </c>
      <c r="J101" s="55">
        <v>50.0</v>
      </c>
      <c r="K101" s="56">
        <v>5105.0</v>
      </c>
      <c r="L101" s="57">
        <v>-50.0</v>
      </c>
      <c r="M101" s="58">
        <v>8536.0</v>
      </c>
      <c r="N101" s="33">
        <f t="shared" si="13"/>
        <v>255250</v>
      </c>
      <c r="O101" s="59">
        <v>167195.0</v>
      </c>
      <c r="P101" s="34">
        <f t="shared" si="14"/>
        <v>32.75122429</v>
      </c>
      <c r="Q101" s="60"/>
      <c r="R101" s="36">
        <f t="shared" si="15"/>
        <v>8536</v>
      </c>
      <c r="S101" s="61">
        <v>-1605.0</v>
      </c>
      <c r="T101" s="37">
        <f t="shared" si="16"/>
        <v>6931</v>
      </c>
      <c r="U101" s="38">
        <v>1.0</v>
      </c>
      <c r="V101" s="63"/>
      <c r="W101" s="63"/>
      <c r="X101" s="35">
        <f t="shared" si="20"/>
        <v>0.15</v>
      </c>
      <c r="Y101" s="35">
        <f t="shared" si="17"/>
        <v>0.05</v>
      </c>
      <c r="Z101" s="40">
        <f t="shared" si="18"/>
        <v>5544.8</v>
      </c>
      <c r="AA101" s="34">
        <f t="shared" si="19"/>
        <v>1039.65</v>
      </c>
      <c r="AB101" s="41">
        <f t="shared" si="12"/>
        <v>346.55</v>
      </c>
      <c r="AC101" s="42" t="b">
        <v>1</v>
      </c>
      <c r="AD101" s="42" t="s">
        <v>138</v>
      </c>
      <c r="AE101" s="42" t="s">
        <v>138</v>
      </c>
      <c r="AF101" s="42" t="str">
        <f t="array" ref="AF101">INDEX('Deal Info'!D:D, MATCH(A101,'Deal Info'!A:A, 0))</f>
        <v>Fix15</v>
      </c>
      <c r="AG101" s="43" t="str">
        <f t="array" ref="AG101">INDEX('Deal Info'!G:G, MATCH(A101,'Deal Info'!A:A, 0))</f>
        <v>Fix5</v>
      </c>
    </row>
    <row r="102" hidden="1">
      <c r="A102" s="23" t="str">
        <f t="array" ref="A102">if(G102='Room Info'!$B$1, INDEX('Room Info'!$A$2:$A3446, MATCH(B102,'Room Info'!$B$2:$B3446, 0)),if(G102='Room Info'!$C$1, INDEX('Room Info'!$A$2:$A3446, MATCH(B102,'Room Info'!$C$2:$C3446, 0)),if(G102='Room Info'!$D$1, INDEX('Room Info'!$A$2:$A3446, MATCH(B102,'Room Info'!$D$2:$D3446, 0)),if(G102='Room Info'!$E$1, INDEX('Room Info'!$A$2:$A3446, MATCH(B102,'Room Info'!$E$2:$E3446, 0)),if(G102='Room Info'!$F$1, INDEX('Room Info'!$A$2:$A3446, MATCH(B102,'Room Info'!$F$2:$F3446, 0)),if(G102='Room Info'!$H$1, INDEX('Room Info'!$A$2:$A3446, MATCH(B102,'Room Info'!$H$2:$H3446, 0)),if(G102='Room Info'!$G$1, INDEX('Room Info'!$A$2:$A3446, MATCH(B102,'Room Info'!$G$2:$G3446, 0)))))))))</f>
        <v>AlexanderDSL</v>
      </c>
      <c r="B102" s="59" t="s">
        <v>148</v>
      </c>
      <c r="C102" s="51">
        <v>44398.0</v>
      </c>
      <c r="D102" s="51">
        <v>44428.0</v>
      </c>
      <c r="E102" s="52">
        <v>44409.0</v>
      </c>
      <c r="F102" s="50" t="s">
        <v>4</v>
      </c>
      <c r="G102" s="59" t="s">
        <v>5</v>
      </c>
      <c r="H102" s="54" t="s">
        <v>85</v>
      </c>
      <c r="I102" s="54" t="s">
        <v>7</v>
      </c>
      <c r="J102" s="55">
        <v>100.0</v>
      </c>
      <c r="K102" s="56">
        <v>6.0</v>
      </c>
      <c r="L102" s="57">
        <v>500.0</v>
      </c>
      <c r="M102" s="58">
        <v>17.0</v>
      </c>
      <c r="N102" s="33">
        <f t="shared" si="13"/>
        <v>600</v>
      </c>
      <c r="O102" s="59">
        <v>1373.0</v>
      </c>
      <c r="P102" s="34">
        <f t="shared" si="14"/>
        <v>228.8333333</v>
      </c>
      <c r="Q102" s="60"/>
      <c r="R102" s="36">
        <f t="shared" si="15"/>
        <v>17</v>
      </c>
      <c r="S102" s="61">
        <v>223.0</v>
      </c>
      <c r="T102" s="37">
        <f t="shared" si="16"/>
        <v>240</v>
      </c>
      <c r="U102" s="38">
        <v>1.0</v>
      </c>
      <c r="V102" s="63"/>
      <c r="W102" s="63"/>
      <c r="X102" s="35">
        <f t="shared" si="20"/>
        <v>0.15</v>
      </c>
      <c r="Y102" s="35">
        <f t="shared" si="17"/>
        <v>0.05</v>
      </c>
      <c r="Z102" s="40">
        <f t="shared" si="18"/>
        <v>192</v>
      </c>
      <c r="AA102" s="34">
        <f t="shared" si="19"/>
        <v>36</v>
      </c>
      <c r="AB102" s="41">
        <f t="shared" si="12"/>
        <v>12</v>
      </c>
      <c r="AC102" s="42" t="b">
        <v>1</v>
      </c>
      <c r="AD102" s="42" t="s">
        <v>138</v>
      </c>
      <c r="AE102" s="42" t="s">
        <v>138</v>
      </c>
      <c r="AF102" s="42" t="str">
        <f t="array" ref="AF102">INDEX('Deal Info'!D:D, MATCH(A102,'Deal Info'!A:A, 0))</f>
        <v>Fix15</v>
      </c>
      <c r="AG102" s="43" t="str">
        <f t="array" ref="AG102">INDEX('Deal Info'!G:G, MATCH(A102,'Deal Info'!A:A, 0))</f>
        <v>Fix5</v>
      </c>
    </row>
    <row r="103" hidden="1">
      <c r="A103" s="23" t="str">
        <f t="array" ref="A103">if(G103='Room Info'!$B$1, INDEX('Room Info'!$A$2:$A3446, MATCH(B103,'Room Info'!$B$2:$B3446, 0)),if(G103='Room Info'!$C$1, INDEX('Room Info'!$A$2:$A3446, MATCH(B103,'Room Info'!$C$2:$C3446, 0)),if(G103='Room Info'!$D$1, INDEX('Room Info'!$A$2:$A3446, MATCH(B103,'Room Info'!$D$2:$D3446, 0)),if(G103='Room Info'!$E$1, INDEX('Room Info'!$A$2:$A3446, MATCH(B103,'Room Info'!$E$2:$E3446, 0)),if(G103='Room Info'!$F$1, INDEX('Room Info'!$A$2:$A3446, MATCH(B103,'Room Info'!$F$2:$F3446, 0)),if(G103='Room Info'!$H$1, INDEX('Room Info'!$A$2:$A3446, MATCH(B103,'Room Info'!$H$2:$H3446, 0)),if(G103='Room Info'!$G$1, INDEX('Room Info'!$A$2:$A3446, MATCH(B103,'Room Info'!$G$2:$G3446, 0)))))))))</f>
        <v>AlexanderDSL</v>
      </c>
      <c r="B103" s="59" t="s">
        <v>148</v>
      </c>
      <c r="C103" s="51">
        <v>44429.0</v>
      </c>
      <c r="D103" s="72">
        <v>44459.0</v>
      </c>
      <c r="E103" s="52">
        <v>44440.0</v>
      </c>
      <c r="F103" s="50" t="s">
        <v>4</v>
      </c>
      <c r="G103" s="59" t="s">
        <v>5</v>
      </c>
      <c r="H103" s="54" t="s">
        <v>45</v>
      </c>
      <c r="I103" s="54" t="s">
        <v>7</v>
      </c>
      <c r="J103" s="55">
        <v>10.0</v>
      </c>
      <c r="K103" s="56">
        <v>1.0</v>
      </c>
      <c r="L103" s="57">
        <v>-10.0</v>
      </c>
      <c r="M103" s="67"/>
      <c r="N103" s="33">
        <f t="shared" si="13"/>
        <v>10</v>
      </c>
      <c r="O103" s="59">
        <v>0.0</v>
      </c>
      <c r="P103" s="34">
        <f t="shared" si="14"/>
        <v>0</v>
      </c>
      <c r="Q103" s="60"/>
      <c r="R103" s="36">
        <f t="shared" si="15"/>
        <v>0</v>
      </c>
      <c r="S103" s="61">
        <v>-1.0</v>
      </c>
      <c r="T103" s="37">
        <f t="shared" si="16"/>
        <v>-1</v>
      </c>
      <c r="U103" s="38">
        <v>1.0</v>
      </c>
      <c r="V103" s="63"/>
      <c r="W103" s="63"/>
      <c r="X103" s="35">
        <f t="shared" si="20"/>
        <v>0.15</v>
      </c>
      <c r="Y103" s="35">
        <f t="shared" si="17"/>
        <v>0.05</v>
      </c>
      <c r="Z103" s="40">
        <f t="shared" si="18"/>
        <v>-0.8</v>
      </c>
      <c r="AA103" s="34">
        <f t="shared" si="19"/>
        <v>-0.15</v>
      </c>
      <c r="AB103" s="41">
        <f t="shared" si="12"/>
        <v>-0.05</v>
      </c>
      <c r="AC103" s="42" t="b">
        <v>1</v>
      </c>
      <c r="AD103" s="42" t="s">
        <v>138</v>
      </c>
      <c r="AE103" s="42" t="s">
        <v>138</v>
      </c>
      <c r="AF103" s="42" t="str">
        <f t="array" ref="AF103">INDEX('Deal Info'!D:D, MATCH(A103,'Deal Info'!A:A, 0))</f>
        <v>Fix15</v>
      </c>
      <c r="AG103" s="43" t="str">
        <f t="array" ref="AG103">INDEX('Deal Info'!G:G, MATCH(A103,'Deal Info'!A:A, 0))</f>
        <v>Fix5</v>
      </c>
    </row>
    <row r="104" hidden="1">
      <c r="A104" s="23" t="str">
        <f t="array" ref="A104">if(G104='Room Info'!$B$1, INDEX('Room Info'!$A$2:$A3446, MATCH(B104,'Room Info'!$B$2:$B3446, 0)),if(G104='Room Info'!$C$1, INDEX('Room Info'!$A$2:$A3446, MATCH(B104,'Room Info'!$C$2:$C3446, 0)),if(G104='Room Info'!$D$1, INDEX('Room Info'!$A$2:$A3446, MATCH(B104,'Room Info'!$D$2:$D3446, 0)),if(G104='Room Info'!$E$1, INDEX('Room Info'!$A$2:$A3446, MATCH(B104,'Room Info'!$E$2:$E3446, 0)),if(G104='Room Info'!$F$1, INDEX('Room Info'!$A$2:$A3446, MATCH(B104,'Room Info'!$F$2:$F3446, 0)),if(G104='Room Info'!$H$1, INDEX('Room Info'!$A$2:$A3446, MATCH(B104,'Room Info'!$H$2:$H3446, 0)),if(G104='Room Info'!$G$1, INDEX('Room Info'!$A$2:$A3446, MATCH(B104,'Room Info'!$G$2:$G3446, 0)))))))))</f>
        <v>AlexanderDSL</v>
      </c>
      <c r="B104" s="59" t="s">
        <v>148</v>
      </c>
      <c r="C104" s="72">
        <v>44429.0</v>
      </c>
      <c r="D104" s="72">
        <v>44459.0</v>
      </c>
      <c r="E104" s="52">
        <v>44440.0</v>
      </c>
      <c r="F104" s="50" t="s">
        <v>4</v>
      </c>
      <c r="G104" s="59" t="s">
        <v>5</v>
      </c>
      <c r="H104" s="54" t="s">
        <v>62</v>
      </c>
      <c r="I104" s="54" t="s">
        <v>7</v>
      </c>
      <c r="J104" s="55">
        <v>25.0</v>
      </c>
      <c r="K104" s="56">
        <v>6.0</v>
      </c>
      <c r="L104" s="57">
        <v>-25.0</v>
      </c>
      <c r="M104" s="58">
        <v>5.0</v>
      </c>
      <c r="N104" s="33">
        <f t="shared" si="13"/>
        <v>150</v>
      </c>
      <c r="O104" s="59">
        <v>-353.0</v>
      </c>
      <c r="P104" s="34">
        <f t="shared" si="14"/>
        <v>-58.83333333</v>
      </c>
      <c r="Q104" s="60"/>
      <c r="R104" s="36">
        <f t="shared" si="15"/>
        <v>5</v>
      </c>
      <c r="S104" s="61">
        <v>-26.0</v>
      </c>
      <c r="T104" s="37">
        <f t="shared" si="16"/>
        <v>-21</v>
      </c>
      <c r="U104" s="38">
        <v>1.0</v>
      </c>
      <c r="V104" s="63"/>
      <c r="W104" s="63"/>
      <c r="X104" s="35">
        <f t="shared" si="20"/>
        <v>0.15</v>
      </c>
      <c r="Y104" s="35">
        <f t="shared" si="17"/>
        <v>0.05</v>
      </c>
      <c r="Z104" s="40">
        <f t="shared" si="18"/>
        <v>-16.8</v>
      </c>
      <c r="AA104" s="34">
        <f t="shared" si="19"/>
        <v>-3.15</v>
      </c>
      <c r="AB104" s="41">
        <f t="shared" si="12"/>
        <v>-1.05</v>
      </c>
      <c r="AC104" s="42" t="b">
        <v>1</v>
      </c>
      <c r="AD104" s="42" t="s">
        <v>138</v>
      </c>
      <c r="AE104" s="42" t="s">
        <v>138</v>
      </c>
      <c r="AF104" s="42" t="str">
        <f t="array" ref="AF104">INDEX('Deal Info'!D:D, MATCH(A104,'Deal Info'!A:A, 0))</f>
        <v>Fix15</v>
      </c>
      <c r="AG104" s="43" t="str">
        <f t="array" ref="AG104">INDEX('Deal Info'!G:G, MATCH(A104,'Deal Info'!A:A, 0))</f>
        <v>Fix5</v>
      </c>
    </row>
    <row r="105" hidden="1">
      <c r="A105" s="23" t="str">
        <f t="array" ref="A105">if(G105='Room Info'!$B$1, INDEX('Room Info'!$A$2:$A3446, MATCH(B105,'Room Info'!$B$2:$B3446, 0)),if(G105='Room Info'!$C$1, INDEX('Room Info'!$A$2:$A3446, MATCH(B105,'Room Info'!$C$2:$C3446, 0)),if(G105='Room Info'!$D$1, INDEX('Room Info'!$A$2:$A3446, MATCH(B105,'Room Info'!$D$2:$D3446, 0)),if(G105='Room Info'!$E$1, INDEX('Room Info'!$A$2:$A3446, MATCH(B105,'Room Info'!$E$2:$E3446, 0)),if(G105='Room Info'!$F$1, INDEX('Room Info'!$A$2:$A3446, MATCH(B105,'Room Info'!$F$2:$F3446, 0)),if(G105='Room Info'!$H$1, INDEX('Room Info'!$A$2:$A3446, MATCH(B105,'Room Info'!$H$2:$H3446, 0)),if(G105='Room Info'!$G$1, INDEX('Room Info'!$A$2:$A3446, MATCH(B105,'Room Info'!$G$2:$G3446, 0)))))))))</f>
        <v>AlexanderDSL</v>
      </c>
      <c r="B105" s="59" t="s">
        <v>148</v>
      </c>
      <c r="C105" s="72">
        <v>44429.0</v>
      </c>
      <c r="D105" s="72">
        <v>44459.0</v>
      </c>
      <c r="E105" s="52">
        <v>44440.0</v>
      </c>
      <c r="F105" s="50" t="s">
        <v>4</v>
      </c>
      <c r="G105" s="59" t="s">
        <v>5</v>
      </c>
      <c r="H105" s="54" t="s">
        <v>74</v>
      </c>
      <c r="I105" s="54" t="s">
        <v>7</v>
      </c>
      <c r="J105" s="55">
        <v>50.0</v>
      </c>
      <c r="K105" s="56">
        <v>4170.0</v>
      </c>
      <c r="L105" s="57">
        <v>-5650.0</v>
      </c>
      <c r="M105" s="58">
        <v>5926.0</v>
      </c>
      <c r="N105" s="33">
        <f t="shared" si="13"/>
        <v>208500</v>
      </c>
      <c r="O105" s="59">
        <v>112484.0</v>
      </c>
      <c r="P105" s="34">
        <f t="shared" si="14"/>
        <v>26.97458034</v>
      </c>
      <c r="Q105" s="60"/>
      <c r="R105" s="36">
        <f t="shared" si="15"/>
        <v>5926</v>
      </c>
      <c r="S105" s="61">
        <v>-3667.0</v>
      </c>
      <c r="T105" s="37">
        <f t="shared" si="16"/>
        <v>2259</v>
      </c>
      <c r="U105" s="38">
        <v>1.0</v>
      </c>
      <c r="V105" s="63"/>
      <c r="W105" s="63"/>
      <c r="X105" s="35">
        <f t="shared" si="20"/>
        <v>0.15</v>
      </c>
      <c r="Y105" s="35">
        <f t="shared" si="17"/>
        <v>0.05</v>
      </c>
      <c r="Z105" s="40">
        <f t="shared" si="18"/>
        <v>1807.2</v>
      </c>
      <c r="AA105" s="34">
        <f t="shared" si="19"/>
        <v>338.85</v>
      </c>
      <c r="AB105" s="41">
        <f t="shared" si="12"/>
        <v>112.95</v>
      </c>
      <c r="AC105" s="42" t="b">
        <v>1</v>
      </c>
      <c r="AD105" s="42" t="s">
        <v>138</v>
      </c>
      <c r="AE105" s="42" t="s">
        <v>138</v>
      </c>
      <c r="AF105" s="42" t="str">
        <f t="array" ref="AF105">INDEX('Deal Info'!D:D, MATCH(A105,'Deal Info'!A:A, 0))</f>
        <v>Fix15</v>
      </c>
      <c r="AG105" s="43" t="str">
        <f t="array" ref="AG105">INDEX('Deal Info'!G:G, MATCH(A105,'Deal Info'!A:A, 0))</f>
        <v>Fix5</v>
      </c>
    </row>
    <row r="106" hidden="1">
      <c r="A106" s="23" t="str">
        <f t="array" ref="A106">if(G106='Room Info'!$B$1, INDEX('Room Info'!$A$2:$A3446, MATCH(B106,'Room Info'!$B$2:$B3446, 0)),if(G106='Room Info'!$C$1, INDEX('Room Info'!$A$2:$A3446, MATCH(B106,'Room Info'!$C$2:$C3446, 0)),if(G106='Room Info'!$D$1, INDEX('Room Info'!$A$2:$A3446, MATCH(B106,'Room Info'!$D$2:$D3446, 0)),if(G106='Room Info'!$E$1, INDEX('Room Info'!$A$2:$A3446, MATCH(B106,'Room Info'!$E$2:$E3446, 0)),if(G106='Room Info'!$F$1, INDEX('Room Info'!$A$2:$A3446, MATCH(B106,'Room Info'!$F$2:$F3446, 0)),if(G106='Room Info'!$H$1, INDEX('Room Info'!$A$2:$A3446, MATCH(B106,'Room Info'!$H$2:$H3446, 0)),if(G106='Room Info'!$G$1, INDEX('Room Info'!$A$2:$A3446, MATCH(B106,'Room Info'!$G$2:$G3446, 0)))))))))</f>
        <v>AlexanderDSL</v>
      </c>
      <c r="B106" s="59" t="s">
        <v>148</v>
      </c>
      <c r="C106" s="72">
        <v>44460.0</v>
      </c>
      <c r="D106" s="72">
        <v>44489.0</v>
      </c>
      <c r="E106" s="52">
        <v>44470.0</v>
      </c>
      <c r="F106" s="50" t="s">
        <v>4</v>
      </c>
      <c r="G106" s="59" t="s">
        <v>5</v>
      </c>
      <c r="H106" s="54" t="s">
        <v>45</v>
      </c>
      <c r="I106" s="54" t="s">
        <v>7</v>
      </c>
      <c r="J106" s="55">
        <v>10.0</v>
      </c>
      <c r="K106" s="56">
        <v>9.0</v>
      </c>
      <c r="L106" s="57">
        <v>20.0</v>
      </c>
      <c r="M106" s="58">
        <v>5.0</v>
      </c>
      <c r="N106" s="33">
        <f t="shared" si="13"/>
        <v>90</v>
      </c>
      <c r="O106" s="59">
        <v>1921.0</v>
      </c>
      <c r="P106" s="34">
        <f t="shared" si="14"/>
        <v>213.4444444</v>
      </c>
      <c r="Q106" s="60"/>
      <c r="R106" s="36">
        <f t="shared" si="15"/>
        <v>5</v>
      </c>
      <c r="S106" s="61">
        <v>28.0</v>
      </c>
      <c r="T106" s="37">
        <f t="shared" si="16"/>
        <v>33</v>
      </c>
      <c r="U106" s="38">
        <v>1.0</v>
      </c>
      <c r="V106" s="63"/>
      <c r="W106" s="63"/>
      <c r="X106" s="35">
        <f t="shared" si="20"/>
        <v>0.15</v>
      </c>
      <c r="Y106" s="35">
        <f t="shared" si="17"/>
        <v>0.05</v>
      </c>
      <c r="Z106" s="40">
        <f t="shared" si="18"/>
        <v>26.4</v>
      </c>
      <c r="AA106" s="34">
        <f t="shared" si="19"/>
        <v>4.95</v>
      </c>
      <c r="AB106" s="41">
        <f t="shared" si="12"/>
        <v>1.65</v>
      </c>
      <c r="AC106" s="42" t="b">
        <v>1</v>
      </c>
      <c r="AD106" s="42" t="s">
        <v>138</v>
      </c>
      <c r="AE106" s="42" t="s">
        <v>138</v>
      </c>
      <c r="AF106" s="42" t="str">
        <f t="array" ref="AF106">INDEX('Deal Info'!D:D, MATCH(A106,'Deal Info'!A:A, 0))</f>
        <v>Fix15</v>
      </c>
      <c r="AG106" s="43" t="str">
        <f t="array" ref="AG106">INDEX('Deal Info'!G:G, MATCH(A106,'Deal Info'!A:A, 0))</f>
        <v>Fix5</v>
      </c>
    </row>
    <row r="107" hidden="1">
      <c r="A107" s="23" t="str">
        <f t="array" ref="A107">if(G107='Room Info'!$B$1, INDEX('Room Info'!$A$2:$A3446, MATCH(B107,'Room Info'!$B$2:$B3446, 0)),if(G107='Room Info'!$C$1, INDEX('Room Info'!$A$2:$A3446, MATCH(B107,'Room Info'!$C$2:$C3446, 0)),if(G107='Room Info'!$D$1, INDEX('Room Info'!$A$2:$A3446, MATCH(B107,'Room Info'!$D$2:$D3446, 0)),if(G107='Room Info'!$E$1, INDEX('Room Info'!$A$2:$A3446, MATCH(B107,'Room Info'!$E$2:$E3446, 0)),if(G107='Room Info'!$F$1, INDEX('Room Info'!$A$2:$A3446, MATCH(B107,'Room Info'!$F$2:$F3446, 0)),if(G107='Room Info'!$H$1, INDEX('Room Info'!$A$2:$A3446, MATCH(B107,'Room Info'!$H$2:$H3446, 0)),if(G107='Room Info'!$G$1, INDEX('Room Info'!$A$2:$A3446, MATCH(B107,'Room Info'!$G$2:$G3446, 0)))))))))</f>
        <v>AlexanderDSL</v>
      </c>
      <c r="B107" s="59" t="s">
        <v>148</v>
      </c>
      <c r="C107" s="72">
        <v>44460.0</v>
      </c>
      <c r="D107" s="72">
        <v>44489.0</v>
      </c>
      <c r="E107" s="52">
        <v>44470.0</v>
      </c>
      <c r="F107" s="50" t="s">
        <v>4</v>
      </c>
      <c r="G107" s="59" t="s">
        <v>5</v>
      </c>
      <c r="H107" s="54" t="s">
        <v>74</v>
      </c>
      <c r="I107" s="54" t="s">
        <v>7</v>
      </c>
      <c r="J107" s="55">
        <v>50.0</v>
      </c>
      <c r="K107" s="56">
        <v>4158.0</v>
      </c>
      <c r="L107" s="57">
        <v>-11100.0</v>
      </c>
      <c r="M107" s="58">
        <v>9804.0</v>
      </c>
      <c r="N107" s="33">
        <f t="shared" si="13"/>
        <v>207900</v>
      </c>
      <c r="O107" s="59">
        <v>64825.0</v>
      </c>
      <c r="P107" s="34">
        <f t="shared" si="14"/>
        <v>15.59042809</v>
      </c>
      <c r="Q107" s="60"/>
      <c r="R107" s="36">
        <f t="shared" si="15"/>
        <v>9804</v>
      </c>
      <c r="S107" s="61">
        <v>-7838.0</v>
      </c>
      <c r="T107" s="37">
        <f t="shared" si="16"/>
        <v>1966</v>
      </c>
      <c r="U107" s="38">
        <v>1.0</v>
      </c>
      <c r="V107" s="63"/>
      <c r="W107" s="63"/>
      <c r="X107" s="35">
        <f t="shared" si="20"/>
        <v>0.15</v>
      </c>
      <c r="Y107" s="35">
        <f t="shared" si="17"/>
        <v>0.05</v>
      </c>
      <c r="Z107" s="40">
        <f t="shared" si="18"/>
        <v>1572.8</v>
      </c>
      <c r="AA107" s="34">
        <f t="shared" si="19"/>
        <v>294.9</v>
      </c>
      <c r="AB107" s="41">
        <f t="shared" si="12"/>
        <v>98.3</v>
      </c>
      <c r="AC107" s="42" t="b">
        <v>1</v>
      </c>
      <c r="AD107" s="42" t="s">
        <v>138</v>
      </c>
      <c r="AE107" s="42" t="s">
        <v>138</v>
      </c>
      <c r="AF107" s="42" t="str">
        <f t="array" ref="AF107">INDEX('Deal Info'!D:D, MATCH(A107,'Deal Info'!A:A, 0))</f>
        <v>Fix15</v>
      </c>
      <c r="AG107" s="43" t="str">
        <f t="array" ref="AG107">INDEX('Deal Info'!G:G, MATCH(A107,'Deal Info'!A:A, 0))</f>
        <v>Fix5</v>
      </c>
    </row>
    <row r="108" hidden="1">
      <c r="A108" s="23" t="str">
        <f t="array" ref="A108">if(G108='Room Info'!$B$1, INDEX('Room Info'!$A$2:$A3446, MATCH(B108,'Room Info'!$B$2:$B3446, 0)),if(G108='Room Info'!$C$1, INDEX('Room Info'!$A$2:$A3446, MATCH(B108,'Room Info'!$C$2:$C3446, 0)),if(G108='Room Info'!$D$1, INDEX('Room Info'!$A$2:$A3446, MATCH(B108,'Room Info'!$D$2:$D3446, 0)),if(G108='Room Info'!$E$1, INDEX('Room Info'!$A$2:$A3446, MATCH(B108,'Room Info'!$E$2:$E3446, 0)),if(G108='Room Info'!$F$1, INDEX('Room Info'!$A$2:$A3446, MATCH(B108,'Room Info'!$F$2:$F3446, 0)),if(G108='Room Info'!$H$1, INDEX('Room Info'!$A$2:$A3446, MATCH(B108,'Room Info'!$H$2:$H3446, 0)),if(G108='Room Info'!$G$1, INDEX('Room Info'!$A$2:$A3446, MATCH(B108,'Room Info'!$G$2:$G3446, 0)))))))))</f>
        <v>AlexanderDSL</v>
      </c>
      <c r="B108" s="59" t="s">
        <v>148</v>
      </c>
      <c r="C108" s="72">
        <v>44460.0</v>
      </c>
      <c r="D108" s="72">
        <v>44489.0</v>
      </c>
      <c r="E108" s="52">
        <v>44470.0</v>
      </c>
      <c r="F108" s="50" t="s">
        <v>4</v>
      </c>
      <c r="G108" s="59" t="s">
        <v>5</v>
      </c>
      <c r="H108" s="54" t="s">
        <v>85</v>
      </c>
      <c r="I108" s="54" t="s">
        <v>7</v>
      </c>
      <c r="J108" s="55">
        <v>100.0</v>
      </c>
      <c r="K108" s="56">
        <v>4.0</v>
      </c>
      <c r="L108" s="57">
        <v>600.0</v>
      </c>
      <c r="M108" s="58">
        <v>16.0</v>
      </c>
      <c r="N108" s="33">
        <f t="shared" si="13"/>
        <v>400</v>
      </c>
      <c r="O108" s="59">
        <v>860.0</v>
      </c>
      <c r="P108" s="34">
        <f t="shared" si="14"/>
        <v>215</v>
      </c>
      <c r="Q108" s="60"/>
      <c r="R108" s="36">
        <f t="shared" si="15"/>
        <v>16</v>
      </c>
      <c r="S108" s="61">
        <v>139.0</v>
      </c>
      <c r="T108" s="37">
        <f t="shared" si="16"/>
        <v>155</v>
      </c>
      <c r="U108" s="38">
        <v>1.0</v>
      </c>
      <c r="V108" s="63"/>
      <c r="W108" s="63"/>
      <c r="X108" s="35">
        <f t="shared" si="20"/>
        <v>0.15</v>
      </c>
      <c r="Y108" s="35">
        <f t="shared" si="17"/>
        <v>0.05</v>
      </c>
      <c r="Z108" s="40">
        <f t="shared" si="18"/>
        <v>124</v>
      </c>
      <c r="AA108" s="34">
        <f t="shared" si="19"/>
        <v>23.25</v>
      </c>
      <c r="AB108" s="41">
        <f t="shared" si="12"/>
        <v>7.75</v>
      </c>
      <c r="AC108" s="42" t="b">
        <v>1</v>
      </c>
      <c r="AD108" s="42" t="s">
        <v>138</v>
      </c>
      <c r="AE108" s="42" t="s">
        <v>138</v>
      </c>
      <c r="AF108" s="42" t="str">
        <f t="array" ref="AF108">INDEX('Deal Info'!D:D, MATCH(A108,'Deal Info'!A:A, 0))</f>
        <v>Fix15</v>
      </c>
      <c r="AG108" s="43" t="str">
        <f t="array" ref="AG108">INDEX('Deal Info'!G:G, MATCH(A108,'Deal Info'!A:A, 0))</f>
        <v>Fix5</v>
      </c>
    </row>
    <row r="109" hidden="1">
      <c r="A109" s="23" t="str">
        <f t="array" ref="A109">if(G109='Room Info'!$B$1, INDEX('Room Info'!$A$2:$A3446, MATCH(B109,'Room Info'!$B$2:$B3446, 0)),if(G109='Room Info'!$C$1, INDEX('Room Info'!$A$2:$A3446, MATCH(B109,'Room Info'!$C$2:$C3446, 0)),if(G109='Room Info'!$D$1, INDEX('Room Info'!$A$2:$A3446, MATCH(B109,'Room Info'!$D$2:$D3446, 0)),if(G109='Room Info'!$E$1, INDEX('Room Info'!$A$2:$A3446, MATCH(B109,'Room Info'!$E$2:$E3446, 0)),if(G109='Room Info'!$F$1, INDEX('Room Info'!$A$2:$A3446, MATCH(B109,'Room Info'!$F$2:$F3446, 0)),if(G109='Room Info'!$H$1, INDEX('Room Info'!$A$2:$A3446, MATCH(B109,'Room Info'!$H$2:$H3446, 0)),if(G109='Room Info'!$G$1, INDEX('Room Info'!$A$2:$A3446, MATCH(B109,'Room Info'!$G$2:$G3446, 0)))))))))</f>
        <v>AlexanderDSL</v>
      </c>
      <c r="B109" s="59" t="s">
        <v>148</v>
      </c>
      <c r="C109" s="72">
        <v>44490.0</v>
      </c>
      <c r="D109" s="72">
        <v>44520.0</v>
      </c>
      <c r="E109" s="52">
        <v>44501.0</v>
      </c>
      <c r="F109" s="50" t="s">
        <v>4</v>
      </c>
      <c r="G109" s="59" t="s">
        <v>5</v>
      </c>
      <c r="H109" s="54" t="s">
        <v>74</v>
      </c>
      <c r="I109" s="54" t="s">
        <v>7</v>
      </c>
      <c r="J109" s="55">
        <v>50.0</v>
      </c>
      <c r="K109" s="56">
        <v>3381.0</v>
      </c>
      <c r="L109" s="57">
        <v>2050.0</v>
      </c>
      <c r="M109" s="58">
        <v>4230.0</v>
      </c>
      <c r="N109" s="33">
        <f t="shared" si="13"/>
        <v>169050</v>
      </c>
      <c r="O109" s="59">
        <v>102060.0</v>
      </c>
      <c r="P109" s="34">
        <f t="shared" si="14"/>
        <v>30.1863354</v>
      </c>
      <c r="Q109" s="60"/>
      <c r="R109" s="36">
        <f t="shared" si="15"/>
        <v>4230</v>
      </c>
      <c r="S109" s="61">
        <v>-1286.0</v>
      </c>
      <c r="T109" s="37">
        <f t="shared" si="16"/>
        <v>2944</v>
      </c>
      <c r="U109" s="38">
        <v>1.0</v>
      </c>
      <c r="V109" s="63"/>
      <c r="W109" s="63"/>
      <c r="X109" s="35">
        <f t="shared" si="20"/>
        <v>0.15</v>
      </c>
      <c r="Y109" s="35">
        <f t="shared" si="17"/>
        <v>0.05</v>
      </c>
      <c r="Z109" s="40">
        <f t="shared" si="18"/>
        <v>2355.2</v>
      </c>
      <c r="AA109" s="34">
        <f t="shared" si="19"/>
        <v>441.6</v>
      </c>
      <c r="AB109" s="41">
        <f t="shared" si="12"/>
        <v>147.2</v>
      </c>
      <c r="AC109" s="42" t="b">
        <v>1</v>
      </c>
      <c r="AD109" s="42" t="s">
        <v>138</v>
      </c>
      <c r="AE109" s="42" t="s">
        <v>138</v>
      </c>
      <c r="AF109" s="42" t="str">
        <f t="array" ref="AF109">INDEX('Deal Info'!D:D, MATCH(A109,'Deal Info'!A:A, 0))</f>
        <v>Fix15</v>
      </c>
      <c r="AG109" s="43" t="str">
        <f t="array" ref="AG109">INDEX('Deal Info'!G:G, MATCH(A109,'Deal Info'!A:A, 0))</f>
        <v>Fix5</v>
      </c>
    </row>
    <row r="110" hidden="1">
      <c r="A110" s="23" t="str">
        <f t="array" ref="A110">if(G110='Room Info'!$B$1, INDEX('Room Info'!$A$2:$A3446, MATCH(B110,'Room Info'!$B$2:$B3446, 0)),if(G110='Room Info'!$C$1, INDEX('Room Info'!$A$2:$A3446, MATCH(B110,'Room Info'!$C$2:$C3446, 0)),if(G110='Room Info'!$D$1, INDEX('Room Info'!$A$2:$A3446, MATCH(B110,'Room Info'!$D$2:$D3446, 0)),if(G110='Room Info'!$E$1, INDEX('Room Info'!$A$2:$A3446, MATCH(B110,'Room Info'!$E$2:$E3446, 0)),if(G110='Room Info'!$F$1, INDEX('Room Info'!$A$2:$A3446, MATCH(B110,'Room Info'!$F$2:$F3446, 0)),if(G110='Room Info'!$H$1, INDEX('Room Info'!$A$2:$A3446, MATCH(B110,'Room Info'!$H$2:$H3446, 0)),if(G110='Room Info'!$G$1, INDEX('Room Info'!$A$2:$A3446, MATCH(B110,'Room Info'!$G$2:$G3446, 0)))))))))</f>
        <v>AlexanderDSL</v>
      </c>
      <c r="B110" s="59" t="s">
        <v>148</v>
      </c>
      <c r="C110" s="72">
        <v>44490.0</v>
      </c>
      <c r="D110" s="72">
        <v>44520.0</v>
      </c>
      <c r="E110" s="52">
        <v>44501.0</v>
      </c>
      <c r="F110" s="50" t="s">
        <v>4</v>
      </c>
      <c r="G110" s="59" t="s">
        <v>5</v>
      </c>
      <c r="H110" s="54" t="s">
        <v>85</v>
      </c>
      <c r="I110" s="54" t="s">
        <v>7</v>
      </c>
      <c r="J110" s="55">
        <v>100.0</v>
      </c>
      <c r="K110" s="56">
        <v>2.0</v>
      </c>
      <c r="L110" s="57">
        <v>-200.0</v>
      </c>
      <c r="M110" s="58">
        <v>4.0</v>
      </c>
      <c r="N110" s="33">
        <f t="shared" si="13"/>
        <v>200</v>
      </c>
      <c r="O110" s="59">
        <v>-718.0</v>
      </c>
      <c r="P110" s="34">
        <f t="shared" si="14"/>
        <v>-359</v>
      </c>
      <c r="Q110" s="60"/>
      <c r="R110" s="36">
        <f t="shared" si="15"/>
        <v>4</v>
      </c>
      <c r="S110" s="61">
        <v>-145.0</v>
      </c>
      <c r="T110" s="37">
        <f t="shared" si="16"/>
        <v>-141</v>
      </c>
      <c r="U110" s="38">
        <v>1.0</v>
      </c>
      <c r="V110" s="63"/>
      <c r="W110" s="63"/>
      <c r="X110" s="35">
        <f t="shared" si="20"/>
        <v>0.15</v>
      </c>
      <c r="Y110" s="35">
        <f t="shared" si="17"/>
        <v>0.05</v>
      </c>
      <c r="Z110" s="40">
        <f t="shared" si="18"/>
        <v>-112.8</v>
      </c>
      <c r="AA110" s="34">
        <f t="shared" si="19"/>
        <v>-21.15</v>
      </c>
      <c r="AB110" s="41">
        <f t="shared" si="12"/>
        <v>-7.05</v>
      </c>
      <c r="AC110" s="42" t="b">
        <v>1</v>
      </c>
      <c r="AD110" s="42" t="s">
        <v>138</v>
      </c>
      <c r="AE110" s="42" t="s">
        <v>138</v>
      </c>
      <c r="AF110" s="42" t="str">
        <f t="array" ref="AF110">INDEX('Deal Info'!D:D, MATCH(A110,'Deal Info'!A:A, 0))</f>
        <v>Fix15</v>
      </c>
      <c r="AG110" s="43" t="str">
        <f t="array" ref="AG110">INDEX('Deal Info'!G:G, MATCH(A110,'Deal Info'!A:A, 0))</f>
        <v>Fix5</v>
      </c>
    </row>
    <row r="111" hidden="1">
      <c r="A111" s="23" t="str">
        <f t="array" ref="A111">if(G111='Room Info'!$B$1, INDEX('Room Info'!$A$2:$A3446, MATCH(B111,'Room Info'!$B$2:$B3446, 0)),if(G111='Room Info'!$C$1, INDEX('Room Info'!$A$2:$A3446, MATCH(B111,'Room Info'!$C$2:$C3446, 0)),if(G111='Room Info'!$D$1, INDEX('Room Info'!$A$2:$A3446, MATCH(B111,'Room Info'!$D$2:$D3446, 0)),if(G111='Room Info'!$E$1, INDEX('Room Info'!$A$2:$A3446, MATCH(B111,'Room Info'!$E$2:$E3446, 0)),if(G111='Room Info'!$F$1, INDEX('Room Info'!$A$2:$A3446, MATCH(B111,'Room Info'!$F$2:$F3446, 0)),if(G111='Room Info'!$H$1, INDEX('Room Info'!$A$2:$A3446, MATCH(B111,'Room Info'!$H$2:$H3446, 0)),if(G111='Room Info'!$G$1, INDEX('Room Info'!$A$2:$A3446, MATCH(B111,'Room Info'!$G$2:$G3446, 0)))))))))</f>
        <v>AlexanderDSL</v>
      </c>
      <c r="B111" s="59" t="s">
        <v>148</v>
      </c>
      <c r="C111" s="72">
        <v>44490.0</v>
      </c>
      <c r="D111" s="72">
        <v>44520.0</v>
      </c>
      <c r="E111" s="52">
        <v>44501.0</v>
      </c>
      <c r="F111" s="50" t="s">
        <v>12</v>
      </c>
      <c r="G111" s="59" t="s">
        <v>5</v>
      </c>
      <c r="H111" s="54" t="s">
        <v>96</v>
      </c>
      <c r="I111" s="54" t="s">
        <v>7</v>
      </c>
      <c r="J111" s="55">
        <v>250.0</v>
      </c>
      <c r="K111" s="56">
        <v>3.0</v>
      </c>
      <c r="L111" s="57">
        <v>-750.0</v>
      </c>
      <c r="M111" s="58">
        <v>16.0</v>
      </c>
      <c r="N111" s="33">
        <f t="shared" si="13"/>
        <v>750</v>
      </c>
      <c r="O111" s="70"/>
      <c r="P111" s="34">
        <f t="shared" si="14"/>
        <v>0</v>
      </c>
      <c r="Q111" s="60"/>
      <c r="R111" s="36">
        <f t="shared" si="15"/>
        <v>16</v>
      </c>
      <c r="S111" s="71"/>
      <c r="T111" s="37">
        <f t="shared" si="16"/>
        <v>-734</v>
      </c>
      <c r="U111" s="38">
        <v>1.0</v>
      </c>
      <c r="V111" s="63"/>
      <c r="W111" s="63"/>
      <c r="X111" s="35">
        <f t="shared" si="20"/>
        <v>0.15</v>
      </c>
      <c r="Y111" s="35">
        <f t="shared" si="17"/>
        <v>0.05</v>
      </c>
      <c r="Z111" s="40">
        <f t="shared" si="18"/>
        <v>-587.2</v>
      </c>
      <c r="AA111" s="34">
        <f t="shared" si="19"/>
        <v>-110.1</v>
      </c>
      <c r="AB111" s="41">
        <f t="shared" si="12"/>
        <v>-36.7</v>
      </c>
      <c r="AC111" s="42" t="b">
        <v>1</v>
      </c>
      <c r="AD111" s="42" t="s">
        <v>138</v>
      </c>
      <c r="AE111" s="42" t="s">
        <v>138</v>
      </c>
      <c r="AF111" s="42" t="str">
        <f t="array" ref="AF111">INDEX('Deal Info'!D:D, MATCH(A111,'Deal Info'!A:A, 0))</f>
        <v>Fix15</v>
      </c>
      <c r="AG111" s="43" t="str">
        <f t="array" ref="AG111">INDEX('Deal Info'!G:G, MATCH(A111,'Deal Info'!A:A, 0))</f>
        <v>Fix5</v>
      </c>
    </row>
    <row r="112" hidden="1">
      <c r="A112" s="23" t="str">
        <f t="array" ref="A112">if(G112='Room Info'!$B$1, INDEX('Room Info'!$A$2:$A3446, MATCH(B112,'Room Info'!$B$2:$B3446, 0)),if(G112='Room Info'!$C$1, INDEX('Room Info'!$A$2:$A3446, MATCH(B112,'Room Info'!$C$2:$C3446, 0)),if(G112='Room Info'!$D$1, INDEX('Room Info'!$A$2:$A3446, MATCH(B112,'Room Info'!$D$2:$D3446, 0)),if(G112='Room Info'!$E$1, INDEX('Room Info'!$A$2:$A3446, MATCH(B112,'Room Info'!$E$2:$E3446, 0)),if(G112='Room Info'!$F$1, INDEX('Room Info'!$A$2:$A3446, MATCH(B112,'Room Info'!$F$2:$F3446, 0)),if(G112='Room Info'!$H$1, INDEX('Room Info'!$A$2:$A3446, MATCH(B112,'Room Info'!$H$2:$H3446, 0)),if(G112='Room Info'!$G$1, INDEX('Room Info'!$A$2:$A3446, MATCH(B112,'Room Info'!$G$2:$G3446, 0)))))))))</f>
        <v>AlexanderDSL</v>
      </c>
      <c r="B112" s="59" t="s">
        <v>148</v>
      </c>
      <c r="C112" s="72">
        <v>44521.0</v>
      </c>
      <c r="D112" s="72">
        <v>44550.0</v>
      </c>
      <c r="E112" s="52">
        <v>44531.0</v>
      </c>
      <c r="F112" s="50" t="s">
        <v>4</v>
      </c>
      <c r="G112" s="59" t="s">
        <v>5</v>
      </c>
      <c r="H112" s="54" t="s">
        <v>74</v>
      </c>
      <c r="I112" s="54" t="s">
        <v>7</v>
      </c>
      <c r="J112" s="55">
        <v>50.0</v>
      </c>
      <c r="K112" s="56">
        <v>4037.0</v>
      </c>
      <c r="L112" s="57">
        <v>-8800.0</v>
      </c>
      <c r="M112" s="58">
        <v>8775.0</v>
      </c>
      <c r="N112" s="33">
        <f t="shared" si="13"/>
        <v>201850</v>
      </c>
      <c r="O112" s="59">
        <v>37790.0</v>
      </c>
      <c r="P112" s="34">
        <f t="shared" si="14"/>
        <v>9.360911568</v>
      </c>
      <c r="Q112" s="60"/>
      <c r="R112" s="36">
        <f t="shared" si="15"/>
        <v>8775</v>
      </c>
      <c r="S112" s="61">
        <v>-9386.0</v>
      </c>
      <c r="T112" s="37">
        <f t="shared" si="16"/>
        <v>-611</v>
      </c>
      <c r="U112" s="38">
        <v>1.0</v>
      </c>
      <c r="V112" s="63"/>
      <c r="W112" s="63"/>
      <c r="X112" s="35">
        <f t="shared" si="20"/>
        <v>0.15</v>
      </c>
      <c r="Y112" s="35">
        <f t="shared" si="17"/>
        <v>0.05</v>
      </c>
      <c r="Z112" s="40">
        <f t="shared" si="18"/>
        <v>-488.8</v>
      </c>
      <c r="AA112" s="34">
        <f t="shared" si="19"/>
        <v>-91.65</v>
      </c>
      <c r="AB112" s="41">
        <f t="shared" si="12"/>
        <v>-30.55</v>
      </c>
      <c r="AC112" s="42" t="b">
        <v>1</v>
      </c>
      <c r="AD112" s="42" t="s">
        <v>138</v>
      </c>
      <c r="AE112" s="42" t="s">
        <v>138</v>
      </c>
      <c r="AF112" s="42" t="str">
        <f t="array" ref="AF112">INDEX('Deal Info'!D:D, MATCH(A112,'Deal Info'!A:A, 0))</f>
        <v>Fix15</v>
      </c>
      <c r="AG112" s="43" t="str">
        <f t="array" ref="AG112">INDEX('Deal Info'!G:G, MATCH(A112,'Deal Info'!A:A, 0))</f>
        <v>Fix5</v>
      </c>
    </row>
    <row r="113" hidden="1">
      <c r="A113" s="23" t="str">
        <f t="array" ref="A113">if(G113='Room Info'!$B$1, INDEX('Room Info'!$A$2:$A3446, MATCH(B113,'Room Info'!$B$2:$B3446, 0)),if(G113='Room Info'!$C$1, INDEX('Room Info'!$A$2:$A3446, MATCH(B113,'Room Info'!$C$2:$C3446, 0)),if(G113='Room Info'!$D$1, INDEX('Room Info'!$A$2:$A3446, MATCH(B113,'Room Info'!$D$2:$D3446, 0)),if(G113='Room Info'!$E$1, INDEX('Room Info'!$A$2:$A3446, MATCH(B113,'Room Info'!$E$2:$E3446, 0)),if(G113='Room Info'!$F$1, INDEX('Room Info'!$A$2:$A3446, MATCH(B113,'Room Info'!$F$2:$F3446, 0)),if(G113='Room Info'!$H$1, INDEX('Room Info'!$A$2:$A3446, MATCH(B113,'Room Info'!$H$2:$H3446, 0)),if(G113='Room Info'!$G$1, INDEX('Room Info'!$A$2:$A3446, MATCH(B113,'Room Info'!$G$2:$G3446, 0)))))))))</f>
        <v>AlexanderDSL</v>
      </c>
      <c r="B113" s="59" t="s">
        <v>148</v>
      </c>
      <c r="C113" s="73">
        <v>44551.0</v>
      </c>
      <c r="D113" s="73">
        <v>44581.0</v>
      </c>
      <c r="E113" s="52">
        <v>44562.0</v>
      </c>
      <c r="F113" s="50" t="s">
        <v>4</v>
      </c>
      <c r="G113" s="59" t="s">
        <v>5</v>
      </c>
      <c r="H113" s="54" t="s">
        <v>74</v>
      </c>
      <c r="I113" s="54" t="s">
        <v>7</v>
      </c>
      <c r="J113" s="55">
        <v>50.0</v>
      </c>
      <c r="K113" s="56">
        <v>4468.0</v>
      </c>
      <c r="L113" s="57">
        <v>-3250.0</v>
      </c>
      <c r="M113" s="58">
        <v>9175.0</v>
      </c>
      <c r="N113" s="33">
        <f t="shared" si="13"/>
        <v>223400</v>
      </c>
      <c r="O113" s="59">
        <v>125450.0</v>
      </c>
      <c r="P113" s="34">
        <f t="shared" si="14"/>
        <v>28.07743957</v>
      </c>
      <c r="Q113" s="60"/>
      <c r="R113" s="36">
        <f t="shared" si="15"/>
        <v>9175</v>
      </c>
      <c r="S113" s="61">
        <v>-2837.0</v>
      </c>
      <c r="T113" s="37">
        <f t="shared" si="16"/>
        <v>6338</v>
      </c>
      <c r="U113" s="38">
        <v>1.0</v>
      </c>
      <c r="V113" s="63"/>
      <c r="W113" s="63"/>
      <c r="X113" s="35">
        <f t="shared" si="20"/>
        <v>0.15</v>
      </c>
      <c r="Y113" s="35">
        <f t="shared" si="17"/>
        <v>0.05</v>
      </c>
      <c r="Z113" s="40">
        <f t="shared" si="18"/>
        <v>5070.4</v>
      </c>
      <c r="AA113" s="34">
        <f t="shared" si="19"/>
        <v>950.7</v>
      </c>
      <c r="AB113" s="41">
        <f t="shared" si="12"/>
        <v>316.9</v>
      </c>
      <c r="AC113" s="42" t="b">
        <v>1</v>
      </c>
      <c r="AD113" s="42" t="s">
        <v>138</v>
      </c>
      <c r="AE113" s="42" t="s">
        <v>138</v>
      </c>
      <c r="AF113" s="42" t="str">
        <f t="array" ref="AF113">INDEX('Deal Info'!D:D, MATCH(A113,'Deal Info'!A:A, 0))</f>
        <v>Fix15</v>
      </c>
      <c r="AG113" s="43" t="str">
        <f t="array" ref="AG113">INDEX('Deal Info'!G:G, MATCH(A113,'Deal Info'!A:A, 0))</f>
        <v>Fix5</v>
      </c>
    </row>
    <row r="114" hidden="1">
      <c r="A114" s="23" t="str">
        <f t="array" ref="A114">if(G114='Room Info'!$B$1, INDEX('Room Info'!$A$2:$A3446, MATCH(B114,'Room Info'!$B$2:$B3446, 0)),if(G114='Room Info'!$C$1, INDEX('Room Info'!$A$2:$A3446, MATCH(B114,'Room Info'!$C$2:$C3446, 0)),if(G114='Room Info'!$D$1, INDEX('Room Info'!$A$2:$A3446, MATCH(B114,'Room Info'!$D$2:$D3446, 0)),if(G114='Room Info'!$E$1, INDEX('Room Info'!$A$2:$A3446, MATCH(B114,'Room Info'!$E$2:$E3446, 0)),if(G114='Room Info'!$F$1, INDEX('Room Info'!$A$2:$A3446, MATCH(B114,'Room Info'!$F$2:$F3446, 0)),if(G114='Room Info'!$H$1, INDEX('Room Info'!$A$2:$A3446, MATCH(B114,'Room Info'!$H$2:$H3446, 0)),if(G114='Room Info'!$G$1, INDEX('Room Info'!$A$2:$A3446, MATCH(B114,'Room Info'!$G$2:$G3446, 0)))))))))</f>
        <v>AlexanderDSL</v>
      </c>
      <c r="B114" s="59" t="s">
        <v>148</v>
      </c>
      <c r="C114" s="73">
        <v>44582.0</v>
      </c>
      <c r="D114" s="73">
        <v>44612.0</v>
      </c>
      <c r="E114" s="52">
        <v>44593.0</v>
      </c>
      <c r="F114" s="50" t="s">
        <v>4</v>
      </c>
      <c r="G114" s="59" t="s">
        <v>5</v>
      </c>
      <c r="H114" s="54" t="s">
        <v>74</v>
      </c>
      <c r="I114" s="54" t="s">
        <v>7</v>
      </c>
      <c r="J114" s="55">
        <v>50.0</v>
      </c>
      <c r="K114" s="56">
        <v>4767.0</v>
      </c>
      <c r="L114" s="57">
        <v>-6300.0</v>
      </c>
      <c r="M114" s="58">
        <v>14000.0</v>
      </c>
      <c r="N114" s="33">
        <f t="shared" si="13"/>
        <v>238350</v>
      </c>
      <c r="O114" s="59">
        <v>126592.0</v>
      </c>
      <c r="P114" s="34">
        <f t="shared" si="14"/>
        <v>26.55590518</v>
      </c>
      <c r="Q114" s="60"/>
      <c r="R114" s="36">
        <f t="shared" si="15"/>
        <v>14000</v>
      </c>
      <c r="S114" s="61">
        <v>-3315.0</v>
      </c>
      <c r="T114" s="37">
        <f t="shared" si="16"/>
        <v>10685</v>
      </c>
      <c r="U114" s="38">
        <v>1.0</v>
      </c>
      <c r="V114" s="63"/>
      <c r="W114" s="63"/>
      <c r="X114" s="35">
        <f t="shared" si="20"/>
        <v>0.15</v>
      </c>
      <c r="Y114" s="35">
        <f t="shared" si="17"/>
        <v>0.05</v>
      </c>
      <c r="Z114" s="40">
        <f t="shared" si="18"/>
        <v>8548</v>
      </c>
      <c r="AA114" s="34">
        <f t="shared" si="19"/>
        <v>1602.75</v>
      </c>
      <c r="AB114" s="41">
        <f t="shared" si="12"/>
        <v>534.25</v>
      </c>
      <c r="AC114" s="42" t="b">
        <v>1</v>
      </c>
      <c r="AD114" s="42" t="s">
        <v>138</v>
      </c>
      <c r="AE114" s="42" t="s">
        <v>138</v>
      </c>
      <c r="AF114" s="42" t="str">
        <f t="array" ref="AF114">INDEX('Deal Info'!D:D, MATCH(A114,'Deal Info'!A:A, 0))</f>
        <v>Fix15</v>
      </c>
      <c r="AG114" s="43" t="str">
        <f t="array" ref="AG114">INDEX('Deal Info'!G:G, MATCH(A114,'Deal Info'!A:A, 0))</f>
        <v>Fix5</v>
      </c>
    </row>
    <row r="115" hidden="1">
      <c r="A115" s="23" t="str">
        <f t="array" ref="A115">if(G115='Room Info'!$B$1, INDEX('Room Info'!$A$2:$A3446, MATCH(B115,'Room Info'!$B$2:$B3446, 0)),if(G115='Room Info'!$C$1, INDEX('Room Info'!$A$2:$A3446, MATCH(B115,'Room Info'!$C$2:$C3446, 0)),if(G115='Room Info'!$D$1, INDEX('Room Info'!$A$2:$A3446, MATCH(B115,'Room Info'!$D$2:$D3446, 0)),if(G115='Room Info'!$E$1, INDEX('Room Info'!$A$2:$A3446, MATCH(B115,'Room Info'!$E$2:$E3446, 0)),if(G115='Room Info'!$F$1, INDEX('Room Info'!$A$2:$A3446, MATCH(B115,'Room Info'!$F$2:$F3446, 0)),if(G115='Room Info'!$H$1, INDEX('Room Info'!$A$2:$A3446, MATCH(B115,'Room Info'!$H$2:$H3446, 0)),if(G115='Room Info'!$G$1, INDEX('Room Info'!$A$2:$A3446, MATCH(B115,'Room Info'!$G$2:$G3446, 0)))))))))</f>
        <v>AlexanderDSL</v>
      </c>
      <c r="B115" s="59" t="s">
        <v>148</v>
      </c>
      <c r="C115" s="73">
        <v>44613.0</v>
      </c>
      <c r="D115" s="73">
        <v>44640.0</v>
      </c>
      <c r="E115" s="52">
        <v>44621.0</v>
      </c>
      <c r="F115" s="50" t="s">
        <v>4</v>
      </c>
      <c r="G115" s="59" t="s">
        <v>5</v>
      </c>
      <c r="H115" s="54" t="s">
        <v>74</v>
      </c>
      <c r="I115" s="54" t="s">
        <v>7</v>
      </c>
      <c r="J115" s="55">
        <v>50.0</v>
      </c>
      <c r="K115" s="56">
        <v>20.0</v>
      </c>
      <c r="L115" s="57">
        <v>-350.0</v>
      </c>
      <c r="M115" s="58">
        <v>16.0</v>
      </c>
      <c r="N115" s="33">
        <f t="shared" si="13"/>
        <v>1000</v>
      </c>
      <c r="O115" s="59">
        <v>1716.0</v>
      </c>
      <c r="P115" s="34">
        <f t="shared" si="14"/>
        <v>85.8</v>
      </c>
      <c r="Q115" s="60"/>
      <c r="R115" s="36">
        <f t="shared" si="15"/>
        <v>16</v>
      </c>
      <c r="S115" s="61">
        <v>94.0</v>
      </c>
      <c r="T115" s="37">
        <f t="shared" si="16"/>
        <v>110</v>
      </c>
      <c r="U115" s="38">
        <v>1.0</v>
      </c>
      <c r="V115" s="63"/>
      <c r="W115" s="63"/>
      <c r="X115" s="35">
        <f t="shared" si="20"/>
        <v>0.15</v>
      </c>
      <c r="Y115" s="35">
        <f t="shared" si="17"/>
        <v>0.05</v>
      </c>
      <c r="Z115" s="40">
        <f t="shared" si="18"/>
        <v>88</v>
      </c>
      <c r="AA115" s="34">
        <f t="shared" si="19"/>
        <v>16.5</v>
      </c>
      <c r="AB115" s="41">
        <f t="shared" si="12"/>
        <v>5.5</v>
      </c>
      <c r="AC115" s="42" t="b">
        <v>1</v>
      </c>
      <c r="AD115" s="42" t="s">
        <v>138</v>
      </c>
      <c r="AE115" s="42" t="s">
        <v>138</v>
      </c>
      <c r="AF115" s="42" t="str">
        <f t="array" ref="AF115">INDEX('Deal Info'!D:D, MATCH(A115,'Deal Info'!A:A, 0))</f>
        <v>Fix15</v>
      </c>
      <c r="AG115" s="43" t="str">
        <f t="array" ref="AG115">INDEX('Deal Info'!G:G, MATCH(A115,'Deal Info'!A:A, 0))</f>
        <v>Fix5</v>
      </c>
    </row>
    <row r="116" hidden="1">
      <c r="A116" s="23" t="str">
        <f t="array" ref="A116">if(G116='Room Info'!$B$1, INDEX('Room Info'!$A$2:$A3446, MATCH(B116,'Room Info'!$B$2:$B3446, 0)),if(G116='Room Info'!$C$1, INDEX('Room Info'!$A$2:$A3446, MATCH(B116,'Room Info'!$C$2:$C3446, 0)),if(G116='Room Info'!$D$1, INDEX('Room Info'!$A$2:$A3446, MATCH(B116,'Room Info'!$D$2:$D3446, 0)),if(G116='Room Info'!$E$1, INDEX('Room Info'!$A$2:$A3446, MATCH(B116,'Room Info'!$E$2:$E3446, 0)),if(G116='Room Info'!$F$1, INDEX('Room Info'!$A$2:$A3446, MATCH(B116,'Room Info'!$F$2:$F3446, 0)),if(G116='Room Info'!$H$1, INDEX('Room Info'!$A$2:$A3446, MATCH(B116,'Room Info'!$H$2:$H3446, 0)),if(G116='Room Info'!$G$1, INDEX('Room Info'!$A$2:$A3446, MATCH(B116,'Room Info'!$G$2:$G3446, 0)))))))))</f>
        <v>AlexanderDSL</v>
      </c>
      <c r="B116" s="59" t="s">
        <v>148</v>
      </c>
      <c r="C116" s="73">
        <v>44613.0</v>
      </c>
      <c r="D116" s="73">
        <v>44640.0</v>
      </c>
      <c r="E116" s="52">
        <v>44621.0</v>
      </c>
      <c r="F116" s="50" t="s">
        <v>4</v>
      </c>
      <c r="G116" s="59" t="s">
        <v>5</v>
      </c>
      <c r="H116" s="54" t="s">
        <v>85</v>
      </c>
      <c r="I116" s="54" t="s">
        <v>7</v>
      </c>
      <c r="J116" s="55">
        <v>100.0</v>
      </c>
      <c r="K116" s="56">
        <v>1300.0</v>
      </c>
      <c r="L116" s="57">
        <v>-3400.0</v>
      </c>
      <c r="M116" s="58">
        <v>1734.0</v>
      </c>
      <c r="N116" s="33">
        <f t="shared" si="13"/>
        <v>130000</v>
      </c>
      <c r="O116" s="59">
        <v>66506.0</v>
      </c>
      <c r="P116" s="34">
        <f t="shared" si="14"/>
        <v>51.15846154</v>
      </c>
      <c r="Q116" s="60"/>
      <c r="R116" s="36">
        <f t="shared" si="15"/>
        <v>1734</v>
      </c>
      <c r="S116" s="61">
        <v>5309.0</v>
      </c>
      <c r="T116" s="37">
        <f t="shared" si="16"/>
        <v>7043</v>
      </c>
      <c r="U116" s="38">
        <v>1.0</v>
      </c>
      <c r="V116" s="63"/>
      <c r="W116" s="63"/>
      <c r="X116" s="35">
        <f t="shared" si="20"/>
        <v>0.15</v>
      </c>
      <c r="Y116" s="35">
        <f t="shared" si="17"/>
        <v>0.05</v>
      </c>
      <c r="Z116" s="40">
        <f t="shared" si="18"/>
        <v>5634.4</v>
      </c>
      <c r="AA116" s="34">
        <f t="shared" si="19"/>
        <v>1056.45</v>
      </c>
      <c r="AB116" s="41">
        <f t="shared" si="12"/>
        <v>352.15</v>
      </c>
      <c r="AC116" s="42" t="b">
        <v>1</v>
      </c>
      <c r="AD116" s="42" t="s">
        <v>138</v>
      </c>
      <c r="AE116" s="42" t="s">
        <v>138</v>
      </c>
      <c r="AF116" s="42" t="str">
        <f t="array" ref="AF116">INDEX('Deal Info'!D:D, MATCH(A116,'Deal Info'!A:A, 0))</f>
        <v>Fix15</v>
      </c>
      <c r="AG116" s="43" t="str">
        <f t="array" ref="AG116">INDEX('Deal Info'!G:G, MATCH(A116,'Deal Info'!A:A, 0))</f>
        <v>Fix5</v>
      </c>
    </row>
    <row r="117" hidden="1">
      <c r="A117" s="23" t="str">
        <f t="array" ref="A117">if(G117='Room Info'!$B$1, INDEX('Room Info'!$A$2:$A3446, MATCH(B117,'Room Info'!$B$2:$B3446, 0)),if(G117='Room Info'!$C$1, INDEX('Room Info'!$A$2:$A3446, MATCH(B117,'Room Info'!$C$2:$C3446, 0)),if(G117='Room Info'!$D$1, INDEX('Room Info'!$A$2:$A3446, MATCH(B117,'Room Info'!$D$2:$D3446, 0)),if(G117='Room Info'!$E$1, INDEX('Room Info'!$A$2:$A3446, MATCH(B117,'Room Info'!$E$2:$E3446, 0)),if(G117='Room Info'!$F$1, INDEX('Room Info'!$A$2:$A3446, MATCH(B117,'Room Info'!$F$2:$F3446, 0)),if(G117='Room Info'!$H$1, INDEX('Room Info'!$A$2:$A3446, MATCH(B117,'Room Info'!$H$2:$H3446, 0)),if(G117='Room Info'!$G$1, INDEX('Room Info'!$A$2:$A3446, MATCH(B117,'Room Info'!$G$2:$G3446, 0)))))))))</f>
        <v>AlexanderDSL</v>
      </c>
      <c r="B117" s="59" t="s">
        <v>148</v>
      </c>
      <c r="C117" s="73">
        <v>44613.0</v>
      </c>
      <c r="D117" s="73">
        <v>44640.0</v>
      </c>
      <c r="E117" s="52">
        <v>44621.0</v>
      </c>
      <c r="F117" s="50" t="s">
        <v>12</v>
      </c>
      <c r="G117" s="59" t="s">
        <v>5</v>
      </c>
      <c r="H117" s="54" t="s">
        <v>6</v>
      </c>
      <c r="I117" s="54" t="s">
        <v>7</v>
      </c>
      <c r="J117" s="55">
        <v>0.25</v>
      </c>
      <c r="K117" s="56">
        <v>51.0</v>
      </c>
      <c r="L117" s="57">
        <v>-5.0</v>
      </c>
      <c r="M117" s="67"/>
      <c r="N117" s="33">
        <f t="shared" si="13"/>
        <v>12.75</v>
      </c>
      <c r="O117" s="70"/>
      <c r="P117" s="34">
        <f t="shared" si="14"/>
        <v>0</v>
      </c>
      <c r="Q117" s="60"/>
      <c r="R117" s="36">
        <f t="shared" si="15"/>
        <v>0</v>
      </c>
      <c r="S117" s="71"/>
      <c r="T117" s="37">
        <f t="shared" si="16"/>
        <v>-5</v>
      </c>
      <c r="U117" s="38">
        <v>1.0</v>
      </c>
      <c r="V117" s="63"/>
      <c r="W117" s="63"/>
      <c r="X117" s="35">
        <f t="shared" si="20"/>
        <v>0.15</v>
      </c>
      <c r="Y117" s="35">
        <f t="shared" si="17"/>
        <v>0.05</v>
      </c>
      <c r="Z117" s="40">
        <f t="shared" si="18"/>
        <v>-4</v>
      </c>
      <c r="AA117" s="34">
        <f t="shared" si="19"/>
        <v>-0.75</v>
      </c>
      <c r="AB117" s="41">
        <f t="shared" si="12"/>
        <v>-0.25</v>
      </c>
      <c r="AC117" s="42" t="b">
        <v>1</v>
      </c>
      <c r="AD117" s="42" t="s">
        <v>138</v>
      </c>
      <c r="AE117" s="42" t="s">
        <v>138</v>
      </c>
      <c r="AF117" s="42" t="str">
        <f t="array" ref="AF117">INDEX('Deal Info'!D:D, MATCH(A117,'Deal Info'!A:A, 0))</f>
        <v>Fix15</v>
      </c>
      <c r="AG117" s="43" t="str">
        <f t="array" ref="AG117">INDEX('Deal Info'!G:G, MATCH(A117,'Deal Info'!A:A, 0))</f>
        <v>Fix5</v>
      </c>
    </row>
    <row r="118" hidden="1">
      <c r="A118" s="23" t="str">
        <f t="array" ref="A118">if(G118='Room Info'!$B$1, INDEX('Room Info'!$A$2:$A3446, MATCH(B118,'Room Info'!$B$2:$B3446, 0)),if(G118='Room Info'!$C$1, INDEX('Room Info'!$A$2:$A3446, MATCH(B118,'Room Info'!$C$2:$C3446, 0)),if(G118='Room Info'!$D$1, INDEX('Room Info'!$A$2:$A3446, MATCH(B118,'Room Info'!$D$2:$D3446, 0)),if(G118='Room Info'!$E$1, INDEX('Room Info'!$A$2:$A3446, MATCH(B118,'Room Info'!$E$2:$E3446, 0)),if(G118='Room Info'!$F$1, INDEX('Room Info'!$A$2:$A3446, MATCH(B118,'Room Info'!$F$2:$F3446, 0)),if(G118='Room Info'!$H$1, INDEX('Room Info'!$A$2:$A3446, MATCH(B118,'Room Info'!$H$2:$H3446, 0)),if(G118='Room Info'!$G$1, INDEX('Room Info'!$A$2:$A3446, MATCH(B118,'Room Info'!$G$2:$G3446, 0)))))))))</f>
        <v>AlexanderDSL</v>
      </c>
      <c r="B118" s="59" t="s">
        <v>148</v>
      </c>
      <c r="C118" s="73">
        <v>44641.0</v>
      </c>
      <c r="D118" s="73">
        <v>44671.0</v>
      </c>
      <c r="E118" s="52">
        <v>44652.0</v>
      </c>
      <c r="F118" s="50" t="s">
        <v>4</v>
      </c>
      <c r="G118" s="59" t="s">
        <v>5</v>
      </c>
      <c r="H118" s="54" t="s">
        <v>85</v>
      </c>
      <c r="I118" s="54" t="s">
        <v>7</v>
      </c>
      <c r="J118" s="55">
        <v>100.0</v>
      </c>
      <c r="K118" s="56">
        <v>2500.0</v>
      </c>
      <c r="L118" s="57">
        <v>-7500.0</v>
      </c>
      <c r="M118" s="58">
        <v>8804.0</v>
      </c>
      <c r="N118" s="33">
        <f t="shared" si="13"/>
        <v>250000</v>
      </c>
      <c r="O118" s="59">
        <v>47269.0</v>
      </c>
      <c r="P118" s="34">
        <f t="shared" si="14"/>
        <v>18.9076</v>
      </c>
      <c r="Q118" s="60"/>
      <c r="R118" s="36">
        <f t="shared" si="15"/>
        <v>8804</v>
      </c>
      <c r="S118" s="61">
        <v>-3831.0</v>
      </c>
      <c r="T118" s="37">
        <f t="shared" si="16"/>
        <v>4973</v>
      </c>
      <c r="U118" s="38">
        <v>1.0</v>
      </c>
      <c r="V118" s="63"/>
      <c r="W118" s="63"/>
      <c r="X118" s="35">
        <f t="shared" si="20"/>
        <v>0.15</v>
      </c>
      <c r="Y118" s="35">
        <f t="shared" si="17"/>
        <v>0.05</v>
      </c>
      <c r="Z118" s="40">
        <f t="shared" si="18"/>
        <v>3978.4</v>
      </c>
      <c r="AA118" s="34">
        <f t="shared" si="19"/>
        <v>745.95</v>
      </c>
      <c r="AB118" s="41">
        <f t="shared" si="12"/>
        <v>248.65</v>
      </c>
      <c r="AC118" s="42" t="b">
        <v>1</v>
      </c>
      <c r="AD118" s="42" t="s">
        <v>138</v>
      </c>
      <c r="AE118" s="42" t="s">
        <v>138</v>
      </c>
      <c r="AF118" s="42" t="str">
        <f t="array" ref="AF118">INDEX('Deal Info'!D:D, MATCH(A118,'Deal Info'!A:A, 0))</f>
        <v>Fix15</v>
      </c>
      <c r="AG118" s="43" t="str">
        <f t="array" ref="AG118">INDEX('Deal Info'!G:G, MATCH(A118,'Deal Info'!A:A, 0))</f>
        <v>Fix5</v>
      </c>
    </row>
    <row r="119" hidden="1">
      <c r="A119" s="23" t="str">
        <f t="array" ref="A119">if(G119='Room Info'!$B$1, INDEX('Room Info'!$A$2:$A3446, MATCH(B119,'Room Info'!$B$2:$B3446, 0)),if(G119='Room Info'!$C$1, INDEX('Room Info'!$A$2:$A3446, MATCH(B119,'Room Info'!$C$2:$C3446, 0)),if(G119='Room Info'!$D$1, INDEX('Room Info'!$A$2:$A3446, MATCH(B119,'Room Info'!$D$2:$D3446, 0)),if(G119='Room Info'!$E$1, INDEX('Room Info'!$A$2:$A3446, MATCH(B119,'Room Info'!$E$2:$E3446, 0)),if(G119='Room Info'!$F$1, INDEX('Room Info'!$A$2:$A3446, MATCH(B119,'Room Info'!$F$2:$F3446, 0)),if(G119='Room Info'!$H$1, INDEX('Room Info'!$A$2:$A3446, MATCH(B119,'Room Info'!$H$2:$H3446, 0)),if(G119='Room Info'!$G$1, INDEX('Room Info'!$A$2:$A3446, MATCH(B119,'Room Info'!$G$2:$G3446, 0)))))))))</f>
        <v>AlexanderDSL</v>
      </c>
      <c r="B119" s="59" t="s">
        <v>148</v>
      </c>
      <c r="C119" s="73">
        <v>44641.0</v>
      </c>
      <c r="D119" s="73">
        <v>44671.0</v>
      </c>
      <c r="E119" s="52">
        <v>44652.0</v>
      </c>
      <c r="F119" s="50" t="s">
        <v>12</v>
      </c>
      <c r="G119" s="59" t="s">
        <v>5</v>
      </c>
      <c r="H119" s="54" t="s">
        <v>35</v>
      </c>
      <c r="I119" s="54" t="s">
        <v>7</v>
      </c>
      <c r="J119" s="55">
        <v>5.0</v>
      </c>
      <c r="K119" s="56">
        <v>1.0</v>
      </c>
      <c r="L119" s="57">
        <v>-5.0</v>
      </c>
      <c r="M119" s="58">
        <v>1.0</v>
      </c>
      <c r="N119" s="33">
        <f t="shared" si="13"/>
        <v>5</v>
      </c>
      <c r="O119" s="70"/>
      <c r="P119" s="34">
        <f t="shared" si="14"/>
        <v>0</v>
      </c>
      <c r="Q119" s="60"/>
      <c r="R119" s="36">
        <f t="shared" si="15"/>
        <v>1</v>
      </c>
      <c r="S119" s="71"/>
      <c r="T119" s="37">
        <f t="shared" si="16"/>
        <v>-4</v>
      </c>
      <c r="U119" s="38">
        <v>1.0</v>
      </c>
      <c r="V119" s="63"/>
      <c r="W119" s="63"/>
      <c r="X119" s="35">
        <f t="shared" si="20"/>
        <v>0.15</v>
      </c>
      <c r="Y119" s="35">
        <f t="shared" si="17"/>
        <v>0.05</v>
      </c>
      <c r="Z119" s="40">
        <f t="shared" si="18"/>
        <v>-3.2</v>
      </c>
      <c r="AA119" s="34">
        <f t="shared" si="19"/>
        <v>-0.6</v>
      </c>
      <c r="AB119" s="41">
        <f t="shared" si="12"/>
        <v>-0.2</v>
      </c>
      <c r="AC119" s="42" t="b">
        <v>1</v>
      </c>
      <c r="AD119" s="42" t="s">
        <v>138</v>
      </c>
      <c r="AE119" s="42" t="s">
        <v>138</v>
      </c>
      <c r="AF119" s="42" t="str">
        <f t="array" ref="AF119">INDEX('Deal Info'!D:D, MATCH(A119,'Deal Info'!A:A, 0))</f>
        <v>Fix15</v>
      </c>
      <c r="AG119" s="43" t="str">
        <f t="array" ref="AG119">INDEX('Deal Info'!G:G, MATCH(A119,'Deal Info'!A:A, 0))</f>
        <v>Fix5</v>
      </c>
    </row>
    <row r="120" hidden="1">
      <c r="A120" s="23" t="str">
        <f t="array" ref="A120">if(G120='Room Info'!$B$1, INDEX('Room Info'!$A$2:$A3446, MATCH(B120,'Room Info'!$B$2:$B3446, 0)),if(G120='Room Info'!$C$1, INDEX('Room Info'!$A$2:$A3446, MATCH(B120,'Room Info'!$C$2:$C3446, 0)),if(G120='Room Info'!$D$1, INDEX('Room Info'!$A$2:$A3446, MATCH(B120,'Room Info'!$D$2:$D3446, 0)),if(G120='Room Info'!$E$1, INDEX('Room Info'!$A$2:$A3446, MATCH(B120,'Room Info'!$E$2:$E3446, 0)),if(G120='Room Info'!$F$1, INDEX('Room Info'!$A$2:$A3446, MATCH(B120,'Room Info'!$F$2:$F3446, 0)),if(G120='Room Info'!$H$1, INDEX('Room Info'!$A$2:$A3446, MATCH(B120,'Room Info'!$H$2:$H3446, 0)),if(G120='Room Info'!$G$1, INDEX('Room Info'!$A$2:$A3446, MATCH(B120,'Room Info'!$G$2:$G3446, 0)))))))))</f>
        <v>AlexanderDSL</v>
      </c>
      <c r="B120" s="59" t="s">
        <v>148</v>
      </c>
      <c r="C120" s="73">
        <v>44672.0</v>
      </c>
      <c r="D120" s="73">
        <v>44701.0</v>
      </c>
      <c r="E120" s="52">
        <v>44682.0</v>
      </c>
      <c r="F120" s="50" t="s">
        <v>4</v>
      </c>
      <c r="G120" s="59" t="s">
        <v>5</v>
      </c>
      <c r="H120" s="54" t="s">
        <v>74</v>
      </c>
      <c r="I120" s="54" t="s">
        <v>7</v>
      </c>
      <c r="J120" s="55">
        <v>50.0</v>
      </c>
      <c r="K120" s="56">
        <v>52.0</v>
      </c>
      <c r="L120" s="57">
        <v>150.0</v>
      </c>
      <c r="M120" s="58">
        <v>97.0</v>
      </c>
      <c r="N120" s="33">
        <f t="shared" si="13"/>
        <v>2600</v>
      </c>
      <c r="O120" s="59">
        <v>-896.0</v>
      </c>
      <c r="P120" s="34">
        <f t="shared" si="14"/>
        <v>-17.23076923</v>
      </c>
      <c r="Q120" s="60"/>
      <c r="R120" s="36">
        <f t="shared" si="15"/>
        <v>97</v>
      </c>
      <c r="S120" s="61">
        <v>-249.0</v>
      </c>
      <c r="T120" s="37">
        <f t="shared" si="16"/>
        <v>-152</v>
      </c>
      <c r="U120" s="38">
        <v>1.0</v>
      </c>
      <c r="V120" s="63"/>
      <c r="W120" s="63"/>
      <c r="X120" s="35">
        <f t="shared" si="20"/>
        <v>0.15</v>
      </c>
      <c r="Y120" s="35">
        <f t="shared" si="17"/>
        <v>0.05</v>
      </c>
      <c r="Z120" s="40">
        <f t="shared" si="18"/>
        <v>-121.6</v>
      </c>
      <c r="AA120" s="34">
        <f t="shared" si="19"/>
        <v>-22.8</v>
      </c>
      <c r="AB120" s="41">
        <f t="shared" si="12"/>
        <v>-7.6</v>
      </c>
      <c r="AC120" s="42" t="b">
        <v>1</v>
      </c>
      <c r="AD120" s="42" t="s">
        <v>138</v>
      </c>
      <c r="AE120" s="42" t="s">
        <v>138</v>
      </c>
      <c r="AF120" s="42" t="str">
        <f t="array" ref="AF120">INDEX('Deal Info'!D:D, MATCH(A120,'Deal Info'!A:A, 0))</f>
        <v>Fix15</v>
      </c>
      <c r="AG120" s="43" t="str">
        <f t="array" ref="AG120">INDEX('Deal Info'!G:G, MATCH(A120,'Deal Info'!A:A, 0))</f>
        <v>Fix5</v>
      </c>
    </row>
    <row r="121" hidden="1">
      <c r="A121" s="23" t="str">
        <f t="array" ref="A121">if(G121='Room Info'!$B$1, INDEX('Room Info'!$A$2:$A3446, MATCH(B121,'Room Info'!$B$2:$B3446, 0)),if(G121='Room Info'!$C$1, INDEX('Room Info'!$A$2:$A3446, MATCH(B121,'Room Info'!$C$2:$C3446, 0)),if(G121='Room Info'!$D$1, INDEX('Room Info'!$A$2:$A3446, MATCH(B121,'Room Info'!$D$2:$D3446, 0)),if(G121='Room Info'!$E$1, INDEX('Room Info'!$A$2:$A3446, MATCH(B121,'Room Info'!$E$2:$E3446, 0)),if(G121='Room Info'!$F$1, INDEX('Room Info'!$A$2:$A3446, MATCH(B121,'Room Info'!$F$2:$F3446, 0)),if(G121='Room Info'!$H$1, INDEX('Room Info'!$A$2:$A3446, MATCH(B121,'Room Info'!$H$2:$H3446, 0)),if(G121='Room Info'!$G$1, INDEX('Room Info'!$A$2:$A3446, MATCH(B121,'Room Info'!$G$2:$G3446, 0)))))))))</f>
        <v>AlexanderDSL</v>
      </c>
      <c r="B121" s="59" t="s">
        <v>148</v>
      </c>
      <c r="C121" s="73">
        <v>44672.0</v>
      </c>
      <c r="D121" s="73">
        <v>44701.0</v>
      </c>
      <c r="E121" s="52">
        <v>44682.0</v>
      </c>
      <c r="F121" s="50" t="s">
        <v>4</v>
      </c>
      <c r="G121" s="59" t="s">
        <v>5</v>
      </c>
      <c r="H121" s="54" t="s">
        <v>85</v>
      </c>
      <c r="I121" s="54" t="s">
        <v>7</v>
      </c>
      <c r="J121" s="55">
        <v>100.0</v>
      </c>
      <c r="K121" s="56">
        <v>4601.0</v>
      </c>
      <c r="L121" s="57">
        <v>-200.0</v>
      </c>
      <c r="M121" s="58">
        <v>14341.0</v>
      </c>
      <c r="N121" s="33">
        <f t="shared" si="13"/>
        <v>460100</v>
      </c>
      <c r="O121" s="59">
        <v>71768.0</v>
      </c>
      <c r="P121" s="34">
        <f t="shared" si="14"/>
        <v>15.59834819</v>
      </c>
      <c r="Q121" s="60"/>
      <c r="R121" s="36">
        <f t="shared" si="15"/>
        <v>14341</v>
      </c>
      <c r="S121" s="61">
        <v>-11124.0</v>
      </c>
      <c r="T121" s="37">
        <f t="shared" si="16"/>
        <v>3217</v>
      </c>
      <c r="U121" s="38">
        <v>1.0</v>
      </c>
      <c r="V121" s="63"/>
      <c r="W121" s="63"/>
      <c r="X121" s="35">
        <f t="shared" si="20"/>
        <v>0.15</v>
      </c>
      <c r="Y121" s="35">
        <f t="shared" si="17"/>
        <v>0.05</v>
      </c>
      <c r="Z121" s="40">
        <f t="shared" si="18"/>
        <v>2573.6</v>
      </c>
      <c r="AA121" s="34">
        <f t="shared" si="19"/>
        <v>482.55</v>
      </c>
      <c r="AB121" s="41">
        <f t="shared" si="12"/>
        <v>160.85</v>
      </c>
      <c r="AC121" s="42" t="b">
        <v>1</v>
      </c>
      <c r="AD121" s="42" t="s">
        <v>138</v>
      </c>
      <c r="AE121" s="42" t="s">
        <v>138</v>
      </c>
      <c r="AF121" s="42" t="str">
        <f t="array" ref="AF121">INDEX('Deal Info'!D:D, MATCH(A121,'Deal Info'!A:A, 0))</f>
        <v>Fix15</v>
      </c>
      <c r="AG121" s="43" t="str">
        <f t="array" ref="AG121">INDEX('Deal Info'!G:G, MATCH(A121,'Deal Info'!A:A, 0))</f>
        <v>Fix5</v>
      </c>
    </row>
    <row r="122" hidden="1">
      <c r="A122" s="23" t="str">
        <f t="array" ref="A122">if(G122='Room Info'!$B$1, INDEX('Room Info'!$A$2:$A3446, MATCH(B122,'Room Info'!$B$2:$B3446, 0)),if(G122='Room Info'!$C$1, INDEX('Room Info'!$A$2:$A3446, MATCH(B122,'Room Info'!$C$2:$C3446, 0)),if(G122='Room Info'!$D$1, INDEX('Room Info'!$A$2:$A3446, MATCH(B122,'Room Info'!$D$2:$D3446, 0)),if(G122='Room Info'!$E$1, INDEX('Room Info'!$A$2:$A3446, MATCH(B122,'Room Info'!$E$2:$E3446, 0)),if(G122='Room Info'!$F$1, INDEX('Room Info'!$A$2:$A3446, MATCH(B122,'Room Info'!$F$2:$F3446, 0)),if(G122='Room Info'!$H$1, INDEX('Room Info'!$A$2:$A3446, MATCH(B122,'Room Info'!$H$2:$H3446, 0)),if(G122='Room Info'!$G$1, INDEX('Room Info'!$A$2:$A3446, MATCH(B122,'Room Info'!$G$2:$G3446, 0)))))))))</f>
        <v>AlexanderDSL</v>
      </c>
      <c r="B122" s="59" t="s">
        <v>148</v>
      </c>
      <c r="C122" s="73">
        <v>44672.0</v>
      </c>
      <c r="D122" s="73">
        <v>44701.0</v>
      </c>
      <c r="E122" s="52">
        <v>44682.0</v>
      </c>
      <c r="F122" s="50" t="s">
        <v>4</v>
      </c>
      <c r="G122" s="59" t="s">
        <v>5</v>
      </c>
      <c r="H122" s="54" t="s">
        <v>86</v>
      </c>
      <c r="I122" s="54" t="s">
        <v>11</v>
      </c>
      <c r="J122" s="55">
        <v>100.0</v>
      </c>
      <c r="K122" s="56">
        <v>68.0</v>
      </c>
      <c r="L122" s="57">
        <v>2200.0</v>
      </c>
      <c r="M122" s="58">
        <v>212.0</v>
      </c>
      <c r="N122" s="33">
        <f t="shared" si="13"/>
        <v>6800</v>
      </c>
      <c r="O122" s="59">
        <v>274.0</v>
      </c>
      <c r="P122" s="34">
        <f t="shared" si="14"/>
        <v>4.029411765</v>
      </c>
      <c r="Q122" s="60"/>
      <c r="R122" s="36">
        <f t="shared" si="15"/>
        <v>212</v>
      </c>
      <c r="S122" s="61">
        <v>-284.0</v>
      </c>
      <c r="T122" s="37">
        <f t="shared" si="16"/>
        <v>-72</v>
      </c>
      <c r="U122" s="38">
        <v>1.0</v>
      </c>
      <c r="V122" s="63"/>
      <c r="W122" s="63"/>
      <c r="X122" s="35">
        <f t="shared" si="20"/>
        <v>0.15</v>
      </c>
      <c r="Y122" s="35">
        <f t="shared" si="17"/>
        <v>0.05</v>
      </c>
      <c r="Z122" s="40">
        <f t="shared" si="18"/>
        <v>-57.6</v>
      </c>
      <c r="AA122" s="34">
        <f t="shared" si="19"/>
        <v>-10.8</v>
      </c>
      <c r="AB122" s="41">
        <f t="shared" si="12"/>
        <v>-3.6</v>
      </c>
      <c r="AC122" s="42" t="b">
        <v>1</v>
      </c>
      <c r="AD122" s="42" t="s">
        <v>138</v>
      </c>
      <c r="AE122" s="42" t="s">
        <v>138</v>
      </c>
      <c r="AF122" s="42" t="str">
        <f t="array" ref="AF122">INDEX('Deal Info'!D:D, MATCH(A122,'Deal Info'!A:A, 0))</f>
        <v>Fix15</v>
      </c>
      <c r="AG122" s="43" t="str">
        <f t="array" ref="AG122">INDEX('Deal Info'!G:G, MATCH(A122,'Deal Info'!A:A, 0))</f>
        <v>Fix5</v>
      </c>
    </row>
    <row r="123" hidden="1">
      <c r="A123" s="23" t="str">
        <f t="array" ref="A123">if(G123='Room Info'!$B$1, INDEX('Room Info'!$A$2:$A3446, MATCH(B123,'Room Info'!$B$2:$B3446, 0)),if(G123='Room Info'!$C$1, INDEX('Room Info'!$A$2:$A3446, MATCH(B123,'Room Info'!$C$2:$C3446, 0)),if(G123='Room Info'!$D$1, INDEX('Room Info'!$A$2:$A3446, MATCH(B123,'Room Info'!$D$2:$D3446, 0)),if(G123='Room Info'!$E$1, INDEX('Room Info'!$A$2:$A3446, MATCH(B123,'Room Info'!$E$2:$E3446, 0)),if(G123='Room Info'!$F$1, INDEX('Room Info'!$A$2:$A3446, MATCH(B123,'Room Info'!$F$2:$F3446, 0)),if(G123='Room Info'!$H$1, INDEX('Room Info'!$A$2:$A3446, MATCH(B123,'Room Info'!$H$2:$H3446, 0)),if(G123='Room Info'!$G$1, INDEX('Room Info'!$A$2:$A3446, MATCH(B123,'Room Info'!$G$2:$G3446, 0)))))))))</f>
        <v>AlexanderDSL</v>
      </c>
      <c r="B123" s="59" t="s">
        <v>148</v>
      </c>
      <c r="C123" s="73">
        <v>44702.0</v>
      </c>
      <c r="D123" s="73">
        <v>44732.0</v>
      </c>
      <c r="E123" s="52">
        <v>44713.0</v>
      </c>
      <c r="F123" s="50" t="s">
        <v>4</v>
      </c>
      <c r="G123" s="59" t="s">
        <v>5</v>
      </c>
      <c r="H123" s="54" t="s">
        <v>85</v>
      </c>
      <c r="I123" s="54" t="s">
        <v>7</v>
      </c>
      <c r="J123" s="55">
        <v>100.0</v>
      </c>
      <c r="K123" s="56">
        <v>1275.0</v>
      </c>
      <c r="L123" s="57">
        <v>-2700.0</v>
      </c>
      <c r="M123" s="58">
        <v>6950.0</v>
      </c>
      <c r="N123" s="33">
        <f t="shared" si="13"/>
        <v>127500</v>
      </c>
      <c r="O123" s="59">
        <v>30193.0</v>
      </c>
      <c r="P123" s="34">
        <f t="shared" si="14"/>
        <v>23.68078431</v>
      </c>
      <c r="Q123" s="60"/>
      <c r="R123" s="36">
        <f t="shared" si="15"/>
        <v>6950</v>
      </c>
      <c r="S123" s="61">
        <v>-1005.0</v>
      </c>
      <c r="T123" s="37">
        <f t="shared" si="16"/>
        <v>5945</v>
      </c>
      <c r="U123" s="38">
        <v>1.0</v>
      </c>
      <c r="V123" s="63"/>
      <c r="W123" s="63"/>
      <c r="X123" s="35">
        <f t="shared" si="20"/>
        <v>0.15</v>
      </c>
      <c r="Y123" s="35">
        <f t="shared" si="17"/>
        <v>0.05</v>
      </c>
      <c r="Z123" s="40">
        <f t="shared" si="18"/>
        <v>4756</v>
      </c>
      <c r="AA123" s="34">
        <f t="shared" si="19"/>
        <v>891.75</v>
      </c>
      <c r="AB123" s="41">
        <f t="shared" si="12"/>
        <v>297.25</v>
      </c>
      <c r="AC123" s="42" t="b">
        <v>1</v>
      </c>
      <c r="AD123" s="42" t="s">
        <v>138</v>
      </c>
      <c r="AE123" s="42" t="s">
        <v>138</v>
      </c>
      <c r="AF123" s="42" t="str">
        <f t="array" ref="AF123">INDEX('Deal Info'!D:D, MATCH(A123,'Deal Info'!A:A, 0))</f>
        <v>Fix15</v>
      </c>
      <c r="AG123" s="43" t="str">
        <f t="array" ref="AG123">INDEX('Deal Info'!G:G, MATCH(A123,'Deal Info'!A:A, 0))</f>
        <v>Fix5</v>
      </c>
    </row>
    <row r="124" hidden="1">
      <c r="A124" s="23" t="str">
        <f t="array" ref="A124">if(G124='Room Info'!$B$1, INDEX('Room Info'!$A$2:$A3446, MATCH(B124,'Room Info'!$B$2:$B3446, 0)),if(G124='Room Info'!$C$1, INDEX('Room Info'!$A$2:$A3446, MATCH(B124,'Room Info'!$C$2:$C3446, 0)),if(G124='Room Info'!$D$1, INDEX('Room Info'!$A$2:$A3446, MATCH(B124,'Room Info'!$D$2:$D3446, 0)),if(G124='Room Info'!$E$1, INDEX('Room Info'!$A$2:$A3446, MATCH(B124,'Room Info'!$E$2:$E3446, 0)),if(G124='Room Info'!$F$1, INDEX('Room Info'!$A$2:$A3446, MATCH(B124,'Room Info'!$F$2:$F3446, 0)),if(G124='Room Info'!$H$1, INDEX('Room Info'!$A$2:$A3446, MATCH(B124,'Room Info'!$H$2:$H3446, 0)),if(G124='Room Info'!$G$1, INDEX('Room Info'!$A$2:$A3446, MATCH(B124,'Room Info'!$G$2:$G3446, 0)))))))))</f>
        <v>AlexanderDSL</v>
      </c>
      <c r="B124" s="59" t="s">
        <v>148</v>
      </c>
      <c r="C124" s="51">
        <v>44733.0</v>
      </c>
      <c r="D124" s="51">
        <v>44762.0</v>
      </c>
      <c r="E124" s="52">
        <v>44743.0</v>
      </c>
      <c r="F124" s="50" t="s">
        <v>4</v>
      </c>
      <c r="G124" s="59" t="s">
        <v>5</v>
      </c>
      <c r="H124" s="54" t="s">
        <v>85</v>
      </c>
      <c r="I124" s="54" t="s">
        <v>7</v>
      </c>
      <c r="J124" s="55">
        <v>100.0</v>
      </c>
      <c r="K124" s="56">
        <v>1700.0</v>
      </c>
      <c r="L124" s="57">
        <v>-3300.0</v>
      </c>
      <c r="M124" s="58">
        <v>2900.0</v>
      </c>
      <c r="N124" s="33">
        <f t="shared" si="13"/>
        <v>170000</v>
      </c>
      <c r="O124" s="59">
        <v>48559.0</v>
      </c>
      <c r="P124" s="34">
        <f t="shared" si="14"/>
        <v>28.56411765</v>
      </c>
      <c r="Q124" s="60"/>
      <c r="R124" s="36">
        <f t="shared" si="15"/>
        <v>2900</v>
      </c>
      <c r="S124" s="61">
        <v>-399.0</v>
      </c>
      <c r="T124" s="37">
        <f t="shared" si="16"/>
        <v>2501</v>
      </c>
      <c r="U124" s="38">
        <v>1.0</v>
      </c>
      <c r="V124" s="63"/>
      <c r="W124" s="63"/>
      <c r="X124" s="35">
        <f t="shared" si="20"/>
        <v>0.15</v>
      </c>
      <c r="Y124" s="35">
        <f t="shared" si="17"/>
        <v>0.05</v>
      </c>
      <c r="Z124" s="40">
        <f t="shared" si="18"/>
        <v>2000.8</v>
      </c>
      <c r="AA124" s="34">
        <f t="shared" si="19"/>
        <v>375.15</v>
      </c>
      <c r="AB124" s="41">
        <f t="shared" si="12"/>
        <v>125.05</v>
      </c>
      <c r="AC124" s="42" t="b">
        <v>1</v>
      </c>
      <c r="AD124" s="42" t="s">
        <v>138</v>
      </c>
      <c r="AE124" s="42" t="s">
        <v>138</v>
      </c>
      <c r="AF124" s="42" t="str">
        <f t="array" ref="AF124">INDEX('Deal Info'!D:D, MATCH(A124,'Deal Info'!A:A, 0))</f>
        <v>Fix15</v>
      </c>
      <c r="AG124" s="43" t="str">
        <f t="array" ref="AG124">INDEX('Deal Info'!G:G, MATCH(A124,'Deal Info'!A:A, 0))</f>
        <v>Fix5</v>
      </c>
    </row>
    <row r="125" hidden="1">
      <c r="A125" s="23" t="str">
        <f t="array" ref="A125">if(G125='Room Info'!$B$1, INDEX('Room Info'!$A$2:$A3446, MATCH(B125,'Room Info'!$B$2:$B3446, 0)),if(G125='Room Info'!$C$1, INDEX('Room Info'!$A$2:$A3446, MATCH(B125,'Room Info'!$C$2:$C3446, 0)),if(G125='Room Info'!$D$1, INDEX('Room Info'!$A$2:$A3446, MATCH(B125,'Room Info'!$D$2:$D3446, 0)),if(G125='Room Info'!$E$1, INDEX('Room Info'!$A$2:$A3446, MATCH(B125,'Room Info'!$E$2:$E3446, 0)),if(G125='Room Info'!$F$1, INDEX('Room Info'!$A$2:$A3446, MATCH(B125,'Room Info'!$F$2:$F3446, 0)),if(G125='Room Info'!$H$1, INDEX('Room Info'!$A$2:$A3446, MATCH(B125,'Room Info'!$H$2:$H3446, 0)),if(G125='Room Info'!$G$1, INDEX('Room Info'!$A$2:$A3446, MATCH(B125,'Room Info'!$G$2:$G3446, 0)))))))))</f>
        <v>AlexanderDSL</v>
      </c>
      <c r="B125" s="59" t="s">
        <v>148</v>
      </c>
      <c r="C125" s="51">
        <v>44763.0</v>
      </c>
      <c r="D125" s="51">
        <v>44793.0</v>
      </c>
      <c r="E125" s="52">
        <v>44774.0</v>
      </c>
      <c r="F125" s="50" t="s">
        <v>4</v>
      </c>
      <c r="G125" s="59" t="s">
        <v>5</v>
      </c>
      <c r="H125" s="54" t="s">
        <v>85</v>
      </c>
      <c r="I125" s="54" t="s">
        <v>7</v>
      </c>
      <c r="J125" s="55">
        <v>100.0</v>
      </c>
      <c r="K125" s="56">
        <v>3500.0</v>
      </c>
      <c r="L125" s="57">
        <v>-12400.0</v>
      </c>
      <c r="M125" s="58">
        <v>16100.0</v>
      </c>
      <c r="N125" s="33">
        <f t="shared" si="13"/>
        <v>350000</v>
      </c>
      <c r="O125" s="59">
        <v>63286.0</v>
      </c>
      <c r="P125" s="34">
        <f t="shared" si="14"/>
        <v>18.08171429</v>
      </c>
      <c r="Q125" s="60"/>
      <c r="R125" s="36">
        <f t="shared" si="15"/>
        <v>16100</v>
      </c>
      <c r="S125" s="61">
        <v>-6748.0</v>
      </c>
      <c r="T125" s="37">
        <f t="shared" si="16"/>
        <v>9352</v>
      </c>
      <c r="U125" s="38">
        <v>1.0</v>
      </c>
      <c r="V125" s="63"/>
      <c r="W125" s="63"/>
      <c r="X125" s="35">
        <f t="shared" si="20"/>
        <v>0.15</v>
      </c>
      <c r="Y125" s="35">
        <f t="shared" si="17"/>
        <v>0.05</v>
      </c>
      <c r="Z125" s="40">
        <f t="shared" si="18"/>
        <v>7481.6</v>
      </c>
      <c r="AA125" s="34">
        <f t="shared" si="19"/>
        <v>1402.8</v>
      </c>
      <c r="AB125" s="41">
        <f t="shared" si="12"/>
        <v>467.6</v>
      </c>
      <c r="AC125" s="42" t="b">
        <v>1</v>
      </c>
      <c r="AD125" s="42" t="s">
        <v>138</v>
      </c>
      <c r="AE125" s="42" t="s">
        <v>138</v>
      </c>
      <c r="AF125" s="42" t="str">
        <f t="array" ref="AF125">INDEX('Deal Info'!D:D, MATCH(A125,'Deal Info'!A:A, 0))</f>
        <v>Fix15</v>
      </c>
      <c r="AG125" s="43" t="str">
        <f t="array" ref="AG125">INDEX('Deal Info'!G:G, MATCH(A125,'Deal Info'!A:A, 0))</f>
        <v>Fix5</v>
      </c>
    </row>
    <row r="126" hidden="1">
      <c r="A126" s="23" t="str">
        <f t="array" ref="A126">if(G126='Room Info'!$B$1, INDEX('Room Info'!$A$2:$A3446, MATCH(B126,'Room Info'!$B$2:$B3446, 0)),if(G126='Room Info'!$C$1, INDEX('Room Info'!$A$2:$A3446, MATCH(B126,'Room Info'!$C$2:$C3446, 0)),if(G126='Room Info'!$D$1, INDEX('Room Info'!$A$2:$A3446, MATCH(B126,'Room Info'!$D$2:$D3446, 0)),if(G126='Room Info'!$E$1, INDEX('Room Info'!$A$2:$A3446, MATCH(B126,'Room Info'!$E$2:$E3446, 0)),if(G126='Room Info'!$F$1, INDEX('Room Info'!$A$2:$A3446, MATCH(B126,'Room Info'!$F$2:$F3446, 0)),if(G126='Room Info'!$H$1, INDEX('Room Info'!$A$2:$A3446, MATCH(B126,'Room Info'!$H$2:$H3446, 0)),if(G126='Room Info'!$G$1, INDEX('Room Info'!$A$2:$A3446, MATCH(B126,'Room Info'!$G$2:$G3446, 0)))))))))</f>
        <v>AlexanderDSL</v>
      </c>
      <c r="B126" s="59" t="s">
        <v>148</v>
      </c>
      <c r="C126" s="51">
        <v>44794.0</v>
      </c>
      <c r="D126" s="73">
        <v>44824.0</v>
      </c>
      <c r="E126" s="52">
        <v>44805.0</v>
      </c>
      <c r="F126" s="50" t="s">
        <v>4</v>
      </c>
      <c r="G126" s="59" t="s">
        <v>5</v>
      </c>
      <c r="H126" s="54" t="s">
        <v>85</v>
      </c>
      <c r="I126" s="54" t="s">
        <v>7</v>
      </c>
      <c r="J126" s="55">
        <v>100.0</v>
      </c>
      <c r="K126" s="56">
        <v>2801.0</v>
      </c>
      <c r="L126" s="57">
        <v>1100.0</v>
      </c>
      <c r="M126" s="58">
        <v>10200.0</v>
      </c>
      <c r="N126" s="33">
        <f t="shared" si="13"/>
        <v>280100</v>
      </c>
      <c r="O126" s="59">
        <v>61184.0</v>
      </c>
      <c r="P126" s="34">
        <f t="shared" si="14"/>
        <v>21.84362728</v>
      </c>
      <c r="Q126" s="60"/>
      <c r="R126" s="36">
        <f t="shared" si="15"/>
        <v>10200</v>
      </c>
      <c r="S126" s="61">
        <v>-3729.0</v>
      </c>
      <c r="T126" s="37">
        <f t="shared" si="16"/>
        <v>6471</v>
      </c>
      <c r="U126" s="38">
        <v>1.0</v>
      </c>
      <c r="V126" s="63"/>
      <c r="W126" s="63"/>
      <c r="X126" s="35">
        <f t="shared" si="20"/>
        <v>0.15</v>
      </c>
      <c r="Y126" s="35">
        <f t="shared" si="17"/>
        <v>0.05</v>
      </c>
      <c r="Z126" s="40">
        <f t="shared" si="18"/>
        <v>5176.8</v>
      </c>
      <c r="AA126" s="34">
        <f t="shared" si="19"/>
        <v>970.65</v>
      </c>
      <c r="AB126" s="41">
        <f t="shared" si="12"/>
        <v>323.55</v>
      </c>
      <c r="AC126" s="42" t="b">
        <v>1</v>
      </c>
      <c r="AD126" s="42" t="s">
        <v>138</v>
      </c>
      <c r="AE126" s="42" t="s">
        <v>138</v>
      </c>
      <c r="AF126" s="42" t="str">
        <f t="array" ref="AF126">INDEX('Deal Info'!D:D, MATCH(A126,'Deal Info'!A:A, 0))</f>
        <v>Fix15</v>
      </c>
      <c r="AG126" s="43" t="str">
        <f t="array" ref="AG126">INDEX('Deal Info'!G:G, MATCH(A126,'Deal Info'!A:A, 0))</f>
        <v>Fix5</v>
      </c>
    </row>
    <row r="127" hidden="1">
      <c r="A127" s="23" t="str">
        <f t="array" ref="A127">if(G127='Room Info'!$B$1, INDEX('Room Info'!$A$2:$A3446, MATCH(B127,'Room Info'!$B$2:$B3446, 0)),if(G127='Room Info'!$C$1, INDEX('Room Info'!$A$2:$A3446, MATCH(B127,'Room Info'!$C$2:$C3446, 0)),if(G127='Room Info'!$D$1, INDEX('Room Info'!$A$2:$A3446, MATCH(B127,'Room Info'!$D$2:$D3446, 0)),if(G127='Room Info'!$E$1, INDEX('Room Info'!$A$2:$A3446, MATCH(B127,'Room Info'!$E$2:$E3446, 0)),if(G127='Room Info'!$F$1, INDEX('Room Info'!$A$2:$A3446, MATCH(B127,'Room Info'!$F$2:$F3446, 0)),if(G127='Room Info'!$H$1, INDEX('Room Info'!$A$2:$A3446, MATCH(B127,'Room Info'!$H$2:$H3446, 0)),if(G127='Room Info'!$G$1, INDEX('Room Info'!$A$2:$A3446, MATCH(B127,'Room Info'!$G$2:$G3446, 0)))))))))</f>
        <v>AlexanderDSL</v>
      </c>
      <c r="B127" s="59" t="s">
        <v>148</v>
      </c>
      <c r="C127" s="51">
        <v>44825.0</v>
      </c>
      <c r="D127" s="51">
        <v>44854.0</v>
      </c>
      <c r="E127" s="52">
        <v>44835.0</v>
      </c>
      <c r="F127" s="50" t="s">
        <v>4</v>
      </c>
      <c r="G127" s="59" t="s">
        <v>5</v>
      </c>
      <c r="H127" s="54" t="s">
        <v>85</v>
      </c>
      <c r="I127" s="54" t="s">
        <v>7</v>
      </c>
      <c r="J127" s="55">
        <v>100.0</v>
      </c>
      <c r="K127" s="56">
        <v>2800.0</v>
      </c>
      <c r="L127" s="57">
        <v>-3800.0</v>
      </c>
      <c r="M127" s="58">
        <v>10900.0</v>
      </c>
      <c r="N127" s="33">
        <f t="shared" si="13"/>
        <v>280000</v>
      </c>
      <c r="O127" s="59">
        <v>42419.0</v>
      </c>
      <c r="P127" s="34">
        <f t="shared" si="14"/>
        <v>15.14964286</v>
      </c>
      <c r="Q127" s="60"/>
      <c r="R127" s="36">
        <f t="shared" si="15"/>
        <v>10900</v>
      </c>
      <c r="S127" s="61">
        <v>-7136.0</v>
      </c>
      <c r="T127" s="37">
        <f t="shared" si="16"/>
        <v>3764</v>
      </c>
      <c r="U127" s="38">
        <v>1.0</v>
      </c>
      <c r="V127" s="63"/>
      <c r="W127" s="63"/>
      <c r="X127" s="35">
        <f t="shared" si="20"/>
        <v>0.15</v>
      </c>
      <c r="Y127" s="35">
        <f t="shared" si="17"/>
        <v>0.05</v>
      </c>
      <c r="Z127" s="40">
        <f t="shared" si="18"/>
        <v>3011.2</v>
      </c>
      <c r="AA127" s="34">
        <f t="shared" si="19"/>
        <v>564.6</v>
      </c>
      <c r="AB127" s="41">
        <f t="shared" si="12"/>
        <v>188.2</v>
      </c>
      <c r="AC127" s="42" t="b">
        <v>1</v>
      </c>
      <c r="AD127" s="42" t="s">
        <v>138</v>
      </c>
      <c r="AE127" s="42" t="s">
        <v>138</v>
      </c>
      <c r="AF127" s="42" t="str">
        <f t="array" ref="AF127">INDEX('Deal Info'!D:D, MATCH(A127,'Deal Info'!A:A, 0))</f>
        <v>Fix15</v>
      </c>
      <c r="AG127" s="43" t="str">
        <f t="array" ref="AG127">INDEX('Deal Info'!G:G, MATCH(A127,'Deal Info'!A:A, 0))</f>
        <v>Fix5</v>
      </c>
    </row>
    <row r="128" hidden="1">
      <c r="A128" s="23" t="str">
        <f t="array" ref="A128">if(G128='Room Info'!$B$1, INDEX('Room Info'!$A$2:$A3446, MATCH(B128,'Room Info'!$B$2:$B3446, 0)),if(G128='Room Info'!$C$1, INDEX('Room Info'!$A$2:$A3446, MATCH(B128,'Room Info'!$C$2:$C3446, 0)),if(G128='Room Info'!$D$1, INDEX('Room Info'!$A$2:$A3446, MATCH(B128,'Room Info'!$D$2:$D3446, 0)),if(G128='Room Info'!$E$1, INDEX('Room Info'!$A$2:$A3446, MATCH(B128,'Room Info'!$E$2:$E3446, 0)),if(G128='Room Info'!$F$1, INDEX('Room Info'!$A$2:$A3446, MATCH(B128,'Room Info'!$F$2:$F3446, 0)),if(G128='Room Info'!$H$1, INDEX('Room Info'!$A$2:$A3446, MATCH(B128,'Room Info'!$H$2:$H3446, 0)),if(G128='Room Info'!$G$1, INDEX('Room Info'!$A$2:$A3446, MATCH(B128,'Room Info'!$G$2:$G3446, 0)))))))))</f>
        <v>AlexanderDSL</v>
      </c>
      <c r="B128" s="59" t="s">
        <v>148</v>
      </c>
      <c r="C128" s="51">
        <v>44855.0</v>
      </c>
      <c r="D128" s="73">
        <v>44885.0</v>
      </c>
      <c r="E128" s="52">
        <v>44866.0</v>
      </c>
      <c r="F128" s="50" t="s">
        <v>4</v>
      </c>
      <c r="G128" s="59" t="s">
        <v>5</v>
      </c>
      <c r="H128" s="54" t="s">
        <v>85</v>
      </c>
      <c r="I128" s="54" t="s">
        <v>7</v>
      </c>
      <c r="J128" s="55">
        <v>100.0</v>
      </c>
      <c r="K128" s="56">
        <v>1374.0</v>
      </c>
      <c r="L128" s="57">
        <v>-2800.0</v>
      </c>
      <c r="M128" s="58">
        <v>4520.0</v>
      </c>
      <c r="N128" s="33">
        <f t="shared" si="13"/>
        <v>137400</v>
      </c>
      <c r="O128" s="59">
        <v>19906.0</v>
      </c>
      <c r="P128" s="34">
        <f t="shared" si="14"/>
        <v>14.48762737</v>
      </c>
      <c r="Q128" s="60"/>
      <c r="R128" s="36">
        <f t="shared" si="15"/>
        <v>4520</v>
      </c>
      <c r="S128" s="61">
        <v>-3897.0</v>
      </c>
      <c r="T128" s="37">
        <f t="shared" si="16"/>
        <v>623</v>
      </c>
      <c r="U128" s="38">
        <v>1.0</v>
      </c>
      <c r="V128" s="63"/>
      <c r="W128" s="63"/>
      <c r="X128" s="35">
        <f t="shared" si="20"/>
        <v>0.15</v>
      </c>
      <c r="Y128" s="35">
        <f t="shared" si="17"/>
        <v>0.05</v>
      </c>
      <c r="Z128" s="40">
        <f t="shared" si="18"/>
        <v>498.4</v>
      </c>
      <c r="AA128" s="34">
        <f t="shared" si="19"/>
        <v>93.45</v>
      </c>
      <c r="AB128" s="41">
        <f t="shared" si="12"/>
        <v>31.15</v>
      </c>
      <c r="AC128" s="42" t="b">
        <v>1</v>
      </c>
      <c r="AD128" s="42" t="s">
        <v>138</v>
      </c>
      <c r="AE128" s="42" t="s">
        <v>138</v>
      </c>
      <c r="AF128" s="42" t="str">
        <f t="array" ref="AF128">INDEX('Deal Info'!D:D, MATCH(A128,'Deal Info'!A:A, 0))</f>
        <v>Fix15</v>
      </c>
      <c r="AG128" s="43" t="str">
        <f t="array" ref="AG128">INDEX('Deal Info'!G:G, MATCH(A128,'Deal Info'!A:A, 0))</f>
        <v>Fix5</v>
      </c>
    </row>
    <row r="129" hidden="1">
      <c r="A129" s="23" t="str">
        <f t="array" ref="A129">if(G129='Room Info'!$B$1, INDEX('Room Info'!$A$2:$A3446, MATCH(B129,'Room Info'!$B$2:$B3446, 0)),if(G129='Room Info'!$C$1, INDEX('Room Info'!$A$2:$A3446, MATCH(B129,'Room Info'!$C$2:$C3446, 0)),if(G129='Room Info'!$D$1, INDEX('Room Info'!$A$2:$A3446, MATCH(B129,'Room Info'!$D$2:$D3446, 0)),if(G129='Room Info'!$E$1, INDEX('Room Info'!$A$2:$A3446, MATCH(B129,'Room Info'!$E$2:$E3446, 0)),if(G129='Room Info'!$F$1, INDEX('Room Info'!$A$2:$A3446, MATCH(B129,'Room Info'!$F$2:$F3446, 0)),if(G129='Room Info'!$H$1, INDEX('Room Info'!$A$2:$A3446, MATCH(B129,'Room Info'!$H$2:$H3446, 0)),if(G129='Room Info'!$G$1, INDEX('Room Info'!$A$2:$A3446, MATCH(B129,'Room Info'!$G$2:$G3446, 0)))))))))</f>
        <v>AlexanderDSL</v>
      </c>
      <c r="B129" s="59" t="s">
        <v>148</v>
      </c>
      <c r="C129" s="51">
        <v>44855.0</v>
      </c>
      <c r="D129" s="73">
        <v>44885.0</v>
      </c>
      <c r="E129" s="52">
        <v>44866.0</v>
      </c>
      <c r="F129" s="50" t="s">
        <v>4</v>
      </c>
      <c r="G129" s="59" t="s">
        <v>5</v>
      </c>
      <c r="H129" s="54" t="s">
        <v>86</v>
      </c>
      <c r="I129" s="54" t="s">
        <v>11</v>
      </c>
      <c r="J129" s="55">
        <v>100.0</v>
      </c>
      <c r="K129" s="56">
        <v>1620.0</v>
      </c>
      <c r="L129" s="57">
        <v>11600.0</v>
      </c>
      <c r="M129" s="58">
        <v>5330.0</v>
      </c>
      <c r="N129" s="33">
        <f t="shared" si="13"/>
        <v>162000</v>
      </c>
      <c r="O129" s="59">
        <v>13996.0</v>
      </c>
      <c r="P129" s="34">
        <f t="shared" si="14"/>
        <v>8.639506173</v>
      </c>
      <c r="Q129" s="60"/>
      <c r="R129" s="36">
        <f t="shared" si="15"/>
        <v>5330</v>
      </c>
      <c r="S129" s="61">
        <v>-4622.0</v>
      </c>
      <c r="T129" s="37">
        <f t="shared" si="16"/>
        <v>708</v>
      </c>
      <c r="U129" s="38">
        <v>1.0</v>
      </c>
      <c r="V129" s="63"/>
      <c r="W129" s="63"/>
      <c r="X129" s="35">
        <f t="shared" si="20"/>
        <v>0.15</v>
      </c>
      <c r="Y129" s="35">
        <f t="shared" si="17"/>
        <v>0.05</v>
      </c>
      <c r="Z129" s="40">
        <f t="shared" si="18"/>
        <v>566.4</v>
      </c>
      <c r="AA129" s="34">
        <f t="shared" si="19"/>
        <v>106.2</v>
      </c>
      <c r="AB129" s="41">
        <f t="shared" si="12"/>
        <v>35.4</v>
      </c>
      <c r="AC129" s="42" t="b">
        <v>1</v>
      </c>
      <c r="AD129" s="42" t="s">
        <v>138</v>
      </c>
      <c r="AE129" s="42" t="s">
        <v>138</v>
      </c>
      <c r="AF129" s="42" t="str">
        <f t="array" ref="AF129">INDEX('Deal Info'!D:D, MATCH(A129,'Deal Info'!A:A, 0))</f>
        <v>Fix15</v>
      </c>
      <c r="AG129" s="43" t="str">
        <f t="array" ref="AG129">INDEX('Deal Info'!G:G, MATCH(A129,'Deal Info'!A:A, 0))</f>
        <v>Fix5</v>
      </c>
    </row>
    <row r="130" hidden="1">
      <c r="A130" s="23" t="str">
        <f t="array" ref="A130">if(G130='Room Info'!$B$1, INDEX('Room Info'!$A$2:$A3446, MATCH(B130,'Room Info'!$B$2:$B3446, 0)),if(G130='Room Info'!$C$1, INDEX('Room Info'!$A$2:$A3446, MATCH(B130,'Room Info'!$C$2:$C3446, 0)),if(G130='Room Info'!$D$1, INDEX('Room Info'!$A$2:$A3446, MATCH(B130,'Room Info'!$D$2:$D3446, 0)),if(G130='Room Info'!$E$1, INDEX('Room Info'!$A$2:$A3446, MATCH(B130,'Room Info'!$E$2:$E3446, 0)),if(G130='Room Info'!$F$1, INDEX('Room Info'!$A$2:$A3446, MATCH(B130,'Room Info'!$F$2:$F3446, 0)),if(G130='Room Info'!$H$1, INDEX('Room Info'!$A$2:$A3446, MATCH(B130,'Room Info'!$H$2:$H3446, 0)),if(G130='Room Info'!$G$1, INDEX('Room Info'!$A$2:$A3446, MATCH(B130,'Room Info'!$G$2:$G3446, 0)))))))))</f>
        <v>AlexanderDSL</v>
      </c>
      <c r="B130" s="59" t="s">
        <v>148</v>
      </c>
      <c r="C130" s="51">
        <v>44886.0</v>
      </c>
      <c r="D130" s="73">
        <v>44915.0</v>
      </c>
      <c r="E130" s="52">
        <v>44896.0</v>
      </c>
      <c r="F130" s="50" t="s">
        <v>4</v>
      </c>
      <c r="G130" s="59" t="s">
        <v>5</v>
      </c>
      <c r="H130" s="54" t="s">
        <v>85</v>
      </c>
      <c r="I130" s="54" t="s">
        <v>7</v>
      </c>
      <c r="J130" s="55">
        <v>100.0</v>
      </c>
      <c r="K130" s="56">
        <v>1325.0</v>
      </c>
      <c r="L130" s="57">
        <v>-7900.0</v>
      </c>
      <c r="M130" s="58">
        <v>5176.0</v>
      </c>
      <c r="N130" s="33">
        <f t="shared" si="13"/>
        <v>132500</v>
      </c>
      <c r="O130" s="59">
        <v>5170.0</v>
      </c>
      <c r="P130" s="34">
        <f t="shared" si="14"/>
        <v>3.901886792</v>
      </c>
      <c r="Q130" s="60"/>
      <c r="R130" s="36">
        <f t="shared" si="15"/>
        <v>5176</v>
      </c>
      <c r="S130" s="61">
        <v>-6162.0</v>
      </c>
      <c r="T130" s="37">
        <f t="shared" si="16"/>
        <v>-986</v>
      </c>
      <c r="U130" s="38">
        <v>1.0</v>
      </c>
      <c r="V130" s="63"/>
      <c r="W130" s="63"/>
      <c r="X130" s="35">
        <f t="shared" si="20"/>
        <v>0.15</v>
      </c>
      <c r="Y130" s="35">
        <f t="shared" si="17"/>
        <v>0.05</v>
      </c>
      <c r="Z130" s="40">
        <f t="shared" si="18"/>
        <v>-788.8</v>
      </c>
      <c r="AA130" s="34">
        <f t="shared" si="19"/>
        <v>-147.9</v>
      </c>
      <c r="AB130" s="41">
        <f t="shared" si="12"/>
        <v>-49.3</v>
      </c>
      <c r="AC130" s="42" t="b">
        <v>1</v>
      </c>
      <c r="AD130" s="42" t="s">
        <v>138</v>
      </c>
      <c r="AE130" s="42" t="s">
        <v>138</v>
      </c>
      <c r="AF130" s="42" t="str">
        <f t="array" ref="AF130">INDEX('Deal Info'!D:D, MATCH(A130,'Deal Info'!A:A, 0))</f>
        <v>Fix15</v>
      </c>
      <c r="AG130" s="43" t="str">
        <f t="array" ref="AG130">INDEX('Deal Info'!G:G, MATCH(A130,'Deal Info'!A:A, 0))</f>
        <v>Fix5</v>
      </c>
    </row>
    <row r="131" hidden="1">
      <c r="A131" s="23" t="str">
        <f t="array" ref="A131">if(G131='Room Info'!$B$1, INDEX('Room Info'!$A$2:$A3446, MATCH(B131,'Room Info'!$B$2:$B3446, 0)),if(G131='Room Info'!$C$1, INDEX('Room Info'!$A$2:$A3446, MATCH(B131,'Room Info'!$C$2:$C3446, 0)),if(G131='Room Info'!$D$1, INDEX('Room Info'!$A$2:$A3446, MATCH(B131,'Room Info'!$D$2:$D3446, 0)),if(G131='Room Info'!$E$1, INDEX('Room Info'!$A$2:$A3446, MATCH(B131,'Room Info'!$E$2:$E3446, 0)),if(G131='Room Info'!$F$1, INDEX('Room Info'!$A$2:$A3446, MATCH(B131,'Room Info'!$F$2:$F3446, 0)),if(G131='Room Info'!$H$1, INDEX('Room Info'!$A$2:$A3446, MATCH(B131,'Room Info'!$H$2:$H3446, 0)),if(G131='Room Info'!$G$1, INDEX('Room Info'!$A$2:$A3446, MATCH(B131,'Room Info'!$G$2:$G3446, 0)))))))))</f>
        <v>AlexanderDSL</v>
      </c>
      <c r="B131" s="59" t="s">
        <v>148</v>
      </c>
      <c r="C131" s="51">
        <v>44886.0</v>
      </c>
      <c r="D131" s="51">
        <v>44915.0</v>
      </c>
      <c r="E131" s="52">
        <v>44896.0</v>
      </c>
      <c r="F131" s="50" t="s">
        <v>4</v>
      </c>
      <c r="G131" s="59" t="s">
        <v>5</v>
      </c>
      <c r="H131" s="54" t="s">
        <v>86</v>
      </c>
      <c r="I131" s="54" t="s">
        <v>11</v>
      </c>
      <c r="J131" s="55">
        <v>100.0</v>
      </c>
      <c r="K131" s="56">
        <v>1875.0</v>
      </c>
      <c r="L131" s="57">
        <v>-1500.0</v>
      </c>
      <c r="M131" s="58">
        <v>7324.0</v>
      </c>
      <c r="N131" s="33">
        <f t="shared" si="13"/>
        <v>187500</v>
      </c>
      <c r="O131" s="59">
        <v>21342.0</v>
      </c>
      <c r="P131" s="34">
        <f t="shared" si="14"/>
        <v>11.3824</v>
      </c>
      <c r="Q131" s="60"/>
      <c r="R131" s="36">
        <f t="shared" si="15"/>
        <v>7324</v>
      </c>
      <c r="S131" s="61">
        <v>-3423.0</v>
      </c>
      <c r="T131" s="37">
        <f t="shared" si="16"/>
        <v>3901</v>
      </c>
      <c r="U131" s="38">
        <v>1.0</v>
      </c>
      <c r="V131" s="63"/>
      <c r="W131" s="63"/>
      <c r="X131" s="35">
        <f t="shared" si="20"/>
        <v>0.15</v>
      </c>
      <c r="Y131" s="35">
        <f t="shared" si="17"/>
        <v>0.05</v>
      </c>
      <c r="Z131" s="40">
        <f t="shared" si="18"/>
        <v>3120.8</v>
      </c>
      <c r="AA131" s="34">
        <f t="shared" si="19"/>
        <v>585.15</v>
      </c>
      <c r="AB131" s="41">
        <f t="shared" si="12"/>
        <v>195.05</v>
      </c>
      <c r="AC131" s="42" t="b">
        <v>1</v>
      </c>
      <c r="AD131" s="42" t="s">
        <v>138</v>
      </c>
      <c r="AE131" s="42" t="s">
        <v>138</v>
      </c>
      <c r="AF131" s="42" t="str">
        <f t="array" ref="AF131">INDEX('Deal Info'!D:D, MATCH(A131,'Deal Info'!A:A, 0))</f>
        <v>Fix15</v>
      </c>
      <c r="AG131" s="43" t="str">
        <f t="array" ref="AG131">INDEX('Deal Info'!G:G, MATCH(A131,'Deal Info'!A:A, 0))</f>
        <v>Fix5</v>
      </c>
    </row>
    <row r="132" hidden="1">
      <c r="A132" s="23" t="str">
        <f t="array" ref="A132">if(G132='Room Info'!$B$1, INDEX('Room Info'!$A$2:$A3446, MATCH(B132,'Room Info'!$B$2:$B3446, 0)),if(G132='Room Info'!$C$1, INDEX('Room Info'!$A$2:$A3446, MATCH(B132,'Room Info'!$C$2:$C3446, 0)),if(G132='Room Info'!$D$1, INDEX('Room Info'!$A$2:$A3446, MATCH(B132,'Room Info'!$D$2:$D3446, 0)),if(G132='Room Info'!$E$1, INDEX('Room Info'!$A$2:$A3446, MATCH(B132,'Room Info'!$E$2:$E3446, 0)),if(G132='Room Info'!$F$1, INDEX('Room Info'!$A$2:$A3446, MATCH(B132,'Room Info'!$F$2:$F3446, 0)),if(G132='Room Info'!$H$1, INDEX('Room Info'!$A$2:$A3446, MATCH(B132,'Room Info'!$H$2:$H3446, 0)),if(G132='Room Info'!$G$1, INDEX('Room Info'!$A$2:$A3446, MATCH(B132,'Room Info'!$G$2:$G3446, 0)))))))))</f>
        <v>AlexanderDSL</v>
      </c>
      <c r="B132" s="59" t="s">
        <v>148</v>
      </c>
      <c r="C132" s="72">
        <v>44916.0</v>
      </c>
      <c r="D132" s="72">
        <v>44946.0</v>
      </c>
      <c r="E132" s="52">
        <v>44927.0</v>
      </c>
      <c r="F132" s="50" t="s">
        <v>4</v>
      </c>
      <c r="G132" s="59" t="s">
        <v>5</v>
      </c>
      <c r="H132" s="54" t="s">
        <v>85</v>
      </c>
      <c r="I132" s="54" t="s">
        <v>7</v>
      </c>
      <c r="J132" s="55">
        <v>100.0</v>
      </c>
      <c r="K132" s="56">
        <v>1518.0</v>
      </c>
      <c r="L132" s="57">
        <v>-700.0</v>
      </c>
      <c r="M132" s="58">
        <v>2846.0</v>
      </c>
      <c r="N132" s="33">
        <f t="shared" si="13"/>
        <v>151800</v>
      </c>
      <c r="O132" s="59">
        <v>35748.0</v>
      </c>
      <c r="P132" s="34">
        <f t="shared" si="14"/>
        <v>23.54940711</v>
      </c>
      <c r="Q132" s="60"/>
      <c r="R132" s="36">
        <f t="shared" si="15"/>
        <v>2846</v>
      </c>
      <c r="S132" s="61">
        <v>-1205.0</v>
      </c>
      <c r="T132" s="37">
        <f t="shared" si="16"/>
        <v>1641</v>
      </c>
      <c r="U132" s="38">
        <v>1.0</v>
      </c>
      <c r="V132" s="63"/>
      <c r="W132" s="63"/>
      <c r="X132" s="35">
        <f t="shared" si="20"/>
        <v>0.15</v>
      </c>
      <c r="Y132" s="35">
        <f t="shared" si="17"/>
        <v>0.05</v>
      </c>
      <c r="Z132" s="40">
        <f t="shared" si="18"/>
        <v>1312.8</v>
      </c>
      <c r="AA132" s="34">
        <f t="shared" si="19"/>
        <v>246.15</v>
      </c>
      <c r="AB132" s="41">
        <f t="shared" si="12"/>
        <v>82.05</v>
      </c>
      <c r="AC132" s="66" t="b">
        <v>1</v>
      </c>
      <c r="AD132" s="42" t="s">
        <v>138</v>
      </c>
      <c r="AE132" s="42" t="s">
        <v>138</v>
      </c>
      <c r="AF132" s="42" t="str">
        <f t="array" ref="AF132">INDEX('Deal Info'!D:D, MATCH(A132,'Deal Info'!A:A, 0))</f>
        <v>Fix15</v>
      </c>
      <c r="AG132" s="43" t="str">
        <f t="array" ref="AG132">INDEX('Deal Info'!G:G, MATCH(A132,'Deal Info'!A:A, 0))</f>
        <v>Fix5</v>
      </c>
    </row>
    <row r="133" hidden="1">
      <c r="A133" s="23" t="str">
        <f t="array" ref="A133">if(G133='Room Info'!$B$1, INDEX('Room Info'!$A$2:$A3446, MATCH(B133,'Room Info'!$B$2:$B3446, 0)),if(G133='Room Info'!$C$1, INDEX('Room Info'!$A$2:$A3446, MATCH(B133,'Room Info'!$C$2:$C3446, 0)),if(G133='Room Info'!$D$1, INDEX('Room Info'!$A$2:$A3446, MATCH(B133,'Room Info'!$D$2:$D3446, 0)),if(G133='Room Info'!$E$1, INDEX('Room Info'!$A$2:$A3446, MATCH(B133,'Room Info'!$E$2:$E3446, 0)),if(G133='Room Info'!$F$1, INDEX('Room Info'!$A$2:$A3446, MATCH(B133,'Room Info'!$F$2:$F3446, 0)),if(G133='Room Info'!$H$1, INDEX('Room Info'!$A$2:$A3446, MATCH(B133,'Room Info'!$H$2:$H3446, 0)),if(G133='Room Info'!$G$1, INDEX('Room Info'!$A$2:$A3446, MATCH(B133,'Room Info'!$G$2:$G3446, 0)))))))))</f>
        <v>AlexanderDSL</v>
      </c>
      <c r="B133" s="59" t="s">
        <v>148</v>
      </c>
      <c r="C133" s="72">
        <v>44916.0</v>
      </c>
      <c r="D133" s="72">
        <v>44946.0</v>
      </c>
      <c r="E133" s="52">
        <v>44927.0</v>
      </c>
      <c r="F133" s="50" t="s">
        <v>4</v>
      </c>
      <c r="G133" s="59" t="s">
        <v>5</v>
      </c>
      <c r="H133" s="54" t="s">
        <v>86</v>
      </c>
      <c r="I133" s="54" t="s">
        <v>11</v>
      </c>
      <c r="J133" s="55">
        <v>100.0</v>
      </c>
      <c r="K133" s="56">
        <v>1042.0</v>
      </c>
      <c r="L133" s="57">
        <v>-6100.0</v>
      </c>
      <c r="M133" s="58">
        <v>1954.0</v>
      </c>
      <c r="N133" s="33">
        <f t="shared" si="13"/>
        <v>104200</v>
      </c>
      <c r="O133" s="59">
        <v>-290.0</v>
      </c>
      <c r="P133" s="34">
        <f t="shared" si="14"/>
        <v>-0.2783109405</v>
      </c>
      <c r="Q133" s="60"/>
      <c r="R133" s="36">
        <f t="shared" si="15"/>
        <v>1954</v>
      </c>
      <c r="S133" s="61">
        <v>-5517.0</v>
      </c>
      <c r="T133" s="37">
        <f t="shared" si="16"/>
        <v>-3563</v>
      </c>
      <c r="U133" s="38">
        <v>1.0</v>
      </c>
      <c r="V133" s="63"/>
      <c r="W133" s="63"/>
      <c r="X133" s="35">
        <f t="shared" si="20"/>
        <v>0.15</v>
      </c>
      <c r="Y133" s="35">
        <f t="shared" si="17"/>
        <v>0.05</v>
      </c>
      <c r="Z133" s="40">
        <f t="shared" si="18"/>
        <v>-2850.4</v>
      </c>
      <c r="AA133" s="34">
        <f t="shared" si="19"/>
        <v>-534.45</v>
      </c>
      <c r="AB133" s="41">
        <f t="shared" si="12"/>
        <v>-178.15</v>
      </c>
      <c r="AC133" s="66" t="b">
        <v>1</v>
      </c>
      <c r="AD133" s="42" t="s">
        <v>138</v>
      </c>
      <c r="AE133" s="42" t="s">
        <v>138</v>
      </c>
      <c r="AF133" s="42" t="str">
        <f t="array" ref="AF133">INDEX('Deal Info'!D:D, MATCH(A133,'Deal Info'!A:A, 0))</f>
        <v>Fix15</v>
      </c>
      <c r="AG133" s="43" t="str">
        <f t="array" ref="AG133">INDEX('Deal Info'!G:G, MATCH(A133,'Deal Info'!A:A, 0))</f>
        <v>Fix5</v>
      </c>
    </row>
    <row r="134" hidden="1">
      <c r="A134" s="23" t="str">
        <f t="array" ref="A134">if(G134='Room Info'!$B$1, INDEX('Room Info'!$A$2:$A3446, MATCH(B134,'Room Info'!$B$2:$B3446, 0)),if(G134='Room Info'!$C$1, INDEX('Room Info'!$A$2:$A3446, MATCH(B134,'Room Info'!$C$2:$C3446, 0)),if(G134='Room Info'!$D$1, INDEX('Room Info'!$A$2:$A3446, MATCH(B134,'Room Info'!$D$2:$D3446, 0)),if(G134='Room Info'!$E$1, INDEX('Room Info'!$A$2:$A3446, MATCH(B134,'Room Info'!$E$2:$E3446, 0)),if(G134='Room Info'!$F$1, INDEX('Room Info'!$A$2:$A3446, MATCH(B134,'Room Info'!$F$2:$F3446, 0)),if(G134='Room Info'!$H$1, INDEX('Room Info'!$A$2:$A3446, MATCH(B134,'Room Info'!$H$2:$H3446, 0)),if(G134='Room Info'!$G$1, INDEX('Room Info'!$A$2:$A3446, MATCH(B134,'Room Info'!$G$2:$G3446, 0)))))))))</f>
        <v>bbaltqq</v>
      </c>
      <c r="B134" s="59" t="s">
        <v>149</v>
      </c>
      <c r="C134" s="72">
        <v>44490.0</v>
      </c>
      <c r="D134" s="72">
        <v>44520.0</v>
      </c>
      <c r="E134" s="52">
        <v>44501.0</v>
      </c>
      <c r="F134" s="50" t="s">
        <v>4</v>
      </c>
      <c r="G134" s="59" t="s">
        <v>5</v>
      </c>
      <c r="H134" s="54" t="s">
        <v>45</v>
      </c>
      <c r="I134" s="54" t="s">
        <v>7</v>
      </c>
      <c r="J134" s="55">
        <v>10.0</v>
      </c>
      <c r="K134" s="56">
        <v>1.0</v>
      </c>
      <c r="L134" s="57">
        <v>-10.0</v>
      </c>
      <c r="M134" s="67"/>
      <c r="N134" s="33">
        <f t="shared" si="13"/>
        <v>10</v>
      </c>
      <c r="O134" s="59">
        <v>296.0</v>
      </c>
      <c r="P134" s="34">
        <f t="shared" si="14"/>
        <v>296</v>
      </c>
      <c r="Q134" s="60"/>
      <c r="R134" s="36">
        <f t="shared" si="15"/>
        <v>0</v>
      </c>
      <c r="S134" s="61">
        <v>5.0</v>
      </c>
      <c r="T134" s="37">
        <f t="shared" si="16"/>
        <v>5</v>
      </c>
      <c r="U134" s="38">
        <v>1.0</v>
      </c>
      <c r="V134" s="74">
        <v>76.07259482542075</v>
      </c>
      <c r="W134" s="74">
        <v>175.2405058693391</v>
      </c>
      <c r="X134" s="35">
        <f t="shared" si="20"/>
        <v>0.22</v>
      </c>
      <c r="Y134" s="35">
        <f t="shared" si="17"/>
        <v>0</v>
      </c>
      <c r="Z134" s="40">
        <f t="shared" si="18"/>
        <v>3.9</v>
      </c>
      <c r="AA134" s="34">
        <f t="shared" si="19"/>
        <v>1.1</v>
      </c>
      <c r="AB134" s="41">
        <f t="shared" si="12"/>
        <v>0</v>
      </c>
      <c r="AC134" s="42" t="b">
        <v>1</v>
      </c>
      <c r="AD134" s="42" t="s">
        <v>138</v>
      </c>
      <c r="AE134" s="42" t="s">
        <v>138</v>
      </c>
      <c r="AF134" s="42" t="str">
        <f t="array" ref="AF134">INDEX('Deal Info'!D:D, MATCH(A134,'Deal Info'!A:A, 0))</f>
        <v>SF</v>
      </c>
      <c r="AG134" s="43" t="str">
        <f t="array" ref="AG134">INDEX('Deal Info'!G:G, MATCH(A134,'Deal Info'!A:A, 0))</f>
        <v>None</v>
      </c>
    </row>
    <row r="135" hidden="1">
      <c r="A135" s="23" t="str">
        <f t="array" ref="A135">if(G135='Room Info'!$B$1, INDEX('Room Info'!$A$2:$A3446, MATCH(B135,'Room Info'!$B$2:$B3446, 0)),if(G135='Room Info'!$C$1, INDEX('Room Info'!$A$2:$A3446, MATCH(B135,'Room Info'!$C$2:$C3446, 0)),if(G135='Room Info'!$D$1, INDEX('Room Info'!$A$2:$A3446, MATCH(B135,'Room Info'!$D$2:$D3446, 0)),if(G135='Room Info'!$E$1, INDEX('Room Info'!$A$2:$A3446, MATCH(B135,'Room Info'!$E$2:$E3446, 0)),if(G135='Room Info'!$F$1, INDEX('Room Info'!$A$2:$A3446, MATCH(B135,'Room Info'!$F$2:$F3446, 0)),if(G135='Room Info'!$H$1, INDEX('Room Info'!$A$2:$A3446, MATCH(B135,'Room Info'!$H$2:$H3446, 0)),if(G135='Room Info'!$G$1, INDEX('Room Info'!$A$2:$A3446, MATCH(B135,'Room Info'!$G$2:$G3446, 0)))))))))</f>
        <v>bbaltqq</v>
      </c>
      <c r="B135" s="59" t="s">
        <v>149</v>
      </c>
      <c r="C135" s="72">
        <v>44490.0</v>
      </c>
      <c r="D135" s="72">
        <v>44520.0</v>
      </c>
      <c r="E135" s="52">
        <v>44501.0</v>
      </c>
      <c r="F135" s="50" t="s">
        <v>4</v>
      </c>
      <c r="G135" s="59" t="s">
        <v>5</v>
      </c>
      <c r="H135" s="54" t="s">
        <v>62</v>
      </c>
      <c r="I135" s="54" t="s">
        <v>7</v>
      </c>
      <c r="J135" s="55">
        <v>25.0</v>
      </c>
      <c r="K135" s="56">
        <v>13.0</v>
      </c>
      <c r="L135" s="57">
        <v>25.0</v>
      </c>
      <c r="M135" s="58">
        <v>13.0</v>
      </c>
      <c r="N135" s="33">
        <f t="shared" si="13"/>
        <v>325</v>
      </c>
      <c r="O135" s="59">
        <v>889.0</v>
      </c>
      <c r="P135" s="34">
        <f t="shared" si="14"/>
        <v>68.38461538</v>
      </c>
      <c r="Q135" s="60"/>
      <c r="R135" s="36">
        <f t="shared" si="15"/>
        <v>13</v>
      </c>
      <c r="S135" s="61">
        <v>21.0</v>
      </c>
      <c r="T135" s="37">
        <f t="shared" si="16"/>
        <v>34</v>
      </c>
      <c r="U135" s="38">
        <v>1.0</v>
      </c>
      <c r="V135" s="74">
        <v>76.07259482542075</v>
      </c>
      <c r="W135" s="74">
        <v>175.2405058693391</v>
      </c>
      <c r="X135" s="35">
        <f t="shared" si="20"/>
        <v>0.22</v>
      </c>
      <c r="Y135" s="35">
        <f t="shared" si="17"/>
        <v>0</v>
      </c>
      <c r="Z135" s="40">
        <f t="shared" si="18"/>
        <v>26.52</v>
      </c>
      <c r="AA135" s="34">
        <f t="shared" si="19"/>
        <v>7.48</v>
      </c>
      <c r="AB135" s="41">
        <f t="shared" si="12"/>
        <v>0</v>
      </c>
      <c r="AC135" s="42" t="b">
        <v>1</v>
      </c>
      <c r="AD135" s="42" t="s">
        <v>138</v>
      </c>
      <c r="AE135" s="42" t="s">
        <v>138</v>
      </c>
      <c r="AF135" s="42" t="str">
        <f t="array" ref="AF135">INDEX('Deal Info'!D:D, MATCH(A135,'Deal Info'!A:A, 0))</f>
        <v>SF</v>
      </c>
      <c r="AG135" s="43" t="str">
        <f t="array" ref="AG135">INDEX('Deal Info'!G:G, MATCH(A135,'Deal Info'!A:A, 0))</f>
        <v>None</v>
      </c>
    </row>
    <row r="136" hidden="1">
      <c r="A136" s="23" t="str">
        <f t="array" ref="A136">if(G136='Room Info'!$B$1, INDEX('Room Info'!$A$2:$A3446, MATCH(B136,'Room Info'!$B$2:$B3446, 0)),if(G136='Room Info'!$C$1, INDEX('Room Info'!$A$2:$A3446, MATCH(B136,'Room Info'!$C$2:$C3446, 0)),if(G136='Room Info'!$D$1, INDEX('Room Info'!$A$2:$A3446, MATCH(B136,'Room Info'!$D$2:$D3446, 0)),if(G136='Room Info'!$E$1, INDEX('Room Info'!$A$2:$A3446, MATCH(B136,'Room Info'!$E$2:$E3446, 0)),if(G136='Room Info'!$F$1, INDEX('Room Info'!$A$2:$A3446, MATCH(B136,'Room Info'!$F$2:$F3446, 0)),if(G136='Room Info'!$H$1, INDEX('Room Info'!$A$2:$A3446, MATCH(B136,'Room Info'!$H$2:$H3446, 0)),if(G136='Room Info'!$G$1, INDEX('Room Info'!$A$2:$A3446, MATCH(B136,'Room Info'!$G$2:$G3446, 0)))))))))</f>
        <v>bbaltqq</v>
      </c>
      <c r="B136" s="59" t="s">
        <v>149</v>
      </c>
      <c r="C136" s="72">
        <v>44490.0</v>
      </c>
      <c r="D136" s="72">
        <v>44520.0</v>
      </c>
      <c r="E136" s="52">
        <v>44501.0</v>
      </c>
      <c r="F136" s="50" t="s">
        <v>4</v>
      </c>
      <c r="G136" s="59" t="s">
        <v>5</v>
      </c>
      <c r="H136" s="54" t="s">
        <v>74</v>
      </c>
      <c r="I136" s="54" t="s">
        <v>7</v>
      </c>
      <c r="J136" s="55">
        <v>50.0</v>
      </c>
      <c r="K136" s="56">
        <v>1880.0</v>
      </c>
      <c r="L136" s="57">
        <v>-950.0</v>
      </c>
      <c r="M136" s="58">
        <v>3872.0</v>
      </c>
      <c r="N136" s="33">
        <f t="shared" si="13"/>
        <v>94000</v>
      </c>
      <c r="O136" s="59">
        <v>26291.0</v>
      </c>
      <c r="P136" s="34">
        <f t="shared" si="14"/>
        <v>13.98457447</v>
      </c>
      <c r="Q136" s="60"/>
      <c r="R136" s="36">
        <f t="shared" si="15"/>
        <v>3872</v>
      </c>
      <c r="S136" s="61">
        <v>-3539.0</v>
      </c>
      <c r="T136" s="37">
        <f t="shared" si="16"/>
        <v>333</v>
      </c>
      <c r="U136" s="38">
        <v>1.0</v>
      </c>
      <c r="V136" s="74">
        <v>76.07259482542075</v>
      </c>
      <c r="W136" s="74">
        <v>175.2405058693391</v>
      </c>
      <c r="X136" s="35">
        <f t="shared" si="20"/>
        <v>0.22</v>
      </c>
      <c r="Y136" s="35">
        <f t="shared" si="17"/>
        <v>0</v>
      </c>
      <c r="Z136" s="40">
        <f t="shared" si="18"/>
        <v>259.74</v>
      </c>
      <c r="AA136" s="34">
        <f t="shared" si="19"/>
        <v>73.26</v>
      </c>
      <c r="AB136" s="41">
        <f t="shared" si="12"/>
        <v>0</v>
      </c>
      <c r="AC136" s="42" t="b">
        <v>1</v>
      </c>
      <c r="AD136" s="42" t="s">
        <v>138</v>
      </c>
      <c r="AE136" s="42" t="s">
        <v>138</v>
      </c>
      <c r="AF136" s="42" t="str">
        <f t="array" ref="AF136">INDEX('Deal Info'!D:D, MATCH(A136,'Deal Info'!A:A, 0))</f>
        <v>SF</v>
      </c>
      <c r="AG136" s="43" t="str">
        <f t="array" ref="AG136">INDEX('Deal Info'!G:G, MATCH(A136,'Deal Info'!A:A, 0))</f>
        <v>None</v>
      </c>
    </row>
    <row r="137" hidden="1">
      <c r="A137" s="23" t="str">
        <f t="array" ref="A137">if(G137='Room Info'!$B$1, INDEX('Room Info'!$A$2:$A3446, MATCH(B137,'Room Info'!$B$2:$B3446, 0)),if(G137='Room Info'!$C$1, INDEX('Room Info'!$A$2:$A3446, MATCH(B137,'Room Info'!$C$2:$C3446, 0)),if(G137='Room Info'!$D$1, INDEX('Room Info'!$A$2:$A3446, MATCH(B137,'Room Info'!$D$2:$D3446, 0)),if(G137='Room Info'!$E$1, INDEX('Room Info'!$A$2:$A3446, MATCH(B137,'Room Info'!$E$2:$E3446, 0)),if(G137='Room Info'!$F$1, INDEX('Room Info'!$A$2:$A3446, MATCH(B137,'Room Info'!$F$2:$F3446, 0)),if(G137='Room Info'!$H$1, INDEX('Room Info'!$A$2:$A3446, MATCH(B137,'Room Info'!$H$2:$H3446, 0)),if(G137='Room Info'!$G$1, INDEX('Room Info'!$A$2:$A3446, MATCH(B137,'Room Info'!$G$2:$G3446, 0)))))))))</f>
        <v>bbaltqq</v>
      </c>
      <c r="B137" s="59" t="s">
        <v>149</v>
      </c>
      <c r="C137" s="73">
        <v>44490.0</v>
      </c>
      <c r="D137" s="51">
        <v>44520.0</v>
      </c>
      <c r="E137" s="52">
        <v>44501.0</v>
      </c>
      <c r="F137" s="50" t="s">
        <v>12</v>
      </c>
      <c r="G137" s="59" t="s">
        <v>5</v>
      </c>
      <c r="H137" s="54" t="s">
        <v>38</v>
      </c>
      <c r="I137" s="54" t="s">
        <v>11</v>
      </c>
      <c r="J137" s="55">
        <v>5.0</v>
      </c>
      <c r="K137" s="56">
        <v>1.0</v>
      </c>
      <c r="L137" s="57">
        <v>35.0</v>
      </c>
      <c r="M137" s="67"/>
      <c r="N137" s="33">
        <f t="shared" si="13"/>
        <v>5</v>
      </c>
      <c r="O137" s="59">
        <v>139.0</v>
      </c>
      <c r="P137" s="34">
        <f t="shared" si="14"/>
        <v>139</v>
      </c>
      <c r="Q137" s="60"/>
      <c r="R137" s="36">
        <f t="shared" si="15"/>
        <v>0</v>
      </c>
      <c r="S137" s="61"/>
      <c r="T137" s="37">
        <f t="shared" si="16"/>
        <v>35</v>
      </c>
      <c r="U137" s="38">
        <v>1.0</v>
      </c>
      <c r="V137" s="74">
        <v>76.07259482542075</v>
      </c>
      <c r="W137" s="74">
        <v>175.2405058693391</v>
      </c>
      <c r="X137" s="35">
        <f t="shared" si="20"/>
        <v>0.22</v>
      </c>
      <c r="Y137" s="35">
        <f t="shared" si="17"/>
        <v>0</v>
      </c>
      <c r="Z137" s="40">
        <f t="shared" si="18"/>
        <v>27.3</v>
      </c>
      <c r="AA137" s="34">
        <f t="shared" si="19"/>
        <v>7.7</v>
      </c>
      <c r="AB137" s="41">
        <f t="shared" si="12"/>
        <v>0</v>
      </c>
      <c r="AC137" s="42" t="b">
        <v>1</v>
      </c>
      <c r="AD137" s="42" t="s">
        <v>138</v>
      </c>
      <c r="AE137" s="42" t="s">
        <v>138</v>
      </c>
      <c r="AF137" s="42" t="str">
        <f t="array" ref="AF137">INDEX('Deal Info'!D:D, MATCH(A137,'Deal Info'!A:A, 0))</f>
        <v>SF</v>
      </c>
      <c r="AG137" s="43" t="str">
        <f t="array" ref="AG137">INDEX('Deal Info'!G:G, MATCH(A137,'Deal Info'!A:A, 0))</f>
        <v>None</v>
      </c>
    </row>
    <row r="138" hidden="1">
      <c r="A138" s="23" t="str">
        <f t="array" ref="A138">if(G138='Room Info'!$B$1, INDEX('Room Info'!$A$2:$A3446, MATCH(B138,'Room Info'!$B$2:$B3446, 0)),if(G138='Room Info'!$C$1, INDEX('Room Info'!$A$2:$A3446, MATCH(B138,'Room Info'!$C$2:$C3446, 0)),if(G138='Room Info'!$D$1, INDEX('Room Info'!$A$2:$A3446, MATCH(B138,'Room Info'!$D$2:$D3446, 0)),if(G138='Room Info'!$E$1, INDEX('Room Info'!$A$2:$A3446, MATCH(B138,'Room Info'!$E$2:$E3446, 0)),if(G138='Room Info'!$F$1, INDEX('Room Info'!$A$2:$A3446, MATCH(B138,'Room Info'!$F$2:$F3446, 0)),if(G138='Room Info'!$H$1, INDEX('Room Info'!$A$2:$A3446, MATCH(B138,'Room Info'!$H$2:$H3446, 0)),if(G138='Room Info'!$G$1, INDEX('Room Info'!$A$2:$A3446, MATCH(B138,'Room Info'!$G$2:$G3446, 0)))))))))</f>
        <v>bbaltqq</v>
      </c>
      <c r="B138" s="59" t="s">
        <v>149</v>
      </c>
      <c r="C138" s="73">
        <v>44490.0</v>
      </c>
      <c r="D138" s="51">
        <v>44520.0</v>
      </c>
      <c r="E138" s="52">
        <v>44501.0</v>
      </c>
      <c r="F138" s="50" t="s">
        <v>12</v>
      </c>
      <c r="G138" s="59" t="s">
        <v>5</v>
      </c>
      <c r="H138" s="54" t="s">
        <v>35</v>
      </c>
      <c r="I138" s="54" t="s">
        <v>7</v>
      </c>
      <c r="J138" s="55">
        <v>5.0</v>
      </c>
      <c r="K138" s="56">
        <v>1.0</v>
      </c>
      <c r="L138" s="57">
        <v>5.0</v>
      </c>
      <c r="M138" s="67"/>
      <c r="N138" s="33">
        <f t="shared" si="13"/>
        <v>5</v>
      </c>
      <c r="O138" s="59">
        <v>140.0</v>
      </c>
      <c r="P138" s="34">
        <f t="shared" si="14"/>
        <v>140</v>
      </c>
      <c r="Q138" s="60"/>
      <c r="R138" s="36">
        <f t="shared" si="15"/>
        <v>0</v>
      </c>
      <c r="S138" s="61"/>
      <c r="T138" s="37">
        <f t="shared" si="16"/>
        <v>5</v>
      </c>
      <c r="U138" s="38">
        <v>1.0</v>
      </c>
      <c r="V138" s="74">
        <v>76.07259482542075</v>
      </c>
      <c r="W138" s="74">
        <v>175.2405058693391</v>
      </c>
      <c r="X138" s="35">
        <f t="shared" si="20"/>
        <v>0.22</v>
      </c>
      <c r="Y138" s="35">
        <f t="shared" si="17"/>
        <v>0</v>
      </c>
      <c r="Z138" s="40">
        <f t="shared" si="18"/>
        <v>3.9</v>
      </c>
      <c r="AA138" s="34">
        <f t="shared" si="19"/>
        <v>1.1</v>
      </c>
      <c r="AB138" s="41">
        <f t="shared" si="12"/>
        <v>0</v>
      </c>
      <c r="AC138" s="42" t="b">
        <v>1</v>
      </c>
      <c r="AD138" s="42" t="s">
        <v>138</v>
      </c>
      <c r="AE138" s="42" t="s">
        <v>138</v>
      </c>
      <c r="AF138" s="42" t="str">
        <f t="array" ref="AF138">INDEX('Deal Info'!D:D, MATCH(A138,'Deal Info'!A:A, 0))</f>
        <v>SF</v>
      </c>
      <c r="AG138" s="43" t="str">
        <f t="array" ref="AG138">INDEX('Deal Info'!G:G, MATCH(A138,'Deal Info'!A:A, 0))</f>
        <v>None</v>
      </c>
    </row>
    <row r="139" hidden="1">
      <c r="A139" s="23" t="str">
        <f t="array" ref="A139">if(G139='Room Info'!$B$1, INDEX('Room Info'!$A$2:$A3446, MATCH(B139,'Room Info'!$B$2:$B3446, 0)),if(G139='Room Info'!$C$1, INDEX('Room Info'!$A$2:$A3446, MATCH(B139,'Room Info'!$C$2:$C3446, 0)),if(G139='Room Info'!$D$1, INDEX('Room Info'!$A$2:$A3446, MATCH(B139,'Room Info'!$D$2:$D3446, 0)),if(G139='Room Info'!$E$1, INDEX('Room Info'!$A$2:$A3446, MATCH(B139,'Room Info'!$E$2:$E3446, 0)),if(G139='Room Info'!$F$1, INDEX('Room Info'!$A$2:$A3446, MATCH(B139,'Room Info'!$F$2:$F3446, 0)),if(G139='Room Info'!$H$1, INDEX('Room Info'!$A$2:$A3446, MATCH(B139,'Room Info'!$H$2:$H3446, 0)),if(G139='Room Info'!$G$1, INDEX('Room Info'!$A$2:$A3446, MATCH(B139,'Room Info'!$G$2:$G3446, 0)))))))))</f>
        <v>bbaltqq</v>
      </c>
      <c r="B139" s="59" t="s">
        <v>149</v>
      </c>
      <c r="C139" s="73">
        <v>44490.0</v>
      </c>
      <c r="D139" s="51">
        <v>44520.0</v>
      </c>
      <c r="E139" s="52">
        <v>44501.0</v>
      </c>
      <c r="F139" s="50" t="s">
        <v>12</v>
      </c>
      <c r="G139" s="59" t="s">
        <v>5</v>
      </c>
      <c r="H139" s="54" t="s">
        <v>85</v>
      </c>
      <c r="I139" s="54" t="s">
        <v>7</v>
      </c>
      <c r="J139" s="55">
        <v>100.0</v>
      </c>
      <c r="K139" s="56">
        <v>2085.0</v>
      </c>
      <c r="L139" s="57">
        <v>5700.0</v>
      </c>
      <c r="M139" s="58">
        <v>7219.0</v>
      </c>
      <c r="N139" s="33">
        <f t="shared" si="13"/>
        <v>208500</v>
      </c>
      <c r="O139" s="59">
        <v>62975.0</v>
      </c>
      <c r="P139" s="34">
        <f t="shared" si="14"/>
        <v>30.20383693</v>
      </c>
      <c r="Q139" s="60"/>
      <c r="R139" s="36">
        <f t="shared" si="15"/>
        <v>7219</v>
      </c>
      <c r="S139" s="61"/>
      <c r="T139" s="37">
        <f t="shared" si="16"/>
        <v>12919</v>
      </c>
      <c r="U139" s="38">
        <v>1.0</v>
      </c>
      <c r="V139" s="74">
        <v>76.07259482542075</v>
      </c>
      <c r="W139" s="74">
        <v>175.2405058693391</v>
      </c>
      <c r="X139" s="35">
        <f t="shared" si="20"/>
        <v>0.22</v>
      </c>
      <c r="Y139" s="35">
        <f t="shared" si="17"/>
        <v>0</v>
      </c>
      <c r="Z139" s="40">
        <f t="shared" si="18"/>
        <v>10076.82</v>
      </c>
      <c r="AA139" s="34">
        <f t="shared" si="19"/>
        <v>2842.18</v>
      </c>
      <c r="AB139" s="41">
        <f t="shared" si="12"/>
        <v>0</v>
      </c>
      <c r="AC139" s="42" t="b">
        <v>1</v>
      </c>
      <c r="AD139" s="42" t="s">
        <v>138</v>
      </c>
      <c r="AE139" s="42" t="s">
        <v>138</v>
      </c>
      <c r="AF139" s="42" t="str">
        <f t="array" ref="AF139">INDEX('Deal Info'!D:D, MATCH(A139,'Deal Info'!A:A, 0))</f>
        <v>SF</v>
      </c>
      <c r="AG139" s="43" t="str">
        <f t="array" ref="AG139">INDEX('Deal Info'!G:G, MATCH(A139,'Deal Info'!A:A, 0))</f>
        <v>None</v>
      </c>
    </row>
    <row r="140" hidden="1">
      <c r="A140" s="23" t="str">
        <f t="array" ref="A140">if(G140='Room Info'!$B$1, INDEX('Room Info'!$A$2:$A3446, MATCH(B140,'Room Info'!$B$2:$B3446, 0)),if(G140='Room Info'!$C$1, INDEX('Room Info'!$A$2:$A3446, MATCH(B140,'Room Info'!$C$2:$C3446, 0)),if(G140='Room Info'!$D$1, INDEX('Room Info'!$A$2:$A3446, MATCH(B140,'Room Info'!$D$2:$D3446, 0)),if(G140='Room Info'!$E$1, INDEX('Room Info'!$A$2:$A3446, MATCH(B140,'Room Info'!$E$2:$E3446, 0)),if(G140='Room Info'!$F$1, INDEX('Room Info'!$A$2:$A3446, MATCH(B140,'Room Info'!$F$2:$F3446, 0)),if(G140='Room Info'!$H$1, INDEX('Room Info'!$A$2:$A3446, MATCH(B140,'Room Info'!$H$2:$H3446, 0)),if(G140='Room Info'!$G$1, INDEX('Room Info'!$A$2:$A3446, MATCH(B140,'Room Info'!$G$2:$G3446, 0)))))))))</f>
        <v>bbaltqq</v>
      </c>
      <c r="B140" s="59" t="s">
        <v>149</v>
      </c>
      <c r="C140" s="73">
        <v>44521.0</v>
      </c>
      <c r="D140" s="51">
        <v>44550.0</v>
      </c>
      <c r="E140" s="52">
        <v>44531.0</v>
      </c>
      <c r="F140" s="50" t="s">
        <v>12</v>
      </c>
      <c r="G140" s="59" t="s">
        <v>5</v>
      </c>
      <c r="H140" s="54" t="s">
        <v>85</v>
      </c>
      <c r="I140" s="54" t="s">
        <v>7</v>
      </c>
      <c r="J140" s="55">
        <v>100.0</v>
      </c>
      <c r="K140" s="56">
        <v>1844.0</v>
      </c>
      <c r="L140" s="57">
        <v>-14900.0</v>
      </c>
      <c r="M140" s="58">
        <v>6405.0</v>
      </c>
      <c r="N140" s="33">
        <f t="shared" si="13"/>
        <v>184400</v>
      </c>
      <c r="O140" s="59">
        <v>5532.0</v>
      </c>
      <c r="P140" s="34">
        <f t="shared" si="14"/>
        <v>3</v>
      </c>
      <c r="Q140" s="60"/>
      <c r="R140" s="36">
        <f t="shared" si="15"/>
        <v>6405</v>
      </c>
      <c r="S140" s="61"/>
      <c r="T140" s="37">
        <f t="shared" si="16"/>
        <v>-8495</v>
      </c>
      <c r="U140" s="38">
        <v>1.0</v>
      </c>
      <c r="V140" s="74">
        <v>95.45768218456983</v>
      </c>
      <c r="W140" s="63">
        <v>22.68</v>
      </c>
      <c r="X140" s="35">
        <f t="shared" si="20"/>
        <v>0.22</v>
      </c>
      <c r="Y140" s="35">
        <f t="shared" si="17"/>
        <v>0</v>
      </c>
      <c r="Z140" s="40">
        <f t="shared" si="18"/>
        <v>-6626.1</v>
      </c>
      <c r="AA140" s="34">
        <f t="shared" si="19"/>
        <v>-1868.9</v>
      </c>
      <c r="AB140" s="41">
        <f t="shared" si="12"/>
        <v>0</v>
      </c>
      <c r="AC140" s="42" t="b">
        <v>1</v>
      </c>
      <c r="AD140" s="42" t="s">
        <v>138</v>
      </c>
      <c r="AE140" s="42" t="s">
        <v>138</v>
      </c>
      <c r="AF140" s="42" t="str">
        <f t="array" ref="AF140">INDEX('Deal Info'!D:D, MATCH(A140,'Deal Info'!A:A, 0))</f>
        <v>SF</v>
      </c>
      <c r="AG140" s="43" t="str">
        <f t="array" ref="AG140">INDEX('Deal Info'!G:G, MATCH(A140,'Deal Info'!A:A, 0))</f>
        <v>None</v>
      </c>
    </row>
    <row r="141" hidden="1">
      <c r="A141" s="23" t="str">
        <f t="array" ref="A141">if(G141='Room Info'!$B$1, INDEX('Room Info'!$A$2:$A3446, MATCH(B141,'Room Info'!$B$2:$B3446, 0)),if(G141='Room Info'!$C$1, INDEX('Room Info'!$A$2:$A3446, MATCH(B141,'Room Info'!$C$2:$C3446, 0)),if(G141='Room Info'!$D$1, INDEX('Room Info'!$A$2:$A3446, MATCH(B141,'Room Info'!$D$2:$D3446, 0)),if(G141='Room Info'!$E$1, INDEX('Room Info'!$A$2:$A3446, MATCH(B141,'Room Info'!$E$2:$E3446, 0)),if(G141='Room Info'!$F$1, INDEX('Room Info'!$A$2:$A3446, MATCH(B141,'Room Info'!$F$2:$F3446, 0)),if(G141='Room Info'!$H$1, INDEX('Room Info'!$A$2:$A3446, MATCH(B141,'Room Info'!$H$2:$H3446, 0)),if(G141='Room Info'!$G$1, INDEX('Room Info'!$A$2:$A3446, MATCH(B141,'Room Info'!$G$2:$G3446, 0)))))))))</f>
        <v>bbaltqq</v>
      </c>
      <c r="B141" s="59" t="s">
        <v>149</v>
      </c>
      <c r="C141" s="73">
        <v>44521.0</v>
      </c>
      <c r="D141" s="51">
        <v>44550.0</v>
      </c>
      <c r="E141" s="52">
        <v>44531.0</v>
      </c>
      <c r="F141" s="50" t="s">
        <v>12</v>
      </c>
      <c r="G141" s="59" t="s">
        <v>5</v>
      </c>
      <c r="H141" s="54" t="s">
        <v>62</v>
      </c>
      <c r="I141" s="54" t="s">
        <v>7</v>
      </c>
      <c r="J141" s="55">
        <v>25.0</v>
      </c>
      <c r="K141" s="56">
        <v>261.0</v>
      </c>
      <c r="L141" s="57">
        <v>-275.0</v>
      </c>
      <c r="M141" s="58">
        <v>272.0</v>
      </c>
      <c r="N141" s="33">
        <f t="shared" si="13"/>
        <v>6525</v>
      </c>
      <c r="O141" s="70"/>
      <c r="P141" s="34">
        <f t="shared" si="14"/>
        <v>0</v>
      </c>
      <c r="Q141" s="60"/>
      <c r="R141" s="36">
        <f t="shared" si="15"/>
        <v>272</v>
      </c>
      <c r="S141" s="71"/>
      <c r="T141" s="37">
        <f t="shared" si="16"/>
        <v>-3</v>
      </c>
      <c r="U141" s="38">
        <v>1.0</v>
      </c>
      <c r="V141" s="74">
        <v>95.45768218456983</v>
      </c>
      <c r="W141" s="63">
        <v>22.68</v>
      </c>
      <c r="X141" s="35">
        <f t="shared" si="20"/>
        <v>0.22</v>
      </c>
      <c r="Y141" s="35">
        <f t="shared" si="17"/>
        <v>0</v>
      </c>
      <c r="Z141" s="40">
        <f t="shared" si="18"/>
        <v>-2.34</v>
      </c>
      <c r="AA141" s="34">
        <f t="shared" si="19"/>
        <v>-0.66</v>
      </c>
      <c r="AB141" s="41">
        <f t="shared" si="12"/>
        <v>0</v>
      </c>
      <c r="AC141" s="42" t="b">
        <v>1</v>
      </c>
      <c r="AD141" s="42" t="s">
        <v>138</v>
      </c>
      <c r="AE141" s="42" t="s">
        <v>138</v>
      </c>
      <c r="AF141" s="42" t="str">
        <f t="array" ref="AF141">INDEX('Deal Info'!D:D, MATCH(A141,'Deal Info'!A:A, 0))</f>
        <v>SF</v>
      </c>
      <c r="AG141" s="43" t="str">
        <f t="array" ref="AG141">INDEX('Deal Info'!G:G, MATCH(A141,'Deal Info'!A:A, 0))</f>
        <v>None</v>
      </c>
    </row>
    <row r="142" hidden="1">
      <c r="A142" s="23" t="str">
        <f t="array" ref="A142">if(G142='Room Info'!$B$1, INDEX('Room Info'!$A$2:$A3446, MATCH(B142,'Room Info'!$B$2:$B3446, 0)),if(G142='Room Info'!$C$1, INDEX('Room Info'!$A$2:$A3446, MATCH(B142,'Room Info'!$C$2:$C3446, 0)),if(G142='Room Info'!$D$1, INDEX('Room Info'!$A$2:$A3446, MATCH(B142,'Room Info'!$D$2:$D3446, 0)),if(G142='Room Info'!$E$1, INDEX('Room Info'!$A$2:$A3446, MATCH(B142,'Room Info'!$E$2:$E3446, 0)),if(G142='Room Info'!$F$1, INDEX('Room Info'!$A$2:$A3446, MATCH(B142,'Room Info'!$F$2:$F3446, 0)),if(G142='Room Info'!$H$1, INDEX('Room Info'!$A$2:$A3446, MATCH(B142,'Room Info'!$H$2:$H3446, 0)),if(G142='Room Info'!$G$1, INDEX('Room Info'!$A$2:$A3446, MATCH(B142,'Room Info'!$G$2:$G3446, 0)))))))))</f>
        <v>bbaltqq</v>
      </c>
      <c r="B142" s="59" t="s">
        <v>149</v>
      </c>
      <c r="C142" s="73">
        <v>44521.0</v>
      </c>
      <c r="D142" s="51">
        <v>44550.0</v>
      </c>
      <c r="E142" s="52">
        <v>44531.0</v>
      </c>
      <c r="F142" s="50" t="s">
        <v>12</v>
      </c>
      <c r="G142" s="59" t="s">
        <v>5</v>
      </c>
      <c r="H142" s="54" t="s">
        <v>74</v>
      </c>
      <c r="I142" s="54" t="s">
        <v>7</v>
      </c>
      <c r="J142" s="55">
        <v>50.0</v>
      </c>
      <c r="K142" s="56">
        <v>69.0</v>
      </c>
      <c r="L142" s="57">
        <v>-50.0</v>
      </c>
      <c r="M142" s="58">
        <v>143.0</v>
      </c>
      <c r="N142" s="33">
        <f t="shared" si="13"/>
        <v>3450</v>
      </c>
      <c r="O142" s="70"/>
      <c r="P142" s="34">
        <f t="shared" si="14"/>
        <v>0</v>
      </c>
      <c r="Q142" s="60"/>
      <c r="R142" s="36">
        <f t="shared" si="15"/>
        <v>143</v>
      </c>
      <c r="S142" s="71"/>
      <c r="T142" s="37">
        <f t="shared" si="16"/>
        <v>93</v>
      </c>
      <c r="U142" s="38">
        <v>1.0</v>
      </c>
      <c r="V142" s="74">
        <v>95.45768218456983</v>
      </c>
      <c r="W142" s="63">
        <v>22.68</v>
      </c>
      <c r="X142" s="35">
        <f t="shared" si="20"/>
        <v>0.22</v>
      </c>
      <c r="Y142" s="35">
        <f t="shared" si="17"/>
        <v>0</v>
      </c>
      <c r="Z142" s="40">
        <f t="shared" si="18"/>
        <v>72.54</v>
      </c>
      <c r="AA142" s="34">
        <f t="shared" si="19"/>
        <v>20.46</v>
      </c>
      <c r="AB142" s="41">
        <f t="shared" si="12"/>
        <v>0</v>
      </c>
      <c r="AC142" s="42" t="b">
        <v>1</v>
      </c>
      <c r="AD142" s="42" t="s">
        <v>138</v>
      </c>
      <c r="AE142" s="42" t="s">
        <v>138</v>
      </c>
      <c r="AF142" s="42" t="str">
        <f t="array" ref="AF142">INDEX('Deal Info'!D:D, MATCH(A142,'Deal Info'!A:A, 0))</f>
        <v>SF</v>
      </c>
      <c r="AG142" s="43" t="str">
        <f t="array" ref="AG142">INDEX('Deal Info'!G:G, MATCH(A142,'Deal Info'!A:A, 0))</f>
        <v>None</v>
      </c>
    </row>
    <row r="143" hidden="1">
      <c r="A143" s="23" t="str">
        <f t="array" ref="A143">if(G143='Room Info'!$B$1, INDEX('Room Info'!$A$2:$A3446, MATCH(B143,'Room Info'!$B$2:$B3446, 0)),if(G143='Room Info'!$C$1, INDEX('Room Info'!$A$2:$A3446, MATCH(B143,'Room Info'!$C$2:$C3446, 0)),if(G143='Room Info'!$D$1, INDEX('Room Info'!$A$2:$A3446, MATCH(B143,'Room Info'!$D$2:$D3446, 0)),if(G143='Room Info'!$E$1, INDEX('Room Info'!$A$2:$A3446, MATCH(B143,'Room Info'!$E$2:$E3446, 0)),if(G143='Room Info'!$F$1, INDEX('Room Info'!$A$2:$A3446, MATCH(B143,'Room Info'!$F$2:$F3446, 0)),if(G143='Room Info'!$H$1, INDEX('Room Info'!$A$2:$A3446, MATCH(B143,'Room Info'!$H$2:$H3446, 0)),if(G143='Room Info'!$G$1, INDEX('Room Info'!$A$2:$A3446, MATCH(B143,'Room Info'!$G$2:$G3446, 0)))))))))</f>
        <v>bbaltqq</v>
      </c>
      <c r="B143" s="59" t="s">
        <v>149</v>
      </c>
      <c r="C143" s="73">
        <v>44521.0</v>
      </c>
      <c r="D143" s="51">
        <v>44550.0</v>
      </c>
      <c r="E143" s="52">
        <v>44531.0</v>
      </c>
      <c r="F143" s="50" t="s">
        <v>12</v>
      </c>
      <c r="G143" s="59" t="s">
        <v>5</v>
      </c>
      <c r="H143" s="54" t="s">
        <v>6</v>
      </c>
      <c r="I143" s="54" t="s">
        <v>7</v>
      </c>
      <c r="J143" s="55">
        <v>0.25</v>
      </c>
      <c r="K143" s="56">
        <v>2.0</v>
      </c>
      <c r="L143" s="57">
        <v>-0.5</v>
      </c>
      <c r="M143" s="67"/>
      <c r="N143" s="33">
        <f t="shared" si="13"/>
        <v>0.5</v>
      </c>
      <c r="O143" s="70"/>
      <c r="P143" s="34">
        <f t="shared" si="14"/>
        <v>0</v>
      </c>
      <c r="Q143" s="60"/>
      <c r="R143" s="36">
        <f t="shared" si="15"/>
        <v>0</v>
      </c>
      <c r="S143" s="71"/>
      <c r="T143" s="37">
        <f t="shared" si="16"/>
        <v>-0.5</v>
      </c>
      <c r="U143" s="38">
        <v>1.0</v>
      </c>
      <c r="V143" s="74">
        <v>95.45768218456983</v>
      </c>
      <c r="W143" s="63">
        <v>22.68</v>
      </c>
      <c r="X143" s="35">
        <f t="shared" si="20"/>
        <v>0.22</v>
      </c>
      <c r="Y143" s="35">
        <f t="shared" si="17"/>
        <v>0</v>
      </c>
      <c r="Z143" s="40">
        <f t="shared" si="18"/>
        <v>-0.39</v>
      </c>
      <c r="AA143" s="34">
        <f t="shared" si="19"/>
        <v>-0.11</v>
      </c>
      <c r="AB143" s="41">
        <f t="shared" si="12"/>
        <v>0</v>
      </c>
      <c r="AC143" s="42" t="b">
        <v>1</v>
      </c>
      <c r="AD143" s="42" t="s">
        <v>138</v>
      </c>
      <c r="AE143" s="42" t="s">
        <v>138</v>
      </c>
      <c r="AF143" s="42" t="str">
        <f t="array" ref="AF143">INDEX('Deal Info'!D:D, MATCH(A143,'Deal Info'!A:A, 0))</f>
        <v>SF</v>
      </c>
      <c r="AG143" s="43" t="str">
        <f t="array" ref="AG143">INDEX('Deal Info'!G:G, MATCH(A143,'Deal Info'!A:A, 0))</f>
        <v>None</v>
      </c>
    </row>
    <row r="144" hidden="1">
      <c r="A144" s="23" t="str">
        <f t="array" ref="A144">if(G144='Room Info'!$B$1, INDEX('Room Info'!$A$2:$A3446, MATCH(B144,'Room Info'!$B$2:$B3446, 0)),if(G144='Room Info'!$C$1, INDEX('Room Info'!$A$2:$A3446, MATCH(B144,'Room Info'!$C$2:$C3446, 0)),if(G144='Room Info'!$D$1, INDEX('Room Info'!$A$2:$A3446, MATCH(B144,'Room Info'!$D$2:$D3446, 0)),if(G144='Room Info'!$E$1, INDEX('Room Info'!$A$2:$A3446, MATCH(B144,'Room Info'!$E$2:$E3446, 0)),if(G144='Room Info'!$F$1, INDEX('Room Info'!$A$2:$A3446, MATCH(B144,'Room Info'!$F$2:$F3446, 0)),if(G144='Room Info'!$H$1, INDEX('Room Info'!$A$2:$A3446, MATCH(B144,'Room Info'!$H$2:$H3446, 0)),if(G144='Room Info'!$G$1, INDEX('Room Info'!$A$2:$A3446, MATCH(B144,'Room Info'!$G$2:$G3446, 0)))))))))</f>
        <v>bbaltqq</v>
      </c>
      <c r="B144" s="59" t="s">
        <v>149</v>
      </c>
      <c r="C144" s="73">
        <v>44551.0</v>
      </c>
      <c r="D144" s="51">
        <v>44581.0</v>
      </c>
      <c r="E144" s="52">
        <v>44562.0</v>
      </c>
      <c r="F144" s="50" t="s">
        <v>12</v>
      </c>
      <c r="G144" s="59" t="s">
        <v>5</v>
      </c>
      <c r="H144" s="54" t="s">
        <v>6</v>
      </c>
      <c r="I144" s="54" t="s">
        <v>7</v>
      </c>
      <c r="J144" s="55">
        <v>0.25</v>
      </c>
      <c r="K144" s="56">
        <v>7.0</v>
      </c>
      <c r="L144" s="57">
        <v>0.0</v>
      </c>
      <c r="M144" s="58">
        <v>0.0</v>
      </c>
      <c r="N144" s="33">
        <f t="shared" si="13"/>
        <v>1.75</v>
      </c>
      <c r="O144" s="70"/>
      <c r="P144" s="34">
        <f t="shared" si="14"/>
        <v>0</v>
      </c>
      <c r="Q144" s="60"/>
      <c r="R144" s="36">
        <f t="shared" si="15"/>
        <v>0</v>
      </c>
      <c r="S144" s="71"/>
      <c r="T144" s="37">
        <f t="shared" si="16"/>
        <v>0</v>
      </c>
      <c r="U144" s="38">
        <v>1.0</v>
      </c>
      <c r="V144" s="74">
        <v>95.45768218456983</v>
      </c>
      <c r="W144" s="63">
        <v>22.68</v>
      </c>
      <c r="X144" s="35">
        <f t="shared" si="20"/>
        <v>0.22</v>
      </c>
      <c r="Y144" s="35">
        <f t="shared" si="17"/>
        <v>0</v>
      </c>
      <c r="Z144" s="40">
        <f t="shared" si="18"/>
        <v>0</v>
      </c>
      <c r="AA144" s="34">
        <f t="shared" si="19"/>
        <v>0</v>
      </c>
      <c r="AB144" s="41">
        <f t="shared" si="12"/>
        <v>0</v>
      </c>
      <c r="AC144" s="42" t="b">
        <v>1</v>
      </c>
      <c r="AD144" s="42" t="s">
        <v>138</v>
      </c>
      <c r="AE144" s="42" t="s">
        <v>138</v>
      </c>
      <c r="AF144" s="42" t="str">
        <f t="array" ref="AF144">INDEX('Deal Info'!D:D, MATCH(A144,'Deal Info'!A:A, 0))</f>
        <v>SF</v>
      </c>
      <c r="AG144" s="43" t="str">
        <f t="array" ref="AG144">INDEX('Deal Info'!G:G, MATCH(A144,'Deal Info'!A:A, 0))</f>
        <v>None</v>
      </c>
    </row>
    <row r="145" hidden="1">
      <c r="A145" s="23" t="str">
        <f t="array" ref="A145">if(G145='Room Info'!$B$1, INDEX('Room Info'!$A$2:$A3446, MATCH(B145,'Room Info'!$B$2:$B3446, 0)),if(G145='Room Info'!$C$1, INDEX('Room Info'!$A$2:$A3446, MATCH(B145,'Room Info'!$C$2:$C3446, 0)),if(G145='Room Info'!$D$1, INDEX('Room Info'!$A$2:$A3446, MATCH(B145,'Room Info'!$D$2:$D3446, 0)),if(G145='Room Info'!$E$1, INDEX('Room Info'!$A$2:$A3446, MATCH(B145,'Room Info'!$E$2:$E3446, 0)),if(G145='Room Info'!$F$1, INDEX('Room Info'!$A$2:$A3446, MATCH(B145,'Room Info'!$F$2:$F3446, 0)),if(G145='Room Info'!$H$1, INDEX('Room Info'!$A$2:$A3446, MATCH(B145,'Room Info'!$H$2:$H3446, 0)),if(G145='Room Info'!$G$1, INDEX('Room Info'!$A$2:$A3446, MATCH(B145,'Room Info'!$G$2:$G3446, 0)))))))))</f>
        <v>bbaltqq</v>
      </c>
      <c r="B145" s="59" t="s">
        <v>149</v>
      </c>
      <c r="C145" s="51">
        <v>44551.0</v>
      </c>
      <c r="D145" s="51">
        <v>44581.0</v>
      </c>
      <c r="E145" s="52">
        <v>44562.0</v>
      </c>
      <c r="F145" s="50" t="s">
        <v>12</v>
      </c>
      <c r="G145" s="59" t="s">
        <v>5</v>
      </c>
      <c r="H145" s="54" t="s">
        <v>35</v>
      </c>
      <c r="I145" s="54" t="s">
        <v>7</v>
      </c>
      <c r="J145" s="55">
        <v>5.0</v>
      </c>
      <c r="K145" s="56">
        <v>1.0</v>
      </c>
      <c r="L145" s="57">
        <v>-5.0</v>
      </c>
      <c r="M145" s="58">
        <v>0.0</v>
      </c>
      <c r="N145" s="33">
        <f t="shared" si="13"/>
        <v>5</v>
      </c>
      <c r="O145" s="70"/>
      <c r="P145" s="34">
        <f t="shared" si="14"/>
        <v>0</v>
      </c>
      <c r="Q145" s="60"/>
      <c r="R145" s="36">
        <f t="shared" si="15"/>
        <v>0</v>
      </c>
      <c r="S145" s="71"/>
      <c r="T145" s="37">
        <f t="shared" si="16"/>
        <v>-5</v>
      </c>
      <c r="U145" s="38">
        <v>1.0</v>
      </c>
      <c r="V145" s="74">
        <v>95.45768218456983</v>
      </c>
      <c r="W145" s="63">
        <v>22.68</v>
      </c>
      <c r="X145" s="35">
        <f t="shared" si="20"/>
        <v>0.22</v>
      </c>
      <c r="Y145" s="35">
        <f t="shared" si="17"/>
        <v>0</v>
      </c>
      <c r="Z145" s="40">
        <f t="shared" si="18"/>
        <v>-3.9</v>
      </c>
      <c r="AA145" s="34">
        <f t="shared" si="19"/>
        <v>-1.1</v>
      </c>
      <c r="AB145" s="41">
        <f t="shared" si="12"/>
        <v>0</v>
      </c>
      <c r="AC145" s="42" t="b">
        <v>1</v>
      </c>
      <c r="AD145" s="42" t="s">
        <v>138</v>
      </c>
      <c r="AE145" s="42" t="s">
        <v>138</v>
      </c>
      <c r="AF145" s="42" t="str">
        <f t="array" ref="AF145">INDEX('Deal Info'!D:D, MATCH(A145,'Deal Info'!A:A, 0))</f>
        <v>SF</v>
      </c>
      <c r="AG145" s="43" t="str">
        <f t="array" ref="AG145">INDEX('Deal Info'!G:G, MATCH(A145,'Deal Info'!A:A, 0))</f>
        <v>None</v>
      </c>
    </row>
    <row r="146" hidden="1">
      <c r="A146" s="23" t="str">
        <f t="array" ref="A146">if(G146='Room Info'!$B$1, INDEX('Room Info'!$A$2:$A3446, MATCH(B146,'Room Info'!$B$2:$B3446, 0)),if(G146='Room Info'!$C$1, INDEX('Room Info'!$A$2:$A3446, MATCH(B146,'Room Info'!$C$2:$C3446, 0)),if(G146='Room Info'!$D$1, INDEX('Room Info'!$A$2:$A3446, MATCH(B146,'Room Info'!$D$2:$D3446, 0)),if(G146='Room Info'!$E$1, INDEX('Room Info'!$A$2:$A3446, MATCH(B146,'Room Info'!$E$2:$E3446, 0)),if(G146='Room Info'!$F$1, INDEX('Room Info'!$A$2:$A3446, MATCH(B146,'Room Info'!$F$2:$F3446, 0)),if(G146='Room Info'!$H$1, INDEX('Room Info'!$A$2:$A3446, MATCH(B146,'Room Info'!$H$2:$H3446, 0)),if(G146='Room Info'!$G$1, INDEX('Room Info'!$A$2:$A3446, MATCH(B146,'Room Info'!$G$2:$G3446, 0)))))))))</f>
        <v>bbaltqq</v>
      </c>
      <c r="B146" s="59" t="s">
        <v>149</v>
      </c>
      <c r="C146" s="73">
        <v>44551.0</v>
      </c>
      <c r="D146" s="51">
        <v>44581.0</v>
      </c>
      <c r="E146" s="52">
        <v>44562.0</v>
      </c>
      <c r="F146" s="50" t="s">
        <v>12</v>
      </c>
      <c r="G146" s="59" t="s">
        <v>5</v>
      </c>
      <c r="H146" s="54" t="s">
        <v>85</v>
      </c>
      <c r="I146" s="54" t="s">
        <v>7</v>
      </c>
      <c r="J146" s="55">
        <v>100.0</v>
      </c>
      <c r="K146" s="56">
        <v>1155.0</v>
      </c>
      <c r="L146" s="57">
        <v>-3200.0</v>
      </c>
      <c r="M146" s="58">
        <v>1750.0</v>
      </c>
      <c r="N146" s="33">
        <f t="shared" si="13"/>
        <v>115500</v>
      </c>
      <c r="O146" s="59">
        <v>15015.0</v>
      </c>
      <c r="P146" s="34">
        <f t="shared" si="14"/>
        <v>13</v>
      </c>
      <c r="Q146" s="60"/>
      <c r="R146" s="36">
        <f t="shared" si="15"/>
        <v>1750</v>
      </c>
      <c r="S146" s="61"/>
      <c r="T146" s="37">
        <f t="shared" si="16"/>
        <v>-1450</v>
      </c>
      <c r="U146" s="38">
        <v>1.0</v>
      </c>
      <c r="V146" s="74">
        <v>95.45768218456983</v>
      </c>
      <c r="W146" s="63">
        <v>22.68</v>
      </c>
      <c r="X146" s="35">
        <f t="shared" si="20"/>
        <v>0.22</v>
      </c>
      <c r="Y146" s="35">
        <f t="shared" si="17"/>
        <v>0</v>
      </c>
      <c r="Z146" s="40">
        <f t="shared" si="18"/>
        <v>-1131</v>
      </c>
      <c r="AA146" s="34">
        <f t="shared" si="19"/>
        <v>-319</v>
      </c>
      <c r="AB146" s="41">
        <f t="shared" si="12"/>
        <v>0</v>
      </c>
      <c r="AC146" s="42" t="b">
        <v>1</v>
      </c>
      <c r="AD146" s="42" t="s">
        <v>138</v>
      </c>
      <c r="AE146" s="42" t="s">
        <v>138</v>
      </c>
      <c r="AF146" s="42" t="str">
        <f t="array" ref="AF146">INDEX('Deal Info'!D:D, MATCH(A146,'Deal Info'!A:A, 0))</f>
        <v>SF</v>
      </c>
      <c r="AG146" s="43" t="str">
        <f t="array" ref="AG146">INDEX('Deal Info'!G:G, MATCH(A146,'Deal Info'!A:A, 0))</f>
        <v>None</v>
      </c>
    </row>
    <row r="147" hidden="1">
      <c r="A147" s="23" t="str">
        <f t="array" ref="A147">if(G147='Room Info'!$B$1, INDEX('Room Info'!$A$2:$A3446, MATCH(B147,'Room Info'!$B$2:$B3446, 0)),if(G147='Room Info'!$C$1, INDEX('Room Info'!$A$2:$A3446, MATCH(B147,'Room Info'!$C$2:$C3446, 0)),if(G147='Room Info'!$D$1, INDEX('Room Info'!$A$2:$A3446, MATCH(B147,'Room Info'!$D$2:$D3446, 0)),if(G147='Room Info'!$E$1, INDEX('Room Info'!$A$2:$A3446, MATCH(B147,'Room Info'!$E$2:$E3446, 0)),if(G147='Room Info'!$F$1, INDEX('Room Info'!$A$2:$A3446, MATCH(B147,'Room Info'!$F$2:$F3446, 0)),if(G147='Room Info'!$H$1, INDEX('Room Info'!$A$2:$A3446, MATCH(B147,'Room Info'!$H$2:$H3446, 0)),if(G147='Room Info'!$G$1, INDEX('Room Info'!$A$2:$A3446, MATCH(B147,'Room Info'!$G$2:$G3446, 0)))))))))</f>
        <v>bbaltqq</v>
      </c>
      <c r="B147" s="59" t="s">
        <v>149</v>
      </c>
      <c r="C147" s="73">
        <v>44582.0</v>
      </c>
      <c r="D147" s="51">
        <v>44620.0</v>
      </c>
      <c r="E147" s="52">
        <v>44593.0</v>
      </c>
      <c r="F147" s="50" t="s">
        <v>12</v>
      </c>
      <c r="G147" s="59" t="s">
        <v>5</v>
      </c>
      <c r="H147" s="54" t="s">
        <v>35</v>
      </c>
      <c r="I147" s="54" t="s">
        <v>7</v>
      </c>
      <c r="J147" s="55">
        <v>5.0</v>
      </c>
      <c r="K147" s="56">
        <v>1.0</v>
      </c>
      <c r="L147" s="57">
        <v>5.0</v>
      </c>
      <c r="M147" s="67"/>
      <c r="N147" s="33">
        <f t="shared" si="13"/>
        <v>5</v>
      </c>
      <c r="O147" s="59">
        <v>659.0</v>
      </c>
      <c r="P147" s="34">
        <f t="shared" si="14"/>
        <v>659</v>
      </c>
      <c r="Q147" s="60"/>
      <c r="R147" s="36">
        <f t="shared" si="15"/>
        <v>0</v>
      </c>
      <c r="S147" s="61"/>
      <c r="T147" s="37">
        <f t="shared" si="16"/>
        <v>5</v>
      </c>
      <c r="U147" s="38">
        <v>1.0</v>
      </c>
      <c r="V147" s="74">
        <v>95.45768218456983</v>
      </c>
      <c r="W147" s="63">
        <v>22.68</v>
      </c>
      <c r="X147" s="35">
        <f t="shared" si="20"/>
        <v>0.22</v>
      </c>
      <c r="Y147" s="35">
        <f t="shared" si="17"/>
        <v>0</v>
      </c>
      <c r="Z147" s="40">
        <f t="shared" si="18"/>
        <v>3.9</v>
      </c>
      <c r="AA147" s="34">
        <f t="shared" si="19"/>
        <v>1.1</v>
      </c>
      <c r="AB147" s="41">
        <f t="shared" si="12"/>
        <v>0</v>
      </c>
      <c r="AC147" s="42" t="b">
        <v>1</v>
      </c>
      <c r="AD147" s="42" t="s">
        <v>138</v>
      </c>
      <c r="AE147" s="42" t="s">
        <v>138</v>
      </c>
      <c r="AF147" s="42" t="str">
        <f t="array" ref="AF147">INDEX('Deal Info'!D:D, MATCH(A147,'Deal Info'!A:A, 0))</f>
        <v>SF</v>
      </c>
      <c r="AG147" s="43" t="str">
        <f t="array" ref="AG147">INDEX('Deal Info'!G:G, MATCH(A147,'Deal Info'!A:A, 0))</f>
        <v>None</v>
      </c>
    </row>
    <row r="148" hidden="1">
      <c r="A148" s="23" t="str">
        <f t="array" ref="A148">if(G148='Room Info'!$B$1, INDEX('Room Info'!$A$2:$A3446, MATCH(B148,'Room Info'!$B$2:$B3446, 0)),if(G148='Room Info'!$C$1, INDEX('Room Info'!$A$2:$A3446, MATCH(B148,'Room Info'!$C$2:$C3446, 0)),if(G148='Room Info'!$D$1, INDEX('Room Info'!$A$2:$A3446, MATCH(B148,'Room Info'!$D$2:$D3446, 0)),if(G148='Room Info'!$E$1, INDEX('Room Info'!$A$2:$A3446, MATCH(B148,'Room Info'!$E$2:$E3446, 0)),if(G148='Room Info'!$F$1, INDEX('Room Info'!$A$2:$A3446, MATCH(B148,'Room Info'!$F$2:$F3446, 0)),if(G148='Room Info'!$H$1, INDEX('Room Info'!$A$2:$A3446, MATCH(B148,'Room Info'!$H$2:$H3446, 0)),if(G148='Room Info'!$G$1, INDEX('Room Info'!$A$2:$A3446, MATCH(B148,'Room Info'!$G$2:$G3446, 0)))))))))</f>
        <v>bbaltqq</v>
      </c>
      <c r="B148" s="59" t="s">
        <v>149</v>
      </c>
      <c r="C148" s="73">
        <v>44582.0</v>
      </c>
      <c r="D148" s="51">
        <v>44620.0</v>
      </c>
      <c r="E148" s="52">
        <v>44593.0</v>
      </c>
      <c r="F148" s="50" t="s">
        <v>12</v>
      </c>
      <c r="G148" s="59" t="s">
        <v>5</v>
      </c>
      <c r="H148" s="54" t="s">
        <v>85</v>
      </c>
      <c r="I148" s="54" t="s">
        <v>7</v>
      </c>
      <c r="J148" s="55">
        <v>100.0</v>
      </c>
      <c r="K148" s="56">
        <v>2669.0</v>
      </c>
      <c r="L148" s="57">
        <v>4300.0</v>
      </c>
      <c r="M148" s="58">
        <v>12257.0</v>
      </c>
      <c r="N148" s="33">
        <f t="shared" si="13"/>
        <v>266900</v>
      </c>
      <c r="O148" s="59">
        <v>8070.0</v>
      </c>
      <c r="P148" s="34">
        <f t="shared" si="14"/>
        <v>3.023604346</v>
      </c>
      <c r="Q148" s="60"/>
      <c r="R148" s="36">
        <f t="shared" si="15"/>
        <v>12257</v>
      </c>
      <c r="S148" s="61"/>
      <c r="T148" s="37">
        <f t="shared" si="16"/>
        <v>16557</v>
      </c>
      <c r="U148" s="38">
        <v>1.0</v>
      </c>
      <c r="V148" s="74">
        <v>95.45768218456983</v>
      </c>
      <c r="W148" s="63">
        <v>22.68</v>
      </c>
      <c r="X148" s="35">
        <f t="shared" si="20"/>
        <v>0.22</v>
      </c>
      <c r="Y148" s="35">
        <f t="shared" si="17"/>
        <v>0</v>
      </c>
      <c r="Z148" s="40">
        <f t="shared" si="18"/>
        <v>12914.46</v>
      </c>
      <c r="AA148" s="34">
        <f t="shared" si="19"/>
        <v>3642.54</v>
      </c>
      <c r="AB148" s="41">
        <f t="shared" si="12"/>
        <v>0</v>
      </c>
      <c r="AC148" s="42" t="b">
        <v>1</v>
      </c>
      <c r="AD148" s="42" t="s">
        <v>138</v>
      </c>
      <c r="AE148" s="42" t="s">
        <v>138</v>
      </c>
      <c r="AF148" s="42" t="str">
        <f t="array" ref="AF148">INDEX('Deal Info'!D:D, MATCH(A148,'Deal Info'!A:A, 0))</f>
        <v>SF</v>
      </c>
      <c r="AG148" s="43" t="str">
        <f t="array" ref="AG148">INDEX('Deal Info'!G:G, MATCH(A148,'Deal Info'!A:A, 0))</f>
        <v>None</v>
      </c>
    </row>
    <row r="149" hidden="1">
      <c r="A149" s="23" t="str">
        <f t="array" ref="A149">if(G149='Room Info'!$B$1, INDEX('Room Info'!$A$2:$A3446, MATCH(B149,'Room Info'!$B$2:$B3446, 0)),if(G149='Room Info'!$C$1, INDEX('Room Info'!$A$2:$A3446, MATCH(B149,'Room Info'!$C$2:$C3446, 0)),if(G149='Room Info'!$D$1, INDEX('Room Info'!$A$2:$A3446, MATCH(B149,'Room Info'!$D$2:$D3446, 0)),if(G149='Room Info'!$E$1, INDEX('Room Info'!$A$2:$A3446, MATCH(B149,'Room Info'!$E$2:$E3446, 0)),if(G149='Room Info'!$F$1, INDEX('Room Info'!$A$2:$A3446, MATCH(B149,'Room Info'!$F$2:$F3446, 0)),if(G149='Room Info'!$H$1, INDEX('Room Info'!$A$2:$A3446, MATCH(B149,'Room Info'!$H$2:$H3446, 0)),if(G149='Room Info'!$G$1, INDEX('Room Info'!$A$2:$A3446, MATCH(B149,'Room Info'!$G$2:$G3446, 0)))))))))</f>
        <v>bbaltqq</v>
      </c>
      <c r="B149" s="59" t="s">
        <v>149</v>
      </c>
      <c r="C149" s="73">
        <v>44582.0</v>
      </c>
      <c r="D149" s="51">
        <v>44620.0</v>
      </c>
      <c r="E149" s="52">
        <v>44593.0</v>
      </c>
      <c r="F149" s="50" t="s">
        <v>12</v>
      </c>
      <c r="G149" s="59" t="s">
        <v>5</v>
      </c>
      <c r="H149" s="54" t="s">
        <v>74</v>
      </c>
      <c r="I149" s="54" t="s">
        <v>7</v>
      </c>
      <c r="J149" s="55">
        <v>50.0</v>
      </c>
      <c r="K149" s="56">
        <v>70.0</v>
      </c>
      <c r="L149" s="57">
        <v>-400.0</v>
      </c>
      <c r="M149" s="58">
        <v>193.0</v>
      </c>
      <c r="N149" s="33">
        <f t="shared" si="13"/>
        <v>3500</v>
      </c>
      <c r="O149" s="59">
        <v>-840.0</v>
      </c>
      <c r="P149" s="34">
        <f t="shared" si="14"/>
        <v>-12</v>
      </c>
      <c r="Q149" s="60"/>
      <c r="R149" s="36">
        <f t="shared" si="15"/>
        <v>193</v>
      </c>
      <c r="S149" s="61"/>
      <c r="T149" s="37">
        <f t="shared" si="16"/>
        <v>-207</v>
      </c>
      <c r="U149" s="38">
        <v>1.0</v>
      </c>
      <c r="V149" s="74">
        <v>95.45768218456983</v>
      </c>
      <c r="W149" s="63">
        <v>22.68</v>
      </c>
      <c r="X149" s="35">
        <f t="shared" si="20"/>
        <v>0.22</v>
      </c>
      <c r="Y149" s="35">
        <f t="shared" si="17"/>
        <v>0</v>
      </c>
      <c r="Z149" s="40">
        <f t="shared" si="18"/>
        <v>-161.46</v>
      </c>
      <c r="AA149" s="34">
        <f t="shared" si="19"/>
        <v>-45.54</v>
      </c>
      <c r="AB149" s="41">
        <f t="shared" si="12"/>
        <v>0</v>
      </c>
      <c r="AC149" s="42" t="b">
        <v>1</v>
      </c>
      <c r="AD149" s="42" t="s">
        <v>138</v>
      </c>
      <c r="AE149" s="42" t="s">
        <v>138</v>
      </c>
      <c r="AF149" s="42" t="str">
        <f t="array" ref="AF149">INDEX('Deal Info'!D:D, MATCH(A149,'Deal Info'!A:A, 0))</f>
        <v>SF</v>
      </c>
      <c r="AG149" s="43" t="str">
        <f t="array" ref="AG149">INDEX('Deal Info'!G:G, MATCH(A149,'Deal Info'!A:A, 0))</f>
        <v>None</v>
      </c>
    </row>
    <row r="150" hidden="1">
      <c r="A150" s="23" t="str">
        <f t="array" ref="A150">if(G150='Room Info'!$B$1, INDEX('Room Info'!$A$2:$A3446, MATCH(B150,'Room Info'!$B$2:$B3446, 0)),if(G150='Room Info'!$C$1, INDEX('Room Info'!$A$2:$A3446, MATCH(B150,'Room Info'!$C$2:$C3446, 0)),if(G150='Room Info'!$D$1, INDEX('Room Info'!$A$2:$A3446, MATCH(B150,'Room Info'!$D$2:$D3446, 0)),if(G150='Room Info'!$E$1, INDEX('Room Info'!$A$2:$A3446, MATCH(B150,'Room Info'!$E$2:$E3446, 0)),if(G150='Room Info'!$F$1, INDEX('Room Info'!$A$2:$A3446, MATCH(B150,'Room Info'!$F$2:$F3446, 0)),if(G150='Room Info'!$H$1, INDEX('Room Info'!$A$2:$A3446, MATCH(B150,'Room Info'!$H$2:$H3446, 0)),if(G150='Room Info'!$G$1, INDEX('Room Info'!$A$2:$A3446, MATCH(B150,'Room Info'!$G$2:$G3446, 0)))))))))</f>
        <v>bbaltqq</v>
      </c>
      <c r="B150" s="59" t="s">
        <v>149</v>
      </c>
      <c r="C150" s="51">
        <v>44621.0</v>
      </c>
      <c r="D150" s="51">
        <v>44651.0</v>
      </c>
      <c r="E150" s="52">
        <v>44621.0</v>
      </c>
      <c r="F150" s="50" t="s">
        <v>12</v>
      </c>
      <c r="G150" s="59" t="s">
        <v>5</v>
      </c>
      <c r="H150" s="54" t="s">
        <v>85</v>
      </c>
      <c r="I150" s="54" t="s">
        <v>7</v>
      </c>
      <c r="J150" s="55">
        <v>100.0</v>
      </c>
      <c r="K150" s="56">
        <v>2.0</v>
      </c>
      <c r="L150" s="57">
        <v>0.0</v>
      </c>
      <c r="M150" s="58">
        <v>65.0</v>
      </c>
      <c r="N150" s="33">
        <f t="shared" si="13"/>
        <v>200</v>
      </c>
      <c r="O150" s="70"/>
      <c r="P150" s="34">
        <f t="shared" si="14"/>
        <v>0</v>
      </c>
      <c r="Q150" s="60"/>
      <c r="R150" s="36">
        <f t="shared" si="15"/>
        <v>65</v>
      </c>
      <c r="S150" s="71"/>
      <c r="T150" s="37">
        <f t="shared" si="16"/>
        <v>65</v>
      </c>
      <c r="U150" s="38">
        <v>1.0</v>
      </c>
      <c r="V150" s="74">
        <v>75.0</v>
      </c>
      <c r="W150" s="74">
        <v>1.6666666666666667</v>
      </c>
      <c r="X150" s="35">
        <f t="shared" si="20"/>
        <v>0.22</v>
      </c>
      <c r="Y150" s="35">
        <f t="shared" si="17"/>
        <v>0</v>
      </c>
      <c r="Z150" s="40">
        <f t="shared" si="18"/>
        <v>50.7</v>
      </c>
      <c r="AA150" s="34">
        <f t="shared" si="19"/>
        <v>14.3</v>
      </c>
      <c r="AB150" s="41">
        <f t="shared" si="12"/>
        <v>0</v>
      </c>
      <c r="AC150" s="42" t="b">
        <v>1</v>
      </c>
      <c r="AD150" s="42" t="s">
        <v>138</v>
      </c>
      <c r="AE150" s="42" t="s">
        <v>138</v>
      </c>
      <c r="AF150" s="42" t="str">
        <f t="array" ref="AF150">INDEX('Deal Info'!D:D, MATCH(A150,'Deal Info'!A:A, 0))</f>
        <v>SF</v>
      </c>
      <c r="AG150" s="43" t="str">
        <f t="array" ref="AG150">INDEX('Deal Info'!G:G, MATCH(A150,'Deal Info'!A:A, 0))</f>
        <v>None</v>
      </c>
    </row>
    <row r="151" hidden="1">
      <c r="A151" s="23" t="str">
        <f t="array" ref="A151">if(G151='Room Info'!$B$1, INDEX('Room Info'!$A$2:$A3446, MATCH(B151,'Room Info'!$B$2:$B3446, 0)),if(G151='Room Info'!$C$1, INDEX('Room Info'!$A$2:$A3446, MATCH(B151,'Room Info'!$C$2:$C3446, 0)),if(G151='Room Info'!$D$1, INDEX('Room Info'!$A$2:$A3446, MATCH(B151,'Room Info'!$D$2:$D3446, 0)),if(G151='Room Info'!$E$1, INDEX('Room Info'!$A$2:$A3446, MATCH(B151,'Room Info'!$E$2:$E3446, 0)),if(G151='Room Info'!$F$1, INDEX('Room Info'!$A$2:$A3446, MATCH(B151,'Room Info'!$F$2:$F3446, 0)),if(G151='Room Info'!$H$1, INDEX('Room Info'!$A$2:$A3446, MATCH(B151,'Room Info'!$H$2:$H3446, 0)),if(G151='Room Info'!$G$1, INDEX('Room Info'!$A$2:$A3446, MATCH(B151,'Room Info'!$G$2:$G3446, 0)))))))))</f>
        <v>bbaltqq</v>
      </c>
      <c r="B151" s="59" t="s">
        <v>149</v>
      </c>
      <c r="C151" s="73">
        <v>44621.0</v>
      </c>
      <c r="D151" s="51">
        <v>44651.0</v>
      </c>
      <c r="E151" s="52">
        <v>44621.0</v>
      </c>
      <c r="F151" s="50" t="s">
        <v>12</v>
      </c>
      <c r="G151" s="59" t="s">
        <v>5</v>
      </c>
      <c r="H151" s="54" t="s">
        <v>62</v>
      </c>
      <c r="I151" s="54" t="s">
        <v>7</v>
      </c>
      <c r="J151" s="55">
        <v>25.0</v>
      </c>
      <c r="K151" s="56">
        <v>1.0</v>
      </c>
      <c r="L151" s="57">
        <v>50.0</v>
      </c>
      <c r="M151" s="58">
        <v>10.0</v>
      </c>
      <c r="N151" s="33">
        <f t="shared" si="13"/>
        <v>25</v>
      </c>
      <c r="O151" s="70"/>
      <c r="P151" s="34">
        <f t="shared" si="14"/>
        <v>0</v>
      </c>
      <c r="Q151" s="60"/>
      <c r="R151" s="36">
        <f t="shared" si="15"/>
        <v>10</v>
      </c>
      <c r="S151" s="71"/>
      <c r="T151" s="37">
        <f t="shared" si="16"/>
        <v>60</v>
      </c>
      <c r="U151" s="38">
        <v>1.0</v>
      </c>
      <c r="V151" s="74">
        <v>75.0</v>
      </c>
      <c r="W151" s="74">
        <v>1.6666666666666667</v>
      </c>
      <c r="X151" s="35">
        <f t="shared" si="20"/>
        <v>0.22</v>
      </c>
      <c r="Y151" s="35">
        <f t="shared" si="17"/>
        <v>0</v>
      </c>
      <c r="Z151" s="40">
        <f t="shared" si="18"/>
        <v>46.8</v>
      </c>
      <c r="AA151" s="34">
        <f t="shared" si="19"/>
        <v>13.2</v>
      </c>
      <c r="AB151" s="41">
        <f t="shared" si="12"/>
        <v>0</v>
      </c>
      <c r="AC151" s="42" t="b">
        <v>1</v>
      </c>
      <c r="AD151" s="42" t="s">
        <v>138</v>
      </c>
      <c r="AE151" s="42" t="s">
        <v>138</v>
      </c>
      <c r="AF151" s="42" t="str">
        <f t="array" ref="AF151">INDEX('Deal Info'!D:D, MATCH(A151,'Deal Info'!A:A, 0))</f>
        <v>SF</v>
      </c>
      <c r="AG151" s="43" t="str">
        <f t="array" ref="AG151">INDEX('Deal Info'!G:G, MATCH(A151,'Deal Info'!A:A, 0))</f>
        <v>None</v>
      </c>
    </row>
    <row r="152" hidden="1">
      <c r="A152" s="23" t="str">
        <f t="array" ref="A152">if(G152='Room Info'!$B$1, INDEX('Room Info'!$A$2:$A3446, MATCH(B152,'Room Info'!$B$2:$B3446, 0)),if(G152='Room Info'!$C$1, INDEX('Room Info'!$A$2:$A3446, MATCH(B152,'Room Info'!$C$2:$C3446, 0)),if(G152='Room Info'!$D$1, INDEX('Room Info'!$A$2:$A3446, MATCH(B152,'Room Info'!$D$2:$D3446, 0)),if(G152='Room Info'!$E$1, INDEX('Room Info'!$A$2:$A3446, MATCH(B152,'Room Info'!$E$2:$E3446, 0)),if(G152='Room Info'!$F$1, INDEX('Room Info'!$A$2:$A3446, MATCH(B152,'Room Info'!$F$2:$F3446, 0)),if(G152='Room Info'!$H$1, INDEX('Room Info'!$A$2:$A3446, MATCH(B152,'Room Info'!$H$2:$H3446, 0)),if(G152='Room Info'!$G$1, INDEX('Room Info'!$A$2:$A3446, MATCH(B152,'Room Info'!$G$2:$G3446, 0)))))))))</f>
        <v>bbaltqq</v>
      </c>
      <c r="B152" s="59" t="s">
        <v>149</v>
      </c>
      <c r="C152" s="51">
        <v>44682.0</v>
      </c>
      <c r="D152" s="51">
        <v>44712.0</v>
      </c>
      <c r="E152" s="52">
        <v>44682.0</v>
      </c>
      <c r="F152" s="50" t="s">
        <v>12</v>
      </c>
      <c r="G152" s="59" t="s">
        <v>5</v>
      </c>
      <c r="H152" s="54" t="s">
        <v>74</v>
      </c>
      <c r="I152" s="54" t="s">
        <v>7</v>
      </c>
      <c r="J152" s="55">
        <v>50.0</v>
      </c>
      <c r="K152" s="56">
        <v>192.0</v>
      </c>
      <c r="L152" s="57">
        <v>-750.0</v>
      </c>
      <c r="M152" s="58">
        <v>481.0</v>
      </c>
      <c r="N152" s="33">
        <f t="shared" si="13"/>
        <v>9600</v>
      </c>
      <c r="O152" s="59">
        <v>3668.0</v>
      </c>
      <c r="P152" s="34">
        <f t="shared" si="14"/>
        <v>19.10416667</v>
      </c>
      <c r="Q152" s="60"/>
      <c r="R152" s="36">
        <f t="shared" si="15"/>
        <v>481</v>
      </c>
      <c r="S152" s="61"/>
      <c r="T152" s="37">
        <f t="shared" si="16"/>
        <v>-269</v>
      </c>
      <c r="U152" s="38">
        <v>1.0</v>
      </c>
      <c r="V152" s="74">
        <v>95.44159544159544</v>
      </c>
      <c r="W152" s="74">
        <v>9.75465671641791</v>
      </c>
      <c r="X152" s="35">
        <f t="shared" si="20"/>
        <v>0.22</v>
      </c>
      <c r="Y152" s="35">
        <f t="shared" si="17"/>
        <v>0</v>
      </c>
      <c r="Z152" s="40">
        <f t="shared" si="18"/>
        <v>-209.82</v>
      </c>
      <c r="AA152" s="34">
        <f t="shared" si="19"/>
        <v>-59.18</v>
      </c>
      <c r="AB152" s="41">
        <f t="shared" si="12"/>
        <v>0</v>
      </c>
      <c r="AC152" s="42" t="b">
        <v>1</v>
      </c>
      <c r="AD152" s="42" t="s">
        <v>138</v>
      </c>
      <c r="AE152" s="42" t="s">
        <v>138</v>
      </c>
      <c r="AF152" s="42" t="str">
        <f t="array" ref="AF152">INDEX('Deal Info'!D:D, MATCH(A152,'Deal Info'!A:A, 0))</f>
        <v>SF</v>
      </c>
      <c r="AG152" s="43" t="str">
        <f t="array" ref="AG152">INDEX('Deal Info'!G:G, MATCH(A152,'Deal Info'!A:A, 0))</f>
        <v>None</v>
      </c>
    </row>
    <row r="153" hidden="1">
      <c r="A153" s="23" t="str">
        <f t="array" ref="A153">if(G153='Room Info'!$B$1, INDEX('Room Info'!$A$2:$A3446, MATCH(B153,'Room Info'!$B$2:$B3446, 0)),if(G153='Room Info'!$C$1, INDEX('Room Info'!$A$2:$A3446, MATCH(B153,'Room Info'!$C$2:$C3446, 0)),if(G153='Room Info'!$D$1, INDEX('Room Info'!$A$2:$A3446, MATCH(B153,'Room Info'!$D$2:$D3446, 0)),if(G153='Room Info'!$E$1, INDEX('Room Info'!$A$2:$A3446, MATCH(B153,'Room Info'!$E$2:$E3446, 0)),if(G153='Room Info'!$F$1, INDEX('Room Info'!$A$2:$A3446, MATCH(B153,'Room Info'!$F$2:$F3446, 0)),if(G153='Room Info'!$H$1, INDEX('Room Info'!$A$2:$A3446, MATCH(B153,'Room Info'!$H$2:$H3446, 0)),if(G153='Room Info'!$G$1, INDEX('Room Info'!$A$2:$A3446, MATCH(B153,'Room Info'!$G$2:$G3446, 0)))))))))</f>
        <v>bbaltqq</v>
      </c>
      <c r="B153" s="59" t="s">
        <v>149</v>
      </c>
      <c r="C153" s="72">
        <v>44682.0</v>
      </c>
      <c r="D153" s="72">
        <v>44712.0</v>
      </c>
      <c r="E153" s="52">
        <v>44682.0</v>
      </c>
      <c r="F153" s="50" t="s">
        <v>12</v>
      </c>
      <c r="G153" s="59" t="s">
        <v>5</v>
      </c>
      <c r="H153" s="54" t="s">
        <v>85</v>
      </c>
      <c r="I153" s="54" t="s">
        <v>7</v>
      </c>
      <c r="J153" s="55">
        <v>100.0</v>
      </c>
      <c r="K153" s="56">
        <v>1914.0</v>
      </c>
      <c r="L153" s="57">
        <v>-6800.0</v>
      </c>
      <c r="M153" s="58">
        <v>8000.0</v>
      </c>
      <c r="N153" s="33">
        <f t="shared" si="13"/>
        <v>191400</v>
      </c>
      <c r="O153" s="59">
        <v>18072.0</v>
      </c>
      <c r="P153" s="34">
        <f t="shared" si="14"/>
        <v>9.44200627</v>
      </c>
      <c r="Q153" s="60"/>
      <c r="R153" s="36">
        <f t="shared" si="15"/>
        <v>8000</v>
      </c>
      <c r="S153" s="61"/>
      <c r="T153" s="37">
        <f t="shared" si="16"/>
        <v>1200</v>
      </c>
      <c r="U153" s="38">
        <v>1.0</v>
      </c>
      <c r="V153" s="74">
        <v>95.44159544159544</v>
      </c>
      <c r="W153" s="74">
        <v>9.75465671641791</v>
      </c>
      <c r="X153" s="35">
        <f t="shared" si="20"/>
        <v>0.22</v>
      </c>
      <c r="Y153" s="35">
        <f t="shared" si="17"/>
        <v>0</v>
      </c>
      <c r="Z153" s="40">
        <f t="shared" si="18"/>
        <v>936</v>
      </c>
      <c r="AA153" s="34">
        <f t="shared" si="19"/>
        <v>264</v>
      </c>
      <c r="AB153" s="41">
        <f t="shared" si="12"/>
        <v>0</v>
      </c>
      <c r="AC153" s="42" t="b">
        <v>1</v>
      </c>
      <c r="AD153" s="42" t="s">
        <v>138</v>
      </c>
      <c r="AE153" s="42" t="s">
        <v>138</v>
      </c>
      <c r="AF153" s="42" t="str">
        <f t="array" ref="AF153">INDEX('Deal Info'!D:D, MATCH(A153,'Deal Info'!A:A, 0))</f>
        <v>SF</v>
      </c>
      <c r="AG153" s="43" t="str">
        <f t="array" ref="AG153">INDEX('Deal Info'!G:G, MATCH(A153,'Deal Info'!A:A, 0))</f>
        <v>None</v>
      </c>
    </row>
    <row r="154" hidden="1">
      <c r="A154" s="23" t="str">
        <f t="array" ref="A154">if(G154='Room Info'!$B$1, INDEX('Room Info'!$A$2:$A3446, MATCH(B154,'Room Info'!$B$2:$B3446, 0)),if(G154='Room Info'!$C$1, INDEX('Room Info'!$A$2:$A3446, MATCH(B154,'Room Info'!$C$2:$C3446, 0)),if(G154='Room Info'!$D$1, INDEX('Room Info'!$A$2:$A3446, MATCH(B154,'Room Info'!$D$2:$D3446, 0)),if(G154='Room Info'!$E$1, INDEX('Room Info'!$A$2:$A3446, MATCH(B154,'Room Info'!$E$2:$E3446, 0)),if(G154='Room Info'!$F$1, INDEX('Room Info'!$A$2:$A3446, MATCH(B154,'Room Info'!$F$2:$F3446, 0)),if(G154='Room Info'!$H$1, INDEX('Room Info'!$A$2:$A3446, MATCH(B154,'Room Info'!$H$2:$H3446, 0)),if(G154='Room Info'!$G$1, INDEX('Room Info'!$A$2:$A3446, MATCH(B154,'Room Info'!$G$2:$G3446, 0)))))))))</f>
        <v>bbaltqq</v>
      </c>
      <c r="B154" s="59" t="s">
        <v>149</v>
      </c>
      <c r="C154" s="72">
        <v>44713.0</v>
      </c>
      <c r="D154" s="72">
        <v>44742.0</v>
      </c>
      <c r="E154" s="52">
        <v>44713.0</v>
      </c>
      <c r="F154" s="50" t="s">
        <v>12</v>
      </c>
      <c r="G154" s="59" t="s">
        <v>5</v>
      </c>
      <c r="H154" s="54" t="s">
        <v>85</v>
      </c>
      <c r="I154" s="54" t="s">
        <v>7</v>
      </c>
      <c r="J154" s="55">
        <v>100.0</v>
      </c>
      <c r="K154" s="56">
        <v>1800.0</v>
      </c>
      <c r="L154" s="57">
        <v>-6400.0</v>
      </c>
      <c r="M154" s="58">
        <v>7334.0</v>
      </c>
      <c r="N154" s="33">
        <f t="shared" si="13"/>
        <v>180000</v>
      </c>
      <c r="O154" s="59">
        <v>6651.0</v>
      </c>
      <c r="P154" s="34">
        <f t="shared" si="14"/>
        <v>3.695</v>
      </c>
      <c r="Q154" s="60"/>
      <c r="R154" s="36">
        <f t="shared" si="15"/>
        <v>7334</v>
      </c>
      <c r="S154" s="61"/>
      <c r="T154" s="37">
        <f t="shared" si="16"/>
        <v>934</v>
      </c>
      <c r="U154" s="38">
        <v>1.0</v>
      </c>
      <c r="V154" s="74">
        <v>93.85964912280701</v>
      </c>
      <c r="W154" s="74">
        <v>2.663551401869159</v>
      </c>
      <c r="X154" s="35">
        <f t="shared" si="20"/>
        <v>0.22</v>
      </c>
      <c r="Y154" s="35">
        <f t="shared" si="17"/>
        <v>0</v>
      </c>
      <c r="Z154" s="40">
        <f t="shared" si="18"/>
        <v>728.52</v>
      </c>
      <c r="AA154" s="34">
        <f t="shared" si="19"/>
        <v>205.48</v>
      </c>
      <c r="AB154" s="41">
        <f t="shared" si="12"/>
        <v>0</v>
      </c>
      <c r="AC154" s="42" t="b">
        <v>1</v>
      </c>
      <c r="AD154" s="42" t="s">
        <v>138</v>
      </c>
      <c r="AE154" s="42" t="s">
        <v>138</v>
      </c>
      <c r="AF154" s="42" t="str">
        <f t="array" ref="AF154">INDEX('Deal Info'!D:D, MATCH(A154,'Deal Info'!A:A, 0))</f>
        <v>SF</v>
      </c>
      <c r="AG154" s="43" t="str">
        <f t="array" ref="AG154">INDEX('Deal Info'!G:G, MATCH(A154,'Deal Info'!A:A, 0))</f>
        <v>None</v>
      </c>
    </row>
    <row r="155" hidden="1">
      <c r="A155" s="23" t="str">
        <f t="array" ref="A155">if(G155='Room Info'!$B$1, INDEX('Room Info'!$A$2:$A3446, MATCH(B155,'Room Info'!$B$2:$B3446, 0)),if(G155='Room Info'!$C$1, INDEX('Room Info'!$A$2:$A3446, MATCH(B155,'Room Info'!$C$2:$C3446, 0)),if(G155='Room Info'!$D$1, INDEX('Room Info'!$A$2:$A3446, MATCH(B155,'Room Info'!$D$2:$D3446, 0)),if(G155='Room Info'!$E$1, INDEX('Room Info'!$A$2:$A3446, MATCH(B155,'Room Info'!$E$2:$E3446, 0)),if(G155='Room Info'!$F$1, INDEX('Room Info'!$A$2:$A3446, MATCH(B155,'Room Info'!$F$2:$F3446, 0)),if(G155='Room Info'!$H$1, INDEX('Room Info'!$A$2:$A3446, MATCH(B155,'Room Info'!$H$2:$H3446, 0)),if(G155='Room Info'!$G$1, INDEX('Room Info'!$A$2:$A3446, MATCH(B155,'Room Info'!$G$2:$G3446, 0)))))))))</f>
        <v>bbaltqq</v>
      </c>
      <c r="B155" s="59" t="s">
        <v>149</v>
      </c>
      <c r="C155" s="72">
        <v>44713.0</v>
      </c>
      <c r="D155" s="72">
        <v>44742.0</v>
      </c>
      <c r="E155" s="52">
        <v>44713.0</v>
      </c>
      <c r="F155" s="50" t="s">
        <v>12</v>
      </c>
      <c r="G155" s="59" t="s">
        <v>5</v>
      </c>
      <c r="H155" s="54" t="s">
        <v>74</v>
      </c>
      <c r="I155" s="54" t="s">
        <v>7</v>
      </c>
      <c r="J155" s="55">
        <v>50.0</v>
      </c>
      <c r="K155" s="56">
        <v>252.0</v>
      </c>
      <c r="L155" s="57">
        <v>-1300.0</v>
      </c>
      <c r="M155" s="58">
        <v>616.0</v>
      </c>
      <c r="N155" s="33">
        <f t="shared" si="13"/>
        <v>12600</v>
      </c>
      <c r="O155" s="59">
        <v>1854.0</v>
      </c>
      <c r="P155" s="34">
        <f t="shared" si="14"/>
        <v>7.357142857</v>
      </c>
      <c r="Q155" s="60"/>
      <c r="R155" s="36">
        <f t="shared" si="15"/>
        <v>616</v>
      </c>
      <c r="S155" s="61"/>
      <c r="T155" s="37">
        <f t="shared" si="16"/>
        <v>-684</v>
      </c>
      <c r="U155" s="38">
        <v>1.0</v>
      </c>
      <c r="V155" s="74">
        <v>93.85964912280701</v>
      </c>
      <c r="W155" s="74">
        <v>2.663551401869159</v>
      </c>
      <c r="X155" s="35">
        <f t="shared" si="20"/>
        <v>0.22</v>
      </c>
      <c r="Y155" s="35">
        <f t="shared" si="17"/>
        <v>0</v>
      </c>
      <c r="Z155" s="40">
        <f t="shared" si="18"/>
        <v>-533.52</v>
      </c>
      <c r="AA155" s="34">
        <f t="shared" si="19"/>
        <v>-150.48</v>
      </c>
      <c r="AB155" s="41">
        <f t="shared" si="12"/>
        <v>0</v>
      </c>
      <c r="AC155" s="42" t="b">
        <v>1</v>
      </c>
      <c r="AD155" s="42" t="s">
        <v>138</v>
      </c>
      <c r="AE155" s="42" t="s">
        <v>138</v>
      </c>
      <c r="AF155" s="42" t="str">
        <f t="array" ref="AF155">INDEX('Deal Info'!D:D, MATCH(A155,'Deal Info'!A:A, 0))</f>
        <v>SF</v>
      </c>
      <c r="AG155" s="43" t="str">
        <f t="array" ref="AG155">INDEX('Deal Info'!G:G, MATCH(A155,'Deal Info'!A:A, 0))</f>
        <v>None</v>
      </c>
    </row>
    <row r="156" hidden="1">
      <c r="A156" s="23" t="str">
        <f t="array" ref="A156">if(G156='Room Info'!$B$1, INDEX('Room Info'!$A$2:$A3446, MATCH(B156,'Room Info'!$B$2:$B3446, 0)),if(G156='Room Info'!$C$1, INDEX('Room Info'!$A$2:$A3446, MATCH(B156,'Room Info'!$C$2:$C3446, 0)),if(G156='Room Info'!$D$1, INDEX('Room Info'!$A$2:$A3446, MATCH(B156,'Room Info'!$D$2:$D3446, 0)),if(G156='Room Info'!$E$1, INDEX('Room Info'!$A$2:$A3446, MATCH(B156,'Room Info'!$E$2:$E3446, 0)),if(G156='Room Info'!$F$1, INDEX('Room Info'!$A$2:$A3446, MATCH(B156,'Room Info'!$F$2:$F3446, 0)),if(G156='Room Info'!$H$1, INDEX('Room Info'!$A$2:$A3446, MATCH(B156,'Room Info'!$H$2:$H3446, 0)),if(G156='Room Info'!$G$1, INDEX('Room Info'!$A$2:$A3446, MATCH(B156,'Room Info'!$G$2:$G3446, 0)))))))))</f>
        <v>bbaltqq</v>
      </c>
      <c r="B156" s="59" t="s">
        <v>149</v>
      </c>
      <c r="C156" s="72">
        <v>44743.0</v>
      </c>
      <c r="D156" s="72">
        <v>44773.0</v>
      </c>
      <c r="E156" s="52">
        <v>44743.0</v>
      </c>
      <c r="F156" s="50" t="s">
        <v>12</v>
      </c>
      <c r="G156" s="59" t="s">
        <v>5</v>
      </c>
      <c r="H156" s="54" t="s">
        <v>85</v>
      </c>
      <c r="I156" s="54" t="s">
        <v>7</v>
      </c>
      <c r="J156" s="55">
        <v>100.0</v>
      </c>
      <c r="K156" s="56">
        <v>3.0</v>
      </c>
      <c r="L156" s="57">
        <v>-300.0</v>
      </c>
      <c r="M156" s="58">
        <v>11.0</v>
      </c>
      <c r="N156" s="33">
        <f t="shared" si="13"/>
        <v>300</v>
      </c>
      <c r="O156" s="59">
        <v>-1500.0</v>
      </c>
      <c r="P156" s="34">
        <f t="shared" si="14"/>
        <v>-500</v>
      </c>
      <c r="Q156" s="60"/>
      <c r="R156" s="36">
        <f t="shared" si="15"/>
        <v>11</v>
      </c>
      <c r="S156" s="61"/>
      <c r="T156" s="37">
        <f t="shared" si="16"/>
        <v>-289</v>
      </c>
      <c r="U156" s="38">
        <v>1.0</v>
      </c>
      <c r="V156" s="74">
        <v>50.01993355481728</v>
      </c>
      <c r="W156" s="74">
        <v>-18.492627523910734</v>
      </c>
      <c r="X156" s="35">
        <f t="shared" si="20"/>
        <v>0.26</v>
      </c>
      <c r="Y156" s="35">
        <f t="shared" si="17"/>
        <v>0</v>
      </c>
      <c r="Z156" s="40">
        <f t="shared" si="18"/>
        <v>-213.86</v>
      </c>
      <c r="AA156" s="34">
        <f t="shared" si="19"/>
        <v>-75.14</v>
      </c>
      <c r="AB156" s="41">
        <f t="shared" si="12"/>
        <v>0</v>
      </c>
      <c r="AC156" s="42" t="b">
        <v>0</v>
      </c>
      <c r="AD156" s="42" t="s">
        <v>138</v>
      </c>
      <c r="AE156" s="42" t="s">
        <v>138</v>
      </c>
      <c r="AF156" s="42" t="str">
        <f t="array" ref="AF156">INDEX('Deal Info'!D:D, MATCH(A156,'Deal Info'!A:A, 0))</f>
        <v>SF</v>
      </c>
      <c r="AG156" s="43" t="str">
        <f t="array" ref="AG156">INDEX('Deal Info'!G:G, MATCH(A156,'Deal Info'!A:A, 0))</f>
        <v>None</v>
      </c>
    </row>
    <row r="157" hidden="1">
      <c r="A157" s="23" t="str">
        <f t="array" ref="A157">if(G157='Room Info'!$B$1, INDEX('Room Info'!$A$2:$A3446, MATCH(B157,'Room Info'!$B$2:$B3446, 0)),if(G157='Room Info'!$C$1, INDEX('Room Info'!$A$2:$A3446, MATCH(B157,'Room Info'!$C$2:$C3446, 0)),if(G157='Room Info'!$D$1, INDEX('Room Info'!$A$2:$A3446, MATCH(B157,'Room Info'!$D$2:$D3446, 0)),if(G157='Room Info'!$E$1, INDEX('Room Info'!$A$2:$A3446, MATCH(B157,'Room Info'!$E$2:$E3446, 0)),if(G157='Room Info'!$F$1, INDEX('Room Info'!$A$2:$A3446, MATCH(B157,'Room Info'!$F$2:$F3446, 0)),if(G157='Room Info'!$H$1, INDEX('Room Info'!$A$2:$A3446, MATCH(B157,'Room Info'!$H$2:$H3446, 0)),if(G157='Room Info'!$G$1, INDEX('Room Info'!$A$2:$A3446, MATCH(B157,'Room Info'!$G$2:$G3446, 0)))))))))</f>
        <v>bbaltqq</v>
      </c>
      <c r="B157" s="59" t="s">
        <v>149</v>
      </c>
      <c r="C157" s="51">
        <v>44743.0</v>
      </c>
      <c r="D157" s="51">
        <v>44773.0</v>
      </c>
      <c r="E157" s="52">
        <v>44743.0</v>
      </c>
      <c r="F157" s="50" t="s">
        <v>12</v>
      </c>
      <c r="G157" s="59" t="s">
        <v>5</v>
      </c>
      <c r="H157" s="54" t="s">
        <v>74</v>
      </c>
      <c r="I157" s="54" t="s">
        <v>7</v>
      </c>
      <c r="J157" s="55">
        <v>50.0</v>
      </c>
      <c r="K157" s="56">
        <v>3005.0</v>
      </c>
      <c r="L157" s="57">
        <v>-7250.0</v>
      </c>
      <c r="M157" s="58">
        <v>6593.0</v>
      </c>
      <c r="N157" s="33">
        <f t="shared" si="13"/>
        <v>150250</v>
      </c>
      <c r="O157" s="59">
        <v>52432.0</v>
      </c>
      <c r="P157" s="34">
        <f t="shared" si="14"/>
        <v>17.44825291</v>
      </c>
      <c r="Q157" s="60"/>
      <c r="R157" s="36">
        <f t="shared" si="15"/>
        <v>6593</v>
      </c>
      <c r="S157" s="61"/>
      <c r="T157" s="37">
        <f t="shared" si="16"/>
        <v>-657</v>
      </c>
      <c r="U157" s="38">
        <v>1.0</v>
      </c>
      <c r="V157" s="74">
        <v>50.01993355481728</v>
      </c>
      <c r="W157" s="74">
        <v>-18.492627523910734</v>
      </c>
      <c r="X157" s="35">
        <f t="shared" si="20"/>
        <v>0.26</v>
      </c>
      <c r="Y157" s="35">
        <f t="shared" si="17"/>
        <v>0</v>
      </c>
      <c r="Z157" s="40">
        <f t="shared" si="18"/>
        <v>-486.18</v>
      </c>
      <c r="AA157" s="34">
        <f t="shared" si="19"/>
        <v>-170.82</v>
      </c>
      <c r="AB157" s="41">
        <f t="shared" si="12"/>
        <v>0</v>
      </c>
      <c r="AC157" s="42" t="b">
        <v>0</v>
      </c>
      <c r="AD157" s="42" t="s">
        <v>138</v>
      </c>
      <c r="AE157" s="42" t="s">
        <v>138</v>
      </c>
      <c r="AF157" s="42" t="str">
        <f t="array" ref="AF157">INDEX('Deal Info'!D:D, MATCH(A157,'Deal Info'!A:A, 0))</f>
        <v>SF</v>
      </c>
      <c r="AG157" s="43" t="str">
        <f t="array" ref="AG157">INDEX('Deal Info'!G:G, MATCH(A157,'Deal Info'!A:A, 0))</f>
        <v>None</v>
      </c>
    </row>
    <row r="158" hidden="1">
      <c r="A158" s="23" t="str">
        <f t="array" ref="A158">if(G158='Room Info'!$B$1, INDEX('Room Info'!$A$2:$A3446, MATCH(B158,'Room Info'!$B$2:$B3446, 0)),if(G158='Room Info'!$C$1, INDEX('Room Info'!$A$2:$A3446, MATCH(B158,'Room Info'!$C$2:$C3446, 0)),if(G158='Room Info'!$D$1, INDEX('Room Info'!$A$2:$A3446, MATCH(B158,'Room Info'!$D$2:$D3446, 0)),if(G158='Room Info'!$E$1, INDEX('Room Info'!$A$2:$A3446, MATCH(B158,'Room Info'!$E$2:$E3446, 0)),if(G158='Room Info'!$F$1, INDEX('Room Info'!$A$2:$A3446, MATCH(B158,'Room Info'!$F$2:$F3446, 0)),if(G158='Room Info'!$H$1, INDEX('Room Info'!$A$2:$A3446, MATCH(B158,'Room Info'!$H$2:$H3446, 0)),if(G158='Room Info'!$G$1, INDEX('Room Info'!$A$2:$A3446, MATCH(B158,'Room Info'!$G$2:$G3446, 0)))))))))</f>
        <v>bbaltqq</v>
      </c>
      <c r="B158" s="59" t="s">
        <v>149</v>
      </c>
      <c r="C158" s="51">
        <v>44743.0</v>
      </c>
      <c r="D158" s="51">
        <v>44773.0</v>
      </c>
      <c r="E158" s="52">
        <v>44743.0</v>
      </c>
      <c r="F158" s="50" t="s">
        <v>12</v>
      </c>
      <c r="G158" s="59" t="s">
        <v>5</v>
      </c>
      <c r="H158" s="54" t="s">
        <v>35</v>
      </c>
      <c r="I158" s="54" t="s">
        <v>7</v>
      </c>
      <c r="J158" s="55">
        <v>5.0</v>
      </c>
      <c r="K158" s="56">
        <v>2.0</v>
      </c>
      <c r="L158" s="57">
        <v>20.0</v>
      </c>
      <c r="M158" s="58">
        <v>1.0</v>
      </c>
      <c r="N158" s="33">
        <f t="shared" si="13"/>
        <v>10</v>
      </c>
      <c r="O158" s="59">
        <v>1200.0</v>
      </c>
      <c r="P158" s="34">
        <f t="shared" si="14"/>
        <v>600</v>
      </c>
      <c r="Q158" s="60"/>
      <c r="R158" s="36">
        <f t="shared" si="15"/>
        <v>1</v>
      </c>
      <c r="S158" s="61"/>
      <c r="T158" s="37">
        <f t="shared" si="16"/>
        <v>21</v>
      </c>
      <c r="U158" s="38">
        <v>1.0</v>
      </c>
      <c r="V158" s="74">
        <v>50.01993355481728</v>
      </c>
      <c r="W158" s="74">
        <v>-18.492627523910734</v>
      </c>
      <c r="X158" s="35">
        <f t="shared" si="20"/>
        <v>0.26</v>
      </c>
      <c r="Y158" s="35">
        <f t="shared" si="17"/>
        <v>0</v>
      </c>
      <c r="Z158" s="40">
        <f t="shared" si="18"/>
        <v>15.54</v>
      </c>
      <c r="AA158" s="34">
        <f t="shared" si="19"/>
        <v>5.46</v>
      </c>
      <c r="AB158" s="41">
        <f t="shared" si="12"/>
        <v>0</v>
      </c>
      <c r="AC158" s="42" t="b">
        <v>0</v>
      </c>
      <c r="AD158" s="42" t="s">
        <v>138</v>
      </c>
      <c r="AE158" s="42" t="s">
        <v>138</v>
      </c>
      <c r="AF158" s="42" t="str">
        <f t="array" ref="AF158">INDEX('Deal Info'!D:D, MATCH(A158,'Deal Info'!A:A, 0))</f>
        <v>SF</v>
      </c>
      <c r="AG158" s="43" t="str">
        <f t="array" ref="AG158">INDEX('Deal Info'!G:G, MATCH(A158,'Deal Info'!A:A, 0))</f>
        <v>None</v>
      </c>
    </row>
    <row r="159" hidden="1">
      <c r="A159" s="23" t="str">
        <f t="array" ref="A159">if(G159='Room Info'!$B$1, INDEX('Room Info'!$A$2:$A3446, MATCH(B159,'Room Info'!$B$2:$B3446, 0)),if(G159='Room Info'!$C$1, INDEX('Room Info'!$A$2:$A3446, MATCH(B159,'Room Info'!$C$2:$C3446, 0)),if(G159='Room Info'!$D$1, INDEX('Room Info'!$A$2:$A3446, MATCH(B159,'Room Info'!$D$2:$D3446, 0)),if(G159='Room Info'!$E$1, INDEX('Room Info'!$A$2:$A3446, MATCH(B159,'Room Info'!$E$2:$E3446, 0)),if(G159='Room Info'!$F$1, INDEX('Room Info'!$A$2:$A3446, MATCH(B159,'Room Info'!$F$2:$F3446, 0)),if(G159='Room Info'!$H$1, INDEX('Room Info'!$A$2:$A3446, MATCH(B159,'Room Info'!$H$2:$H3446, 0)),if(G159='Room Info'!$G$1, INDEX('Room Info'!$A$2:$A3446, MATCH(B159,'Room Info'!$G$2:$G3446, 0)))))))))</f>
        <v>bbaltqq</v>
      </c>
      <c r="B159" s="59" t="s">
        <v>149</v>
      </c>
      <c r="C159" s="51">
        <v>44774.0</v>
      </c>
      <c r="D159" s="51">
        <v>44804.0</v>
      </c>
      <c r="E159" s="52">
        <v>44774.0</v>
      </c>
      <c r="F159" s="50" t="s">
        <v>12</v>
      </c>
      <c r="G159" s="59" t="s">
        <v>5</v>
      </c>
      <c r="H159" s="54" t="s">
        <v>75</v>
      </c>
      <c r="I159" s="54" t="s">
        <v>11</v>
      </c>
      <c r="J159" s="55">
        <v>50.0</v>
      </c>
      <c r="K159" s="56">
        <v>2.0</v>
      </c>
      <c r="L159" s="57">
        <v>-100.0</v>
      </c>
      <c r="M159" s="58">
        <v>4.0</v>
      </c>
      <c r="N159" s="33">
        <f t="shared" si="13"/>
        <v>100</v>
      </c>
      <c r="O159" s="70"/>
      <c r="P159" s="34">
        <f t="shared" si="14"/>
        <v>0</v>
      </c>
      <c r="Q159" s="60"/>
      <c r="R159" s="36">
        <f t="shared" si="15"/>
        <v>4</v>
      </c>
      <c r="S159" s="71"/>
      <c r="T159" s="37">
        <f t="shared" si="16"/>
        <v>-96</v>
      </c>
      <c r="U159" s="38">
        <v>1.0</v>
      </c>
      <c r="V159" s="74">
        <v>49.88480697384807</v>
      </c>
      <c r="W159" s="74">
        <v>-25.759345940210945</v>
      </c>
      <c r="X159" s="35">
        <f t="shared" si="20"/>
        <v>0.26</v>
      </c>
      <c r="Y159" s="35">
        <f t="shared" si="17"/>
        <v>0</v>
      </c>
      <c r="Z159" s="40">
        <f t="shared" si="18"/>
        <v>-71.04</v>
      </c>
      <c r="AA159" s="34">
        <f t="shared" si="19"/>
        <v>-24.96</v>
      </c>
      <c r="AB159" s="41">
        <f t="shared" si="12"/>
        <v>0</v>
      </c>
      <c r="AC159" s="42" t="b">
        <v>0</v>
      </c>
      <c r="AD159" s="42" t="s">
        <v>138</v>
      </c>
      <c r="AE159" s="42" t="s">
        <v>138</v>
      </c>
      <c r="AF159" s="42" t="str">
        <f t="array" ref="AF159">INDEX('Deal Info'!D:D, MATCH(A159,'Deal Info'!A:A, 0))</f>
        <v>SF</v>
      </c>
      <c r="AG159" s="43" t="str">
        <f t="array" ref="AG159">INDEX('Deal Info'!G:G, MATCH(A159,'Deal Info'!A:A, 0))</f>
        <v>None</v>
      </c>
    </row>
    <row r="160" hidden="1">
      <c r="A160" s="23" t="str">
        <f t="array" ref="A160">if(G160='Room Info'!$B$1, INDEX('Room Info'!$A$2:$A3446, MATCH(B160,'Room Info'!$B$2:$B3446, 0)),if(G160='Room Info'!$C$1, INDEX('Room Info'!$A$2:$A3446, MATCH(B160,'Room Info'!$C$2:$C3446, 0)),if(G160='Room Info'!$D$1, INDEX('Room Info'!$A$2:$A3446, MATCH(B160,'Room Info'!$D$2:$D3446, 0)),if(G160='Room Info'!$E$1, INDEX('Room Info'!$A$2:$A3446, MATCH(B160,'Room Info'!$E$2:$E3446, 0)),if(G160='Room Info'!$F$1, INDEX('Room Info'!$A$2:$A3446, MATCH(B160,'Room Info'!$F$2:$F3446, 0)),if(G160='Room Info'!$H$1, INDEX('Room Info'!$A$2:$A3446, MATCH(B160,'Room Info'!$H$2:$H3446, 0)),if(G160='Room Info'!$G$1, INDEX('Room Info'!$A$2:$A3446, MATCH(B160,'Room Info'!$G$2:$G3446, 0)))))))))</f>
        <v>bbaltqq</v>
      </c>
      <c r="B160" s="59" t="s">
        <v>149</v>
      </c>
      <c r="C160" s="51">
        <v>44774.0</v>
      </c>
      <c r="D160" s="51">
        <v>44804.0</v>
      </c>
      <c r="E160" s="52">
        <v>44774.0</v>
      </c>
      <c r="F160" s="50" t="s">
        <v>12</v>
      </c>
      <c r="G160" s="59" t="s">
        <v>5</v>
      </c>
      <c r="H160" s="54" t="s">
        <v>74</v>
      </c>
      <c r="I160" s="54" t="s">
        <v>7</v>
      </c>
      <c r="J160" s="55">
        <v>50.0</v>
      </c>
      <c r="K160" s="56">
        <v>3196.0</v>
      </c>
      <c r="L160" s="57">
        <v>-7850.0</v>
      </c>
      <c r="M160" s="58">
        <v>6737.0</v>
      </c>
      <c r="N160" s="33">
        <f t="shared" si="13"/>
        <v>159800</v>
      </c>
      <c r="O160" s="59">
        <v>30227.0</v>
      </c>
      <c r="P160" s="34">
        <f t="shared" si="14"/>
        <v>9.4577597</v>
      </c>
      <c r="Q160" s="60"/>
      <c r="R160" s="36">
        <f t="shared" si="15"/>
        <v>6737</v>
      </c>
      <c r="S160" s="61"/>
      <c r="T160" s="37">
        <f t="shared" si="16"/>
        <v>-1113</v>
      </c>
      <c r="U160" s="38">
        <v>1.0</v>
      </c>
      <c r="V160" s="74">
        <v>49.88480697384807</v>
      </c>
      <c r="W160" s="74">
        <v>-25.759345940210945</v>
      </c>
      <c r="X160" s="35">
        <f t="shared" si="20"/>
        <v>0.26</v>
      </c>
      <c r="Y160" s="35">
        <f t="shared" si="17"/>
        <v>0</v>
      </c>
      <c r="Z160" s="40">
        <f t="shared" si="18"/>
        <v>-823.62</v>
      </c>
      <c r="AA160" s="34">
        <f t="shared" si="19"/>
        <v>-289.38</v>
      </c>
      <c r="AB160" s="41">
        <f t="shared" si="12"/>
        <v>0</v>
      </c>
      <c r="AC160" s="42" t="b">
        <v>0</v>
      </c>
      <c r="AD160" s="42" t="s">
        <v>138</v>
      </c>
      <c r="AE160" s="42" t="s">
        <v>138</v>
      </c>
      <c r="AF160" s="42" t="str">
        <f t="array" ref="AF160">INDEX('Deal Info'!D:D, MATCH(A160,'Deal Info'!A:A, 0))</f>
        <v>SF</v>
      </c>
      <c r="AG160" s="43" t="str">
        <f t="array" ref="AG160">INDEX('Deal Info'!G:G, MATCH(A160,'Deal Info'!A:A, 0))</f>
        <v>None</v>
      </c>
    </row>
    <row r="161" hidden="1">
      <c r="A161" s="23" t="str">
        <f t="array" ref="A161">if(G161='Room Info'!$B$1, INDEX('Room Info'!$A$2:$A3446, MATCH(B161,'Room Info'!$B$2:$B3446, 0)),if(G161='Room Info'!$C$1, INDEX('Room Info'!$A$2:$A3446, MATCH(B161,'Room Info'!$C$2:$C3446, 0)),if(G161='Room Info'!$D$1, INDEX('Room Info'!$A$2:$A3446, MATCH(B161,'Room Info'!$D$2:$D3446, 0)),if(G161='Room Info'!$E$1, INDEX('Room Info'!$A$2:$A3446, MATCH(B161,'Room Info'!$E$2:$E3446, 0)),if(G161='Room Info'!$F$1, INDEX('Room Info'!$A$2:$A3446, MATCH(B161,'Room Info'!$F$2:$F3446, 0)),if(G161='Room Info'!$H$1, INDEX('Room Info'!$A$2:$A3446, MATCH(B161,'Room Info'!$H$2:$H3446, 0)),if(G161='Room Info'!$G$1, INDEX('Room Info'!$A$2:$A3446, MATCH(B161,'Room Info'!$G$2:$G3446, 0)))))))))</f>
        <v>bbaltqq</v>
      </c>
      <c r="B161" s="59" t="s">
        <v>149</v>
      </c>
      <c r="C161" s="51">
        <v>44774.0</v>
      </c>
      <c r="D161" s="51">
        <v>44804.0</v>
      </c>
      <c r="E161" s="52">
        <v>44774.0</v>
      </c>
      <c r="F161" s="50" t="s">
        <v>12</v>
      </c>
      <c r="G161" s="59" t="s">
        <v>5</v>
      </c>
      <c r="H161" s="54" t="s">
        <v>35</v>
      </c>
      <c r="I161" s="54" t="s">
        <v>7</v>
      </c>
      <c r="J161" s="55">
        <v>5.0</v>
      </c>
      <c r="K161" s="56">
        <v>1.0</v>
      </c>
      <c r="L161" s="57">
        <v>10.0</v>
      </c>
      <c r="M161" s="67"/>
      <c r="N161" s="33">
        <f t="shared" si="13"/>
        <v>5</v>
      </c>
      <c r="O161" s="70"/>
      <c r="P161" s="34">
        <f t="shared" si="14"/>
        <v>0</v>
      </c>
      <c r="Q161" s="60"/>
      <c r="R161" s="36">
        <f t="shared" si="15"/>
        <v>0</v>
      </c>
      <c r="S161" s="71"/>
      <c r="T161" s="37">
        <f t="shared" si="16"/>
        <v>10</v>
      </c>
      <c r="U161" s="38">
        <v>1.0</v>
      </c>
      <c r="V161" s="74">
        <v>49.88480697384807</v>
      </c>
      <c r="W161" s="74">
        <v>-25.759345940210945</v>
      </c>
      <c r="X161" s="35">
        <f t="shared" si="20"/>
        <v>0.26</v>
      </c>
      <c r="Y161" s="35">
        <f t="shared" si="17"/>
        <v>0</v>
      </c>
      <c r="Z161" s="40">
        <f t="shared" si="18"/>
        <v>7.4</v>
      </c>
      <c r="AA161" s="34">
        <f t="shared" si="19"/>
        <v>2.6</v>
      </c>
      <c r="AB161" s="41">
        <f t="shared" si="12"/>
        <v>0</v>
      </c>
      <c r="AC161" s="42" t="b">
        <v>0</v>
      </c>
      <c r="AD161" s="42" t="s">
        <v>138</v>
      </c>
      <c r="AE161" s="42" t="s">
        <v>138</v>
      </c>
      <c r="AF161" s="42" t="str">
        <f t="array" ref="AF161">INDEX('Deal Info'!D:D, MATCH(A161,'Deal Info'!A:A, 0))</f>
        <v>SF</v>
      </c>
      <c r="AG161" s="43" t="str">
        <f t="array" ref="AG161">INDEX('Deal Info'!G:G, MATCH(A161,'Deal Info'!A:A, 0))</f>
        <v>None</v>
      </c>
    </row>
    <row r="162" hidden="1">
      <c r="A162" s="23" t="str">
        <f t="array" ref="A162">if(G162='Room Info'!$B$1, INDEX('Room Info'!$A$2:$A3446, MATCH(B162,'Room Info'!$B$2:$B3446, 0)),if(G162='Room Info'!$C$1, INDEX('Room Info'!$A$2:$A3446, MATCH(B162,'Room Info'!$C$2:$C3446, 0)),if(G162='Room Info'!$D$1, INDEX('Room Info'!$A$2:$A3446, MATCH(B162,'Room Info'!$D$2:$D3446, 0)),if(G162='Room Info'!$E$1, INDEX('Room Info'!$A$2:$A3446, MATCH(B162,'Room Info'!$E$2:$E3446, 0)),if(G162='Room Info'!$F$1, INDEX('Room Info'!$A$2:$A3446, MATCH(B162,'Room Info'!$F$2:$F3446, 0)),if(G162='Room Info'!$H$1, INDEX('Room Info'!$A$2:$A3446, MATCH(B162,'Room Info'!$H$2:$H3446, 0)),if(G162='Room Info'!$G$1, INDEX('Room Info'!$A$2:$A3446, MATCH(B162,'Room Info'!$G$2:$G3446, 0)))))))))</f>
        <v>bbaltqq</v>
      </c>
      <c r="B162" s="59" t="s">
        <v>149</v>
      </c>
      <c r="C162" s="51">
        <v>44774.0</v>
      </c>
      <c r="D162" s="51">
        <v>44804.0</v>
      </c>
      <c r="E162" s="52">
        <v>44774.0</v>
      </c>
      <c r="F162" s="50" t="s">
        <v>12</v>
      </c>
      <c r="G162" s="59" t="s">
        <v>5</v>
      </c>
      <c r="H162" s="54" t="s">
        <v>62</v>
      </c>
      <c r="I162" s="54" t="s">
        <v>7</v>
      </c>
      <c r="J162" s="55">
        <v>25.0</v>
      </c>
      <c r="K162" s="56">
        <v>13.0</v>
      </c>
      <c r="L162" s="57">
        <v>-100.0</v>
      </c>
      <c r="M162" s="58">
        <v>14.0</v>
      </c>
      <c r="N162" s="33">
        <f t="shared" si="13"/>
        <v>325</v>
      </c>
      <c r="O162" s="59">
        <v>741.0</v>
      </c>
      <c r="P162" s="34">
        <f t="shared" si="14"/>
        <v>57</v>
      </c>
      <c r="Q162" s="60"/>
      <c r="R162" s="36">
        <f t="shared" si="15"/>
        <v>14</v>
      </c>
      <c r="S162" s="61"/>
      <c r="T162" s="37">
        <f t="shared" si="16"/>
        <v>-86</v>
      </c>
      <c r="U162" s="38">
        <v>1.0</v>
      </c>
      <c r="V162" s="74">
        <v>49.88480697384807</v>
      </c>
      <c r="W162" s="74">
        <v>-25.759345940210945</v>
      </c>
      <c r="X162" s="35">
        <f t="shared" si="20"/>
        <v>0.26</v>
      </c>
      <c r="Y162" s="35">
        <f t="shared" si="17"/>
        <v>0</v>
      </c>
      <c r="Z162" s="40">
        <f t="shared" si="18"/>
        <v>-63.64</v>
      </c>
      <c r="AA162" s="34">
        <f t="shared" si="19"/>
        <v>-22.36</v>
      </c>
      <c r="AB162" s="41">
        <f t="shared" si="12"/>
        <v>0</v>
      </c>
      <c r="AC162" s="42" t="b">
        <v>0</v>
      </c>
      <c r="AD162" s="42" t="s">
        <v>138</v>
      </c>
      <c r="AE162" s="42" t="s">
        <v>138</v>
      </c>
      <c r="AF162" s="42" t="str">
        <f t="array" ref="AF162">INDEX('Deal Info'!D:D, MATCH(A162,'Deal Info'!A:A, 0))</f>
        <v>SF</v>
      </c>
      <c r="AG162" s="43" t="str">
        <f t="array" ref="AG162">INDEX('Deal Info'!G:G, MATCH(A162,'Deal Info'!A:A, 0))</f>
        <v>None</v>
      </c>
    </row>
    <row r="163" hidden="1">
      <c r="A163" s="23" t="str">
        <f t="array" ref="A163">if(G163='Room Info'!$B$1, INDEX('Room Info'!$A$2:$A3446, MATCH(B163,'Room Info'!$B$2:$B3446, 0)),if(G163='Room Info'!$C$1, INDEX('Room Info'!$A$2:$A3446, MATCH(B163,'Room Info'!$C$2:$C3446, 0)),if(G163='Room Info'!$D$1, INDEX('Room Info'!$A$2:$A3446, MATCH(B163,'Room Info'!$D$2:$D3446, 0)),if(G163='Room Info'!$E$1, INDEX('Room Info'!$A$2:$A3446, MATCH(B163,'Room Info'!$E$2:$E3446, 0)),if(G163='Room Info'!$F$1, INDEX('Room Info'!$A$2:$A3446, MATCH(B163,'Room Info'!$F$2:$F3446, 0)),if(G163='Room Info'!$H$1, INDEX('Room Info'!$A$2:$A3446, MATCH(B163,'Room Info'!$H$2:$H3446, 0)),if(G163='Room Info'!$G$1, INDEX('Room Info'!$A$2:$A3446, MATCH(B163,'Room Info'!$G$2:$G3446, 0)))))))))</f>
        <v>bbaltqq</v>
      </c>
      <c r="B163" s="59" t="s">
        <v>149</v>
      </c>
      <c r="C163" s="51">
        <v>44805.0</v>
      </c>
      <c r="D163" s="51">
        <v>44834.0</v>
      </c>
      <c r="E163" s="52">
        <v>44805.0</v>
      </c>
      <c r="F163" s="50" t="s">
        <v>12</v>
      </c>
      <c r="G163" s="59" t="s">
        <v>5</v>
      </c>
      <c r="H163" s="54" t="s">
        <v>62</v>
      </c>
      <c r="I163" s="54" t="s">
        <v>7</v>
      </c>
      <c r="J163" s="55">
        <v>25.0</v>
      </c>
      <c r="K163" s="56">
        <v>166.0</v>
      </c>
      <c r="L163" s="57">
        <v>1125.0</v>
      </c>
      <c r="M163" s="58">
        <v>162.0</v>
      </c>
      <c r="N163" s="33">
        <f t="shared" si="13"/>
        <v>4150</v>
      </c>
      <c r="O163" s="59">
        <v>20167.0</v>
      </c>
      <c r="P163" s="34">
        <f t="shared" si="14"/>
        <v>121.4879518</v>
      </c>
      <c r="Q163" s="60"/>
      <c r="R163" s="36">
        <f t="shared" si="15"/>
        <v>162</v>
      </c>
      <c r="S163" s="61"/>
      <c r="T163" s="37">
        <f t="shared" si="16"/>
        <v>1287</v>
      </c>
      <c r="U163" s="38">
        <v>1.0</v>
      </c>
      <c r="V163" s="74">
        <v>49.32706340197827</v>
      </c>
      <c r="W163" s="74">
        <v>-129.23939842209072</v>
      </c>
      <c r="X163" s="35">
        <f t="shared" si="20"/>
        <v>0.26</v>
      </c>
      <c r="Y163" s="35">
        <f t="shared" si="17"/>
        <v>0</v>
      </c>
      <c r="Z163" s="40">
        <f t="shared" si="18"/>
        <v>952.38</v>
      </c>
      <c r="AA163" s="34">
        <f t="shared" si="19"/>
        <v>334.62</v>
      </c>
      <c r="AB163" s="41">
        <f t="shared" si="12"/>
        <v>0</v>
      </c>
      <c r="AC163" s="42" t="b">
        <v>0</v>
      </c>
      <c r="AD163" s="42" t="s">
        <v>138</v>
      </c>
      <c r="AE163" s="42" t="s">
        <v>138</v>
      </c>
      <c r="AF163" s="42" t="str">
        <f t="array" ref="AF163">INDEX('Deal Info'!D:D, MATCH(A163,'Deal Info'!A:A, 0))</f>
        <v>SF</v>
      </c>
      <c r="AG163" s="43" t="str">
        <f t="array" ref="AG163">INDEX('Deal Info'!G:G, MATCH(A163,'Deal Info'!A:A, 0))</f>
        <v>None</v>
      </c>
    </row>
    <row r="164" hidden="1">
      <c r="A164" s="23" t="str">
        <f t="array" ref="A164">if(G164='Room Info'!$B$1, INDEX('Room Info'!$A$2:$A3446, MATCH(B164,'Room Info'!$B$2:$B3446, 0)),if(G164='Room Info'!$C$1, INDEX('Room Info'!$A$2:$A3446, MATCH(B164,'Room Info'!$C$2:$C3446, 0)),if(G164='Room Info'!$D$1, INDEX('Room Info'!$A$2:$A3446, MATCH(B164,'Room Info'!$D$2:$D3446, 0)),if(G164='Room Info'!$E$1, INDEX('Room Info'!$A$2:$A3446, MATCH(B164,'Room Info'!$E$2:$E3446, 0)),if(G164='Room Info'!$F$1, INDEX('Room Info'!$A$2:$A3446, MATCH(B164,'Room Info'!$F$2:$F3446, 0)),if(G164='Room Info'!$H$1, INDEX('Room Info'!$A$2:$A3446, MATCH(B164,'Room Info'!$H$2:$H3446, 0)),if(G164='Room Info'!$G$1, INDEX('Room Info'!$A$2:$A3446, MATCH(B164,'Room Info'!$G$2:$G3446, 0)))))))))</f>
        <v>bbaltqq</v>
      </c>
      <c r="B164" s="59" t="s">
        <v>149</v>
      </c>
      <c r="C164" s="51">
        <v>44805.0</v>
      </c>
      <c r="D164" s="51">
        <v>44834.0</v>
      </c>
      <c r="E164" s="52">
        <v>44805.0</v>
      </c>
      <c r="F164" s="50" t="s">
        <v>12</v>
      </c>
      <c r="G164" s="59" t="s">
        <v>5</v>
      </c>
      <c r="H164" s="54" t="s">
        <v>74</v>
      </c>
      <c r="I164" s="54" t="s">
        <v>7</v>
      </c>
      <c r="J164" s="55">
        <v>50.0</v>
      </c>
      <c r="K164" s="56">
        <v>6001.0</v>
      </c>
      <c r="L164" s="57">
        <v>-19400.0</v>
      </c>
      <c r="M164" s="58">
        <v>11738.0</v>
      </c>
      <c r="N164" s="33">
        <f t="shared" si="13"/>
        <v>300050</v>
      </c>
      <c r="O164" s="59">
        <v>-9735.0</v>
      </c>
      <c r="P164" s="34">
        <f t="shared" si="14"/>
        <v>-1.622229628</v>
      </c>
      <c r="Q164" s="60"/>
      <c r="R164" s="36">
        <f t="shared" si="15"/>
        <v>11738</v>
      </c>
      <c r="S164" s="61"/>
      <c r="T164" s="37">
        <f t="shared" si="16"/>
        <v>-7662</v>
      </c>
      <c r="U164" s="38">
        <v>1.0</v>
      </c>
      <c r="V164" s="74">
        <v>49.32706340197827</v>
      </c>
      <c r="W164" s="74">
        <v>-129.23939842209072</v>
      </c>
      <c r="X164" s="35">
        <f t="shared" si="20"/>
        <v>0.26</v>
      </c>
      <c r="Y164" s="35">
        <f t="shared" si="17"/>
        <v>0</v>
      </c>
      <c r="Z164" s="40">
        <f t="shared" si="18"/>
        <v>-5669.88</v>
      </c>
      <c r="AA164" s="34">
        <f t="shared" si="19"/>
        <v>-1992.12</v>
      </c>
      <c r="AB164" s="41">
        <f t="shared" si="12"/>
        <v>0</v>
      </c>
      <c r="AC164" s="42" t="b">
        <v>0</v>
      </c>
      <c r="AD164" s="42" t="s">
        <v>138</v>
      </c>
      <c r="AE164" s="42" t="s">
        <v>138</v>
      </c>
      <c r="AF164" s="42" t="str">
        <f t="array" ref="AF164">INDEX('Deal Info'!D:D, MATCH(A164,'Deal Info'!A:A, 0))</f>
        <v>SF</v>
      </c>
      <c r="AG164" s="43" t="str">
        <f t="array" ref="AG164">INDEX('Deal Info'!G:G, MATCH(A164,'Deal Info'!A:A, 0))</f>
        <v>None</v>
      </c>
    </row>
    <row r="165" hidden="1">
      <c r="A165" s="23" t="str">
        <f t="array" ref="A165">if(G165='Room Info'!$B$1, INDEX('Room Info'!$A$2:$A3446, MATCH(B165,'Room Info'!$B$2:$B3446, 0)),if(G165='Room Info'!$C$1, INDEX('Room Info'!$A$2:$A3446, MATCH(B165,'Room Info'!$C$2:$C3446, 0)),if(G165='Room Info'!$D$1, INDEX('Room Info'!$A$2:$A3446, MATCH(B165,'Room Info'!$D$2:$D3446, 0)),if(G165='Room Info'!$E$1, INDEX('Room Info'!$A$2:$A3446, MATCH(B165,'Room Info'!$E$2:$E3446, 0)),if(G165='Room Info'!$F$1, INDEX('Room Info'!$A$2:$A3446, MATCH(B165,'Room Info'!$F$2:$F3446, 0)),if(G165='Room Info'!$H$1, INDEX('Room Info'!$A$2:$A3446, MATCH(B165,'Room Info'!$H$2:$H3446, 0)),if(G165='Room Info'!$G$1, INDEX('Room Info'!$A$2:$A3446, MATCH(B165,'Room Info'!$G$2:$G3446, 0)))))))))</f>
        <v>bbaltqq</v>
      </c>
      <c r="B165" s="59" t="s">
        <v>149</v>
      </c>
      <c r="C165" s="51">
        <v>44835.0</v>
      </c>
      <c r="D165" s="51">
        <v>44854.0</v>
      </c>
      <c r="E165" s="52">
        <v>44835.0</v>
      </c>
      <c r="F165" s="50" t="s">
        <v>4</v>
      </c>
      <c r="G165" s="59" t="s">
        <v>5</v>
      </c>
      <c r="H165" s="54" t="s">
        <v>74</v>
      </c>
      <c r="I165" s="54" t="s">
        <v>7</v>
      </c>
      <c r="J165" s="55">
        <v>50.0</v>
      </c>
      <c r="K165" s="56">
        <v>2718.0</v>
      </c>
      <c r="L165" s="57">
        <v>-3400.0</v>
      </c>
      <c r="M165" s="58">
        <v>2949.0</v>
      </c>
      <c r="N165" s="33">
        <f t="shared" si="13"/>
        <v>135900</v>
      </c>
      <c r="O165" s="59">
        <v>37584.0</v>
      </c>
      <c r="P165" s="34">
        <f t="shared" si="14"/>
        <v>13.82781457</v>
      </c>
      <c r="Q165" s="60"/>
      <c r="R165" s="36">
        <f t="shared" si="15"/>
        <v>2949</v>
      </c>
      <c r="S165" s="61">
        <v>-5197.0</v>
      </c>
      <c r="T165" s="37">
        <f t="shared" si="16"/>
        <v>-2248</v>
      </c>
      <c r="U165" s="38">
        <v>1.0</v>
      </c>
      <c r="V165" s="74">
        <v>48.87223735997578</v>
      </c>
      <c r="W165" s="74">
        <v>-77.221756233545</v>
      </c>
      <c r="X165" s="35">
        <f t="shared" si="20"/>
        <v>0.26</v>
      </c>
      <c r="Y165" s="35">
        <f t="shared" si="17"/>
        <v>0</v>
      </c>
      <c r="Z165" s="40">
        <f t="shared" si="18"/>
        <v>-1663.52</v>
      </c>
      <c r="AA165" s="34">
        <f t="shared" si="19"/>
        <v>-584.48</v>
      </c>
      <c r="AB165" s="41">
        <f t="shared" si="12"/>
        <v>0</v>
      </c>
      <c r="AC165" s="42" t="b">
        <v>0</v>
      </c>
      <c r="AD165" s="42" t="s">
        <v>138</v>
      </c>
      <c r="AE165" s="42" t="s">
        <v>138</v>
      </c>
      <c r="AF165" s="42" t="str">
        <f t="array" ref="AF165">INDEX('Deal Info'!D:D, MATCH(A165,'Deal Info'!A:A, 0))</f>
        <v>SF</v>
      </c>
      <c r="AG165" s="43" t="str">
        <f t="array" ref="AG165">INDEX('Deal Info'!G:G, MATCH(A165,'Deal Info'!A:A, 0))</f>
        <v>None</v>
      </c>
    </row>
    <row r="166" hidden="1">
      <c r="A166" s="23" t="str">
        <f t="array" ref="A166">if(G166='Room Info'!$B$1, INDEX('Room Info'!$A$2:$A3446, MATCH(B166,'Room Info'!$B$2:$B3446, 0)),if(G166='Room Info'!$C$1, INDEX('Room Info'!$A$2:$A3446, MATCH(B166,'Room Info'!$C$2:$C3446, 0)),if(G166='Room Info'!$D$1, INDEX('Room Info'!$A$2:$A3446, MATCH(B166,'Room Info'!$D$2:$D3446, 0)),if(G166='Room Info'!$E$1, INDEX('Room Info'!$A$2:$A3446, MATCH(B166,'Room Info'!$E$2:$E3446, 0)),if(G166='Room Info'!$F$1, INDEX('Room Info'!$A$2:$A3446, MATCH(B166,'Room Info'!$F$2:$F3446, 0)),if(G166='Room Info'!$H$1, INDEX('Room Info'!$A$2:$A3446, MATCH(B166,'Room Info'!$H$2:$H3446, 0)),if(G166='Room Info'!$G$1, INDEX('Room Info'!$A$2:$A3446, MATCH(B166,'Room Info'!$G$2:$G3446, 0)))))))))</f>
        <v>bbaltqq</v>
      </c>
      <c r="B166" s="59" t="s">
        <v>149</v>
      </c>
      <c r="C166" s="51">
        <v>44835.0</v>
      </c>
      <c r="D166" s="51">
        <v>44854.0</v>
      </c>
      <c r="E166" s="52">
        <v>44835.0</v>
      </c>
      <c r="F166" s="50" t="s">
        <v>4</v>
      </c>
      <c r="G166" s="59" t="s">
        <v>5</v>
      </c>
      <c r="H166" s="54" t="s">
        <v>85</v>
      </c>
      <c r="I166" s="54" t="s">
        <v>7</v>
      </c>
      <c r="J166" s="55">
        <v>100.0</v>
      </c>
      <c r="K166" s="56">
        <v>145.0</v>
      </c>
      <c r="L166" s="57">
        <v>-3300.0</v>
      </c>
      <c r="M166" s="58">
        <v>262.0</v>
      </c>
      <c r="N166" s="33">
        <f t="shared" si="13"/>
        <v>14500</v>
      </c>
      <c r="O166" s="59">
        <v>-6194.0</v>
      </c>
      <c r="P166" s="34">
        <f t="shared" si="14"/>
        <v>-42.71724138</v>
      </c>
      <c r="Q166" s="60"/>
      <c r="R166" s="36">
        <f t="shared" si="15"/>
        <v>262</v>
      </c>
      <c r="S166" s="61">
        <v>-1942.0</v>
      </c>
      <c r="T166" s="37">
        <f t="shared" si="16"/>
        <v>-1680</v>
      </c>
      <c r="U166" s="38">
        <v>1.0</v>
      </c>
      <c r="V166" s="74">
        <v>48.87223735997578</v>
      </c>
      <c r="W166" s="74">
        <v>-77.221756233545</v>
      </c>
      <c r="X166" s="35">
        <f t="shared" si="20"/>
        <v>0.26</v>
      </c>
      <c r="Y166" s="35">
        <f t="shared" si="17"/>
        <v>0</v>
      </c>
      <c r="Z166" s="40">
        <f t="shared" si="18"/>
        <v>-1243.2</v>
      </c>
      <c r="AA166" s="34">
        <f t="shared" si="19"/>
        <v>-436.8</v>
      </c>
      <c r="AB166" s="41">
        <f t="shared" si="12"/>
        <v>0</v>
      </c>
      <c r="AC166" s="42" t="b">
        <v>0</v>
      </c>
      <c r="AD166" s="42" t="s">
        <v>138</v>
      </c>
      <c r="AE166" s="42" t="s">
        <v>138</v>
      </c>
      <c r="AF166" s="42" t="str">
        <f t="array" ref="AF166">INDEX('Deal Info'!D:D, MATCH(A166,'Deal Info'!A:A, 0))</f>
        <v>SF</v>
      </c>
      <c r="AG166" s="43" t="str">
        <f t="array" ref="AG166">INDEX('Deal Info'!G:G, MATCH(A166,'Deal Info'!A:A, 0))</f>
        <v>None</v>
      </c>
    </row>
    <row r="167" hidden="1">
      <c r="A167" s="23" t="str">
        <f t="array" ref="A167">if(G167='Room Info'!$B$1, INDEX('Room Info'!$A$2:$A3446, MATCH(B167,'Room Info'!$B$2:$B3446, 0)),if(G167='Room Info'!$C$1, INDEX('Room Info'!$A$2:$A3446, MATCH(B167,'Room Info'!$C$2:$C3446, 0)),if(G167='Room Info'!$D$1, INDEX('Room Info'!$A$2:$A3446, MATCH(B167,'Room Info'!$D$2:$D3446, 0)),if(G167='Room Info'!$E$1, INDEX('Room Info'!$A$2:$A3446, MATCH(B167,'Room Info'!$E$2:$E3446, 0)),if(G167='Room Info'!$F$1, INDEX('Room Info'!$A$2:$A3446, MATCH(B167,'Room Info'!$F$2:$F3446, 0)),if(G167='Room Info'!$H$1, INDEX('Room Info'!$A$2:$A3446, MATCH(B167,'Room Info'!$H$2:$H3446, 0)),if(G167='Room Info'!$G$1, INDEX('Room Info'!$A$2:$A3446, MATCH(B167,'Room Info'!$G$2:$G3446, 0)))))))))</f>
        <v>bbaltqq</v>
      </c>
      <c r="B167" s="59" t="s">
        <v>149</v>
      </c>
      <c r="C167" s="51">
        <v>44835.0</v>
      </c>
      <c r="D167" s="51">
        <v>44854.0</v>
      </c>
      <c r="E167" s="52">
        <v>44835.0</v>
      </c>
      <c r="F167" s="50" t="s">
        <v>12</v>
      </c>
      <c r="G167" s="59" t="s">
        <v>5</v>
      </c>
      <c r="H167" s="54" t="s">
        <v>62</v>
      </c>
      <c r="I167" s="54" t="s">
        <v>7</v>
      </c>
      <c r="J167" s="55">
        <v>25.0</v>
      </c>
      <c r="K167" s="56">
        <v>439.0</v>
      </c>
      <c r="L167" s="57">
        <v>-125.0</v>
      </c>
      <c r="M167" s="58">
        <v>328.0</v>
      </c>
      <c r="N167" s="33">
        <f t="shared" si="13"/>
        <v>10975</v>
      </c>
      <c r="O167" s="59">
        <v>4390.0</v>
      </c>
      <c r="P167" s="34">
        <f t="shared" si="14"/>
        <v>10</v>
      </c>
      <c r="Q167" s="60"/>
      <c r="R167" s="36">
        <f t="shared" si="15"/>
        <v>328</v>
      </c>
      <c r="S167" s="61"/>
      <c r="T167" s="37">
        <f t="shared" si="16"/>
        <v>203</v>
      </c>
      <c r="U167" s="38">
        <v>1.0</v>
      </c>
      <c r="V167" s="74">
        <v>48.87223735997578</v>
      </c>
      <c r="W167" s="74">
        <v>-77.221756233545</v>
      </c>
      <c r="X167" s="35">
        <f t="shared" si="20"/>
        <v>0.26</v>
      </c>
      <c r="Y167" s="35">
        <f t="shared" si="17"/>
        <v>0</v>
      </c>
      <c r="Z167" s="40">
        <f t="shared" si="18"/>
        <v>150.22</v>
      </c>
      <c r="AA167" s="34">
        <f t="shared" si="19"/>
        <v>52.78</v>
      </c>
      <c r="AB167" s="41">
        <f t="shared" si="12"/>
        <v>0</v>
      </c>
      <c r="AC167" s="42" t="b">
        <v>0</v>
      </c>
      <c r="AD167" s="42" t="s">
        <v>138</v>
      </c>
      <c r="AE167" s="42" t="s">
        <v>138</v>
      </c>
      <c r="AF167" s="42" t="str">
        <f t="array" ref="AF167">INDEX('Deal Info'!D:D, MATCH(A167,'Deal Info'!A:A, 0))</f>
        <v>SF</v>
      </c>
      <c r="AG167" s="43" t="str">
        <f t="array" ref="AG167">INDEX('Deal Info'!G:G, MATCH(A167,'Deal Info'!A:A, 0))</f>
        <v>None</v>
      </c>
    </row>
    <row r="168" hidden="1">
      <c r="A168" s="23" t="str">
        <f t="array" ref="A168">if(G168='Room Info'!$B$1, INDEX('Room Info'!$A$2:$A3446, MATCH(B168,'Room Info'!$B$2:$B3446, 0)),if(G168='Room Info'!$C$1, INDEX('Room Info'!$A$2:$A3446, MATCH(B168,'Room Info'!$C$2:$C3446, 0)),if(G168='Room Info'!$D$1, INDEX('Room Info'!$A$2:$A3446, MATCH(B168,'Room Info'!$D$2:$D3446, 0)),if(G168='Room Info'!$E$1, INDEX('Room Info'!$A$2:$A3446, MATCH(B168,'Room Info'!$E$2:$E3446, 0)),if(G168='Room Info'!$F$1, INDEX('Room Info'!$A$2:$A3446, MATCH(B168,'Room Info'!$F$2:$F3446, 0)),if(G168='Room Info'!$H$1, INDEX('Room Info'!$A$2:$A3446, MATCH(B168,'Room Info'!$H$2:$H3446, 0)),if(G168='Room Info'!$G$1, INDEX('Room Info'!$A$2:$A3446, MATCH(B168,'Room Info'!$G$2:$G3446, 0)))))))))</f>
        <v>bbaltqq</v>
      </c>
      <c r="B168" s="59" t="s">
        <v>149</v>
      </c>
      <c r="C168" s="51">
        <v>44835.0</v>
      </c>
      <c r="D168" s="51">
        <v>44854.0</v>
      </c>
      <c r="E168" s="52">
        <v>44835.0</v>
      </c>
      <c r="F168" s="50" t="s">
        <v>12</v>
      </c>
      <c r="G168" s="59" t="s">
        <v>5</v>
      </c>
      <c r="H168" s="54" t="s">
        <v>75</v>
      </c>
      <c r="I168" s="54" t="s">
        <v>11</v>
      </c>
      <c r="J168" s="55">
        <v>50.0</v>
      </c>
      <c r="K168" s="56">
        <v>1.0</v>
      </c>
      <c r="L168" s="57">
        <v>-50.0</v>
      </c>
      <c r="M168" s="58">
        <v>1.0</v>
      </c>
      <c r="N168" s="33">
        <f t="shared" si="13"/>
        <v>50</v>
      </c>
      <c r="O168" s="70"/>
      <c r="P168" s="34">
        <f t="shared" si="14"/>
        <v>0</v>
      </c>
      <c r="Q168" s="60"/>
      <c r="R168" s="36">
        <f t="shared" si="15"/>
        <v>1</v>
      </c>
      <c r="S168" s="71"/>
      <c r="T168" s="37">
        <f t="shared" si="16"/>
        <v>-49</v>
      </c>
      <c r="U168" s="38">
        <v>1.0</v>
      </c>
      <c r="V168" s="74">
        <v>48.87223735997578</v>
      </c>
      <c r="W168" s="74">
        <v>-77.221756233545</v>
      </c>
      <c r="X168" s="35">
        <f t="shared" si="20"/>
        <v>0.26</v>
      </c>
      <c r="Y168" s="35">
        <f t="shared" si="17"/>
        <v>0</v>
      </c>
      <c r="Z168" s="40">
        <f t="shared" si="18"/>
        <v>-36.26</v>
      </c>
      <c r="AA168" s="34">
        <f t="shared" si="19"/>
        <v>-12.74</v>
      </c>
      <c r="AB168" s="41">
        <f t="shared" si="12"/>
        <v>0</v>
      </c>
      <c r="AC168" s="42" t="b">
        <v>0</v>
      </c>
      <c r="AD168" s="42" t="s">
        <v>138</v>
      </c>
      <c r="AE168" s="42" t="s">
        <v>138</v>
      </c>
      <c r="AF168" s="42" t="str">
        <f t="array" ref="AF168">INDEX('Deal Info'!D:D, MATCH(A168,'Deal Info'!A:A, 0))</f>
        <v>SF</v>
      </c>
      <c r="AG168" s="43" t="str">
        <f t="array" ref="AG168">INDEX('Deal Info'!G:G, MATCH(A168,'Deal Info'!A:A, 0))</f>
        <v>None</v>
      </c>
    </row>
    <row r="169" hidden="1">
      <c r="A169" s="23" t="str">
        <f t="array" ref="A169">if(G169='Room Info'!$B$1, INDEX('Room Info'!$A$2:$A3446, MATCH(B169,'Room Info'!$B$2:$B3446, 0)),if(G169='Room Info'!$C$1, INDEX('Room Info'!$A$2:$A3446, MATCH(B169,'Room Info'!$C$2:$C3446, 0)),if(G169='Room Info'!$D$1, INDEX('Room Info'!$A$2:$A3446, MATCH(B169,'Room Info'!$D$2:$D3446, 0)),if(G169='Room Info'!$E$1, INDEX('Room Info'!$A$2:$A3446, MATCH(B169,'Room Info'!$E$2:$E3446, 0)),if(G169='Room Info'!$F$1, INDEX('Room Info'!$A$2:$A3446, MATCH(B169,'Room Info'!$F$2:$F3446, 0)),if(G169='Room Info'!$H$1, INDEX('Room Info'!$A$2:$A3446, MATCH(B169,'Room Info'!$H$2:$H3446, 0)),if(G169='Room Info'!$G$1, INDEX('Room Info'!$A$2:$A3446, MATCH(B169,'Room Info'!$G$2:$G3446, 0)))))))))</f>
        <v>bbaltqq</v>
      </c>
      <c r="B169" s="59" t="s">
        <v>149</v>
      </c>
      <c r="C169" s="51">
        <v>44855.0</v>
      </c>
      <c r="D169" s="51">
        <v>44885.0</v>
      </c>
      <c r="E169" s="52">
        <v>44866.0</v>
      </c>
      <c r="F169" s="50" t="s">
        <v>4</v>
      </c>
      <c r="G169" s="59" t="s">
        <v>5</v>
      </c>
      <c r="H169" s="54" t="s">
        <v>74</v>
      </c>
      <c r="I169" s="54" t="s">
        <v>7</v>
      </c>
      <c r="J169" s="55">
        <v>50.0</v>
      </c>
      <c r="K169" s="56">
        <v>2944.0</v>
      </c>
      <c r="L169" s="57">
        <v>-7550.0</v>
      </c>
      <c r="M169" s="58">
        <v>6233.0</v>
      </c>
      <c r="N169" s="33">
        <f t="shared" si="13"/>
        <v>147200</v>
      </c>
      <c r="O169" s="59">
        <v>36069.0</v>
      </c>
      <c r="P169" s="34">
        <f t="shared" si="14"/>
        <v>12.25169837</v>
      </c>
      <c r="Q169" s="60"/>
      <c r="R169" s="36">
        <f t="shared" si="15"/>
        <v>6233</v>
      </c>
      <c r="S169" s="61">
        <v>-6300.0</v>
      </c>
      <c r="T169" s="37">
        <f t="shared" si="16"/>
        <v>-67</v>
      </c>
      <c r="U169" s="38">
        <v>1.0</v>
      </c>
      <c r="V169" s="74">
        <v>49.47622214832059</v>
      </c>
      <c r="W169" s="74">
        <v>5.052932280289027</v>
      </c>
      <c r="X169" s="35">
        <f t="shared" si="20"/>
        <v>0.26</v>
      </c>
      <c r="Y169" s="35">
        <f t="shared" si="17"/>
        <v>0</v>
      </c>
      <c r="Z169" s="40">
        <f t="shared" si="18"/>
        <v>-49.58</v>
      </c>
      <c r="AA169" s="34">
        <f t="shared" si="19"/>
        <v>-17.42</v>
      </c>
      <c r="AB169" s="41">
        <f t="shared" si="12"/>
        <v>0</v>
      </c>
      <c r="AC169" s="42" t="b">
        <v>0</v>
      </c>
      <c r="AD169" s="42" t="s">
        <v>138</v>
      </c>
      <c r="AE169" s="42" t="s">
        <v>138</v>
      </c>
      <c r="AF169" s="42" t="str">
        <f t="array" ref="AF169">INDEX('Deal Info'!D:D, MATCH(A169,'Deal Info'!A:A, 0))</f>
        <v>SF</v>
      </c>
      <c r="AG169" s="43" t="str">
        <f t="array" ref="AG169">INDEX('Deal Info'!G:G, MATCH(A169,'Deal Info'!A:A, 0))</f>
        <v>None</v>
      </c>
    </row>
    <row r="170" hidden="1">
      <c r="A170" s="23" t="str">
        <f t="array" ref="A170">if(G170='Room Info'!$B$1, INDEX('Room Info'!$A$2:$A3446, MATCH(B170,'Room Info'!$B$2:$B3446, 0)),if(G170='Room Info'!$C$1, INDEX('Room Info'!$A$2:$A3446, MATCH(B170,'Room Info'!$C$2:$C3446, 0)),if(G170='Room Info'!$D$1, INDEX('Room Info'!$A$2:$A3446, MATCH(B170,'Room Info'!$D$2:$D3446, 0)),if(G170='Room Info'!$E$1, INDEX('Room Info'!$A$2:$A3446, MATCH(B170,'Room Info'!$E$2:$E3446, 0)),if(G170='Room Info'!$F$1, INDEX('Room Info'!$A$2:$A3446, MATCH(B170,'Room Info'!$F$2:$F3446, 0)),if(G170='Room Info'!$H$1, INDEX('Room Info'!$A$2:$A3446, MATCH(B170,'Room Info'!$H$2:$H3446, 0)),if(G170='Room Info'!$G$1, INDEX('Room Info'!$A$2:$A3446, MATCH(B170,'Room Info'!$G$2:$G3446, 0)))))))))</f>
        <v>bbaltqq</v>
      </c>
      <c r="B170" s="59" t="s">
        <v>149</v>
      </c>
      <c r="C170" s="51">
        <v>44855.0</v>
      </c>
      <c r="D170" s="51">
        <v>44885.0</v>
      </c>
      <c r="E170" s="52">
        <v>44866.0</v>
      </c>
      <c r="F170" s="50" t="s">
        <v>12</v>
      </c>
      <c r="G170" s="59" t="s">
        <v>5</v>
      </c>
      <c r="H170" s="54" t="s">
        <v>62</v>
      </c>
      <c r="I170" s="54" t="s">
        <v>7</v>
      </c>
      <c r="J170" s="55">
        <v>25.0</v>
      </c>
      <c r="K170" s="56">
        <v>63.0</v>
      </c>
      <c r="L170" s="57">
        <v>250.0</v>
      </c>
      <c r="M170" s="58">
        <v>67.0</v>
      </c>
      <c r="N170" s="33">
        <f t="shared" si="13"/>
        <v>1575</v>
      </c>
      <c r="O170" s="59">
        <v>4264.0</v>
      </c>
      <c r="P170" s="34">
        <f t="shared" si="14"/>
        <v>67.68253968</v>
      </c>
      <c r="Q170" s="60"/>
      <c r="R170" s="36">
        <f t="shared" si="15"/>
        <v>67</v>
      </c>
      <c r="S170" s="61"/>
      <c r="T170" s="37">
        <f t="shared" si="16"/>
        <v>317</v>
      </c>
      <c r="U170" s="38">
        <v>1.0</v>
      </c>
      <c r="V170" s="74">
        <v>49.47622214832059</v>
      </c>
      <c r="W170" s="74">
        <v>5.052932280289027</v>
      </c>
      <c r="X170" s="35">
        <f t="shared" si="20"/>
        <v>0.26</v>
      </c>
      <c r="Y170" s="35">
        <f t="shared" si="17"/>
        <v>0</v>
      </c>
      <c r="Z170" s="40">
        <f t="shared" si="18"/>
        <v>234.58</v>
      </c>
      <c r="AA170" s="34">
        <f t="shared" si="19"/>
        <v>82.42</v>
      </c>
      <c r="AB170" s="41">
        <f t="shared" si="12"/>
        <v>0</v>
      </c>
      <c r="AC170" s="42" t="b">
        <v>0</v>
      </c>
      <c r="AD170" s="42" t="s">
        <v>138</v>
      </c>
      <c r="AE170" s="42" t="s">
        <v>138</v>
      </c>
      <c r="AF170" s="42" t="str">
        <f t="array" ref="AF170">INDEX('Deal Info'!D:D, MATCH(A170,'Deal Info'!A:A, 0))</f>
        <v>SF</v>
      </c>
      <c r="AG170" s="43" t="str">
        <f t="array" ref="AG170">INDEX('Deal Info'!G:G, MATCH(A170,'Deal Info'!A:A, 0))</f>
        <v>None</v>
      </c>
    </row>
    <row r="171" hidden="1">
      <c r="A171" s="23" t="str">
        <f t="array" ref="A171">if(G171='Room Info'!$B$1, INDEX('Room Info'!$A$2:$A3446, MATCH(B171,'Room Info'!$B$2:$B3446, 0)),if(G171='Room Info'!$C$1, INDEX('Room Info'!$A$2:$A3446, MATCH(B171,'Room Info'!$C$2:$C3446, 0)),if(G171='Room Info'!$D$1, INDEX('Room Info'!$A$2:$A3446, MATCH(B171,'Room Info'!$D$2:$D3446, 0)),if(G171='Room Info'!$E$1, INDEX('Room Info'!$A$2:$A3446, MATCH(B171,'Room Info'!$E$2:$E3446, 0)),if(G171='Room Info'!$F$1, INDEX('Room Info'!$A$2:$A3446, MATCH(B171,'Room Info'!$F$2:$F3446, 0)),if(G171='Room Info'!$H$1, INDEX('Room Info'!$A$2:$A3446, MATCH(B171,'Room Info'!$H$2:$H3446, 0)),if(G171='Room Info'!$G$1, INDEX('Room Info'!$A$2:$A3446, MATCH(B171,'Room Info'!$G$2:$G3446, 0)))))))))</f>
        <v>bbaltqq</v>
      </c>
      <c r="B171" s="59" t="s">
        <v>149</v>
      </c>
      <c r="C171" s="51">
        <v>44886.0</v>
      </c>
      <c r="D171" s="51">
        <v>44915.0</v>
      </c>
      <c r="E171" s="52">
        <v>44896.0</v>
      </c>
      <c r="F171" s="50" t="s">
        <v>4</v>
      </c>
      <c r="G171" s="59" t="s">
        <v>5</v>
      </c>
      <c r="H171" s="54" t="s">
        <v>74</v>
      </c>
      <c r="I171" s="54" t="s">
        <v>7</v>
      </c>
      <c r="J171" s="55">
        <v>50.0</v>
      </c>
      <c r="K171" s="56">
        <v>673.0</v>
      </c>
      <c r="L171" s="57">
        <v>3950.0</v>
      </c>
      <c r="M171" s="58">
        <v>4459.0</v>
      </c>
      <c r="N171" s="33">
        <f t="shared" si="13"/>
        <v>33650</v>
      </c>
      <c r="O171" s="59">
        <v>33320.0</v>
      </c>
      <c r="P171" s="34">
        <f t="shared" si="14"/>
        <v>49.50965825</v>
      </c>
      <c r="Q171" s="60"/>
      <c r="R171" s="36">
        <f t="shared" si="15"/>
        <v>4459</v>
      </c>
      <c r="S171" s="61">
        <v>942.0</v>
      </c>
      <c r="T171" s="37">
        <f t="shared" si="16"/>
        <v>5401</v>
      </c>
      <c r="U171" s="38">
        <v>1.0</v>
      </c>
      <c r="V171" s="74">
        <v>41.34696016771488</v>
      </c>
      <c r="W171" s="74">
        <v>154.59419444796552</v>
      </c>
      <c r="X171" s="35">
        <f t="shared" si="20"/>
        <v>0.22</v>
      </c>
      <c r="Y171" s="35">
        <f t="shared" si="17"/>
        <v>0</v>
      </c>
      <c r="Z171" s="40">
        <f t="shared" si="18"/>
        <v>4212.78</v>
      </c>
      <c r="AA171" s="34">
        <f t="shared" si="19"/>
        <v>1188.22</v>
      </c>
      <c r="AB171" s="41">
        <f t="shared" si="12"/>
        <v>0</v>
      </c>
      <c r="AC171" s="42" t="b">
        <v>0</v>
      </c>
      <c r="AD171" s="42" t="s">
        <v>138</v>
      </c>
      <c r="AE171" s="42" t="s">
        <v>138</v>
      </c>
      <c r="AF171" s="42" t="str">
        <f t="array" ref="AF171">INDEX('Deal Info'!D:D, MATCH(A171,'Deal Info'!A:A, 0))</f>
        <v>SF</v>
      </c>
      <c r="AG171" s="43" t="str">
        <f t="array" ref="AG171">INDEX('Deal Info'!G:G, MATCH(A171,'Deal Info'!A:A, 0))</f>
        <v>None</v>
      </c>
    </row>
    <row r="172" hidden="1">
      <c r="A172" s="23" t="str">
        <f t="array" ref="A172">if(G172='Room Info'!$B$1, INDEX('Room Info'!$A$2:$A3446, MATCH(B172,'Room Info'!$B$2:$B3446, 0)),if(G172='Room Info'!$C$1, INDEX('Room Info'!$A$2:$A3446, MATCH(B172,'Room Info'!$C$2:$C3446, 0)),if(G172='Room Info'!$D$1, INDEX('Room Info'!$A$2:$A3446, MATCH(B172,'Room Info'!$D$2:$D3446, 0)),if(G172='Room Info'!$E$1, INDEX('Room Info'!$A$2:$A3446, MATCH(B172,'Room Info'!$E$2:$E3446, 0)),if(G172='Room Info'!$F$1, INDEX('Room Info'!$A$2:$A3446, MATCH(B172,'Room Info'!$F$2:$F3446, 0)),if(G172='Room Info'!$H$1, INDEX('Room Info'!$A$2:$A3446, MATCH(B172,'Room Info'!$H$2:$H3446, 0)),if(G172='Room Info'!$G$1, INDEX('Room Info'!$A$2:$A3446, MATCH(B172,'Room Info'!$G$2:$G3446, 0)))))))))</f>
        <v>bbaltqq</v>
      </c>
      <c r="B172" s="59" t="s">
        <v>149</v>
      </c>
      <c r="C172" s="51">
        <v>44886.0</v>
      </c>
      <c r="D172" s="51">
        <v>44915.0</v>
      </c>
      <c r="E172" s="52">
        <v>44896.0</v>
      </c>
      <c r="F172" s="50" t="s">
        <v>12</v>
      </c>
      <c r="G172" s="59" t="s">
        <v>5</v>
      </c>
      <c r="H172" s="54" t="s">
        <v>62</v>
      </c>
      <c r="I172" s="54" t="s">
        <v>7</v>
      </c>
      <c r="J172" s="55">
        <v>25.0</v>
      </c>
      <c r="K172" s="56">
        <v>199.0</v>
      </c>
      <c r="L172" s="57">
        <v>125.0</v>
      </c>
      <c r="M172" s="58">
        <v>659.0</v>
      </c>
      <c r="N172" s="33">
        <f t="shared" si="13"/>
        <v>4975</v>
      </c>
      <c r="O172" s="59">
        <v>-2876.0</v>
      </c>
      <c r="P172" s="34">
        <f t="shared" si="14"/>
        <v>-14.45226131</v>
      </c>
      <c r="Q172" s="60"/>
      <c r="R172" s="36">
        <f t="shared" si="15"/>
        <v>659</v>
      </c>
      <c r="S172" s="61"/>
      <c r="T172" s="37">
        <f t="shared" si="16"/>
        <v>784</v>
      </c>
      <c r="U172" s="38">
        <v>1.0</v>
      </c>
      <c r="V172" s="74">
        <v>41.34696016771488</v>
      </c>
      <c r="W172" s="74">
        <v>154.59419444796552</v>
      </c>
      <c r="X172" s="35">
        <f t="shared" si="20"/>
        <v>0.22</v>
      </c>
      <c r="Y172" s="35">
        <f t="shared" si="17"/>
        <v>0</v>
      </c>
      <c r="Z172" s="40">
        <f t="shared" si="18"/>
        <v>611.52</v>
      </c>
      <c r="AA172" s="34">
        <f t="shared" si="19"/>
        <v>172.48</v>
      </c>
      <c r="AB172" s="41">
        <f t="shared" si="12"/>
        <v>0</v>
      </c>
      <c r="AC172" s="42" t="b">
        <v>0</v>
      </c>
      <c r="AD172" s="42" t="s">
        <v>138</v>
      </c>
      <c r="AE172" s="42" t="s">
        <v>138</v>
      </c>
      <c r="AF172" s="42" t="str">
        <f t="array" ref="AF172">INDEX('Deal Info'!D:D, MATCH(A172,'Deal Info'!A:A, 0))</f>
        <v>SF</v>
      </c>
      <c r="AG172" s="43" t="str">
        <f t="array" ref="AG172">INDEX('Deal Info'!G:G, MATCH(A172,'Deal Info'!A:A, 0))</f>
        <v>None</v>
      </c>
    </row>
    <row r="173" hidden="1">
      <c r="A173" s="23" t="str">
        <f t="array" ref="A173">if(G173='Room Info'!$B$1, INDEX('Room Info'!$A$2:$A3446, MATCH(B173,'Room Info'!$B$2:$B3446, 0)),if(G173='Room Info'!$C$1, INDEX('Room Info'!$A$2:$A3446, MATCH(B173,'Room Info'!$C$2:$C3446, 0)),if(G173='Room Info'!$D$1, INDEX('Room Info'!$A$2:$A3446, MATCH(B173,'Room Info'!$D$2:$D3446, 0)),if(G173='Room Info'!$E$1, INDEX('Room Info'!$A$2:$A3446, MATCH(B173,'Room Info'!$E$2:$E3446, 0)),if(G173='Room Info'!$F$1, INDEX('Room Info'!$A$2:$A3446, MATCH(B173,'Room Info'!$F$2:$F3446, 0)),if(G173='Room Info'!$H$1, INDEX('Room Info'!$A$2:$A3446, MATCH(B173,'Room Info'!$H$2:$H3446, 0)),if(G173='Room Info'!$G$1, INDEX('Room Info'!$A$2:$A3446, MATCH(B173,'Room Info'!$G$2:$G3446, 0)))))))))</f>
        <v>bbaltqq</v>
      </c>
      <c r="B173" s="59" t="s">
        <v>149</v>
      </c>
      <c r="C173" s="72">
        <v>44886.0</v>
      </c>
      <c r="D173" s="72">
        <v>44915.0</v>
      </c>
      <c r="E173" s="52">
        <v>44896.0</v>
      </c>
      <c r="F173" s="50" t="s">
        <v>12</v>
      </c>
      <c r="G173" s="59" t="s">
        <v>5</v>
      </c>
      <c r="H173" s="54" t="s">
        <v>45</v>
      </c>
      <c r="I173" s="54" t="s">
        <v>7</v>
      </c>
      <c r="J173" s="55">
        <v>10.0</v>
      </c>
      <c r="K173" s="56">
        <v>82.0</v>
      </c>
      <c r="L173" s="57">
        <v>80.0</v>
      </c>
      <c r="M173" s="58">
        <v>127.0</v>
      </c>
      <c r="N173" s="33">
        <f t="shared" si="13"/>
        <v>820</v>
      </c>
      <c r="O173" s="59">
        <v>6276.0</v>
      </c>
      <c r="P173" s="34">
        <f t="shared" si="14"/>
        <v>76.53658537</v>
      </c>
      <c r="Q173" s="60"/>
      <c r="R173" s="36">
        <f t="shared" si="15"/>
        <v>127</v>
      </c>
      <c r="S173" s="61"/>
      <c r="T173" s="37">
        <f t="shared" si="16"/>
        <v>207</v>
      </c>
      <c r="U173" s="38">
        <v>1.0</v>
      </c>
      <c r="V173" s="74">
        <v>41.34696016771488</v>
      </c>
      <c r="W173" s="74">
        <v>154.59419444796552</v>
      </c>
      <c r="X173" s="35">
        <f t="shared" si="20"/>
        <v>0.22</v>
      </c>
      <c r="Y173" s="35">
        <f t="shared" si="17"/>
        <v>0</v>
      </c>
      <c r="Z173" s="40">
        <f t="shared" si="18"/>
        <v>161.46</v>
      </c>
      <c r="AA173" s="34">
        <f t="shared" si="19"/>
        <v>45.54</v>
      </c>
      <c r="AB173" s="41">
        <f t="shared" si="12"/>
        <v>0</v>
      </c>
      <c r="AC173" s="42" t="b">
        <v>0</v>
      </c>
      <c r="AD173" s="42" t="s">
        <v>138</v>
      </c>
      <c r="AE173" s="42" t="s">
        <v>138</v>
      </c>
      <c r="AF173" s="42" t="str">
        <f t="array" ref="AF173">INDEX('Deal Info'!D:D, MATCH(A173,'Deal Info'!A:A, 0))</f>
        <v>SF</v>
      </c>
      <c r="AG173" s="43" t="str">
        <f t="array" ref="AG173">INDEX('Deal Info'!G:G, MATCH(A173,'Deal Info'!A:A, 0))</f>
        <v>None</v>
      </c>
    </row>
    <row r="174" hidden="1">
      <c r="A174" s="23" t="str">
        <f t="array" ref="A174">if(G174='Room Info'!$B$1, INDEX('Room Info'!$A$2:$A3446, MATCH(B174,'Room Info'!$B$2:$B3446, 0)),if(G174='Room Info'!$C$1, INDEX('Room Info'!$A$2:$A3446, MATCH(B174,'Room Info'!$C$2:$C3446, 0)),if(G174='Room Info'!$D$1, INDEX('Room Info'!$A$2:$A3446, MATCH(B174,'Room Info'!$D$2:$D3446, 0)),if(G174='Room Info'!$E$1, INDEX('Room Info'!$A$2:$A3446, MATCH(B174,'Room Info'!$E$2:$E3446, 0)),if(G174='Room Info'!$F$1, INDEX('Room Info'!$A$2:$A3446, MATCH(B174,'Room Info'!$F$2:$F3446, 0)),if(G174='Room Info'!$H$1, INDEX('Room Info'!$A$2:$A3446, MATCH(B174,'Room Info'!$H$2:$H3446, 0)),if(G174='Room Info'!$G$1, INDEX('Room Info'!$A$2:$A3446, MATCH(B174,'Room Info'!$G$2:$G3446, 0)))))))))</f>
        <v>bbaltqq</v>
      </c>
      <c r="B174" s="59" t="s">
        <v>149</v>
      </c>
      <c r="C174" s="72">
        <v>44916.0</v>
      </c>
      <c r="D174" s="72">
        <v>44946.0</v>
      </c>
      <c r="E174" s="52">
        <v>44927.0</v>
      </c>
      <c r="F174" s="50" t="s">
        <v>4</v>
      </c>
      <c r="G174" s="59" t="s">
        <v>5</v>
      </c>
      <c r="H174" s="54" t="s">
        <v>74</v>
      </c>
      <c r="I174" s="54" t="s">
        <v>7</v>
      </c>
      <c r="J174" s="55">
        <v>50.0</v>
      </c>
      <c r="K174" s="56">
        <v>2213.0</v>
      </c>
      <c r="L174" s="57">
        <v>-7000.0</v>
      </c>
      <c r="M174" s="58">
        <v>1346.0</v>
      </c>
      <c r="N174" s="33">
        <f t="shared" si="13"/>
        <v>110650</v>
      </c>
      <c r="O174" s="59">
        <v>30259.0</v>
      </c>
      <c r="P174" s="34">
        <f t="shared" si="14"/>
        <v>13.67329417</v>
      </c>
      <c r="Q174" s="60"/>
      <c r="R174" s="36">
        <f t="shared" si="15"/>
        <v>1346</v>
      </c>
      <c r="S174" s="61">
        <v>-4063.0</v>
      </c>
      <c r="T174" s="37">
        <f t="shared" si="16"/>
        <v>-2717</v>
      </c>
      <c r="U174" s="38">
        <v>1.0</v>
      </c>
      <c r="V174" s="74">
        <v>49.824876515491695</v>
      </c>
      <c r="W174" s="74">
        <v>-57.963013698630135</v>
      </c>
      <c r="X174" s="35">
        <f t="shared" si="20"/>
        <v>0.26</v>
      </c>
      <c r="Y174" s="35">
        <f t="shared" si="17"/>
        <v>0</v>
      </c>
      <c r="Z174" s="40">
        <f t="shared" si="18"/>
        <v>-2010.58</v>
      </c>
      <c r="AA174" s="34">
        <f t="shared" si="19"/>
        <v>-706.42</v>
      </c>
      <c r="AB174" s="41">
        <f t="shared" si="12"/>
        <v>0</v>
      </c>
      <c r="AC174" s="42" t="b">
        <v>0</v>
      </c>
      <c r="AD174" s="42" t="s">
        <v>138</v>
      </c>
      <c r="AE174" s="42" t="s">
        <v>138</v>
      </c>
      <c r="AF174" s="42" t="str">
        <f t="array" ref="AF174">INDEX('Deal Info'!D:D, MATCH(A174,'Deal Info'!A:A, 0))</f>
        <v>SF</v>
      </c>
      <c r="AG174" s="43" t="str">
        <f t="array" ref="AG174">INDEX('Deal Info'!G:G, MATCH(A174,'Deal Info'!A:A, 0))</f>
        <v>None</v>
      </c>
    </row>
    <row r="175" hidden="1">
      <c r="A175" s="23" t="str">
        <f t="array" ref="A175">if(G175='Room Info'!$B$1, INDEX('Room Info'!$A$2:$A3446, MATCH(B175,'Room Info'!$B$2:$B3446, 0)),if(G175='Room Info'!$C$1, INDEX('Room Info'!$A$2:$A3446, MATCH(B175,'Room Info'!$C$2:$C3446, 0)),if(G175='Room Info'!$D$1, INDEX('Room Info'!$A$2:$A3446, MATCH(B175,'Room Info'!$D$2:$D3446, 0)),if(G175='Room Info'!$E$1, INDEX('Room Info'!$A$2:$A3446, MATCH(B175,'Room Info'!$E$2:$E3446, 0)),if(G175='Room Info'!$F$1, INDEX('Room Info'!$A$2:$A3446, MATCH(B175,'Room Info'!$F$2:$F3446, 0)),if(G175='Room Info'!$H$1, INDEX('Room Info'!$A$2:$A3446, MATCH(B175,'Room Info'!$H$2:$H3446, 0)),if(G175='Room Info'!$G$1, INDEX('Room Info'!$A$2:$A3446, MATCH(B175,'Room Info'!$G$2:$G3446, 0)))))))))</f>
        <v>bbaltqq</v>
      </c>
      <c r="B175" s="59" t="s">
        <v>149</v>
      </c>
      <c r="C175" s="72">
        <v>44916.0</v>
      </c>
      <c r="D175" s="72">
        <v>44946.0</v>
      </c>
      <c r="E175" s="52">
        <v>44927.0</v>
      </c>
      <c r="F175" s="50" t="s">
        <v>12</v>
      </c>
      <c r="G175" s="59" t="s">
        <v>5</v>
      </c>
      <c r="H175" s="54" t="s">
        <v>35</v>
      </c>
      <c r="I175" s="54" t="s">
        <v>7</v>
      </c>
      <c r="J175" s="55">
        <v>5.0</v>
      </c>
      <c r="K175" s="56">
        <v>2.0</v>
      </c>
      <c r="L175" s="57">
        <v>0.0</v>
      </c>
      <c r="M175" s="67"/>
      <c r="N175" s="33">
        <f t="shared" si="13"/>
        <v>10</v>
      </c>
      <c r="O175" s="70"/>
      <c r="P175" s="34">
        <f t="shared" si="14"/>
        <v>0</v>
      </c>
      <c r="Q175" s="60"/>
      <c r="R175" s="36">
        <f t="shared" si="15"/>
        <v>0</v>
      </c>
      <c r="S175" s="71"/>
      <c r="T175" s="37">
        <f t="shared" si="16"/>
        <v>0</v>
      </c>
      <c r="U175" s="38">
        <v>1.0</v>
      </c>
      <c r="V175" s="74">
        <v>49.824876515491695</v>
      </c>
      <c r="W175" s="74">
        <v>-57.963013698630135</v>
      </c>
      <c r="X175" s="35">
        <f t="shared" si="20"/>
        <v>0.26</v>
      </c>
      <c r="Y175" s="35">
        <f t="shared" si="17"/>
        <v>0</v>
      </c>
      <c r="Z175" s="40">
        <f t="shared" si="18"/>
        <v>0</v>
      </c>
      <c r="AA175" s="34">
        <f t="shared" si="19"/>
        <v>0</v>
      </c>
      <c r="AB175" s="41">
        <f t="shared" si="12"/>
        <v>0</v>
      </c>
      <c r="AC175" s="42" t="b">
        <v>0</v>
      </c>
      <c r="AD175" s="42" t="s">
        <v>138</v>
      </c>
      <c r="AE175" s="42" t="s">
        <v>138</v>
      </c>
      <c r="AF175" s="42" t="str">
        <f t="array" ref="AF175">INDEX('Deal Info'!D:D, MATCH(A175,'Deal Info'!A:A, 0))</f>
        <v>SF</v>
      </c>
      <c r="AG175" s="43" t="str">
        <f t="array" ref="AG175">INDEX('Deal Info'!G:G, MATCH(A175,'Deal Info'!A:A, 0))</f>
        <v>None</v>
      </c>
    </row>
    <row r="176" hidden="1">
      <c r="A176" s="23" t="str">
        <f t="array" ref="A176">if(G176='Room Info'!$B$1, INDEX('Room Info'!$A$2:$A3446, MATCH(B176,'Room Info'!$B$2:$B3446, 0)),if(G176='Room Info'!$C$1, INDEX('Room Info'!$A$2:$A3446, MATCH(B176,'Room Info'!$C$2:$C3446, 0)),if(G176='Room Info'!$D$1, INDEX('Room Info'!$A$2:$A3446, MATCH(B176,'Room Info'!$D$2:$D3446, 0)),if(G176='Room Info'!$E$1, INDEX('Room Info'!$A$2:$A3446, MATCH(B176,'Room Info'!$E$2:$E3446, 0)),if(G176='Room Info'!$F$1, INDEX('Room Info'!$A$2:$A3446, MATCH(B176,'Room Info'!$F$2:$F3446, 0)),if(G176='Room Info'!$H$1, INDEX('Room Info'!$A$2:$A3446, MATCH(B176,'Room Info'!$H$2:$H3446, 0)),if(G176='Room Info'!$G$1, INDEX('Room Info'!$A$2:$A3446, MATCH(B176,'Room Info'!$G$2:$G3446, 0)))))))))</f>
        <v>bbaltqq</v>
      </c>
      <c r="B176" s="59" t="s">
        <v>149</v>
      </c>
      <c r="C176" s="72">
        <v>44916.0</v>
      </c>
      <c r="D176" s="72">
        <v>44946.0</v>
      </c>
      <c r="E176" s="52">
        <v>44927.0</v>
      </c>
      <c r="F176" s="50" t="s">
        <v>12</v>
      </c>
      <c r="G176" s="59" t="s">
        <v>5</v>
      </c>
      <c r="H176" s="54" t="s">
        <v>62</v>
      </c>
      <c r="I176" s="54" t="s">
        <v>7</v>
      </c>
      <c r="J176" s="55">
        <v>25.0</v>
      </c>
      <c r="K176" s="56">
        <v>12.0</v>
      </c>
      <c r="L176" s="57">
        <v>-175.0</v>
      </c>
      <c r="M176" s="58">
        <v>4.0</v>
      </c>
      <c r="N176" s="33">
        <f t="shared" si="13"/>
        <v>300</v>
      </c>
      <c r="O176" s="70"/>
      <c r="P176" s="34">
        <f t="shared" si="14"/>
        <v>0</v>
      </c>
      <c r="Q176" s="60"/>
      <c r="R176" s="36">
        <f t="shared" si="15"/>
        <v>4</v>
      </c>
      <c r="S176" s="71"/>
      <c r="T176" s="37">
        <f t="shared" si="16"/>
        <v>-171</v>
      </c>
      <c r="U176" s="38">
        <v>1.0</v>
      </c>
      <c r="V176" s="74">
        <v>49.824876515491695</v>
      </c>
      <c r="W176" s="74">
        <v>-57.963013698630135</v>
      </c>
      <c r="X176" s="35">
        <f t="shared" si="20"/>
        <v>0.26</v>
      </c>
      <c r="Y176" s="35">
        <f t="shared" si="17"/>
        <v>0</v>
      </c>
      <c r="Z176" s="40">
        <f t="shared" si="18"/>
        <v>-126.54</v>
      </c>
      <c r="AA176" s="34">
        <f t="shared" si="19"/>
        <v>-44.46</v>
      </c>
      <c r="AB176" s="41">
        <f t="shared" si="12"/>
        <v>0</v>
      </c>
      <c r="AC176" s="42" t="b">
        <v>0</v>
      </c>
      <c r="AD176" s="42" t="s">
        <v>138</v>
      </c>
      <c r="AE176" s="42" t="s">
        <v>138</v>
      </c>
      <c r="AF176" s="42" t="str">
        <f t="array" ref="AF176">INDEX('Deal Info'!D:D, MATCH(A176,'Deal Info'!A:A, 0))</f>
        <v>SF</v>
      </c>
      <c r="AG176" s="43" t="str">
        <f t="array" ref="AG176">INDEX('Deal Info'!G:G, MATCH(A176,'Deal Info'!A:A, 0))</f>
        <v>None</v>
      </c>
    </row>
    <row r="177" hidden="1">
      <c r="A177" s="23" t="str">
        <f t="array" ref="A177">if(G177='Room Info'!$B$1, INDEX('Room Info'!$A$2:$A3446, MATCH(B177,'Room Info'!$B$2:$B3446, 0)),if(G177='Room Info'!$C$1, INDEX('Room Info'!$A$2:$A3446, MATCH(B177,'Room Info'!$C$2:$C3446, 0)),if(G177='Room Info'!$D$1, INDEX('Room Info'!$A$2:$A3446, MATCH(B177,'Room Info'!$D$2:$D3446, 0)),if(G177='Room Info'!$E$1, INDEX('Room Info'!$A$2:$A3446, MATCH(B177,'Room Info'!$E$2:$E3446, 0)),if(G177='Room Info'!$F$1, INDEX('Room Info'!$A$2:$A3446, MATCH(B177,'Room Info'!$F$2:$F3446, 0)),if(G177='Room Info'!$H$1, INDEX('Room Info'!$A$2:$A3446, MATCH(B177,'Room Info'!$H$2:$H3446, 0)),if(G177='Room Info'!$G$1, INDEX('Room Info'!$A$2:$A3446, MATCH(B177,'Room Info'!$G$2:$G3446, 0)))))))))</f>
        <v>Fedorovi4</v>
      </c>
      <c r="B177" s="59" t="s">
        <v>150</v>
      </c>
      <c r="C177" s="51">
        <v>44368.0</v>
      </c>
      <c r="D177" s="51">
        <v>44397.0</v>
      </c>
      <c r="E177" s="52">
        <v>44378.0</v>
      </c>
      <c r="F177" s="50" t="s">
        <v>4</v>
      </c>
      <c r="G177" s="59" t="s">
        <v>9</v>
      </c>
      <c r="H177" s="54" t="s">
        <v>55</v>
      </c>
      <c r="I177" s="54" t="s">
        <v>7</v>
      </c>
      <c r="J177" s="55">
        <v>10.0</v>
      </c>
      <c r="K177" s="56">
        <v>1033.0</v>
      </c>
      <c r="L177" s="57">
        <v>-554.0</v>
      </c>
      <c r="M177" s="58">
        <v>100.0</v>
      </c>
      <c r="N177" s="33">
        <f t="shared" si="13"/>
        <v>10330</v>
      </c>
      <c r="O177" s="59">
        <v>22907.0</v>
      </c>
      <c r="P177" s="34">
        <f t="shared" si="14"/>
        <v>22.17521781</v>
      </c>
      <c r="Q177" s="60"/>
      <c r="R177" s="36">
        <f t="shared" si="15"/>
        <v>100</v>
      </c>
      <c r="S177" s="61">
        <v>-494.0</v>
      </c>
      <c r="T177" s="37">
        <f t="shared" si="16"/>
        <v>-394</v>
      </c>
      <c r="U177" s="38">
        <v>1.0</v>
      </c>
      <c r="V177" s="74">
        <v>10.0</v>
      </c>
      <c r="W177" s="63">
        <v>13.0</v>
      </c>
      <c r="X177" s="35">
        <f t="shared" si="20"/>
        <v>0.3</v>
      </c>
      <c r="Y177" s="35">
        <f t="shared" si="17"/>
        <v>0</v>
      </c>
      <c r="Z177" s="40">
        <f t="shared" si="18"/>
        <v>-275.8</v>
      </c>
      <c r="AA177" s="34">
        <f t="shared" si="19"/>
        <v>-118.2</v>
      </c>
      <c r="AB177" s="41">
        <f t="shared" si="12"/>
        <v>0</v>
      </c>
      <c r="AC177" s="42" t="b">
        <v>1</v>
      </c>
      <c r="AD177" s="42" t="s">
        <v>138</v>
      </c>
      <c r="AE177" s="42" t="s">
        <v>138</v>
      </c>
      <c r="AF177" s="42" t="str">
        <f t="array" ref="AF177">INDEX('Deal Info'!D:D, MATCH(A177,'Deal Info'!A:A, 0))</f>
        <v>SF</v>
      </c>
      <c r="AG177" s="43" t="str">
        <f t="array" ref="AG177">INDEX('Deal Info'!G:G, MATCH(A177,'Deal Info'!A:A, 0))</f>
        <v>None</v>
      </c>
    </row>
    <row r="178" hidden="1">
      <c r="A178" s="23" t="str">
        <f t="array" ref="A178">if(G178='Room Info'!$B$1, INDEX('Room Info'!$A$2:$A3446, MATCH(B178,'Room Info'!$B$2:$B3446, 0)),if(G178='Room Info'!$C$1, INDEX('Room Info'!$A$2:$A3446, MATCH(B178,'Room Info'!$C$2:$C3446, 0)),if(G178='Room Info'!$D$1, INDEX('Room Info'!$A$2:$A3446, MATCH(B178,'Room Info'!$D$2:$D3446, 0)),if(G178='Room Info'!$E$1, INDEX('Room Info'!$A$2:$A3446, MATCH(B178,'Room Info'!$E$2:$E3446, 0)),if(G178='Room Info'!$F$1, INDEX('Room Info'!$A$2:$A3446, MATCH(B178,'Room Info'!$F$2:$F3446, 0)),if(G178='Room Info'!$H$1, INDEX('Room Info'!$A$2:$A3446, MATCH(B178,'Room Info'!$H$2:$H3446, 0)),if(G178='Room Info'!$G$1, INDEX('Room Info'!$A$2:$A3446, MATCH(B178,'Room Info'!$G$2:$G3446, 0)))))))))</f>
        <v>Fedorovi4</v>
      </c>
      <c r="B178" s="59" t="s">
        <v>150</v>
      </c>
      <c r="C178" s="51">
        <v>44368.0</v>
      </c>
      <c r="D178" s="51">
        <v>44397.0</v>
      </c>
      <c r="E178" s="52">
        <v>44378.0</v>
      </c>
      <c r="F178" s="50" t="s">
        <v>12</v>
      </c>
      <c r="G178" s="59" t="s">
        <v>9</v>
      </c>
      <c r="H178" s="54" t="s">
        <v>57</v>
      </c>
      <c r="I178" s="54" t="s">
        <v>24</v>
      </c>
      <c r="J178" s="55">
        <v>10.0</v>
      </c>
      <c r="K178" s="56">
        <v>4.0</v>
      </c>
      <c r="L178" s="57">
        <v>0.0</v>
      </c>
      <c r="M178" s="58">
        <v>0.0</v>
      </c>
      <c r="N178" s="33">
        <f t="shared" si="13"/>
        <v>40</v>
      </c>
      <c r="O178" s="59">
        <v>-178.0</v>
      </c>
      <c r="P178" s="34">
        <f t="shared" si="14"/>
        <v>-44.5</v>
      </c>
      <c r="Q178" s="60"/>
      <c r="R178" s="36">
        <f t="shared" si="15"/>
        <v>0</v>
      </c>
      <c r="S178" s="61"/>
      <c r="T178" s="37">
        <f t="shared" si="16"/>
        <v>0</v>
      </c>
      <c r="U178" s="38">
        <v>1.0</v>
      </c>
      <c r="V178" s="74">
        <v>10.0</v>
      </c>
      <c r="W178" s="63">
        <v>13.0</v>
      </c>
      <c r="X178" s="35">
        <f t="shared" si="20"/>
        <v>0.3</v>
      </c>
      <c r="Y178" s="35">
        <f t="shared" si="17"/>
        <v>0</v>
      </c>
      <c r="Z178" s="40">
        <f t="shared" si="18"/>
        <v>0</v>
      </c>
      <c r="AA178" s="34">
        <f t="shared" si="19"/>
        <v>0</v>
      </c>
      <c r="AB178" s="41">
        <f t="shared" si="12"/>
        <v>0</v>
      </c>
      <c r="AC178" s="42" t="b">
        <v>1</v>
      </c>
      <c r="AD178" s="42" t="s">
        <v>138</v>
      </c>
      <c r="AE178" s="42" t="s">
        <v>138</v>
      </c>
      <c r="AF178" s="42" t="str">
        <f t="array" ref="AF178">INDEX('Deal Info'!D:D, MATCH(A178,'Deal Info'!A:A, 0))</f>
        <v>SF</v>
      </c>
      <c r="AG178" s="43" t="str">
        <f t="array" ref="AG178">INDEX('Deal Info'!G:G, MATCH(A178,'Deal Info'!A:A, 0))</f>
        <v>None</v>
      </c>
    </row>
    <row r="179" hidden="1">
      <c r="A179" s="23" t="str">
        <f t="array" ref="A179">if(G179='Room Info'!$B$1, INDEX('Room Info'!$A$2:$A3446, MATCH(B179,'Room Info'!$B$2:$B3446, 0)),if(G179='Room Info'!$C$1, INDEX('Room Info'!$A$2:$A3446, MATCH(B179,'Room Info'!$C$2:$C3446, 0)),if(G179='Room Info'!$D$1, INDEX('Room Info'!$A$2:$A3446, MATCH(B179,'Room Info'!$D$2:$D3446, 0)),if(G179='Room Info'!$E$1, INDEX('Room Info'!$A$2:$A3446, MATCH(B179,'Room Info'!$E$2:$E3446, 0)),if(G179='Room Info'!$F$1, INDEX('Room Info'!$A$2:$A3446, MATCH(B179,'Room Info'!$F$2:$F3446, 0)),if(G179='Room Info'!$H$1, INDEX('Room Info'!$A$2:$A3446, MATCH(B179,'Room Info'!$H$2:$H3446, 0)),if(G179='Room Info'!$G$1, INDEX('Room Info'!$A$2:$A3446, MATCH(B179,'Room Info'!$G$2:$G3446, 0)))))))))</f>
        <v>Fedorovi4</v>
      </c>
      <c r="B179" s="59" t="s">
        <v>150</v>
      </c>
      <c r="C179" s="51">
        <v>44398.0</v>
      </c>
      <c r="D179" s="51">
        <v>44428.0</v>
      </c>
      <c r="E179" s="52">
        <v>44409.0</v>
      </c>
      <c r="F179" s="50" t="s">
        <v>4</v>
      </c>
      <c r="G179" s="59" t="s">
        <v>9</v>
      </c>
      <c r="H179" s="54" t="s">
        <v>55</v>
      </c>
      <c r="I179" s="54" t="s">
        <v>7</v>
      </c>
      <c r="J179" s="55">
        <v>10.0</v>
      </c>
      <c r="K179" s="56">
        <v>1286.0</v>
      </c>
      <c r="L179" s="57">
        <v>702.0</v>
      </c>
      <c r="M179" s="58">
        <v>255.0</v>
      </c>
      <c r="N179" s="33">
        <f t="shared" si="13"/>
        <v>12860</v>
      </c>
      <c r="O179" s="59">
        <v>85613.0</v>
      </c>
      <c r="P179" s="34">
        <f t="shared" si="14"/>
        <v>66.57309487</v>
      </c>
      <c r="Q179" s="60"/>
      <c r="R179" s="36">
        <f t="shared" si="15"/>
        <v>255</v>
      </c>
      <c r="S179" s="61">
        <v>399.0</v>
      </c>
      <c r="T179" s="37">
        <f t="shared" si="16"/>
        <v>654</v>
      </c>
      <c r="U179" s="38">
        <v>1.0</v>
      </c>
      <c r="V179" s="74">
        <v>10.0</v>
      </c>
      <c r="W179" s="63">
        <v>13.0</v>
      </c>
      <c r="X179" s="35">
        <f t="shared" si="20"/>
        <v>0.3</v>
      </c>
      <c r="Y179" s="35">
        <f t="shared" si="17"/>
        <v>0</v>
      </c>
      <c r="Z179" s="40">
        <f t="shared" si="18"/>
        <v>457.8</v>
      </c>
      <c r="AA179" s="34">
        <f t="shared" si="19"/>
        <v>196.2</v>
      </c>
      <c r="AB179" s="41">
        <f t="shared" si="12"/>
        <v>0</v>
      </c>
      <c r="AC179" s="42" t="b">
        <v>1</v>
      </c>
      <c r="AD179" s="42" t="s">
        <v>138</v>
      </c>
      <c r="AE179" s="42" t="s">
        <v>138</v>
      </c>
      <c r="AF179" s="42" t="str">
        <f t="array" ref="AF179">INDEX('Deal Info'!D:D, MATCH(A179,'Deal Info'!A:A, 0))</f>
        <v>SF</v>
      </c>
      <c r="AG179" s="43" t="str">
        <f t="array" ref="AG179">INDEX('Deal Info'!G:G, MATCH(A179,'Deal Info'!A:A, 0))</f>
        <v>None</v>
      </c>
    </row>
    <row r="180" hidden="1">
      <c r="A180" s="23" t="str">
        <f t="array" ref="A180">if(G180='Room Info'!$B$1, INDEX('Room Info'!$A$2:$A3446, MATCH(B180,'Room Info'!$B$2:$B3446, 0)),if(G180='Room Info'!$C$1, INDEX('Room Info'!$A$2:$A3446, MATCH(B180,'Room Info'!$C$2:$C3446, 0)),if(G180='Room Info'!$D$1, INDEX('Room Info'!$A$2:$A3446, MATCH(B180,'Room Info'!$D$2:$D3446, 0)),if(G180='Room Info'!$E$1, INDEX('Room Info'!$A$2:$A3446, MATCH(B180,'Room Info'!$E$2:$E3446, 0)),if(G180='Room Info'!$F$1, INDEX('Room Info'!$A$2:$A3446, MATCH(B180,'Room Info'!$F$2:$F3446, 0)),if(G180='Room Info'!$H$1, INDEX('Room Info'!$A$2:$A3446, MATCH(B180,'Room Info'!$H$2:$H3446, 0)),if(G180='Room Info'!$G$1, INDEX('Room Info'!$A$2:$A3446, MATCH(B180,'Room Info'!$G$2:$G3446, 0)))))))))</f>
        <v>Fedorovi4</v>
      </c>
      <c r="B180" s="59" t="s">
        <v>150</v>
      </c>
      <c r="C180" s="51">
        <v>44429.0</v>
      </c>
      <c r="D180" s="51">
        <v>44459.0</v>
      </c>
      <c r="E180" s="52">
        <v>44440.0</v>
      </c>
      <c r="F180" s="50" t="s">
        <v>4</v>
      </c>
      <c r="G180" s="59" t="s">
        <v>9</v>
      </c>
      <c r="H180" s="54" t="s">
        <v>68</v>
      </c>
      <c r="I180" s="54" t="s">
        <v>7</v>
      </c>
      <c r="J180" s="55">
        <v>25.0</v>
      </c>
      <c r="K180" s="56">
        <v>371.0</v>
      </c>
      <c r="L180" s="57">
        <v>968.0</v>
      </c>
      <c r="M180" s="58">
        <v>15.0</v>
      </c>
      <c r="N180" s="33">
        <f t="shared" si="13"/>
        <v>9275</v>
      </c>
      <c r="O180" s="59">
        <v>28562.0</v>
      </c>
      <c r="P180" s="34">
        <f t="shared" si="14"/>
        <v>76.98652291</v>
      </c>
      <c r="Q180" s="60"/>
      <c r="R180" s="36">
        <f t="shared" si="15"/>
        <v>15</v>
      </c>
      <c r="S180" s="61">
        <v>470.0</v>
      </c>
      <c r="T180" s="37">
        <f t="shared" si="16"/>
        <v>485</v>
      </c>
      <c r="U180" s="38">
        <v>1.0</v>
      </c>
      <c r="V180" s="74">
        <v>25.0</v>
      </c>
      <c r="W180" s="74">
        <v>19.4</v>
      </c>
      <c r="X180" s="35">
        <f t="shared" si="20"/>
        <v>0.3</v>
      </c>
      <c r="Y180" s="35">
        <f t="shared" si="17"/>
        <v>0</v>
      </c>
      <c r="Z180" s="40">
        <f t="shared" si="18"/>
        <v>339.5</v>
      </c>
      <c r="AA180" s="34">
        <f t="shared" si="19"/>
        <v>145.5</v>
      </c>
      <c r="AB180" s="41">
        <f t="shared" si="12"/>
        <v>0</v>
      </c>
      <c r="AC180" s="42" t="b">
        <v>1</v>
      </c>
      <c r="AD180" s="42" t="s">
        <v>138</v>
      </c>
      <c r="AE180" s="42" t="s">
        <v>138</v>
      </c>
      <c r="AF180" s="42" t="str">
        <f t="array" ref="AF180">INDEX('Deal Info'!D:D, MATCH(A180,'Deal Info'!A:A, 0))</f>
        <v>SF</v>
      </c>
      <c r="AG180" s="43" t="str">
        <f t="array" ref="AG180">INDEX('Deal Info'!G:G, MATCH(A180,'Deal Info'!A:A, 0))</f>
        <v>None</v>
      </c>
    </row>
    <row r="181" hidden="1">
      <c r="A181" s="23" t="str">
        <f t="array" ref="A181">if(G181='Room Info'!$B$1, INDEX('Room Info'!$A$2:$A3446, MATCH(B181,'Room Info'!$B$2:$B3446, 0)),if(G181='Room Info'!$C$1, INDEX('Room Info'!$A$2:$A3446, MATCH(B181,'Room Info'!$C$2:$C3446, 0)),if(G181='Room Info'!$D$1, INDEX('Room Info'!$A$2:$A3446, MATCH(B181,'Room Info'!$D$2:$D3446, 0)),if(G181='Room Info'!$E$1, INDEX('Room Info'!$A$2:$A3446, MATCH(B181,'Room Info'!$E$2:$E3446, 0)),if(G181='Room Info'!$F$1, INDEX('Room Info'!$A$2:$A3446, MATCH(B181,'Room Info'!$F$2:$F3446, 0)),if(G181='Room Info'!$H$1, INDEX('Room Info'!$A$2:$A3446, MATCH(B181,'Room Info'!$H$2:$H3446, 0)),if(G181='Room Info'!$G$1, INDEX('Room Info'!$A$2:$A3446, MATCH(B181,'Room Info'!$G$2:$G3446, 0)))))))))</f>
        <v>Fedorovi4</v>
      </c>
      <c r="B181" s="50" t="s">
        <v>150</v>
      </c>
      <c r="C181" s="51">
        <v>44460.0</v>
      </c>
      <c r="D181" s="51">
        <v>44489.0</v>
      </c>
      <c r="E181" s="52">
        <v>44470.0</v>
      </c>
      <c r="F181" s="50" t="s">
        <v>4</v>
      </c>
      <c r="G181" s="59" t="s">
        <v>9</v>
      </c>
      <c r="H181" s="54" t="s">
        <v>67</v>
      </c>
      <c r="I181" s="54" t="s">
        <v>7</v>
      </c>
      <c r="J181" s="55">
        <v>25.0</v>
      </c>
      <c r="K181" s="56">
        <v>313.0</v>
      </c>
      <c r="L181" s="57">
        <v>-758.0</v>
      </c>
      <c r="M181" s="58">
        <v>222.0</v>
      </c>
      <c r="N181" s="33">
        <f t="shared" si="13"/>
        <v>7825</v>
      </c>
      <c r="O181" s="59">
        <v>10414.0</v>
      </c>
      <c r="P181" s="34">
        <f t="shared" si="14"/>
        <v>33.2715655</v>
      </c>
      <c r="Q181" s="60"/>
      <c r="R181" s="36">
        <f t="shared" si="15"/>
        <v>222</v>
      </c>
      <c r="S181" s="61">
        <v>-300.0</v>
      </c>
      <c r="T181" s="37">
        <f t="shared" si="16"/>
        <v>-78</v>
      </c>
      <c r="U181" s="38">
        <v>1.0</v>
      </c>
      <c r="V181" s="74">
        <v>25.0</v>
      </c>
      <c r="W181" s="74">
        <v>3.8</v>
      </c>
      <c r="X181" s="35">
        <f t="shared" si="20"/>
        <v>0.3</v>
      </c>
      <c r="Y181" s="35">
        <f t="shared" si="17"/>
        <v>0</v>
      </c>
      <c r="Z181" s="40">
        <f t="shared" si="18"/>
        <v>-54.6</v>
      </c>
      <c r="AA181" s="34">
        <f t="shared" si="19"/>
        <v>-23.4</v>
      </c>
      <c r="AB181" s="41">
        <f t="shared" si="12"/>
        <v>0</v>
      </c>
      <c r="AC181" s="42" t="b">
        <v>1</v>
      </c>
      <c r="AD181" s="42" t="s">
        <v>138</v>
      </c>
      <c r="AE181" s="42" t="s">
        <v>138</v>
      </c>
      <c r="AF181" s="42" t="str">
        <f t="array" ref="AF181">INDEX('Deal Info'!D:D, MATCH(A181,'Deal Info'!A:A, 0))</f>
        <v>SF</v>
      </c>
      <c r="AG181" s="43" t="str">
        <f t="array" ref="AG181">INDEX('Deal Info'!G:G, MATCH(A181,'Deal Info'!A:A, 0))</f>
        <v>None</v>
      </c>
    </row>
    <row r="182" hidden="1">
      <c r="A182" s="23" t="str">
        <f t="array" ref="A182">if(G182='Room Info'!$B$1, INDEX('Room Info'!$A$2:$A3446, MATCH(B182,'Room Info'!$B$2:$B3446, 0)),if(G182='Room Info'!$C$1, INDEX('Room Info'!$A$2:$A3446, MATCH(B182,'Room Info'!$C$2:$C3446, 0)),if(G182='Room Info'!$D$1, INDEX('Room Info'!$A$2:$A3446, MATCH(B182,'Room Info'!$D$2:$D3446, 0)),if(G182='Room Info'!$E$1, INDEX('Room Info'!$A$2:$A3446, MATCH(B182,'Room Info'!$E$2:$E3446, 0)),if(G182='Room Info'!$F$1, INDEX('Room Info'!$A$2:$A3446, MATCH(B182,'Room Info'!$F$2:$F3446, 0)),if(G182='Room Info'!$H$1, INDEX('Room Info'!$A$2:$A3446, MATCH(B182,'Room Info'!$H$2:$H3446, 0)),if(G182='Room Info'!$G$1, INDEX('Room Info'!$A$2:$A3446, MATCH(B182,'Room Info'!$G$2:$G3446, 0)))))))))</f>
        <v>Fedorovi4</v>
      </c>
      <c r="B182" s="50" t="s">
        <v>150</v>
      </c>
      <c r="C182" s="51">
        <v>44460.0</v>
      </c>
      <c r="D182" s="51">
        <v>44489.0</v>
      </c>
      <c r="E182" s="52">
        <v>44470.0</v>
      </c>
      <c r="F182" s="50" t="s">
        <v>4</v>
      </c>
      <c r="G182" s="59" t="s">
        <v>9</v>
      </c>
      <c r="H182" s="54" t="s">
        <v>68</v>
      </c>
      <c r="I182" s="54" t="s">
        <v>7</v>
      </c>
      <c r="J182" s="55">
        <v>25.0</v>
      </c>
      <c r="K182" s="56">
        <v>126.0</v>
      </c>
      <c r="L182" s="57">
        <v>-292.0</v>
      </c>
      <c r="M182" s="58">
        <v>3.0</v>
      </c>
      <c r="N182" s="33">
        <f t="shared" si="13"/>
        <v>3150</v>
      </c>
      <c r="O182" s="59">
        <v>9937.0</v>
      </c>
      <c r="P182" s="34">
        <f t="shared" si="14"/>
        <v>78.86507937</v>
      </c>
      <c r="Q182" s="60"/>
      <c r="R182" s="36">
        <f t="shared" si="15"/>
        <v>3</v>
      </c>
      <c r="S182" s="61">
        <v>170.0</v>
      </c>
      <c r="T182" s="37">
        <f t="shared" si="16"/>
        <v>173</v>
      </c>
      <c r="U182" s="38">
        <v>1.0</v>
      </c>
      <c r="V182" s="74">
        <v>25.0</v>
      </c>
      <c r="W182" s="74">
        <v>3.8</v>
      </c>
      <c r="X182" s="35">
        <f t="shared" si="20"/>
        <v>0.3</v>
      </c>
      <c r="Y182" s="35">
        <f t="shared" si="17"/>
        <v>0</v>
      </c>
      <c r="Z182" s="40">
        <f t="shared" si="18"/>
        <v>121.1</v>
      </c>
      <c r="AA182" s="34">
        <f t="shared" si="19"/>
        <v>51.9</v>
      </c>
      <c r="AB182" s="41">
        <f t="shared" si="12"/>
        <v>0</v>
      </c>
      <c r="AC182" s="42" t="b">
        <v>1</v>
      </c>
      <c r="AD182" s="42" t="s">
        <v>138</v>
      </c>
      <c r="AE182" s="42" t="s">
        <v>138</v>
      </c>
      <c r="AF182" s="42" t="str">
        <f t="array" ref="AF182">INDEX('Deal Info'!D:D, MATCH(A182,'Deal Info'!A:A, 0))</f>
        <v>SF</v>
      </c>
      <c r="AG182" s="43" t="str">
        <f t="array" ref="AG182">INDEX('Deal Info'!G:G, MATCH(A182,'Deal Info'!A:A, 0))</f>
        <v>None</v>
      </c>
    </row>
    <row r="183" hidden="1">
      <c r="A183" s="23" t="str">
        <f t="array" ref="A183">if(G183='Room Info'!$B$1, INDEX('Room Info'!$A$2:$A3446, MATCH(B183,'Room Info'!$B$2:$B3446, 0)),if(G183='Room Info'!$C$1, INDEX('Room Info'!$A$2:$A3446, MATCH(B183,'Room Info'!$C$2:$C3446, 0)),if(G183='Room Info'!$D$1, INDEX('Room Info'!$A$2:$A3446, MATCH(B183,'Room Info'!$D$2:$D3446, 0)),if(G183='Room Info'!$E$1, INDEX('Room Info'!$A$2:$A3446, MATCH(B183,'Room Info'!$E$2:$E3446, 0)),if(G183='Room Info'!$F$1, INDEX('Room Info'!$A$2:$A3446, MATCH(B183,'Room Info'!$F$2:$F3446, 0)),if(G183='Room Info'!$H$1, INDEX('Room Info'!$A$2:$A3446, MATCH(B183,'Room Info'!$H$2:$H3446, 0)),if(G183='Room Info'!$G$1, INDEX('Room Info'!$A$2:$A3446, MATCH(B183,'Room Info'!$G$2:$G3446, 0)))))))))</f>
        <v>Fedorovi4</v>
      </c>
      <c r="B183" s="50" t="s">
        <v>150</v>
      </c>
      <c r="C183" s="51">
        <v>44490.0</v>
      </c>
      <c r="D183" s="51">
        <v>44520.0</v>
      </c>
      <c r="E183" s="52">
        <v>44501.0</v>
      </c>
      <c r="F183" s="50" t="s">
        <v>4</v>
      </c>
      <c r="G183" s="59" t="s">
        <v>9</v>
      </c>
      <c r="H183" s="54" t="s">
        <v>66</v>
      </c>
      <c r="I183" s="54" t="s">
        <v>7</v>
      </c>
      <c r="J183" s="55">
        <v>25.0</v>
      </c>
      <c r="K183" s="56">
        <v>1769.0</v>
      </c>
      <c r="L183" s="57">
        <v>2284.0</v>
      </c>
      <c r="M183" s="58">
        <v>375.0</v>
      </c>
      <c r="N183" s="33">
        <f t="shared" si="13"/>
        <v>44225</v>
      </c>
      <c r="O183" s="59">
        <v>105324.0</v>
      </c>
      <c r="P183" s="34">
        <f t="shared" si="14"/>
        <v>59.53872244</v>
      </c>
      <c r="Q183" s="60"/>
      <c r="R183" s="36">
        <f t="shared" si="15"/>
        <v>375</v>
      </c>
      <c r="S183" s="61">
        <v>892.0</v>
      </c>
      <c r="T183" s="37">
        <f t="shared" si="16"/>
        <v>1267</v>
      </c>
      <c r="U183" s="38">
        <v>1.0</v>
      </c>
      <c r="V183" s="74">
        <v>25.0</v>
      </c>
      <c r="W183" s="74">
        <v>50.68</v>
      </c>
      <c r="X183" s="35">
        <f t="shared" si="20"/>
        <v>0.3</v>
      </c>
      <c r="Y183" s="35">
        <f t="shared" si="17"/>
        <v>0</v>
      </c>
      <c r="Z183" s="40">
        <f t="shared" si="18"/>
        <v>886.9</v>
      </c>
      <c r="AA183" s="34">
        <f t="shared" si="19"/>
        <v>380.1</v>
      </c>
      <c r="AB183" s="41">
        <f t="shared" si="12"/>
        <v>0</v>
      </c>
      <c r="AC183" s="42" t="b">
        <v>1</v>
      </c>
      <c r="AD183" s="42" t="s">
        <v>138</v>
      </c>
      <c r="AE183" s="42" t="s">
        <v>138</v>
      </c>
      <c r="AF183" s="42" t="str">
        <f t="array" ref="AF183">INDEX('Deal Info'!D:D, MATCH(A183,'Deal Info'!A:A, 0))</f>
        <v>SF</v>
      </c>
      <c r="AG183" s="43" t="str">
        <f t="array" ref="AG183">INDEX('Deal Info'!G:G, MATCH(A183,'Deal Info'!A:A, 0))</f>
        <v>None</v>
      </c>
    </row>
    <row r="184" hidden="1">
      <c r="A184" s="23" t="str">
        <f t="array" ref="A184">if(G184='Room Info'!$B$1, INDEX('Room Info'!$A$2:$A3446, MATCH(B184,'Room Info'!$B$2:$B3446, 0)),if(G184='Room Info'!$C$1, INDEX('Room Info'!$A$2:$A3446, MATCH(B184,'Room Info'!$C$2:$C3446, 0)),if(G184='Room Info'!$D$1, INDEX('Room Info'!$A$2:$A3446, MATCH(B184,'Room Info'!$D$2:$D3446, 0)),if(G184='Room Info'!$E$1, INDEX('Room Info'!$A$2:$A3446, MATCH(B184,'Room Info'!$E$2:$E3446, 0)),if(G184='Room Info'!$F$1, INDEX('Room Info'!$A$2:$A3446, MATCH(B184,'Room Info'!$F$2:$F3446, 0)),if(G184='Room Info'!$H$1, INDEX('Room Info'!$A$2:$A3446, MATCH(B184,'Room Info'!$H$2:$H3446, 0)),if(G184='Room Info'!$G$1, INDEX('Room Info'!$A$2:$A3446, MATCH(B184,'Room Info'!$G$2:$G3446, 0)))))))))</f>
        <v>Fedorovi4</v>
      </c>
      <c r="B184" s="59" t="s">
        <v>150</v>
      </c>
      <c r="C184" s="51">
        <v>44521.0</v>
      </c>
      <c r="D184" s="51">
        <v>44550.0</v>
      </c>
      <c r="E184" s="52">
        <v>44531.0</v>
      </c>
      <c r="F184" s="50" t="s">
        <v>4</v>
      </c>
      <c r="G184" s="59" t="s">
        <v>9</v>
      </c>
      <c r="H184" s="54" t="s">
        <v>66</v>
      </c>
      <c r="I184" s="54" t="s">
        <v>7</v>
      </c>
      <c r="J184" s="55">
        <v>25.0</v>
      </c>
      <c r="K184" s="56">
        <v>483.0</v>
      </c>
      <c r="L184" s="57">
        <v>226.0</v>
      </c>
      <c r="M184" s="58">
        <v>565.0</v>
      </c>
      <c r="N184" s="33">
        <f t="shared" si="13"/>
        <v>12075</v>
      </c>
      <c r="O184" s="59">
        <v>23119.0</v>
      </c>
      <c r="P184" s="34">
        <f t="shared" si="14"/>
        <v>47.86542443</v>
      </c>
      <c r="Q184" s="60"/>
      <c r="R184" s="36">
        <f t="shared" si="15"/>
        <v>565</v>
      </c>
      <c r="S184" s="61">
        <v>48.0</v>
      </c>
      <c r="T184" s="37">
        <f t="shared" si="16"/>
        <v>613</v>
      </c>
      <c r="U184" s="38">
        <v>1.0</v>
      </c>
      <c r="V184" s="74">
        <v>25.0</v>
      </c>
      <c r="W184" s="74">
        <v>24.52</v>
      </c>
      <c r="X184" s="35">
        <f t="shared" si="20"/>
        <v>0.3</v>
      </c>
      <c r="Y184" s="35">
        <f t="shared" si="17"/>
        <v>0</v>
      </c>
      <c r="Z184" s="40">
        <f t="shared" si="18"/>
        <v>429.1</v>
      </c>
      <c r="AA184" s="34">
        <f t="shared" si="19"/>
        <v>183.9</v>
      </c>
      <c r="AB184" s="41">
        <f t="shared" si="12"/>
        <v>0</v>
      </c>
      <c r="AC184" s="42" t="b">
        <v>1</v>
      </c>
      <c r="AD184" s="42" t="s">
        <v>138</v>
      </c>
      <c r="AE184" s="42" t="s">
        <v>138</v>
      </c>
      <c r="AF184" s="42" t="str">
        <f t="array" ref="AF184">INDEX('Deal Info'!D:D, MATCH(A184,'Deal Info'!A:A, 0))</f>
        <v>SF</v>
      </c>
      <c r="AG184" s="43" t="str">
        <f t="array" ref="AG184">INDEX('Deal Info'!G:G, MATCH(A184,'Deal Info'!A:A, 0))</f>
        <v>None</v>
      </c>
    </row>
    <row r="185" hidden="1">
      <c r="A185" s="23" t="str">
        <f t="array" ref="A185">if(G185='Room Info'!$B$1, INDEX('Room Info'!$A$2:$A3446, MATCH(B185,'Room Info'!$B$2:$B3446, 0)),if(G185='Room Info'!$C$1, INDEX('Room Info'!$A$2:$A3446, MATCH(B185,'Room Info'!$C$2:$C3446, 0)),if(G185='Room Info'!$D$1, INDEX('Room Info'!$A$2:$A3446, MATCH(B185,'Room Info'!$D$2:$D3446, 0)),if(G185='Room Info'!$E$1, INDEX('Room Info'!$A$2:$A3446, MATCH(B185,'Room Info'!$E$2:$E3446, 0)),if(G185='Room Info'!$F$1, INDEX('Room Info'!$A$2:$A3446, MATCH(B185,'Room Info'!$F$2:$F3446, 0)),if(G185='Room Info'!$H$1, INDEX('Room Info'!$A$2:$A3446, MATCH(B185,'Room Info'!$H$2:$H3446, 0)),if(G185='Room Info'!$G$1, INDEX('Room Info'!$A$2:$A3446, MATCH(B185,'Room Info'!$G$2:$G3446, 0)))))))))</f>
        <v>fortunate773</v>
      </c>
      <c r="B185" s="50" t="s">
        <v>151</v>
      </c>
      <c r="C185" s="51">
        <v>44835.0</v>
      </c>
      <c r="D185" s="51">
        <v>44865.0</v>
      </c>
      <c r="E185" s="52">
        <v>44835.0</v>
      </c>
      <c r="F185" s="53" t="s">
        <v>8</v>
      </c>
      <c r="G185" s="50" t="s">
        <v>9</v>
      </c>
      <c r="H185" s="54" t="s">
        <v>105</v>
      </c>
      <c r="I185" s="54" t="s">
        <v>24</v>
      </c>
      <c r="J185" s="75">
        <v>500.0</v>
      </c>
      <c r="K185" s="76">
        <v>1.0</v>
      </c>
      <c r="L185" s="57">
        <v>1500.0</v>
      </c>
      <c r="M185" s="58">
        <v>0.0</v>
      </c>
      <c r="N185" s="33">
        <f t="shared" si="13"/>
        <v>500</v>
      </c>
      <c r="O185" s="59">
        <v>256.0</v>
      </c>
      <c r="P185" s="34">
        <f t="shared" si="14"/>
        <v>256</v>
      </c>
      <c r="Q185" s="60"/>
      <c r="R185" s="36">
        <f t="shared" si="15"/>
        <v>0</v>
      </c>
      <c r="S185" s="61">
        <v>348.0</v>
      </c>
      <c r="T185" s="37">
        <f t="shared" si="16"/>
        <v>348</v>
      </c>
      <c r="U185" s="62">
        <v>1.0</v>
      </c>
      <c r="V185" s="63"/>
      <c r="W185" s="63"/>
      <c r="X185" s="35">
        <f t="shared" si="20"/>
        <v>0.15</v>
      </c>
      <c r="Y185" s="35">
        <f t="shared" si="17"/>
        <v>0.05</v>
      </c>
      <c r="Z185" s="64">
        <v>278.0</v>
      </c>
      <c r="AA185" s="65">
        <v>70.0</v>
      </c>
      <c r="AB185" s="41"/>
      <c r="AC185" s="42" t="b">
        <v>0</v>
      </c>
      <c r="AD185" s="66" t="s">
        <v>140</v>
      </c>
      <c r="AE185" s="66"/>
      <c r="AF185" s="42" t="str">
        <f t="array" ref="AF185">INDEX('Deal Info'!D:D, MATCH(A185,'Deal Info'!A:A, 0))</f>
        <v>Fix15</v>
      </c>
      <c r="AG185" s="43" t="str">
        <f t="array" ref="AG185">INDEX('Deal Info'!G:G, MATCH(A185,'Deal Info'!A:A, 0))</f>
        <v>Fix5</v>
      </c>
    </row>
    <row r="186" hidden="1">
      <c r="A186" s="23" t="str">
        <f t="array" ref="A186">if(G186='Room Info'!$B$1, INDEX('Room Info'!$A$2:$A3446, MATCH(B186,'Room Info'!$B$2:$B3446, 0)),if(G186='Room Info'!$C$1, INDEX('Room Info'!$A$2:$A3446, MATCH(B186,'Room Info'!$C$2:$C3446, 0)),if(G186='Room Info'!$D$1, INDEX('Room Info'!$A$2:$A3446, MATCH(B186,'Room Info'!$D$2:$D3446, 0)),if(G186='Room Info'!$E$1, INDEX('Room Info'!$A$2:$A3446, MATCH(B186,'Room Info'!$E$2:$E3446, 0)),if(G186='Room Info'!$F$1, INDEX('Room Info'!$A$2:$A3446, MATCH(B186,'Room Info'!$F$2:$F3446, 0)),if(G186='Room Info'!$H$1, INDEX('Room Info'!$A$2:$A3446, MATCH(B186,'Room Info'!$H$2:$H3446, 0)),if(G186='Room Info'!$G$1, INDEX('Room Info'!$A$2:$A3446, MATCH(B186,'Room Info'!$G$2:$G3446, 0)))))))))</f>
        <v>fortunate773</v>
      </c>
      <c r="B186" s="50" t="s">
        <v>151</v>
      </c>
      <c r="C186" s="51">
        <v>44916.0</v>
      </c>
      <c r="D186" s="51">
        <v>44957.0</v>
      </c>
      <c r="E186" s="52">
        <v>44927.0</v>
      </c>
      <c r="F186" s="53" t="s">
        <v>8</v>
      </c>
      <c r="G186" s="50" t="s">
        <v>9</v>
      </c>
      <c r="H186" s="54" t="s">
        <v>105</v>
      </c>
      <c r="I186" s="54" t="s">
        <v>24</v>
      </c>
      <c r="J186" s="75">
        <v>500.0</v>
      </c>
      <c r="K186" s="76">
        <v>1.0</v>
      </c>
      <c r="L186" s="77">
        <v>-500.0</v>
      </c>
      <c r="M186" s="58">
        <v>6.0</v>
      </c>
      <c r="N186" s="33">
        <f t="shared" si="13"/>
        <v>500</v>
      </c>
      <c r="O186" s="50">
        <v>-58.0</v>
      </c>
      <c r="P186" s="34">
        <f t="shared" si="14"/>
        <v>-58</v>
      </c>
      <c r="Q186" s="60"/>
      <c r="R186" s="36">
        <f t="shared" si="15"/>
        <v>6</v>
      </c>
      <c r="S186" s="78">
        <v>-127.0</v>
      </c>
      <c r="T186" s="37">
        <f t="shared" si="16"/>
        <v>-121</v>
      </c>
      <c r="U186" s="62">
        <v>1.0</v>
      </c>
      <c r="V186" s="63"/>
      <c r="W186" s="63"/>
      <c r="X186" s="35">
        <f t="shared" si="20"/>
        <v>0.15</v>
      </c>
      <c r="Y186" s="35">
        <f t="shared" si="17"/>
        <v>0.05</v>
      </c>
      <c r="Z186" s="64">
        <v>-97.0</v>
      </c>
      <c r="AA186" s="65">
        <v>-24.0</v>
      </c>
      <c r="AB186" s="41"/>
      <c r="AC186" s="42" t="b">
        <v>0</v>
      </c>
      <c r="AD186" s="66" t="s">
        <v>140</v>
      </c>
      <c r="AE186" s="66"/>
      <c r="AF186" s="42" t="str">
        <f t="array" ref="AF186">INDEX('Deal Info'!D:D, MATCH(A186,'Deal Info'!A:A, 0))</f>
        <v>Fix15</v>
      </c>
      <c r="AG186" s="43" t="str">
        <f t="array" ref="AG186">INDEX('Deal Info'!G:G, MATCH(A186,'Deal Info'!A:A, 0))</f>
        <v>Fix5</v>
      </c>
    </row>
    <row r="187" hidden="1">
      <c r="A187" s="23" t="str">
        <f t="array" ref="A187">if(G187='Room Info'!$B$1, INDEX('Room Info'!$A$2:$A3446, MATCH(B187,'Room Info'!$B$2:$B3446, 0)),if(G187='Room Info'!$C$1, INDEX('Room Info'!$A$2:$A3446, MATCH(B187,'Room Info'!$C$2:$C3446, 0)),if(G187='Room Info'!$D$1, INDEX('Room Info'!$A$2:$A3446, MATCH(B187,'Room Info'!$D$2:$D3446, 0)),if(G187='Room Info'!$E$1, INDEX('Room Info'!$A$2:$A3446, MATCH(B187,'Room Info'!$E$2:$E3446, 0)),if(G187='Room Info'!$F$1, INDEX('Room Info'!$A$2:$A3446, MATCH(B187,'Room Info'!$F$2:$F3446, 0)),if(G187='Room Info'!$H$1, INDEX('Room Info'!$A$2:$A3446, MATCH(B187,'Room Info'!$H$2:$H3446, 0)),if(G187='Room Info'!$G$1, INDEX('Room Info'!$A$2:$A3446, MATCH(B187,'Room Info'!$G$2:$G3446, 0)))))))))</f>
        <v>Fedorovi4</v>
      </c>
      <c r="B187" s="59" t="s">
        <v>152</v>
      </c>
      <c r="C187" s="51">
        <v>44641.0</v>
      </c>
      <c r="D187" s="51">
        <v>44671.0</v>
      </c>
      <c r="E187" s="52">
        <v>44652.0</v>
      </c>
      <c r="F187" s="50" t="s">
        <v>4</v>
      </c>
      <c r="G187" s="59" t="s">
        <v>5</v>
      </c>
      <c r="H187" s="54" t="s">
        <v>62</v>
      </c>
      <c r="I187" s="54" t="s">
        <v>7</v>
      </c>
      <c r="J187" s="55">
        <v>25.0</v>
      </c>
      <c r="K187" s="56">
        <v>99.0</v>
      </c>
      <c r="L187" s="57">
        <v>-100.0</v>
      </c>
      <c r="M187" s="58">
        <v>48.0</v>
      </c>
      <c r="N187" s="33">
        <f t="shared" si="13"/>
        <v>2475</v>
      </c>
      <c r="O187" s="59">
        <v>-428.0</v>
      </c>
      <c r="P187" s="34">
        <f t="shared" si="14"/>
        <v>-4.323232323</v>
      </c>
      <c r="Q187" s="60"/>
      <c r="R187" s="36">
        <f t="shared" si="15"/>
        <v>48</v>
      </c>
      <c r="S187" s="61">
        <v>-170.0</v>
      </c>
      <c r="T187" s="37">
        <f t="shared" si="16"/>
        <v>-122</v>
      </c>
      <c r="U187" s="38">
        <v>1.0</v>
      </c>
      <c r="V187" s="74">
        <v>25.0</v>
      </c>
      <c r="W187" s="63">
        <v>1.34</v>
      </c>
      <c r="X187" s="35">
        <f t="shared" si="20"/>
        <v>0.3</v>
      </c>
      <c r="Y187" s="35">
        <f t="shared" si="17"/>
        <v>0</v>
      </c>
      <c r="Z187" s="40">
        <f t="shared" ref="Z187:Z206" si="21">T187-AA187-AB187</f>
        <v>-85.4</v>
      </c>
      <c r="AA187" s="34">
        <f t="shared" ref="AA187:AA206" si="22">if(AD187="EUR",((T187-R187)*X187)*U187+(R187*X187),(T187*X187))</f>
        <v>-36.6</v>
      </c>
      <c r="AB187" s="41">
        <f t="shared" ref="AB187:AB206" si="23">if(AD187="EUR",((T187-R187)*Y187)*U187+(R187*Y187),(T187*Y187))</f>
        <v>0</v>
      </c>
      <c r="AC187" s="42" t="b">
        <v>1</v>
      </c>
      <c r="AD187" s="42" t="s">
        <v>138</v>
      </c>
      <c r="AE187" s="42" t="s">
        <v>138</v>
      </c>
      <c r="AF187" s="42" t="str">
        <f t="array" ref="AF187">INDEX('Deal Info'!D:D, MATCH(A187,'Deal Info'!A:A, 0))</f>
        <v>SF</v>
      </c>
      <c r="AG187" s="43" t="str">
        <f t="array" ref="AG187">INDEX('Deal Info'!G:G, MATCH(A187,'Deal Info'!A:A, 0))</f>
        <v>None</v>
      </c>
    </row>
    <row r="188" hidden="1">
      <c r="A188" s="23" t="str">
        <f t="array" ref="A188">if(G188='Room Info'!$B$1, INDEX('Room Info'!$A$2:$A3446, MATCH(B188,'Room Info'!$B$2:$B3446, 0)),if(G188='Room Info'!$C$1, INDEX('Room Info'!$A$2:$A3446, MATCH(B188,'Room Info'!$C$2:$C3446, 0)),if(G188='Room Info'!$D$1, INDEX('Room Info'!$A$2:$A3446, MATCH(B188,'Room Info'!$D$2:$D3446, 0)),if(G188='Room Info'!$E$1, INDEX('Room Info'!$A$2:$A3446, MATCH(B188,'Room Info'!$E$2:$E3446, 0)),if(G188='Room Info'!$F$1, INDEX('Room Info'!$A$2:$A3446, MATCH(B188,'Room Info'!$F$2:$F3446, 0)),if(G188='Room Info'!$H$1, INDEX('Room Info'!$A$2:$A3446, MATCH(B188,'Room Info'!$H$2:$H3446, 0)),if(G188='Room Info'!$G$1, INDEX('Room Info'!$A$2:$A3446, MATCH(B188,'Room Info'!$G$2:$G3446, 0)))))))))</f>
        <v>Fedorovi4</v>
      </c>
      <c r="B188" s="59" t="s">
        <v>152</v>
      </c>
      <c r="C188" s="51">
        <v>44672.0</v>
      </c>
      <c r="D188" s="51">
        <v>44701.0</v>
      </c>
      <c r="E188" s="52">
        <v>44682.0</v>
      </c>
      <c r="F188" s="50" t="s">
        <v>4</v>
      </c>
      <c r="G188" s="59" t="s">
        <v>5</v>
      </c>
      <c r="H188" s="54" t="s">
        <v>62</v>
      </c>
      <c r="I188" s="54" t="s">
        <v>7</v>
      </c>
      <c r="J188" s="55">
        <v>25.0</v>
      </c>
      <c r="K188" s="56">
        <v>58.0</v>
      </c>
      <c r="L188" s="57">
        <v>0.0</v>
      </c>
      <c r="M188" s="58">
        <v>1.0</v>
      </c>
      <c r="N188" s="33">
        <f t="shared" si="13"/>
        <v>1450</v>
      </c>
      <c r="O188" s="59">
        <v>6005.0</v>
      </c>
      <c r="P188" s="34">
        <f t="shared" si="14"/>
        <v>103.5344828</v>
      </c>
      <c r="Q188" s="60"/>
      <c r="R188" s="36">
        <f t="shared" si="15"/>
        <v>1</v>
      </c>
      <c r="S188" s="61">
        <v>188.0</v>
      </c>
      <c r="T188" s="37">
        <f t="shared" si="16"/>
        <v>189</v>
      </c>
      <c r="U188" s="38">
        <v>1.0</v>
      </c>
      <c r="V188" s="74">
        <v>25.0</v>
      </c>
      <c r="W188" s="63">
        <v>1.34</v>
      </c>
      <c r="X188" s="35">
        <f t="shared" si="20"/>
        <v>0.3</v>
      </c>
      <c r="Y188" s="35">
        <f t="shared" si="17"/>
        <v>0</v>
      </c>
      <c r="Z188" s="40">
        <f t="shared" si="21"/>
        <v>132.3</v>
      </c>
      <c r="AA188" s="34">
        <f t="shared" si="22"/>
        <v>56.7</v>
      </c>
      <c r="AB188" s="41">
        <f t="shared" si="23"/>
        <v>0</v>
      </c>
      <c r="AC188" s="42" t="b">
        <v>1</v>
      </c>
      <c r="AD188" s="42" t="s">
        <v>138</v>
      </c>
      <c r="AE188" s="42" t="s">
        <v>138</v>
      </c>
      <c r="AF188" s="42" t="str">
        <f t="array" ref="AF188">INDEX('Deal Info'!D:D, MATCH(A188,'Deal Info'!A:A, 0))</f>
        <v>SF</v>
      </c>
      <c r="AG188" s="43" t="str">
        <f t="array" ref="AG188">INDEX('Deal Info'!G:G, MATCH(A188,'Deal Info'!A:A, 0))</f>
        <v>None</v>
      </c>
    </row>
    <row r="189" hidden="1">
      <c r="A189" s="23" t="str">
        <f t="array" ref="A189">if(G189='Room Info'!$B$1, INDEX('Room Info'!$A$2:$A3446, MATCH(B189,'Room Info'!$B$2:$B3446, 0)),if(G189='Room Info'!$C$1, INDEX('Room Info'!$A$2:$A3446, MATCH(B189,'Room Info'!$C$2:$C3446, 0)),if(G189='Room Info'!$D$1, INDEX('Room Info'!$A$2:$A3446, MATCH(B189,'Room Info'!$D$2:$D3446, 0)),if(G189='Room Info'!$E$1, INDEX('Room Info'!$A$2:$A3446, MATCH(B189,'Room Info'!$E$2:$E3446, 0)),if(G189='Room Info'!$F$1, INDEX('Room Info'!$A$2:$A3446, MATCH(B189,'Room Info'!$F$2:$F3446, 0)),if(G189='Room Info'!$H$1, INDEX('Room Info'!$A$2:$A3446, MATCH(B189,'Room Info'!$H$2:$H3446, 0)),if(G189='Room Info'!$G$1, INDEX('Room Info'!$A$2:$A3446, MATCH(B189,'Room Info'!$G$2:$G3446, 0)))))))))</f>
        <v>Fedorovi4</v>
      </c>
      <c r="B189" s="59" t="s">
        <v>152</v>
      </c>
      <c r="C189" s="51">
        <v>44702.0</v>
      </c>
      <c r="D189" s="51">
        <v>44732.0</v>
      </c>
      <c r="E189" s="52">
        <v>44713.0</v>
      </c>
      <c r="F189" s="50" t="s">
        <v>4</v>
      </c>
      <c r="G189" s="59" t="s">
        <v>5</v>
      </c>
      <c r="H189" s="54" t="s">
        <v>62</v>
      </c>
      <c r="I189" s="54" t="s">
        <v>7</v>
      </c>
      <c r="J189" s="55">
        <v>25.0</v>
      </c>
      <c r="K189" s="56">
        <v>595.0</v>
      </c>
      <c r="L189" s="57">
        <v>-75.0</v>
      </c>
      <c r="M189" s="58">
        <v>559.0</v>
      </c>
      <c r="N189" s="33">
        <f t="shared" si="13"/>
        <v>14875</v>
      </c>
      <c r="O189" s="59">
        <v>23984.0</v>
      </c>
      <c r="P189" s="34">
        <f t="shared" si="14"/>
        <v>40.3092437</v>
      </c>
      <c r="Q189" s="60"/>
      <c r="R189" s="36">
        <f t="shared" si="15"/>
        <v>559</v>
      </c>
      <c r="S189" s="61">
        <v>186.0</v>
      </c>
      <c r="T189" s="37">
        <f t="shared" si="16"/>
        <v>745</v>
      </c>
      <c r="U189" s="38">
        <v>1.0</v>
      </c>
      <c r="V189" s="74">
        <v>25.0</v>
      </c>
      <c r="W189" s="74">
        <v>29.8</v>
      </c>
      <c r="X189" s="35">
        <f t="shared" si="20"/>
        <v>0.3</v>
      </c>
      <c r="Y189" s="35">
        <f t="shared" si="17"/>
        <v>0</v>
      </c>
      <c r="Z189" s="40">
        <f t="shared" si="21"/>
        <v>521.5</v>
      </c>
      <c r="AA189" s="34">
        <f t="shared" si="22"/>
        <v>223.5</v>
      </c>
      <c r="AB189" s="41">
        <f t="shared" si="23"/>
        <v>0</v>
      </c>
      <c r="AC189" s="42" t="b">
        <v>1</v>
      </c>
      <c r="AD189" s="42" t="s">
        <v>138</v>
      </c>
      <c r="AE189" s="42" t="s">
        <v>138</v>
      </c>
      <c r="AF189" s="42" t="str">
        <f t="array" ref="AF189">INDEX('Deal Info'!D:D, MATCH(A189,'Deal Info'!A:A, 0))</f>
        <v>SF</v>
      </c>
      <c r="AG189" s="43" t="str">
        <f t="array" ref="AG189">INDEX('Deal Info'!G:G, MATCH(A189,'Deal Info'!A:A, 0))</f>
        <v>None</v>
      </c>
    </row>
    <row r="190" hidden="1">
      <c r="A190" s="23" t="str">
        <f t="array" ref="A190">if(G190='Room Info'!$B$1, INDEX('Room Info'!$A$2:$A3446, MATCH(B190,'Room Info'!$B$2:$B3446, 0)),if(G190='Room Info'!$C$1, INDEX('Room Info'!$A$2:$A3446, MATCH(B190,'Room Info'!$C$2:$C3446, 0)),if(G190='Room Info'!$D$1, INDEX('Room Info'!$A$2:$A3446, MATCH(B190,'Room Info'!$D$2:$D3446, 0)),if(G190='Room Info'!$E$1, INDEX('Room Info'!$A$2:$A3446, MATCH(B190,'Room Info'!$E$2:$E3446, 0)),if(G190='Room Info'!$F$1, INDEX('Room Info'!$A$2:$A3446, MATCH(B190,'Room Info'!$F$2:$F3446, 0)),if(G190='Room Info'!$H$1, INDEX('Room Info'!$A$2:$A3446, MATCH(B190,'Room Info'!$H$2:$H3446, 0)),if(G190='Room Info'!$G$1, INDEX('Room Info'!$A$2:$A3446, MATCH(B190,'Room Info'!$G$2:$G3446, 0)))))))))</f>
        <v>Fedorovi4</v>
      </c>
      <c r="B190" s="59" t="s">
        <v>152</v>
      </c>
      <c r="C190" s="51">
        <v>44733.0</v>
      </c>
      <c r="D190" s="51">
        <v>44762.0</v>
      </c>
      <c r="E190" s="52">
        <v>44743.0</v>
      </c>
      <c r="F190" s="50" t="s">
        <v>4</v>
      </c>
      <c r="G190" s="59" t="s">
        <v>5</v>
      </c>
      <c r="H190" s="54" t="s">
        <v>62</v>
      </c>
      <c r="I190" s="54" t="s">
        <v>7</v>
      </c>
      <c r="J190" s="55">
        <v>25.0</v>
      </c>
      <c r="K190" s="56">
        <v>520.0</v>
      </c>
      <c r="L190" s="57">
        <v>-450.0</v>
      </c>
      <c r="M190" s="58">
        <v>460.0</v>
      </c>
      <c r="N190" s="33">
        <f t="shared" si="13"/>
        <v>13000</v>
      </c>
      <c r="O190" s="59">
        <v>9772.0</v>
      </c>
      <c r="P190" s="34">
        <f t="shared" si="14"/>
        <v>18.79230769</v>
      </c>
      <c r="Q190" s="60"/>
      <c r="R190" s="36">
        <f t="shared" si="15"/>
        <v>460</v>
      </c>
      <c r="S190" s="61">
        <v>-396.0</v>
      </c>
      <c r="T190" s="37">
        <f t="shared" si="16"/>
        <v>64</v>
      </c>
      <c r="U190" s="38">
        <v>1.0</v>
      </c>
      <c r="V190" s="74">
        <v>25.0</v>
      </c>
      <c r="W190" s="74">
        <v>2.56</v>
      </c>
      <c r="X190" s="35">
        <f t="shared" si="20"/>
        <v>0.3</v>
      </c>
      <c r="Y190" s="35">
        <f t="shared" si="17"/>
        <v>0</v>
      </c>
      <c r="Z190" s="40">
        <f t="shared" si="21"/>
        <v>44.8</v>
      </c>
      <c r="AA190" s="34">
        <f t="shared" si="22"/>
        <v>19.2</v>
      </c>
      <c r="AB190" s="41">
        <f t="shared" si="23"/>
        <v>0</v>
      </c>
      <c r="AC190" s="42" t="b">
        <v>1</v>
      </c>
      <c r="AD190" s="42" t="s">
        <v>138</v>
      </c>
      <c r="AE190" s="42" t="s">
        <v>138</v>
      </c>
      <c r="AF190" s="42" t="str">
        <f t="array" ref="AF190">INDEX('Deal Info'!D:D, MATCH(A190,'Deal Info'!A:A, 0))</f>
        <v>SF</v>
      </c>
      <c r="AG190" s="43" t="str">
        <f t="array" ref="AG190">INDEX('Deal Info'!G:G, MATCH(A190,'Deal Info'!A:A, 0))</f>
        <v>None</v>
      </c>
    </row>
    <row r="191" hidden="1">
      <c r="A191" s="23" t="str">
        <f t="array" ref="A191">if(G191='Room Info'!$B$1, INDEX('Room Info'!$A$2:$A3446, MATCH(B191,'Room Info'!$B$2:$B3446, 0)),if(G191='Room Info'!$C$1, INDEX('Room Info'!$A$2:$A3446, MATCH(B191,'Room Info'!$C$2:$C3446, 0)),if(G191='Room Info'!$D$1, INDEX('Room Info'!$A$2:$A3446, MATCH(B191,'Room Info'!$D$2:$D3446, 0)),if(G191='Room Info'!$E$1, INDEX('Room Info'!$A$2:$A3446, MATCH(B191,'Room Info'!$E$2:$E3446, 0)),if(G191='Room Info'!$F$1, INDEX('Room Info'!$A$2:$A3446, MATCH(B191,'Room Info'!$F$2:$F3446, 0)),if(G191='Room Info'!$H$1, INDEX('Room Info'!$A$2:$A3446, MATCH(B191,'Room Info'!$H$2:$H3446, 0)),if(G191='Room Info'!$G$1, INDEX('Room Info'!$A$2:$A3446, MATCH(B191,'Room Info'!$G$2:$G3446, 0)))))))))</f>
        <v>Fedorovi4</v>
      </c>
      <c r="B191" s="59" t="s">
        <v>152</v>
      </c>
      <c r="C191" s="51">
        <v>44763.0</v>
      </c>
      <c r="D191" s="51">
        <v>44793.0</v>
      </c>
      <c r="E191" s="52">
        <v>44774.0</v>
      </c>
      <c r="F191" s="50" t="s">
        <v>4</v>
      </c>
      <c r="G191" s="59" t="s">
        <v>5</v>
      </c>
      <c r="H191" s="54" t="s">
        <v>62</v>
      </c>
      <c r="I191" s="54" t="s">
        <v>7</v>
      </c>
      <c r="J191" s="55">
        <v>25.0</v>
      </c>
      <c r="K191" s="56">
        <v>998.0</v>
      </c>
      <c r="L191" s="57">
        <v>-2100.0</v>
      </c>
      <c r="M191" s="58">
        <v>909.0</v>
      </c>
      <c r="N191" s="33">
        <f t="shared" si="13"/>
        <v>24950</v>
      </c>
      <c r="O191" s="59">
        <v>15715.0</v>
      </c>
      <c r="P191" s="34">
        <f t="shared" si="14"/>
        <v>15.74649299</v>
      </c>
      <c r="Q191" s="60"/>
      <c r="R191" s="36">
        <f t="shared" si="15"/>
        <v>909</v>
      </c>
      <c r="S191" s="61">
        <v>-848.0</v>
      </c>
      <c r="T191" s="37">
        <f t="shared" si="16"/>
        <v>61</v>
      </c>
      <c r="U191" s="38">
        <v>1.0</v>
      </c>
      <c r="V191" s="74">
        <v>25.0</v>
      </c>
      <c r="W191" s="74">
        <v>2.44</v>
      </c>
      <c r="X191" s="35">
        <f t="shared" si="20"/>
        <v>0.3</v>
      </c>
      <c r="Y191" s="35">
        <f t="shared" si="17"/>
        <v>0</v>
      </c>
      <c r="Z191" s="40">
        <f t="shared" si="21"/>
        <v>42.7</v>
      </c>
      <c r="AA191" s="34">
        <f t="shared" si="22"/>
        <v>18.3</v>
      </c>
      <c r="AB191" s="41">
        <f t="shared" si="23"/>
        <v>0</v>
      </c>
      <c r="AC191" s="42" t="b">
        <v>1</v>
      </c>
      <c r="AD191" s="42" t="s">
        <v>138</v>
      </c>
      <c r="AE191" s="42" t="s">
        <v>138</v>
      </c>
      <c r="AF191" s="42" t="str">
        <f t="array" ref="AF191">INDEX('Deal Info'!D:D, MATCH(A191,'Deal Info'!A:A, 0))</f>
        <v>SF</v>
      </c>
      <c r="AG191" s="43" t="str">
        <f t="array" ref="AG191">INDEX('Deal Info'!G:G, MATCH(A191,'Deal Info'!A:A, 0))</f>
        <v>None</v>
      </c>
    </row>
    <row r="192" hidden="1">
      <c r="A192" s="23" t="str">
        <f t="array" ref="A192">if(G192='Room Info'!$B$1, INDEX('Room Info'!$A$2:$A3446, MATCH(B192,'Room Info'!$B$2:$B3446, 0)),if(G192='Room Info'!$C$1, INDEX('Room Info'!$A$2:$A3446, MATCH(B192,'Room Info'!$C$2:$C3446, 0)),if(G192='Room Info'!$D$1, INDEX('Room Info'!$A$2:$A3446, MATCH(B192,'Room Info'!$D$2:$D3446, 0)),if(G192='Room Info'!$E$1, INDEX('Room Info'!$A$2:$A3446, MATCH(B192,'Room Info'!$E$2:$E3446, 0)),if(G192='Room Info'!$F$1, INDEX('Room Info'!$A$2:$A3446, MATCH(B192,'Room Info'!$F$2:$F3446, 0)),if(G192='Room Info'!$H$1, INDEX('Room Info'!$A$2:$A3446, MATCH(B192,'Room Info'!$H$2:$H3446, 0)),if(G192='Room Info'!$G$1, INDEX('Room Info'!$A$2:$A3446, MATCH(B192,'Room Info'!$G$2:$G3446, 0)))))))))</f>
        <v>Fedorovi4</v>
      </c>
      <c r="B192" s="59" t="s">
        <v>152</v>
      </c>
      <c r="C192" s="51">
        <v>44794.0</v>
      </c>
      <c r="D192" s="51">
        <v>44824.0</v>
      </c>
      <c r="E192" s="52">
        <v>44805.0</v>
      </c>
      <c r="F192" s="50" t="s">
        <v>4</v>
      </c>
      <c r="G192" s="59" t="s">
        <v>5</v>
      </c>
      <c r="H192" s="54" t="s">
        <v>62</v>
      </c>
      <c r="I192" s="54" t="s">
        <v>7</v>
      </c>
      <c r="J192" s="55">
        <v>25.0</v>
      </c>
      <c r="K192" s="56">
        <v>1600.0</v>
      </c>
      <c r="L192" s="57">
        <v>-1475.0</v>
      </c>
      <c r="M192" s="58">
        <v>1437.0</v>
      </c>
      <c r="N192" s="33">
        <f t="shared" si="13"/>
        <v>40000</v>
      </c>
      <c r="O192" s="59">
        <v>37627.0</v>
      </c>
      <c r="P192" s="34">
        <f t="shared" si="14"/>
        <v>23.516875</v>
      </c>
      <c r="Q192" s="60"/>
      <c r="R192" s="36">
        <f t="shared" si="15"/>
        <v>1437</v>
      </c>
      <c r="S192" s="61">
        <v>-839.0</v>
      </c>
      <c r="T192" s="37">
        <f t="shared" si="16"/>
        <v>598</v>
      </c>
      <c r="U192" s="38">
        <v>1.0</v>
      </c>
      <c r="V192" s="74">
        <v>25.0373599003736</v>
      </c>
      <c r="W192" s="74">
        <v>32.35165381745834</v>
      </c>
      <c r="X192" s="35">
        <f t="shared" si="20"/>
        <v>0.3</v>
      </c>
      <c r="Y192" s="35">
        <f t="shared" si="17"/>
        <v>0</v>
      </c>
      <c r="Z192" s="40">
        <f t="shared" si="21"/>
        <v>418.6</v>
      </c>
      <c r="AA192" s="34">
        <f t="shared" si="22"/>
        <v>179.4</v>
      </c>
      <c r="AB192" s="41">
        <f t="shared" si="23"/>
        <v>0</v>
      </c>
      <c r="AC192" s="42" t="b">
        <v>1</v>
      </c>
      <c r="AD192" s="42" t="s">
        <v>138</v>
      </c>
      <c r="AE192" s="42" t="s">
        <v>138</v>
      </c>
      <c r="AF192" s="42" t="str">
        <f t="array" ref="AF192">INDEX('Deal Info'!D:D, MATCH(A192,'Deal Info'!A:A, 0))</f>
        <v>SF</v>
      </c>
      <c r="AG192" s="43" t="str">
        <f t="array" ref="AG192">INDEX('Deal Info'!G:G, MATCH(A192,'Deal Info'!A:A, 0))</f>
        <v>None</v>
      </c>
    </row>
    <row r="193" hidden="1">
      <c r="A193" s="23" t="str">
        <f t="array" ref="A193">if(G193='Room Info'!$B$1, INDEX('Room Info'!$A$2:$A3446, MATCH(B193,'Room Info'!$B$2:$B3446, 0)),if(G193='Room Info'!$C$1, INDEX('Room Info'!$A$2:$A3446, MATCH(B193,'Room Info'!$C$2:$C3446, 0)),if(G193='Room Info'!$D$1, INDEX('Room Info'!$A$2:$A3446, MATCH(B193,'Room Info'!$D$2:$D3446, 0)),if(G193='Room Info'!$E$1, INDEX('Room Info'!$A$2:$A3446, MATCH(B193,'Room Info'!$E$2:$E3446, 0)),if(G193='Room Info'!$F$1, INDEX('Room Info'!$A$2:$A3446, MATCH(B193,'Room Info'!$F$2:$F3446, 0)),if(G193='Room Info'!$H$1, INDEX('Room Info'!$A$2:$A3446, MATCH(B193,'Room Info'!$H$2:$H3446, 0)),if(G193='Room Info'!$G$1, INDEX('Room Info'!$A$2:$A3446, MATCH(B193,'Room Info'!$G$2:$G3446, 0)))))))))</f>
        <v>Fedorovi4</v>
      </c>
      <c r="B193" s="59" t="s">
        <v>152</v>
      </c>
      <c r="C193" s="51">
        <v>44794.0</v>
      </c>
      <c r="D193" s="51">
        <v>44824.0</v>
      </c>
      <c r="E193" s="52">
        <v>44805.0</v>
      </c>
      <c r="F193" s="50" t="s">
        <v>12</v>
      </c>
      <c r="G193" s="59" t="s">
        <v>5</v>
      </c>
      <c r="H193" s="54" t="s">
        <v>35</v>
      </c>
      <c r="I193" s="54" t="s">
        <v>7</v>
      </c>
      <c r="J193" s="55">
        <v>5.0</v>
      </c>
      <c r="K193" s="56">
        <v>1.0</v>
      </c>
      <c r="L193" s="57">
        <v>10.0</v>
      </c>
      <c r="M193" s="67"/>
      <c r="N193" s="33">
        <f t="shared" si="13"/>
        <v>5</v>
      </c>
      <c r="O193" s="70"/>
      <c r="P193" s="34">
        <f t="shared" si="14"/>
        <v>0</v>
      </c>
      <c r="Q193" s="60"/>
      <c r="R193" s="36">
        <f t="shared" si="15"/>
        <v>0</v>
      </c>
      <c r="S193" s="71"/>
      <c r="T193" s="37">
        <f t="shared" si="16"/>
        <v>10</v>
      </c>
      <c r="U193" s="38">
        <v>1.0</v>
      </c>
      <c r="V193" s="74">
        <v>25.0373599003736</v>
      </c>
      <c r="W193" s="74">
        <v>32.35165381745834</v>
      </c>
      <c r="X193" s="35">
        <f t="shared" si="20"/>
        <v>0.3</v>
      </c>
      <c r="Y193" s="35">
        <f t="shared" si="17"/>
        <v>0</v>
      </c>
      <c r="Z193" s="40">
        <f t="shared" si="21"/>
        <v>7</v>
      </c>
      <c r="AA193" s="34">
        <f t="shared" si="22"/>
        <v>3</v>
      </c>
      <c r="AB193" s="41">
        <f t="shared" si="23"/>
        <v>0</v>
      </c>
      <c r="AC193" s="42" t="b">
        <v>1</v>
      </c>
      <c r="AD193" s="42" t="s">
        <v>138</v>
      </c>
      <c r="AE193" s="42" t="s">
        <v>138</v>
      </c>
      <c r="AF193" s="42" t="str">
        <f t="array" ref="AF193">INDEX('Deal Info'!D:D, MATCH(A193,'Deal Info'!A:A, 0))</f>
        <v>SF</v>
      </c>
      <c r="AG193" s="43" t="str">
        <f t="array" ref="AG193">INDEX('Deal Info'!G:G, MATCH(A193,'Deal Info'!A:A, 0))</f>
        <v>None</v>
      </c>
    </row>
    <row r="194" hidden="1">
      <c r="A194" s="23" t="str">
        <f t="array" ref="A194">if(G194='Room Info'!$B$1, INDEX('Room Info'!$A$2:$A3446, MATCH(B194,'Room Info'!$B$2:$B3446, 0)),if(G194='Room Info'!$C$1, INDEX('Room Info'!$A$2:$A3446, MATCH(B194,'Room Info'!$C$2:$C3446, 0)),if(G194='Room Info'!$D$1, INDEX('Room Info'!$A$2:$A3446, MATCH(B194,'Room Info'!$D$2:$D3446, 0)),if(G194='Room Info'!$E$1, INDEX('Room Info'!$A$2:$A3446, MATCH(B194,'Room Info'!$E$2:$E3446, 0)),if(G194='Room Info'!$F$1, INDEX('Room Info'!$A$2:$A3446, MATCH(B194,'Room Info'!$F$2:$F3446, 0)),if(G194='Room Info'!$H$1, INDEX('Room Info'!$A$2:$A3446, MATCH(B194,'Room Info'!$H$2:$H3446, 0)),if(G194='Room Info'!$G$1, INDEX('Room Info'!$A$2:$A3446, MATCH(B194,'Room Info'!$G$2:$G3446, 0)))))))))</f>
        <v>Fedorovi4</v>
      </c>
      <c r="B194" s="59" t="s">
        <v>152</v>
      </c>
      <c r="C194" s="51">
        <v>44794.0</v>
      </c>
      <c r="D194" s="51">
        <v>44824.0</v>
      </c>
      <c r="E194" s="52">
        <v>44805.0</v>
      </c>
      <c r="F194" s="50" t="s">
        <v>12</v>
      </c>
      <c r="G194" s="59" t="s">
        <v>5</v>
      </c>
      <c r="H194" s="54" t="s">
        <v>38</v>
      </c>
      <c r="I194" s="54" t="s">
        <v>11</v>
      </c>
      <c r="J194" s="55">
        <v>5.0</v>
      </c>
      <c r="K194" s="56">
        <v>1.0</v>
      </c>
      <c r="L194" s="57">
        <v>-5.0</v>
      </c>
      <c r="M194" s="67"/>
      <c r="N194" s="33">
        <f t="shared" si="13"/>
        <v>5</v>
      </c>
      <c r="O194" s="70"/>
      <c r="P194" s="34">
        <f t="shared" si="14"/>
        <v>0</v>
      </c>
      <c r="Q194" s="60"/>
      <c r="R194" s="36">
        <f t="shared" si="15"/>
        <v>0</v>
      </c>
      <c r="S194" s="71"/>
      <c r="T194" s="37">
        <f t="shared" si="16"/>
        <v>-5</v>
      </c>
      <c r="U194" s="38">
        <v>1.0</v>
      </c>
      <c r="V194" s="74">
        <v>25.0373599003736</v>
      </c>
      <c r="W194" s="74">
        <v>32.35165381745834</v>
      </c>
      <c r="X194" s="35">
        <f t="shared" si="20"/>
        <v>0.3</v>
      </c>
      <c r="Y194" s="35">
        <f t="shared" si="17"/>
        <v>0</v>
      </c>
      <c r="Z194" s="40">
        <f t="shared" si="21"/>
        <v>-3.5</v>
      </c>
      <c r="AA194" s="34">
        <f t="shared" si="22"/>
        <v>-1.5</v>
      </c>
      <c r="AB194" s="41">
        <f t="shared" si="23"/>
        <v>0</v>
      </c>
      <c r="AC194" s="42" t="b">
        <v>1</v>
      </c>
      <c r="AD194" s="42" t="s">
        <v>138</v>
      </c>
      <c r="AE194" s="42" t="s">
        <v>138</v>
      </c>
      <c r="AF194" s="42" t="str">
        <f t="array" ref="AF194">INDEX('Deal Info'!D:D, MATCH(A194,'Deal Info'!A:A, 0))</f>
        <v>SF</v>
      </c>
      <c r="AG194" s="43" t="str">
        <f t="array" ref="AG194">INDEX('Deal Info'!G:G, MATCH(A194,'Deal Info'!A:A, 0))</f>
        <v>None</v>
      </c>
    </row>
    <row r="195" hidden="1">
      <c r="A195" s="23" t="str">
        <f t="array" ref="A195">if(G195='Room Info'!$B$1, INDEX('Room Info'!$A$2:$A3446, MATCH(B195,'Room Info'!$B$2:$B3446, 0)),if(G195='Room Info'!$C$1, INDEX('Room Info'!$A$2:$A3446, MATCH(B195,'Room Info'!$C$2:$C3446, 0)),if(G195='Room Info'!$D$1, INDEX('Room Info'!$A$2:$A3446, MATCH(B195,'Room Info'!$D$2:$D3446, 0)),if(G195='Room Info'!$E$1, INDEX('Room Info'!$A$2:$A3446, MATCH(B195,'Room Info'!$E$2:$E3446, 0)),if(G195='Room Info'!$F$1, INDEX('Room Info'!$A$2:$A3446, MATCH(B195,'Room Info'!$F$2:$F3446, 0)),if(G195='Room Info'!$H$1, INDEX('Room Info'!$A$2:$A3446, MATCH(B195,'Room Info'!$H$2:$H3446, 0)),if(G195='Room Info'!$G$1, INDEX('Room Info'!$A$2:$A3446, MATCH(B195,'Room Info'!$G$2:$G3446, 0)))))))))</f>
        <v>Fedorovi4</v>
      </c>
      <c r="B195" s="59" t="s">
        <v>152</v>
      </c>
      <c r="C195" s="51">
        <v>44794.0</v>
      </c>
      <c r="D195" s="51">
        <v>44824.0</v>
      </c>
      <c r="E195" s="52">
        <v>44805.0</v>
      </c>
      <c r="F195" s="50" t="s">
        <v>12</v>
      </c>
      <c r="G195" s="59" t="s">
        <v>5</v>
      </c>
      <c r="H195" s="54" t="s">
        <v>74</v>
      </c>
      <c r="I195" s="54" t="s">
        <v>7</v>
      </c>
      <c r="J195" s="55">
        <v>50.0</v>
      </c>
      <c r="K195" s="56">
        <v>4.0</v>
      </c>
      <c r="L195" s="57">
        <v>200.0</v>
      </c>
      <c r="M195" s="58">
        <v>7.0</v>
      </c>
      <c r="N195" s="33">
        <f t="shared" si="13"/>
        <v>200</v>
      </c>
      <c r="O195" s="70"/>
      <c r="P195" s="34">
        <f t="shared" si="14"/>
        <v>0</v>
      </c>
      <c r="Q195" s="60"/>
      <c r="R195" s="36">
        <f t="shared" si="15"/>
        <v>7</v>
      </c>
      <c r="S195" s="71"/>
      <c r="T195" s="37">
        <f t="shared" si="16"/>
        <v>207</v>
      </c>
      <c r="U195" s="38">
        <v>1.0</v>
      </c>
      <c r="V195" s="74">
        <v>25.0373599003736</v>
      </c>
      <c r="W195" s="74">
        <v>32.35165381745834</v>
      </c>
      <c r="X195" s="35">
        <f t="shared" si="20"/>
        <v>0.3</v>
      </c>
      <c r="Y195" s="35">
        <f t="shared" si="17"/>
        <v>0</v>
      </c>
      <c r="Z195" s="40">
        <f t="shared" si="21"/>
        <v>144.9</v>
      </c>
      <c r="AA195" s="34">
        <f t="shared" si="22"/>
        <v>62.1</v>
      </c>
      <c r="AB195" s="41">
        <f t="shared" si="23"/>
        <v>0</v>
      </c>
      <c r="AC195" s="42" t="b">
        <v>1</v>
      </c>
      <c r="AD195" s="42" t="s">
        <v>138</v>
      </c>
      <c r="AE195" s="42" t="s">
        <v>138</v>
      </c>
      <c r="AF195" s="42" t="str">
        <f t="array" ref="AF195">INDEX('Deal Info'!D:D, MATCH(A195,'Deal Info'!A:A, 0))</f>
        <v>SF</v>
      </c>
      <c r="AG195" s="43" t="str">
        <f t="array" ref="AG195">INDEX('Deal Info'!G:G, MATCH(A195,'Deal Info'!A:A, 0))</f>
        <v>None</v>
      </c>
    </row>
    <row r="196" hidden="1">
      <c r="A196" s="23" t="str">
        <f t="array" ref="A196">if(G196='Room Info'!$B$1, INDEX('Room Info'!$A$2:$A3446, MATCH(B196,'Room Info'!$B$2:$B3446, 0)),if(G196='Room Info'!$C$1, INDEX('Room Info'!$A$2:$A3446, MATCH(B196,'Room Info'!$C$2:$C3446, 0)),if(G196='Room Info'!$D$1, INDEX('Room Info'!$A$2:$A3446, MATCH(B196,'Room Info'!$D$2:$D3446, 0)),if(G196='Room Info'!$E$1, INDEX('Room Info'!$A$2:$A3446, MATCH(B196,'Room Info'!$E$2:$E3446, 0)),if(G196='Room Info'!$F$1, INDEX('Room Info'!$A$2:$A3446, MATCH(B196,'Room Info'!$F$2:$F3446, 0)),if(G196='Room Info'!$H$1, INDEX('Room Info'!$A$2:$A3446, MATCH(B196,'Room Info'!$H$2:$H3446, 0)),if(G196='Room Info'!$G$1, INDEX('Room Info'!$A$2:$A3446, MATCH(B196,'Room Info'!$G$2:$G3446, 0)))))))))</f>
        <v>Fedorovi4</v>
      </c>
      <c r="B196" s="59" t="s">
        <v>152</v>
      </c>
      <c r="C196" s="51">
        <v>44825.0</v>
      </c>
      <c r="D196" s="51">
        <v>44854.0</v>
      </c>
      <c r="E196" s="52">
        <v>44835.0</v>
      </c>
      <c r="F196" s="50" t="s">
        <v>4</v>
      </c>
      <c r="G196" s="59" t="s">
        <v>5</v>
      </c>
      <c r="H196" s="54" t="s">
        <v>62</v>
      </c>
      <c r="I196" s="54" t="s">
        <v>7</v>
      </c>
      <c r="J196" s="55">
        <v>25.0</v>
      </c>
      <c r="K196" s="56">
        <v>931.0</v>
      </c>
      <c r="L196" s="57">
        <v>-2100.0</v>
      </c>
      <c r="M196" s="58">
        <v>976.0</v>
      </c>
      <c r="N196" s="33">
        <f t="shared" si="13"/>
        <v>23275</v>
      </c>
      <c r="O196" s="59">
        <v>6159.0</v>
      </c>
      <c r="P196" s="34">
        <f t="shared" si="14"/>
        <v>6.61546724</v>
      </c>
      <c r="Q196" s="60"/>
      <c r="R196" s="36">
        <f t="shared" si="15"/>
        <v>976</v>
      </c>
      <c r="S196" s="61">
        <v>-1152.0</v>
      </c>
      <c r="T196" s="37">
        <f t="shared" si="16"/>
        <v>-176</v>
      </c>
      <c r="U196" s="38">
        <v>1.0</v>
      </c>
      <c r="V196" s="74">
        <v>30.19148936170213</v>
      </c>
      <c r="W196" s="74">
        <v>16.892177589852007</v>
      </c>
      <c r="X196" s="35">
        <f t="shared" si="20"/>
        <v>0.3</v>
      </c>
      <c r="Y196" s="35">
        <f t="shared" si="17"/>
        <v>0</v>
      </c>
      <c r="Z196" s="40">
        <f t="shared" si="21"/>
        <v>-123.2</v>
      </c>
      <c r="AA196" s="34">
        <f t="shared" si="22"/>
        <v>-52.8</v>
      </c>
      <c r="AB196" s="41">
        <f t="shared" si="23"/>
        <v>0</v>
      </c>
      <c r="AC196" s="42" t="b">
        <v>1</v>
      </c>
      <c r="AD196" s="42" t="s">
        <v>138</v>
      </c>
      <c r="AE196" s="42" t="s">
        <v>138</v>
      </c>
      <c r="AF196" s="42" t="str">
        <f t="array" ref="AF196">INDEX('Deal Info'!D:D, MATCH(A196,'Deal Info'!A:A, 0))</f>
        <v>SF</v>
      </c>
      <c r="AG196" s="43" t="str">
        <f t="array" ref="AG196">INDEX('Deal Info'!G:G, MATCH(A196,'Deal Info'!A:A, 0))</f>
        <v>None</v>
      </c>
    </row>
    <row r="197" hidden="1">
      <c r="A197" s="23" t="str">
        <f t="array" ref="A197">if(G197='Room Info'!$B$1, INDEX('Room Info'!$A$2:$A3446, MATCH(B197,'Room Info'!$B$2:$B3446, 0)),if(G197='Room Info'!$C$1, INDEX('Room Info'!$A$2:$A3446, MATCH(B197,'Room Info'!$C$2:$C3446, 0)),if(G197='Room Info'!$D$1, INDEX('Room Info'!$A$2:$A3446, MATCH(B197,'Room Info'!$D$2:$D3446, 0)),if(G197='Room Info'!$E$1, INDEX('Room Info'!$A$2:$A3446, MATCH(B197,'Room Info'!$E$2:$E3446, 0)),if(G197='Room Info'!$F$1, INDEX('Room Info'!$A$2:$A3446, MATCH(B197,'Room Info'!$F$2:$F3446, 0)),if(G197='Room Info'!$H$1, INDEX('Room Info'!$A$2:$A3446, MATCH(B197,'Room Info'!$H$2:$H3446, 0)),if(G197='Room Info'!$G$1, INDEX('Room Info'!$A$2:$A3446, MATCH(B197,'Room Info'!$G$2:$G3446, 0)))))))))</f>
        <v>Fedorovi4</v>
      </c>
      <c r="B197" s="50" t="s">
        <v>152</v>
      </c>
      <c r="C197" s="72">
        <v>44825.0</v>
      </c>
      <c r="D197" s="72">
        <v>44854.0</v>
      </c>
      <c r="E197" s="52">
        <v>44835.0</v>
      </c>
      <c r="F197" s="53" t="s">
        <v>4</v>
      </c>
      <c r="G197" s="50" t="s">
        <v>5</v>
      </c>
      <c r="H197" s="54" t="s">
        <v>74</v>
      </c>
      <c r="I197" s="54" t="s">
        <v>7</v>
      </c>
      <c r="J197" s="79">
        <v>50.0</v>
      </c>
      <c r="K197" s="80">
        <v>244.0</v>
      </c>
      <c r="L197" s="77">
        <v>1600.0</v>
      </c>
      <c r="M197" s="58">
        <v>514.0</v>
      </c>
      <c r="N197" s="33">
        <f t="shared" si="13"/>
        <v>12200</v>
      </c>
      <c r="O197" s="50">
        <v>9942.0</v>
      </c>
      <c r="P197" s="34">
        <f t="shared" si="14"/>
        <v>40.74590164</v>
      </c>
      <c r="Q197" s="60"/>
      <c r="R197" s="36">
        <f t="shared" si="15"/>
        <v>514</v>
      </c>
      <c r="S197" s="78">
        <v>172.0</v>
      </c>
      <c r="T197" s="37">
        <f t="shared" si="16"/>
        <v>686</v>
      </c>
      <c r="U197" s="38">
        <v>1.0</v>
      </c>
      <c r="V197" s="74">
        <v>30.19148936170213</v>
      </c>
      <c r="W197" s="74">
        <v>16.892177589852007</v>
      </c>
      <c r="X197" s="35">
        <f t="shared" si="20"/>
        <v>0.3</v>
      </c>
      <c r="Y197" s="35">
        <f t="shared" si="17"/>
        <v>0</v>
      </c>
      <c r="Z197" s="40">
        <f t="shared" si="21"/>
        <v>480.2</v>
      </c>
      <c r="AA197" s="34">
        <f t="shared" si="22"/>
        <v>205.8</v>
      </c>
      <c r="AB197" s="41">
        <f t="shared" si="23"/>
        <v>0</v>
      </c>
      <c r="AC197" s="42" t="b">
        <v>1</v>
      </c>
      <c r="AD197" s="42" t="s">
        <v>138</v>
      </c>
      <c r="AE197" s="42" t="s">
        <v>138</v>
      </c>
      <c r="AF197" s="42" t="str">
        <f t="array" ref="AF197">INDEX('Deal Info'!D:D, MATCH(A197,'Deal Info'!A:A, 0))</f>
        <v>SF</v>
      </c>
      <c r="AG197" s="43" t="str">
        <f t="array" ref="AG197">INDEX('Deal Info'!G:G, MATCH(A197,'Deal Info'!A:A, 0))</f>
        <v>None</v>
      </c>
    </row>
    <row r="198" hidden="1">
      <c r="A198" s="23" t="str">
        <f t="array" ref="A198">if(G198='Room Info'!$B$1, INDEX('Room Info'!$A$2:$A3446, MATCH(B198,'Room Info'!$B$2:$B3446, 0)),if(G198='Room Info'!$C$1, INDEX('Room Info'!$A$2:$A3446, MATCH(B198,'Room Info'!$C$2:$C3446, 0)),if(G198='Room Info'!$D$1, INDEX('Room Info'!$A$2:$A3446, MATCH(B198,'Room Info'!$D$2:$D3446, 0)),if(G198='Room Info'!$E$1, INDEX('Room Info'!$A$2:$A3446, MATCH(B198,'Room Info'!$E$2:$E3446, 0)),if(G198='Room Info'!$F$1, INDEX('Room Info'!$A$2:$A3446, MATCH(B198,'Room Info'!$F$2:$F3446, 0)),if(G198='Room Info'!$H$1, INDEX('Room Info'!$A$2:$A3446, MATCH(B198,'Room Info'!$H$2:$H3446, 0)),if(G198='Room Info'!$G$1, INDEX('Room Info'!$A$2:$A3446, MATCH(B198,'Room Info'!$G$2:$G3446, 0)))))))))</f>
        <v>Fedorovi4</v>
      </c>
      <c r="B198" s="50" t="s">
        <v>152</v>
      </c>
      <c r="C198" s="72">
        <v>44855.0</v>
      </c>
      <c r="D198" s="72">
        <v>44885.0</v>
      </c>
      <c r="E198" s="52">
        <v>44866.0</v>
      </c>
      <c r="F198" s="53" t="s">
        <v>4</v>
      </c>
      <c r="G198" s="50" t="s">
        <v>5</v>
      </c>
      <c r="H198" s="54" t="s">
        <v>62</v>
      </c>
      <c r="I198" s="54" t="s">
        <v>7</v>
      </c>
      <c r="J198" s="79">
        <v>25.0</v>
      </c>
      <c r="K198" s="80">
        <v>640.0</v>
      </c>
      <c r="L198" s="77">
        <v>-1250.0</v>
      </c>
      <c r="M198" s="81">
        <v>250.0</v>
      </c>
      <c r="N198" s="33">
        <f t="shared" si="13"/>
        <v>16000</v>
      </c>
      <c r="O198" s="50">
        <v>9856.0</v>
      </c>
      <c r="P198" s="34">
        <f t="shared" si="14"/>
        <v>15.4</v>
      </c>
      <c r="Q198" s="60"/>
      <c r="R198" s="36">
        <f t="shared" si="15"/>
        <v>250</v>
      </c>
      <c r="S198" s="78">
        <v>-591.0</v>
      </c>
      <c r="T198" s="37">
        <f t="shared" si="16"/>
        <v>-341</v>
      </c>
      <c r="U198" s="38">
        <v>1.0</v>
      </c>
      <c r="V198" s="74">
        <v>25.0</v>
      </c>
      <c r="W198" s="74">
        <v>-13.64</v>
      </c>
      <c r="X198" s="35">
        <f t="shared" si="20"/>
        <v>0.3</v>
      </c>
      <c r="Y198" s="35">
        <f t="shared" si="17"/>
        <v>0</v>
      </c>
      <c r="Z198" s="40">
        <f t="shared" si="21"/>
        <v>-238.7</v>
      </c>
      <c r="AA198" s="34">
        <f t="shared" si="22"/>
        <v>-102.3</v>
      </c>
      <c r="AB198" s="41">
        <f t="shared" si="23"/>
        <v>0</v>
      </c>
      <c r="AC198" s="42" t="b">
        <v>0</v>
      </c>
      <c r="AD198" s="42" t="s">
        <v>138</v>
      </c>
      <c r="AE198" s="42" t="s">
        <v>138</v>
      </c>
      <c r="AF198" s="42" t="str">
        <f t="array" ref="AF198">INDEX('Deal Info'!D:D, MATCH(A198,'Deal Info'!A:A, 0))</f>
        <v>SF</v>
      </c>
      <c r="AG198" s="43" t="str">
        <f t="array" ref="AG198">INDEX('Deal Info'!G:G, MATCH(A198,'Deal Info'!A:A, 0))</f>
        <v>None</v>
      </c>
    </row>
    <row r="199" hidden="1">
      <c r="A199" s="23" t="str">
        <f t="array" ref="A199">if(G199='Room Info'!$B$1, INDEX('Room Info'!$A$2:$A3446, MATCH(B199,'Room Info'!$B$2:$B3446, 0)),if(G199='Room Info'!$C$1, INDEX('Room Info'!$A$2:$A3446, MATCH(B199,'Room Info'!$C$2:$C3446, 0)),if(G199='Room Info'!$D$1, INDEX('Room Info'!$A$2:$A3446, MATCH(B199,'Room Info'!$D$2:$D3446, 0)),if(G199='Room Info'!$E$1, INDEX('Room Info'!$A$2:$A3446, MATCH(B199,'Room Info'!$E$2:$E3446, 0)),if(G199='Room Info'!$F$1, INDEX('Room Info'!$A$2:$A3446, MATCH(B199,'Room Info'!$F$2:$F3446, 0)),if(G199='Room Info'!$H$1, INDEX('Room Info'!$A$2:$A3446, MATCH(B199,'Room Info'!$H$2:$H3446, 0)),if(G199='Room Info'!$G$1, INDEX('Room Info'!$A$2:$A3446, MATCH(B199,'Room Info'!$G$2:$G3446, 0)))))))))</f>
        <v>Fedorovi4</v>
      </c>
      <c r="B199" s="50" t="s">
        <v>152</v>
      </c>
      <c r="C199" s="72">
        <v>44886.0</v>
      </c>
      <c r="D199" s="72">
        <v>44915.0</v>
      </c>
      <c r="E199" s="52">
        <v>44896.0</v>
      </c>
      <c r="F199" s="53" t="s">
        <v>4</v>
      </c>
      <c r="G199" s="50" t="s">
        <v>5</v>
      </c>
      <c r="H199" s="54" t="s">
        <v>62</v>
      </c>
      <c r="I199" s="54" t="s">
        <v>7</v>
      </c>
      <c r="J199" s="79">
        <v>25.0</v>
      </c>
      <c r="K199" s="80">
        <v>3.0</v>
      </c>
      <c r="L199" s="77">
        <v>100.0</v>
      </c>
      <c r="M199" s="58">
        <v>3.0</v>
      </c>
      <c r="N199" s="33">
        <f t="shared" si="13"/>
        <v>75</v>
      </c>
      <c r="O199" s="50">
        <v>356.0</v>
      </c>
      <c r="P199" s="34">
        <f t="shared" si="14"/>
        <v>118.6666667</v>
      </c>
      <c r="Q199" s="60"/>
      <c r="R199" s="36">
        <f t="shared" si="15"/>
        <v>3</v>
      </c>
      <c r="S199" s="78">
        <v>12.0</v>
      </c>
      <c r="T199" s="37">
        <f t="shared" si="16"/>
        <v>15</v>
      </c>
      <c r="U199" s="38">
        <v>1.0</v>
      </c>
      <c r="V199" s="74">
        <v>49.76780185758514</v>
      </c>
      <c r="W199" s="74">
        <v>-4.802301710730949</v>
      </c>
      <c r="X199" s="35">
        <f t="shared" si="20"/>
        <v>0.26</v>
      </c>
      <c r="Y199" s="35">
        <f t="shared" si="17"/>
        <v>0</v>
      </c>
      <c r="Z199" s="40">
        <f t="shared" si="21"/>
        <v>11.1</v>
      </c>
      <c r="AA199" s="34">
        <f t="shared" si="22"/>
        <v>3.9</v>
      </c>
      <c r="AB199" s="41">
        <f t="shared" si="23"/>
        <v>0</v>
      </c>
      <c r="AC199" s="42" t="b">
        <v>0</v>
      </c>
      <c r="AD199" s="42" t="s">
        <v>138</v>
      </c>
      <c r="AE199" s="42" t="s">
        <v>138</v>
      </c>
      <c r="AF199" s="42" t="str">
        <f t="array" ref="AF199">INDEX('Deal Info'!D:D, MATCH(A199,'Deal Info'!A:A, 0))</f>
        <v>SF</v>
      </c>
      <c r="AG199" s="43" t="str">
        <f t="array" ref="AG199">INDEX('Deal Info'!G:G, MATCH(A199,'Deal Info'!A:A, 0))</f>
        <v>None</v>
      </c>
    </row>
    <row r="200" hidden="1">
      <c r="A200" s="23" t="str">
        <f t="array" ref="A200">if(G200='Room Info'!$B$1, INDEX('Room Info'!$A$2:$A3446, MATCH(B200,'Room Info'!$B$2:$B3446, 0)),if(G200='Room Info'!$C$1, INDEX('Room Info'!$A$2:$A3446, MATCH(B200,'Room Info'!$C$2:$C3446, 0)),if(G200='Room Info'!$D$1, INDEX('Room Info'!$A$2:$A3446, MATCH(B200,'Room Info'!$D$2:$D3446, 0)),if(G200='Room Info'!$E$1, INDEX('Room Info'!$A$2:$A3446, MATCH(B200,'Room Info'!$E$2:$E3446, 0)),if(G200='Room Info'!$F$1, INDEX('Room Info'!$A$2:$A3446, MATCH(B200,'Room Info'!$F$2:$F3446, 0)),if(G200='Room Info'!$H$1, INDEX('Room Info'!$A$2:$A3446, MATCH(B200,'Room Info'!$H$2:$H3446, 0)),if(G200='Room Info'!$G$1, INDEX('Room Info'!$A$2:$A3446, MATCH(B200,'Room Info'!$G$2:$G3446, 0)))))))))</f>
        <v>Fedorovi4</v>
      </c>
      <c r="B200" s="50" t="s">
        <v>152</v>
      </c>
      <c r="C200" s="82">
        <v>44886.0</v>
      </c>
      <c r="D200" s="82">
        <v>44915.0</v>
      </c>
      <c r="E200" s="52">
        <v>44896.0</v>
      </c>
      <c r="F200" s="53" t="s">
        <v>4</v>
      </c>
      <c r="G200" s="50" t="s">
        <v>5</v>
      </c>
      <c r="H200" s="54" t="s">
        <v>74</v>
      </c>
      <c r="I200" s="54" t="s">
        <v>7</v>
      </c>
      <c r="J200" s="79">
        <v>50.0</v>
      </c>
      <c r="K200" s="80">
        <v>320.0</v>
      </c>
      <c r="L200" s="77">
        <v>5400.0</v>
      </c>
      <c r="M200" s="81">
        <v>592.0</v>
      </c>
      <c r="N200" s="33">
        <f t="shared" si="13"/>
        <v>16000</v>
      </c>
      <c r="O200" s="50">
        <v>1882.0</v>
      </c>
      <c r="P200" s="34">
        <f t="shared" si="14"/>
        <v>5.88125</v>
      </c>
      <c r="Q200" s="60"/>
      <c r="R200" s="36">
        <f t="shared" si="15"/>
        <v>592</v>
      </c>
      <c r="S200" s="78">
        <v>-846.0</v>
      </c>
      <c r="T200" s="37">
        <f t="shared" si="16"/>
        <v>-254</v>
      </c>
      <c r="U200" s="38">
        <v>1.0</v>
      </c>
      <c r="V200" s="74">
        <v>49.76780185758514</v>
      </c>
      <c r="W200" s="74">
        <v>-4.802301710730949</v>
      </c>
      <c r="X200" s="35">
        <f t="shared" si="20"/>
        <v>0.26</v>
      </c>
      <c r="Y200" s="35">
        <f t="shared" si="17"/>
        <v>0</v>
      </c>
      <c r="Z200" s="40">
        <f t="shared" si="21"/>
        <v>-187.96</v>
      </c>
      <c r="AA200" s="34">
        <f t="shared" si="22"/>
        <v>-66.04</v>
      </c>
      <c r="AB200" s="41">
        <f t="shared" si="23"/>
        <v>0</v>
      </c>
      <c r="AC200" s="42" t="b">
        <v>0</v>
      </c>
      <c r="AD200" s="42" t="s">
        <v>138</v>
      </c>
      <c r="AE200" s="42" t="s">
        <v>138</v>
      </c>
      <c r="AF200" s="42" t="str">
        <f t="array" ref="AF200">INDEX('Deal Info'!D:D, MATCH(A200,'Deal Info'!A:A, 0))</f>
        <v>SF</v>
      </c>
      <c r="AG200" s="43" t="str">
        <f t="array" ref="AG200">INDEX('Deal Info'!G:G, MATCH(A200,'Deal Info'!A:A, 0))</f>
        <v>None</v>
      </c>
    </row>
    <row r="201" hidden="1">
      <c r="A201" s="23" t="str">
        <f t="array" ref="A201">if(G201='Room Info'!$B$1, INDEX('Room Info'!$A$2:$A3446, MATCH(B201,'Room Info'!$B$2:$B3446, 0)),if(G201='Room Info'!$C$1, INDEX('Room Info'!$A$2:$A3446, MATCH(B201,'Room Info'!$C$2:$C3446, 0)),if(G201='Room Info'!$D$1, INDEX('Room Info'!$A$2:$A3446, MATCH(B201,'Room Info'!$D$2:$D3446, 0)),if(G201='Room Info'!$E$1, INDEX('Room Info'!$A$2:$A3446, MATCH(B201,'Room Info'!$E$2:$E3446, 0)),if(G201='Room Info'!$F$1, INDEX('Room Info'!$A$2:$A3446, MATCH(B201,'Room Info'!$F$2:$F3446, 0)),if(G201='Room Info'!$H$1, INDEX('Room Info'!$A$2:$A3446, MATCH(B201,'Room Info'!$H$2:$H3446, 0)),if(G201='Room Info'!$G$1, INDEX('Room Info'!$A$2:$A3446, MATCH(B201,'Room Info'!$G$2:$G3446, 0)))))))))</f>
        <v>Fedorovi4</v>
      </c>
      <c r="B201" s="50" t="s">
        <v>152</v>
      </c>
      <c r="C201" s="82">
        <v>44916.0</v>
      </c>
      <c r="D201" s="82">
        <v>44946.0</v>
      </c>
      <c r="E201" s="52">
        <v>44927.0</v>
      </c>
      <c r="F201" s="53" t="s">
        <v>4</v>
      </c>
      <c r="G201" s="50" t="s">
        <v>5</v>
      </c>
      <c r="H201" s="54" t="s">
        <v>62</v>
      </c>
      <c r="I201" s="54" t="s">
        <v>7</v>
      </c>
      <c r="J201" s="79">
        <v>25.0</v>
      </c>
      <c r="K201" s="80">
        <v>3.0</v>
      </c>
      <c r="L201" s="77">
        <v>-75.0</v>
      </c>
      <c r="M201" s="81">
        <v>2.0</v>
      </c>
      <c r="N201" s="33">
        <f t="shared" si="13"/>
        <v>75</v>
      </c>
      <c r="O201" s="50">
        <v>794.0</v>
      </c>
      <c r="P201" s="34">
        <f t="shared" si="14"/>
        <v>264.6666667</v>
      </c>
      <c r="Q201" s="60"/>
      <c r="R201" s="36">
        <f t="shared" si="15"/>
        <v>2</v>
      </c>
      <c r="S201" s="78">
        <v>32.0</v>
      </c>
      <c r="T201" s="37">
        <f t="shared" si="16"/>
        <v>34</v>
      </c>
      <c r="U201" s="38">
        <v>1.0</v>
      </c>
      <c r="V201" s="74">
        <v>49.647887323943664</v>
      </c>
      <c r="W201" s="74">
        <v>-6.002269503546099</v>
      </c>
      <c r="X201" s="35">
        <f t="shared" si="20"/>
        <v>0.26</v>
      </c>
      <c r="Y201" s="35">
        <f t="shared" si="17"/>
        <v>0</v>
      </c>
      <c r="Z201" s="40">
        <f t="shared" si="21"/>
        <v>25.16</v>
      </c>
      <c r="AA201" s="34">
        <f t="shared" si="22"/>
        <v>8.84</v>
      </c>
      <c r="AB201" s="41">
        <f t="shared" si="23"/>
        <v>0</v>
      </c>
      <c r="AC201" s="42" t="b">
        <v>0</v>
      </c>
      <c r="AD201" s="42" t="s">
        <v>138</v>
      </c>
      <c r="AE201" s="42" t="s">
        <v>138</v>
      </c>
      <c r="AF201" s="42" t="str">
        <f t="array" ref="AF201">INDEX('Deal Info'!D:D, MATCH(A201,'Deal Info'!A:A, 0))</f>
        <v>SF</v>
      </c>
      <c r="AG201" s="43" t="str">
        <f t="array" ref="AG201">INDEX('Deal Info'!G:G, MATCH(A201,'Deal Info'!A:A, 0))</f>
        <v>None</v>
      </c>
    </row>
    <row r="202" hidden="1">
      <c r="A202" s="23" t="str">
        <f t="array" ref="A202">if(G202='Room Info'!$B$1, INDEX('Room Info'!$A$2:$A3446, MATCH(B202,'Room Info'!$B$2:$B3446, 0)),if(G202='Room Info'!$C$1, INDEX('Room Info'!$A$2:$A3446, MATCH(B202,'Room Info'!$C$2:$C3446, 0)),if(G202='Room Info'!$D$1, INDEX('Room Info'!$A$2:$A3446, MATCH(B202,'Room Info'!$D$2:$D3446, 0)),if(G202='Room Info'!$E$1, INDEX('Room Info'!$A$2:$A3446, MATCH(B202,'Room Info'!$E$2:$E3446, 0)),if(G202='Room Info'!$F$1, INDEX('Room Info'!$A$2:$A3446, MATCH(B202,'Room Info'!$F$2:$F3446, 0)),if(G202='Room Info'!$H$1, INDEX('Room Info'!$A$2:$A3446, MATCH(B202,'Room Info'!$H$2:$H3446, 0)),if(G202='Room Info'!$G$1, INDEX('Room Info'!$A$2:$A3446, MATCH(B202,'Room Info'!$G$2:$G3446, 0)))))))))</f>
        <v>Fedorovi4</v>
      </c>
      <c r="B202" s="50" t="s">
        <v>152</v>
      </c>
      <c r="C202" s="82">
        <v>44916.0</v>
      </c>
      <c r="D202" s="82">
        <v>44946.0</v>
      </c>
      <c r="E202" s="52">
        <v>44927.0</v>
      </c>
      <c r="F202" s="53" t="s">
        <v>4</v>
      </c>
      <c r="G202" s="50" t="s">
        <v>5</v>
      </c>
      <c r="H202" s="54" t="s">
        <v>74</v>
      </c>
      <c r="I202" s="54" t="s">
        <v>7</v>
      </c>
      <c r="J202" s="79">
        <v>50.0</v>
      </c>
      <c r="K202" s="80">
        <v>210.0</v>
      </c>
      <c r="L202" s="77">
        <v>-1400.0</v>
      </c>
      <c r="M202" s="81">
        <v>288.0</v>
      </c>
      <c r="N202" s="33">
        <f t="shared" si="13"/>
        <v>10500</v>
      </c>
      <c r="O202" s="50">
        <v>339.0</v>
      </c>
      <c r="P202" s="34">
        <f t="shared" si="14"/>
        <v>1.614285714</v>
      </c>
      <c r="Q202" s="60"/>
      <c r="R202" s="36">
        <f t="shared" si="15"/>
        <v>288</v>
      </c>
      <c r="S202" s="78">
        <v>-620.0</v>
      </c>
      <c r="T202" s="37">
        <f t="shared" si="16"/>
        <v>-332</v>
      </c>
      <c r="U202" s="38">
        <v>1.0</v>
      </c>
      <c r="V202" s="74">
        <v>49.647887323943664</v>
      </c>
      <c r="W202" s="74">
        <v>-6.002269503546099</v>
      </c>
      <c r="X202" s="35">
        <f t="shared" si="20"/>
        <v>0.26</v>
      </c>
      <c r="Y202" s="35">
        <f t="shared" si="17"/>
        <v>0</v>
      </c>
      <c r="Z202" s="40">
        <f t="shared" si="21"/>
        <v>-245.68</v>
      </c>
      <c r="AA202" s="34">
        <f t="shared" si="22"/>
        <v>-86.32</v>
      </c>
      <c r="AB202" s="41">
        <f t="shared" si="23"/>
        <v>0</v>
      </c>
      <c r="AC202" s="42" t="b">
        <v>0</v>
      </c>
      <c r="AD202" s="42" t="s">
        <v>138</v>
      </c>
      <c r="AE202" s="42" t="s">
        <v>138</v>
      </c>
      <c r="AF202" s="42" t="str">
        <f t="array" ref="AF202">INDEX('Deal Info'!D:D, MATCH(A202,'Deal Info'!A:A, 0))</f>
        <v>SF</v>
      </c>
      <c r="AG202" s="43" t="str">
        <f t="array" ref="AG202">INDEX('Deal Info'!G:G, MATCH(A202,'Deal Info'!A:A, 0))</f>
        <v>None</v>
      </c>
    </row>
    <row r="203" hidden="1">
      <c r="A203" s="23" t="str">
        <f t="array" ref="A203">if(G203='Room Info'!$B$1, INDEX('Room Info'!$A$2:$A3446, MATCH(B203,'Room Info'!$B$2:$B3446, 0)),if(G203='Room Info'!$C$1, INDEX('Room Info'!$A$2:$A3446, MATCH(B203,'Room Info'!$C$2:$C3446, 0)),if(G203='Room Info'!$D$1, INDEX('Room Info'!$A$2:$A3446, MATCH(B203,'Room Info'!$D$2:$D3446, 0)),if(G203='Room Info'!$E$1, INDEX('Room Info'!$A$2:$A3446, MATCH(B203,'Room Info'!$E$2:$E3446, 0)),if(G203='Room Info'!$F$1, INDEX('Room Info'!$A$2:$A3446, MATCH(B203,'Room Info'!$F$2:$F3446, 0)),if(G203='Room Info'!$H$1, INDEX('Room Info'!$A$2:$A3446, MATCH(B203,'Room Info'!$H$2:$H3446, 0)),if(G203='Room Info'!$G$1, INDEX('Room Info'!$A$2:$A3446, MATCH(B203,'Room Info'!$G$2:$G3446, 0)))))))))</f>
        <v>Lo4io</v>
      </c>
      <c r="B203" s="50" t="s">
        <v>153</v>
      </c>
      <c r="C203" s="82">
        <v>44672.0</v>
      </c>
      <c r="D203" s="82">
        <v>44701.0</v>
      </c>
      <c r="E203" s="52">
        <v>44682.0</v>
      </c>
      <c r="F203" s="53" t="s">
        <v>4</v>
      </c>
      <c r="G203" s="50" t="s">
        <v>13</v>
      </c>
      <c r="H203" s="54" t="s">
        <v>59</v>
      </c>
      <c r="I203" s="54" t="s">
        <v>18</v>
      </c>
      <c r="J203" s="79">
        <v>20.0</v>
      </c>
      <c r="K203" s="80">
        <v>3731.0</v>
      </c>
      <c r="L203" s="77">
        <v>-1820.0</v>
      </c>
      <c r="M203" s="81">
        <v>4122.0</v>
      </c>
      <c r="N203" s="33">
        <f t="shared" si="13"/>
        <v>74620</v>
      </c>
      <c r="O203" s="50">
        <v>32609.0</v>
      </c>
      <c r="P203" s="34">
        <f t="shared" si="14"/>
        <v>8.740016081</v>
      </c>
      <c r="Q203" s="60"/>
      <c r="R203" s="36">
        <f t="shared" si="15"/>
        <v>4122</v>
      </c>
      <c r="S203" s="78">
        <v>-3503.0</v>
      </c>
      <c r="T203" s="37">
        <f t="shared" si="16"/>
        <v>619</v>
      </c>
      <c r="U203" s="62">
        <v>1.0</v>
      </c>
      <c r="V203" s="74">
        <v>27.072653884964684</v>
      </c>
      <c r="W203" s="74">
        <v>68.03913675500391</v>
      </c>
      <c r="X203" s="35">
        <f t="shared" si="20"/>
        <v>0.2</v>
      </c>
      <c r="Y203" s="35">
        <f t="shared" si="17"/>
        <v>0</v>
      </c>
      <c r="Z203" s="40">
        <f t="shared" si="21"/>
        <v>495.2</v>
      </c>
      <c r="AA203" s="34">
        <f t="shared" si="22"/>
        <v>123.8</v>
      </c>
      <c r="AB203" s="41">
        <f t="shared" si="23"/>
        <v>0</v>
      </c>
      <c r="AC203" s="42" t="b">
        <v>1</v>
      </c>
      <c r="AD203" s="42" t="s">
        <v>138</v>
      </c>
      <c r="AE203" s="42" t="s">
        <v>138</v>
      </c>
      <c r="AF203" s="42" t="str">
        <f t="array" ref="AF203">INDEX('Deal Info'!D:D, MATCH(A203,'Deal Info'!A:A, 0))</f>
        <v>DoEVLo</v>
      </c>
      <c r="AG203" s="43" t="str">
        <f t="array" ref="AG203">INDEX('Deal Info'!G:G, MATCH(A203,'Deal Info'!A:A, 0))</f>
        <v>None</v>
      </c>
    </row>
    <row r="204" hidden="1">
      <c r="A204" s="23" t="str">
        <f t="array" ref="A204">if(G204='Room Info'!$B$1, INDEX('Room Info'!$A$2:$A3446, MATCH(B204,'Room Info'!$B$2:$B3446, 0)),if(G204='Room Info'!$C$1, INDEX('Room Info'!$A$2:$A3446, MATCH(B204,'Room Info'!$C$2:$C3446, 0)),if(G204='Room Info'!$D$1, INDEX('Room Info'!$A$2:$A3446, MATCH(B204,'Room Info'!$D$2:$D3446, 0)),if(G204='Room Info'!$E$1, INDEX('Room Info'!$A$2:$A3446, MATCH(B204,'Room Info'!$E$2:$E3446, 0)),if(G204='Room Info'!$F$1, INDEX('Room Info'!$A$2:$A3446, MATCH(B204,'Room Info'!$F$2:$F3446, 0)),if(G204='Room Info'!$H$1, INDEX('Room Info'!$A$2:$A3446, MATCH(B204,'Room Info'!$H$2:$H3446, 0)),if(G204='Room Info'!$G$1, INDEX('Room Info'!$A$2:$A3446, MATCH(B204,'Room Info'!$G$2:$G3446, 0)))))))))</f>
        <v>Lo4io</v>
      </c>
      <c r="B204" s="50" t="s">
        <v>153</v>
      </c>
      <c r="C204" s="82">
        <v>44672.0</v>
      </c>
      <c r="D204" s="82">
        <v>44701.0</v>
      </c>
      <c r="E204" s="52">
        <v>44682.0</v>
      </c>
      <c r="F204" s="53" t="s">
        <v>4</v>
      </c>
      <c r="G204" s="50" t="s">
        <v>13</v>
      </c>
      <c r="H204" s="54" t="s">
        <v>74</v>
      </c>
      <c r="I204" s="54" t="s">
        <v>18</v>
      </c>
      <c r="J204" s="79">
        <v>50.0</v>
      </c>
      <c r="K204" s="80">
        <v>569.0</v>
      </c>
      <c r="L204" s="77">
        <v>-4250.0</v>
      </c>
      <c r="M204" s="81">
        <v>1727.0</v>
      </c>
      <c r="N204" s="33">
        <f t="shared" si="13"/>
        <v>28450</v>
      </c>
      <c r="O204" s="50">
        <v>2136.0</v>
      </c>
      <c r="P204" s="34">
        <f t="shared" si="14"/>
        <v>3.753954306</v>
      </c>
      <c r="Q204" s="60"/>
      <c r="R204" s="36">
        <f t="shared" si="15"/>
        <v>1727</v>
      </c>
      <c r="S204" s="78">
        <v>-1744.0</v>
      </c>
      <c r="T204" s="37">
        <f t="shared" si="16"/>
        <v>-17</v>
      </c>
      <c r="U204" s="62">
        <v>1.0</v>
      </c>
      <c r="V204" s="74">
        <v>27.072653884964684</v>
      </c>
      <c r="W204" s="74">
        <v>68.03913675500391</v>
      </c>
      <c r="X204" s="35">
        <f t="shared" si="20"/>
        <v>0.2</v>
      </c>
      <c r="Y204" s="35">
        <f t="shared" si="17"/>
        <v>0</v>
      </c>
      <c r="Z204" s="40">
        <f t="shared" si="21"/>
        <v>-13.6</v>
      </c>
      <c r="AA204" s="34">
        <f t="shared" si="22"/>
        <v>-3.4</v>
      </c>
      <c r="AB204" s="41">
        <f t="shared" si="23"/>
        <v>0</v>
      </c>
      <c r="AC204" s="42" t="b">
        <v>1</v>
      </c>
      <c r="AD204" s="42" t="s">
        <v>138</v>
      </c>
      <c r="AE204" s="42" t="s">
        <v>138</v>
      </c>
      <c r="AF204" s="42" t="str">
        <f t="array" ref="AF204">INDEX('Deal Info'!D:D, MATCH(A204,'Deal Info'!A:A, 0))</f>
        <v>DoEVLo</v>
      </c>
      <c r="AG204" s="43" t="str">
        <f t="array" ref="AG204">INDEX('Deal Info'!G:G, MATCH(A204,'Deal Info'!A:A, 0))</f>
        <v>None</v>
      </c>
    </row>
    <row r="205" hidden="1">
      <c r="A205" s="23" t="str">
        <f t="array" ref="A205">if(G205='Room Info'!$B$1, INDEX('Room Info'!$A$2:$A3446, MATCH(B205,'Room Info'!$B$2:$B3446, 0)),if(G205='Room Info'!$C$1, INDEX('Room Info'!$A$2:$A3446, MATCH(B205,'Room Info'!$C$2:$C3446, 0)),if(G205='Room Info'!$D$1, INDEX('Room Info'!$A$2:$A3446, MATCH(B205,'Room Info'!$D$2:$D3446, 0)),if(G205='Room Info'!$E$1, INDEX('Room Info'!$A$2:$A3446, MATCH(B205,'Room Info'!$E$2:$E3446, 0)),if(G205='Room Info'!$F$1, INDEX('Room Info'!$A$2:$A3446, MATCH(B205,'Room Info'!$F$2:$F3446, 0)),if(G205='Room Info'!$H$1, INDEX('Room Info'!$A$2:$A3446, MATCH(B205,'Room Info'!$H$2:$H3446, 0)),if(G205='Room Info'!$G$1, INDEX('Room Info'!$A$2:$A3446, MATCH(B205,'Room Info'!$G$2:$G3446, 0)))))))))</f>
        <v>Lo4io</v>
      </c>
      <c r="B205" s="50" t="s">
        <v>153</v>
      </c>
      <c r="C205" s="82">
        <v>44672.0</v>
      </c>
      <c r="D205" s="82">
        <v>44701.0</v>
      </c>
      <c r="E205" s="52">
        <v>44682.0</v>
      </c>
      <c r="F205" s="53" t="s">
        <v>4</v>
      </c>
      <c r="G205" s="50" t="s">
        <v>13</v>
      </c>
      <c r="H205" s="54" t="s">
        <v>85</v>
      </c>
      <c r="I205" s="54" t="s">
        <v>18</v>
      </c>
      <c r="J205" s="79">
        <v>100.0</v>
      </c>
      <c r="K205" s="80">
        <v>1.0</v>
      </c>
      <c r="L205" s="77">
        <v>-100.0</v>
      </c>
      <c r="M205" s="81">
        <v>6.0</v>
      </c>
      <c r="N205" s="33">
        <f t="shared" si="13"/>
        <v>100</v>
      </c>
      <c r="O205" s="50">
        <v>182.0</v>
      </c>
      <c r="P205" s="34">
        <f t="shared" si="14"/>
        <v>182</v>
      </c>
      <c r="Q205" s="60"/>
      <c r="R205" s="36">
        <f t="shared" si="15"/>
        <v>6</v>
      </c>
      <c r="S205" s="78">
        <v>45.0</v>
      </c>
      <c r="T205" s="37">
        <f t="shared" si="16"/>
        <v>51</v>
      </c>
      <c r="U205" s="62">
        <v>1.0</v>
      </c>
      <c r="V205" s="74">
        <v>27.072653884964684</v>
      </c>
      <c r="W205" s="74">
        <v>68.03913675500391</v>
      </c>
      <c r="X205" s="35">
        <f t="shared" si="20"/>
        <v>0.2</v>
      </c>
      <c r="Y205" s="35">
        <f t="shared" si="17"/>
        <v>0</v>
      </c>
      <c r="Z205" s="40">
        <f t="shared" si="21"/>
        <v>40.8</v>
      </c>
      <c r="AA205" s="34">
        <f t="shared" si="22"/>
        <v>10.2</v>
      </c>
      <c r="AB205" s="41">
        <f t="shared" si="23"/>
        <v>0</v>
      </c>
      <c r="AC205" s="42" t="b">
        <v>1</v>
      </c>
      <c r="AD205" s="42" t="s">
        <v>138</v>
      </c>
      <c r="AE205" s="42" t="s">
        <v>138</v>
      </c>
      <c r="AF205" s="42" t="str">
        <f t="array" ref="AF205">INDEX('Deal Info'!D:D, MATCH(A205,'Deal Info'!A:A, 0))</f>
        <v>DoEVLo</v>
      </c>
      <c r="AG205" s="43" t="str">
        <f t="array" ref="AG205">INDEX('Deal Info'!G:G, MATCH(A205,'Deal Info'!A:A, 0))</f>
        <v>None</v>
      </c>
    </row>
    <row r="206" hidden="1">
      <c r="A206" s="23" t="s">
        <v>154</v>
      </c>
      <c r="B206" s="50" t="s">
        <v>155</v>
      </c>
      <c r="C206" s="51">
        <v>44682.0</v>
      </c>
      <c r="D206" s="51">
        <v>44697.0</v>
      </c>
      <c r="E206" s="52">
        <v>44682.0</v>
      </c>
      <c r="F206" s="53" t="s">
        <v>12</v>
      </c>
      <c r="G206" s="59" t="s">
        <v>9</v>
      </c>
      <c r="H206" s="54" t="s">
        <v>105</v>
      </c>
      <c r="I206" s="54" t="s">
        <v>7</v>
      </c>
      <c r="J206" s="55">
        <v>500.0</v>
      </c>
      <c r="K206" s="56">
        <v>1.0</v>
      </c>
      <c r="L206" s="57">
        <v>500.0</v>
      </c>
      <c r="M206" s="58">
        <v>9.0</v>
      </c>
      <c r="N206" s="33">
        <f t="shared" si="13"/>
        <v>500</v>
      </c>
      <c r="O206" s="59">
        <v>-221.0</v>
      </c>
      <c r="P206" s="34">
        <f t="shared" si="14"/>
        <v>-221</v>
      </c>
      <c r="Q206" s="60"/>
      <c r="R206" s="36">
        <f t="shared" si="15"/>
        <v>9</v>
      </c>
      <c r="S206" s="61"/>
      <c r="T206" s="37">
        <f t="shared" si="16"/>
        <v>509</v>
      </c>
      <c r="U206" s="62">
        <v>1.07</v>
      </c>
      <c r="V206" s="63"/>
      <c r="W206" s="63"/>
      <c r="X206" s="83">
        <v>0.25</v>
      </c>
      <c r="Y206" s="35">
        <f>if(AG206="None",0,if(AG206="Fix5",0.05, if(AG206="Fix6.25",0.0625,if(AG206="Fix3.75",0.0375,if(AG206="Fix10",0.1,if(AG206="Fix3",0.03,0))))))</f>
        <v>0</v>
      </c>
      <c r="Z206" s="40">
        <f t="shared" si="21"/>
        <v>373</v>
      </c>
      <c r="AA206" s="34">
        <f t="shared" si="22"/>
        <v>136</v>
      </c>
      <c r="AB206" s="41">
        <f t="shared" si="23"/>
        <v>0</v>
      </c>
      <c r="AC206" s="42" t="b">
        <v>1</v>
      </c>
      <c r="AD206" s="66" t="s">
        <v>140</v>
      </c>
      <c r="AE206" s="66"/>
      <c r="AF206" s="42" t="str">
        <f t="array" ref="AF206">INDEX('Deal Info'!D:D, MATCH(A206,'Deal Info'!A:A, 0))</f>
        <v>DoEVold</v>
      </c>
      <c r="AG206" s="43" t="str">
        <f t="array" ref="AG206">INDEX('Deal Info'!G:G, MATCH(A206,'Deal Info'!A:A, 0))</f>
        <v>None</v>
      </c>
    </row>
    <row r="207" hidden="1">
      <c r="A207" s="23" t="str">
        <f t="array" ref="A207">if(G207='Room Info'!$B$1, INDEX('Room Info'!$A$2:$A3446, MATCH(B207,'Room Info'!$B$2:$B3446, 0)),if(G207='Room Info'!$C$1, INDEX('Room Info'!$A$2:$A3446, MATCH(B207,'Room Info'!$C$2:$C3446, 0)),if(G207='Room Info'!$D$1, INDEX('Room Info'!$A$2:$A3446, MATCH(B207,'Room Info'!$D$2:$D3446, 0)),if(G207='Room Info'!$E$1, INDEX('Room Info'!$A$2:$A3446, MATCH(B207,'Room Info'!$E$2:$E3446, 0)),if(G207='Room Info'!$F$1, INDEX('Room Info'!$A$2:$A3446, MATCH(B207,'Room Info'!$F$2:$F3446, 0)),if(G207='Room Info'!$H$1, INDEX('Room Info'!$A$2:$A3446, MATCH(B207,'Room Info'!$H$2:$H3446, 0)),if(G207='Room Info'!$G$1, INDEX('Room Info'!$A$2:$A3446, MATCH(B207,'Room Info'!$G$2:$G3446, 0)))))))))</f>
        <v>fortunate773</v>
      </c>
      <c r="B207" s="50" t="s">
        <v>145</v>
      </c>
      <c r="C207" s="51">
        <v>44713.0</v>
      </c>
      <c r="D207" s="51">
        <v>44742.0</v>
      </c>
      <c r="E207" s="52">
        <v>44713.0</v>
      </c>
      <c r="F207" s="50" t="s">
        <v>8</v>
      </c>
      <c r="G207" s="50" t="s">
        <v>9</v>
      </c>
      <c r="H207" s="54" t="s">
        <v>104</v>
      </c>
      <c r="I207" s="54" t="s">
        <v>21</v>
      </c>
      <c r="J207" s="75">
        <v>500.0</v>
      </c>
      <c r="K207" s="76">
        <v>493.0</v>
      </c>
      <c r="L207" s="57">
        <v>-2000.0</v>
      </c>
      <c r="M207" s="58">
        <v>0.0</v>
      </c>
      <c r="N207" s="33">
        <f t="shared" si="13"/>
        <v>246500</v>
      </c>
      <c r="O207" s="59">
        <v>24751.0</v>
      </c>
      <c r="P207" s="34">
        <f t="shared" si="14"/>
        <v>50.20486815</v>
      </c>
      <c r="Q207" s="60"/>
      <c r="R207" s="36">
        <f t="shared" si="15"/>
        <v>0</v>
      </c>
      <c r="S207" s="61">
        <v>2201.0</v>
      </c>
      <c r="T207" s="37">
        <f t="shared" si="16"/>
        <v>2201</v>
      </c>
      <c r="U207" s="62">
        <v>1.0</v>
      </c>
      <c r="V207" s="63"/>
      <c r="W207" s="63"/>
      <c r="X207" s="83">
        <v>0.17</v>
      </c>
      <c r="Y207" s="83">
        <v>0.06</v>
      </c>
      <c r="Z207" s="64">
        <v>1717.0</v>
      </c>
      <c r="AA207" s="65">
        <v>484.0</v>
      </c>
      <c r="AB207" s="41"/>
      <c r="AC207" s="42" t="b">
        <v>1</v>
      </c>
      <c r="AD207" s="66" t="s">
        <v>140</v>
      </c>
      <c r="AE207" s="66"/>
      <c r="AF207" s="42" t="str">
        <f t="array" ref="AF207">INDEX('Deal Info'!D:D, MATCH(A207,'Deal Info'!A:A, 0))</f>
        <v>Fix15</v>
      </c>
      <c r="AG207" s="43" t="str">
        <f t="array" ref="AG207">INDEX('Deal Info'!G:G, MATCH(A207,'Deal Info'!A:A, 0))</f>
        <v>Fix5</v>
      </c>
    </row>
    <row r="208" hidden="1">
      <c r="A208" s="23" t="str">
        <f t="array" ref="A208">if(G208='Room Info'!$B$1, INDEX('Room Info'!$A$2:$A3446, MATCH(B208,'Room Info'!$B$2:$B3446, 0)),if(G208='Room Info'!$C$1, INDEX('Room Info'!$A$2:$A3446, MATCH(B208,'Room Info'!$C$2:$C3446, 0)),if(G208='Room Info'!$D$1, INDEX('Room Info'!$A$2:$A3446, MATCH(B208,'Room Info'!$D$2:$D3446, 0)),if(G208='Room Info'!$E$1, INDEX('Room Info'!$A$2:$A3446, MATCH(B208,'Room Info'!$E$2:$E3446, 0)),if(G208='Room Info'!$F$1, INDEX('Room Info'!$A$2:$A3446, MATCH(B208,'Room Info'!$F$2:$F3446, 0)),if(G208='Room Info'!$H$1, INDEX('Room Info'!$A$2:$A3446, MATCH(B208,'Room Info'!$H$2:$H3446, 0)),if(G208='Room Info'!$G$1, INDEX('Room Info'!$A$2:$A3446, MATCH(B208,'Room Info'!$G$2:$G3446, 0)))))))))</f>
        <v>Lo4io</v>
      </c>
      <c r="B208" s="50" t="s">
        <v>156</v>
      </c>
      <c r="C208" s="82">
        <v>44672.0</v>
      </c>
      <c r="D208" s="82">
        <v>44701.0</v>
      </c>
      <c r="E208" s="52">
        <v>44682.0</v>
      </c>
      <c r="F208" s="53" t="s">
        <v>4</v>
      </c>
      <c r="G208" s="50" t="s">
        <v>5</v>
      </c>
      <c r="H208" s="54" t="s">
        <v>62</v>
      </c>
      <c r="I208" s="54" t="s">
        <v>7</v>
      </c>
      <c r="J208" s="79">
        <v>25.0</v>
      </c>
      <c r="K208" s="80">
        <v>51.0</v>
      </c>
      <c r="L208" s="77">
        <v>175.0</v>
      </c>
      <c r="M208" s="58">
        <v>214.0</v>
      </c>
      <c r="N208" s="33">
        <f t="shared" si="13"/>
        <v>1275</v>
      </c>
      <c r="O208" s="50">
        <v>3448.0</v>
      </c>
      <c r="P208" s="34">
        <f t="shared" si="14"/>
        <v>67.60784314</v>
      </c>
      <c r="Q208" s="60"/>
      <c r="R208" s="36">
        <f t="shared" si="15"/>
        <v>214</v>
      </c>
      <c r="S208" s="78">
        <v>79.0</v>
      </c>
      <c r="T208" s="37">
        <f t="shared" si="16"/>
        <v>293</v>
      </c>
      <c r="U208" s="62">
        <v>1.0</v>
      </c>
      <c r="V208" s="74">
        <v>27.072653884964684</v>
      </c>
      <c r="W208" s="74">
        <v>68.03913675500391</v>
      </c>
      <c r="X208" s="35">
        <f t="shared" ref="X208:X209" si="24">IF(AF208="DoEV",IF(AND(V208&lt;20,W208&lt;55),0.3,0)+IF(AND(V208&lt;20,W208&gt;=55,W208&lt;105),0.23,0)+IF(AND(V208&lt;20,W208&gt;=105),0.17,0)+IF(AND(V208&gt;=20,V208&lt;40,W208&lt;45),0.3,0)+IF(AND(V208&gt;=20,V208&lt;40,W208&gt;=45,W208&lt;95),0.23,0)+IF(AND(V208&gt;=20,V208&lt;40,W208&gt;=95),0.17,0)+IF(AND(V208&gt;=40,V208&lt;75,W208&lt;35),0.3,0)+IF(AND(V208&gt;=40,V208&lt;75,W208&gt;=35,W208&lt;75),0.23,0)+IF(AND(V208&gt;=40,V208&lt;75,W208&gt;=75,W208&lt;120),0.17,0)+IF(AND(V208&gt;=40,V208&lt;75,W208&gt;=120),0.12,0)+IF(AND(V208&gt;=75,V208&lt;175,W208&lt;35),0.3,0)+IF(AND(V208&gt;=75,V208&lt;=175,W208&gt;=35,W208&lt;65),0.23,0)+IF(AND(V208&gt;=75,V208&lt;=175,W208&gt;=65,W208&lt;110),0.17,0)+IF(AND(V208&gt;=75,V208&lt;=175,W208&gt;=110),0.12,0)+IF(AND(V208&gt;175,W208&lt;25),0.3,0)+IF(AND(V208&gt;175,W208&gt;=25,W208&lt;55),0.23,0)+IF(AND(V208&gt;175,W208&gt;=55,W208&lt;95),0.17,0)+IF(AND(V208&gt;175,W208&gt;=95),0.12,0),
IF(AF208="Fix15",0.15,
IF(AF208="Fix11.25",0.1125,
IF(AF208="Fix10",0.1,
IF(AF208="Fix9",0.09,
IF(AF208="DoEV2017",IF(AND(W208&lt;74),0.2,0)+IF(AND(W208&gt;=74),0.17,0),
IF(AF208="SF",IF(AND(V208&lt;20,W208&lt;89),0.3,0)+IF(AND(V208&lt;20,W208&gt;=89),0.25,0)+IF(AND(V208&gt;=20,V208&lt;40,W208&lt;74),0.3,0)+IF(AND(V208&gt;=20,V208&lt;40,W208&gt;=75),0.22,0)+IF(AND(V208&gt;=40,V208&lt;75,W208&lt;75),0.26,0)+IF(AND(V208&gt;=40,V208&lt;75,W208&gt;=75),0.22,0)+IF(V208&gt;=75,0.22,0),
IF(AF208="DoEVold",IF(AND(V208&lt;40,W208&lt;35),0.35,0)+IF(AND(V208&lt;40,W208&gt;=35,W208&lt;75),0.25,0)+IF(AND(V208&lt;40,W208&gt;=75),0.17,0)+IF(AND(V208&gt;=40,V208&lt;75,W208&lt;25),0.35,0)+IF(AND(V208&gt;=40,V208&lt;75,W208&gt;=25,W208&lt;65),0.25,0)+IF(AND(V208&gt;=40,V208&lt;75,W208&gt;=65,W208&lt;100),0.17,0)+IF(AND(V208&gt;=40,V208&lt;75,W208&gt;=100),0.1,0)+IF(AND(V208&gt;=75,W208&lt;25),0.35,0)+IF(AND(V208&gt;=75,W208&gt;=25,W208&lt;60),0.25,0)+IF(AND(V208&gt;=75,W208&gt;=60,W208&lt;95),0.17,0)+IF(AND(V208&gt;=75,W208&gt;=95),0.1,0),
IF(AF208="DoEVold15",IF(AND(V208&lt;=40,W208&lt;35),0.35,0)+IF(AND(V208&lt;=40,W208&gt;=35,W208&lt;75),0.25,0)+IF(AND(V208&lt;=40,W208&gt;=75,W208&lt;120),0.17,0)+IF(AND(V208&lt;=40,W208&gt;=120),0.15,0)+IF(AND(V208&gt;40,V208&lt;75,W208&lt;25),0.35,0)+IF(AND(V208&gt;=40,V208&lt;75,W208&gt;=25,W208&lt;65),0.25,0)+IF(AND(V208&gt;=40,V208&lt;75,W208&gt;=65,W208&lt;100),0.17,0)+IF(AND(V208&gt;=40,V208&lt;75,W208&gt;=100),0.1,0)+IF(AND(V208&gt;=75,W208&lt;25),0.35,0)+IF(AND(V208&gt;=75,W208&gt;=25,W208&lt;60),0.25,0)+IF(AND(V208&gt;=75,W208&gt;=60,W208&lt;95),0.17,0)+IF(AND(V208&gt;=75,W208&gt;=95),0.1,0),
IF(AF208="DoEVba",IF(AND(V208&lt;20,W208&lt;105),0.2,0)+IF(AND(V208&lt;20,W208&gt;=105),0.15,0)+IF(AND(V208&gt;=20,V208&lt;40,W208&lt;95),0.2,0)+IF(AND(V208&gt;=20,V208&lt;40,W208&gt;=95,W208&lt;150),0.15,0)+IF(AND(V208&gt;=20,V208&lt;40,W208&gt;=150),0.12,0)+IF(AND(V208&gt;=40,V208&lt;75,W208&lt;75),0.2,0)+IF(AND(V208&gt;=40,V208&lt;75,W208&gt;=75,W208&lt;120),0.15,0)+IF(AND(V208&gt;=40,V208&lt;75,W208&gt;=120),0.12,0)+IF(AND(V208&gt;=75,V208&lt;175,W208&lt;65),0.2,0)+IF(AND(V208&gt;=75,V208&lt;175,W208&gt;=65,W208&lt;110),0.15,0)+IF(AND(V208&gt;=75,V208&lt;175,W208&gt;=110),0.12,0)+IF(AND(V208&gt;=175,W208&lt;55),0.2,0)+IF(AND(V208&gt;=175,W208&gt;=55,W208&lt;95),0.15,0)+IF(AND(V208&gt;=175,W208&gt;=95),0.12,0),
IF(AF208="DoEVku",IF(AND(V208&lt;20,W208&lt;55),0.23,0)+IF(AND(V208&lt;20,W208&gt;=55,W208&lt;105),0.2,0)+IF(AND(V208&lt;20,W208&gt;=105),0.17,0)+IF(AND(V208&gt;=20,V208&lt;40,W208&lt;45),0.23,0)+IF(AND(V208&gt;=20,V208&lt;40,W208&gt;=45,W208&lt;95),0.2,0)+IF(AND(V208&gt;=20,V208&lt;40,W208&gt;=95,W208&lt;=150),0.17,0)+IF(AND(V208&gt;=20,V208&lt;40,W208&gt;=150),0.12,0)+IF(AND(V208&gt;=40,V208&lt;75,W208&lt;35),0.23,0)+IF(AND(V208&gt;=40,V208&lt;75,W208&gt;=35,W208&lt;75),0.2,0)+IF(AND(V208&gt;=40,V208&lt;75,W208&gt;=75,W208&lt;120),0.17,0)+IF(AND(V208&gt;=40,V208&lt;75,W208&gt;=120),0.12,0)+IF(AND(V208&gt;=75,V208&lt;175,W208&lt;35),0.23,0)+IF(AND(V208&gt;=75,V208&lt;=175,W208&gt;=35,W208&lt;65),0.2,0)+IF(AND(V208&gt;=75,V208&lt;=175,W208&gt;=65,W208&lt;110),0.17,0)+IF(AND(V208&gt;=75,V208&lt;=175,W208&gt;=110),0.12,0)+IF(AND(V208&gt;175,W208&lt;25),0.23,0)+IF(AND(V208&gt;175,W208&gt;=25,W208&lt;55),0.2,0)+IF(AND(V208&gt;175,W208&gt;=55,W208&lt;95),0.17,0)+IF(AND(V208&gt;175,W208&gt;=95),0.12,0),
IF(AF208="DoEVs1",IF(AND(V208&lt;20,W208&lt;55),0.3,0)+IF(AND(V208&lt;20,W208&gt;=55,W208&lt;105),0.23,0)+IF(AND(V208&lt;20,W208&gt;=105),0.17,0)+IF(AND(V208&gt;=20,V208&lt;40,W208&lt;45),0.3,0)+IF(AND(V208&gt;=20,V208&lt;40,W208&gt;=45,W208&lt;95),0.23,0)+IF(AND(V208&gt;=20,V208&lt;40,W208&gt;=95,W208&lt;=150),0.17,0)+IF(AND(V208&gt;=20,V208&lt;40,W208&gt;=150),0.12,0)+IF(AND(V208&gt;=40,V208&lt;75,W208&lt;35),0.3,0)+IF(AND(V208&gt;=40,V208&lt;75,W208&gt;=35,W208&lt;75),0.23,0)+IF(AND(V208&gt;=40,V208&lt;75,W208&gt;=75,W208&lt;120),0.17,0)+IF(AND(V208&gt;=40,V208&lt;75,W208&gt;=120),0.12,0)+IF(AND(V208&gt;=75,V208&lt;175,W208&lt;35),0.3,0)+IF(AND(V208&gt;=75,V208&lt;=175,W208&gt;=35,W208&lt;65),0.23,0)+IF(AND(V208&gt;=75,V208&lt;=175,W208&gt;=65,W208&lt;110),0.17,0)+IF(AND(V208&gt;=75,V208&lt;=175,W208&gt;=110),0.12,0)+IF(AND(V208&gt;175,W208&lt;25),0.3,0)+IF(AND(V208&gt;175,W208&gt;=25,W208&lt;55),0.23,0)+IF(AND(V208&gt;175,W208&gt;=55,W208&lt;95),0.17,0)+IF(AND(V208&gt;175,W208&gt;=95),0.12,0),
IF(AF208="DoEVsu",IF(AND(V208&lt;20,W208&lt;55),0.3,0)+IF(AND(V208&lt;20,W208&gt;=55,W208&lt;105),0.23,0)+IF(AND(V208&lt;20,W208&gt;=105),0.17,0)+IF(AND(V208&gt;=20,V208&lt;40,W208&lt;45),0.3,0)+IF(AND(V208&gt;=20,V208&lt;40,W208&gt;=45,W208&lt;95),0.23,0)+IF(AND(V208&gt;=20,V208&lt;40,W208&gt;=95,W208&lt;=250),0.17,0)+IF(AND(V208&gt;=20,V208&lt;40,W208&gt;=250),0.12,0)+IF(AND(V208&gt;=40,V208&lt;75,W208&lt;35),0.3,0)+IF(AND(V208&gt;=40,V208&lt;75,W208&gt;=35,W208&lt;75),0.23,0)+IF(AND(V208&gt;=40,V208&lt;75,W208&gt;=75,W208&lt;120),0.17,0)+IF(AND(V208&gt;=40,V208&lt;75,W208&gt;=120),0.12,0)+IF(AND(V208&gt;=75,V208&lt;175,W208&lt;35),0.3,0)+IF(AND(V208&gt;=75,V208&lt;=175,W208&gt;=35,W208&lt;65),0.23,0)+IF(AND(V208&gt;=75,V208&lt;=175,W208&gt;=65,W208&lt;110),0.17,0)+IF(AND(V208&gt;=75,V208&lt;=175,W208&gt;=110),0.12,0)+IF(AND(V208&gt;175,W208&lt;25),0.3,0)+IF(AND(V208&gt;175,W208&gt;=25,W208&lt;55),0.23,0)+IF(AND(V208&gt;175,W208&gt;=55,W208&lt;95),0.17,0)+IF(AND(V208&gt;175,W208&gt;=95),0.12,0),
IF(AF208="DoEVni",IF(AND(V208&lt;20,W208&lt;55),0.3,0)+IF(AND(V208&lt;20,W208&gt;=55,W208&lt;105),0.23,0)+IF(AND(V208&lt;20,W208&gt;=105),0.17,0)+IF(AND(V208&gt;=20,V208&lt;40,W208&lt;45),0.3,0)+IF(AND(V208&gt;=20,V208&lt;40,W208&gt;=45,W208&lt;95),0.23,0)+IF(AND(V208&gt;=20,V208&lt;40,W208&gt;=95,W208&lt;=200),0.17,0)+IF(AND(V208&gt;=20,V208&lt;40,W208&gt;=200),0.12,0)+IF(AND(V208&gt;=40,V208&lt;75,W208&lt;35),0.3,0)+IF(AND(V208&gt;=40,V208&lt;75,W208&gt;=35,W208&lt;75),0.23,0)+IF(AND(V208&gt;=40,V208&lt;75,W208&gt;=75,W208&lt;120),0.17,0)+IF(AND(V208&gt;=40,V208&lt;75,W208&gt;=120),0.12,0)+IF(AND(V208&gt;=75,V208&lt;175,W208&lt;35),0.3,0)+IF(AND(V208&gt;=75,V208&lt;=175,W208&gt;=35,W208&lt;65),0.23,0)+IF(AND(V208&gt;=75,V208&lt;=175,W208&gt;=65,W208&lt;110),0.17,0)+IF(AND(V208&gt;=75,V208&lt;=175,W208&gt;=110),0.12,0)+IF(AND(V208&gt;175,W208&lt;25),0.3,0)+IF(AND(V208&gt;175,W208&gt;=25,W208&lt;55),0.23,0)+IF(AND(V208&gt;175,W208&gt;=55,W208&lt;95),0.17,0)+IF(AND(V208&gt;175,W208&gt;=95),0.12,0),
IF(AF208="DoEVLo",IF(AND(V208&lt;20,W208&lt;55),0.25,0)+IF(AND(V208&lt;20,W208&gt;=55,W208&lt;105),0.2,0)+IF(AND(V208&lt;20,W208&gt;=105),0.15,0)+IF(AND(V208&gt;=20,V208&lt;40,W208&lt;45),0.25,0)+IF(AND(V208&gt;=20,V208&lt;40,W208&gt;=45,W208&lt;95),0.2,0)+IF(AND(V208&gt;=20,V208&lt;40,W208&gt;=95),0.15,0)+IF(AND(V208&gt;=40,V208&lt;75,W208&lt;35),0.25,0)+IF(AND(V208&gt;=40,V208&lt;75,W208&gt;=35,W208&lt;75),0.2,0)+IF(AND(V208&gt;=40,V208&lt;75,W208&gt;=75,W208&lt;120),0.15,0)+IF(AND(V208&gt;=40,V208&lt;75,W208&gt;=120),0.1,0)+IF(AND(V208&gt;=75,V208&lt;175,W208&lt;35),0.25,0)+IF(AND(V208&gt;=75,V208&lt;=175,W208&gt;=35,W208&lt;65),0.2,0)+IF(AND(V208&gt;=75,V208&lt;=175,W208&gt;=65,W208&lt;110),0.15,0)+IF(AND(V208&gt;=75,V208&lt;=175,W208&gt;=110),0.1,0)+IF(AND(V208&gt;175,W208&lt;25),0.25,0)+IF(AND(V208&gt;175,W208&gt;=25,W208&lt;55),0.2,0)+IF(AND(V208&gt;175,W208&gt;=55,W208&lt;95),0.15,0)+IF(AND(V208&gt;175,W208&gt;=95),0.1,0))))))))))))))))</f>
        <v>0.2</v>
      </c>
      <c r="Y208" s="35">
        <f t="shared" ref="Y208:Y209" si="25">if(AG208="None",0,if(AG208="Fix5",0.05,if(AG208="Fix3.75",0.0375,if(AG208="Fix10",0.1,if(AG208="Fix3",0.03,0)))))</f>
        <v>0</v>
      </c>
      <c r="Z208" s="40">
        <f t="shared" ref="Z208:Z209" si="26">T208-AA208-AB208</f>
        <v>234.4</v>
      </c>
      <c r="AA208" s="34">
        <f t="shared" ref="AA208:AA209" si="27">if(AD208="EUR",((T208-R208)*X208)*U208+(R208*X208),(T208*X208))</f>
        <v>58.6</v>
      </c>
      <c r="AB208" s="41">
        <f t="shared" ref="AB208:AB209" si="28">if(AD208="EUR",((T208-R208)*Y208)*U208+(R208*Y208),(T208*Y208))</f>
        <v>0</v>
      </c>
      <c r="AC208" s="42" t="b">
        <v>1</v>
      </c>
      <c r="AD208" s="42" t="s">
        <v>138</v>
      </c>
      <c r="AE208" s="42" t="s">
        <v>138</v>
      </c>
      <c r="AF208" s="42" t="str">
        <f t="array" ref="AF208">INDEX('Deal Info'!D:D, MATCH(A208,'Deal Info'!A:A, 0))</f>
        <v>DoEVLo</v>
      </c>
      <c r="AG208" s="43" t="str">
        <f t="array" ref="AG208">INDEX('Deal Info'!G:G, MATCH(A208,'Deal Info'!A:A, 0))</f>
        <v>None</v>
      </c>
    </row>
    <row r="209" hidden="1">
      <c r="A209" s="23" t="str">
        <f t="array" ref="A209">if(G209='Room Info'!$B$1, INDEX('Room Info'!$A$2:$A3446, MATCH(B209,'Room Info'!$B$2:$B3446, 0)),if(G209='Room Info'!$C$1, INDEX('Room Info'!$A$2:$A3446, MATCH(B209,'Room Info'!$C$2:$C3446, 0)),if(G209='Room Info'!$D$1, INDEX('Room Info'!$A$2:$A3446, MATCH(B209,'Room Info'!$D$2:$D3446, 0)),if(G209='Room Info'!$E$1, INDEX('Room Info'!$A$2:$A3446, MATCH(B209,'Room Info'!$E$2:$E3446, 0)),if(G209='Room Info'!$F$1, INDEX('Room Info'!$A$2:$A3446, MATCH(B209,'Room Info'!$F$2:$F3446, 0)),if(G209='Room Info'!$H$1, INDEX('Room Info'!$A$2:$A3446, MATCH(B209,'Room Info'!$H$2:$H3446, 0)),if(G209='Room Info'!$G$1, INDEX('Room Info'!$A$2:$A3446, MATCH(B209,'Room Info'!$G$2:$G3446, 0)))))))))</f>
        <v>Lo4io</v>
      </c>
      <c r="B209" s="50" t="s">
        <v>156</v>
      </c>
      <c r="C209" s="82">
        <v>44672.0</v>
      </c>
      <c r="D209" s="82">
        <v>44701.0</v>
      </c>
      <c r="E209" s="52">
        <v>44682.0</v>
      </c>
      <c r="F209" s="53" t="s">
        <v>4</v>
      </c>
      <c r="G209" s="50" t="s">
        <v>5</v>
      </c>
      <c r="H209" s="54" t="s">
        <v>74</v>
      </c>
      <c r="I209" s="54" t="s">
        <v>7</v>
      </c>
      <c r="J209" s="79">
        <v>50.0</v>
      </c>
      <c r="K209" s="80">
        <v>28.0</v>
      </c>
      <c r="L209" s="77">
        <v>0.0</v>
      </c>
      <c r="M209" s="58">
        <v>235.0</v>
      </c>
      <c r="N209" s="33">
        <f t="shared" si="13"/>
        <v>1400</v>
      </c>
      <c r="O209" s="50">
        <v>780.0</v>
      </c>
      <c r="P209" s="34">
        <f t="shared" si="14"/>
        <v>27.85714286</v>
      </c>
      <c r="Q209" s="60"/>
      <c r="R209" s="36">
        <f t="shared" si="15"/>
        <v>235</v>
      </c>
      <c r="S209" s="78">
        <v>-16.0</v>
      </c>
      <c r="T209" s="37">
        <f t="shared" si="16"/>
        <v>219</v>
      </c>
      <c r="U209" s="62">
        <v>1.0</v>
      </c>
      <c r="V209" s="74">
        <v>27.072653884964684</v>
      </c>
      <c r="W209" s="74">
        <v>68.03913675500391</v>
      </c>
      <c r="X209" s="35">
        <f t="shared" si="24"/>
        <v>0.2</v>
      </c>
      <c r="Y209" s="35">
        <f t="shared" si="25"/>
        <v>0</v>
      </c>
      <c r="Z209" s="40">
        <f t="shared" si="26"/>
        <v>175.2</v>
      </c>
      <c r="AA209" s="34">
        <f t="shared" si="27"/>
        <v>43.8</v>
      </c>
      <c r="AB209" s="41">
        <f t="shared" si="28"/>
        <v>0</v>
      </c>
      <c r="AC209" s="42" t="b">
        <v>1</v>
      </c>
      <c r="AD209" s="42" t="s">
        <v>138</v>
      </c>
      <c r="AE209" s="42" t="s">
        <v>138</v>
      </c>
      <c r="AF209" s="42" t="str">
        <f t="array" ref="AF209">INDEX('Deal Info'!D:D, MATCH(A209,'Deal Info'!A:A, 0))</f>
        <v>DoEVLo</v>
      </c>
      <c r="AG209" s="43" t="str">
        <f t="array" ref="AG209">INDEX('Deal Info'!G:G, MATCH(A209,'Deal Info'!A:A, 0))</f>
        <v>None</v>
      </c>
    </row>
    <row r="210" hidden="1">
      <c r="A210" s="23" t="str">
        <f t="array" ref="A210">if(G210='Room Info'!$B$1, INDEX('Room Info'!$A$2:$A3446, MATCH(B210,'Room Info'!$B$2:$B3446, 0)),if(G210='Room Info'!$C$1, INDEX('Room Info'!$A$2:$A3446, MATCH(B210,'Room Info'!$C$2:$C3446, 0)),if(G210='Room Info'!$D$1, INDEX('Room Info'!$A$2:$A3446, MATCH(B210,'Room Info'!$D$2:$D3446, 0)),if(G210='Room Info'!$E$1, INDEX('Room Info'!$A$2:$A3446, MATCH(B210,'Room Info'!$E$2:$E3446, 0)),if(G210='Room Info'!$F$1, INDEX('Room Info'!$A$2:$A3446, MATCH(B210,'Room Info'!$F$2:$F3446, 0)),if(G210='Room Info'!$H$1, INDEX('Room Info'!$A$2:$A3446, MATCH(B210,'Room Info'!$H$2:$H3446, 0)),if(G210='Room Info'!$G$1, INDEX('Room Info'!$A$2:$A3446, MATCH(B210,'Room Info'!$G$2:$G3446, 0)))))))))</f>
        <v>fortunate773</v>
      </c>
      <c r="B210" s="50" t="s">
        <v>145</v>
      </c>
      <c r="C210" s="51">
        <v>44743.0</v>
      </c>
      <c r="D210" s="51">
        <v>44773.0</v>
      </c>
      <c r="E210" s="52">
        <v>44743.0</v>
      </c>
      <c r="F210" s="50" t="s">
        <v>8</v>
      </c>
      <c r="G210" s="59" t="s">
        <v>9</v>
      </c>
      <c r="H210" s="54" t="s">
        <v>104</v>
      </c>
      <c r="I210" s="54" t="s">
        <v>21</v>
      </c>
      <c r="J210" s="55">
        <v>500.0</v>
      </c>
      <c r="K210" s="56">
        <v>391.0</v>
      </c>
      <c r="L210" s="57">
        <v>2500.0</v>
      </c>
      <c r="M210" s="58">
        <v>2309.0</v>
      </c>
      <c r="N210" s="33">
        <f t="shared" si="13"/>
        <v>195500</v>
      </c>
      <c r="O210" s="59">
        <v>26001.0</v>
      </c>
      <c r="P210" s="34">
        <f t="shared" si="14"/>
        <v>66.49872123</v>
      </c>
      <c r="Q210" s="60"/>
      <c r="R210" s="36">
        <f t="shared" si="15"/>
        <v>2309</v>
      </c>
      <c r="S210" s="61">
        <v>9019.0</v>
      </c>
      <c r="T210" s="37">
        <f t="shared" si="16"/>
        <v>11328</v>
      </c>
      <c r="U210" s="62">
        <v>1.0</v>
      </c>
      <c r="V210" s="63"/>
      <c r="W210" s="63"/>
      <c r="X210" s="83">
        <v>0.17</v>
      </c>
      <c r="Y210" s="83">
        <v>0.06</v>
      </c>
      <c r="Z210" s="64">
        <v>8836.0</v>
      </c>
      <c r="AA210" s="65">
        <v>2492.0</v>
      </c>
      <c r="AB210" s="41"/>
      <c r="AC210" s="42" t="b">
        <v>1</v>
      </c>
      <c r="AD210" s="66" t="s">
        <v>140</v>
      </c>
      <c r="AE210" s="66"/>
      <c r="AF210" s="42" t="str">
        <f t="array" ref="AF210">INDEX('Deal Info'!D:D, MATCH(A210,'Deal Info'!A:A, 0))</f>
        <v>Fix15</v>
      </c>
      <c r="AG210" s="43" t="str">
        <f t="array" ref="AG210">INDEX('Deal Info'!G:G, MATCH(A210,'Deal Info'!A:A, 0))</f>
        <v>Fix5</v>
      </c>
    </row>
    <row r="211" hidden="1">
      <c r="A211" s="23" t="str">
        <f t="array" ref="A211">if(G211='Room Info'!$B$1, INDEX('Room Info'!$A$2:$A3446, MATCH(B211,'Room Info'!$B$2:$B3446, 0)),if(G211='Room Info'!$C$1, INDEX('Room Info'!$A$2:$A3446, MATCH(B211,'Room Info'!$C$2:$C3446, 0)),if(G211='Room Info'!$D$1, INDEX('Room Info'!$A$2:$A3446, MATCH(B211,'Room Info'!$D$2:$D3446, 0)),if(G211='Room Info'!$E$1, INDEX('Room Info'!$A$2:$A3446, MATCH(B211,'Room Info'!$E$2:$E3446, 0)),if(G211='Room Info'!$F$1, INDEX('Room Info'!$A$2:$A3446, MATCH(B211,'Room Info'!$F$2:$F3446, 0)),if(G211='Room Info'!$H$1, INDEX('Room Info'!$A$2:$A3446, MATCH(B211,'Room Info'!$H$2:$H3446, 0)),if(G211='Room Info'!$G$1, INDEX('Room Info'!$A$2:$A3446, MATCH(B211,'Room Info'!$G$2:$G3446, 0)))))))))</f>
        <v>Lo4io</v>
      </c>
      <c r="B211" s="50" t="s">
        <v>156</v>
      </c>
      <c r="C211" s="82">
        <v>44702.0</v>
      </c>
      <c r="D211" s="82">
        <v>44732.0</v>
      </c>
      <c r="E211" s="52">
        <v>44713.0</v>
      </c>
      <c r="F211" s="53" t="s">
        <v>4</v>
      </c>
      <c r="G211" s="50" t="s">
        <v>13</v>
      </c>
      <c r="H211" s="54" t="s">
        <v>74</v>
      </c>
      <c r="I211" s="54" t="s">
        <v>18</v>
      </c>
      <c r="J211" s="79">
        <v>50.0</v>
      </c>
      <c r="K211" s="80">
        <v>747.0</v>
      </c>
      <c r="L211" s="77">
        <v>-3200.0</v>
      </c>
      <c r="M211" s="81">
        <v>2280.0</v>
      </c>
      <c r="N211" s="33">
        <f t="shared" si="13"/>
        <v>37350</v>
      </c>
      <c r="O211" s="50">
        <v>15417.0</v>
      </c>
      <c r="P211" s="34">
        <f t="shared" si="14"/>
        <v>20.63855422</v>
      </c>
      <c r="Q211" s="60"/>
      <c r="R211" s="36">
        <f t="shared" si="15"/>
        <v>2280</v>
      </c>
      <c r="S211" s="78">
        <v>-457.0</v>
      </c>
      <c r="T211" s="37">
        <f t="shared" si="16"/>
        <v>1823</v>
      </c>
      <c r="U211" s="62">
        <v>1.0</v>
      </c>
      <c r="V211" s="74">
        <v>48.60864941510103</v>
      </c>
      <c r="W211" s="74">
        <v>89.09936918869644</v>
      </c>
      <c r="X211" s="35">
        <f t="shared" ref="X211:X224" si="29">IF(AF211="DoEV",IF(AND(V211&lt;20,W211&lt;55),0.3,0)+IF(AND(V211&lt;20,W211&gt;=55,W211&lt;105),0.23,0)+IF(AND(V211&lt;20,W211&gt;=105),0.17,0)+IF(AND(V211&gt;=20,V211&lt;40,W211&lt;45),0.3,0)+IF(AND(V211&gt;=20,V211&lt;40,W211&gt;=45,W211&lt;95),0.23,0)+IF(AND(V211&gt;=20,V211&lt;40,W211&gt;=95),0.17,0)+IF(AND(V211&gt;=40,V211&lt;75,W211&lt;35),0.3,0)+IF(AND(V211&gt;=40,V211&lt;75,W211&gt;=35,W211&lt;75),0.23,0)+IF(AND(V211&gt;=40,V211&lt;75,W211&gt;=75,W211&lt;120),0.17,0)+IF(AND(V211&gt;=40,V211&lt;75,W211&gt;=120),0.12,0)+IF(AND(V211&gt;=75,V211&lt;175,W211&lt;35),0.3,0)+IF(AND(V211&gt;=75,V211&lt;=175,W211&gt;=35,W211&lt;65),0.23,0)+IF(AND(V211&gt;=75,V211&lt;=175,W211&gt;=65,W211&lt;110),0.17,0)+IF(AND(V211&gt;=75,V211&lt;=175,W211&gt;=110),0.12,0)+IF(AND(V211&gt;175,W211&lt;25),0.3,0)+IF(AND(V211&gt;175,W211&gt;=25,W211&lt;55),0.23,0)+IF(AND(V211&gt;175,W211&gt;=55,W211&lt;95),0.17,0)+IF(AND(V211&gt;175,W211&gt;=95),0.12,0),
IF(AF211="Fix15",0.15,
IF(AF211="Fix11.25",0.1125,
IF(AF211="Fix10",0.1,
IF(AF211="Fix9",0.09,
IF(AF211="DoEV2017",IF(AND(W211&lt;74),0.2,0)+IF(AND(W211&gt;=74),0.17,0),
IF(AF211="SF",IF(AND(V211&lt;20,W211&lt;89),0.3,0)+IF(AND(V211&lt;20,W211&gt;=89),0.25,0)+IF(AND(V211&gt;=20,V211&lt;40,W211&lt;74),0.3,0)+IF(AND(V211&gt;=20,V211&lt;40,W211&gt;=75),0.22,0)+IF(AND(V211&gt;=40,V211&lt;75,W211&lt;75),0.26,0)+IF(AND(V211&gt;=40,V211&lt;75,W211&gt;=75),0.22,0)+IF(V211&gt;=75,0.22,0),
IF(AF211="DoEVold",IF(AND(V211&lt;40,W211&lt;35),0.35,0)+IF(AND(V211&lt;40,W211&gt;=35,W211&lt;75),0.25,0)+IF(AND(V211&lt;40,W211&gt;=75),0.17,0)+IF(AND(V211&gt;=40,V211&lt;75,W211&lt;25),0.35,0)+IF(AND(V211&gt;=40,V211&lt;75,W211&gt;=25,W211&lt;65),0.25,0)+IF(AND(V211&gt;=40,V211&lt;75,W211&gt;=65,W211&lt;100),0.17,0)+IF(AND(V211&gt;=40,V211&lt;75,W211&gt;=100),0.1,0)+IF(AND(V211&gt;=75,W211&lt;25),0.35,0)+IF(AND(V211&gt;=75,W211&gt;=25,W211&lt;60),0.25,0)+IF(AND(V211&gt;=75,W211&gt;=60,W211&lt;95),0.17,0)+IF(AND(V211&gt;=75,W211&gt;=95),0.1,0),
IF(AF211="DoEVold15",IF(AND(V211&lt;=40,W211&lt;35),0.35,0)+IF(AND(V211&lt;=40,W211&gt;=35,W211&lt;75),0.25,0)+IF(AND(V211&lt;=40,W211&gt;=75,W211&lt;120),0.17,0)+IF(AND(V211&lt;=40,W211&gt;=120),0.15,0)+IF(AND(V211&gt;40,V211&lt;75,W211&lt;25),0.35,0)+IF(AND(V211&gt;=40,V211&lt;75,W211&gt;=25,W211&lt;65),0.25,0)+IF(AND(V211&gt;=40,V211&lt;75,W211&gt;=65,W211&lt;100),0.17,0)+IF(AND(V211&gt;=40,V211&lt;75,W211&gt;=100),0.1,0)+IF(AND(V211&gt;=75,W211&lt;25),0.35,0)+IF(AND(V211&gt;=75,W211&gt;=25,W211&lt;60),0.25,0)+IF(AND(V211&gt;=75,W211&gt;=60,W211&lt;95),0.17,0)+IF(AND(V211&gt;=75,W211&gt;=95),0.1,0),
IF(AF211="DoEVba",IF(AND(V211&lt;20,W211&lt;105),0.2,0)+IF(AND(V211&lt;20,W211&gt;=105),0.15,0)+IF(AND(V211&gt;=20,V211&lt;40,W211&lt;95),0.2,0)+IF(AND(V211&gt;=20,V211&lt;40,W211&gt;=95,W211&lt;150),0.15,0)+IF(AND(V211&gt;=20,V211&lt;40,W211&gt;=150),0.12,0)+IF(AND(V211&gt;=40,V211&lt;75,W211&lt;75),0.2,0)+IF(AND(V211&gt;=40,V211&lt;75,W211&gt;=75,W211&lt;120),0.15,0)+IF(AND(V211&gt;=40,V211&lt;75,W211&gt;=120),0.12,0)+IF(AND(V211&gt;=75,V211&lt;175,W211&lt;65),0.2,0)+IF(AND(V211&gt;=75,V211&lt;175,W211&gt;=65,W211&lt;110),0.15,0)+IF(AND(V211&gt;=75,V211&lt;175,W211&gt;=110),0.12,0)+IF(AND(V211&gt;=175,W211&lt;55),0.2,0)+IF(AND(V211&gt;=175,W211&gt;=55,W211&lt;95),0.15,0)+IF(AND(V211&gt;=175,W211&gt;=95),0.12,0),
IF(AF211="DoEVku",IF(AND(V211&lt;20,W211&lt;55),0.23,0)+IF(AND(V211&lt;20,W211&gt;=55,W211&lt;105),0.2,0)+IF(AND(V211&lt;20,W211&gt;=105),0.17,0)+IF(AND(V211&gt;=20,V211&lt;40,W211&lt;45),0.23,0)+IF(AND(V211&gt;=20,V211&lt;40,W211&gt;=45,W211&lt;95),0.2,0)+IF(AND(V211&gt;=20,V211&lt;40,W211&gt;=95,W211&lt;=150),0.17,0)+IF(AND(V211&gt;=20,V211&lt;40,W211&gt;=150),0.12,0)+IF(AND(V211&gt;=40,V211&lt;75,W211&lt;35),0.23,0)+IF(AND(V211&gt;=40,V211&lt;75,W211&gt;=35,W211&lt;75),0.2,0)+IF(AND(V211&gt;=40,V211&lt;75,W211&gt;=75,W211&lt;120),0.17,0)+IF(AND(V211&gt;=40,V211&lt;75,W211&gt;=120),0.12,0)+IF(AND(V211&gt;=75,V211&lt;175,W211&lt;35),0.23,0)+IF(AND(V211&gt;=75,V211&lt;=175,W211&gt;=35,W211&lt;65),0.2,0)+IF(AND(V211&gt;=75,V211&lt;=175,W211&gt;=65,W211&lt;110),0.17,0)+IF(AND(V211&gt;=75,V211&lt;=175,W211&gt;=110),0.12,0)+IF(AND(V211&gt;175,W211&lt;25),0.23,0)+IF(AND(V211&gt;175,W211&gt;=25,W211&lt;55),0.2,0)+IF(AND(V211&gt;175,W211&gt;=55,W211&lt;95),0.17,0)+IF(AND(V211&gt;175,W211&gt;=95),0.12,0),
IF(AF211="DoEVs1",IF(AND(V211&lt;20,W211&lt;55),0.3,0)+IF(AND(V211&lt;20,W211&gt;=55,W211&lt;105),0.23,0)+IF(AND(V211&lt;20,W211&gt;=105),0.17,0)+IF(AND(V211&gt;=20,V211&lt;40,W211&lt;45),0.3,0)+IF(AND(V211&gt;=20,V211&lt;40,W211&gt;=45,W211&lt;95),0.23,0)+IF(AND(V211&gt;=20,V211&lt;40,W211&gt;=95,W211&lt;=150),0.17,0)+IF(AND(V211&gt;=20,V211&lt;40,W211&gt;=150),0.12,0)+IF(AND(V211&gt;=40,V211&lt;75,W211&lt;35),0.3,0)+IF(AND(V211&gt;=40,V211&lt;75,W211&gt;=35,W211&lt;75),0.23,0)+IF(AND(V211&gt;=40,V211&lt;75,W211&gt;=75,W211&lt;120),0.17,0)+IF(AND(V211&gt;=40,V211&lt;75,W211&gt;=120),0.12,0)+IF(AND(V211&gt;=75,V211&lt;175,W211&lt;35),0.3,0)+IF(AND(V211&gt;=75,V211&lt;=175,W211&gt;=35,W211&lt;65),0.23,0)+IF(AND(V211&gt;=75,V211&lt;=175,W211&gt;=65,W211&lt;110),0.17,0)+IF(AND(V211&gt;=75,V211&lt;=175,W211&gt;=110),0.12,0)+IF(AND(V211&gt;175,W211&lt;25),0.3,0)+IF(AND(V211&gt;175,W211&gt;=25,W211&lt;55),0.23,0)+IF(AND(V211&gt;175,W211&gt;=55,W211&lt;95),0.17,0)+IF(AND(V211&gt;175,W211&gt;=95),0.12,0),
IF(AF211="DoEVsu",IF(AND(V211&lt;20,W211&lt;55),0.3,0)+IF(AND(V211&lt;20,W211&gt;=55,W211&lt;105),0.23,0)+IF(AND(V211&lt;20,W211&gt;=105),0.17,0)+IF(AND(V211&gt;=20,V211&lt;40,W211&lt;45),0.3,0)+IF(AND(V211&gt;=20,V211&lt;40,W211&gt;=45,W211&lt;95),0.23,0)+IF(AND(V211&gt;=20,V211&lt;40,W211&gt;=95,W211&lt;=250),0.17,0)+IF(AND(V211&gt;=20,V211&lt;40,W211&gt;=250),0.12,0)+IF(AND(V211&gt;=40,V211&lt;75,W211&lt;35),0.3,0)+IF(AND(V211&gt;=40,V211&lt;75,W211&gt;=35,W211&lt;75),0.23,0)+IF(AND(V211&gt;=40,V211&lt;75,W211&gt;=75,W211&lt;120),0.17,0)+IF(AND(V211&gt;=40,V211&lt;75,W211&gt;=120),0.12,0)+IF(AND(V211&gt;=75,V211&lt;175,W211&lt;35),0.3,0)+IF(AND(V211&gt;=75,V211&lt;=175,W211&gt;=35,W211&lt;65),0.23,0)+IF(AND(V211&gt;=75,V211&lt;=175,W211&gt;=65,W211&lt;110),0.17,0)+IF(AND(V211&gt;=75,V211&lt;=175,W211&gt;=110),0.12,0)+IF(AND(V211&gt;175,W211&lt;25),0.3,0)+IF(AND(V211&gt;175,W211&gt;=25,W211&lt;55),0.23,0)+IF(AND(V211&gt;175,W211&gt;=55,W211&lt;95),0.17,0)+IF(AND(V211&gt;175,W211&gt;=95),0.12,0),
IF(AF211="DoEVni",IF(AND(V211&lt;20,W211&lt;55),0.3,0)+IF(AND(V211&lt;20,W211&gt;=55,W211&lt;105),0.23,0)+IF(AND(V211&lt;20,W211&gt;=105),0.17,0)+IF(AND(V211&gt;=20,V211&lt;40,W211&lt;45),0.3,0)+IF(AND(V211&gt;=20,V211&lt;40,W211&gt;=45,W211&lt;95),0.23,0)+IF(AND(V211&gt;=20,V211&lt;40,W211&gt;=95,W211&lt;=200),0.17,0)+IF(AND(V211&gt;=20,V211&lt;40,W211&gt;=200),0.12,0)+IF(AND(V211&gt;=40,V211&lt;75,W211&lt;35),0.3,0)+IF(AND(V211&gt;=40,V211&lt;75,W211&gt;=35,W211&lt;75),0.23,0)+IF(AND(V211&gt;=40,V211&lt;75,W211&gt;=75,W211&lt;120),0.17,0)+IF(AND(V211&gt;=40,V211&lt;75,W211&gt;=120),0.12,0)+IF(AND(V211&gt;=75,V211&lt;175,W211&lt;35),0.3,0)+IF(AND(V211&gt;=75,V211&lt;=175,W211&gt;=35,W211&lt;65),0.23,0)+IF(AND(V211&gt;=75,V211&lt;=175,W211&gt;=65,W211&lt;110),0.17,0)+IF(AND(V211&gt;=75,V211&lt;=175,W211&gt;=110),0.12,0)+IF(AND(V211&gt;175,W211&lt;25),0.3,0)+IF(AND(V211&gt;175,W211&gt;=25,W211&lt;55),0.23,0)+IF(AND(V211&gt;175,W211&gt;=55,W211&lt;95),0.17,0)+IF(AND(V211&gt;175,W211&gt;=95),0.12,0),
IF(AF211="DoEVLo",IF(AND(V211&lt;20,W211&lt;55),0.25,0)+IF(AND(V211&lt;20,W211&gt;=55,W211&lt;105),0.2,0)+IF(AND(V211&lt;20,W211&gt;=105),0.15,0)+IF(AND(V211&gt;=20,V211&lt;40,W211&lt;45),0.25,0)+IF(AND(V211&gt;=20,V211&lt;40,W211&gt;=45,W211&lt;95),0.2,0)+IF(AND(V211&gt;=20,V211&lt;40,W211&gt;=95),0.15,0)+IF(AND(V211&gt;=40,V211&lt;75,W211&lt;35),0.25,0)+IF(AND(V211&gt;=40,V211&lt;75,W211&gt;=35,W211&lt;75),0.2,0)+IF(AND(V211&gt;=40,V211&lt;75,W211&gt;=75,W211&lt;120),0.15,0)+IF(AND(V211&gt;=40,V211&lt;75,W211&gt;=120),0.1,0)+IF(AND(V211&gt;=75,V211&lt;175,W211&lt;35),0.25,0)+IF(AND(V211&gt;=75,V211&lt;=175,W211&gt;=35,W211&lt;65),0.2,0)+IF(AND(V211&gt;=75,V211&lt;=175,W211&gt;=65,W211&lt;110),0.15,0)+IF(AND(V211&gt;=75,V211&lt;=175,W211&gt;=110),0.1,0)+IF(AND(V211&gt;175,W211&lt;25),0.25,0)+IF(AND(V211&gt;175,W211&gt;=25,W211&lt;55),0.2,0)+IF(AND(V211&gt;175,W211&gt;=55,W211&lt;95),0.15,0)+IF(AND(V211&gt;175,W211&gt;=95),0.1,0))))))))))))))))</f>
        <v>0.15</v>
      </c>
      <c r="Y211" s="35">
        <f t="shared" ref="Y211:Y224" si="30">if(AG211="None",0,if(AG211="Fix5",0.05,if(AG211="Fix3.75",0.0375,if(AG211="Fix10",0.1,if(AG211="Fix3",0.03,0)))))</f>
        <v>0</v>
      </c>
      <c r="Z211" s="40">
        <f t="shared" ref="Z211:Z216" si="31">T211-AA211-AB211</f>
        <v>1549.55</v>
      </c>
      <c r="AA211" s="34">
        <f t="shared" ref="AA211:AA216" si="32">if(AD211="EUR",((T211-R211)*X211)*U211+(R211*X211),(T211*X211))</f>
        <v>273.45</v>
      </c>
      <c r="AB211" s="41">
        <f t="shared" ref="AB211:AB216" si="33">if(AD211="EUR",((T211-R211)*Y211)*U211+(R211*Y211),(T211*Y211))</f>
        <v>0</v>
      </c>
      <c r="AC211" s="42" t="b">
        <v>1</v>
      </c>
      <c r="AD211" s="42" t="s">
        <v>138</v>
      </c>
      <c r="AE211" s="42" t="s">
        <v>138</v>
      </c>
      <c r="AF211" s="42" t="str">
        <f t="array" ref="AF211">INDEX('Deal Info'!D:D, MATCH(A211,'Deal Info'!A:A, 0))</f>
        <v>DoEVLo</v>
      </c>
      <c r="AG211" s="43" t="str">
        <f t="array" ref="AG211">INDEX('Deal Info'!G:G, MATCH(A211,'Deal Info'!A:A, 0))</f>
        <v>None</v>
      </c>
    </row>
    <row r="212" hidden="1">
      <c r="A212" s="23" t="str">
        <f t="array" ref="A212">if(G212='Room Info'!$B$1, INDEX('Room Info'!$A$2:$A3446, MATCH(B212,'Room Info'!$B$2:$B3446, 0)),if(G212='Room Info'!$C$1, INDEX('Room Info'!$A$2:$A3446, MATCH(B212,'Room Info'!$C$2:$C3446, 0)),if(G212='Room Info'!$D$1, INDEX('Room Info'!$A$2:$A3446, MATCH(B212,'Room Info'!$D$2:$D3446, 0)),if(G212='Room Info'!$E$1, INDEX('Room Info'!$A$2:$A3446, MATCH(B212,'Room Info'!$E$2:$E3446, 0)),if(G212='Room Info'!$F$1, INDEX('Room Info'!$A$2:$A3446, MATCH(B212,'Room Info'!$F$2:$F3446, 0)),if(G212='Room Info'!$H$1, INDEX('Room Info'!$A$2:$A3446, MATCH(B212,'Room Info'!$H$2:$H3446, 0)),if(G212='Room Info'!$G$1, INDEX('Room Info'!$A$2:$A3446, MATCH(B212,'Room Info'!$G$2:$G3446, 0)))))))))</f>
        <v>Lo4io</v>
      </c>
      <c r="B212" s="50" t="s">
        <v>156</v>
      </c>
      <c r="C212" s="82">
        <v>44702.0</v>
      </c>
      <c r="D212" s="82">
        <v>44732.0</v>
      </c>
      <c r="E212" s="52">
        <v>44713.0</v>
      </c>
      <c r="F212" s="53" t="s">
        <v>4</v>
      </c>
      <c r="G212" s="50" t="s">
        <v>5</v>
      </c>
      <c r="H212" s="54" t="s">
        <v>62</v>
      </c>
      <c r="I212" s="54" t="s">
        <v>7</v>
      </c>
      <c r="J212" s="79">
        <v>25.0</v>
      </c>
      <c r="K212" s="80">
        <v>157.0</v>
      </c>
      <c r="L212" s="77">
        <v>-625.0</v>
      </c>
      <c r="M212" s="81">
        <v>35.0</v>
      </c>
      <c r="N212" s="33">
        <f t="shared" si="13"/>
        <v>3925</v>
      </c>
      <c r="O212" s="50">
        <v>6020.0</v>
      </c>
      <c r="P212" s="34">
        <f t="shared" si="14"/>
        <v>38.34394904</v>
      </c>
      <c r="Q212" s="60"/>
      <c r="R212" s="36">
        <f t="shared" si="15"/>
        <v>35</v>
      </c>
      <c r="S212" s="78">
        <v>35.0</v>
      </c>
      <c r="T212" s="37">
        <f t="shared" si="16"/>
        <v>70</v>
      </c>
      <c r="U212" s="62">
        <v>1.0</v>
      </c>
      <c r="V212" s="74">
        <v>48.60864941510103</v>
      </c>
      <c r="W212" s="74">
        <v>89.09936918869644</v>
      </c>
      <c r="X212" s="35">
        <f t="shared" si="29"/>
        <v>0.15</v>
      </c>
      <c r="Y212" s="35">
        <f t="shared" si="30"/>
        <v>0</v>
      </c>
      <c r="Z212" s="40">
        <f t="shared" si="31"/>
        <v>59.5</v>
      </c>
      <c r="AA212" s="34">
        <f t="shared" si="32"/>
        <v>10.5</v>
      </c>
      <c r="AB212" s="41">
        <f t="shared" si="33"/>
        <v>0</v>
      </c>
      <c r="AC212" s="42" t="b">
        <v>1</v>
      </c>
      <c r="AD212" s="42" t="s">
        <v>138</v>
      </c>
      <c r="AE212" s="42" t="s">
        <v>138</v>
      </c>
      <c r="AF212" s="42" t="str">
        <f t="array" ref="AF212">INDEX('Deal Info'!D:D, MATCH(A212,'Deal Info'!A:A, 0))</f>
        <v>DoEVLo</v>
      </c>
      <c r="AG212" s="43" t="str">
        <f t="array" ref="AG212">INDEX('Deal Info'!G:G, MATCH(A212,'Deal Info'!A:A, 0))</f>
        <v>None</v>
      </c>
    </row>
    <row r="213" hidden="1">
      <c r="A213" s="23" t="str">
        <f t="array" ref="A213">if(G213='Room Info'!$B$1, INDEX('Room Info'!$A$2:$A3446, MATCH(B213,'Room Info'!$B$2:$B3446, 0)),if(G213='Room Info'!$C$1, INDEX('Room Info'!$A$2:$A3446, MATCH(B213,'Room Info'!$C$2:$C3446, 0)),if(G213='Room Info'!$D$1, INDEX('Room Info'!$A$2:$A3446, MATCH(B213,'Room Info'!$D$2:$D3446, 0)),if(G213='Room Info'!$E$1, INDEX('Room Info'!$A$2:$A3446, MATCH(B213,'Room Info'!$E$2:$E3446, 0)),if(G213='Room Info'!$F$1, INDEX('Room Info'!$A$2:$A3446, MATCH(B213,'Room Info'!$F$2:$F3446, 0)),if(G213='Room Info'!$H$1, INDEX('Room Info'!$A$2:$A3446, MATCH(B213,'Room Info'!$H$2:$H3446, 0)),if(G213='Room Info'!$G$1, INDEX('Room Info'!$A$2:$A3446, MATCH(B213,'Room Info'!$G$2:$G3446, 0)))))))))</f>
        <v>Lo4io</v>
      </c>
      <c r="B213" s="50" t="s">
        <v>156</v>
      </c>
      <c r="C213" s="82">
        <v>44702.0</v>
      </c>
      <c r="D213" s="82">
        <v>44732.0</v>
      </c>
      <c r="E213" s="52">
        <v>44713.0</v>
      </c>
      <c r="F213" s="53" t="s">
        <v>4</v>
      </c>
      <c r="G213" s="50" t="s">
        <v>5</v>
      </c>
      <c r="H213" s="54" t="s">
        <v>74</v>
      </c>
      <c r="I213" s="54" t="s">
        <v>7</v>
      </c>
      <c r="J213" s="79">
        <v>50.0</v>
      </c>
      <c r="K213" s="80">
        <v>253.0</v>
      </c>
      <c r="L213" s="77">
        <v>-850.0</v>
      </c>
      <c r="M213" s="81">
        <v>115.0</v>
      </c>
      <c r="N213" s="33">
        <f t="shared" si="13"/>
        <v>12650</v>
      </c>
      <c r="O213" s="50">
        <v>11376.0</v>
      </c>
      <c r="P213" s="34">
        <f t="shared" si="14"/>
        <v>44.96442688</v>
      </c>
      <c r="Q213" s="60"/>
      <c r="R213" s="36">
        <f t="shared" si="15"/>
        <v>115</v>
      </c>
      <c r="S213" s="78">
        <v>267.0</v>
      </c>
      <c r="T213" s="37">
        <f t="shared" si="16"/>
        <v>382</v>
      </c>
      <c r="U213" s="62">
        <v>1.0</v>
      </c>
      <c r="V213" s="74">
        <v>48.60864941510103</v>
      </c>
      <c r="W213" s="74">
        <v>89.09936918869644</v>
      </c>
      <c r="X213" s="35">
        <f t="shared" si="29"/>
        <v>0.15</v>
      </c>
      <c r="Y213" s="35">
        <f t="shared" si="30"/>
        <v>0</v>
      </c>
      <c r="Z213" s="40">
        <f t="shared" si="31"/>
        <v>324.7</v>
      </c>
      <c r="AA213" s="34">
        <f t="shared" si="32"/>
        <v>57.3</v>
      </c>
      <c r="AB213" s="41">
        <f t="shared" si="33"/>
        <v>0</v>
      </c>
      <c r="AC213" s="42" t="b">
        <v>1</v>
      </c>
      <c r="AD213" s="42" t="s">
        <v>138</v>
      </c>
      <c r="AE213" s="42" t="s">
        <v>138</v>
      </c>
      <c r="AF213" s="42" t="str">
        <f t="array" ref="AF213">INDEX('Deal Info'!D:D, MATCH(A213,'Deal Info'!A:A, 0))</f>
        <v>DoEVLo</v>
      </c>
      <c r="AG213" s="43" t="str">
        <f t="array" ref="AG213">INDEX('Deal Info'!G:G, MATCH(A213,'Deal Info'!A:A, 0))</f>
        <v>None</v>
      </c>
    </row>
    <row r="214" hidden="1">
      <c r="A214" s="23" t="str">
        <f t="array" ref="A214">if(G214='Room Info'!$B$1, INDEX('Room Info'!$A$2:$A3446, MATCH(B214,'Room Info'!$B$2:$B3446, 0)),if(G214='Room Info'!$C$1, INDEX('Room Info'!$A$2:$A3446, MATCH(B214,'Room Info'!$C$2:$C3446, 0)),if(G214='Room Info'!$D$1, INDEX('Room Info'!$A$2:$A3446, MATCH(B214,'Room Info'!$D$2:$D3446, 0)),if(G214='Room Info'!$E$1, INDEX('Room Info'!$A$2:$A3446, MATCH(B214,'Room Info'!$E$2:$E3446, 0)),if(G214='Room Info'!$F$1, INDEX('Room Info'!$A$2:$A3446, MATCH(B214,'Room Info'!$F$2:$F3446, 0)),if(G214='Room Info'!$H$1, INDEX('Room Info'!$A$2:$A3446, MATCH(B214,'Room Info'!$H$2:$H3446, 0)),if(G214='Room Info'!$G$1, INDEX('Room Info'!$A$2:$A3446, MATCH(B214,'Room Info'!$G$2:$G3446, 0)))))))))</f>
        <v>Lo4io</v>
      </c>
      <c r="B214" s="50" t="s">
        <v>156</v>
      </c>
      <c r="C214" s="82">
        <v>44733.0</v>
      </c>
      <c r="D214" s="82">
        <v>44762.0</v>
      </c>
      <c r="E214" s="52">
        <v>44743.0</v>
      </c>
      <c r="F214" s="53" t="s">
        <v>4</v>
      </c>
      <c r="G214" s="50" t="s">
        <v>5</v>
      </c>
      <c r="H214" s="54" t="s">
        <v>74</v>
      </c>
      <c r="I214" s="54" t="s">
        <v>7</v>
      </c>
      <c r="J214" s="79">
        <v>50.0</v>
      </c>
      <c r="K214" s="80">
        <v>125.0</v>
      </c>
      <c r="L214" s="77">
        <v>-150.0</v>
      </c>
      <c r="M214" s="81">
        <v>75.0</v>
      </c>
      <c r="N214" s="33">
        <f t="shared" si="13"/>
        <v>6250</v>
      </c>
      <c r="O214" s="50">
        <v>13797.0</v>
      </c>
      <c r="P214" s="34">
        <f t="shared" si="14"/>
        <v>110.376</v>
      </c>
      <c r="Q214" s="60"/>
      <c r="R214" s="36">
        <f t="shared" si="15"/>
        <v>75</v>
      </c>
      <c r="S214" s="78">
        <v>867.0</v>
      </c>
      <c r="T214" s="37">
        <f t="shared" si="16"/>
        <v>942</v>
      </c>
      <c r="U214" s="62">
        <v>1.0</v>
      </c>
      <c r="V214" s="74">
        <v>82.0617059891107</v>
      </c>
      <c r="W214" s="74">
        <v>38.19077317763624</v>
      </c>
      <c r="X214" s="35">
        <f t="shared" si="29"/>
        <v>0.2</v>
      </c>
      <c r="Y214" s="35">
        <f t="shared" si="30"/>
        <v>0</v>
      </c>
      <c r="Z214" s="40">
        <f t="shared" si="31"/>
        <v>753.6</v>
      </c>
      <c r="AA214" s="34">
        <f t="shared" si="32"/>
        <v>188.4</v>
      </c>
      <c r="AB214" s="41">
        <f t="shared" si="33"/>
        <v>0</v>
      </c>
      <c r="AC214" s="42" t="b">
        <v>1</v>
      </c>
      <c r="AD214" s="42" t="s">
        <v>138</v>
      </c>
      <c r="AE214" s="42" t="s">
        <v>138</v>
      </c>
      <c r="AF214" s="42" t="str">
        <f t="array" ref="AF214">INDEX('Deal Info'!D:D, MATCH(A214,'Deal Info'!A:A, 0))</f>
        <v>DoEVLo</v>
      </c>
      <c r="AG214" s="43" t="str">
        <f t="array" ref="AG214">INDEX('Deal Info'!G:G, MATCH(A214,'Deal Info'!A:A, 0))</f>
        <v>None</v>
      </c>
    </row>
    <row r="215" hidden="1">
      <c r="A215" s="23" t="str">
        <f t="array" ref="A215">if(G215='Room Info'!$B$1, INDEX('Room Info'!$A$2:$A3446, MATCH(B215,'Room Info'!$B$2:$B3446, 0)),if(G215='Room Info'!$C$1, INDEX('Room Info'!$A$2:$A3446, MATCH(B215,'Room Info'!$C$2:$C3446, 0)),if(G215='Room Info'!$D$1, INDEX('Room Info'!$A$2:$A3446, MATCH(B215,'Room Info'!$D$2:$D3446, 0)),if(G215='Room Info'!$E$1, INDEX('Room Info'!$A$2:$A3446, MATCH(B215,'Room Info'!$E$2:$E3446, 0)),if(G215='Room Info'!$F$1, INDEX('Room Info'!$A$2:$A3446, MATCH(B215,'Room Info'!$F$2:$F3446, 0)),if(G215='Room Info'!$H$1, INDEX('Room Info'!$A$2:$A3446, MATCH(B215,'Room Info'!$H$2:$H3446, 0)),if(G215='Room Info'!$G$1, INDEX('Room Info'!$A$2:$A3446, MATCH(B215,'Room Info'!$G$2:$G3446, 0)))))))))</f>
        <v>Lo4io</v>
      </c>
      <c r="B215" s="50" t="s">
        <v>153</v>
      </c>
      <c r="C215" s="82">
        <v>44733.0</v>
      </c>
      <c r="D215" s="82">
        <v>44762.0</v>
      </c>
      <c r="E215" s="52">
        <v>44743.0</v>
      </c>
      <c r="F215" s="53" t="s">
        <v>4</v>
      </c>
      <c r="G215" s="50" t="s">
        <v>13</v>
      </c>
      <c r="H215" s="54" t="s">
        <v>59</v>
      </c>
      <c r="I215" s="54" t="s">
        <v>18</v>
      </c>
      <c r="J215" s="79">
        <v>20.0</v>
      </c>
      <c r="K215" s="80">
        <v>9.0</v>
      </c>
      <c r="L215" s="77">
        <v>40.0</v>
      </c>
      <c r="M215" s="84"/>
      <c r="N215" s="33">
        <f t="shared" si="13"/>
        <v>180</v>
      </c>
      <c r="O215" s="50">
        <v>-312.0</v>
      </c>
      <c r="P215" s="34">
        <f t="shared" si="14"/>
        <v>-34.66666667</v>
      </c>
      <c r="Q215" s="60"/>
      <c r="R215" s="36">
        <f t="shared" si="15"/>
        <v>0</v>
      </c>
      <c r="S215" s="78">
        <v>-31.0</v>
      </c>
      <c r="T215" s="37">
        <f t="shared" si="16"/>
        <v>-31</v>
      </c>
      <c r="U215" s="62">
        <v>1.0</v>
      </c>
      <c r="V215" s="74">
        <v>82.0617059891107</v>
      </c>
      <c r="W215" s="74">
        <v>38.19077317763624</v>
      </c>
      <c r="X215" s="35">
        <f t="shared" si="29"/>
        <v>0.2</v>
      </c>
      <c r="Y215" s="35">
        <f t="shared" si="30"/>
        <v>0</v>
      </c>
      <c r="Z215" s="40">
        <f t="shared" si="31"/>
        <v>-24.8</v>
      </c>
      <c r="AA215" s="34">
        <f t="shared" si="32"/>
        <v>-6.2</v>
      </c>
      <c r="AB215" s="41">
        <f t="shared" si="33"/>
        <v>0</v>
      </c>
      <c r="AC215" s="42" t="b">
        <v>1</v>
      </c>
      <c r="AD215" s="42" t="s">
        <v>138</v>
      </c>
      <c r="AE215" s="42" t="s">
        <v>138</v>
      </c>
      <c r="AF215" s="42" t="str">
        <f t="array" ref="AF215">INDEX('Deal Info'!D:D, MATCH(A215,'Deal Info'!A:A, 0))</f>
        <v>DoEVLo</v>
      </c>
      <c r="AG215" s="43" t="str">
        <f t="array" ref="AG215">INDEX('Deal Info'!G:G, MATCH(A215,'Deal Info'!A:A, 0))</f>
        <v>None</v>
      </c>
    </row>
    <row r="216" hidden="1">
      <c r="A216" s="23" t="str">
        <f t="array" ref="A216">if(G216='Room Info'!$B$1, INDEX('Room Info'!$A$2:$A3446, MATCH(B216,'Room Info'!$B$2:$B3446, 0)),if(G216='Room Info'!$C$1, INDEX('Room Info'!$A$2:$A3446, MATCH(B216,'Room Info'!$C$2:$C3446, 0)),if(G216='Room Info'!$D$1, INDEX('Room Info'!$A$2:$A3446, MATCH(B216,'Room Info'!$D$2:$D3446, 0)),if(G216='Room Info'!$E$1, INDEX('Room Info'!$A$2:$A3446, MATCH(B216,'Room Info'!$E$2:$E3446, 0)),if(G216='Room Info'!$F$1, INDEX('Room Info'!$A$2:$A3446, MATCH(B216,'Room Info'!$F$2:$F3446, 0)),if(G216='Room Info'!$H$1, INDEX('Room Info'!$A$2:$A3446, MATCH(B216,'Room Info'!$H$2:$H3446, 0)),if(G216='Room Info'!$G$1, INDEX('Room Info'!$A$2:$A3446, MATCH(B216,'Room Info'!$G$2:$G3446, 0)))))))))</f>
        <v>Lo4io</v>
      </c>
      <c r="B216" s="50" t="s">
        <v>153</v>
      </c>
      <c r="C216" s="82">
        <v>44733.0</v>
      </c>
      <c r="D216" s="82">
        <v>44762.0</v>
      </c>
      <c r="E216" s="52">
        <v>44743.0</v>
      </c>
      <c r="F216" s="53" t="s">
        <v>4</v>
      </c>
      <c r="G216" s="50" t="s">
        <v>13</v>
      </c>
      <c r="H216" s="54" t="s">
        <v>74</v>
      </c>
      <c r="I216" s="54" t="s">
        <v>18</v>
      </c>
      <c r="J216" s="79">
        <v>50.0</v>
      </c>
      <c r="K216" s="80">
        <v>689.0</v>
      </c>
      <c r="L216" s="77">
        <v>-3400.0</v>
      </c>
      <c r="M216" s="81">
        <v>1502.0</v>
      </c>
      <c r="N216" s="33">
        <f t="shared" si="13"/>
        <v>34450</v>
      </c>
      <c r="O216" s="50">
        <v>16792.0</v>
      </c>
      <c r="P216" s="34">
        <f t="shared" si="14"/>
        <v>24.37155298</v>
      </c>
      <c r="Q216" s="60"/>
      <c r="R216" s="36">
        <f t="shared" si="15"/>
        <v>1502</v>
      </c>
      <c r="S216" s="78">
        <v>-180.0</v>
      </c>
      <c r="T216" s="37">
        <f t="shared" si="16"/>
        <v>1322</v>
      </c>
      <c r="U216" s="62">
        <v>1.0</v>
      </c>
      <c r="V216" s="74">
        <v>82.0617059891107</v>
      </c>
      <c r="W216" s="74">
        <v>38.19077317763624</v>
      </c>
      <c r="X216" s="35">
        <f t="shared" si="29"/>
        <v>0.2</v>
      </c>
      <c r="Y216" s="35">
        <f t="shared" si="30"/>
        <v>0</v>
      </c>
      <c r="Z216" s="40">
        <f t="shared" si="31"/>
        <v>1057.6</v>
      </c>
      <c r="AA216" s="34">
        <f t="shared" si="32"/>
        <v>264.4</v>
      </c>
      <c r="AB216" s="41">
        <f t="shared" si="33"/>
        <v>0</v>
      </c>
      <c r="AC216" s="42" t="b">
        <v>1</v>
      </c>
      <c r="AD216" s="42" t="s">
        <v>138</v>
      </c>
      <c r="AE216" s="42" t="s">
        <v>138</v>
      </c>
      <c r="AF216" s="42" t="str">
        <f t="array" ref="AF216">INDEX('Deal Info'!D:D, MATCH(A216,'Deal Info'!A:A, 0))</f>
        <v>DoEVLo</v>
      </c>
      <c r="AG216" s="43" t="str">
        <f t="array" ref="AG216">INDEX('Deal Info'!G:G, MATCH(A216,'Deal Info'!A:A, 0))</f>
        <v>None</v>
      </c>
    </row>
    <row r="217" hidden="1">
      <c r="A217" s="23" t="str">
        <f t="array" ref="A217">if(G217='Room Info'!$B$1, INDEX('Room Info'!$A$2:$A3446, MATCH(B217,'Room Info'!$B$2:$B3446, 0)),if(G217='Room Info'!$C$1, INDEX('Room Info'!$A$2:$A3446, MATCH(B217,'Room Info'!$C$2:$C3446, 0)),if(G217='Room Info'!$D$1, INDEX('Room Info'!$A$2:$A3446, MATCH(B217,'Room Info'!$D$2:$D3446, 0)),if(G217='Room Info'!$E$1, INDEX('Room Info'!$A$2:$A3446, MATCH(B217,'Room Info'!$E$2:$E3446, 0)),if(G217='Room Info'!$F$1, INDEX('Room Info'!$A$2:$A3446, MATCH(B217,'Room Info'!$F$2:$F3446, 0)),if(G217='Room Info'!$H$1, INDEX('Room Info'!$A$2:$A3446, MATCH(B217,'Room Info'!$H$2:$H3446, 0)),if(G217='Room Info'!$G$1, INDEX('Room Info'!$A$2:$A3446, MATCH(B217,'Room Info'!$G$2:$G3446, 0)))))))))</f>
        <v>fortunate773</v>
      </c>
      <c r="B217" s="50" t="s">
        <v>145</v>
      </c>
      <c r="C217" s="51">
        <v>44774.0</v>
      </c>
      <c r="D217" s="51">
        <v>44804.0</v>
      </c>
      <c r="E217" s="52">
        <v>44774.0</v>
      </c>
      <c r="F217" s="53" t="s">
        <v>8</v>
      </c>
      <c r="G217" s="50" t="s">
        <v>9</v>
      </c>
      <c r="H217" s="54" t="s">
        <v>104</v>
      </c>
      <c r="I217" s="54" t="s">
        <v>21</v>
      </c>
      <c r="J217" s="75">
        <v>500.0</v>
      </c>
      <c r="K217" s="76">
        <v>272.0</v>
      </c>
      <c r="L217" s="57">
        <v>-36000.0</v>
      </c>
      <c r="M217" s="58">
        <v>8436.0</v>
      </c>
      <c r="N217" s="33">
        <f t="shared" si="13"/>
        <v>136000</v>
      </c>
      <c r="O217" s="59">
        <v>-12827.0</v>
      </c>
      <c r="P217" s="34">
        <f t="shared" si="14"/>
        <v>-47.15808824</v>
      </c>
      <c r="Q217" s="60"/>
      <c r="R217" s="36">
        <f t="shared" si="15"/>
        <v>8436</v>
      </c>
      <c r="S217" s="61">
        <v>-22416.0</v>
      </c>
      <c r="T217" s="37">
        <f t="shared" si="16"/>
        <v>-13980</v>
      </c>
      <c r="U217" s="62">
        <v>1.0</v>
      </c>
      <c r="V217" s="63"/>
      <c r="W217" s="63"/>
      <c r="X217" s="35">
        <f t="shared" si="29"/>
        <v>0.15</v>
      </c>
      <c r="Y217" s="35">
        <f t="shared" si="30"/>
        <v>0.05</v>
      </c>
      <c r="Z217" s="64">
        <v>-11184.0</v>
      </c>
      <c r="AA217" s="65">
        <v>-2796.0</v>
      </c>
      <c r="AB217" s="41"/>
      <c r="AC217" s="42" t="b">
        <v>1</v>
      </c>
      <c r="AD217" s="66" t="s">
        <v>140</v>
      </c>
      <c r="AE217" s="66"/>
      <c r="AF217" s="42" t="str">
        <f t="array" ref="AF217">INDEX('Deal Info'!D:D, MATCH(A217,'Deal Info'!A:A, 0))</f>
        <v>Fix15</v>
      </c>
      <c r="AG217" s="43" t="str">
        <f t="array" ref="AG217">INDEX('Deal Info'!G:G, MATCH(A217,'Deal Info'!A:A, 0))</f>
        <v>Fix5</v>
      </c>
    </row>
    <row r="218" hidden="1">
      <c r="A218" s="23" t="str">
        <f t="array" ref="A218">if(G218='Room Info'!$B$1, INDEX('Room Info'!$A$2:$A3446, MATCH(B218,'Room Info'!$B$2:$B3446, 0)),if(G218='Room Info'!$C$1, INDEX('Room Info'!$A$2:$A3446, MATCH(B218,'Room Info'!$C$2:$C3446, 0)),if(G218='Room Info'!$D$1, INDEX('Room Info'!$A$2:$A3446, MATCH(B218,'Room Info'!$D$2:$D3446, 0)),if(G218='Room Info'!$E$1, INDEX('Room Info'!$A$2:$A3446, MATCH(B218,'Room Info'!$E$2:$E3446, 0)),if(G218='Room Info'!$F$1, INDEX('Room Info'!$A$2:$A3446, MATCH(B218,'Room Info'!$F$2:$F3446, 0)),if(G218='Room Info'!$H$1, INDEX('Room Info'!$A$2:$A3446, MATCH(B218,'Room Info'!$H$2:$H3446, 0)),if(G218='Room Info'!$G$1, INDEX('Room Info'!$A$2:$A3446, MATCH(B218,'Room Info'!$G$2:$G3446, 0)))))))))</f>
        <v>fortunate773</v>
      </c>
      <c r="B218" s="50" t="s">
        <v>145</v>
      </c>
      <c r="C218" s="51">
        <v>44805.0</v>
      </c>
      <c r="D218" s="51">
        <v>44834.0</v>
      </c>
      <c r="E218" s="52">
        <v>44805.0</v>
      </c>
      <c r="F218" s="53" t="s">
        <v>8</v>
      </c>
      <c r="G218" s="59" t="s">
        <v>9</v>
      </c>
      <c r="H218" s="54" t="s">
        <v>104</v>
      </c>
      <c r="I218" s="54" t="s">
        <v>21</v>
      </c>
      <c r="J218" s="55">
        <v>500.0</v>
      </c>
      <c r="K218" s="56">
        <v>387.0</v>
      </c>
      <c r="L218" s="57">
        <v>8000.0</v>
      </c>
      <c r="M218" s="58">
        <v>17803.0</v>
      </c>
      <c r="N218" s="33">
        <f t="shared" si="13"/>
        <v>193500</v>
      </c>
      <c r="O218" s="59">
        <v>33953.0</v>
      </c>
      <c r="P218" s="34">
        <f t="shared" si="14"/>
        <v>87.73385013</v>
      </c>
      <c r="Q218" s="60"/>
      <c r="R218" s="36">
        <f t="shared" si="15"/>
        <v>17803</v>
      </c>
      <c r="S218" s="61">
        <v>16468.0</v>
      </c>
      <c r="T218" s="37">
        <f t="shared" si="16"/>
        <v>34271</v>
      </c>
      <c r="U218" s="62">
        <v>1.0</v>
      </c>
      <c r="V218" s="63"/>
      <c r="W218" s="63"/>
      <c r="X218" s="35">
        <f t="shared" si="29"/>
        <v>0.15</v>
      </c>
      <c r="Y218" s="35">
        <f t="shared" si="30"/>
        <v>0.05</v>
      </c>
      <c r="Z218" s="64">
        <v>27417.0</v>
      </c>
      <c r="AA218" s="65">
        <v>6854.0</v>
      </c>
      <c r="AB218" s="41"/>
      <c r="AC218" s="42" t="b">
        <v>1</v>
      </c>
      <c r="AD218" s="66" t="s">
        <v>140</v>
      </c>
      <c r="AE218" s="66"/>
      <c r="AF218" s="42" t="str">
        <f t="array" ref="AF218">INDEX('Deal Info'!D:D, MATCH(A218,'Deal Info'!A:A, 0))</f>
        <v>Fix15</v>
      </c>
      <c r="AG218" s="43" t="str">
        <f t="array" ref="AG218">INDEX('Deal Info'!G:G, MATCH(A218,'Deal Info'!A:A, 0))</f>
        <v>Fix5</v>
      </c>
    </row>
    <row r="219" hidden="1">
      <c r="A219" s="23" t="str">
        <f t="array" ref="A219">if(G219='Room Info'!$B$1, INDEX('Room Info'!$A$2:$A3446, MATCH(B219,'Room Info'!$B$2:$B3446, 0)),if(G219='Room Info'!$C$1, INDEX('Room Info'!$A$2:$A3446, MATCH(B219,'Room Info'!$C$2:$C3446, 0)),if(G219='Room Info'!$D$1, INDEX('Room Info'!$A$2:$A3446, MATCH(B219,'Room Info'!$D$2:$D3446, 0)),if(G219='Room Info'!$E$1, INDEX('Room Info'!$A$2:$A3446, MATCH(B219,'Room Info'!$E$2:$E3446, 0)),if(G219='Room Info'!$F$1, INDEX('Room Info'!$A$2:$A3446, MATCH(B219,'Room Info'!$F$2:$F3446, 0)),if(G219='Room Info'!$H$1, INDEX('Room Info'!$A$2:$A3446, MATCH(B219,'Room Info'!$H$2:$H3446, 0)),if(G219='Room Info'!$G$1, INDEX('Room Info'!$A$2:$A3446, MATCH(B219,'Room Info'!$G$2:$G3446, 0)))))))))</f>
        <v>fortunate773</v>
      </c>
      <c r="B219" s="50" t="s">
        <v>151</v>
      </c>
      <c r="C219" s="51">
        <v>44835.0</v>
      </c>
      <c r="D219" s="51">
        <v>44865.0</v>
      </c>
      <c r="E219" s="52">
        <v>44835.0</v>
      </c>
      <c r="F219" s="53" t="s">
        <v>8</v>
      </c>
      <c r="G219" s="50" t="s">
        <v>9</v>
      </c>
      <c r="H219" s="54" t="s">
        <v>104</v>
      </c>
      <c r="I219" s="54" t="s">
        <v>21</v>
      </c>
      <c r="J219" s="75">
        <v>500.0</v>
      </c>
      <c r="K219" s="76">
        <v>479.0</v>
      </c>
      <c r="L219" s="57">
        <v>-13500.0</v>
      </c>
      <c r="M219" s="58">
        <v>209.0</v>
      </c>
      <c r="N219" s="33">
        <f t="shared" si="13"/>
        <v>239500</v>
      </c>
      <c r="O219" s="59">
        <v>11319.0</v>
      </c>
      <c r="P219" s="34">
        <f t="shared" si="14"/>
        <v>23.63048017</v>
      </c>
      <c r="Q219" s="60"/>
      <c r="R219" s="36">
        <f t="shared" si="15"/>
        <v>209</v>
      </c>
      <c r="S219" s="61">
        <v>-9629.0</v>
      </c>
      <c r="T219" s="37">
        <f t="shared" si="16"/>
        <v>-9420</v>
      </c>
      <c r="U219" s="62">
        <v>1.0</v>
      </c>
      <c r="V219" s="63"/>
      <c r="W219" s="63"/>
      <c r="X219" s="35">
        <f t="shared" si="29"/>
        <v>0.15</v>
      </c>
      <c r="Y219" s="35">
        <f t="shared" si="30"/>
        <v>0.05</v>
      </c>
      <c r="Z219" s="64">
        <v>-7536.0</v>
      </c>
      <c r="AA219" s="65">
        <v>-1884.0</v>
      </c>
      <c r="AB219" s="41"/>
      <c r="AC219" s="42" t="b">
        <v>0</v>
      </c>
      <c r="AD219" s="66" t="s">
        <v>140</v>
      </c>
      <c r="AE219" s="66"/>
      <c r="AF219" s="42" t="str">
        <f t="array" ref="AF219">INDEX('Deal Info'!D:D, MATCH(A219,'Deal Info'!A:A, 0))</f>
        <v>Fix15</v>
      </c>
      <c r="AG219" s="43" t="str">
        <f t="array" ref="AG219">INDEX('Deal Info'!G:G, MATCH(A219,'Deal Info'!A:A, 0))</f>
        <v>Fix5</v>
      </c>
    </row>
    <row r="220" hidden="1">
      <c r="A220" s="23" t="str">
        <f t="array" ref="A220">if(G220='Room Info'!$B$1, INDEX('Room Info'!$A$2:$A3446, MATCH(B220,'Room Info'!$B$2:$B3446, 0)),if(G220='Room Info'!$C$1, INDEX('Room Info'!$A$2:$A3446, MATCH(B220,'Room Info'!$C$2:$C3446, 0)),if(G220='Room Info'!$D$1, INDEX('Room Info'!$A$2:$A3446, MATCH(B220,'Room Info'!$D$2:$D3446, 0)),if(G220='Room Info'!$E$1, INDEX('Room Info'!$A$2:$A3446, MATCH(B220,'Room Info'!$E$2:$E3446, 0)),if(G220='Room Info'!$F$1, INDEX('Room Info'!$A$2:$A3446, MATCH(B220,'Room Info'!$F$2:$F3446, 0)),if(G220='Room Info'!$H$1, INDEX('Room Info'!$A$2:$A3446, MATCH(B220,'Room Info'!$H$2:$H3446, 0)),if(G220='Room Info'!$G$1, INDEX('Room Info'!$A$2:$A3446, MATCH(B220,'Room Info'!$G$2:$G3446, 0)))))))))</f>
        <v>Lo4io</v>
      </c>
      <c r="B220" s="50" t="s">
        <v>153</v>
      </c>
      <c r="C220" s="51">
        <v>44763.0</v>
      </c>
      <c r="D220" s="51">
        <v>44793.0</v>
      </c>
      <c r="E220" s="52">
        <v>44774.0</v>
      </c>
      <c r="F220" s="53" t="s">
        <v>4</v>
      </c>
      <c r="G220" s="59" t="s">
        <v>13</v>
      </c>
      <c r="H220" s="54" t="s">
        <v>74</v>
      </c>
      <c r="I220" s="54" t="s">
        <v>18</v>
      </c>
      <c r="J220" s="79">
        <v>50.0</v>
      </c>
      <c r="K220" s="80">
        <v>1158.0</v>
      </c>
      <c r="L220" s="77">
        <v>-4600.0</v>
      </c>
      <c r="M220" s="58">
        <v>3660.0</v>
      </c>
      <c r="N220" s="33">
        <f t="shared" si="13"/>
        <v>57900</v>
      </c>
      <c r="O220" s="50">
        <v>7805.0</v>
      </c>
      <c r="P220" s="34">
        <f t="shared" si="14"/>
        <v>6.740069085</v>
      </c>
      <c r="Q220" s="60"/>
      <c r="R220" s="36">
        <f t="shared" si="15"/>
        <v>3660</v>
      </c>
      <c r="S220" s="78">
        <v>-3075.0</v>
      </c>
      <c r="T220" s="37">
        <f t="shared" si="16"/>
        <v>585</v>
      </c>
      <c r="U220" s="62">
        <v>1.0</v>
      </c>
      <c r="V220" s="74">
        <v>72.4418955629339</v>
      </c>
      <c r="W220" s="74">
        <v>7.688920833333333</v>
      </c>
      <c r="X220" s="35">
        <f t="shared" si="29"/>
        <v>0.25</v>
      </c>
      <c r="Y220" s="35">
        <f t="shared" si="30"/>
        <v>0</v>
      </c>
      <c r="Z220" s="40">
        <f t="shared" ref="Z220:Z221" si="34">T220-AA220-AB220</f>
        <v>438.75</v>
      </c>
      <c r="AA220" s="34">
        <f t="shared" ref="AA220:AA221" si="35">if(AD220="EUR",((T220-R220)*X220)*U220+(R220*X220),(T220*X220))</f>
        <v>146.25</v>
      </c>
      <c r="AB220" s="41">
        <f t="shared" ref="AB220:AB221" si="36">if(AD220="EUR",((T220-R220)*Y220)*U220+(R220*Y220),(T220*Y220))</f>
        <v>0</v>
      </c>
      <c r="AC220" s="42" t="b">
        <v>1</v>
      </c>
      <c r="AD220" s="42" t="s">
        <v>138</v>
      </c>
      <c r="AE220" s="42" t="s">
        <v>138</v>
      </c>
      <c r="AF220" s="42" t="str">
        <f t="array" ref="AF220">INDEX('Deal Info'!D:D, MATCH(A220,'Deal Info'!A:A, 0))</f>
        <v>DoEVLo</v>
      </c>
      <c r="AG220" s="43" t="str">
        <f t="array" ref="AG220">INDEX('Deal Info'!G:G, MATCH(A220,'Deal Info'!A:A, 0))</f>
        <v>None</v>
      </c>
    </row>
    <row r="221" hidden="1">
      <c r="A221" s="23" t="str">
        <f t="array" ref="A221">if(G221='Room Info'!$B$1, INDEX('Room Info'!$A$2:$A3446, MATCH(B221,'Room Info'!$B$2:$B3446, 0)),if(G221='Room Info'!$C$1, INDEX('Room Info'!$A$2:$A3446, MATCH(B221,'Room Info'!$C$2:$C3446, 0)),if(G221='Room Info'!$D$1, INDEX('Room Info'!$A$2:$A3446, MATCH(B221,'Room Info'!$D$2:$D3446, 0)),if(G221='Room Info'!$E$1, INDEX('Room Info'!$A$2:$A3446, MATCH(B221,'Room Info'!$E$2:$E3446, 0)),if(G221='Room Info'!$F$1, INDEX('Room Info'!$A$2:$A3446, MATCH(B221,'Room Info'!$F$2:$F3446, 0)),if(G221='Room Info'!$H$1, INDEX('Room Info'!$A$2:$A3446, MATCH(B221,'Room Info'!$H$2:$H3446, 0)),if(G221='Room Info'!$G$1, INDEX('Room Info'!$A$2:$A3446, MATCH(B221,'Room Info'!$G$2:$G3446, 0)))))))))</f>
        <v>Lo4io</v>
      </c>
      <c r="B221" s="50" t="s">
        <v>156</v>
      </c>
      <c r="C221" s="51">
        <v>44763.0</v>
      </c>
      <c r="D221" s="51">
        <v>44793.0</v>
      </c>
      <c r="E221" s="52">
        <v>44774.0</v>
      </c>
      <c r="F221" s="53" t="s">
        <v>4</v>
      </c>
      <c r="G221" s="59" t="s">
        <v>5</v>
      </c>
      <c r="H221" s="54" t="s">
        <v>74</v>
      </c>
      <c r="I221" s="54" t="s">
        <v>7</v>
      </c>
      <c r="J221" s="79">
        <v>50.0</v>
      </c>
      <c r="K221" s="80">
        <v>93.0</v>
      </c>
      <c r="L221" s="77">
        <v>-650.0</v>
      </c>
      <c r="M221" s="67"/>
      <c r="N221" s="33">
        <f t="shared" si="13"/>
        <v>4650</v>
      </c>
      <c r="O221" s="50">
        <v>-2110.0</v>
      </c>
      <c r="P221" s="34">
        <f t="shared" si="14"/>
        <v>-22.68817204</v>
      </c>
      <c r="Q221" s="60"/>
      <c r="R221" s="36">
        <f t="shared" si="15"/>
        <v>0</v>
      </c>
      <c r="S221" s="78">
        <v>-489.0</v>
      </c>
      <c r="T221" s="37">
        <f t="shared" si="16"/>
        <v>-489</v>
      </c>
      <c r="U221" s="62">
        <v>1.0</v>
      </c>
      <c r="V221" s="74">
        <v>72.4418955629339</v>
      </c>
      <c r="W221" s="74">
        <v>7.688920833333333</v>
      </c>
      <c r="X221" s="35">
        <f t="shared" si="29"/>
        <v>0.25</v>
      </c>
      <c r="Y221" s="35">
        <f t="shared" si="30"/>
        <v>0</v>
      </c>
      <c r="Z221" s="40">
        <f t="shared" si="34"/>
        <v>-366.75</v>
      </c>
      <c r="AA221" s="34">
        <f t="shared" si="35"/>
        <v>-122.25</v>
      </c>
      <c r="AB221" s="41">
        <f t="shared" si="36"/>
        <v>0</v>
      </c>
      <c r="AC221" s="42" t="b">
        <v>1</v>
      </c>
      <c r="AD221" s="42" t="s">
        <v>138</v>
      </c>
      <c r="AE221" s="42" t="s">
        <v>138</v>
      </c>
      <c r="AF221" s="42" t="str">
        <f t="array" ref="AF221">INDEX('Deal Info'!D:D, MATCH(A221,'Deal Info'!A:A, 0))</f>
        <v>DoEVLo</v>
      </c>
      <c r="AG221" s="43" t="str">
        <f t="array" ref="AG221">INDEX('Deal Info'!G:G, MATCH(A221,'Deal Info'!A:A, 0))</f>
        <v>None</v>
      </c>
    </row>
    <row r="222" hidden="1">
      <c r="A222" s="23" t="str">
        <f t="array" ref="A222">if(G222='Room Info'!$B$1, INDEX('Room Info'!$A$2:$A3446, MATCH(B222,'Room Info'!$B$2:$B3446, 0)),if(G222='Room Info'!$C$1, INDEX('Room Info'!$A$2:$A3446, MATCH(B222,'Room Info'!$C$2:$C3446, 0)),if(G222='Room Info'!$D$1, INDEX('Room Info'!$A$2:$A3446, MATCH(B222,'Room Info'!$D$2:$D3446, 0)),if(G222='Room Info'!$E$1, INDEX('Room Info'!$A$2:$A3446, MATCH(B222,'Room Info'!$E$2:$E3446, 0)),if(G222='Room Info'!$F$1, INDEX('Room Info'!$A$2:$A3446, MATCH(B222,'Room Info'!$F$2:$F3446, 0)),if(G222='Room Info'!$H$1, INDEX('Room Info'!$A$2:$A3446, MATCH(B222,'Room Info'!$H$2:$H3446, 0)),if(G222='Room Info'!$G$1, INDEX('Room Info'!$A$2:$A3446, MATCH(B222,'Room Info'!$G$2:$G3446, 0)))))))))</f>
        <v>fortunate773</v>
      </c>
      <c r="B222" s="50" t="s">
        <v>151</v>
      </c>
      <c r="C222" s="51">
        <v>44866.0</v>
      </c>
      <c r="D222" s="51">
        <v>44885.0</v>
      </c>
      <c r="E222" s="52">
        <v>44866.0</v>
      </c>
      <c r="F222" s="53" t="s">
        <v>4</v>
      </c>
      <c r="G222" s="50" t="s">
        <v>9</v>
      </c>
      <c r="H222" s="54" t="s">
        <v>104</v>
      </c>
      <c r="I222" s="54" t="s">
        <v>21</v>
      </c>
      <c r="J222" s="75">
        <v>500.0</v>
      </c>
      <c r="K222" s="76">
        <v>162.0</v>
      </c>
      <c r="L222" s="57">
        <v>-6168.0</v>
      </c>
      <c r="M222" s="58">
        <v>55.0</v>
      </c>
      <c r="N222" s="33">
        <f t="shared" si="13"/>
        <v>81000</v>
      </c>
      <c r="O222" s="59">
        <v>3275.0</v>
      </c>
      <c r="P222" s="34">
        <f t="shared" si="14"/>
        <v>20.21604938</v>
      </c>
      <c r="Q222" s="60"/>
      <c r="R222" s="36">
        <f t="shared" si="15"/>
        <v>55</v>
      </c>
      <c r="S222" s="61">
        <v>-3528.0</v>
      </c>
      <c r="T222" s="37">
        <f t="shared" si="16"/>
        <v>-3473</v>
      </c>
      <c r="U222" s="62">
        <v>1.0</v>
      </c>
      <c r="V222" s="63"/>
      <c r="W222" s="63"/>
      <c r="X222" s="35">
        <f t="shared" si="29"/>
        <v>0.15</v>
      </c>
      <c r="Y222" s="35">
        <f t="shared" si="30"/>
        <v>0.05</v>
      </c>
      <c r="Z222" s="64">
        <v>-2779.0</v>
      </c>
      <c r="AA222" s="65">
        <v>-695.0</v>
      </c>
      <c r="AB222" s="41"/>
      <c r="AC222" s="42" t="b">
        <v>0</v>
      </c>
      <c r="AD222" s="66" t="s">
        <v>140</v>
      </c>
      <c r="AE222" s="66"/>
      <c r="AF222" s="42" t="str">
        <f t="array" ref="AF222">INDEX('Deal Info'!D:D, MATCH(A222,'Deal Info'!A:A, 0))</f>
        <v>Fix15</v>
      </c>
      <c r="AG222" s="43" t="str">
        <f t="array" ref="AG222">INDEX('Deal Info'!G:G, MATCH(A222,'Deal Info'!A:A, 0))</f>
        <v>Fix5</v>
      </c>
    </row>
    <row r="223" hidden="1">
      <c r="A223" s="23" t="str">
        <f t="array" ref="A223">if(G223='Room Info'!$B$1, INDEX('Room Info'!$A$2:$A3446, MATCH(B223,'Room Info'!$B$2:$B3446, 0)),if(G223='Room Info'!$C$1, INDEX('Room Info'!$A$2:$A3446, MATCH(B223,'Room Info'!$C$2:$C3446, 0)),if(G223='Room Info'!$D$1, INDEX('Room Info'!$A$2:$A3446, MATCH(B223,'Room Info'!$D$2:$D3446, 0)),if(G223='Room Info'!$E$1, INDEX('Room Info'!$A$2:$A3446, MATCH(B223,'Room Info'!$E$2:$E3446, 0)),if(G223='Room Info'!$F$1, INDEX('Room Info'!$A$2:$A3446, MATCH(B223,'Room Info'!$F$2:$F3446, 0)),if(G223='Room Info'!$H$1, INDEX('Room Info'!$A$2:$A3446, MATCH(B223,'Room Info'!$H$2:$H3446, 0)),if(G223='Room Info'!$G$1, INDEX('Room Info'!$A$2:$A3446, MATCH(B223,'Room Info'!$G$2:$G3446, 0)))))))))</f>
        <v>fortunate773</v>
      </c>
      <c r="B223" s="50" t="s">
        <v>151</v>
      </c>
      <c r="C223" s="51">
        <v>44886.0</v>
      </c>
      <c r="D223" s="51">
        <v>44915.0</v>
      </c>
      <c r="E223" s="52">
        <v>44896.0</v>
      </c>
      <c r="F223" s="53" t="s">
        <v>8</v>
      </c>
      <c r="G223" s="50" t="s">
        <v>9</v>
      </c>
      <c r="H223" s="54" t="s">
        <v>104</v>
      </c>
      <c r="I223" s="54" t="s">
        <v>21</v>
      </c>
      <c r="J223" s="75">
        <v>500.0</v>
      </c>
      <c r="K223" s="76">
        <v>15.0</v>
      </c>
      <c r="L223" s="57">
        <v>-2000.0</v>
      </c>
      <c r="M223" s="58">
        <v>11.0</v>
      </c>
      <c r="N223" s="33">
        <f t="shared" si="13"/>
        <v>7500</v>
      </c>
      <c r="O223" s="59">
        <v>1739.0</v>
      </c>
      <c r="P223" s="34">
        <f t="shared" si="14"/>
        <v>115.9333333</v>
      </c>
      <c r="Q223" s="60"/>
      <c r="R223" s="36">
        <f t="shared" si="15"/>
        <v>11</v>
      </c>
      <c r="S223" s="61">
        <v>995.0</v>
      </c>
      <c r="T223" s="37">
        <f t="shared" si="16"/>
        <v>1006</v>
      </c>
      <c r="U223" s="62">
        <v>1.0</v>
      </c>
      <c r="V223" s="63"/>
      <c r="W223" s="63"/>
      <c r="X223" s="35">
        <f t="shared" si="29"/>
        <v>0.15</v>
      </c>
      <c r="Y223" s="35">
        <f t="shared" si="30"/>
        <v>0.05</v>
      </c>
      <c r="Z223" s="64">
        <v>805.0</v>
      </c>
      <c r="AA223" s="65">
        <v>201.0</v>
      </c>
      <c r="AB223" s="41"/>
      <c r="AC223" s="42" t="b">
        <v>0</v>
      </c>
      <c r="AD223" s="66" t="s">
        <v>140</v>
      </c>
      <c r="AE223" s="66"/>
      <c r="AF223" s="42" t="str">
        <f t="array" ref="AF223">INDEX('Deal Info'!D:D, MATCH(A223,'Deal Info'!A:A, 0))</f>
        <v>Fix15</v>
      </c>
      <c r="AG223" s="43" t="str">
        <f t="array" ref="AG223">INDEX('Deal Info'!G:G, MATCH(A223,'Deal Info'!A:A, 0))</f>
        <v>Fix5</v>
      </c>
    </row>
    <row r="224" hidden="1">
      <c r="A224" s="23" t="str">
        <f t="array" ref="A224">if(G224='Room Info'!$B$1, INDEX('Room Info'!$A$2:$A3446, MATCH(B224,'Room Info'!$B$2:$B3446, 0)),if(G224='Room Info'!$C$1, INDEX('Room Info'!$A$2:$A3446, MATCH(B224,'Room Info'!$C$2:$C3446, 0)),if(G224='Room Info'!$D$1, INDEX('Room Info'!$A$2:$A3446, MATCH(B224,'Room Info'!$D$2:$D3446, 0)),if(G224='Room Info'!$E$1, INDEX('Room Info'!$A$2:$A3446, MATCH(B224,'Room Info'!$E$2:$E3446, 0)),if(G224='Room Info'!$F$1, INDEX('Room Info'!$A$2:$A3446, MATCH(B224,'Room Info'!$F$2:$F3446, 0)),if(G224='Room Info'!$H$1, INDEX('Room Info'!$A$2:$A3446, MATCH(B224,'Room Info'!$H$2:$H3446, 0)),if(G224='Room Info'!$G$1, INDEX('Room Info'!$A$2:$A3446, MATCH(B224,'Room Info'!$G$2:$G3446, 0)))))))))</f>
        <v>fortunate773</v>
      </c>
      <c r="B224" s="50" t="s">
        <v>151</v>
      </c>
      <c r="C224" s="51">
        <v>44916.0</v>
      </c>
      <c r="D224" s="51">
        <v>44957.0</v>
      </c>
      <c r="E224" s="52">
        <v>44927.0</v>
      </c>
      <c r="F224" s="53" t="s">
        <v>8</v>
      </c>
      <c r="G224" s="59" t="s">
        <v>9</v>
      </c>
      <c r="H224" s="54" t="s">
        <v>104</v>
      </c>
      <c r="I224" s="54" t="s">
        <v>21</v>
      </c>
      <c r="J224" s="55">
        <v>500.0</v>
      </c>
      <c r="K224" s="56">
        <v>259.0</v>
      </c>
      <c r="L224" s="57">
        <v>-1000.0</v>
      </c>
      <c r="M224" s="58">
        <v>0.0</v>
      </c>
      <c r="N224" s="33">
        <f t="shared" si="13"/>
        <v>129500</v>
      </c>
      <c r="O224" s="59">
        <v>1817.0</v>
      </c>
      <c r="P224" s="34">
        <f t="shared" si="14"/>
        <v>7.015444015</v>
      </c>
      <c r="Q224" s="60"/>
      <c r="R224" s="36">
        <f t="shared" si="15"/>
        <v>0</v>
      </c>
      <c r="S224" s="61">
        <v>-8182.0</v>
      </c>
      <c r="T224" s="37">
        <f t="shared" si="16"/>
        <v>-8182</v>
      </c>
      <c r="U224" s="62">
        <v>1.0</v>
      </c>
      <c r="V224" s="63"/>
      <c r="W224" s="63"/>
      <c r="X224" s="35">
        <f t="shared" si="29"/>
        <v>0.15</v>
      </c>
      <c r="Y224" s="35">
        <f t="shared" si="30"/>
        <v>0.05</v>
      </c>
      <c r="Z224" s="64">
        <v>-6546.0</v>
      </c>
      <c r="AA224" s="65">
        <v>-1636.0</v>
      </c>
      <c r="AB224" s="41"/>
      <c r="AC224" s="42" t="b">
        <v>0</v>
      </c>
      <c r="AD224" s="66" t="s">
        <v>140</v>
      </c>
      <c r="AE224" s="66"/>
      <c r="AF224" s="42" t="str">
        <f t="array" ref="AF224">INDEX('Deal Info'!D:D, MATCH(A224,'Deal Info'!A:A, 0))</f>
        <v>Fix15</v>
      </c>
      <c r="AG224" s="43" t="str">
        <f t="array" ref="AG224">INDEX('Deal Info'!G:G, MATCH(A224,'Deal Info'!A:A, 0))</f>
        <v>Fix5</v>
      </c>
    </row>
    <row r="225" hidden="1">
      <c r="A225" s="23" t="str">
        <f t="array" ref="A225">if(G225='Room Info'!$B$1, INDEX('Room Info'!$A$2:$A3446, MATCH(B225,'Room Info'!$B$2:$B3446, 0)),if(G225='Room Info'!$C$1, INDEX('Room Info'!$A$2:$A3446, MATCH(B225,'Room Info'!$C$2:$C3446, 0)),if(G225='Room Info'!$D$1, INDEX('Room Info'!$A$2:$A3446, MATCH(B225,'Room Info'!$D$2:$D3446, 0)),if(G225='Room Info'!$E$1, INDEX('Room Info'!$A$2:$A3446, MATCH(B225,'Room Info'!$E$2:$E3446, 0)),if(G225='Room Info'!$F$1, INDEX('Room Info'!$A$2:$A3446, MATCH(B225,'Room Info'!$F$2:$F3446, 0)),if(G225='Room Info'!$H$1, INDEX('Room Info'!$A$2:$A3446, MATCH(B225,'Room Info'!$H$2:$H3446, 0)),if(G225='Room Info'!$G$1, INDEX('Room Info'!$A$2:$A3446, MATCH(B225,'Room Info'!$G$2:$G3446, 0)))))))))</f>
        <v>fortunate773</v>
      </c>
      <c r="B225" s="50" t="s">
        <v>151</v>
      </c>
      <c r="C225" s="51">
        <v>44958.0</v>
      </c>
      <c r="D225" s="51">
        <v>44985.0</v>
      </c>
      <c r="E225" s="85">
        <v>44958.0</v>
      </c>
      <c r="F225" s="50" t="s">
        <v>8</v>
      </c>
      <c r="G225" s="50" t="s">
        <v>9</v>
      </c>
      <c r="H225" s="86" t="s">
        <v>104</v>
      </c>
      <c r="I225" s="54" t="s">
        <v>21</v>
      </c>
      <c r="J225" s="44">
        <f t="shared" ref="J225:J226" si="37">iferror(if(H225="$0.25",0.25, 
if(H225="$0.25 Flash",0.25, 
if(H225 = "$1", 1, 
if(H225 = "$1 Flash", 1, 
if(H225 = "$2", 2, 
if( H225 = "$2 Flash" , 2, 
if( H225= "$3", 3, 
if( H225= "$3 Ultra", 3, 
if( H225= "$5", 5, 
if( H225= "$5 (1M)", 5, 
if( H225= "$5 (1M) Flash", 5, 
if( H225= "$5 Flash", 5, 
if( H225= "$5 Flash (1M)", 5,
if( H225= "$10", 10,
if( H225= "$10 (1M)", 10,
if( H225= "$10 (1M) (old)", 10,
if( H225= "$10 Flash", 10,
if( H225= "$10 Ultra", 10,
if( H225= "$20", 20,
if( H225= "$20 Ultra", 20,
if( H225= "$25", 25,
if( H225= "$25 Flash", 25,
if( H225= "$50", 50,
if( H225= "$50 Flash", 50,
if( H225= "$50 Ultra", 50,
if( H225= "$100", 100,
if( H225= "$100 Flash", 100,
if( H225= "$100 HUHT", 100,
if( H225= "$100 Ultra", 100,
if( H225= "$200", 200,
if( H225= "$200 HUHT", 200,
if( H225= "$250", 250,
if( H225= "$250 Flash", 250,
if( H225= "$300 HUHT", 300,
if( H225= "$500", 500,
if( H225= "$500 Flash", 500,
if( H225 = "$500 HUHT",500,
if( H225= "$1000", 1000,
if( H225= "€0.25 Flash", 0.25,
if( H225="€0.25(nitro) new",0.25,
if( H225= "€1", 1,
if( H225= "€2", 2,
if( H225= "€5", 5,
if( H225= "€5 (1M)", 5,
if( H225= "€5 (bf 01.08)", 5,
if( H225= "€5 (bf 05.05)", 5,
if( H225= "€5 Nitro", 5,
if( H225= "€5(wx) new", 5,
if( H225= "€10", 10,
if( H225= "€10 (1M)", 10,
if( H225= "€10 (bf 01.08)", 10,
if( H225= "€10 (bf 05.05)", 10,
if( H225= "€10 (MP)", 10,
if( H225= "€10 (old)", 10,
if( H225= "€10 Nitro (bf 05.05)", 10,
if( H225= "€10 Nitro (old)", 10,
if( H225= "€10(wx) new", 10,
if( H225= "€20", 20,
if( H225= "€25", 25, 
if( H225= "€25 (bf 01.08)", 25, 
if( H225= "€25 (bf 05.05)", 25, 
if( H225= "€25 (MP)", 25, 
if( H225= "€25 (old)", 25,
if( H225= "€25 Nitro", 25,
if( H225= "€25 Nitro (bf 01.08)", 25,
if( H225= "€25 Nitro (bf 05.05)", 25,
if( H225= "€25(nitro) new", 25,
if( H225= "€25(wx) new", 25,
if( H225= "€50", 50,
if( H225= "€50 (bf 01.08)", 50,
if( H225= "€50 (bf 05.05)", 50,
if( H225= "€50 (old)", 50,
if( H225= "€50 Nitro", 50,
if( H225= "€50 Nitro (bf 01.08)", 50,
if( H225= "€50 Nitro (bf 05.05)", 50,
if( H225= "€50(wx) new", 50,
if( H225= "€100", 100,
if( H225= "€100 (old)", 100,
if( H225= "€100 Nitro", 100,
if( H225= "€100 Nitro (old)", 100,
if( H225= "€200", 200,
if( H225= "€250", 250,
if( H225= "€250 Nitro", 250,
if( H225= "€500", 500,
if( H225= "€500 Nitro", 500,
if( H225= "1000 rub", 1000,
if( H225= "2500 rub", 2500,
if( H225= "5000 rub", 5000,"")))))))))))))))))))))))))))))))))))))))))))))))))))))))))))))))))))))))))))))))))))))))))</f>
        <v>500</v>
      </c>
      <c r="K225" s="56">
        <v>243.0</v>
      </c>
      <c r="L225" s="57">
        <v>-7500.0</v>
      </c>
      <c r="M225" s="58"/>
      <c r="N225" s="33">
        <f t="shared" si="13"/>
        <v>121500</v>
      </c>
      <c r="O225" s="59">
        <v>2613.0</v>
      </c>
      <c r="P225" s="34">
        <f t="shared" si="14"/>
        <v>10.75308642</v>
      </c>
      <c r="Q225" s="60"/>
      <c r="R225" s="36">
        <f>M225+Q225*J225*K225*0.07</f>
        <v>0</v>
      </c>
      <c r="S225" s="61">
        <f>-6129</f>
        <v>-6129</v>
      </c>
      <c r="T225" s="37">
        <f t="shared" ref="T225:T227" si="38">IF(AND(AD225="EUR", F225="Without EV deal"), R225 + L225, 
IF(AND(AD225="USD", F225="Without EV deal"), R225 + L225, 
IF(AND(AD225="EUR", F225="Steel Phoenix"), R225 + S225/U225, 
R225 + S225)))</f>
        <v>-6129</v>
      </c>
      <c r="U225" s="62">
        <v>1.062</v>
      </c>
      <c r="V225" s="63"/>
      <c r="W225" s="63"/>
      <c r="X225" s="35">
        <f t="shared" ref="X225:X227" si="39">IF(AF225="DoEV",IF(AND(V225&lt;20,W225&lt;55),0.3,0)+IF(AND(V225&lt;20,W225&gt;=55,W225&lt;105),0.23,0)+IF(AND(V225&lt;20,W225&gt;=105),0.17,0)+IF(AND(V225&gt;=20,V225&lt;40,W225&lt;45),0.3,0)+IF(AND(V225&gt;=20,V225&lt;40,W225&gt;=45,W225&lt;95),0.23,0)+IF(AND(V225&gt;=20,V225&lt;40,W225&gt;=95),0.17,0)+IF(AND(V225&gt;=40,V225&lt;75,W225&lt;35),0.3,0)+IF(AND(V225&gt;=40,V225&lt;75,W225&gt;=35,W225&lt;75),0.23,0)+IF(AND(V225&gt;=40,V225&lt;75,W225&gt;=75,W225&lt;120),0.17,0)+IF(AND(V225&gt;=40,V225&lt;75,W225&gt;=120),0.12,0)+IF(AND(V225&gt;=75,V225&lt;175,W225&lt;35),0.3,0)+IF(AND(V225&gt;=75,V225&lt;=175,W225&gt;=35,W225&lt;65),0.23,0)+IF(AND(V225&gt;=75,V225&lt;=175,W225&gt;=65,W225&lt;110),0.17,0)+IF(AND(V225&gt;=75,V225&lt;=175,W225&gt;=110),0.12,0)+IF(AND(V225&gt;175,W225&lt;25),0.3,0)+IF(AND(V225&gt;175,W225&gt;=25,W225&lt;55),0.23,0)+IF(AND(V225&gt;175,W225&gt;=55,W225&lt;95),0.17,0)+IF(AND(V225&gt;175,W225&gt;=95),0.12,0),
IF(AF225="Fix15",0.15,
IF(AF225="Fix5",0.05,
if(AF225="Fix18.75",0.1875,
IF(AF225="Fix11.25",0.1125,
IF(AF225="Fix10",0.1,
IF(AF225="Fix9",0.09,
IF(AF225="Fix12",0.12,
IF(AF225="Fix19",0.19,
IF(AF225="DoEV2017",IF(AND(W225&lt;74),0.2,0)+IF(AND(W225&gt;=74),0.17,0),
IF(AF225="SF",IF(AND(V225&lt;20,W225&lt;89),0.3,0)+IF(AND(V225&lt;20,W225&gt;=89),0.25,0)+IF(AND(V225&gt;=20,V225&lt;40,W225&lt;74),0.3,0)+IF(AND(V225&gt;=20,V225&lt;40,W225&gt;=75),0.22,0)+IF(AND(V225&gt;=40,V225&lt;75,W225&lt;75),0.26,0)+IF(AND(V225&gt;=40,V225&lt;75,W225&gt;=75),0.22,0)+IF(V225&gt;=75,0.22,0),
IF(AF225="DoEVold",IF(AND(V225&lt;40,W225&lt;35),0.35,0)+IF(AND(V225&lt;40,W225&gt;=35,W225&lt;75),0.25,0)+IF(AND(V225&lt;40,W225&gt;=75),0.17,0)+IF(AND(V225&gt;=40,V225&lt;75,W225&lt;25),0.35,0)+IF(AND(V225&gt;=40,V225&lt;75,W225&gt;=25,W225&lt;65),0.25,0)+IF(AND(V225&gt;=40,V225&lt;75,W225&gt;=65,W225&lt;100),0.17,0)+IF(AND(V225&gt;=40,V225&lt;75,W225&gt;=100),0.1,0)+IF(AND(V225&gt;=75,W225&lt;25),0.35,0)+IF(AND(V225&gt;=75,W225&gt;=25,W225&lt;60),0.25,0)+IF(AND(V225&gt;=75,W225&gt;=60,W225&lt;95),0.17,0)+IF(AND(V225&gt;=75,W225&gt;=95),0.1,0),
IF(AF225="DoEVold15",IF(AND(V225&lt;=40,W225&lt;35),0.35,0)+IF(AND(V225&lt;=40,W225&gt;=35,W225&lt;75),0.25,0)+IF(AND(V225&lt;=40,W225&gt;=75,W225&lt;120),0.17,0)+IF(AND(V225&lt;=40,W225&gt;=120),0.15,0)+IF(AND(V225&gt;40,V225&lt;75,W225&lt;25),0.35,0)+IF(AND(V225&gt;=40,V225&lt;75,W225&gt;=25,W225&lt;65),0.25,0)+IF(AND(V225&gt;=40,V225&lt;75,W225&gt;=65,W225&lt;100),0.17,0)+IF(AND(V225&gt;=40,V225&lt;75,W225&gt;=100),0.1,0)+IF(AND(V225&gt;=75,W225&lt;25),0.35,0)+IF(AND(V225&gt;=75,W225&gt;=25,W225&lt;60),0.25,0)+IF(AND(V225&gt;=75,W225&gt;=60,W225&lt;95),0.17,0)+IF(AND(V225&gt;=75,W225&gt;=95),0.1,0),
IF(AF225="DoEVba",IF(AND(V225&lt;20,W225&lt;105),0.2,0)+IF(AND(V225&lt;20,W225&gt;=105),0.15,0)+IF(AND(V225&gt;=20,V225&lt;40,W225&lt;95),0.2,0)+IF(AND(V225&gt;=20,V225&lt;40,W225&gt;=95,W225&lt;150),0.15,0)+IF(AND(V225&gt;=20,V225&lt;40,W225&gt;=150),0.12,0)+IF(AND(V225&gt;=40,V225&lt;75,W225&lt;75),0.2,0)+IF(AND(V225&gt;=40,V225&lt;75,W225&gt;=75,W225&lt;120),0.15,0)+IF(AND(V225&gt;=40,V225&lt;75,W225&gt;=120),0.12,0)+IF(AND(V225&gt;=75,V225&lt;175,W225&lt;65),0.2,0)+IF(AND(V225&gt;=75,V225&lt;175,W225&gt;=65,W225&lt;110),0.15,0)+IF(AND(V225&gt;=75,V225&lt;175,W225&gt;=110),0.12,0)+IF(AND(V225&gt;=175,W225&lt;55),0.2,0)+IF(AND(V225&gt;=175,W225&gt;=55,W225&lt;95),0.15,0)+IF(AND(V225&gt;=175,W225&gt;=95),0.12,0),
IF(AF225="DoEVku",IF(AND(V225&lt;20,W225&lt;55),0.23,0)+IF(AND(V225&lt;20,W225&gt;=55,W225&lt;105),0.2,0)+IF(AND(V225&lt;20,W225&gt;=105),0.17,0)+IF(AND(V225&gt;=20,V225&lt;40,W225&lt;45),0.23,0)+IF(AND(V225&gt;=20,V225&lt;40,W225&gt;=45,W225&lt;95),0.2,0)+IF(AND(V225&gt;=20,V225&lt;40,W225&gt;=95,W225&lt;=150),0.17,0)+IF(AND(V225&gt;=20,V225&lt;40,W225&gt;=150),0.12,0)+IF(AND(V225&gt;=40,V225&lt;75,W225&lt;35),0.23,0)+IF(AND(V225&gt;=40,V225&lt;75,W225&gt;=35,W225&lt;75),0.2,0)+IF(AND(V225&gt;=40,V225&lt;75,W225&gt;=75,W225&lt;120),0.17,0)+IF(AND(V225&gt;=40,V225&lt;75,W225&gt;=120),0.12,0)+IF(AND(V225&gt;=75,V225&lt;175,W225&lt;35),0.23,0)+IF(AND(V225&gt;=75,V225&lt;=175,W225&gt;=35,W225&lt;65),0.2,0)+IF(AND(V225&gt;=75,V225&lt;=175,W225&gt;=65,W225&lt;110),0.17,0)+IF(AND(V225&gt;=75,V225&lt;=175,W225&gt;=110),0.12,0)+IF(AND(V225&gt;175,W225&lt;25),0.23,0)+IF(AND(V225&gt;175,W225&gt;=25,W225&lt;55),0.2,0)+IF(AND(V225&gt;175,W225&gt;=55,W225&lt;95),0.17,0)+IF(AND(V225&gt;175,W225&gt;=95),0.12,0),
IF(AF225="DoEVs1",IF(AND(V225&lt;20,W225&lt;55),0.3,0)+IF(AND(V225&lt;20,W225&gt;=55,W225&lt;105),0.23,0)+IF(AND(V225&lt;20,W225&gt;=105),0.17,0)+IF(AND(V225&gt;=20,V225&lt;40,W225&lt;45),0.3,0)+IF(AND(V225&gt;=20,V225&lt;40,W225&gt;=45,W225&lt;95),0.23,0)+IF(AND(V225&gt;=20,V225&lt;40,W225&gt;=95,W225&lt;=150),0.17,0)+IF(AND(V225&gt;=20,V225&lt;40,W225&gt;=150),0.12,0)+IF(AND(V225&gt;=40,V225&lt;75,W225&lt;35),0.3,0)+IF(AND(V225&gt;=40,V225&lt;75,W225&gt;=35,W225&lt;75),0.23,0)+IF(AND(V225&gt;=40,V225&lt;75,W225&gt;=75,W225&lt;120),0.17,0)+IF(AND(V225&gt;=40,V225&lt;75,W225&gt;=120),0.12,0)+IF(AND(V225&gt;=75,V225&lt;175,W225&lt;35),0.3,0)+IF(AND(V225&gt;=75,V225&lt;=175,W225&gt;=35,W225&lt;65),0.23,0)+IF(AND(V225&gt;=75,V225&lt;=175,W225&gt;=65,W225&lt;110),0.17,0)+IF(AND(V225&gt;=75,V225&lt;=175,W225&gt;=110),0.12,0)+IF(AND(V225&gt;175,W225&lt;25),0.3,0)+IF(AND(V225&gt;175,W225&gt;=25,W225&lt;55),0.23,0)+IF(AND(V225&gt;175,W225&gt;=55,W225&lt;95),0.17,0)+IF(AND(V225&gt;175,W225&gt;=95),0.12,0),
IF(AF225="DoEVsu",IF(AND(V225&lt;20,W225&lt;55),0.3,0)+IF(AND(V225&lt;20,W225&gt;=55,W225&lt;105),0.23,0)+IF(AND(V225&lt;20,W225&gt;=105),0.17,0)+IF(AND(V225&gt;=20,V225&lt;40,W225&lt;45),0.3,0)+IF(AND(V225&gt;=20,V225&lt;40,W225&gt;=45,W225&lt;95),0.23,0)+IF(AND(V225&gt;=20,V225&lt;40,W225&gt;=95,W225&lt;=250),0.17,0)+IF(AND(V225&gt;=20,V225&lt;40,W225&gt;=250),0.12,0)+IF(AND(V225&gt;=40,V225&lt;75,W225&lt;35),0.3,0)+IF(AND(V225&gt;=40,V225&lt;75,W225&gt;=35,W225&lt;75),0.23,0)+IF(AND(V225&gt;=40,V225&lt;75,W225&gt;=75,W225&lt;120),0.17,0)+IF(AND(V225&gt;=40,V225&lt;75,W225&gt;=120),0.12,0)+IF(AND(V225&gt;=75,V225&lt;175,W225&lt;35),0.3,0)+IF(AND(V225&gt;=75,V225&lt;=175,W225&gt;=35,W225&lt;65),0.23,0)+IF(AND(V225&gt;=75,V225&lt;=175,W225&gt;=65,W225&lt;110),0.17,0)+IF(AND(V225&gt;=75,V225&lt;=175,W225&gt;=110),0.12,0)+IF(AND(V225&gt;175,W225&lt;25),0.3,0)+IF(AND(V225&gt;175,W225&gt;=25,W225&lt;55),0.23,0)+IF(AND(V225&gt;175,W225&gt;=55,W225&lt;95),0.17,0)+IF(AND(V225&gt;175,W225&gt;=95),0.12,0),
IF(AF225="DoEVni",IF(AND(V225&lt;20,W225&lt;55),0.3,0)+IF(AND(V225&lt;20,W225&gt;=55,W225&lt;105),0.23,0)+IF(AND(V225&lt;20,W225&gt;=105),0.17,0)+IF(AND(V225&gt;=20,V225&lt;40,W225&lt;45),0.3,0)+IF(AND(V225&gt;=20,V225&lt;40,W225&gt;=45,W225&lt;95),0.23,0)+IF(AND(V225&gt;=20,V225&lt;40,W225&gt;=95,W225&lt;=200),0.17,0)+IF(AND(V225&gt;=20,V225&lt;40,W225&gt;=200),0.12,0)+IF(AND(V225&gt;=40,V225&lt;75,W225&lt;35),0.3,0)+IF(AND(V225&gt;=40,V225&lt;75,W225&gt;=35,W225&lt;75),0.23,0)+IF(AND(V225&gt;=40,V225&lt;75,W225&gt;=75,W225&lt;120),0.17,0)+IF(AND(V225&gt;=40,V225&lt;75,W225&gt;=120),0.12,0)+IF(AND(V225&gt;=75,V225&lt;175,W225&lt;35),0.3,0)+IF(AND(V225&gt;=75,V225&lt;=175,W225&gt;=35,W225&lt;65),0.23,0)+IF(AND(V225&gt;=75,V225&lt;=175,W225&gt;=65,W225&lt;110),0.17,0)+IF(AND(V225&gt;=75,V225&lt;=175,W225&gt;=110),0.12,0)+IF(AND(V225&gt;175,W225&lt;25),0.3,0)+IF(AND(V225&gt;175,W225&gt;=25,W225&lt;55),0.23,0)+IF(AND(V225&gt;175,W225&gt;=55,W225&lt;95),0.17,0)+IF(AND(V225&gt;175,W225&gt;=95),0.12,0),
IF(AF225="DoEVLo",IF(AND(V225&lt;20,W225&lt;55),0.25,0)+IF(AND(V225&lt;20,W225&gt;=55,W225&lt;105),0.2,0)+IF(AND(V225&lt;20,W225&gt;=105),0.15,0)+IF(AND(V225&gt;=20,V225&lt;40,W225&lt;45),0.25,0)+IF(AND(V225&gt;=20,V225&lt;40,W225&gt;=45,W225&lt;95),0.2,0)+IF(AND(V225&gt;=20,V225&lt;40,W225&gt;=95),0.15,0)+IF(AND(V225&gt;=40,V225&lt;75,W225&lt;35),0.25,0)+IF(AND(V225&gt;=40,V225&lt;75,W225&gt;=35,W225&lt;75),0.2,0)+IF(AND(V225&gt;=40,V225&lt;75,W225&gt;=75,W225&lt;120),0.15,0)+IF(AND(V225&gt;=40,V225&lt;75,W225&gt;=120),0.1,0)+IF(AND(V225&gt;=75,V225&lt;175,W225&lt;35),0.25,0)+IF(AND(V225&gt;=75,V225&lt;=175,W225&gt;=35,W225&lt;65),0.2,0)+IF(AND(V225&gt;=75,V225&lt;=175,W225&gt;=65,W225&lt;110),0.15,0)+IF(AND(V225&gt;=75,V225&lt;=175,W225&gt;=110),0.1,0)+IF(AND(V225&gt;175,W225&lt;25),0.25,0)+IF(AND(V225&gt;175,W225&gt;=25,W225&lt;55),0.2,0)+IF(AND(V225&gt;175,W225&gt;=55,W225&lt;95),0.15,0)+IF(AND(V225&gt;175,W225&gt;=95),0.1,0))))))))))))))))))))</f>
        <v>0.15</v>
      </c>
      <c r="Y225" s="35">
        <f t="shared" ref="Y225:Y227" si="40">if(AG225="None",0,if(AG225="Fix5",0.05, if(AG225="Fix6.25",0.0625,if(AG225="Fix3.75",0.0375, if(AG225="Fix11",0.11, if(AG225="Fix10",0.1,if(AG225="Fix3",0.03,0)))))))</f>
        <v>0.05</v>
      </c>
      <c r="Z225" s="40">
        <f t="shared" ref="Z225:Z227" si="41">if(and(AD225="EUR", AE225 = "USD"), T225*U225-AA225-AB225, T225-AA225-AB225)</f>
        <v>-4903.2</v>
      </c>
      <c r="AA225" s="34">
        <f t="shared" ref="AA225:AA227" si="42">IF(AND(AD225="EUR", F225="Without EV deal", AE225="USD"), (T225*X225)*U225, 
IF(AND(AD225="EUR", F225="Without EV deal", AE225="EUR"), (T225*X225), 
IF(AND(AD225="EUR",AE225="USD"), (T225*X225)*U225, 
T225*X225)))</f>
        <v>-919.35</v>
      </c>
      <c r="AB225" s="41">
        <f t="shared" ref="AB225:AB227" si="43">IF(AND(AD225="EUR", F225="Without EV deal", AE225="USD"), (T225*Y225)*U225, 
IF(AND(AD225="EUR", F225="Without EV deal", AE225="EUR"), (T225*Y225), 
IF(AND(AD225="EUR",AE225="USD"), (T225*Y225)*U225, 
T225*Y225)))</f>
        <v>-306.45</v>
      </c>
      <c r="AC225" s="42" t="b">
        <v>0</v>
      </c>
      <c r="AD225" s="87" t="str">
        <f t="shared" ref="AD225:AD227" si="44">IF(OR(H225="€0.25 Flash",
H225="€0.25(nitro) new",
H225="€1",
H225="€2",
H225="€2 (bf 01.08)",
H225="€5",
H225="€5 (1M)",
H225="€5 (bf 01.08)",
H225="€5 (bf 05.05)",
H225="€5 Nitro",
H225="€5(wx) new",
H225="€10",
H225="€10 (1M)",
H225="€10 (bf 01.08)",
H225="€10 (bf 05.05)",
H225="€10 (MP)",
H225="€10 (old)",
H225="€10 Nitro (bf 05.05)",
H225="€10 Nitro (old)",
H225="€10(wx) new",
H225="€20",
H225="€25",
H225="€25 (bf 01.08)",
H225="€25 (bf 05.05)",
H225="€25 (MP)",
H225="€25 (old)",
H225="€25 Nitro",
H225="€25 Nitro (bf 01.08)",
H225="€25 Nitro (bf 05.05)",
H225="€25(nitro) new",
H225="€25(wx) new",
H225="€50",
H225="€50 (bf 01.08)",
H225="€50 (bf 05.05)",
H225="€50 (old)",
H225="€50 Nitro",
H225="€50 Nitro (bf 01.08)",
H225="€50 Nitro (bf 05.05)",
H225="€50(wx) new",
H225="€100",
H225="€100 (old)",
H225="€100 Nitro",
H225="€100 Nitro (old)",
H225="€200",
H225="€250",
H225="€250 Nitro",
H225="€500",
H225="€500 Nitro"),"EUR", "USD")
</f>
        <v>EUR</v>
      </c>
      <c r="AE225" s="87" t="s">
        <v>140</v>
      </c>
      <c r="AF225" s="88" t="str">
        <f t="array" ref="AF225">INDEX('Deal Info'!D:D, MATCH(A225,'Deal Info'!A:A, 0))</f>
        <v>Fix15</v>
      </c>
      <c r="AG225" s="89" t="str">
        <f t="array" ref="AG225">INDEX('Deal Info'!G:G, MATCH(A225,'Deal Info'!A:A, 0))</f>
        <v>Fix5</v>
      </c>
    </row>
    <row r="226">
      <c r="A226" s="23" t="str">
        <f t="array" ref="A226">if(G226='Room Info'!$B$1, INDEX('Room Info'!$A$2:$A3446, MATCH(B226,'Room Info'!$B$2:$B3446, 0)),if(G226='Room Info'!$C$1, INDEX('Room Info'!$A$2:$A3446, MATCH(B226,'Room Info'!$C$2:$C3446, 0)),if(G226='Room Info'!$D$1, INDEX('Room Info'!$A$2:$A3446, MATCH(B226,'Room Info'!$D$2:$D3446, 0)),if(G226='Room Info'!$E$1, INDEX('Room Info'!$A$2:$A3446, MATCH(B226,'Room Info'!$E$2:$E3446, 0)),if(G226='Room Info'!$F$1, INDEX('Room Info'!$A$2:$A3446, MATCH(B226,'Room Info'!$F$2:$F3446, 0)),if(G226='Room Info'!$H$1, INDEX('Room Info'!$A$2:$A3446, MATCH(B226,'Room Info'!$H$2:$H3446, 0)),if(G226='Room Info'!$G$1, INDEX('Room Info'!$A$2:$A3446, MATCH(B226,'Room Info'!$G$2:$G3446, 0)))))))))</f>
        <v>Lo4io</v>
      </c>
      <c r="B226" s="90" t="s">
        <v>157</v>
      </c>
      <c r="C226" s="91">
        <v>44947.0</v>
      </c>
      <c r="D226" s="92">
        <v>44977.0</v>
      </c>
      <c r="E226" s="26">
        <v>44958.0</v>
      </c>
      <c r="F226" s="27" t="s">
        <v>4</v>
      </c>
      <c r="G226" s="23" t="s">
        <v>9</v>
      </c>
      <c r="H226" s="28" t="s">
        <v>84</v>
      </c>
      <c r="I226" s="28" t="s">
        <v>21</v>
      </c>
      <c r="J226" s="44">
        <f t="shared" si="37"/>
        <v>50</v>
      </c>
      <c r="K226" s="93">
        <v>693.0</v>
      </c>
      <c r="L226" s="94">
        <v>-700.0</v>
      </c>
      <c r="M226" s="32"/>
      <c r="N226" s="33">
        <f t="shared" si="13"/>
        <v>34650</v>
      </c>
      <c r="O226" s="90">
        <v>29237.0</v>
      </c>
      <c r="P226" s="34">
        <f t="shared" si="14"/>
        <v>42.18903319</v>
      </c>
      <c r="Q226" s="35"/>
      <c r="R226" s="36">
        <f>M226+Q226</f>
        <v>0</v>
      </c>
      <c r="S226" s="33"/>
      <c r="T226" s="37">
        <f t="shared" si="38"/>
        <v>0</v>
      </c>
      <c r="U226" s="38">
        <v>1.067</v>
      </c>
      <c r="V226" s="74">
        <v>37.32526141992295</v>
      </c>
      <c r="W226" s="69">
        <v>65.0</v>
      </c>
      <c r="X226" s="35">
        <f t="shared" si="39"/>
        <v>0.2</v>
      </c>
      <c r="Y226" s="35">
        <f t="shared" si="40"/>
        <v>0</v>
      </c>
      <c r="Z226" s="40">
        <f t="shared" si="41"/>
        <v>0</v>
      </c>
      <c r="AA226" s="34">
        <f t="shared" si="42"/>
        <v>0</v>
      </c>
      <c r="AB226" s="41">
        <f t="shared" si="43"/>
        <v>0</v>
      </c>
      <c r="AC226" s="66" t="b">
        <v>1</v>
      </c>
      <c r="AD226" s="87" t="str">
        <f t="shared" si="44"/>
        <v>EUR</v>
      </c>
      <c r="AE226" s="88" t="s">
        <v>138</v>
      </c>
      <c r="AF226" s="88" t="str">
        <f t="array" ref="AF226">INDEX('Deal Info'!D:D, MATCH(A226,'Deal Info'!A:A, 0))</f>
        <v>DoEVLo</v>
      </c>
      <c r="AG226" s="89" t="str">
        <f t="array" ref="AG226">INDEX('Deal Info'!G:G, MATCH(A226,'Deal Info'!A:A, 0))</f>
        <v>None</v>
      </c>
    </row>
    <row r="227" hidden="1">
      <c r="A227" s="23" t="str">
        <f t="array" ref="A227">if(G227='Room Info'!$B$1, INDEX('Room Info'!$A$2:$A3446, MATCH(B227,'Room Info'!$B$2:$B3446, 0)),if(G227='Room Info'!$C$1, INDEX('Room Info'!$A$2:$A3446, MATCH(B227,'Room Info'!$C$2:$C3446, 0)),if(G227='Room Info'!$D$1, INDEX('Room Info'!$A$2:$A3446, MATCH(B227,'Room Info'!$D$2:$D3446, 0)),if(G227='Room Info'!$E$1, INDEX('Room Info'!$A$2:$A3446, MATCH(B227,'Room Info'!$E$2:$E3446, 0)),if(G227='Room Info'!$F$1, INDEX('Room Info'!$A$2:$A3446, MATCH(B227,'Room Info'!$F$2:$F3446, 0)),if(G227='Room Info'!$H$1, INDEX('Room Info'!$A$2:$A3446, MATCH(B227,'Room Info'!$H$2:$H3446, 0)),if(G227='Room Info'!$G$1, INDEX('Room Info'!$A$2:$A3446, MATCH(B227,'Room Info'!$G$2:$G3446, 0)))))))))</f>
        <v>Lo4io</v>
      </c>
      <c r="B227" s="50" t="s">
        <v>157</v>
      </c>
      <c r="C227" s="51">
        <v>44978.0</v>
      </c>
      <c r="D227" s="51">
        <v>45005.0</v>
      </c>
      <c r="E227" s="95">
        <v>44986.0</v>
      </c>
      <c r="F227" s="53" t="s">
        <v>4</v>
      </c>
      <c r="G227" s="50" t="s">
        <v>9</v>
      </c>
      <c r="H227" s="86" t="s">
        <v>84</v>
      </c>
      <c r="I227" s="96" t="s">
        <v>21</v>
      </c>
      <c r="J227" s="44">
        <f>iferror(if(H227="$0.25",0.25, 
if(H227="$0.25 Flash",0.25, 
if(H227 = "$1", 1, 
if(H227 = "$1 Flash", 1, 
if(H227 = "$2", 2, 
if( H227 = "$2 Flash" , 2, 
if( H227= "$3", 3, 
if( H227= "$3 Ultra", 3, 
if( H227= "$5", 5, 
if( H227= "$5 (1M)", 5, 
if( H227= "$5 (1M) Flash", 5, 
if( H227= "$5 Flash", 5, 
if( H227= "$5 Flash (1M)", 5,
if( H227= "$10", 10,
if( H227= "$10 (1M)", 10,
if( H227= "$10 (1M) (old)", 10,
if( H227= "$10 Flash", 10,
if( H227= "$10 Ultra", 10,
if( H227= "$20", 20,
if( H227= "$20 Ultra", 20,
if( H227= "$25", 25,
if( H227= "$25 Flash", 25,
if( H227= "$50", 50,
if( H227= "$50 Flash", 50,
if( H227= "$50 Ultra", 50,
if( H227= "$100", 100,
if( H227= "$100 Flash", 100,
if( H227= "$100 HUHT", 100,
if( H227= "$100 Ultra", 100,
if( H227= "$200", 200,
if( H227= "$200 HUHT", 200,
if( H227= "$250", 250,
if( H227= "$250 Flash", 250,
if( H227= "$300 HUHT", 300,
if( H227= "$500", 500,
if( H227= "$500 Flash", 500,
if( H227 = "$500 HUHT",500,
if( H227= "$1000", 1000,
if( H227= "$1000 HUHT", 1000,
if( H227= "€0.25 Flash", 0.25,
if( H227="€0.25(nitro) new",0.25,
if( H227= "€1", 1,
if( H227= "€2", 2,
if( H227= "€5", 5,
if( H227= "€5 (1M)", 5,
if( H227= "€5 (bf 01.08)", 5,
if( H227= "€5 (bf 05.05)", 5,
if( H227= "€5 Nitro", 5,
if( H227= "€5(wx) new", 5,
if( H227= "€10", 10,
if( H227= "€10 (1M)", 10,
if( H227= "€10 (bf 01.08)", 10,
if( H227= "€10 (bf 05.05)", 10,
if( H227= "€10 (MP)", 10,
if( H227= "€10 (old)", 10,
if( H227= "€10 Nitro (bf 05.05)", 10,
if( H227= "€10 Nitro (old)", 10,
if( H227= "€10(wx) new", 10,
if( H227= "€20", 20,
if( H227= "€25", 25, 
if( H227= "€25 (bf 01.08)", 25, 
if( H227= "€25 (bf 05.05)", 25, 
if( H227= "€25 (MP)", 25, 
if( H227= "€25 (old)", 25,
if( H227= "€25 Nitro", 25,
if( H227= "€25 Nitro (bf 01.08)", 25,
if( H227= "€25 Nitro (bf 05.05)", 25,
if( H227= "€25(nitro) new", 25,
if( H227= "€25(wx) new", 25,
if( H227= "€50", 50,
if( H227= "€50 (bf 01.08)", 50,
if( H227= "€50 (bf 05.05)", 50,
if( H227= "€50 (old)", 50,
if( H227= "€50 Nitro", 50,
if( H227= "€50 Nitro (bf 01.08)", 50,
if( H227= "€50 Nitro (bf 05.05)", 50,
if( H227= "€50(wx) new", 50,
if( H227= "€100", 100,
if( H227= "€100 (old)", 100,
if( H227= "€100 Nitro", 100,
if( H227= "€100 Nitro (old)", 100,
if( H227= "€200", 200,
if( H227= "€250", 250,
if( H227= "€250 Nitro", 250,
if( H227= "€500", 500,
if( H227= "€500 Nitro", 500,
if( H227= "1000 rub", 1000,
if( H227= "2500 rub", 2500,
if( H227= "5000 rub", 5000,""))))))))))))))))))))))))))))))))))))))))))))))))))))))))))))))))))))))))))))))))))))))))))</f>
        <v>50</v>
      </c>
      <c r="K227" s="56">
        <v>3228.0</v>
      </c>
      <c r="L227" s="57">
        <v>5944.0</v>
      </c>
      <c r="M227" s="67"/>
      <c r="N227" s="33">
        <f t="shared" si="13"/>
        <v>161400</v>
      </c>
      <c r="O227" s="59">
        <v>135189.0</v>
      </c>
      <c r="P227" s="34">
        <f t="shared" si="14"/>
        <v>41.88011152</v>
      </c>
      <c r="Q227" s="60"/>
      <c r="R227" s="36">
        <f>M227+Q227*J227*K227*0.07</f>
        <v>0</v>
      </c>
      <c r="S227" s="71"/>
      <c r="T227" s="37">
        <f t="shared" si="38"/>
        <v>0</v>
      </c>
      <c r="U227" s="62">
        <v>1.071</v>
      </c>
      <c r="V227" s="74">
        <v>37.32526141992295</v>
      </c>
      <c r="W227" s="69">
        <v>65.0</v>
      </c>
      <c r="X227" s="35">
        <f t="shared" si="39"/>
        <v>0.2</v>
      </c>
      <c r="Y227" s="35">
        <f t="shared" si="40"/>
        <v>0</v>
      </c>
      <c r="Z227" s="40">
        <f t="shared" si="41"/>
        <v>0</v>
      </c>
      <c r="AA227" s="34">
        <f t="shared" si="42"/>
        <v>0</v>
      </c>
      <c r="AB227" s="41">
        <f t="shared" si="43"/>
        <v>0</v>
      </c>
      <c r="AC227" s="66" t="b">
        <v>1</v>
      </c>
      <c r="AD227" s="87" t="str">
        <f t="shared" si="44"/>
        <v>EUR</v>
      </c>
      <c r="AE227" s="88" t="s">
        <v>138</v>
      </c>
      <c r="AF227" s="88" t="str">
        <f t="array" ref="AF227">INDEX('Deal Info'!D:D, MATCH(A227,'Deal Info'!A:A, 0))</f>
        <v>DoEVLo</v>
      </c>
      <c r="AG227" s="89" t="str">
        <f t="array" ref="AG227">INDEX('Deal Info'!G:G, MATCH(A227,'Deal Info'!A:A, 0))</f>
        <v>None</v>
      </c>
    </row>
    <row r="228" hidden="1">
      <c r="A228" s="23" t="str">
        <f t="array" ref="A228">if(G228='Room Info'!$B$1, INDEX('Room Info'!$A$2:$A3446, MATCH(B228,'Room Info'!$B$2:$B3446, 0)),if(G228='Room Info'!$C$1, INDEX('Room Info'!$A$2:$A3446, MATCH(B228,'Room Info'!$C$2:$C3446, 0)),if(G228='Room Info'!$D$1, INDEX('Room Info'!$A$2:$A3446, MATCH(B228,'Room Info'!$D$2:$D3446, 0)),if(G228='Room Info'!$E$1, INDEX('Room Info'!$A$2:$A3446, MATCH(B228,'Room Info'!$E$2:$E3446, 0)),if(G228='Room Info'!$F$1, INDEX('Room Info'!$A$2:$A3446, MATCH(B228,'Room Info'!$F$2:$F3446, 0)),if(G228='Room Info'!$H$1, INDEX('Room Info'!$A$2:$A3446, MATCH(B228,'Room Info'!$H$2:$H3446, 0)),if(G228='Room Info'!$G$1, INDEX('Room Info'!$A$2:$A3446, MATCH(B228,'Room Info'!$G$2:$G3446, 0)))))))))</f>
        <v>Lo4io</v>
      </c>
      <c r="B228" s="50" t="s">
        <v>156</v>
      </c>
      <c r="C228" s="97">
        <v>44825.0</v>
      </c>
      <c r="D228" s="97">
        <v>44854.0</v>
      </c>
      <c r="E228" s="52">
        <v>44835.0</v>
      </c>
      <c r="F228" s="53" t="s">
        <v>4</v>
      </c>
      <c r="G228" s="50" t="s">
        <v>5</v>
      </c>
      <c r="H228" s="54" t="s">
        <v>62</v>
      </c>
      <c r="I228" s="54" t="s">
        <v>7</v>
      </c>
      <c r="J228" s="75">
        <v>25.0</v>
      </c>
      <c r="K228" s="76">
        <v>67.0</v>
      </c>
      <c r="L228" s="77">
        <v>-150.0</v>
      </c>
      <c r="M228" s="84"/>
      <c r="N228" s="33">
        <f t="shared" si="13"/>
        <v>1675</v>
      </c>
      <c r="O228" s="50">
        <v>4430.0</v>
      </c>
      <c r="P228" s="34">
        <f t="shared" si="14"/>
        <v>66.11940299</v>
      </c>
      <c r="Q228" s="60"/>
      <c r="R228" s="36">
        <f t="shared" ref="R228:R440" si="45">M228+Q228</f>
        <v>0</v>
      </c>
      <c r="S228" s="78">
        <v>98.0</v>
      </c>
      <c r="T228" s="37">
        <f t="shared" ref="T228:T440" si="46">R228+S228+if(F228="Without EV deal",L228,0)</f>
        <v>98</v>
      </c>
      <c r="U228" s="62">
        <v>1.0</v>
      </c>
      <c r="V228" s="74">
        <v>46.54329608938548</v>
      </c>
      <c r="W228" s="74">
        <v>67.52852213053262</v>
      </c>
      <c r="X228" s="35">
        <f>IF(AF228="DoEV",IF(AND(V228&lt;20,W228&lt;55),0.3,0)+IF(AND(V228&lt;20,W228&gt;=55,W228&lt;105),0.23,0)+IF(AND(V228&lt;20,W228&gt;=105),0.17,0)+IF(AND(V228&gt;=20,V228&lt;40,W228&lt;45),0.3,0)+IF(AND(V228&gt;=20,V228&lt;40,W228&gt;=45,W228&lt;95),0.23,0)+IF(AND(V228&gt;=20,V228&lt;40,W228&gt;=95),0.17,0)+IF(AND(V228&gt;=40,V228&lt;75,W228&lt;35),0.3,0)+IF(AND(V228&gt;=40,V228&lt;75,W228&gt;=35,W228&lt;75),0.23,0)+IF(AND(V228&gt;=40,V228&lt;75,W228&gt;=75,W228&lt;120),0.17,0)+IF(AND(V228&gt;=40,V228&lt;75,W228&gt;=120),0.12,0)+IF(AND(V228&gt;=75,V228&lt;175,W228&lt;35),0.3,0)+IF(AND(V228&gt;=75,V228&lt;=175,W228&gt;=35,W228&lt;65),0.23,0)+IF(AND(V228&gt;=75,V228&lt;=175,W228&gt;=65,W228&lt;110),0.17,0)+IF(AND(V228&gt;=75,V228&lt;=175,W228&gt;=110),0.12,0)+IF(AND(V228&gt;175,W228&lt;25),0.3,0)+IF(AND(V228&gt;175,W228&gt;=25,W228&lt;55),0.23,0)+IF(AND(V228&gt;175,W228&gt;=55,W228&lt;95),0.17,0)+IF(AND(V228&gt;175,W228&gt;=95),0.12,0),
IF(AF228="Fix15",0.15,
IF(AF228="Fix11.25",0.1125,
IF(AF228="Fix10",0.1,
IF(AF228="Fix9",0.09,
IF(AF228="DoEV2017",IF(AND(W228&lt;74),0.2,0)+IF(AND(W228&gt;=74),0.17,0),
IF(AF228="SF",IF(AND(V228&lt;20,W228&lt;89),0.3,0)+IF(AND(V228&lt;20,W228&gt;=89),0.25,0)+IF(AND(V228&gt;=20,V228&lt;40,W228&lt;74),0.3,0)+IF(AND(V228&gt;=20,V228&lt;40,W228&gt;=75),0.22,0)+IF(AND(V228&gt;=40,V228&lt;75,W228&lt;75),0.26,0)+IF(AND(V228&gt;=40,V228&lt;75,W228&gt;=75),0.22,0)+IF(V228&gt;=75,0.22,0),
IF(AF228="DoEVold",IF(AND(V228&lt;40,W228&lt;35),0.35,0)+IF(AND(V228&lt;40,W228&gt;=35,W228&lt;75),0.25,0)+IF(AND(V228&lt;40,W228&gt;=75),0.17,0)+IF(AND(V228&gt;=40,V228&lt;75,W228&lt;25),0.35,0)+IF(AND(V228&gt;=40,V228&lt;75,W228&gt;=25,W228&lt;65),0.25,0)+IF(AND(V228&gt;=40,V228&lt;75,W228&gt;=65,W228&lt;100),0.17,0)+IF(AND(V228&gt;=40,V228&lt;75,W228&gt;=100),0.1,0)+IF(AND(V228&gt;=75,W228&lt;25),0.35,0)+IF(AND(V228&gt;=75,W228&gt;=25,W228&lt;60),0.25,0)+IF(AND(V228&gt;=75,W228&gt;=60,W228&lt;95),0.17,0)+IF(AND(V228&gt;=75,W228&gt;=95),0.1,0),
IF(AF228="DoEVold15",IF(AND(V228&lt;=40,W228&lt;35),0.35,0)+IF(AND(V228&lt;=40,W228&gt;=35,W228&lt;75),0.25,0)+IF(AND(V228&lt;=40,W228&gt;=75,W228&lt;120),0.17,0)+IF(AND(V228&lt;=40,W228&gt;=120),0.15,0)+IF(AND(V228&gt;40,V228&lt;75,W228&lt;25),0.35,0)+IF(AND(V228&gt;=40,V228&lt;75,W228&gt;=25,W228&lt;65),0.25,0)+IF(AND(V228&gt;=40,V228&lt;75,W228&gt;=65,W228&lt;100),0.17,0)+IF(AND(V228&gt;=40,V228&lt;75,W228&gt;=100),0.1,0)+IF(AND(V228&gt;=75,W228&lt;25),0.35,0)+IF(AND(V228&gt;=75,W228&gt;=25,W228&lt;60),0.25,0)+IF(AND(V228&gt;=75,W228&gt;=60,W228&lt;95),0.17,0)+IF(AND(V228&gt;=75,W228&gt;=95),0.1,0),
IF(AF228="DoEVba",IF(AND(V228&lt;20,W228&lt;105),0.2,0)+IF(AND(V228&lt;20,W228&gt;=105),0.15,0)+IF(AND(V228&gt;=20,V228&lt;40,W228&lt;95),0.2,0)+IF(AND(V228&gt;=20,V228&lt;40,W228&gt;=95,W228&lt;150),0.15,0)+IF(AND(V228&gt;=20,V228&lt;40,W228&gt;=150),0.12,0)+IF(AND(V228&gt;=40,V228&lt;75,W228&lt;75),0.2,0)+IF(AND(V228&gt;=40,V228&lt;75,W228&gt;=75,W228&lt;120),0.15,0)+IF(AND(V228&gt;=40,V228&lt;75,W228&gt;=120),0.12,0)+IF(AND(V228&gt;=75,V228&lt;175,W228&lt;65),0.2,0)+IF(AND(V228&gt;=75,V228&lt;175,W228&gt;=65,W228&lt;110),0.15,0)+IF(AND(V228&gt;=75,V228&lt;175,W228&gt;=110),0.12,0)+IF(AND(V228&gt;=175,W228&lt;55),0.2,0)+IF(AND(V228&gt;=175,W228&gt;=55,W228&lt;95),0.15,0)+IF(AND(V228&gt;=175,W228&gt;=95),0.12,0),
IF(AF228="DoEVku",IF(AND(V228&lt;20,W228&lt;55),0.23,0)+IF(AND(V228&lt;20,W228&gt;=55,W228&lt;105),0.2,0)+IF(AND(V228&lt;20,W228&gt;=105),0.17,0)+IF(AND(V228&gt;=20,V228&lt;40,W228&lt;45),0.23,0)+IF(AND(V228&gt;=20,V228&lt;40,W228&gt;=45,W228&lt;95),0.2,0)+IF(AND(V228&gt;=20,V228&lt;40,W228&gt;=95,W228&lt;=150),0.17,0)+IF(AND(V228&gt;=20,V228&lt;40,W228&gt;=150),0.12,0)+IF(AND(V228&gt;=40,V228&lt;75,W228&lt;35),0.23,0)+IF(AND(V228&gt;=40,V228&lt;75,W228&gt;=35,W228&lt;75),0.2,0)+IF(AND(V228&gt;=40,V228&lt;75,W228&gt;=75,W228&lt;120),0.17,0)+IF(AND(V228&gt;=40,V228&lt;75,W228&gt;=120),0.12,0)+IF(AND(V228&gt;=75,V228&lt;175,W228&lt;35),0.23,0)+IF(AND(V228&gt;=75,V228&lt;=175,W228&gt;=35,W228&lt;65),0.2,0)+IF(AND(V228&gt;=75,V228&lt;=175,W228&gt;=65,W228&lt;110),0.17,0)+IF(AND(V228&gt;=75,V228&lt;=175,W228&gt;=110),0.12,0)+IF(AND(V228&gt;175,W228&lt;25),0.23,0)+IF(AND(V228&gt;175,W228&gt;=25,W228&lt;55),0.2,0)+IF(AND(V228&gt;175,W228&gt;=55,W228&lt;95),0.17,0)+IF(AND(V228&gt;175,W228&gt;=95),0.12,0),
IF(AF228="DoEVs1",IF(AND(V228&lt;20,W228&lt;55),0.3,0)+IF(AND(V228&lt;20,W228&gt;=55,W228&lt;105),0.23,0)+IF(AND(V228&lt;20,W228&gt;=105),0.17,0)+IF(AND(V228&gt;=20,V228&lt;40,W228&lt;45),0.3,0)+IF(AND(V228&gt;=20,V228&lt;40,W228&gt;=45,W228&lt;95),0.23,0)+IF(AND(V228&gt;=20,V228&lt;40,W228&gt;=95,W228&lt;=150),0.17,0)+IF(AND(V228&gt;=20,V228&lt;40,W228&gt;=150),0.12,0)+IF(AND(V228&gt;=40,V228&lt;75,W228&lt;35),0.3,0)+IF(AND(V228&gt;=40,V228&lt;75,W228&gt;=35,W228&lt;75),0.23,0)+IF(AND(V228&gt;=40,V228&lt;75,W228&gt;=75,W228&lt;120),0.17,0)+IF(AND(V228&gt;=40,V228&lt;75,W228&gt;=120),0.12,0)+IF(AND(V228&gt;=75,V228&lt;175,W228&lt;35),0.3,0)+IF(AND(V228&gt;=75,V228&lt;=175,W228&gt;=35,W228&lt;65),0.23,0)+IF(AND(V228&gt;=75,V228&lt;=175,W228&gt;=65,W228&lt;110),0.17,0)+IF(AND(V228&gt;=75,V228&lt;=175,W228&gt;=110),0.12,0)+IF(AND(V228&gt;175,W228&lt;25),0.3,0)+IF(AND(V228&gt;175,W228&gt;=25,W228&lt;55),0.23,0)+IF(AND(V228&gt;175,W228&gt;=55,W228&lt;95),0.17,0)+IF(AND(V228&gt;175,W228&gt;=95),0.12,0),
IF(AF228="DoEVsu",IF(AND(V228&lt;20,W228&lt;55),0.3,0)+IF(AND(V228&lt;20,W228&gt;=55,W228&lt;105),0.23,0)+IF(AND(V228&lt;20,W228&gt;=105),0.17,0)+IF(AND(V228&gt;=20,V228&lt;40,W228&lt;45),0.3,0)+IF(AND(V228&gt;=20,V228&lt;40,W228&gt;=45,W228&lt;95),0.23,0)+IF(AND(V228&gt;=20,V228&lt;40,W228&gt;=95,W228&lt;=250),0.17,0)+IF(AND(V228&gt;=20,V228&lt;40,W228&gt;=250),0.12,0)+IF(AND(V228&gt;=40,V228&lt;75,W228&lt;35),0.3,0)+IF(AND(V228&gt;=40,V228&lt;75,W228&gt;=35,W228&lt;75),0.23,0)+IF(AND(V228&gt;=40,V228&lt;75,W228&gt;=75,W228&lt;120),0.17,0)+IF(AND(V228&gt;=40,V228&lt;75,W228&gt;=120),0.12,0)+IF(AND(V228&gt;=75,V228&lt;175,W228&lt;35),0.3,0)+IF(AND(V228&gt;=75,V228&lt;=175,W228&gt;=35,W228&lt;65),0.23,0)+IF(AND(V228&gt;=75,V228&lt;=175,W228&gt;=65,W228&lt;110),0.17,0)+IF(AND(V228&gt;=75,V228&lt;=175,W228&gt;=110),0.12,0)+IF(AND(V228&gt;175,W228&lt;25),0.3,0)+IF(AND(V228&gt;175,W228&gt;=25,W228&lt;55),0.23,0)+IF(AND(V228&gt;175,W228&gt;=55,W228&lt;95),0.17,0)+IF(AND(V228&gt;175,W228&gt;=95),0.12,0),
IF(AF228="DoEVni",IF(AND(V228&lt;20,W228&lt;55),0.3,0)+IF(AND(V228&lt;20,W228&gt;=55,W228&lt;105),0.23,0)+IF(AND(V228&lt;20,W228&gt;=105),0.17,0)+IF(AND(V228&gt;=20,V228&lt;40,W228&lt;45),0.3,0)+IF(AND(V228&gt;=20,V228&lt;40,W228&gt;=45,W228&lt;95),0.23,0)+IF(AND(V228&gt;=20,V228&lt;40,W228&gt;=95,W228&lt;=200),0.17,0)+IF(AND(V228&gt;=20,V228&lt;40,W228&gt;=200),0.12,0)+IF(AND(V228&gt;=40,V228&lt;75,W228&lt;35),0.3,0)+IF(AND(V228&gt;=40,V228&lt;75,W228&gt;=35,W228&lt;75),0.23,0)+IF(AND(V228&gt;=40,V228&lt;75,W228&gt;=75,W228&lt;120),0.17,0)+IF(AND(V228&gt;=40,V228&lt;75,W228&gt;=120),0.12,0)+IF(AND(V228&gt;=75,V228&lt;175,W228&lt;35),0.3,0)+IF(AND(V228&gt;=75,V228&lt;=175,W228&gt;=35,W228&lt;65),0.23,0)+IF(AND(V228&gt;=75,V228&lt;=175,W228&gt;=65,W228&lt;110),0.17,0)+IF(AND(V228&gt;=75,V228&lt;=175,W228&gt;=110),0.12,0)+IF(AND(V228&gt;175,W228&lt;25),0.3,0)+IF(AND(V228&gt;175,W228&gt;=25,W228&lt;55),0.23,0)+IF(AND(V228&gt;175,W228&gt;=55,W228&lt;95),0.17,0)+IF(AND(V228&gt;175,W228&gt;=95),0.12,0),
IF(AF228="DoEVLo",IF(AND(V228&lt;20,W228&lt;55),0.25,0)+IF(AND(V228&lt;20,W228&gt;=55,W228&lt;105),0.2,0)+IF(AND(V228&lt;20,W228&gt;=105),0.15,0)+IF(AND(V228&gt;=20,V228&lt;40,W228&lt;45),0.25,0)+IF(AND(V228&gt;=20,V228&lt;40,W228&gt;=45,W228&lt;95),0.2,0)+IF(AND(V228&gt;=20,V228&lt;40,W228&gt;=95),0.15,0)+IF(AND(V228&gt;=40,V228&lt;75,W228&lt;35),0.25,0)+IF(AND(V228&gt;=40,V228&lt;75,W228&gt;=35,W228&lt;75),0.2,0)+IF(AND(V228&gt;=40,V228&lt;75,W228&gt;=75,W228&lt;120),0.15,0)+IF(AND(V228&gt;=40,V228&lt;75,W228&gt;=120),0.1,0)+IF(AND(V228&gt;=75,V228&lt;175,W228&lt;35),0.25,0)+IF(AND(V228&gt;=75,V228&lt;=175,W228&gt;=35,W228&lt;65),0.2,0)+IF(AND(V228&gt;=75,V228&lt;=175,W228&gt;=65,W228&lt;110),0.15,0)+IF(AND(V228&gt;=75,V228&lt;=175,W228&gt;=110),0.1,0)+IF(AND(V228&gt;175,W228&lt;25),0.25,0)+IF(AND(V228&gt;175,W228&gt;=25,W228&lt;55),0.2,0)+IF(AND(V228&gt;175,W228&gt;=55,W228&lt;95),0.15,0)+IF(AND(V228&gt;175,W228&gt;=95),0.1,0))))))))))))))))</f>
        <v>0.2</v>
      </c>
      <c r="Y228" s="35">
        <f>if(AG228="None",0,if(AG228="Fix5",0.05,if(AG228="Fix3.75",0.0375,if(AG228="Fix10",0.1,if(AG228="Fix3",0.03,0)))))</f>
        <v>0</v>
      </c>
      <c r="Z228" s="40">
        <f t="shared" ref="Z228:Z246" si="47">T228-AA228-AB228</f>
        <v>78.4</v>
      </c>
      <c r="AA228" s="34">
        <f t="shared" ref="AA228:AA246" si="48">if(AD228="EUR",((T228-R228)*X228)*U228+(R228*X228),(T228*X228))</f>
        <v>19.6</v>
      </c>
      <c r="AB228" s="41">
        <f t="shared" ref="AB228:AB440" si="49">if(AD228="EUR",((T228-R228)*Y228)*U228+(R228*Y228),(T228*Y228))</f>
        <v>0</v>
      </c>
      <c r="AC228" s="42" t="b">
        <v>1</v>
      </c>
      <c r="AD228" s="42" t="s">
        <v>138</v>
      </c>
      <c r="AE228" s="42" t="s">
        <v>138</v>
      </c>
      <c r="AF228" s="42" t="str">
        <f t="array" ref="AF228">INDEX('Deal Info'!D:D, MATCH(A228,'Deal Info'!A:A, 0))</f>
        <v>DoEVLo</v>
      </c>
      <c r="AG228" s="43" t="str">
        <f t="array" ref="AG228">INDEX('Deal Info'!G:G, MATCH(A228,'Deal Info'!A:A, 0))</f>
        <v>None</v>
      </c>
    </row>
    <row r="229" hidden="1">
      <c r="A229" s="23" t="s">
        <v>154</v>
      </c>
      <c r="B229" s="50" t="s">
        <v>155</v>
      </c>
      <c r="C229" s="51">
        <v>44652.0</v>
      </c>
      <c r="D229" s="51">
        <v>44681.0</v>
      </c>
      <c r="E229" s="52">
        <v>44652.0</v>
      </c>
      <c r="F229" s="53" t="s">
        <v>12</v>
      </c>
      <c r="G229" s="50" t="s">
        <v>9</v>
      </c>
      <c r="H229" s="54" t="s">
        <v>83</v>
      </c>
      <c r="I229" s="54" t="s">
        <v>7</v>
      </c>
      <c r="J229" s="55">
        <v>50.0</v>
      </c>
      <c r="K229" s="56">
        <v>1559.0</v>
      </c>
      <c r="L229" s="57">
        <v>-4600.0</v>
      </c>
      <c r="M229" s="58">
        <v>0.0</v>
      </c>
      <c r="N229" s="33">
        <f t="shared" si="13"/>
        <v>77950</v>
      </c>
      <c r="O229" s="59">
        <v>7897.0</v>
      </c>
      <c r="P229" s="34">
        <f t="shared" si="14"/>
        <v>5.065426555</v>
      </c>
      <c r="Q229" s="60"/>
      <c r="R229" s="36">
        <f t="shared" si="45"/>
        <v>0</v>
      </c>
      <c r="S229" s="61"/>
      <c r="T229" s="37">
        <f t="shared" si="46"/>
        <v>-4600</v>
      </c>
      <c r="U229" s="62">
        <v>1.055</v>
      </c>
      <c r="V229" s="63"/>
      <c r="W229" s="63"/>
      <c r="X229" s="83">
        <v>0.25</v>
      </c>
      <c r="Y229" s="35">
        <f t="shared" ref="Y229:Y231" si="50">if(AG229="None",0,if(AG229="Fix5",0.05, if(AG229="Fix6.25",0.0625,if(AG229="Fix3.75",0.0375,if(AG229="Fix10",0.1,if(AG229="Fix3",0.03,0))))))</f>
        <v>0</v>
      </c>
      <c r="Z229" s="40">
        <f t="shared" si="47"/>
        <v>-3386.75</v>
      </c>
      <c r="AA229" s="34">
        <f t="shared" si="48"/>
        <v>-1213.25</v>
      </c>
      <c r="AB229" s="41">
        <f t="shared" si="49"/>
        <v>0</v>
      </c>
      <c r="AC229" s="42" t="b">
        <v>1</v>
      </c>
      <c r="AD229" s="66" t="s">
        <v>140</v>
      </c>
      <c r="AE229" s="66"/>
      <c r="AF229" s="42" t="str">
        <f t="array" ref="AF229">INDEX('Deal Info'!D:D, MATCH(A229,'Deal Info'!A:A, 0))</f>
        <v>DoEVold</v>
      </c>
      <c r="AG229" s="43" t="str">
        <f t="array" ref="AG229">INDEX('Deal Info'!G:G, MATCH(A229,'Deal Info'!A:A, 0))</f>
        <v>None</v>
      </c>
    </row>
    <row r="230" hidden="1">
      <c r="A230" s="23" t="s">
        <v>154</v>
      </c>
      <c r="B230" s="50" t="s">
        <v>155</v>
      </c>
      <c r="C230" s="82">
        <v>44682.0</v>
      </c>
      <c r="D230" s="82">
        <v>44697.0</v>
      </c>
      <c r="E230" s="52">
        <v>44682.0</v>
      </c>
      <c r="F230" s="53" t="s">
        <v>12</v>
      </c>
      <c r="G230" s="50" t="s">
        <v>9</v>
      </c>
      <c r="H230" s="96" t="s">
        <v>83</v>
      </c>
      <c r="I230" s="54" t="s">
        <v>7</v>
      </c>
      <c r="J230" s="79">
        <v>50.0</v>
      </c>
      <c r="K230" s="80">
        <v>567.0</v>
      </c>
      <c r="L230" s="77">
        <v>-3050.0</v>
      </c>
      <c r="M230" s="81">
        <v>0.0</v>
      </c>
      <c r="N230" s="33">
        <f t="shared" si="13"/>
        <v>28350</v>
      </c>
      <c r="O230" s="50">
        <v>8000.0</v>
      </c>
      <c r="P230" s="34">
        <f t="shared" si="14"/>
        <v>14.10934744</v>
      </c>
      <c r="Q230" s="60"/>
      <c r="R230" s="36">
        <f t="shared" si="45"/>
        <v>0</v>
      </c>
      <c r="S230" s="78"/>
      <c r="T230" s="37">
        <f t="shared" si="46"/>
        <v>-3050</v>
      </c>
      <c r="U230" s="62">
        <v>1.07</v>
      </c>
      <c r="V230" s="63"/>
      <c r="W230" s="63"/>
      <c r="X230" s="83">
        <v>0.25</v>
      </c>
      <c r="Y230" s="35">
        <f t="shared" si="50"/>
        <v>0</v>
      </c>
      <c r="Z230" s="40">
        <f t="shared" si="47"/>
        <v>-2234.125</v>
      </c>
      <c r="AA230" s="34">
        <f t="shared" si="48"/>
        <v>-815.875</v>
      </c>
      <c r="AB230" s="41">
        <f t="shared" si="49"/>
        <v>0</v>
      </c>
      <c r="AC230" s="42" t="b">
        <v>1</v>
      </c>
      <c r="AD230" s="66" t="s">
        <v>140</v>
      </c>
      <c r="AE230" s="66"/>
      <c r="AF230" s="42" t="str">
        <f t="array" ref="AF230">INDEX('Deal Info'!D:D, MATCH(A230,'Deal Info'!A:A, 0))</f>
        <v>DoEVold</v>
      </c>
      <c r="AG230" s="43" t="str">
        <f t="array" ref="AG230">INDEX('Deal Info'!G:G, MATCH(A230,'Deal Info'!A:A, 0))</f>
        <v>None</v>
      </c>
    </row>
    <row r="231" hidden="1">
      <c r="A231" s="23" t="s">
        <v>154</v>
      </c>
      <c r="B231" s="50" t="s">
        <v>155</v>
      </c>
      <c r="C231" s="51">
        <v>44682.0</v>
      </c>
      <c r="D231" s="51">
        <v>44697.0</v>
      </c>
      <c r="E231" s="52">
        <v>44682.0</v>
      </c>
      <c r="F231" s="50" t="s">
        <v>12</v>
      </c>
      <c r="G231" s="59" t="s">
        <v>9</v>
      </c>
      <c r="H231" s="54" t="s">
        <v>82</v>
      </c>
      <c r="I231" s="54" t="s">
        <v>7</v>
      </c>
      <c r="J231" s="55">
        <v>50.0</v>
      </c>
      <c r="K231" s="56">
        <v>186.0</v>
      </c>
      <c r="L231" s="57">
        <v>-1850.0</v>
      </c>
      <c r="M231" s="58">
        <v>168.0</v>
      </c>
      <c r="N231" s="33">
        <f t="shared" si="13"/>
        <v>9300</v>
      </c>
      <c r="O231" s="59">
        <v>2355.0</v>
      </c>
      <c r="P231" s="34">
        <f t="shared" si="14"/>
        <v>12.66129032</v>
      </c>
      <c r="Q231" s="60"/>
      <c r="R231" s="36">
        <f t="shared" si="45"/>
        <v>168</v>
      </c>
      <c r="S231" s="61"/>
      <c r="T231" s="37">
        <f t="shared" si="46"/>
        <v>-1682</v>
      </c>
      <c r="U231" s="62">
        <v>1.07</v>
      </c>
      <c r="V231" s="63"/>
      <c r="W231" s="63"/>
      <c r="X231" s="83">
        <v>0.25</v>
      </c>
      <c r="Y231" s="35">
        <f t="shared" si="50"/>
        <v>0</v>
      </c>
      <c r="Z231" s="40">
        <f t="shared" si="47"/>
        <v>-1229.125</v>
      </c>
      <c r="AA231" s="34">
        <f t="shared" si="48"/>
        <v>-452.875</v>
      </c>
      <c r="AB231" s="41">
        <f t="shared" si="49"/>
        <v>0</v>
      </c>
      <c r="AC231" s="42" t="b">
        <v>1</v>
      </c>
      <c r="AD231" s="66" t="s">
        <v>140</v>
      </c>
      <c r="AE231" s="66"/>
      <c r="AF231" s="42" t="str">
        <f t="array" ref="AF231">INDEX('Deal Info'!D:D, MATCH(A231,'Deal Info'!A:A, 0))</f>
        <v>DoEVold</v>
      </c>
      <c r="AG231" s="43" t="str">
        <f t="array" ref="AG231">INDEX('Deal Info'!G:G, MATCH(A231,'Deal Info'!A:A, 0))</f>
        <v>None</v>
      </c>
    </row>
    <row r="232" hidden="1">
      <c r="A232" s="23" t="str">
        <f t="array" ref="A232">if(G232='Room Info'!$B$1, INDEX('Room Info'!$A$2:$A3446, MATCH(B232,'Room Info'!$B$2:$B3446, 0)),if(G232='Room Info'!$C$1, INDEX('Room Info'!$A$2:$A3446, MATCH(B232,'Room Info'!$C$2:$C3446, 0)),if(G232='Room Info'!$D$1, INDEX('Room Info'!$A$2:$A3446, MATCH(B232,'Room Info'!$D$2:$D3446, 0)),if(G232='Room Info'!$E$1, INDEX('Room Info'!$A$2:$A3446, MATCH(B232,'Room Info'!$E$2:$E3446, 0)),if(G232='Room Info'!$F$1, INDEX('Room Info'!$A$2:$A3446, MATCH(B232,'Room Info'!$F$2:$F3446, 0)),if(G232='Room Info'!$H$1, INDEX('Room Info'!$A$2:$A3446, MATCH(B232,'Room Info'!$H$2:$H3446, 0)),if(G232='Room Info'!$G$1, INDEX('Room Info'!$A$2:$A3446, MATCH(B232,'Room Info'!$G$2:$G3446, 0)))))))))</f>
        <v>Lo4io</v>
      </c>
      <c r="B232" s="50" t="s">
        <v>156</v>
      </c>
      <c r="C232" s="97">
        <v>44855.0</v>
      </c>
      <c r="D232" s="97">
        <v>44885.0</v>
      </c>
      <c r="E232" s="52">
        <v>44866.0</v>
      </c>
      <c r="F232" s="53" t="s">
        <v>4</v>
      </c>
      <c r="G232" s="50" t="s">
        <v>5</v>
      </c>
      <c r="H232" s="54" t="s">
        <v>62</v>
      </c>
      <c r="I232" s="54" t="s">
        <v>7</v>
      </c>
      <c r="J232" s="75">
        <v>25.0</v>
      </c>
      <c r="K232" s="76">
        <v>110.0</v>
      </c>
      <c r="L232" s="77">
        <v>575.0</v>
      </c>
      <c r="M232" s="81">
        <v>26.0</v>
      </c>
      <c r="N232" s="33">
        <f t="shared" si="13"/>
        <v>2750</v>
      </c>
      <c r="O232" s="50">
        <v>7648.0</v>
      </c>
      <c r="P232" s="34">
        <f t="shared" si="14"/>
        <v>69.52727273</v>
      </c>
      <c r="Q232" s="60"/>
      <c r="R232" s="36">
        <f t="shared" si="45"/>
        <v>26</v>
      </c>
      <c r="S232" s="78">
        <v>192.0</v>
      </c>
      <c r="T232" s="37">
        <f t="shared" si="46"/>
        <v>218</v>
      </c>
      <c r="U232" s="62">
        <v>1.0</v>
      </c>
      <c r="V232" s="74">
        <v>25.0</v>
      </c>
      <c r="W232" s="74">
        <v>55.32</v>
      </c>
      <c r="X232" s="35">
        <f t="shared" ref="X232:X234" si="51">IF(AF232="DoEV",IF(AND(V232&lt;20,W232&lt;55),0.3,0)+IF(AND(V232&lt;20,W232&gt;=55,W232&lt;105),0.23,0)+IF(AND(V232&lt;20,W232&gt;=105),0.17,0)+IF(AND(V232&gt;=20,V232&lt;40,W232&lt;45),0.3,0)+IF(AND(V232&gt;=20,V232&lt;40,W232&gt;=45,W232&lt;95),0.23,0)+IF(AND(V232&gt;=20,V232&lt;40,W232&gt;=95),0.17,0)+IF(AND(V232&gt;=40,V232&lt;75,W232&lt;35),0.3,0)+IF(AND(V232&gt;=40,V232&lt;75,W232&gt;=35,W232&lt;75),0.23,0)+IF(AND(V232&gt;=40,V232&lt;75,W232&gt;=75,W232&lt;120),0.17,0)+IF(AND(V232&gt;=40,V232&lt;75,W232&gt;=120),0.12,0)+IF(AND(V232&gt;=75,V232&lt;175,W232&lt;35),0.3,0)+IF(AND(V232&gt;=75,V232&lt;=175,W232&gt;=35,W232&lt;65),0.23,0)+IF(AND(V232&gt;=75,V232&lt;=175,W232&gt;=65,W232&lt;110),0.17,0)+IF(AND(V232&gt;=75,V232&lt;=175,W232&gt;=110),0.12,0)+IF(AND(V232&gt;175,W232&lt;25),0.3,0)+IF(AND(V232&gt;175,W232&gt;=25,W232&lt;55),0.23,0)+IF(AND(V232&gt;175,W232&gt;=55,W232&lt;95),0.17,0)+IF(AND(V232&gt;175,W232&gt;=95),0.12,0),
IF(AF232="Fix15",0.15,
IF(AF232="Fix11.25",0.1125,
IF(AF232="Fix10",0.1,
IF(AF232="Fix9",0.09,
IF(AF232="DoEV2017",IF(AND(W232&lt;74),0.2,0)+IF(AND(W232&gt;=74),0.17,0),
IF(AF232="SF",IF(AND(V232&lt;20,W232&lt;89),0.3,0)+IF(AND(V232&lt;20,W232&gt;=89),0.25,0)+IF(AND(V232&gt;=20,V232&lt;40,W232&lt;74),0.3,0)+IF(AND(V232&gt;=20,V232&lt;40,W232&gt;=75),0.22,0)+IF(AND(V232&gt;=40,V232&lt;75,W232&lt;75),0.26,0)+IF(AND(V232&gt;=40,V232&lt;75,W232&gt;=75),0.22,0)+IF(V232&gt;=75,0.22,0),
IF(AF232="DoEVold",IF(AND(V232&lt;40,W232&lt;35),0.35,0)+IF(AND(V232&lt;40,W232&gt;=35,W232&lt;75),0.25,0)+IF(AND(V232&lt;40,W232&gt;=75),0.17,0)+IF(AND(V232&gt;=40,V232&lt;75,W232&lt;25),0.35,0)+IF(AND(V232&gt;=40,V232&lt;75,W232&gt;=25,W232&lt;65),0.25,0)+IF(AND(V232&gt;=40,V232&lt;75,W232&gt;=65,W232&lt;100),0.17,0)+IF(AND(V232&gt;=40,V232&lt;75,W232&gt;=100),0.1,0)+IF(AND(V232&gt;=75,W232&lt;25),0.35,0)+IF(AND(V232&gt;=75,W232&gt;=25,W232&lt;60),0.25,0)+IF(AND(V232&gt;=75,W232&gt;=60,W232&lt;95),0.17,0)+IF(AND(V232&gt;=75,W232&gt;=95),0.1,0),
IF(AF232="DoEVold15",IF(AND(V232&lt;=40,W232&lt;35),0.35,0)+IF(AND(V232&lt;=40,W232&gt;=35,W232&lt;75),0.25,0)+IF(AND(V232&lt;=40,W232&gt;=75,W232&lt;120),0.17,0)+IF(AND(V232&lt;=40,W232&gt;=120),0.15,0)+IF(AND(V232&gt;40,V232&lt;75,W232&lt;25),0.35,0)+IF(AND(V232&gt;=40,V232&lt;75,W232&gt;=25,W232&lt;65),0.25,0)+IF(AND(V232&gt;=40,V232&lt;75,W232&gt;=65,W232&lt;100),0.17,0)+IF(AND(V232&gt;=40,V232&lt;75,W232&gt;=100),0.1,0)+IF(AND(V232&gt;=75,W232&lt;25),0.35,0)+IF(AND(V232&gt;=75,W232&gt;=25,W232&lt;60),0.25,0)+IF(AND(V232&gt;=75,W232&gt;=60,W232&lt;95),0.17,0)+IF(AND(V232&gt;=75,W232&gt;=95),0.1,0),
IF(AF232="DoEVba",IF(AND(V232&lt;20,W232&lt;105),0.2,0)+IF(AND(V232&lt;20,W232&gt;=105),0.15,0)+IF(AND(V232&gt;=20,V232&lt;40,W232&lt;95),0.2,0)+IF(AND(V232&gt;=20,V232&lt;40,W232&gt;=95,W232&lt;150),0.15,0)+IF(AND(V232&gt;=20,V232&lt;40,W232&gt;=150),0.12,0)+IF(AND(V232&gt;=40,V232&lt;75,W232&lt;75),0.2,0)+IF(AND(V232&gt;=40,V232&lt;75,W232&gt;=75,W232&lt;120),0.15,0)+IF(AND(V232&gt;=40,V232&lt;75,W232&gt;=120),0.12,0)+IF(AND(V232&gt;=75,V232&lt;175,W232&lt;65),0.2,0)+IF(AND(V232&gt;=75,V232&lt;175,W232&gt;=65,W232&lt;110),0.15,0)+IF(AND(V232&gt;=75,V232&lt;175,W232&gt;=110),0.12,0)+IF(AND(V232&gt;=175,W232&lt;55),0.2,0)+IF(AND(V232&gt;=175,W232&gt;=55,W232&lt;95),0.15,0)+IF(AND(V232&gt;=175,W232&gt;=95),0.12,0),
IF(AF232="DoEVku",IF(AND(V232&lt;20,W232&lt;55),0.23,0)+IF(AND(V232&lt;20,W232&gt;=55,W232&lt;105),0.2,0)+IF(AND(V232&lt;20,W232&gt;=105),0.17,0)+IF(AND(V232&gt;=20,V232&lt;40,W232&lt;45),0.23,0)+IF(AND(V232&gt;=20,V232&lt;40,W232&gt;=45,W232&lt;95),0.2,0)+IF(AND(V232&gt;=20,V232&lt;40,W232&gt;=95,W232&lt;=150),0.17,0)+IF(AND(V232&gt;=20,V232&lt;40,W232&gt;=150),0.12,0)+IF(AND(V232&gt;=40,V232&lt;75,W232&lt;35),0.23,0)+IF(AND(V232&gt;=40,V232&lt;75,W232&gt;=35,W232&lt;75),0.2,0)+IF(AND(V232&gt;=40,V232&lt;75,W232&gt;=75,W232&lt;120),0.17,0)+IF(AND(V232&gt;=40,V232&lt;75,W232&gt;=120),0.12,0)+IF(AND(V232&gt;=75,V232&lt;175,W232&lt;35),0.23,0)+IF(AND(V232&gt;=75,V232&lt;=175,W232&gt;=35,W232&lt;65),0.2,0)+IF(AND(V232&gt;=75,V232&lt;=175,W232&gt;=65,W232&lt;110),0.17,0)+IF(AND(V232&gt;=75,V232&lt;=175,W232&gt;=110),0.12,0)+IF(AND(V232&gt;175,W232&lt;25),0.23,0)+IF(AND(V232&gt;175,W232&gt;=25,W232&lt;55),0.2,0)+IF(AND(V232&gt;175,W232&gt;=55,W232&lt;95),0.17,0)+IF(AND(V232&gt;175,W232&gt;=95),0.12,0),
IF(AF232="DoEVs1",IF(AND(V232&lt;20,W232&lt;55),0.3,0)+IF(AND(V232&lt;20,W232&gt;=55,W232&lt;105),0.23,0)+IF(AND(V232&lt;20,W232&gt;=105),0.17,0)+IF(AND(V232&gt;=20,V232&lt;40,W232&lt;45),0.3,0)+IF(AND(V232&gt;=20,V232&lt;40,W232&gt;=45,W232&lt;95),0.23,0)+IF(AND(V232&gt;=20,V232&lt;40,W232&gt;=95,W232&lt;=150),0.17,0)+IF(AND(V232&gt;=20,V232&lt;40,W232&gt;=150),0.12,0)+IF(AND(V232&gt;=40,V232&lt;75,W232&lt;35),0.3,0)+IF(AND(V232&gt;=40,V232&lt;75,W232&gt;=35,W232&lt;75),0.23,0)+IF(AND(V232&gt;=40,V232&lt;75,W232&gt;=75,W232&lt;120),0.17,0)+IF(AND(V232&gt;=40,V232&lt;75,W232&gt;=120),0.12,0)+IF(AND(V232&gt;=75,V232&lt;175,W232&lt;35),0.3,0)+IF(AND(V232&gt;=75,V232&lt;=175,W232&gt;=35,W232&lt;65),0.23,0)+IF(AND(V232&gt;=75,V232&lt;=175,W232&gt;=65,W232&lt;110),0.17,0)+IF(AND(V232&gt;=75,V232&lt;=175,W232&gt;=110),0.12,0)+IF(AND(V232&gt;175,W232&lt;25),0.3,0)+IF(AND(V232&gt;175,W232&gt;=25,W232&lt;55),0.23,0)+IF(AND(V232&gt;175,W232&gt;=55,W232&lt;95),0.17,0)+IF(AND(V232&gt;175,W232&gt;=95),0.12,0),
IF(AF232="DoEVsu",IF(AND(V232&lt;20,W232&lt;55),0.3,0)+IF(AND(V232&lt;20,W232&gt;=55,W232&lt;105),0.23,0)+IF(AND(V232&lt;20,W232&gt;=105),0.17,0)+IF(AND(V232&gt;=20,V232&lt;40,W232&lt;45),0.3,0)+IF(AND(V232&gt;=20,V232&lt;40,W232&gt;=45,W232&lt;95),0.23,0)+IF(AND(V232&gt;=20,V232&lt;40,W232&gt;=95,W232&lt;=250),0.17,0)+IF(AND(V232&gt;=20,V232&lt;40,W232&gt;=250),0.12,0)+IF(AND(V232&gt;=40,V232&lt;75,W232&lt;35),0.3,0)+IF(AND(V232&gt;=40,V232&lt;75,W232&gt;=35,W232&lt;75),0.23,0)+IF(AND(V232&gt;=40,V232&lt;75,W232&gt;=75,W232&lt;120),0.17,0)+IF(AND(V232&gt;=40,V232&lt;75,W232&gt;=120),0.12,0)+IF(AND(V232&gt;=75,V232&lt;175,W232&lt;35),0.3,0)+IF(AND(V232&gt;=75,V232&lt;=175,W232&gt;=35,W232&lt;65),0.23,0)+IF(AND(V232&gt;=75,V232&lt;=175,W232&gt;=65,W232&lt;110),0.17,0)+IF(AND(V232&gt;=75,V232&lt;=175,W232&gt;=110),0.12,0)+IF(AND(V232&gt;175,W232&lt;25),0.3,0)+IF(AND(V232&gt;175,W232&gt;=25,W232&lt;55),0.23,0)+IF(AND(V232&gt;175,W232&gt;=55,W232&lt;95),0.17,0)+IF(AND(V232&gt;175,W232&gt;=95),0.12,0),
IF(AF232="DoEVni",IF(AND(V232&lt;20,W232&lt;55),0.3,0)+IF(AND(V232&lt;20,W232&gt;=55,W232&lt;105),0.23,0)+IF(AND(V232&lt;20,W232&gt;=105),0.17,0)+IF(AND(V232&gt;=20,V232&lt;40,W232&lt;45),0.3,0)+IF(AND(V232&gt;=20,V232&lt;40,W232&gt;=45,W232&lt;95),0.23,0)+IF(AND(V232&gt;=20,V232&lt;40,W232&gt;=95,W232&lt;=200),0.17,0)+IF(AND(V232&gt;=20,V232&lt;40,W232&gt;=200),0.12,0)+IF(AND(V232&gt;=40,V232&lt;75,W232&lt;35),0.3,0)+IF(AND(V232&gt;=40,V232&lt;75,W232&gt;=35,W232&lt;75),0.23,0)+IF(AND(V232&gt;=40,V232&lt;75,W232&gt;=75,W232&lt;120),0.17,0)+IF(AND(V232&gt;=40,V232&lt;75,W232&gt;=120),0.12,0)+IF(AND(V232&gt;=75,V232&lt;175,W232&lt;35),0.3,0)+IF(AND(V232&gt;=75,V232&lt;=175,W232&gt;=35,W232&lt;65),0.23,0)+IF(AND(V232&gt;=75,V232&lt;=175,W232&gt;=65,W232&lt;110),0.17,0)+IF(AND(V232&gt;=75,V232&lt;=175,W232&gt;=110),0.12,0)+IF(AND(V232&gt;175,W232&lt;25),0.3,0)+IF(AND(V232&gt;175,W232&gt;=25,W232&lt;55),0.23,0)+IF(AND(V232&gt;175,W232&gt;=55,W232&lt;95),0.17,0)+IF(AND(V232&gt;175,W232&gt;=95),0.12,0),
IF(AF232="DoEVLo",IF(AND(V232&lt;20,W232&lt;55),0.25,0)+IF(AND(V232&lt;20,W232&gt;=55,W232&lt;105),0.2,0)+IF(AND(V232&lt;20,W232&gt;=105),0.15,0)+IF(AND(V232&gt;=20,V232&lt;40,W232&lt;45),0.25,0)+IF(AND(V232&gt;=20,V232&lt;40,W232&gt;=45,W232&lt;95),0.2,0)+IF(AND(V232&gt;=20,V232&lt;40,W232&gt;=95),0.15,0)+IF(AND(V232&gt;=40,V232&lt;75,W232&lt;35),0.25,0)+IF(AND(V232&gt;=40,V232&lt;75,W232&gt;=35,W232&lt;75),0.2,0)+IF(AND(V232&gt;=40,V232&lt;75,W232&gt;=75,W232&lt;120),0.15,0)+IF(AND(V232&gt;=40,V232&lt;75,W232&gt;=120),0.1,0)+IF(AND(V232&gt;=75,V232&lt;175,W232&lt;35),0.25,0)+IF(AND(V232&gt;=75,V232&lt;=175,W232&gt;=35,W232&lt;65),0.2,0)+IF(AND(V232&gt;=75,V232&lt;=175,W232&gt;=65,W232&lt;110),0.15,0)+IF(AND(V232&gt;=75,V232&lt;=175,W232&gt;=110),0.1,0)+IF(AND(V232&gt;175,W232&lt;25),0.25,0)+IF(AND(V232&gt;175,W232&gt;=25,W232&lt;55),0.2,0)+IF(AND(V232&gt;175,W232&gt;=55,W232&lt;95),0.15,0)+IF(AND(V232&gt;175,W232&gt;=95),0.1,0))))))))))))))))</f>
        <v>0.2</v>
      </c>
      <c r="Y232" s="35">
        <f t="shared" ref="Y232:Y234" si="52">if(AG232="None",0,if(AG232="Fix5",0.05,if(AG232="Fix3.75",0.0375,if(AG232="Fix10",0.1,if(AG232="Fix3",0.03,0)))))</f>
        <v>0</v>
      </c>
      <c r="Z232" s="40">
        <f t="shared" si="47"/>
        <v>174.4</v>
      </c>
      <c r="AA232" s="34">
        <f t="shared" si="48"/>
        <v>43.6</v>
      </c>
      <c r="AB232" s="41">
        <f t="shared" si="49"/>
        <v>0</v>
      </c>
      <c r="AC232" s="42" t="b">
        <v>1</v>
      </c>
      <c r="AD232" s="42" t="s">
        <v>138</v>
      </c>
      <c r="AE232" s="42" t="s">
        <v>138</v>
      </c>
      <c r="AF232" s="42" t="str">
        <f t="array" ref="AF232">INDEX('Deal Info'!D:D, MATCH(A232,'Deal Info'!A:A, 0))</f>
        <v>DoEVLo</v>
      </c>
      <c r="AG232" s="43" t="str">
        <f t="array" ref="AG232">INDEX('Deal Info'!G:G, MATCH(A232,'Deal Info'!A:A, 0))</f>
        <v>None</v>
      </c>
    </row>
    <row r="233" hidden="1">
      <c r="A233" s="23" t="str">
        <f t="array" ref="A233">if(G233='Room Info'!$B$1, INDEX('Room Info'!$A$2:$A3446, MATCH(B233,'Room Info'!$B$2:$B3446, 0)),if(G233='Room Info'!$C$1, INDEX('Room Info'!$A$2:$A3446, MATCH(B233,'Room Info'!$C$2:$C3446, 0)),if(G233='Room Info'!$D$1, INDEX('Room Info'!$A$2:$A3446, MATCH(B233,'Room Info'!$D$2:$D3446, 0)),if(G233='Room Info'!$E$1, INDEX('Room Info'!$A$2:$A3446, MATCH(B233,'Room Info'!$E$2:$E3446, 0)),if(G233='Room Info'!$F$1, INDEX('Room Info'!$A$2:$A3446, MATCH(B233,'Room Info'!$F$2:$F3446, 0)),if(G233='Room Info'!$H$1, INDEX('Room Info'!$A$2:$A3446, MATCH(B233,'Room Info'!$H$2:$H3446, 0)),if(G233='Room Info'!$G$1, INDEX('Room Info'!$A$2:$A3446, MATCH(B233,'Room Info'!$G$2:$G3446, 0)))))))))</f>
        <v>Lo4io</v>
      </c>
      <c r="B233" s="50" t="s">
        <v>156</v>
      </c>
      <c r="C233" s="97">
        <v>44855.0</v>
      </c>
      <c r="D233" s="97">
        <v>44885.0</v>
      </c>
      <c r="E233" s="52">
        <v>44866.0</v>
      </c>
      <c r="F233" s="53" t="s">
        <v>12</v>
      </c>
      <c r="G233" s="50" t="s">
        <v>5</v>
      </c>
      <c r="H233" s="54" t="s">
        <v>63</v>
      </c>
      <c r="I233" s="54" t="s">
        <v>11</v>
      </c>
      <c r="J233" s="75">
        <v>25.0</v>
      </c>
      <c r="K233" s="76">
        <v>360.0</v>
      </c>
      <c r="L233" s="77">
        <v>675.0</v>
      </c>
      <c r="M233" s="81">
        <v>85.0</v>
      </c>
      <c r="N233" s="33">
        <f t="shared" si="13"/>
        <v>9000</v>
      </c>
      <c r="O233" s="50">
        <v>9360.0</v>
      </c>
      <c r="P233" s="34">
        <f t="shared" si="14"/>
        <v>26</v>
      </c>
      <c r="Q233" s="60"/>
      <c r="R233" s="36">
        <f t="shared" si="45"/>
        <v>85</v>
      </c>
      <c r="S233" s="78"/>
      <c r="T233" s="37">
        <f t="shared" si="46"/>
        <v>760</v>
      </c>
      <c r="U233" s="62">
        <v>1.0</v>
      </c>
      <c r="V233" s="74">
        <v>25.0</v>
      </c>
      <c r="W233" s="74">
        <v>55.32</v>
      </c>
      <c r="X233" s="35">
        <f t="shared" si="51"/>
        <v>0.2</v>
      </c>
      <c r="Y233" s="35">
        <f t="shared" si="52"/>
        <v>0</v>
      </c>
      <c r="Z233" s="40">
        <f t="shared" si="47"/>
        <v>608</v>
      </c>
      <c r="AA233" s="34">
        <f t="shared" si="48"/>
        <v>152</v>
      </c>
      <c r="AB233" s="41">
        <f t="shared" si="49"/>
        <v>0</v>
      </c>
      <c r="AC233" s="42" t="b">
        <v>1</v>
      </c>
      <c r="AD233" s="42" t="s">
        <v>138</v>
      </c>
      <c r="AE233" s="42" t="s">
        <v>138</v>
      </c>
      <c r="AF233" s="42" t="str">
        <f t="array" ref="AF233">INDEX('Deal Info'!D:D, MATCH(A233,'Deal Info'!A:A, 0))</f>
        <v>DoEVLo</v>
      </c>
      <c r="AG233" s="43" t="str">
        <f t="array" ref="AG233">INDEX('Deal Info'!G:G, MATCH(A233,'Deal Info'!A:A, 0))</f>
        <v>None</v>
      </c>
    </row>
    <row r="234" hidden="1">
      <c r="A234" s="23" t="str">
        <f t="array" ref="A234">if(G234='Room Info'!$B$1, INDEX('Room Info'!$A$2:$A3446, MATCH(B234,'Room Info'!$B$2:$B3446, 0)),if(G234='Room Info'!$C$1, INDEX('Room Info'!$A$2:$A3446, MATCH(B234,'Room Info'!$C$2:$C3446, 0)),if(G234='Room Info'!$D$1, INDEX('Room Info'!$A$2:$A3446, MATCH(B234,'Room Info'!$D$2:$D3446, 0)),if(G234='Room Info'!$E$1, INDEX('Room Info'!$A$2:$A3446, MATCH(B234,'Room Info'!$E$2:$E3446, 0)),if(G234='Room Info'!$F$1, INDEX('Room Info'!$A$2:$A3446, MATCH(B234,'Room Info'!$F$2:$F3446, 0)),if(G234='Room Info'!$H$1, INDEX('Room Info'!$A$2:$A3446, MATCH(B234,'Room Info'!$H$2:$H3446, 0)),if(G234='Room Info'!$G$1, INDEX('Room Info'!$A$2:$A3446, MATCH(B234,'Room Info'!$G$2:$G3446, 0)))))))))</f>
        <v>Lo4io</v>
      </c>
      <c r="B234" s="50" t="s">
        <v>158</v>
      </c>
      <c r="C234" s="51">
        <v>44916.0</v>
      </c>
      <c r="D234" s="51">
        <v>44946.0</v>
      </c>
      <c r="E234" s="52">
        <v>44927.0</v>
      </c>
      <c r="F234" s="53" t="s">
        <v>4</v>
      </c>
      <c r="G234" s="59" t="s">
        <v>9</v>
      </c>
      <c r="H234" s="54" t="s">
        <v>81</v>
      </c>
      <c r="I234" s="54" t="s">
        <v>24</v>
      </c>
      <c r="J234" s="75">
        <v>50.0</v>
      </c>
      <c r="K234" s="76">
        <v>1.0</v>
      </c>
      <c r="L234" s="57">
        <v>54.0</v>
      </c>
      <c r="M234" s="58">
        <v>0.0</v>
      </c>
      <c r="N234" s="33">
        <f t="shared" si="13"/>
        <v>50</v>
      </c>
      <c r="O234" s="59">
        <v>453.0</v>
      </c>
      <c r="P234" s="34">
        <f t="shared" si="14"/>
        <v>453</v>
      </c>
      <c r="Q234" s="60"/>
      <c r="R234" s="36">
        <f t="shared" si="45"/>
        <v>0</v>
      </c>
      <c r="S234" s="61">
        <v>64.0</v>
      </c>
      <c r="T234" s="37">
        <f t="shared" si="46"/>
        <v>64</v>
      </c>
      <c r="U234" s="62">
        <v>1.086</v>
      </c>
      <c r="V234" s="74">
        <v>43.526543878656554</v>
      </c>
      <c r="W234" s="74">
        <v>93.73590541381456</v>
      </c>
      <c r="X234" s="35">
        <f t="shared" si="51"/>
        <v>0.15</v>
      </c>
      <c r="Y234" s="35">
        <f t="shared" si="52"/>
        <v>0</v>
      </c>
      <c r="Z234" s="40">
        <f t="shared" si="47"/>
        <v>53.5744</v>
      </c>
      <c r="AA234" s="34">
        <f t="shared" si="48"/>
        <v>10.4256</v>
      </c>
      <c r="AB234" s="41">
        <f t="shared" si="49"/>
        <v>0</v>
      </c>
      <c r="AC234" s="42" t="b">
        <v>1</v>
      </c>
      <c r="AD234" s="66" t="s">
        <v>140</v>
      </c>
      <c r="AE234" s="66"/>
      <c r="AF234" s="42" t="str">
        <f t="array" ref="AF234">INDEX('Deal Info'!D:D, MATCH(A234,'Deal Info'!A:A, 0))</f>
        <v>DoEVLo</v>
      </c>
      <c r="AG234" s="43" t="str">
        <f t="array" ref="AG234">INDEX('Deal Info'!G:G, MATCH(A234,'Deal Info'!A:A, 0))</f>
        <v>None</v>
      </c>
    </row>
    <row r="235" hidden="1">
      <c r="A235" s="23" t="str">
        <f t="array" ref="A235">if(G235='Room Info'!$B$1, INDEX('Room Info'!$A$2:$A3446, MATCH(B235,'Room Info'!$B$2:$B3446, 0)),if(G235='Room Info'!$C$1, INDEX('Room Info'!$A$2:$A3446, MATCH(B235,'Room Info'!$C$2:$C3446, 0)),if(G235='Room Info'!$D$1, INDEX('Room Info'!$A$2:$A3446, MATCH(B235,'Room Info'!$D$2:$D3446, 0)),if(G235='Room Info'!$E$1, INDEX('Room Info'!$A$2:$A3446, MATCH(B235,'Room Info'!$E$2:$E3446, 0)),if(G235='Room Info'!$F$1, INDEX('Room Info'!$A$2:$A3446, MATCH(B235,'Room Info'!$F$2:$F3446, 0)),if(G235='Room Info'!$H$1, INDEX('Room Info'!$A$2:$A3446, MATCH(B235,'Room Info'!$H$2:$H3446, 0)),if(G235='Room Info'!$G$1, INDEX('Room Info'!$A$2:$A3446, MATCH(B235,'Room Info'!$G$2:$G3446, 0)))))))))</f>
        <v>Lo4io</v>
      </c>
      <c r="B235" s="50" t="s">
        <v>158</v>
      </c>
      <c r="C235" s="51">
        <v>44916.0</v>
      </c>
      <c r="D235" s="51">
        <v>44946.0</v>
      </c>
      <c r="E235" s="52">
        <v>44927.0</v>
      </c>
      <c r="F235" s="53" t="s">
        <v>4</v>
      </c>
      <c r="G235" s="50" t="s">
        <v>9</v>
      </c>
      <c r="H235" s="54" t="s">
        <v>81</v>
      </c>
      <c r="I235" s="54" t="s">
        <v>24</v>
      </c>
      <c r="J235" s="55">
        <v>50.0</v>
      </c>
      <c r="K235" s="56">
        <v>1.0</v>
      </c>
      <c r="L235" s="57">
        <v>54.0</v>
      </c>
      <c r="M235" s="58">
        <v>0.0</v>
      </c>
      <c r="N235" s="33">
        <f t="shared" si="13"/>
        <v>50</v>
      </c>
      <c r="O235" s="59">
        <v>453.0</v>
      </c>
      <c r="P235" s="34">
        <f t="shared" si="14"/>
        <v>453</v>
      </c>
      <c r="Q235" s="60"/>
      <c r="R235" s="36">
        <f t="shared" si="45"/>
        <v>0</v>
      </c>
      <c r="S235" s="61">
        <v>64.0</v>
      </c>
      <c r="T235" s="37">
        <f t="shared" si="46"/>
        <v>64</v>
      </c>
      <c r="U235" s="62">
        <v>1.086</v>
      </c>
      <c r="V235" s="63"/>
      <c r="W235" s="63"/>
      <c r="X235" s="83">
        <v>0.15</v>
      </c>
      <c r="Y235" s="35">
        <f>if(AG235="None",0,if(AG235="Fix5",0.05, if(AG235="Fix6.25",0.0625,if(AG235="Fix3.75",0.0375,if(AG235="Fix10",0.1,if(AG235="Fix3",0.03,0))))))</f>
        <v>0</v>
      </c>
      <c r="Z235" s="40">
        <f t="shared" si="47"/>
        <v>53.5744</v>
      </c>
      <c r="AA235" s="34">
        <f t="shared" si="48"/>
        <v>10.4256</v>
      </c>
      <c r="AB235" s="41">
        <f t="shared" si="49"/>
        <v>0</v>
      </c>
      <c r="AC235" s="42" t="b">
        <v>1</v>
      </c>
      <c r="AD235" s="50" t="s">
        <v>140</v>
      </c>
      <c r="AE235" s="50"/>
      <c r="AF235" s="42" t="str">
        <f t="array" ref="AF235">INDEX('Deal Info'!D:D, MATCH(A235,'Deal Info'!A:A, 0))</f>
        <v>DoEVLo</v>
      </c>
      <c r="AG235" s="43" t="str">
        <f t="array" ref="AG235">INDEX('Deal Info'!G:G, MATCH(A235,'Deal Info'!A:A, 0))</f>
        <v>None</v>
      </c>
    </row>
    <row r="236" hidden="1">
      <c r="A236" s="23" t="str">
        <f t="array" ref="A236">if(G236='Room Info'!$B$1, INDEX('Room Info'!$A$2:$A3446, MATCH(B236,'Room Info'!$B$2:$B3446, 0)),if(G236='Room Info'!$C$1, INDEX('Room Info'!$A$2:$A3446, MATCH(B236,'Room Info'!$C$2:$C3446, 0)),if(G236='Room Info'!$D$1, INDEX('Room Info'!$A$2:$A3446, MATCH(B236,'Room Info'!$D$2:$D3446, 0)),if(G236='Room Info'!$E$1, INDEX('Room Info'!$A$2:$A3446, MATCH(B236,'Room Info'!$E$2:$E3446, 0)),if(G236='Room Info'!$F$1, INDEX('Room Info'!$A$2:$A3446, MATCH(B236,'Room Info'!$F$2:$F3446, 0)),if(G236='Room Info'!$H$1, INDEX('Room Info'!$A$2:$A3446, MATCH(B236,'Room Info'!$H$2:$H3446, 0)),if(G236='Room Info'!$G$1, INDEX('Room Info'!$A$2:$A3446, MATCH(B236,'Room Info'!$G$2:$G3446, 0)))))))))</f>
        <v>Lo4io</v>
      </c>
      <c r="B236" s="50" t="s">
        <v>158</v>
      </c>
      <c r="C236" s="97">
        <v>44763.0</v>
      </c>
      <c r="D236" s="97">
        <v>44793.0</v>
      </c>
      <c r="E236" s="52">
        <v>44774.0</v>
      </c>
      <c r="F236" s="53" t="s">
        <v>4</v>
      </c>
      <c r="G236" s="50" t="s">
        <v>9</v>
      </c>
      <c r="H236" s="54" t="s">
        <v>80</v>
      </c>
      <c r="I236" s="54" t="s">
        <v>7</v>
      </c>
      <c r="J236" s="75">
        <v>50.0</v>
      </c>
      <c r="K236" s="76">
        <v>66.0</v>
      </c>
      <c r="L236" s="77">
        <v>-450.0</v>
      </c>
      <c r="M236" s="98">
        <v>1431.0</v>
      </c>
      <c r="N236" s="33">
        <f t="shared" si="13"/>
        <v>3300</v>
      </c>
      <c r="O236" s="50">
        <v>1830.0</v>
      </c>
      <c r="P236" s="34">
        <f t="shared" si="14"/>
        <v>27.72727273</v>
      </c>
      <c r="Q236" s="60"/>
      <c r="R236" s="36">
        <f t="shared" si="45"/>
        <v>1431</v>
      </c>
      <c r="S236" s="78">
        <v>-114.0</v>
      </c>
      <c r="T236" s="37">
        <f t="shared" si="46"/>
        <v>1317</v>
      </c>
      <c r="U236" s="62">
        <v>1.004</v>
      </c>
      <c r="V236" s="74">
        <v>72.4418955629339</v>
      </c>
      <c r="W236" s="74">
        <v>7.688920833333333</v>
      </c>
      <c r="X236" s="35">
        <f t="shared" ref="X236:X245" si="53">IF(AF236="DoEV",IF(AND(V236&lt;20,W236&lt;55),0.3,0)+IF(AND(V236&lt;20,W236&gt;=55,W236&lt;105),0.23,0)+IF(AND(V236&lt;20,W236&gt;=105),0.17,0)+IF(AND(V236&gt;=20,V236&lt;40,W236&lt;45),0.3,0)+IF(AND(V236&gt;=20,V236&lt;40,W236&gt;=45,W236&lt;95),0.23,0)+IF(AND(V236&gt;=20,V236&lt;40,W236&gt;=95),0.17,0)+IF(AND(V236&gt;=40,V236&lt;75,W236&lt;35),0.3,0)+IF(AND(V236&gt;=40,V236&lt;75,W236&gt;=35,W236&lt;75),0.23,0)+IF(AND(V236&gt;=40,V236&lt;75,W236&gt;=75,W236&lt;120),0.17,0)+IF(AND(V236&gt;=40,V236&lt;75,W236&gt;=120),0.12,0)+IF(AND(V236&gt;=75,V236&lt;175,W236&lt;35),0.3,0)+IF(AND(V236&gt;=75,V236&lt;=175,W236&gt;=35,W236&lt;65),0.23,0)+IF(AND(V236&gt;=75,V236&lt;=175,W236&gt;=65,W236&lt;110),0.17,0)+IF(AND(V236&gt;=75,V236&lt;=175,W236&gt;=110),0.12,0)+IF(AND(V236&gt;175,W236&lt;25),0.3,0)+IF(AND(V236&gt;175,W236&gt;=25,W236&lt;55),0.23,0)+IF(AND(V236&gt;175,W236&gt;=55,W236&lt;95),0.17,0)+IF(AND(V236&gt;175,W236&gt;=95),0.12,0),
IF(AF236="Fix15",0.15,
IF(AF236="Fix11.25",0.1125,
IF(AF236="Fix10",0.1,
IF(AF236="Fix9",0.09,
IF(AF236="DoEV2017",IF(AND(W236&lt;74),0.2,0)+IF(AND(W236&gt;=74),0.17,0),
IF(AF236="SF",IF(AND(V236&lt;20,W236&lt;89),0.3,0)+IF(AND(V236&lt;20,W236&gt;=89),0.25,0)+IF(AND(V236&gt;=20,V236&lt;40,W236&lt;74),0.3,0)+IF(AND(V236&gt;=20,V236&lt;40,W236&gt;=75),0.22,0)+IF(AND(V236&gt;=40,V236&lt;75,W236&lt;75),0.26,0)+IF(AND(V236&gt;=40,V236&lt;75,W236&gt;=75),0.22,0)+IF(V236&gt;=75,0.22,0),
IF(AF236="DoEVold",IF(AND(V236&lt;40,W236&lt;35),0.35,0)+IF(AND(V236&lt;40,W236&gt;=35,W236&lt;75),0.25,0)+IF(AND(V236&lt;40,W236&gt;=75),0.17,0)+IF(AND(V236&gt;=40,V236&lt;75,W236&lt;25),0.35,0)+IF(AND(V236&gt;=40,V236&lt;75,W236&gt;=25,W236&lt;65),0.25,0)+IF(AND(V236&gt;=40,V236&lt;75,W236&gt;=65,W236&lt;100),0.17,0)+IF(AND(V236&gt;=40,V236&lt;75,W236&gt;=100),0.1,0)+IF(AND(V236&gt;=75,W236&lt;25),0.35,0)+IF(AND(V236&gt;=75,W236&gt;=25,W236&lt;60),0.25,0)+IF(AND(V236&gt;=75,W236&gt;=60,W236&lt;95),0.17,0)+IF(AND(V236&gt;=75,W236&gt;=95),0.1,0),
IF(AF236="DoEVold15",IF(AND(V236&lt;=40,W236&lt;35),0.35,0)+IF(AND(V236&lt;=40,W236&gt;=35,W236&lt;75),0.25,0)+IF(AND(V236&lt;=40,W236&gt;=75,W236&lt;120),0.17,0)+IF(AND(V236&lt;=40,W236&gt;=120),0.15,0)+IF(AND(V236&gt;40,V236&lt;75,W236&lt;25),0.35,0)+IF(AND(V236&gt;=40,V236&lt;75,W236&gt;=25,W236&lt;65),0.25,0)+IF(AND(V236&gt;=40,V236&lt;75,W236&gt;=65,W236&lt;100),0.17,0)+IF(AND(V236&gt;=40,V236&lt;75,W236&gt;=100),0.1,0)+IF(AND(V236&gt;=75,W236&lt;25),0.35,0)+IF(AND(V236&gt;=75,W236&gt;=25,W236&lt;60),0.25,0)+IF(AND(V236&gt;=75,W236&gt;=60,W236&lt;95),0.17,0)+IF(AND(V236&gt;=75,W236&gt;=95),0.1,0),
IF(AF236="DoEVba",IF(AND(V236&lt;20,W236&lt;105),0.2,0)+IF(AND(V236&lt;20,W236&gt;=105),0.15,0)+IF(AND(V236&gt;=20,V236&lt;40,W236&lt;95),0.2,0)+IF(AND(V236&gt;=20,V236&lt;40,W236&gt;=95,W236&lt;150),0.15,0)+IF(AND(V236&gt;=20,V236&lt;40,W236&gt;=150),0.12,0)+IF(AND(V236&gt;=40,V236&lt;75,W236&lt;75),0.2,0)+IF(AND(V236&gt;=40,V236&lt;75,W236&gt;=75,W236&lt;120),0.15,0)+IF(AND(V236&gt;=40,V236&lt;75,W236&gt;=120),0.12,0)+IF(AND(V236&gt;=75,V236&lt;175,W236&lt;65),0.2,0)+IF(AND(V236&gt;=75,V236&lt;175,W236&gt;=65,W236&lt;110),0.15,0)+IF(AND(V236&gt;=75,V236&lt;175,W236&gt;=110),0.12,0)+IF(AND(V236&gt;=175,W236&lt;55),0.2,0)+IF(AND(V236&gt;=175,W236&gt;=55,W236&lt;95),0.15,0)+IF(AND(V236&gt;=175,W236&gt;=95),0.12,0),
IF(AF236="DoEVku",IF(AND(V236&lt;20,W236&lt;55),0.23,0)+IF(AND(V236&lt;20,W236&gt;=55,W236&lt;105),0.2,0)+IF(AND(V236&lt;20,W236&gt;=105),0.17,0)+IF(AND(V236&gt;=20,V236&lt;40,W236&lt;45),0.23,0)+IF(AND(V236&gt;=20,V236&lt;40,W236&gt;=45,W236&lt;95),0.2,0)+IF(AND(V236&gt;=20,V236&lt;40,W236&gt;=95,W236&lt;=150),0.17,0)+IF(AND(V236&gt;=20,V236&lt;40,W236&gt;=150),0.12,0)+IF(AND(V236&gt;=40,V236&lt;75,W236&lt;35),0.23,0)+IF(AND(V236&gt;=40,V236&lt;75,W236&gt;=35,W236&lt;75),0.2,0)+IF(AND(V236&gt;=40,V236&lt;75,W236&gt;=75,W236&lt;120),0.17,0)+IF(AND(V236&gt;=40,V236&lt;75,W236&gt;=120),0.12,0)+IF(AND(V236&gt;=75,V236&lt;175,W236&lt;35),0.23,0)+IF(AND(V236&gt;=75,V236&lt;=175,W236&gt;=35,W236&lt;65),0.2,0)+IF(AND(V236&gt;=75,V236&lt;=175,W236&gt;=65,W236&lt;110),0.17,0)+IF(AND(V236&gt;=75,V236&lt;=175,W236&gt;=110),0.12,0)+IF(AND(V236&gt;175,W236&lt;25),0.23,0)+IF(AND(V236&gt;175,W236&gt;=25,W236&lt;55),0.2,0)+IF(AND(V236&gt;175,W236&gt;=55,W236&lt;95),0.17,0)+IF(AND(V236&gt;175,W236&gt;=95),0.12,0),
IF(AF236="DoEVs1",IF(AND(V236&lt;20,W236&lt;55),0.3,0)+IF(AND(V236&lt;20,W236&gt;=55,W236&lt;105),0.23,0)+IF(AND(V236&lt;20,W236&gt;=105),0.17,0)+IF(AND(V236&gt;=20,V236&lt;40,W236&lt;45),0.3,0)+IF(AND(V236&gt;=20,V236&lt;40,W236&gt;=45,W236&lt;95),0.23,0)+IF(AND(V236&gt;=20,V236&lt;40,W236&gt;=95,W236&lt;=150),0.17,0)+IF(AND(V236&gt;=20,V236&lt;40,W236&gt;=150),0.12,0)+IF(AND(V236&gt;=40,V236&lt;75,W236&lt;35),0.3,0)+IF(AND(V236&gt;=40,V236&lt;75,W236&gt;=35,W236&lt;75),0.23,0)+IF(AND(V236&gt;=40,V236&lt;75,W236&gt;=75,W236&lt;120),0.17,0)+IF(AND(V236&gt;=40,V236&lt;75,W236&gt;=120),0.12,0)+IF(AND(V236&gt;=75,V236&lt;175,W236&lt;35),0.3,0)+IF(AND(V236&gt;=75,V236&lt;=175,W236&gt;=35,W236&lt;65),0.23,0)+IF(AND(V236&gt;=75,V236&lt;=175,W236&gt;=65,W236&lt;110),0.17,0)+IF(AND(V236&gt;=75,V236&lt;=175,W236&gt;=110),0.12,0)+IF(AND(V236&gt;175,W236&lt;25),0.3,0)+IF(AND(V236&gt;175,W236&gt;=25,W236&lt;55),0.23,0)+IF(AND(V236&gt;175,W236&gt;=55,W236&lt;95),0.17,0)+IF(AND(V236&gt;175,W236&gt;=95),0.12,0),
IF(AF236="DoEVsu",IF(AND(V236&lt;20,W236&lt;55),0.3,0)+IF(AND(V236&lt;20,W236&gt;=55,W236&lt;105),0.23,0)+IF(AND(V236&lt;20,W236&gt;=105),0.17,0)+IF(AND(V236&gt;=20,V236&lt;40,W236&lt;45),0.3,0)+IF(AND(V236&gt;=20,V236&lt;40,W236&gt;=45,W236&lt;95),0.23,0)+IF(AND(V236&gt;=20,V236&lt;40,W236&gt;=95,W236&lt;=250),0.17,0)+IF(AND(V236&gt;=20,V236&lt;40,W236&gt;=250),0.12,0)+IF(AND(V236&gt;=40,V236&lt;75,W236&lt;35),0.3,0)+IF(AND(V236&gt;=40,V236&lt;75,W236&gt;=35,W236&lt;75),0.23,0)+IF(AND(V236&gt;=40,V236&lt;75,W236&gt;=75,W236&lt;120),0.17,0)+IF(AND(V236&gt;=40,V236&lt;75,W236&gt;=120),0.12,0)+IF(AND(V236&gt;=75,V236&lt;175,W236&lt;35),0.3,0)+IF(AND(V236&gt;=75,V236&lt;=175,W236&gt;=35,W236&lt;65),0.23,0)+IF(AND(V236&gt;=75,V236&lt;=175,W236&gt;=65,W236&lt;110),0.17,0)+IF(AND(V236&gt;=75,V236&lt;=175,W236&gt;=110),0.12,0)+IF(AND(V236&gt;175,W236&lt;25),0.3,0)+IF(AND(V236&gt;175,W236&gt;=25,W236&lt;55),0.23,0)+IF(AND(V236&gt;175,W236&gt;=55,W236&lt;95),0.17,0)+IF(AND(V236&gt;175,W236&gt;=95),0.12,0),
IF(AF236="DoEVni",IF(AND(V236&lt;20,W236&lt;55),0.3,0)+IF(AND(V236&lt;20,W236&gt;=55,W236&lt;105),0.23,0)+IF(AND(V236&lt;20,W236&gt;=105),0.17,0)+IF(AND(V236&gt;=20,V236&lt;40,W236&lt;45),0.3,0)+IF(AND(V236&gt;=20,V236&lt;40,W236&gt;=45,W236&lt;95),0.23,0)+IF(AND(V236&gt;=20,V236&lt;40,W236&gt;=95,W236&lt;=200),0.17,0)+IF(AND(V236&gt;=20,V236&lt;40,W236&gt;=200),0.12,0)+IF(AND(V236&gt;=40,V236&lt;75,W236&lt;35),0.3,0)+IF(AND(V236&gt;=40,V236&lt;75,W236&gt;=35,W236&lt;75),0.23,0)+IF(AND(V236&gt;=40,V236&lt;75,W236&gt;=75,W236&lt;120),0.17,0)+IF(AND(V236&gt;=40,V236&lt;75,W236&gt;=120),0.12,0)+IF(AND(V236&gt;=75,V236&lt;175,W236&lt;35),0.3,0)+IF(AND(V236&gt;=75,V236&lt;=175,W236&gt;=35,W236&lt;65),0.23,0)+IF(AND(V236&gt;=75,V236&lt;=175,W236&gt;=65,W236&lt;110),0.17,0)+IF(AND(V236&gt;=75,V236&lt;=175,W236&gt;=110),0.12,0)+IF(AND(V236&gt;175,W236&lt;25),0.3,0)+IF(AND(V236&gt;175,W236&gt;=25,W236&lt;55),0.23,0)+IF(AND(V236&gt;175,W236&gt;=55,W236&lt;95),0.17,0)+IF(AND(V236&gt;175,W236&gt;=95),0.12,0),
IF(AF236="DoEVLo",IF(AND(V236&lt;20,W236&lt;55),0.25,0)+IF(AND(V236&lt;20,W236&gt;=55,W236&lt;105),0.2,0)+IF(AND(V236&lt;20,W236&gt;=105),0.15,0)+IF(AND(V236&gt;=20,V236&lt;40,W236&lt;45),0.25,0)+IF(AND(V236&gt;=20,V236&lt;40,W236&gt;=45,W236&lt;95),0.2,0)+IF(AND(V236&gt;=20,V236&lt;40,W236&gt;=95),0.15,0)+IF(AND(V236&gt;=40,V236&lt;75,W236&lt;35),0.25,0)+IF(AND(V236&gt;=40,V236&lt;75,W236&gt;=35,W236&lt;75),0.2,0)+IF(AND(V236&gt;=40,V236&lt;75,W236&gt;=75,W236&lt;120),0.15,0)+IF(AND(V236&gt;=40,V236&lt;75,W236&gt;=120),0.1,0)+IF(AND(V236&gt;=75,V236&lt;175,W236&lt;35),0.25,0)+IF(AND(V236&gt;=75,V236&lt;=175,W236&gt;=35,W236&lt;65),0.2,0)+IF(AND(V236&gt;=75,V236&lt;=175,W236&gt;=65,W236&lt;110),0.15,0)+IF(AND(V236&gt;=75,V236&lt;=175,W236&gt;=110),0.1,0)+IF(AND(V236&gt;175,W236&lt;25),0.25,0)+IF(AND(V236&gt;175,W236&gt;=25,W236&lt;55),0.2,0)+IF(AND(V236&gt;175,W236&gt;=55,W236&lt;95),0.15,0)+IF(AND(V236&gt;175,W236&gt;=95),0.1,0))))))))))))))))</f>
        <v>0.25</v>
      </c>
      <c r="Y236" s="35">
        <f t="shared" ref="Y236:Y245" si="54">if(AG236="None",0,if(AG236="Fix5",0.05,if(AG236="Fix3.75",0.0375,if(AG236="Fix10",0.1,if(AG236="Fix3",0.03,0)))))</f>
        <v>0</v>
      </c>
      <c r="Z236" s="40">
        <f t="shared" si="47"/>
        <v>987.864</v>
      </c>
      <c r="AA236" s="34">
        <f t="shared" si="48"/>
        <v>329.136</v>
      </c>
      <c r="AB236" s="41">
        <f t="shared" si="49"/>
        <v>0</v>
      </c>
      <c r="AC236" s="42" t="b">
        <v>1</v>
      </c>
      <c r="AD236" s="66" t="s">
        <v>140</v>
      </c>
      <c r="AE236" s="66"/>
      <c r="AF236" s="42" t="str">
        <f t="array" ref="AF236">INDEX('Deal Info'!D:D, MATCH(A236,'Deal Info'!A:A, 0))</f>
        <v>DoEVLo</v>
      </c>
      <c r="AG236" s="43" t="str">
        <f t="array" ref="AG236">INDEX('Deal Info'!G:G, MATCH(A236,'Deal Info'!A:A, 0))</f>
        <v>None</v>
      </c>
    </row>
    <row r="237" hidden="1">
      <c r="A237" s="23" t="str">
        <f t="array" ref="A237">if(G237='Room Info'!$B$1, INDEX('Room Info'!$A$2:$A3446, MATCH(B237,'Room Info'!$B$2:$B3446, 0)),if(G237='Room Info'!$C$1, INDEX('Room Info'!$A$2:$A3446, MATCH(B237,'Room Info'!$C$2:$C3446, 0)),if(G237='Room Info'!$D$1, INDEX('Room Info'!$A$2:$A3446, MATCH(B237,'Room Info'!$D$2:$D3446, 0)),if(G237='Room Info'!$E$1, INDEX('Room Info'!$A$2:$A3446, MATCH(B237,'Room Info'!$E$2:$E3446, 0)),if(G237='Room Info'!$F$1, INDEX('Room Info'!$A$2:$A3446, MATCH(B237,'Room Info'!$F$2:$F3446, 0)),if(G237='Room Info'!$H$1, INDEX('Room Info'!$A$2:$A3446, MATCH(B237,'Room Info'!$H$2:$H3446, 0)),if(G237='Room Info'!$G$1, INDEX('Room Info'!$A$2:$A3446, MATCH(B237,'Room Info'!$G$2:$G3446, 0)))))))))</f>
        <v>Lo4io</v>
      </c>
      <c r="B237" s="50" t="s">
        <v>156</v>
      </c>
      <c r="C237" s="97">
        <v>44886.0</v>
      </c>
      <c r="D237" s="97">
        <v>44915.0</v>
      </c>
      <c r="E237" s="52">
        <v>44896.0</v>
      </c>
      <c r="F237" s="53" t="s">
        <v>4</v>
      </c>
      <c r="G237" s="50" t="s">
        <v>5</v>
      </c>
      <c r="H237" s="54" t="s">
        <v>62</v>
      </c>
      <c r="I237" s="54" t="s">
        <v>7</v>
      </c>
      <c r="J237" s="75">
        <v>25.0</v>
      </c>
      <c r="K237" s="76">
        <v>379.0</v>
      </c>
      <c r="L237" s="99">
        <v>-100.0</v>
      </c>
      <c r="M237" s="81">
        <v>373.0</v>
      </c>
      <c r="N237" s="33">
        <f t="shared" si="13"/>
        <v>9475</v>
      </c>
      <c r="O237" s="63">
        <v>13363.0</v>
      </c>
      <c r="P237" s="34">
        <f t="shared" si="14"/>
        <v>35.2585752</v>
      </c>
      <c r="Q237" s="60"/>
      <c r="R237" s="36">
        <f t="shared" si="45"/>
        <v>373</v>
      </c>
      <c r="S237" s="100">
        <v>14.0</v>
      </c>
      <c r="T237" s="37">
        <f t="shared" si="46"/>
        <v>387</v>
      </c>
      <c r="U237" s="62">
        <v>1.0</v>
      </c>
      <c r="V237" s="74">
        <v>59.40509231326173</v>
      </c>
      <c r="W237" s="74">
        <v>25.570198460257167</v>
      </c>
      <c r="X237" s="35">
        <f t="shared" si="53"/>
        <v>0.25</v>
      </c>
      <c r="Y237" s="35">
        <f t="shared" si="54"/>
        <v>0</v>
      </c>
      <c r="Z237" s="40">
        <f t="shared" si="47"/>
        <v>290.25</v>
      </c>
      <c r="AA237" s="34">
        <f t="shared" si="48"/>
        <v>96.75</v>
      </c>
      <c r="AB237" s="41">
        <f t="shared" si="49"/>
        <v>0</v>
      </c>
      <c r="AC237" s="42" t="b">
        <v>1</v>
      </c>
      <c r="AD237" s="42" t="s">
        <v>138</v>
      </c>
      <c r="AE237" s="42" t="s">
        <v>138</v>
      </c>
      <c r="AF237" s="42" t="str">
        <f t="array" ref="AF237">INDEX('Deal Info'!D:D, MATCH(A237,'Deal Info'!A:A, 0))</f>
        <v>DoEVLo</v>
      </c>
      <c r="AG237" s="43" t="str">
        <f t="array" ref="AG237">INDEX('Deal Info'!G:G, MATCH(A237,'Deal Info'!A:A, 0))</f>
        <v>None</v>
      </c>
    </row>
    <row r="238" hidden="1">
      <c r="A238" s="23" t="str">
        <f t="array" ref="A238">if(G238='Room Info'!$B$1, INDEX('Room Info'!$A$2:$A3446, MATCH(B238,'Room Info'!$B$2:$B3446, 0)),if(G238='Room Info'!$C$1, INDEX('Room Info'!$A$2:$A3446, MATCH(B238,'Room Info'!$C$2:$C3446, 0)),if(G238='Room Info'!$D$1, INDEX('Room Info'!$A$2:$A3446, MATCH(B238,'Room Info'!$D$2:$D3446, 0)),if(G238='Room Info'!$E$1, INDEX('Room Info'!$A$2:$A3446, MATCH(B238,'Room Info'!$E$2:$E3446, 0)),if(G238='Room Info'!$F$1, INDEX('Room Info'!$A$2:$A3446, MATCH(B238,'Room Info'!$F$2:$F3446, 0)),if(G238='Room Info'!$H$1, INDEX('Room Info'!$A$2:$A3446, MATCH(B238,'Room Info'!$H$2:$H3446, 0)),if(G238='Room Info'!$G$1, INDEX('Room Info'!$A$2:$A3446, MATCH(B238,'Room Info'!$G$2:$G3446, 0)))))))))</f>
        <v>Lo4io</v>
      </c>
      <c r="B238" s="50" t="s">
        <v>156</v>
      </c>
      <c r="C238" s="97">
        <v>44886.0</v>
      </c>
      <c r="D238" s="97">
        <v>44915.0</v>
      </c>
      <c r="E238" s="52">
        <v>44896.0</v>
      </c>
      <c r="F238" s="53" t="s">
        <v>4</v>
      </c>
      <c r="G238" s="50" t="s">
        <v>5</v>
      </c>
      <c r="H238" s="54" t="s">
        <v>74</v>
      </c>
      <c r="I238" s="54" t="s">
        <v>7</v>
      </c>
      <c r="J238" s="75">
        <v>50.0</v>
      </c>
      <c r="K238" s="76">
        <v>9.0</v>
      </c>
      <c r="L238" s="99">
        <v>0.0</v>
      </c>
      <c r="M238" s="81">
        <v>18.0</v>
      </c>
      <c r="N238" s="33">
        <f t="shared" si="13"/>
        <v>450</v>
      </c>
      <c r="O238" s="63">
        <v>1834.0</v>
      </c>
      <c r="P238" s="34">
        <f t="shared" si="14"/>
        <v>203.7777778</v>
      </c>
      <c r="Q238" s="60"/>
      <c r="R238" s="36">
        <f t="shared" si="45"/>
        <v>18</v>
      </c>
      <c r="S238" s="100">
        <v>141.0</v>
      </c>
      <c r="T238" s="37">
        <f t="shared" si="46"/>
        <v>159</v>
      </c>
      <c r="U238" s="62">
        <v>1.0</v>
      </c>
      <c r="V238" s="74">
        <v>59.40509231326173</v>
      </c>
      <c r="W238" s="74">
        <v>25.570198460257167</v>
      </c>
      <c r="X238" s="35">
        <f t="shared" si="53"/>
        <v>0.25</v>
      </c>
      <c r="Y238" s="35">
        <f t="shared" si="54"/>
        <v>0</v>
      </c>
      <c r="Z238" s="40">
        <f t="shared" si="47"/>
        <v>119.25</v>
      </c>
      <c r="AA238" s="34">
        <f t="shared" si="48"/>
        <v>39.75</v>
      </c>
      <c r="AB238" s="41">
        <f t="shared" si="49"/>
        <v>0</v>
      </c>
      <c r="AC238" s="42" t="b">
        <v>1</v>
      </c>
      <c r="AD238" s="42" t="s">
        <v>138</v>
      </c>
      <c r="AE238" s="42" t="s">
        <v>138</v>
      </c>
      <c r="AF238" s="42" t="str">
        <f t="array" ref="AF238">INDEX('Deal Info'!D:D, MATCH(A238,'Deal Info'!A:A, 0))</f>
        <v>DoEVLo</v>
      </c>
      <c r="AG238" s="43" t="str">
        <f t="array" ref="AG238">INDEX('Deal Info'!G:G, MATCH(A238,'Deal Info'!A:A, 0))</f>
        <v>None</v>
      </c>
    </row>
    <row r="239" hidden="1">
      <c r="A239" s="23" t="str">
        <f t="array" ref="A239">if(G239='Room Info'!$B$1, INDEX('Room Info'!$A$2:$A3446, MATCH(B239,'Room Info'!$B$2:$B3446, 0)),if(G239='Room Info'!$C$1, INDEX('Room Info'!$A$2:$A3446, MATCH(B239,'Room Info'!$C$2:$C3446, 0)),if(G239='Room Info'!$D$1, INDEX('Room Info'!$A$2:$A3446, MATCH(B239,'Room Info'!$D$2:$D3446, 0)),if(G239='Room Info'!$E$1, INDEX('Room Info'!$A$2:$A3446, MATCH(B239,'Room Info'!$E$2:$E3446, 0)),if(G239='Room Info'!$F$1, INDEX('Room Info'!$A$2:$A3446, MATCH(B239,'Room Info'!$F$2:$F3446, 0)),if(G239='Room Info'!$H$1, INDEX('Room Info'!$A$2:$A3446, MATCH(B239,'Room Info'!$H$2:$H3446, 0)),if(G239='Room Info'!$G$1, INDEX('Room Info'!$A$2:$A3446, MATCH(B239,'Room Info'!$G$2:$G3446, 0)))))))))</f>
        <v>Lo4io</v>
      </c>
      <c r="B239" s="50" t="s">
        <v>156</v>
      </c>
      <c r="C239" s="97">
        <v>44886.0</v>
      </c>
      <c r="D239" s="97">
        <v>44915.0</v>
      </c>
      <c r="E239" s="52">
        <v>44896.0</v>
      </c>
      <c r="F239" s="53" t="s">
        <v>4</v>
      </c>
      <c r="G239" s="50" t="s">
        <v>5</v>
      </c>
      <c r="H239" s="54" t="s">
        <v>75</v>
      </c>
      <c r="I239" s="54" t="s">
        <v>11</v>
      </c>
      <c r="J239" s="75">
        <v>50.0</v>
      </c>
      <c r="K239" s="76">
        <v>3892.0</v>
      </c>
      <c r="L239" s="99">
        <v>-10250.0</v>
      </c>
      <c r="M239" s="81">
        <v>7664.0</v>
      </c>
      <c r="N239" s="33">
        <f t="shared" si="13"/>
        <v>194600</v>
      </c>
      <c r="O239" s="63">
        <v>33334.0</v>
      </c>
      <c r="P239" s="34">
        <f t="shared" si="14"/>
        <v>8.564748201</v>
      </c>
      <c r="Q239" s="60"/>
      <c r="R239" s="36">
        <f t="shared" si="45"/>
        <v>7664</v>
      </c>
      <c r="S239" s="100">
        <v>-7280.0</v>
      </c>
      <c r="T239" s="37">
        <f t="shared" si="46"/>
        <v>384</v>
      </c>
      <c r="U239" s="62">
        <v>1.0</v>
      </c>
      <c r="V239" s="74">
        <v>59.40509231326173</v>
      </c>
      <c r="W239" s="74">
        <v>25.570198460257167</v>
      </c>
      <c r="X239" s="35">
        <f t="shared" si="53"/>
        <v>0.25</v>
      </c>
      <c r="Y239" s="35">
        <f t="shared" si="54"/>
        <v>0</v>
      </c>
      <c r="Z239" s="40">
        <f t="shared" si="47"/>
        <v>288</v>
      </c>
      <c r="AA239" s="34">
        <f t="shared" si="48"/>
        <v>96</v>
      </c>
      <c r="AB239" s="41">
        <f t="shared" si="49"/>
        <v>0</v>
      </c>
      <c r="AC239" s="42" t="b">
        <v>1</v>
      </c>
      <c r="AD239" s="42" t="s">
        <v>138</v>
      </c>
      <c r="AE239" s="42" t="s">
        <v>138</v>
      </c>
      <c r="AF239" s="42" t="str">
        <f t="array" ref="AF239">INDEX('Deal Info'!D:D, MATCH(A239,'Deal Info'!A:A, 0))</f>
        <v>DoEVLo</v>
      </c>
      <c r="AG239" s="43" t="str">
        <f t="array" ref="AG239">INDEX('Deal Info'!G:G, MATCH(A239,'Deal Info'!A:A, 0))</f>
        <v>None</v>
      </c>
    </row>
    <row r="240" hidden="1">
      <c r="A240" s="23" t="str">
        <f t="array" ref="A240">if(G240='Room Info'!$B$1, INDEX('Room Info'!$A$2:$A3446, MATCH(B240,'Room Info'!$B$2:$B3446, 0)),if(G240='Room Info'!$C$1, INDEX('Room Info'!$A$2:$A3446, MATCH(B240,'Room Info'!$C$2:$C3446, 0)),if(G240='Room Info'!$D$1, INDEX('Room Info'!$A$2:$A3446, MATCH(B240,'Room Info'!$D$2:$D3446, 0)),if(G240='Room Info'!$E$1, INDEX('Room Info'!$A$2:$A3446, MATCH(B240,'Room Info'!$E$2:$E3446, 0)),if(G240='Room Info'!$F$1, INDEX('Room Info'!$A$2:$A3446, MATCH(B240,'Room Info'!$F$2:$F3446, 0)),if(G240='Room Info'!$H$1, INDEX('Room Info'!$A$2:$A3446, MATCH(B240,'Room Info'!$H$2:$H3446, 0)),if(G240='Room Info'!$G$1, INDEX('Room Info'!$A$2:$A3446, MATCH(B240,'Room Info'!$G$2:$G3446, 0)))))))))</f>
        <v>Lo4io</v>
      </c>
      <c r="B240" s="50" t="s">
        <v>156</v>
      </c>
      <c r="C240" s="97">
        <v>44886.0</v>
      </c>
      <c r="D240" s="97">
        <v>44915.0</v>
      </c>
      <c r="E240" s="52">
        <v>44896.0</v>
      </c>
      <c r="F240" s="53" t="s">
        <v>4</v>
      </c>
      <c r="G240" s="50" t="s">
        <v>5</v>
      </c>
      <c r="H240" s="54" t="s">
        <v>85</v>
      </c>
      <c r="I240" s="54" t="s">
        <v>7</v>
      </c>
      <c r="J240" s="75">
        <v>100.0</v>
      </c>
      <c r="K240" s="76">
        <v>731.0</v>
      </c>
      <c r="L240" s="99">
        <v>-2300.0</v>
      </c>
      <c r="M240" s="81">
        <v>2399.0</v>
      </c>
      <c r="N240" s="33">
        <f t="shared" si="13"/>
        <v>73100</v>
      </c>
      <c r="O240" s="63">
        <v>12441.0</v>
      </c>
      <c r="P240" s="34">
        <f t="shared" si="14"/>
        <v>17.01915185</v>
      </c>
      <c r="Q240" s="60"/>
      <c r="R240" s="36">
        <f t="shared" si="45"/>
        <v>2399</v>
      </c>
      <c r="S240" s="100">
        <v>-1606.0</v>
      </c>
      <c r="T240" s="37">
        <f t="shared" si="46"/>
        <v>793</v>
      </c>
      <c r="U240" s="62">
        <v>1.0</v>
      </c>
      <c r="V240" s="74">
        <v>59.40509231326173</v>
      </c>
      <c r="W240" s="74">
        <v>25.570198460257167</v>
      </c>
      <c r="X240" s="35">
        <f t="shared" si="53"/>
        <v>0.25</v>
      </c>
      <c r="Y240" s="35">
        <f t="shared" si="54"/>
        <v>0</v>
      </c>
      <c r="Z240" s="40">
        <f t="shared" si="47"/>
        <v>594.75</v>
      </c>
      <c r="AA240" s="34">
        <f t="shared" si="48"/>
        <v>198.25</v>
      </c>
      <c r="AB240" s="41">
        <f t="shared" si="49"/>
        <v>0</v>
      </c>
      <c r="AC240" s="42" t="b">
        <v>1</v>
      </c>
      <c r="AD240" s="42" t="s">
        <v>138</v>
      </c>
      <c r="AE240" s="42" t="s">
        <v>138</v>
      </c>
      <c r="AF240" s="42" t="str">
        <f t="array" ref="AF240">INDEX('Deal Info'!D:D, MATCH(A240,'Deal Info'!A:A, 0))</f>
        <v>DoEVLo</v>
      </c>
      <c r="AG240" s="43" t="str">
        <f t="array" ref="AG240">INDEX('Deal Info'!G:G, MATCH(A240,'Deal Info'!A:A, 0))</f>
        <v>None</v>
      </c>
    </row>
    <row r="241" hidden="1">
      <c r="A241" s="23" t="str">
        <f t="array" ref="A241">if(G241='Room Info'!$B$1, INDEX('Room Info'!$A$2:$A3446, MATCH(B241,'Room Info'!$B$2:$B3446, 0)),if(G241='Room Info'!$C$1, INDEX('Room Info'!$A$2:$A3446, MATCH(B241,'Room Info'!$C$2:$C3446, 0)),if(G241='Room Info'!$D$1, INDEX('Room Info'!$A$2:$A3446, MATCH(B241,'Room Info'!$D$2:$D3446, 0)),if(G241='Room Info'!$E$1, INDEX('Room Info'!$A$2:$A3446, MATCH(B241,'Room Info'!$E$2:$E3446, 0)),if(G241='Room Info'!$F$1, INDEX('Room Info'!$A$2:$A3446, MATCH(B241,'Room Info'!$F$2:$F3446, 0)),if(G241='Room Info'!$H$1, INDEX('Room Info'!$A$2:$A3446, MATCH(B241,'Room Info'!$H$2:$H3446, 0)),if(G241='Room Info'!$G$1, INDEX('Room Info'!$A$2:$A3446, MATCH(B241,'Room Info'!$G$2:$G3446, 0)))))))))</f>
        <v>Lo4io</v>
      </c>
      <c r="B241" s="50" t="s">
        <v>156</v>
      </c>
      <c r="C241" s="97">
        <v>44886.0</v>
      </c>
      <c r="D241" s="97">
        <v>44915.0</v>
      </c>
      <c r="E241" s="52">
        <v>44896.0</v>
      </c>
      <c r="F241" s="53" t="s">
        <v>4</v>
      </c>
      <c r="G241" s="50" t="s">
        <v>5</v>
      </c>
      <c r="H241" s="54" t="s">
        <v>86</v>
      </c>
      <c r="I241" s="54" t="s">
        <v>11</v>
      </c>
      <c r="J241" s="75">
        <v>100.0</v>
      </c>
      <c r="K241" s="76">
        <v>1729.0</v>
      </c>
      <c r="L241" s="99">
        <v>-6900.0</v>
      </c>
      <c r="M241" s="81">
        <v>5674.0</v>
      </c>
      <c r="N241" s="33">
        <f t="shared" si="13"/>
        <v>172900</v>
      </c>
      <c r="O241" s="63">
        <v>3126.0</v>
      </c>
      <c r="P241" s="34">
        <f t="shared" si="14"/>
        <v>1.807981492</v>
      </c>
      <c r="Q241" s="60"/>
      <c r="R241" s="36">
        <f t="shared" si="45"/>
        <v>5674</v>
      </c>
      <c r="S241" s="100">
        <v>-8337.0</v>
      </c>
      <c r="T241" s="37">
        <f t="shared" si="46"/>
        <v>-2663</v>
      </c>
      <c r="U241" s="62">
        <v>1.0</v>
      </c>
      <c r="V241" s="74">
        <v>59.40509231326173</v>
      </c>
      <c r="W241" s="74">
        <v>25.570198460257167</v>
      </c>
      <c r="X241" s="35">
        <f t="shared" si="53"/>
        <v>0.25</v>
      </c>
      <c r="Y241" s="35">
        <f t="shared" si="54"/>
        <v>0</v>
      </c>
      <c r="Z241" s="40">
        <f t="shared" si="47"/>
        <v>-1997.25</v>
      </c>
      <c r="AA241" s="34">
        <f t="shared" si="48"/>
        <v>-665.75</v>
      </c>
      <c r="AB241" s="41">
        <f t="shared" si="49"/>
        <v>0</v>
      </c>
      <c r="AC241" s="42" t="b">
        <v>1</v>
      </c>
      <c r="AD241" s="42" t="s">
        <v>138</v>
      </c>
      <c r="AE241" s="42" t="s">
        <v>138</v>
      </c>
      <c r="AF241" s="42" t="str">
        <f t="array" ref="AF241">INDEX('Deal Info'!D:D, MATCH(A241,'Deal Info'!A:A, 0))</f>
        <v>DoEVLo</v>
      </c>
      <c r="AG241" s="43" t="str">
        <f t="array" ref="AG241">INDEX('Deal Info'!G:G, MATCH(A241,'Deal Info'!A:A, 0))</f>
        <v>None</v>
      </c>
    </row>
    <row r="242" hidden="1">
      <c r="A242" s="23" t="str">
        <f t="array" ref="A242">if(G242='Room Info'!$B$1, INDEX('Room Info'!$A$2:$A3446, MATCH(B242,'Room Info'!$B$2:$B3446, 0)),if(G242='Room Info'!$C$1, INDEX('Room Info'!$A$2:$A3446, MATCH(B242,'Room Info'!$C$2:$C3446, 0)),if(G242='Room Info'!$D$1, INDEX('Room Info'!$A$2:$A3446, MATCH(B242,'Room Info'!$D$2:$D3446, 0)),if(G242='Room Info'!$E$1, INDEX('Room Info'!$A$2:$A3446, MATCH(B242,'Room Info'!$E$2:$E3446, 0)),if(G242='Room Info'!$F$1, INDEX('Room Info'!$A$2:$A3446, MATCH(B242,'Room Info'!$F$2:$F3446, 0)),if(G242='Room Info'!$H$1, INDEX('Room Info'!$A$2:$A3446, MATCH(B242,'Room Info'!$H$2:$H3446, 0)),if(G242='Room Info'!$G$1, INDEX('Room Info'!$A$2:$A3446, MATCH(B242,'Room Info'!$G$2:$G3446, 0)))))))))</f>
        <v>Lo4io</v>
      </c>
      <c r="B242" s="50" t="s">
        <v>153</v>
      </c>
      <c r="C242" s="97">
        <v>44886.0</v>
      </c>
      <c r="D242" s="97">
        <v>44915.0</v>
      </c>
      <c r="E242" s="52">
        <v>44896.0</v>
      </c>
      <c r="F242" s="53" t="s">
        <v>4</v>
      </c>
      <c r="G242" s="50" t="s">
        <v>13</v>
      </c>
      <c r="H242" s="54" t="s">
        <v>59</v>
      </c>
      <c r="I242" s="54" t="s">
        <v>18</v>
      </c>
      <c r="J242" s="75">
        <v>20.0</v>
      </c>
      <c r="K242" s="76">
        <v>42.0</v>
      </c>
      <c r="L242" s="99">
        <v>320.0</v>
      </c>
      <c r="M242" s="81">
        <v>57.0</v>
      </c>
      <c r="N242" s="33">
        <f t="shared" si="13"/>
        <v>840</v>
      </c>
      <c r="O242" s="63">
        <v>1645.0</v>
      </c>
      <c r="P242" s="34">
        <f t="shared" si="14"/>
        <v>39.16666667</v>
      </c>
      <c r="Q242" s="60"/>
      <c r="R242" s="36">
        <f t="shared" si="45"/>
        <v>57</v>
      </c>
      <c r="S242" s="100">
        <v>33.0</v>
      </c>
      <c r="T242" s="37">
        <f t="shared" si="46"/>
        <v>90</v>
      </c>
      <c r="U242" s="62">
        <v>1.0</v>
      </c>
      <c r="V242" s="74">
        <v>59.40509231326173</v>
      </c>
      <c r="W242" s="74">
        <v>25.570198460257167</v>
      </c>
      <c r="X242" s="35">
        <f t="shared" si="53"/>
        <v>0.25</v>
      </c>
      <c r="Y242" s="35">
        <f t="shared" si="54"/>
        <v>0</v>
      </c>
      <c r="Z242" s="40">
        <f t="shared" si="47"/>
        <v>67.5</v>
      </c>
      <c r="AA242" s="34">
        <f t="shared" si="48"/>
        <v>22.5</v>
      </c>
      <c r="AB242" s="41">
        <f t="shared" si="49"/>
        <v>0</v>
      </c>
      <c r="AC242" s="42" t="b">
        <v>1</v>
      </c>
      <c r="AD242" s="42" t="s">
        <v>138</v>
      </c>
      <c r="AE242" s="42" t="s">
        <v>138</v>
      </c>
      <c r="AF242" s="42" t="str">
        <f t="array" ref="AF242">INDEX('Deal Info'!D:D, MATCH(A242,'Deal Info'!A:A, 0))</f>
        <v>DoEVLo</v>
      </c>
      <c r="AG242" s="43" t="str">
        <f t="array" ref="AG242">INDEX('Deal Info'!G:G, MATCH(A242,'Deal Info'!A:A, 0))</f>
        <v>None</v>
      </c>
    </row>
    <row r="243" hidden="1">
      <c r="A243" s="23" t="str">
        <f t="array" ref="A243">if(G243='Room Info'!$B$1, INDEX('Room Info'!$A$2:$A3446, MATCH(B243,'Room Info'!$B$2:$B3446, 0)),if(G243='Room Info'!$C$1, INDEX('Room Info'!$A$2:$A3446, MATCH(B243,'Room Info'!$C$2:$C3446, 0)),if(G243='Room Info'!$D$1, INDEX('Room Info'!$A$2:$A3446, MATCH(B243,'Room Info'!$D$2:$D3446, 0)),if(G243='Room Info'!$E$1, INDEX('Room Info'!$A$2:$A3446, MATCH(B243,'Room Info'!$E$2:$E3446, 0)),if(G243='Room Info'!$F$1, INDEX('Room Info'!$A$2:$A3446, MATCH(B243,'Room Info'!$F$2:$F3446, 0)),if(G243='Room Info'!$H$1, INDEX('Room Info'!$A$2:$A3446, MATCH(B243,'Room Info'!$H$2:$H3446, 0)),if(G243='Room Info'!$G$1, INDEX('Room Info'!$A$2:$A3446, MATCH(B243,'Room Info'!$G$2:$G3446, 0)))))))))</f>
        <v>Lo4io</v>
      </c>
      <c r="B243" s="50" t="s">
        <v>153</v>
      </c>
      <c r="C243" s="97">
        <v>44886.0</v>
      </c>
      <c r="D243" s="97">
        <v>44915.0</v>
      </c>
      <c r="E243" s="52">
        <v>44896.0</v>
      </c>
      <c r="F243" s="53" t="s">
        <v>4</v>
      </c>
      <c r="G243" s="50" t="s">
        <v>13</v>
      </c>
      <c r="H243" s="54" t="s">
        <v>74</v>
      </c>
      <c r="I243" s="54" t="s">
        <v>18</v>
      </c>
      <c r="J243" s="55">
        <v>50.0</v>
      </c>
      <c r="K243" s="56">
        <v>72.0</v>
      </c>
      <c r="L243" s="57">
        <v>250.0</v>
      </c>
      <c r="M243" s="58">
        <v>200.0</v>
      </c>
      <c r="N243" s="33">
        <f t="shared" si="13"/>
        <v>3600</v>
      </c>
      <c r="O243" s="59">
        <v>2779.0</v>
      </c>
      <c r="P243" s="34">
        <f t="shared" si="14"/>
        <v>38.59722222</v>
      </c>
      <c r="Q243" s="60"/>
      <c r="R243" s="36">
        <f t="shared" si="45"/>
        <v>200</v>
      </c>
      <c r="S243" s="61">
        <v>136.0</v>
      </c>
      <c r="T243" s="37">
        <f t="shared" si="46"/>
        <v>336</v>
      </c>
      <c r="U243" s="62">
        <v>1.0</v>
      </c>
      <c r="V243" s="74">
        <v>59.40509231326173</v>
      </c>
      <c r="W243" s="74">
        <v>25.570198460257167</v>
      </c>
      <c r="X243" s="35">
        <f t="shared" si="53"/>
        <v>0.25</v>
      </c>
      <c r="Y243" s="35">
        <f t="shared" si="54"/>
        <v>0</v>
      </c>
      <c r="Z243" s="40">
        <f t="shared" si="47"/>
        <v>252</v>
      </c>
      <c r="AA243" s="34">
        <f t="shared" si="48"/>
        <v>84</v>
      </c>
      <c r="AB243" s="41">
        <f t="shared" si="49"/>
        <v>0</v>
      </c>
      <c r="AC243" s="42" t="b">
        <v>1</v>
      </c>
      <c r="AD243" s="42" t="s">
        <v>138</v>
      </c>
      <c r="AE243" s="42" t="s">
        <v>138</v>
      </c>
      <c r="AF243" s="42" t="str">
        <f t="array" ref="AF243">INDEX('Deal Info'!D:D, MATCH(A243,'Deal Info'!A:A, 0))</f>
        <v>DoEVLo</v>
      </c>
      <c r="AG243" s="43" t="str">
        <f t="array" ref="AG243">INDEX('Deal Info'!G:G, MATCH(A243,'Deal Info'!A:A, 0))</f>
        <v>None</v>
      </c>
    </row>
    <row r="244" hidden="1">
      <c r="A244" s="23" t="str">
        <f t="array" ref="A244">if(G244='Room Info'!$B$1, INDEX('Room Info'!$A$2:$A3446, MATCH(B244,'Room Info'!$B$2:$B3446, 0)),if(G244='Room Info'!$C$1, INDEX('Room Info'!$A$2:$A3446, MATCH(B244,'Room Info'!$C$2:$C3446, 0)),if(G244='Room Info'!$D$1, INDEX('Room Info'!$A$2:$A3446, MATCH(B244,'Room Info'!$D$2:$D3446, 0)),if(G244='Room Info'!$E$1, INDEX('Room Info'!$A$2:$A3446, MATCH(B244,'Room Info'!$E$2:$E3446, 0)),if(G244='Room Info'!$F$1, INDEX('Room Info'!$A$2:$A3446, MATCH(B244,'Room Info'!$F$2:$F3446, 0)),if(G244='Room Info'!$H$1, INDEX('Room Info'!$A$2:$A3446, MATCH(B244,'Room Info'!$H$2:$H3446, 0)),if(G244='Room Info'!$G$1, INDEX('Room Info'!$A$2:$A3446, MATCH(B244,'Room Info'!$G$2:$G3446, 0)))))))))</f>
        <v>Lo4io</v>
      </c>
      <c r="B244" s="50" t="s">
        <v>156</v>
      </c>
      <c r="C244" s="97">
        <v>44886.0</v>
      </c>
      <c r="D244" s="97">
        <v>44915.0</v>
      </c>
      <c r="E244" s="52">
        <v>44896.0</v>
      </c>
      <c r="F244" s="53" t="s">
        <v>12</v>
      </c>
      <c r="G244" s="50" t="s">
        <v>5</v>
      </c>
      <c r="H244" s="54" t="s">
        <v>63</v>
      </c>
      <c r="I244" s="54" t="s">
        <v>11</v>
      </c>
      <c r="J244" s="79">
        <v>25.0</v>
      </c>
      <c r="K244" s="80">
        <v>32.0</v>
      </c>
      <c r="L244" s="77">
        <v>200.0</v>
      </c>
      <c r="M244" s="58">
        <v>32.0</v>
      </c>
      <c r="N244" s="33">
        <f t="shared" si="13"/>
        <v>800</v>
      </c>
      <c r="O244" s="101"/>
      <c r="P244" s="34">
        <f t="shared" si="14"/>
        <v>0</v>
      </c>
      <c r="Q244" s="60"/>
      <c r="R244" s="36">
        <f t="shared" si="45"/>
        <v>32</v>
      </c>
      <c r="S244" s="102"/>
      <c r="T244" s="37">
        <f t="shared" si="46"/>
        <v>232</v>
      </c>
      <c r="U244" s="62">
        <v>1.086</v>
      </c>
      <c r="V244" s="74">
        <v>59.40509231326173</v>
      </c>
      <c r="W244" s="74">
        <v>25.570198460257167</v>
      </c>
      <c r="X244" s="35">
        <f t="shared" si="53"/>
        <v>0.25</v>
      </c>
      <c r="Y244" s="35">
        <f t="shared" si="54"/>
        <v>0</v>
      </c>
      <c r="Z244" s="40">
        <f t="shared" si="47"/>
        <v>169.7</v>
      </c>
      <c r="AA244" s="34">
        <f t="shared" si="48"/>
        <v>62.3</v>
      </c>
      <c r="AB244" s="41">
        <f t="shared" si="49"/>
        <v>0</v>
      </c>
      <c r="AC244" s="42" t="b">
        <v>1</v>
      </c>
      <c r="AD244" s="66" t="s">
        <v>140</v>
      </c>
      <c r="AE244" s="66"/>
      <c r="AF244" s="42" t="str">
        <f t="array" ref="AF244">INDEX('Deal Info'!D:D, MATCH(A244,'Deal Info'!A:A, 0))</f>
        <v>DoEVLo</v>
      </c>
      <c r="AG244" s="43" t="str">
        <f t="array" ref="AG244">INDEX('Deal Info'!G:G, MATCH(A244,'Deal Info'!A:A, 0))</f>
        <v>None</v>
      </c>
    </row>
    <row r="245" hidden="1">
      <c r="A245" s="23" t="str">
        <f t="array" ref="A245">if(G245='Room Info'!$B$1, INDEX('Room Info'!$A$2:$A3446, MATCH(B245,'Room Info'!$B$2:$B3446, 0)),if(G245='Room Info'!$C$1, INDEX('Room Info'!$A$2:$A3446, MATCH(B245,'Room Info'!$C$2:$C3446, 0)),if(G245='Room Info'!$D$1, INDEX('Room Info'!$A$2:$A3446, MATCH(B245,'Room Info'!$D$2:$D3446, 0)),if(G245='Room Info'!$E$1, INDEX('Room Info'!$A$2:$A3446, MATCH(B245,'Room Info'!$E$2:$E3446, 0)),if(G245='Room Info'!$F$1, INDEX('Room Info'!$A$2:$A3446, MATCH(B245,'Room Info'!$F$2:$F3446, 0)),if(G245='Room Info'!$H$1, INDEX('Room Info'!$A$2:$A3446, MATCH(B245,'Room Info'!$H$2:$H3446, 0)),if(G245='Room Info'!$G$1, INDEX('Room Info'!$A$2:$A3446, MATCH(B245,'Room Info'!$G$2:$G3446, 0)))))))))</f>
        <v>Lo4io</v>
      </c>
      <c r="B245" s="50" t="s">
        <v>158</v>
      </c>
      <c r="C245" s="97">
        <v>44794.0</v>
      </c>
      <c r="D245" s="97">
        <v>44824.0</v>
      </c>
      <c r="E245" s="52">
        <v>44805.0</v>
      </c>
      <c r="F245" s="53" t="s">
        <v>4</v>
      </c>
      <c r="G245" s="50" t="s">
        <v>9</v>
      </c>
      <c r="H245" s="54" t="s">
        <v>80</v>
      </c>
      <c r="I245" s="54" t="s">
        <v>7</v>
      </c>
      <c r="J245" s="75">
        <v>50.0</v>
      </c>
      <c r="K245" s="76">
        <v>1679.0</v>
      </c>
      <c r="L245" s="77">
        <v>-3600.0</v>
      </c>
      <c r="M245" s="98">
        <v>2737.0</v>
      </c>
      <c r="N245" s="33">
        <f t="shared" si="13"/>
        <v>83950</v>
      </c>
      <c r="O245" s="50">
        <v>64197.0</v>
      </c>
      <c r="P245" s="34">
        <f t="shared" si="14"/>
        <v>38.23525908</v>
      </c>
      <c r="Q245" s="60"/>
      <c r="R245" s="36">
        <f t="shared" si="45"/>
        <v>2737</v>
      </c>
      <c r="S245" s="78">
        <v>-1373.0</v>
      </c>
      <c r="T245" s="37">
        <f t="shared" si="46"/>
        <v>1364</v>
      </c>
      <c r="U245" s="62">
        <v>1.0</v>
      </c>
      <c r="V245" s="74">
        <v>54.81700753498385</v>
      </c>
      <c r="W245" s="74">
        <v>27.03540500736377</v>
      </c>
      <c r="X245" s="35">
        <f t="shared" si="53"/>
        <v>0.25</v>
      </c>
      <c r="Y245" s="35">
        <f t="shared" si="54"/>
        <v>0</v>
      </c>
      <c r="Z245" s="40">
        <f t="shared" si="47"/>
        <v>1023</v>
      </c>
      <c r="AA245" s="34">
        <f t="shared" si="48"/>
        <v>341</v>
      </c>
      <c r="AB245" s="41">
        <f t="shared" si="49"/>
        <v>0</v>
      </c>
      <c r="AC245" s="42" t="b">
        <v>1</v>
      </c>
      <c r="AD245" s="42" t="s">
        <v>138</v>
      </c>
      <c r="AE245" s="42" t="s">
        <v>138</v>
      </c>
      <c r="AF245" s="42" t="str">
        <f t="array" ref="AF245">INDEX('Deal Info'!D:D, MATCH(A245,'Deal Info'!A:A, 0))</f>
        <v>DoEVLo</v>
      </c>
      <c r="AG245" s="43" t="str">
        <f t="array" ref="AG245">INDEX('Deal Info'!G:G, MATCH(A245,'Deal Info'!A:A, 0))</f>
        <v>None</v>
      </c>
    </row>
    <row r="246" hidden="1">
      <c r="A246" s="23" t="str">
        <f t="array" ref="A246">if(G246='Room Info'!$B$1, INDEX('Room Info'!$A$2:$A3446, MATCH(B246,'Room Info'!$B$2:$B3446, 0)),if(G246='Room Info'!$C$1, INDEX('Room Info'!$A$2:$A3446, MATCH(B246,'Room Info'!$C$2:$C3446, 0)),if(G246='Room Info'!$D$1, INDEX('Room Info'!$A$2:$A3446, MATCH(B246,'Room Info'!$D$2:$D3446, 0)),if(G246='Room Info'!$E$1, INDEX('Room Info'!$A$2:$A3446, MATCH(B246,'Room Info'!$E$2:$E3446, 0)),if(G246='Room Info'!$F$1, INDEX('Room Info'!$A$2:$A3446, MATCH(B246,'Room Info'!$F$2:$F3446, 0)),if(G246='Room Info'!$H$1, INDEX('Room Info'!$A$2:$A3446, MATCH(B246,'Room Info'!$H$2:$H3446, 0)),if(G246='Room Info'!$G$1, INDEX('Room Info'!$A$2:$A3446, MATCH(B246,'Room Info'!$G$2:$G3446, 0)))))))))</f>
        <v>Lo4io</v>
      </c>
      <c r="B246" s="50" t="s">
        <v>158</v>
      </c>
      <c r="C246" s="51">
        <v>44794.0</v>
      </c>
      <c r="D246" s="51">
        <v>44824.0</v>
      </c>
      <c r="E246" s="52">
        <v>44805.0</v>
      </c>
      <c r="F246" s="53" t="s">
        <v>4</v>
      </c>
      <c r="G246" s="50" t="s">
        <v>9</v>
      </c>
      <c r="H246" s="54" t="s">
        <v>80</v>
      </c>
      <c r="I246" s="54" t="s">
        <v>7</v>
      </c>
      <c r="J246" s="55">
        <v>50.0</v>
      </c>
      <c r="K246" s="56">
        <v>1679.0</v>
      </c>
      <c r="L246" s="57">
        <v>-3600.0</v>
      </c>
      <c r="M246" s="58">
        <v>2737.0</v>
      </c>
      <c r="N246" s="33">
        <f t="shared" si="13"/>
        <v>83950</v>
      </c>
      <c r="O246" s="59">
        <v>64197.0</v>
      </c>
      <c r="P246" s="34">
        <f t="shared" si="14"/>
        <v>38.23525908</v>
      </c>
      <c r="Q246" s="60"/>
      <c r="R246" s="36">
        <f t="shared" si="45"/>
        <v>2737</v>
      </c>
      <c r="S246" s="61">
        <v>-1373.0</v>
      </c>
      <c r="T246" s="37">
        <f t="shared" si="46"/>
        <v>1364</v>
      </c>
      <c r="U246" s="62">
        <v>1.0</v>
      </c>
      <c r="V246" s="63"/>
      <c r="W246" s="63"/>
      <c r="X246" s="83">
        <v>0.25</v>
      </c>
      <c r="Y246" s="35">
        <f>if(AG246="None",0,if(AG246="Fix5",0.05, if(AG246="Fix6.25",0.0625,if(AG246="Fix3.75",0.0375,if(AG246="Fix10",0.1,if(AG246="Fix3",0.03,0))))))</f>
        <v>0</v>
      </c>
      <c r="Z246" s="40">
        <f t="shared" si="47"/>
        <v>1023</v>
      </c>
      <c r="AA246" s="34">
        <f t="shared" si="48"/>
        <v>341</v>
      </c>
      <c r="AB246" s="41">
        <f t="shared" si="49"/>
        <v>0</v>
      </c>
      <c r="AC246" s="42" t="b">
        <v>1</v>
      </c>
      <c r="AD246" s="42" t="s">
        <v>138</v>
      </c>
      <c r="AE246" s="42" t="s">
        <v>138</v>
      </c>
      <c r="AF246" s="42" t="str">
        <f t="array" ref="AF246">INDEX('Deal Info'!D:D, MATCH(A246,'Deal Info'!A:A, 0))</f>
        <v>DoEVLo</v>
      </c>
      <c r="AG246" s="43" t="str">
        <f t="array" ref="AG246">INDEX('Deal Info'!G:G, MATCH(A246,'Deal Info'!A:A, 0))</f>
        <v>None</v>
      </c>
    </row>
    <row r="247" hidden="1">
      <c r="A247" s="23" t="str">
        <f t="array" ref="A247">if(G247='Room Info'!$B$1, INDEX('Room Info'!$A$2:$A3446, MATCH(B247,'Room Info'!$B$2:$B3446, 0)),if(G247='Room Info'!$C$1, INDEX('Room Info'!$A$2:$A3446, MATCH(B247,'Room Info'!$C$2:$C3446, 0)),if(G247='Room Info'!$D$1, INDEX('Room Info'!$A$2:$A3446, MATCH(B247,'Room Info'!$D$2:$D3446, 0)),if(G247='Room Info'!$E$1, INDEX('Room Info'!$A$2:$A3446, MATCH(B247,'Room Info'!$E$2:$E3446, 0)),if(G247='Room Info'!$F$1, INDEX('Room Info'!$A$2:$A3446, MATCH(B247,'Room Info'!$F$2:$F3446, 0)),if(G247='Room Info'!$H$1, INDEX('Room Info'!$A$2:$A3446, MATCH(B247,'Room Info'!$H$2:$H3446, 0)),if(G247='Room Info'!$G$1, INDEX('Room Info'!$A$2:$A3446, MATCH(B247,'Room Info'!$G$2:$G3446, 0)))))))))</f>
        <v>Freedoom</v>
      </c>
      <c r="B247" s="50" t="s">
        <v>159</v>
      </c>
      <c r="C247" s="51">
        <v>44470.0</v>
      </c>
      <c r="D247" s="51">
        <v>44500.0</v>
      </c>
      <c r="E247" s="52">
        <v>44470.0</v>
      </c>
      <c r="F247" s="53" t="s">
        <v>8</v>
      </c>
      <c r="G247" s="50" t="s">
        <v>9</v>
      </c>
      <c r="H247" s="54" t="s">
        <v>66</v>
      </c>
      <c r="I247" s="54" t="s">
        <v>7</v>
      </c>
      <c r="J247" s="55">
        <v>25.0</v>
      </c>
      <c r="K247" s="56">
        <v>1737.0</v>
      </c>
      <c r="L247" s="57">
        <v>-1450.0</v>
      </c>
      <c r="M247" s="58">
        <v>1224.0</v>
      </c>
      <c r="N247" s="33">
        <f t="shared" si="13"/>
        <v>43425</v>
      </c>
      <c r="O247" s="59">
        <v>110070.0</v>
      </c>
      <c r="P247" s="34">
        <f t="shared" si="14"/>
        <v>63.36787565</v>
      </c>
      <c r="Q247" s="60"/>
      <c r="R247" s="36">
        <f t="shared" si="45"/>
        <v>1224</v>
      </c>
      <c r="S247" s="61">
        <v>729.0</v>
      </c>
      <c r="T247" s="37">
        <f t="shared" si="46"/>
        <v>1953</v>
      </c>
      <c r="U247" s="62">
        <v>1.0</v>
      </c>
      <c r="V247" s="63"/>
      <c r="W247" s="63"/>
      <c r="X247" s="35">
        <f t="shared" ref="X247:X372" si="55">IF(AF247="DoEV",IF(AND(V247&lt;20,W247&lt;55),0.3,0)+IF(AND(V247&lt;20,W247&gt;=55,W247&lt;105),0.23,0)+IF(AND(V247&lt;20,W247&gt;=105),0.17,0)+IF(AND(V247&gt;=20,V247&lt;40,W247&lt;45),0.3,0)+IF(AND(V247&gt;=20,V247&lt;40,W247&gt;=45,W247&lt;95),0.23,0)+IF(AND(V247&gt;=20,V247&lt;40,W247&gt;=95),0.17,0)+IF(AND(V247&gt;=40,V247&lt;75,W247&lt;35),0.3,0)+IF(AND(V247&gt;=40,V247&lt;75,W247&gt;=35,W247&lt;75),0.23,0)+IF(AND(V247&gt;=40,V247&lt;75,W247&gt;=75,W247&lt;120),0.17,0)+IF(AND(V247&gt;=40,V247&lt;75,W247&gt;=120),0.12,0)+IF(AND(V247&gt;=75,V247&lt;175,W247&lt;35),0.3,0)+IF(AND(V247&gt;=75,V247&lt;=175,W247&gt;=35,W247&lt;65),0.23,0)+IF(AND(V247&gt;=75,V247&lt;=175,W247&gt;=65,W247&lt;110),0.17,0)+IF(AND(V247&gt;=75,V247&lt;=175,W247&gt;=110),0.12,0)+IF(AND(V247&gt;175,W247&lt;25),0.3,0)+IF(AND(V247&gt;175,W247&gt;=25,W247&lt;55),0.23,0)+IF(AND(V247&gt;175,W247&gt;=55,W247&lt;95),0.17,0)+IF(AND(V247&gt;175,W247&gt;=95),0.12,0),
IF(AF247="Fix15",0.15,
IF(AF247="Fix11.25",0.1125,
IF(AF247="Fix10",0.1,
IF(AF247="Fix9",0.09,
IF(AF247="DoEV2017",IF(AND(W247&lt;74),0.2,0)+IF(AND(W247&gt;=74),0.17,0),
IF(AF247="SF",IF(AND(V247&lt;20,W247&lt;89),0.3,0)+IF(AND(V247&lt;20,W247&gt;=89),0.25,0)+IF(AND(V247&gt;=20,V247&lt;40,W247&lt;74),0.3,0)+IF(AND(V247&gt;=20,V247&lt;40,W247&gt;=75),0.22,0)+IF(AND(V247&gt;=40,V247&lt;75,W247&lt;75),0.26,0)+IF(AND(V247&gt;=40,V247&lt;75,W247&gt;=75),0.22,0)+IF(V247&gt;=75,0.22,0),
IF(AF247="DoEVold",IF(AND(V247&lt;40,W247&lt;35),0.35,0)+IF(AND(V247&lt;40,W247&gt;=35,W247&lt;75),0.25,0)+IF(AND(V247&lt;40,W247&gt;=75),0.17,0)+IF(AND(V247&gt;=40,V247&lt;75,W247&lt;25),0.35,0)+IF(AND(V247&gt;=40,V247&lt;75,W247&gt;=25,W247&lt;65),0.25,0)+IF(AND(V247&gt;=40,V247&lt;75,W247&gt;=65,W247&lt;100),0.17,0)+IF(AND(V247&gt;=40,V247&lt;75,W247&gt;=100),0.1,0)+IF(AND(V247&gt;=75,W247&lt;25),0.35,0)+IF(AND(V247&gt;=75,W247&gt;=25,W247&lt;60),0.25,0)+IF(AND(V247&gt;=75,W247&gt;=60,W247&lt;95),0.17,0)+IF(AND(V247&gt;=75,W247&gt;=95),0.1,0),
IF(AF247="DoEVold15",IF(AND(V247&lt;=40,W247&lt;35),0.35,0)+IF(AND(V247&lt;=40,W247&gt;=35,W247&lt;75),0.25,0)+IF(AND(V247&lt;=40,W247&gt;=75,W247&lt;120),0.17,0)+IF(AND(V247&lt;=40,W247&gt;=120),0.15,0)+IF(AND(V247&gt;40,V247&lt;75,W247&lt;25),0.35,0)+IF(AND(V247&gt;=40,V247&lt;75,W247&gt;=25,W247&lt;65),0.25,0)+IF(AND(V247&gt;=40,V247&lt;75,W247&gt;=65,W247&lt;100),0.17,0)+IF(AND(V247&gt;=40,V247&lt;75,W247&gt;=100),0.1,0)+IF(AND(V247&gt;=75,W247&lt;25),0.35,0)+IF(AND(V247&gt;=75,W247&gt;=25,W247&lt;60),0.25,0)+IF(AND(V247&gt;=75,W247&gt;=60,W247&lt;95),0.17,0)+IF(AND(V247&gt;=75,W247&gt;=95),0.1,0),
IF(AF247="DoEVba",IF(AND(V247&lt;20,W247&lt;105),0.2,0)+IF(AND(V247&lt;20,W247&gt;=105),0.15,0)+IF(AND(V247&gt;=20,V247&lt;40,W247&lt;95),0.2,0)+IF(AND(V247&gt;=20,V247&lt;40,W247&gt;=95,W247&lt;150),0.15,0)+IF(AND(V247&gt;=20,V247&lt;40,W247&gt;=150),0.12,0)+IF(AND(V247&gt;=40,V247&lt;75,W247&lt;75),0.2,0)+IF(AND(V247&gt;=40,V247&lt;75,W247&gt;=75,W247&lt;120),0.15,0)+IF(AND(V247&gt;=40,V247&lt;75,W247&gt;=120),0.12,0)+IF(AND(V247&gt;=75,V247&lt;175,W247&lt;65),0.2,0)+IF(AND(V247&gt;=75,V247&lt;175,W247&gt;=65,W247&lt;110),0.15,0)+IF(AND(V247&gt;=75,V247&lt;175,W247&gt;=110),0.12,0)+IF(AND(V247&gt;=175,W247&lt;55),0.2,0)+IF(AND(V247&gt;=175,W247&gt;=55,W247&lt;95),0.15,0)+IF(AND(V247&gt;=175,W247&gt;=95),0.12,0),
IF(AF247="DoEVku",IF(AND(V247&lt;20,W247&lt;55),0.23,0)+IF(AND(V247&lt;20,W247&gt;=55,W247&lt;105),0.2,0)+IF(AND(V247&lt;20,W247&gt;=105),0.17,0)+IF(AND(V247&gt;=20,V247&lt;40,W247&lt;45),0.23,0)+IF(AND(V247&gt;=20,V247&lt;40,W247&gt;=45,W247&lt;95),0.2,0)+IF(AND(V247&gt;=20,V247&lt;40,W247&gt;=95,W247&lt;=150),0.17,0)+IF(AND(V247&gt;=20,V247&lt;40,W247&gt;=150),0.12,0)+IF(AND(V247&gt;=40,V247&lt;75,W247&lt;35),0.23,0)+IF(AND(V247&gt;=40,V247&lt;75,W247&gt;=35,W247&lt;75),0.2,0)+IF(AND(V247&gt;=40,V247&lt;75,W247&gt;=75,W247&lt;120),0.17,0)+IF(AND(V247&gt;=40,V247&lt;75,W247&gt;=120),0.12,0)+IF(AND(V247&gt;=75,V247&lt;175,W247&lt;35),0.23,0)+IF(AND(V247&gt;=75,V247&lt;=175,W247&gt;=35,W247&lt;65),0.2,0)+IF(AND(V247&gt;=75,V247&lt;=175,W247&gt;=65,W247&lt;110),0.17,0)+IF(AND(V247&gt;=75,V247&lt;=175,W247&gt;=110),0.12,0)+IF(AND(V247&gt;175,W247&lt;25),0.23,0)+IF(AND(V247&gt;175,W247&gt;=25,W247&lt;55),0.2,0)+IF(AND(V247&gt;175,W247&gt;=55,W247&lt;95),0.17,0)+IF(AND(V247&gt;175,W247&gt;=95),0.12,0),
IF(AF247="DoEVs1",IF(AND(V247&lt;20,W247&lt;55),0.3,0)+IF(AND(V247&lt;20,W247&gt;=55,W247&lt;105),0.23,0)+IF(AND(V247&lt;20,W247&gt;=105),0.17,0)+IF(AND(V247&gt;=20,V247&lt;40,W247&lt;45),0.3,0)+IF(AND(V247&gt;=20,V247&lt;40,W247&gt;=45,W247&lt;95),0.23,0)+IF(AND(V247&gt;=20,V247&lt;40,W247&gt;=95,W247&lt;=150),0.17,0)+IF(AND(V247&gt;=20,V247&lt;40,W247&gt;=150),0.12,0)+IF(AND(V247&gt;=40,V247&lt;75,W247&lt;35),0.3,0)+IF(AND(V247&gt;=40,V247&lt;75,W247&gt;=35,W247&lt;75),0.23,0)+IF(AND(V247&gt;=40,V247&lt;75,W247&gt;=75,W247&lt;120),0.17,0)+IF(AND(V247&gt;=40,V247&lt;75,W247&gt;=120),0.12,0)+IF(AND(V247&gt;=75,V247&lt;175,W247&lt;35),0.3,0)+IF(AND(V247&gt;=75,V247&lt;=175,W247&gt;=35,W247&lt;65),0.23,0)+IF(AND(V247&gt;=75,V247&lt;=175,W247&gt;=65,W247&lt;110),0.17,0)+IF(AND(V247&gt;=75,V247&lt;=175,W247&gt;=110),0.12,0)+IF(AND(V247&gt;175,W247&lt;25),0.3,0)+IF(AND(V247&gt;175,W247&gt;=25,W247&lt;55),0.23,0)+IF(AND(V247&gt;175,W247&gt;=55,W247&lt;95),0.17,0)+IF(AND(V247&gt;175,W247&gt;=95),0.12,0),
IF(AF247="DoEVsu",IF(AND(V247&lt;20,W247&lt;55),0.3,0)+IF(AND(V247&lt;20,W247&gt;=55,W247&lt;105),0.23,0)+IF(AND(V247&lt;20,W247&gt;=105),0.17,0)+IF(AND(V247&gt;=20,V247&lt;40,W247&lt;45),0.3,0)+IF(AND(V247&gt;=20,V247&lt;40,W247&gt;=45,W247&lt;95),0.23,0)+IF(AND(V247&gt;=20,V247&lt;40,W247&gt;=95,W247&lt;=250),0.17,0)+IF(AND(V247&gt;=20,V247&lt;40,W247&gt;=250),0.12,0)+IF(AND(V247&gt;=40,V247&lt;75,W247&lt;35),0.3,0)+IF(AND(V247&gt;=40,V247&lt;75,W247&gt;=35,W247&lt;75),0.23,0)+IF(AND(V247&gt;=40,V247&lt;75,W247&gt;=75,W247&lt;120),0.17,0)+IF(AND(V247&gt;=40,V247&lt;75,W247&gt;=120),0.12,0)+IF(AND(V247&gt;=75,V247&lt;175,W247&lt;35),0.3,0)+IF(AND(V247&gt;=75,V247&lt;=175,W247&gt;=35,W247&lt;65),0.23,0)+IF(AND(V247&gt;=75,V247&lt;=175,W247&gt;=65,W247&lt;110),0.17,0)+IF(AND(V247&gt;=75,V247&lt;=175,W247&gt;=110),0.12,0)+IF(AND(V247&gt;175,W247&lt;25),0.3,0)+IF(AND(V247&gt;175,W247&gt;=25,W247&lt;55),0.23,0)+IF(AND(V247&gt;175,W247&gt;=55,W247&lt;95),0.17,0)+IF(AND(V247&gt;175,W247&gt;=95),0.12,0),
IF(AF247="DoEVni",IF(AND(V247&lt;20,W247&lt;55),0.3,0)+IF(AND(V247&lt;20,W247&gt;=55,W247&lt;105),0.23,0)+IF(AND(V247&lt;20,W247&gt;=105),0.17,0)+IF(AND(V247&gt;=20,V247&lt;40,W247&lt;45),0.3,0)+IF(AND(V247&gt;=20,V247&lt;40,W247&gt;=45,W247&lt;95),0.23,0)+IF(AND(V247&gt;=20,V247&lt;40,W247&gt;=95,W247&lt;=200),0.17,0)+IF(AND(V247&gt;=20,V247&lt;40,W247&gt;=200),0.12,0)+IF(AND(V247&gt;=40,V247&lt;75,W247&lt;35),0.3,0)+IF(AND(V247&gt;=40,V247&lt;75,W247&gt;=35,W247&lt;75),0.23,0)+IF(AND(V247&gt;=40,V247&lt;75,W247&gt;=75,W247&lt;120),0.17,0)+IF(AND(V247&gt;=40,V247&lt;75,W247&gt;=120),0.12,0)+IF(AND(V247&gt;=75,V247&lt;175,W247&lt;35),0.3,0)+IF(AND(V247&gt;=75,V247&lt;=175,W247&gt;=35,W247&lt;65),0.23,0)+IF(AND(V247&gt;=75,V247&lt;=175,W247&gt;=65,W247&lt;110),0.17,0)+IF(AND(V247&gt;=75,V247&lt;=175,W247&gt;=110),0.12,0)+IF(AND(V247&gt;175,W247&lt;25),0.3,0)+IF(AND(V247&gt;175,W247&gt;=25,W247&lt;55),0.23,0)+IF(AND(V247&gt;175,W247&gt;=55,W247&lt;95),0.17,0)+IF(AND(V247&gt;175,W247&gt;=95),0.12,0),
IF(AF247="DoEVLo",IF(AND(V247&lt;20,W247&lt;55),0.25,0)+IF(AND(V247&lt;20,W247&gt;=55,W247&lt;105),0.2,0)+IF(AND(V247&lt;20,W247&gt;=105),0.15,0)+IF(AND(V247&gt;=20,V247&lt;40,W247&lt;45),0.25,0)+IF(AND(V247&gt;=20,V247&lt;40,W247&gt;=45,W247&lt;95),0.2,0)+IF(AND(V247&gt;=20,V247&lt;40,W247&gt;=95),0.15,0)+IF(AND(V247&gt;=40,V247&lt;75,W247&lt;35),0.25,0)+IF(AND(V247&gt;=40,V247&lt;75,W247&gt;=35,W247&lt;75),0.2,0)+IF(AND(V247&gt;=40,V247&lt;75,W247&gt;=75,W247&lt;120),0.15,0)+IF(AND(V247&gt;=40,V247&lt;75,W247&gt;=120),0.1,0)+IF(AND(V247&gt;=75,V247&lt;175,W247&lt;35),0.25,0)+IF(AND(V247&gt;=75,V247&lt;=175,W247&gt;=35,W247&lt;65),0.2,0)+IF(AND(V247&gt;=75,V247&lt;=175,W247&gt;=65,W247&lt;110),0.15,0)+IF(AND(V247&gt;=75,V247&lt;=175,W247&gt;=110),0.1,0)+IF(AND(V247&gt;175,W247&lt;25),0.25,0)+IF(AND(V247&gt;175,W247&gt;=25,W247&lt;55),0.2,0)+IF(AND(V247&gt;175,W247&gt;=55,W247&lt;95),0.15,0)+IF(AND(V247&gt;175,W247&gt;=95),0.1,0))))))))))))))))</f>
        <v>0.35</v>
      </c>
      <c r="Y247" s="35">
        <f t="shared" ref="Y247:Y372" si="56">if(AG247="None",0,if(AG247="Fix5",0.05,if(AG247="Fix3.75",0.0375,if(AG247="Fix10",0.1,if(AG247="Fix3",0.03,0)))))</f>
        <v>0</v>
      </c>
      <c r="Z247" s="64">
        <v>1621.0</v>
      </c>
      <c r="AA247" s="65">
        <v>332.0</v>
      </c>
      <c r="AB247" s="41">
        <f t="shared" si="49"/>
        <v>0</v>
      </c>
      <c r="AC247" s="42" t="b">
        <v>1</v>
      </c>
      <c r="AD247" s="42" t="s">
        <v>138</v>
      </c>
      <c r="AE247" s="42" t="s">
        <v>138</v>
      </c>
      <c r="AF247" s="42" t="str">
        <f t="array" ref="AF247">INDEX('Deal Info'!D:D, MATCH(A247,'Deal Info'!A:A, 0))</f>
        <v>DoEVold</v>
      </c>
      <c r="AG247" s="43" t="str">
        <f t="array" ref="AG247">INDEX('Deal Info'!G:G, MATCH(A247,'Deal Info'!A:A, 0))</f>
        <v>None</v>
      </c>
    </row>
    <row r="248" hidden="1">
      <c r="A248" s="23" t="str">
        <f t="array" ref="A248">if(G248='Room Info'!$B$1, INDEX('Room Info'!$A$2:$A3446, MATCH(B248,'Room Info'!$B$2:$B3446, 0)),if(G248='Room Info'!$C$1, INDEX('Room Info'!$A$2:$A3446, MATCH(B248,'Room Info'!$C$2:$C3446, 0)),if(G248='Room Info'!$D$1, INDEX('Room Info'!$A$2:$A3446, MATCH(B248,'Room Info'!$D$2:$D3446, 0)),if(G248='Room Info'!$E$1, INDEX('Room Info'!$A$2:$A3446, MATCH(B248,'Room Info'!$E$2:$E3446, 0)),if(G248='Room Info'!$F$1, INDEX('Room Info'!$A$2:$A3446, MATCH(B248,'Room Info'!$F$2:$F3446, 0)),if(G248='Room Info'!$H$1, INDEX('Room Info'!$A$2:$A3446, MATCH(B248,'Room Info'!$H$2:$H3446, 0)),if(G248='Room Info'!$G$1, INDEX('Room Info'!$A$2:$A3446, MATCH(B248,'Room Info'!$G$2:$G3446, 0)))))))))</f>
        <v>Lo4io</v>
      </c>
      <c r="B248" s="50" t="s">
        <v>158</v>
      </c>
      <c r="C248" s="82">
        <v>44672.0</v>
      </c>
      <c r="D248" s="82">
        <v>44701.0</v>
      </c>
      <c r="E248" s="52">
        <v>44682.0</v>
      </c>
      <c r="F248" s="53" t="s">
        <v>4</v>
      </c>
      <c r="G248" s="50" t="s">
        <v>9</v>
      </c>
      <c r="H248" s="54" t="s">
        <v>78</v>
      </c>
      <c r="I248" s="54" t="s">
        <v>7</v>
      </c>
      <c r="J248" s="79">
        <v>50.0</v>
      </c>
      <c r="K248" s="80">
        <v>557.0</v>
      </c>
      <c r="L248" s="77">
        <v>475.0</v>
      </c>
      <c r="M248" s="81">
        <v>200.0</v>
      </c>
      <c r="N248" s="33">
        <f t="shared" si="13"/>
        <v>27850</v>
      </c>
      <c r="O248" s="50">
        <v>31649.0</v>
      </c>
      <c r="P248" s="34">
        <f t="shared" si="14"/>
        <v>56.82046679</v>
      </c>
      <c r="Q248" s="60"/>
      <c r="R248" s="36">
        <f t="shared" si="45"/>
        <v>200</v>
      </c>
      <c r="S248" s="78">
        <v>388.0</v>
      </c>
      <c r="T248" s="37">
        <f t="shared" si="46"/>
        <v>588</v>
      </c>
      <c r="U248" s="62">
        <v>1.055</v>
      </c>
      <c r="V248" s="74">
        <v>27.072653884964684</v>
      </c>
      <c r="W248" s="74">
        <v>68.03913675500391</v>
      </c>
      <c r="X248" s="35">
        <f t="shared" si="55"/>
        <v>0.2</v>
      </c>
      <c r="Y248" s="35">
        <f t="shared" si="56"/>
        <v>0</v>
      </c>
      <c r="Z248" s="40">
        <f t="shared" ref="Z248:Z422" si="57">T248-AA248-AB248</f>
        <v>466.132</v>
      </c>
      <c r="AA248" s="34">
        <f t="shared" ref="AA248:AA353" si="58">if(AD248="EUR",((T248-R248)*X248)*U248+(R248*X248),(T248*X248))</f>
        <v>121.868</v>
      </c>
      <c r="AB248" s="41">
        <f t="shared" si="49"/>
        <v>0</v>
      </c>
      <c r="AC248" s="42" t="b">
        <v>1</v>
      </c>
      <c r="AD248" s="66" t="s">
        <v>140</v>
      </c>
      <c r="AE248" s="66"/>
      <c r="AF248" s="42" t="str">
        <f t="array" ref="AF248">INDEX('Deal Info'!D:D, MATCH(A248,'Deal Info'!A:A, 0))</f>
        <v>DoEVLo</v>
      </c>
      <c r="AG248" s="43" t="str">
        <f t="array" ref="AG248">INDEX('Deal Info'!G:G, MATCH(A248,'Deal Info'!A:A, 0))</f>
        <v>None</v>
      </c>
    </row>
    <row r="249" hidden="1">
      <c r="A249" s="23" t="str">
        <f t="array" ref="A249">if(G249='Room Info'!$B$1, INDEX('Room Info'!$A$2:$A3446, MATCH(B249,'Room Info'!$B$2:$B3446, 0)),if(G249='Room Info'!$C$1, INDEX('Room Info'!$A$2:$A3446, MATCH(B249,'Room Info'!$C$2:$C3446, 0)),if(G249='Room Info'!$D$1, INDEX('Room Info'!$A$2:$A3446, MATCH(B249,'Room Info'!$D$2:$D3446, 0)),if(G249='Room Info'!$E$1, INDEX('Room Info'!$A$2:$A3446, MATCH(B249,'Room Info'!$E$2:$E3446, 0)),if(G249='Room Info'!$F$1, INDEX('Room Info'!$A$2:$A3446, MATCH(B249,'Room Info'!$F$2:$F3446, 0)),if(G249='Room Info'!$H$1, INDEX('Room Info'!$A$2:$A3446, MATCH(B249,'Room Info'!$H$2:$H3446, 0)),if(G249='Room Info'!$G$1, INDEX('Room Info'!$A$2:$A3446, MATCH(B249,'Room Info'!$G$2:$G3446, 0)))))))))</f>
        <v>Lo4io</v>
      </c>
      <c r="B249" s="50" t="s">
        <v>156</v>
      </c>
      <c r="C249" s="51">
        <v>44916.0</v>
      </c>
      <c r="D249" s="51">
        <v>44946.0</v>
      </c>
      <c r="E249" s="52">
        <v>44927.0</v>
      </c>
      <c r="F249" s="53" t="s">
        <v>4</v>
      </c>
      <c r="G249" s="50" t="s">
        <v>5</v>
      </c>
      <c r="H249" s="54" t="s">
        <v>74</v>
      </c>
      <c r="I249" s="54" t="s">
        <v>7</v>
      </c>
      <c r="J249" s="55">
        <v>50.0</v>
      </c>
      <c r="K249" s="56">
        <v>859.0</v>
      </c>
      <c r="L249" s="57">
        <v>-150.0</v>
      </c>
      <c r="M249" s="58">
        <v>1108.0</v>
      </c>
      <c r="N249" s="33">
        <f t="shared" si="13"/>
        <v>42950</v>
      </c>
      <c r="O249" s="59">
        <v>11921.0</v>
      </c>
      <c r="P249" s="34">
        <f t="shared" si="14"/>
        <v>13.87776484</v>
      </c>
      <c r="Q249" s="60"/>
      <c r="R249" s="36">
        <f t="shared" si="45"/>
        <v>1108</v>
      </c>
      <c r="S249" s="61">
        <v>-1561.0</v>
      </c>
      <c r="T249" s="37">
        <f t="shared" si="46"/>
        <v>-453</v>
      </c>
      <c r="U249" s="62">
        <v>1.0</v>
      </c>
      <c r="V249" s="74">
        <v>43.526543878656554</v>
      </c>
      <c r="W249" s="74">
        <v>93.73590541381456</v>
      </c>
      <c r="X249" s="35">
        <f t="shared" si="55"/>
        <v>0.15</v>
      </c>
      <c r="Y249" s="35">
        <f t="shared" si="56"/>
        <v>0</v>
      </c>
      <c r="Z249" s="40">
        <f t="shared" si="57"/>
        <v>-385.05</v>
      </c>
      <c r="AA249" s="34">
        <f t="shared" si="58"/>
        <v>-67.95</v>
      </c>
      <c r="AB249" s="41">
        <f t="shared" si="49"/>
        <v>0</v>
      </c>
      <c r="AC249" s="42" t="b">
        <v>1</v>
      </c>
      <c r="AD249" s="42" t="s">
        <v>138</v>
      </c>
      <c r="AE249" s="42" t="s">
        <v>138</v>
      </c>
      <c r="AF249" s="42" t="str">
        <f t="array" ref="AF249">INDEX('Deal Info'!D:D, MATCH(A249,'Deal Info'!A:A, 0))</f>
        <v>DoEVLo</v>
      </c>
      <c r="AG249" s="43" t="str">
        <f t="array" ref="AG249">INDEX('Deal Info'!G:G, MATCH(A249,'Deal Info'!A:A, 0))</f>
        <v>None</v>
      </c>
    </row>
    <row r="250" hidden="1">
      <c r="A250" s="23" t="str">
        <f t="array" ref="A250">if(G250='Room Info'!$B$1, INDEX('Room Info'!$A$2:$A3446, MATCH(B250,'Room Info'!$B$2:$B3446, 0)),if(G250='Room Info'!$C$1, INDEX('Room Info'!$A$2:$A3446, MATCH(B250,'Room Info'!$C$2:$C3446, 0)),if(G250='Room Info'!$D$1, INDEX('Room Info'!$A$2:$A3446, MATCH(B250,'Room Info'!$D$2:$D3446, 0)),if(G250='Room Info'!$E$1, INDEX('Room Info'!$A$2:$A3446, MATCH(B250,'Room Info'!$E$2:$E3446, 0)),if(G250='Room Info'!$F$1, INDEX('Room Info'!$A$2:$A3446, MATCH(B250,'Room Info'!$F$2:$F3446, 0)),if(G250='Room Info'!$H$1, INDEX('Room Info'!$A$2:$A3446, MATCH(B250,'Room Info'!$H$2:$H3446, 0)),if(G250='Room Info'!$G$1, INDEX('Room Info'!$A$2:$A3446, MATCH(B250,'Room Info'!$G$2:$G3446, 0)))))))))</f>
        <v>Lo4io</v>
      </c>
      <c r="B250" s="50" t="s">
        <v>156</v>
      </c>
      <c r="C250" s="97">
        <v>44916.0</v>
      </c>
      <c r="D250" s="51">
        <v>44946.0</v>
      </c>
      <c r="E250" s="52">
        <v>44927.0</v>
      </c>
      <c r="F250" s="53" t="s">
        <v>4</v>
      </c>
      <c r="G250" s="50" t="s">
        <v>5</v>
      </c>
      <c r="H250" s="54" t="s">
        <v>75</v>
      </c>
      <c r="I250" s="54" t="s">
        <v>11</v>
      </c>
      <c r="J250" s="75">
        <v>50.0</v>
      </c>
      <c r="K250" s="76">
        <v>1.0</v>
      </c>
      <c r="L250" s="57">
        <v>-50.0</v>
      </c>
      <c r="M250" s="58">
        <v>1.0</v>
      </c>
      <c r="N250" s="33">
        <f t="shared" si="13"/>
        <v>50</v>
      </c>
      <c r="O250" s="59">
        <v>-163.0</v>
      </c>
      <c r="P250" s="34">
        <f t="shared" si="14"/>
        <v>-163</v>
      </c>
      <c r="Q250" s="60"/>
      <c r="R250" s="36">
        <f t="shared" si="45"/>
        <v>1</v>
      </c>
      <c r="S250" s="61">
        <v>-28.0</v>
      </c>
      <c r="T250" s="37">
        <f t="shared" si="46"/>
        <v>-27</v>
      </c>
      <c r="U250" s="62">
        <v>1.0</v>
      </c>
      <c r="V250" s="74">
        <v>43.526543878656554</v>
      </c>
      <c r="W250" s="74">
        <v>93.73590541381456</v>
      </c>
      <c r="X250" s="35">
        <f t="shared" si="55"/>
        <v>0.15</v>
      </c>
      <c r="Y250" s="35">
        <f t="shared" si="56"/>
        <v>0</v>
      </c>
      <c r="Z250" s="40">
        <f t="shared" si="57"/>
        <v>-22.95</v>
      </c>
      <c r="AA250" s="34">
        <f t="shared" si="58"/>
        <v>-4.05</v>
      </c>
      <c r="AB250" s="41">
        <f t="shared" si="49"/>
        <v>0</v>
      </c>
      <c r="AC250" s="42" t="b">
        <v>1</v>
      </c>
      <c r="AD250" s="42" t="s">
        <v>138</v>
      </c>
      <c r="AE250" s="42" t="s">
        <v>138</v>
      </c>
      <c r="AF250" s="42" t="str">
        <f t="array" ref="AF250">INDEX('Deal Info'!D:D, MATCH(A250,'Deal Info'!A:A, 0))</f>
        <v>DoEVLo</v>
      </c>
      <c r="AG250" s="43" t="str">
        <f t="array" ref="AG250">INDEX('Deal Info'!G:G, MATCH(A250,'Deal Info'!A:A, 0))</f>
        <v>None</v>
      </c>
    </row>
    <row r="251" hidden="1">
      <c r="A251" s="23" t="str">
        <f t="array" ref="A251">if(G251='Room Info'!$B$1, INDEX('Room Info'!$A$2:$A3446, MATCH(B251,'Room Info'!$B$2:$B3446, 0)),if(G251='Room Info'!$C$1, INDEX('Room Info'!$A$2:$A3446, MATCH(B251,'Room Info'!$C$2:$C3446, 0)),if(G251='Room Info'!$D$1, INDEX('Room Info'!$A$2:$A3446, MATCH(B251,'Room Info'!$D$2:$D3446, 0)),if(G251='Room Info'!$E$1, INDEX('Room Info'!$A$2:$A3446, MATCH(B251,'Room Info'!$E$2:$E3446, 0)),if(G251='Room Info'!$F$1, INDEX('Room Info'!$A$2:$A3446, MATCH(B251,'Room Info'!$F$2:$F3446, 0)),if(G251='Room Info'!$H$1, INDEX('Room Info'!$A$2:$A3446, MATCH(B251,'Room Info'!$H$2:$H3446, 0)),if(G251='Room Info'!$G$1, INDEX('Room Info'!$A$2:$A3446, MATCH(B251,'Room Info'!$G$2:$G3446, 0)))))))))</f>
        <v>Lo4io</v>
      </c>
      <c r="B251" s="50" t="s">
        <v>156</v>
      </c>
      <c r="C251" s="97">
        <v>44916.0</v>
      </c>
      <c r="D251" s="51">
        <v>44946.0</v>
      </c>
      <c r="E251" s="52">
        <v>44927.0</v>
      </c>
      <c r="F251" s="53" t="s">
        <v>4</v>
      </c>
      <c r="G251" s="50" t="s">
        <v>5</v>
      </c>
      <c r="H251" s="54" t="s">
        <v>85</v>
      </c>
      <c r="I251" s="54" t="s">
        <v>7</v>
      </c>
      <c r="J251" s="75">
        <v>100.0</v>
      </c>
      <c r="K251" s="76">
        <v>19.0</v>
      </c>
      <c r="L251" s="57">
        <v>400.0</v>
      </c>
      <c r="M251" s="58">
        <v>41.0</v>
      </c>
      <c r="N251" s="33">
        <f t="shared" si="13"/>
        <v>1900</v>
      </c>
      <c r="O251" s="59">
        <v>1734.0</v>
      </c>
      <c r="P251" s="34">
        <f t="shared" si="14"/>
        <v>91.26315789</v>
      </c>
      <c r="Q251" s="60"/>
      <c r="R251" s="36">
        <f t="shared" si="45"/>
        <v>41</v>
      </c>
      <c r="S251" s="61">
        <v>226.0</v>
      </c>
      <c r="T251" s="37">
        <f t="shared" si="46"/>
        <v>267</v>
      </c>
      <c r="U251" s="62">
        <v>1.0</v>
      </c>
      <c r="V251" s="74">
        <v>43.526543878656554</v>
      </c>
      <c r="W251" s="74">
        <v>93.73590541381456</v>
      </c>
      <c r="X251" s="35">
        <f t="shared" si="55"/>
        <v>0.15</v>
      </c>
      <c r="Y251" s="35">
        <f t="shared" si="56"/>
        <v>0</v>
      </c>
      <c r="Z251" s="40">
        <f t="shared" si="57"/>
        <v>226.95</v>
      </c>
      <c r="AA251" s="34">
        <f t="shared" si="58"/>
        <v>40.05</v>
      </c>
      <c r="AB251" s="41">
        <f t="shared" si="49"/>
        <v>0</v>
      </c>
      <c r="AC251" s="42" t="b">
        <v>1</v>
      </c>
      <c r="AD251" s="42" t="s">
        <v>138</v>
      </c>
      <c r="AE251" s="42" t="s">
        <v>138</v>
      </c>
      <c r="AF251" s="42" t="str">
        <f t="array" ref="AF251">INDEX('Deal Info'!D:D, MATCH(A251,'Deal Info'!A:A, 0))</f>
        <v>DoEVLo</v>
      </c>
      <c r="AG251" s="43" t="str">
        <f t="array" ref="AG251">INDEX('Deal Info'!G:G, MATCH(A251,'Deal Info'!A:A, 0))</f>
        <v>None</v>
      </c>
    </row>
    <row r="252" hidden="1">
      <c r="A252" s="23" t="str">
        <f t="array" ref="A252">if(G252='Room Info'!$B$1, INDEX('Room Info'!$A$2:$A3446, MATCH(B252,'Room Info'!$B$2:$B3446, 0)),if(G252='Room Info'!$C$1, INDEX('Room Info'!$A$2:$A3446, MATCH(B252,'Room Info'!$C$2:$C3446, 0)),if(G252='Room Info'!$D$1, INDEX('Room Info'!$A$2:$A3446, MATCH(B252,'Room Info'!$D$2:$D3446, 0)),if(G252='Room Info'!$E$1, INDEX('Room Info'!$A$2:$A3446, MATCH(B252,'Room Info'!$E$2:$E3446, 0)),if(G252='Room Info'!$F$1, INDEX('Room Info'!$A$2:$A3446, MATCH(B252,'Room Info'!$F$2:$F3446, 0)),if(G252='Room Info'!$H$1, INDEX('Room Info'!$A$2:$A3446, MATCH(B252,'Room Info'!$H$2:$H3446, 0)),if(G252='Room Info'!$G$1, INDEX('Room Info'!$A$2:$A3446, MATCH(B252,'Room Info'!$G$2:$G3446, 0)))))))))</f>
        <v>Mexanuk_AV</v>
      </c>
      <c r="B252" s="50" t="s">
        <v>160</v>
      </c>
      <c r="C252" s="97">
        <v>44337.0</v>
      </c>
      <c r="D252" s="51">
        <v>44367.0</v>
      </c>
      <c r="E252" s="52">
        <v>44348.0</v>
      </c>
      <c r="F252" s="53" t="s">
        <v>4</v>
      </c>
      <c r="G252" s="50" t="s">
        <v>5</v>
      </c>
      <c r="H252" s="54" t="s">
        <v>34</v>
      </c>
      <c r="I252" s="54" t="s">
        <v>7</v>
      </c>
      <c r="J252" s="75">
        <v>5.0</v>
      </c>
      <c r="K252" s="76">
        <v>1.0</v>
      </c>
      <c r="L252" s="57">
        <v>5.0</v>
      </c>
      <c r="M252" s="67"/>
      <c r="N252" s="33">
        <f t="shared" si="13"/>
        <v>5</v>
      </c>
      <c r="O252" s="59">
        <v>376.0</v>
      </c>
      <c r="P252" s="34">
        <f t="shared" si="14"/>
        <v>376</v>
      </c>
      <c r="Q252" s="60"/>
      <c r="R252" s="36">
        <f t="shared" si="45"/>
        <v>0</v>
      </c>
      <c r="S252" s="61">
        <v>3.0</v>
      </c>
      <c r="T252" s="37">
        <f t="shared" si="46"/>
        <v>3</v>
      </c>
      <c r="U252" s="62">
        <v>1.0</v>
      </c>
      <c r="V252" s="74">
        <v>9.997255762897915</v>
      </c>
      <c r="W252" s="74">
        <v>38.510568213011254</v>
      </c>
      <c r="X252" s="35">
        <f t="shared" si="55"/>
        <v>0.3</v>
      </c>
      <c r="Y252" s="35">
        <f t="shared" si="56"/>
        <v>0</v>
      </c>
      <c r="Z252" s="40">
        <f t="shared" si="57"/>
        <v>2.1</v>
      </c>
      <c r="AA252" s="34">
        <f t="shared" si="58"/>
        <v>0.9</v>
      </c>
      <c r="AB252" s="41">
        <f t="shared" si="49"/>
        <v>0</v>
      </c>
      <c r="AC252" s="42" t="b">
        <v>1</v>
      </c>
      <c r="AD252" s="42" t="s">
        <v>138</v>
      </c>
      <c r="AE252" s="42" t="s">
        <v>138</v>
      </c>
      <c r="AF252" s="42" t="str">
        <f t="array" ref="AF252">INDEX('Deal Info'!D:D, MATCH(A252,'Deal Info'!A:A, 0))</f>
        <v>SF</v>
      </c>
      <c r="AG252" s="43" t="str">
        <f t="array" ref="AG252">INDEX('Deal Info'!G:G, MATCH(A252,'Deal Info'!A:A, 0))</f>
        <v>None</v>
      </c>
    </row>
    <row r="253" hidden="1">
      <c r="A253" s="23" t="str">
        <f t="array" ref="A253">if(G253='Room Info'!$B$1, INDEX('Room Info'!$A$2:$A3446, MATCH(B253,'Room Info'!$B$2:$B3446, 0)),if(G253='Room Info'!$C$1, INDEX('Room Info'!$A$2:$A3446, MATCH(B253,'Room Info'!$C$2:$C3446, 0)),if(G253='Room Info'!$D$1, INDEX('Room Info'!$A$2:$A3446, MATCH(B253,'Room Info'!$D$2:$D3446, 0)),if(G253='Room Info'!$E$1, INDEX('Room Info'!$A$2:$A3446, MATCH(B253,'Room Info'!$E$2:$E3446, 0)),if(G253='Room Info'!$F$1, INDEX('Room Info'!$A$2:$A3446, MATCH(B253,'Room Info'!$F$2:$F3446, 0)),if(G253='Room Info'!$H$1, INDEX('Room Info'!$A$2:$A3446, MATCH(B253,'Room Info'!$H$2:$H3446, 0)),if(G253='Room Info'!$G$1, INDEX('Room Info'!$A$2:$A3446, MATCH(B253,'Room Info'!$G$2:$G3446, 0)))))))))</f>
        <v>Mexanuk_AV</v>
      </c>
      <c r="B253" s="50" t="s">
        <v>160</v>
      </c>
      <c r="C253" s="97">
        <v>44337.0</v>
      </c>
      <c r="D253" s="51">
        <v>44367.0</v>
      </c>
      <c r="E253" s="52">
        <v>44348.0</v>
      </c>
      <c r="F253" s="53" t="s">
        <v>4</v>
      </c>
      <c r="G253" s="50" t="s">
        <v>5</v>
      </c>
      <c r="H253" s="54" t="s">
        <v>45</v>
      </c>
      <c r="I253" s="54" t="s">
        <v>7</v>
      </c>
      <c r="J253" s="75">
        <v>10.0</v>
      </c>
      <c r="K253" s="76">
        <v>1132.0</v>
      </c>
      <c r="L253" s="57">
        <v>370.0</v>
      </c>
      <c r="M253" s="58">
        <v>14.0</v>
      </c>
      <c r="N253" s="33">
        <f t="shared" si="13"/>
        <v>11320</v>
      </c>
      <c r="O253" s="59">
        <v>64596.0</v>
      </c>
      <c r="P253" s="34">
        <f t="shared" si="14"/>
        <v>57.06360424</v>
      </c>
      <c r="Q253" s="60"/>
      <c r="R253" s="36">
        <f t="shared" si="45"/>
        <v>14</v>
      </c>
      <c r="S253" s="61">
        <v>359.0</v>
      </c>
      <c r="T253" s="37">
        <f t="shared" si="46"/>
        <v>373</v>
      </c>
      <c r="U253" s="62">
        <v>1.0</v>
      </c>
      <c r="V253" s="74">
        <v>9.997255762897915</v>
      </c>
      <c r="W253" s="74">
        <v>38.510568213011254</v>
      </c>
      <c r="X253" s="35">
        <f t="shared" si="55"/>
        <v>0.3</v>
      </c>
      <c r="Y253" s="35">
        <f t="shared" si="56"/>
        <v>0</v>
      </c>
      <c r="Z253" s="40">
        <f t="shared" si="57"/>
        <v>261.1</v>
      </c>
      <c r="AA253" s="34">
        <f t="shared" si="58"/>
        <v>111.9</v>
      </c>
      <c r="AB253" s="41">
        <f t="shared" si="49"/>
        <v>0</v>
      </c>
      <c r="AC253" s="42" t="b">
        <v>1</v>
      </c>
      <c r="AD253" s="42" t="s">
        <v>138</v>
      </c>
      <c r="AE253" s="42" t="s">
        <v>138</v>
      </c>
      <c r="AF253" s="42" t="str">
        <f t="array" ref="AF253">INDEX('Deal Info'!D:D, MATCH(A253,'Deal Info'!A:A, 0))</f>
        <v>SF</v>
      </c>
      <c r="AG253" s="43" t="str">
        <f t="array" ref="AG253">INDEX('Deal Info'!G:G, MATCH(A253,'Deal Info'!A:A, 0))</f>
        <v>None</v>
      </c>
    </row>
    <row r="254" hidden="1">
      <c r="A254" s="23" t="str">
        <f t="array" ref="A254">if(G254='Room Info'!$B$1, INDEX('Room Info'!$A$2:$A3446, MATCH(B254,'Room Info'!$B$2:$B3446, 0)),if(G254='Room Info'!$C$1, INDEX('Room Info'!$A$2:$A3446, MATCH(B254,'Room Info'!$C$2:$C3446, 0)),if(G254='Room Info'!$D$1, INDEX('Room Info'!$A$2:$A3446, MATCH(B254,'Room Info'!$D$2:$D3446, 0)),if(G254='Room Info'!$E$1, INDEX('Room Info'!$A$2:$A3446, MATCH(B254,'Room Info'!$E$2:$E3446, 0)),if(G254='Room Info'!$F$1, INDEX('Room Info'!$A$2:$A3446, MATCH(B254,'Room Info'!$F$2:$F3446, 0)),if(G254='Room Info'!$H$1, INDEX('Room Info'!$A$2:$A3446, MATCH(B254,'Room Info'!$H$2:$H3446, 0)),if(G254='Room Info'!$G$1, INDEX('Room Info'!$A$2:$A3446, MATCH(B254,'Room Info'!$G$2:$G3446, 0)))))))))</f>
        <v>Mexanuk_AV</v>
      </c>
      <c r="B254" s="50" t="s">
        <v>160</v>
      </c>
      <c r="C254" s="97">
        <v>44337.0</v>
      </c>
      <c r="D254" s="51">
        <v>44367.0</v>
      </c>
      <c r="E254" s="52">
        <v>44348.0</v>
      </c>
      <c r="F254" s="53" t="s">
        <v>4</v>
      </c>
      <c r="G254" s="50" t="s">
        <v>5</v>
      </c>
      <c r="H254" s="54" t="s">
        <v>46</v>
      </c>
      <c r="I254" s="54" t="s">
        <v>7</v>
      </c>
      <c r="J254" s="75">
        <v>10.0</v>
      </c>
      <c r="K254" s="76">
        <v>689.0</v>
      </c>
      <c r="L254" s="57">
        <v>-110.0</v>
      </c>
      <c r="M254" s="58">
        <v>10.0</v>
      </c>
      <c r="N254" s="33">
        <f t="shared" si="13"/>
        <v>6890</v>
      </c>
      <c r="O254" s="59">
        <v>31360.0</v>
      </c>
      <c r="P254" s="34">
        <f t="shared" si="14"/>
        <v>45.51523948</v>
      </c>
      <c r="Q254" s="60"/>
      <c r="R254" s="36">
        <f t="shared" si="45"/>
        <v>10</v>
      </c>
      <c r="S254" s="61">
        <v>-1.0</v>
      </c>
      <c r="T254" s="37">
        <f t="shared" si="46"/>
        <v>9</v>
      </c>
      <c r="U254" s="62">
        <v>1.0</v>
      </c>
      <c r="V254" s="74">
        <v>9.997255762897915</v>
      </c>
      <c r="W254" s="74">
        <v>38.510568213011254</v>
      </c>
      <c r="X254" s="35">
        <f t="shared" si="55"/>
        <v>0.3</v>
      </c>
      <c r="Y254" s="35">
        <f t="shared" si="56"/>
        <v>0</v>
      </c>
      <c r="Z254" s="40">
        <f t="shared" si="57"/>
        <v>6.3</v>
      </c>
      <c r="AA254" s="34">
        <f t="shared" si="58"/>
        <v>2.7</v>
      </c>
      <c r="AB254" s="41">
        <f t="shared" si="49"/>
        <v>0</v>
      </c>
      <c r="AC254" s="42" t="b">
        <v>1</v>
      </c>
      <c r="AD254" s="42" t="s">
        <v>138</v>
      </c>
      <c r="AE254" s="42" t="s">
        <v>138</v>
      </c>
      <c r="AF254" s="42" t="str">
        <f t="array" ref="AF254">INDEX('Deal Info'!D:D, MATCH(A254,'Deal Info'!A:A, 0))</f>
        <v>SF</v>
      </c>
      <c r="AG254" s="43" t="str">
        <f t="array" ref="AG254">INDEX('Deal Info'!G:G, MATCH(A254,'Deal Info'!A:A, 0))</f>
        <v>None</v>
      </c>
    </row>
    <row r="255" hidden="1">
      <c r="A255" s="23" t="str">
        <f t="array" ref="A255">if(G255='Room Info'!$B$1, INDEX('Room Info'!$A$2:$A3446, MATCH(B255,'Room Info'!$B$2:$B3446, 0)),if(G255='Room Info'!$C$1, INDEX('Room Info'!$A$2:$A3446, MATCH(B255,'Room Info'!$C$2:$C3446, 0)),if(G255='Room Info'!$D$1, INDEX('Room Info'!$A$2:$A3446, MATCH(B255,'Room Info'!$D$2:$D3446, 0)),if(G255='Room Info'!$E$1, INDEX('Room Info'!$A$2:$A3446, MATCH(B255,'Room Info'!$E$2:$E3446, 0)),if(G255='Room Info'!$F$1, INDEX('Room Info'!$A$2:$A3446, MATCH(B255,'Room Info'!$F$2:$F3446, 0)),if(G255='Room Info'!$H$1, INDEX('Room Info'!$A$2:$A3446, MATCH(B255,'Room Info'!$H$2:$H3446, 0)),if(G255='Room Info'!$G$1, INDEX('Room Info'!$A$2:$A3446, MATCH(B255,'Room Info'!$G$2:$G3446, 0)))))))))</f>
        <v>Mexanuk_AV</v>
      </c>
      <c r="B255" s="50" t="s">
        <v>160</v>
      </c>
      <c r="C255" s="97">
        <v>44368.0</v>
      </c>
      <c r="D255" s="51">
        <v>44397.0</v>
      </c>
      <c r="E255" s="52">
        <v>44378.0</v>
      </c>
      <c r="F255" s="53" t="s">
        <v>4</v>
      </c>
      <c r="G255" s="50" t="s">
        <v>5</v>
      </c>
      <c r="H255" s="54" t="s">
        <v>35</v>
      </c>
      <c r="I255" s="54" t="s">
        <v>7</v>
      </c>
      <c r="J255" s="75">
        <v>5.0</v>
      </c>
      <c r="K255" s="76">
        <v>1.0</v>
      </c>
      <c r="L255" s="77">
        <v>5.0</v>
      </c>
      <c r="M255" s="67"/>
      <c r="N255" s="33">
        <f t="shared" si="13"/>
        <v>5</v>
      </c>
      <c r="O255" s="50">
        <v>474.0</v>
      </c>
      <c r="P255" s="34">
        <f t="shared" si="14"/>
        <v>474</v>
      </c>
      <c r="Q255" s="60"/>
      <c r="R255" s="36">
        <f t="shared" si="45"/>
        <v>0</v>
      </c>
      <c r="S255" s="78">
        <v>4.0</v>
      </c>
      <c r="T255" s="37">
        <f t="shared" si="46"/>
        <v>4</v>
      </c>
      <c r="U255" s="62">
        <v>1.0</v>
      </c>
      <c r="V255" s="74">
        <v>9.996677740863788</v>
      </c>
      <c r="W255" s="74">
        <v>58.01927550681289</v>
      </c>
      <c r="X255" s="35">
        <f t="shared" si="55"/>
        <v>0.3</v>
      </c>
      <c r="Y255" s="35">
        <f t="shared" si="56"/>
        <v>0</v>
      </c>
      <c r="Z255" s="40">
        <f t="shared" si="57"/>
        <v>2.8</v>
      </c>
      <c r="AA255" s="34">
        <f t="shared" si="58"/>
        <v>1.2</v>
      </c>
      <c r="AB255" s="41">
        <f t="shared" si="49"/>
        <v>0</v>
      </c>
      <c r="AC255" s="42" t="b">
        <v>1</v>
      </c>
      <c r="AD255" s="42" t="s">
        <v>138</v>
      </c>
      <c r="AE255" s="42" t="s">
        <v>138</v>
      </c>
      <c r="AF255" s="42" t="str">
        <f t="array" ref="AF255">INDEX('Deal Info'!D:D, MATCH(A255,'Deal Info'!A:A, 0))</f>
        <v>SF</v>
      </c>
      <c r="AG255" s="43" t="str">
        <f t="array" ref="AG255">INDEX('Deal Info'!G:G, MATCH(A255,'Deal Info'!A:A, 0))</f>
        <v>None</v>
      </c>
    </row>
    <row r="256" hidden="1">
      <c r="A256" s="23" t="str">
        <f t="array" ref="A256">if(G256='Room Info'!$B$1, INDEX('Room Info'!$A$2:$A3446, MATCH(B256,'Room Info'!$B$2:$B3446, 0)),if(G256='Room Info'!$C$1, INDEX('Room Info'!$A$2:$A3446, MATCH(B256,'Room Info'!$C$2:$C3446, 0)),if(G256='Room Info'!$D$1, INDEX('Room Info'!$A$2:$A3446, MATCH(B256,'Room Info'!$D$2:$D3446, 0)),if(G256='Room Info'!$E$1, INDEX('Room Info'!$A$2:$A3446, MATCH(B256,'Room Info'!$E$2:$E3446, 0)),if(G256='Room Info'!$F$1, INDEX('Room Info'!$A$2:$A3446, MATCH(B256,'Room Info'!$F$2:$F3446, 0)),if(G256='Room Info'!$H$1, INDEX('Room Info'!$A$2:$A3446, MATCH(B256,'Room Info'!$H$2:$H3446, 0)),if(G256='Room Info'!$G$1, INDEX('Room Info'!$A$2:$A3446, MATCH(B256,'Room Info'!$G$2:$G3446, 0)))))))))</f>
        <v>Mexanuk_AV</v>
      </c>
      <c r="B256" s="50" t="s">
        <v>160</v>
      </c>
      <c r="C256" s="97">
        <v>44368.0</v>
      </c>
      <c r="D256" s="51">
        <v>44397.0</v>
      </c>
      <c r="E256" s="52">
        <v>44378.0</v>
      </c>
      <c r="F256" s="53" t="s">
        <v>4</v>
      </c>
      <c r="G256" s="50" t="s">
        <v>5</v>
      </c>
      <c r="H256" s="54" t="s">
        <v>45</v>
      </c>
      <c r="I256" s="54" t="s">
        <v>7</v>
      </c>
      <c r="J256" s="75">
        <v>10.0</v>
      </c>
      <c r="K256" s="76">
        <v>1504.0</v>
      </c>
      <c r="L256" s="77">
        <v>310.0</v>
      </c>
      <c r="M256" s="58">
        <v>284.0</v>
      </c>
      <c r="N256" s="33">
        <f t="shared" si="13"/>
        <v>15040</v>
      </c>
      <c r="O256" s="50">
        <v>77133.0</v>
      </c>
      <c r="P256" s="34">
        <f t="shared" si="14"/>
        <v>51.28523936</v>
      </c>
      <c r="Q256" s="60"/>
      <c r="R256" s="36">
        <f t="shared" si="45"/>
        <v>284</v>
      </c>
      <c r="S256" s="78">
        <v>292.0</v>
      </c>
      <c r="T256" s="37">
        <f t="shared" si="46"/>
        <v>576</v>
      </c>
      <c r="U256" s="62">
        <v>1.0</v>
      </c>
      <c r="V256" s="74">
        <v>9.996677740863788</v>
      </c>
      <c r="W256" s="74">
        <v>58.01927550681289</v>
      </c>
      <c r="X256" s="35">
        <f t="shared" si="55"/>
        <v>0.3</v>
      </c>
      <c r="Y256" s="35">
        <f t="shared" si="56"/>
        <v>0</v>
      </c>
      <c r="Z256" s="40">
        <f t="shared" si="57"/>
        <v>403.2</v>
      </c>
      <c r="AA256" s="34">
        <f t="shared" si="58"/>
        <v>172.8</v>
      </c>
      <c r="AB256" s="41">
        <f t="shared" si="49"/>
        <v>0</v>
      </c>
      <c r="AC256" s="42" t="b">
        <v>1</v>
      </c>
      <c r="AD256" s="42" t="s">
        <v>138</v>
      </c>
      <c r="AE256" s="42" t="s">
        <v>138</v>
      </c>
      <c r="AF256" s="42" t="str">
        <f t="array" ref="AF256">INDEX('Deal Info'!D:D, MATCH(A256,'Deal Info'!A:A, 0))</f>
        <v>SF</v>
      </c>
      <c r="AG256" s="43" t="str">
        <f t="array" ref="AG256">INDEX('Deal Info'!G:G, MATCH(A256,'Deal Info'!A:A, 0))</f>
        <v>None</v>
      </c>
    </row>
    <row r="257" hidden="1">
      <c r="A257" s="23" t="str">
        <f t="array" ref="A257">if(G257='Room Info'!$B$1, INDEX('Room Info'!$A$2:$A3446, MATCH(B257,'Room Info'!$B$2:$B3446, 0)),if(G257='Room Info'!$C$1, INDEX('Room Info'!$A$2:$A3446, MATCH(B257,'Room Info'!$C$2:$C3446, 0)),if(G257='Room Info'!$D$1, INDEX('Room Info'!$A$2:$A3446, MATCH(B257,'Room Info'!$D$2:$D3446, 0)),if(G257='Room Info'!$E$1, INDEX('Room Info'!$A$2:$A3446, MATCH(B257,'Room Info'!$E$2:$E3446, 0)),if(G257='Room Info'!$F$1, INDEX('Room Info'!$A$2:$A3446, MATCH(B257,'Room Info'!$F$2:$F3446, 0)),if(G257='Room Info'!$H$1, INDEX('Room Info'!$A$2:$A3446, MATCH(B257,'Room Info'!$H$2:$H3446, 0)),if(G257='Room Info'!$G$1, INDEX('Room Info'!$A$2:$A3446, MATCH(B257,'Room Info'!$G$2:$G3446, 0)))))))))</f>
        <v>Mexanuk_AV</v>
      </c>
      <c r="B257" s="50" t="s">
        <v>160</v>
      </c>
      <c r="C257" s="97">
        <v>44398.0</v>
      </c>
      <c r="D257" s="51">
        <v>44428.0</v>
      </c>
      <c r="E257" s="52">
        <v>44409.0</v>
      </c>
      <c r="F257" s="53" t="s">
        <v>4</v>
      </c>
      <c r="G257" s="50" t="s">
        <v>5</v>
      </c>
      <c r="H257" s="54" t="s">
        <v>45</v>
      </c>
      <c r="I257" s="54" t="s">
        <v>7</v>
      </c>
      <c r="J257" s="75">
        <v>10.0</v>
      </c>
      <c r="K257" s="76">
        <v>1504.0</v>
      </c>
      <c r="L257" s="77">
        <v>-190.0</v>
      </c>
      <c r="M257" s="58">
        <v>52.0</v>
      </c>
      <c r="N257" s="33">
        <f t="shared" si="13"/>
        <v>15040</v>
      </c>
      <c r="O257" s="50">
        <v>55554.0</v>
      </c>
      <c r="P257" s="34">
        <f t="shared" si="14"/>
        <v>36.9375</v>
      </c>
      <c r="Q257" s="60"/>
      <c r="R257" s="36">
        <f t="shared" si="45"/>
        <v>52</v>
      </c>
      <c r="S257" s="78">
        <v>-141.0</v>
      </c>
      <c r="T257" s="37">
        <f t="shared" si="46"/>
        <v>-89</v>
      </c>
      <c r="U257" s="62">
        <v>1.0</v>
      </c>
      <c r="V257" s="74">
        <v>10.0</v>
      </c>
      <c r="W257" s="63">
        <v>4.37</v>
      </c>
      <c r="X257" s="35">
        <f t="shared" si="55"/>
        <v>0.3</v>
      </c>
      <c r="Y257" s="35">
        <f t="shared" si="56"/>
        <v>0</v>
      </c>
      <c r="Z257" s="40">
        <f t="shared" si="57"/>
        <v>-62.3</v>
      </c>
      <c r="AA257" s="34">
        <f t="shared" si="58"/>
        <v>-26.7</v>
      </c>
      <c r="AB257" s="41">
        <f t="shared" si="49"/>
        <v>0</v>
      </c>
      <c r="AC257" s="42" t="b">
        <v>1</v>
      </c>
      <c r="AD257" s="42" t="s">
        <v>138</v>
      </c>
      <c r="AE257" s="42" t="s">
        <v>138</v>
      </c>
      <c r="AF257" s="42" t="str">
        <f t="array" ref="AF257">INDEX('Deal Info'!D:D, MATCH(A257,'Deal Info'!A:A, 0))</f>
        <v>SF</v>
      </c>
      <c r="AG257" s="43" t="str">
        <f t="array" ref="AG257">INDEX('Deal Info'!G:G, MATCH(A257,'Deal Info'!A:A, 0))</f>
        <v>None</v>
      </c>
    </row>
    <row r="258" hidden="1">
      <c r="A258" s="23" t="str">
        <f t="array" ref="A258">if(G258='Room Info'!$B$1, INDEX('Room Info'!$A$2:$A3446, MATCH(B258,'Room Info'!$B$2:$B3446, 0)),if(G258='Room Info'!$C$1, INDEX('Room Info'!$A$2:$A3446, MATCH(B258,'Room Info'!$C$2:$C3446, 0)),if(G258='Room Info'!$D$1, INDEX('Room Info'!$A$2:$A3446, MATCH(B258,'Room Info'!$D$2:$D3446, 0)),if(G258='Room Info'!$E$1, INDEX('Room Info'!$A$2:$A3446, MATCH(B258,'Room Info'!$E$2:$E3446, 0)),if(G258='Room Info'!$F$1, INDEX('Room Info'!$A$2:$A3446, MATCH(B258,'Room Info'!$F$2:$F3446, 0)),if(G258='Room Info'!$H$1, INDEX('Room Info'!$A$2:$A3446, MATCH(B258,'Room Info'!$H$2:$H3446, 0)),if(G258='Room Info'!$G$1, INDEX('Room Info'!$A$2:$A3446, MATCH(B258,'Room Info'!$G$2:$G3446, 0)))))))))</f>
        <v>Mexanuk_AV</v>
      </c>
      <c r="B258" s="50" t="s">
        <v>160</v>
      </c>
      <c r="C258" s="97">
        <v>44429.0</v>
      </c>
      <c r="D258" s="51">
        <v>44459.0</v>
      </c>
      <c r="E258" s="52">
        <v>44440.0</v>
      </c>
      <c r="F258" s="53" t="s">
        <v>4</v>
      </c>
      <c r="G258" s="50" t="s">
        <v>5</v>
      </c>
      <c r="H258" s="54" t="s">
        <v>35</v>
      </c>
      <c r="I258" s="54" t="s">
        <v>7</v>
      </c>
      <c r="J258" s="75">
        <v>5.0</v>
      </c>
      <c r="K258" s="76">
        <v>2.0</v>
      </c>
      <c r="L258" s="77">
        <v>-10.0</v>
      </c>
      <c r="M258" s="67"/>
      <c r="N258" s="33">
        <f t="shared" si="13"/>
        <v>10</v>
      </c>
      <c r="O258" s="50">
        <v>-159.0</v>
      </c>
      <c r="P258" s="34">
        <f t="shared" si="14"/>
        <v>-79.5</v>
      </c>
      <c r="Q258" s="60"/>
      <c r="R258" s="36">
        <f t="shared" si="45"/>
        <v>0</v>
      </c>
      <c r="S258" s="78">
        <v>-2.0</v>
      </c>
      <c r="T258" s="37">
        <f t="shared" si="46"/>
        <v>-2</v>
      </c>
      <c r="U258" s="62">
        <v>1.0</v>
      </c>
      <c r="V258" s="74">
        <v>9.993552546744036</v>
      </c>
      <c r="W258" s="63">
        <v>4.37</v>
      </c>
      <c r="X258" s="35">
        <f t="shared" si="55"/>
        <v>0.3</v>
      </c>
      <c r="Y258" s="35">
        <f t="shared" si="56"/>
        <v>0</v>
      </c>
      <c r="Z258" s="40">
        <f t="shared" si="57"/>
        <v>-1.4</v>
      </c>
      <c r="AA258" s="34">
        <f t="shared" si="58"/>
        <v>-0.6</v>
      </c>
      <c r="AB258" s="41">
        <f t="shared" si="49"/>
        <v>0</v>
      </c>
      <c r="AC258" s="42" t="b">
        <v>1</v>
      </c>
      <c r="AD258" s="42" t="s">
        <v>138</v>
      </c>
      <c r="AE258" s="42" t="s">
        <v>138</v>
      </c>
      <c r="AF258" s="42" t="str">
        <f t="array" ref="AF258">INDEX('Deal Info'!D:D, MATCH(A258,'Deal Info'!A:A, 0))</f>
        <v>SF</v>
      </c>
      <c r="AG258" s="43" t="str">
        <f t="array" ref="AG258">INDEX('Deal Info'!G:G, MATCH(A258,'Deal Info'!A:A, 0))</f>
        <v>None</v>
      </c>
    </row>
    <row r="259" hidden="1">
      <c r="A259" s="23" t="str">
        <f t="array" ref="A259">if(G259='Room Info'!$B$1, INDEX('Room Info'!$A$2:$A3446, MATCH(B259,'Room Info'!$B$2:$B3446, 0)),if(G259='Room Info'!$C$1, INDEX('Room Info'!$A$2:$A3446, MATCH(B259,'Room Info'!$C$2:$C3446, 0)),if(G259='Room Info'!$D$1, INDEX('Room Info'!$A$2:$A3446, MATCH(B259,'Room Info'!$D$2:$D3446, 0)),if(G259='Room Info'!$E$1, INDEX('Room Info'!$A$2:$A3446, MATCH(B259,'Room Info'!$E$2:$E3446, 0)),if(G259='Room Info'!$F$1, INDEX('Room Info'!$A$2:$A3446, MATCH(B259,'Room Info'!$F$2:$F3446, 0)),if(G259='Room Info'!$H$1, INDEX('Room Info'!$A$2:$A3446, MATCH(B259,'Room Info'!$H$2:$H3446, 0)),if(G259='Room Info'!$G$1, INDEX('Room Info'!$A$2:$A3446, MATCH(B259,'Room Info'!$G$2:$G3446, 0)))))))))</f>
        <v>Mexanuk_AV</v>
      </c>
      <c r="B259" s="50" t="s">
        <v>160</v>
      </c>
      <c r="C259" s="97">
        <v>44429.0</v>
      </c>
      <c r="D259" s="51">
        <v>44459.0</v>
      </c>
      <c r="E259" s="52">
        <v>44440.0</v>
      </c>
      <c r="F259" s="53" t="s">
        <v>4</v>
      </c>
      <c r="G259" s="50" t="s">
        <v>5</v>
      </c>
      <c r="H259" s="54" t="s">
        <v>45</v>
      </c>
      <c r="I259" s="54" t="s">
        <v>7</v>
      </c>
      <c r="J259" s="75">
        <v>10.0</v>
      </c>
      <c r="K259" s="76">
        <v>1549.0</v>
      </c>
      <c r="L259" s="77">
        <v>-480.0</v>
      </c>
      <c r="M259" s="58">
        <v>211.0</v>
      </c>
      <c r="N259" s="33">
        <f t="shared" si="13"/>
        <v>15490</v>
      </c>
      <c r="O259" s="50">
        <v>41218.0</v>
      </c>
      <c r="P259" s="34">
        <f t="shared" si="14"/>
        <v>26.60942544</v>
      </c>
      <c r="Q259" s="60"/>
      <c r="R259" s="36">
        <f t="shared" si="45"/>
        <v>211</v>
      </c>
      <c r="S259" s="78">
        <v>-423.0</v>
      </c>
      <c r="T259" s="37">
        <f t="shared" si="46"/>
        <v>-212</v>
      </c>
      <c r="U259" s="62">
        <v>1.0</v>
      </c>
      <c r="V259" s="74">
        <v>9.993552546744036</v>
      </c>
      <c r="W259" s="63">
        <v>4.37</v>
      </c>
      <c r="X259" s="35">
        <f t="shared" si="55"/>
        <v>0.3</v>
      </c>
      <c r="Y259" s="35">
        <f t="shared" si="56"/>
        <v>0</v>
      </c>
      <c r="Z259" s="40">
        <f t="shared" si="57"/>
        <v>-148.4</v>
      </c>
      <c r="AA259" s="34">
        <f t="shared" si="58"/>
        <v>-63.6</v>
      </c>
      <c r="AB259" s="41">
        <f t="shared" si="49"/>
        <v>0</v>
      </c>
      <c r="AC259" s="42" t="b">
        <v>1</v>
      </c>
      <c r="AD259" s="42" t="s">
        <v>138</v>
      </c>
      <c r="AE259" s="42" t="s">
        <v>138</v>
      </c>
      <c r="AF259" s="42" t="str">
        <f t="array" ref="AF259">INDEX('Deal Info'!D:D, MATCH(A259,'Deal Info'!A:A, 0))</f>
        <v>SF</v>
      </c>
      <c r="AG259" s="43" t="str">
        <f t="array" ref="AG259">INDEX('Deal Info'!G:G, MATCH(A259,'Deal Info'!A:A, 0))</f>
        <v>None</v>
      </c>
    </row>
    <row r="260" hidden="1">
      <c r="A260" s="23" t="str">
        <f t="array" ref="A260">if(G260='Room Info'!$B$1, INDEX('Room Info'!$A$2:$A3446, MATCH(B260,'Room Info'!$B$2:$B3446, 0)),if(G260='Room Info'!$C$1, INDEX('Room Info'!$A$2:$A3446, MATCH(B260,'Room Info'!$C$2:$C3446, 0)),if(G260='Room Info'!$D$1, INDEX('Room Info'!$A$2:$A3446, MATCH(B260,'Room Info'!$D$2:$D3446, 0)),if(G260='Room Info'!$E$1, INDEX('Room Info'!$A$2:$A3446, MATCH(B260,'Room Info'!$E$2:$E3446, 0)),if(G260='Room Info'!$F$1, INDEX('Room Info'!$A$2:$A3446, MATCH(B260,'Room Info'!$F$2:$F3446, 0)),if(G260='Room Info'!$H$1, INDEX('Room Info'!$A$2:$A3446, MATCH(B260,'Room Info'!$H$2:$H3446, 0)),if(G260='Room Info'!$G$1, INDEX('Room Info'!$A$2:$A3446, MATCH(B260,'Room Info'!$G$2:$G3446, 0)))))))))</f>
        <v>Mexanuk_AV</v>
      </c>
      <c r="B260" s="50" t="s">
        <v>160</v>
      </c>
      <c r="C260" s="97">
        <v>44460.0</v>
      </c>
      <c r="D260" s="51">
        <v>44489.0</v>
      </c>
      <c r="E260" s="52">
        <v>44470.0</v>
      </c>
      <c r="F260" s="53" t="s">
        <v>4</v>
      </c>
      <c r="G260" s="50" t="s">
        <v>5</v>
      </c>
      <c r="H260" s="54" t="s">
        <v>45</v>
      </c>
      <c r="I260" s="54" t="s">
        <v>7</v>
      </c>
      <c r="J260" s="75">
        <v>10.0</v>
      </c>
      <c r="K260" s="76">
        <v>1973.0</v>
      </c>
      <c r="L260" s="77">
        <v>420.0</v>
      </c>
      <c r="M260" s="58">
        <v>113.0</v>
      </c>
      <c r="N260" s="33">
        <f t="shared" si="13"/>
        <v>19730</v>
      </c>
      <c r="O260" s="50">
        <v>98631.0</v>
      </c>
      <c r="P260" s="34">
        <f t="shared" si="14"/>
        <v>49.99036999</v>
      </c>
      <c r="Q260" s="60"/>
      <c r="R260" s="36">
        <f t="shared" si="45"/>
        <v>113</v>
      </c>
      <c r="S260" s="78">
        <v>321.0</v>
      </c>
      <c r="T260" s="37">
        <f t="shared" si="46"/>
        <v>434</v>
      </c>
      <c r="U260" s="62">
        <v>1.0</v>
      </c>
      <c r="V260" s="74">
        <v>10.0</v>
      </c>
      <c r="W260" s="63">
        <v>4.37</v>
      </c>
      <c r="X260" s="35">
        <f t="shared" si="55"/>
        <v>0.3</v>
      </c>
      <c r="Y260" s="35">
        <f t="shared" si="56"/>
        <v>0</v>
      </c>
      <c r="Z260" s="40">
        <f t="shared" si="57"/>
        <v>303.8</v>
      </c>
      <c r="AA260" s="34">
        <f t="shared" si="58"/>
        <v>130.2</v>
      </c>
      <c r="AB260" s="41">
        <f t="shared" si="49"/>
        <v>0</v>
      </c>
      <c r="AC260" s="42" t="b">
        <v>1</v>
      </c>
      <c r="AD260" s="42" t="s">
        <v>138</v>
      </c>
      <c r="AE260" s="42" t="s">
        <v>138</v>
      </c>
      <c r="AF260" s="42" t="str">
        <f t="array" ref="AF260">INDEX('Deal Info'!D:D, MATCH(A260,'Deal Info'!A:A, 0))</f>
        <v>SF</v>
      </c>
      <c r="AG260" s="43" t="str">
        <f t="array" ref="AG260">INDEX('Deal Info'!G:G, MATCH(A260,'Deal Info'!A:A, 0))</f>
        <v>None</v>
      </c>
    </row>
    <row r="261" hidden="1">
      <c r="A261" s="23" t="str">
        <f t="array" ref="A261">if(G261='Room Info'!$B$1, INDEX('Room Info'!$A$2:$A3446, MATCH(B261,'Room Info'!$B$2:$B3446, 0)),if(G261='Room Info'!$C$1, INDEX('Room Info'!$A$2:$A3446, MATCH(B261,'Room Info'!$C$2:$C3446, 0)),if(G261='Room Info'!$D$1, INDEX('Room Info'!$A$2:$A3446, MATCH(B261,'Room Info'!$D$2:$D3446, 0)),if(G261='Room Info'!$E$1, INDEX('Room Info'!$A$2:$A3446, MATCH(B261,'Room Info'!$E$2:$E3446, 0)),if(G261='Room Info'!$F$1, INDEX('Room Info'!$A$2:$A3446, MATCH(B261,'Room Info'!$F$2:$F3446, 0)),if(G261='Room Info'!$H$1, INDEX('Room Info'!$A$2:$A3446, MATCH(B261,'Room Info'!$H$2:$H3446, 0)),if(G261='Room Info'!$G$1, INDEX('Room Info'!$A$2:$A3446, MATCH(B261,'Room Info'!$G$2:$G3446, 0)))))))))</f>
        <v>Mexanuk_AV</v>
      </c>
      <c r="B261" s="50" t="s">
        <v>160</v>
      </c>
      <c r="C261" s="97">
        <v>44490.0</v>
      </c>
      <c r="D261" s="51">
        <v>44520.0</v>
      </c>
      <c r="E261" s="52">
        <v>44501.0</v>
      </c>
      <c r="F261" s="53" t="s">
        <v>4</v>
      </c>
      <c r="G261" s="50" t="s">
        <v>5</v>
      </c>
      <c r="H261" s="54" t="s">
        <v>35</v>
      </c>
      <c r="I261" s="54" t="s">
        <v>7</v>
      </c>
      <c r="J261" s="75">
        <v>5.0</v>
      </c>
      <c r="K261" s="76">
        <v>5.0</v>
      </c>
      <c r="L261" s="77">
        <v>-5.0</v>
      </c>
      <c r="M261" s="58">
        <v>2.0</v>
      </c>
      <c r="N261" s="33">
        <f t="shared" si="13"/>
        <v>25</v>
      </c>
      <c r="O261" s="50">
        <v>839.0</v>
      </c>
      <c r="P261" s="34">
        <f t="shared" si="14"/>
        <v>167.8</v>
      </c>
      <c r="Q261" s="60"/>
      <c r="R261" s="36">
        <f t="shared" si="45"/>
        <v>2</v>
      </c>
      <c r="S261" s="78">
        <v>5.0</v>
      </c>
      <c r="T261" s="37">
        <f t="shared" si="46"/>
        <v>7</v>
      </c>
      <c r="U261" s="62">
        <v>1.0</v>
      </c>
      <c r="V261" s="74">
        <v>9.98654467168999</v>
      </c>
      <c r="W261" s="74">
        <v>101.73689032605766</v>
      </c>
      <c r="X261" s="35">
        <f t="shared" si="55"/>
        <v>0.25</v>
      </c>
      <c r="Y261" s="35">
        <f t="shared" si="56"/>
        <v>0</v>
      </c>
      <c r="Z261" s="40">
        <f t="shared" si="57"/>
        <v>5.25</v>
      </c>
      <c r="AA261" s="34">
        <f t="shared" si="58"/>
        <v>1.75</v>
      </c>
      <c r="AB261" s="41">
        <f t="shared" si="49"/>
        <v>0</v>
      </c>
      <c r="AC261" s="42" t="b">
        <v>1</v>
      </c>
      <c r="AD261" s="42" t="s">
        <v>138</v>
      </c>
      <c r="AE261" s="42" t="s">
        <v>138</v>
      </c>
      <c r="AF261" s="42" t="str">
        <f t="array" ref="AF261">INDEX('Deal Info'!D:D, MATCH(A261,'Deal Info'!A:A, 0))</f>
        <v>SF</v>
      </c>
      <c r="AG261" s="43" t="str">
        <f t="array" ref="AG261">INDEX('Deal Info'!G:G, MATCH(A261,'Deal Info'!A:A, 0))</f>
        <v>None</v>
      </c>
    </row>
    <row r="262" hidden="1">
      <c r="A262" s="23" t="str">
        <f t="array" ref="A262">if(G262='Room Info'!$B$1, INDEX('Room Info'!$A$2:$A3446, MATCH(B262,'Room Info'!$B$2:$B3446, 0)),if(G262='Room Info'!$C$1, INDEX('Room Info'!$A$2:$A3446, MATCH(B262,'Room Info'!$C$2:$C3446, 0)),if(G262='Room Info'!$D$1, INDEX('Room Info'!$A$2:$A3446, MATCH(B262,'Room Info'!$D$2:$D3446, 0)),if(G262='Room Info'!$E$1, INDEX('Room Info'!$A$2:$A3446, MATCH(B262,'Room Info'!$E$2:$E3446, 0)),if(G262='Room Info'!$F$1, INDEX('Room Info'!$A$2:$A3446, MATCH(B262,'Room Info'!$F$2:$F3446, 0)),if(G262='Room Info'!$H$1, INDEX('Room Info'!$A$2:$A3446, MATCH(B262,'Room Info'!$H$2:$H3446, 0)),if(G262='Room Info'!$G$1, INDEX('Room Info'!$A$2:$A3446, MATCH(B262,'Room Info'!$G$2:$G3446, 0)))))))))</f>
        <v>Mexanuk_AV</v>
      </c>
      <c r="B262" s="50" t="s">
        <v>160</v>
      </c>
      <c r="C262" s="97">
        <v>44490.0</v>
      </c>
      <c r="D262" s="51">
        <v>44520.0</v>
      </c>
      <c r="E262" s="52">
        <v>44501.0</v>
      </c>
      <c r="F262" s="53" t="s">
        <v>4</v>
      </c>
      <c r="G262" s="50" t="s">
        <v>5</v>
      </c>
      <c r="H262" s="54" t="s">
        <v>45</v>
      </c>
      <c r="I262" s="54" t="s">
        <v>7</v>
      </c>
      <c r="J262" s="75">
        <v>10.0</v>
      </c>
      <c r="K262" s="76">
        <v>1853.0</v>
      </c>
      <c r="L262" s="77">
        <v>-1390.0</v>
      </c>
      <c r="M262" s="58">
        <v>1353.0</v>
      </c>
      <c r="N262" s="33">
        <f t="shared" si="13"/>
        <v>18530</v>
      </c>
      <c r="O262" s="50">
        <v>55305.0</v>
      </c>
      <c r="P262" s="34">
        <f t="shared" si="14"/>
        <v>29.84619536</v>
      </c>
      <c r="Q262" s="60"/>
      <c r="R262" s="36">
        <f t="shared" si="45"/>
        <v>1353</v>
      </c>
      <c r="S262" s="78">
        <v>-344.0</v>
      </c>
      <c r="T262" s="37">
        <f t="shared" si="46"/>
        <v>1009</v>
      </c>
      <c r="U262" s="62">
        <v>1.0</v>
      </c>
      <c r="V262" s="74">
        <v>9.98654467168999</v>
      </c>
      <c r="W262" s="74">
        <v>101.73689032605766</v>
      </c>
      <c r="X262" s="35">
        <f t="shared" si="55"/>
        <v>0.25</v>
      </c>
      <c r="Y262" s="35">
        <f t="shared" si="56"/>
        <v>0</v>
      </c>
      <c r="Z262" s="40">
        <f t="shared" si="57"/>
        <v>756.75</v>
      </c>
      <c r="AA262" s="34">
        <f t="shared" si="58"/>
        <v>252.25</v>
      </c>
      <c r="AB262" s="41">
        <f t="shared" si="49"/>
        <v>0</v>
      </c>
      <c r="AC262" s="42" t="b">
        <v>1</v>
      </c>
      <c r="AD262" s="42" t="s">
        <v>138</v>
      </c>
      <c r="AE262" s="42" t="s">
        <v>138</v>
      </c>
      <c r="AF262" s="42" t="str">
        <f t="array" ref="AF262">INDEX('Deal Info'!D:D, MATCH(A262,'Deal Info'!A:A, 0))</f>
        <v>SF</v>
      </c>
      <c r="AG262" s="43" t="str">
        <f t="array" ref="AG262">INDEX('Deal Info'!G:G, MATCH(A262,'Deal Info'!A:A, 0))</f>
        <v>None</v>
      </c>
    </row>
    <row r="263" hidden="1">
      <c r="A263" s="23" t="str">
        <f t="array" ref="A263">if(G263='Room Info'!$B$1, INDEX('Room Info'!$A$2:$A3446, MATCH(B263,'Room Info'!$B$2:$B3446, 0)),if(G263='Room Info'!$C$1, INDEX('Room Info'!$A$2:$A3446, MATCH(B263,'Room Info'!$C$2:$C3446, 0)),if(G263='Room Info'!$D$1, INDEX('Room Info'!$A$2:$A3446, MATCH(B263,'Room Info'!$D$2:$D3446, 0)),if(G263='Room Info'!$E$1, INDEX('Room Info'!$A$2:$A3446, MATCH(B263,'Room Info'!$E$2:$E3446, 0)),if(G263='Room Info'!$F$1, INDEX('Room Info'!$A$2:$A3446, MATCH(B263,'Room Info'!$F$2:$F3446, 0)),if(G263='Room Info'!$H$1, INDEX('Room Info'!$A$2:$A3446, MATCH(B263,'Room Info'!$H$2:$H3446, 0)),if(G263='Room Info'!$G$1, INDEX('Room Info'!$A$2:$A3446, MATCH(B263,'Room Info'!$G$2:$G3446, 0)))))))))</f>
        <v>Mexanuk_AV</v>
      </c>
      <c r="B263" s="50" t="s">
        <v>160</v>
      </c>
      <c r="C263" s="97">
        <v>44521.0</v>
      </c>
      <c r="D263" s="51">
        <v>44550.0</v>
      </c>
      <c r="E263" s="52">
        <v>44531.0</v>
      </c>
      <c r="F263" s="50" t="s">
        <v>4</v>
      </c>
      <c r="G263" s="50" t="s">
        <v>5</v>
      </c>
      <c r="H263" s="54" t="s">
        <v>35</v>
      </c>
      <c r="I263" s="54" t="s">
        <v>7</v>
      </c>
      <c r="J263" s="75">
        <v>5.0</v>
      </c>
      <c r="K263" s="76">
        <v>1.0</v>
      </c>
      <c r="L263" s="57">
        <v>10.0</v>
      </c>
      <c r="M263" s="67"/>
      <c r="N263" s="33">
        <f t="shared" si="13"/>
        <v>5</v>
      </c>
      <c r="O263" s="59">
        <v>159.0</v>
      </c>
      <c r="P263" s="34">
        <f t="shared" si="14"/>
        <v>159</v>
      </c>
      <c r="Q263" s="60"/>
      <c r="R263" s="36">
        <f t="shared" si="45"/>
        <v>0</v>
      </c>
      <c r="S263" s="61">
        <v>-5.0</v>
      </c>
      <c r="T263" s="37">
        <f t="shared" si="46"/>
        <v>-5</v>
      </c>
      <c r="U263" s="62">
        <v>1.0</v>
      </c>
      <c r="V263" s="74">
        <v>9.997893850042123</v>
      </c>
      <c r="W263" s="63">
        <v>27.5</v>
      </c>
      <c r="X263" s="35">
        <f t="shared" si="55"/>
        <v>0.3</v>
      </c>
      <c r="Y263" s="35">
        <f t="shared" si="56"/>
        <v>0</v>
      </c>
      <c r="Z263" s="40">
        <f t="shared" si="57"/>
        <v>-3.5</v>
      </c>
      <c r="AA263" s="34">
        <f t="shared" si="58"/>
        <v>-1.5</v>
      </c>
      <c r="AB263" s="41">
        <f t="shared" si="49"/>
        <v>0</v>
      </c>
      <c r="AC263" s="42" t="b">
        <v>1</v>
      </c>
      <c r="AD263" s="42" t="s">
        <v>138</v>
      </c>
      <c r="AE263" s="42" t="s">
        <v>138</v>
      </c>
      <c r="AF263" s="42" t="str">
        <f t="array" ref="AF263">INDEX('Deal Info'!D:D, MATCH(A263,'Deal Info'!A:A, 0))</f>
        <v>SF</v>
      </c>
      <c r="AG263" s="43" t="str">
        <f t="array" ref="AG263">INDEX('Deal Info'!G:G, MATCH(A263,'Deal Info'!A:A, 0))</f>
        <v>None</v>
      </c>
    </row>
    <row r="264" hidden="1">
      <c r="A264" s="23" t="str">
        <f t="array" ref="A264">if(G264='Room Info'!$B$1, INDEX('Room Info'!$A$2:$A3446, MATCH(B264,'Room Info'!$B$2:$B3446, 0)),if(G264='Room Info'!$C$1, INDEX('Room Info'!$A$2:$A3446, MATCH(B264,'Room Info'!$C$2:$C3446, 0)),if(G264='Room Info'!$D$1, INDEX('Room Info'!$A$2:$A3446, MATCH(B264,'Room Info'!$D$2:$D3446, 0)),if(G264='Room Info'!$E$1, INDEX('Room Info'!$A$2:$A3446, MATCH(B264,'Room Info'!$E$2:$E3446, 0)),if(G264='Room Info'!$F$1, INDEX('Room Info'!$A$2:$A3446, MATCH(B264,'Room Info'!$F$2:$F3446, 0)),if(G264='Room Info'!$H$1, INDEX('Room Info'!$A$2:$A3446, MATCH(B264,'Room Info'!$H$2:$H3446, 0)),if(G264='Room Info'!$G$1, INDEX('Room Info'!$A$2:$A3446, MATCH(B264,'Room Info'!$G$2:$G3446, 0)))))))))</f>
        <v>Mexanuk_AV</v>
      </c>
      <c r="B264" s="50" t="s">
        <v>160</v>
      </c>
      <c r="C264" s="97">
        <v>44521.0</v>
      </c>
      <c r="D264" s="51">
        <v>44550.0</v>
      </c>
      <c r="E264" s="52">
        <v>44531.0</v>
      </c>
      <c r="F264" s="50" t="s">
        <v>4</v>
      </c>
      <c r="G264" s="50" t="s">
        <v>5</v>
      </c>
      <c r="H264" s="54" t="s">
        <v>45</v>
      </c>
      <c r="I264" s="54" t="s">
        <v>7</v>
      </c>
      <c r="J264" s="75">
        <v>10.0</v>
      </c>
      <c r="K264" s="76">
        <v>2373.0</v>
      </c>
      <c r="L264" s="57">
        <v>-950.0</v>
      </c>
      <c r="M264" s="58">
        <v>350.0</v>
      </c>
      <c r="N264" s="33">
        <f t="shared" si="13"/>
        <v>23730</v>
      </c>
      <c r="O264" s="59">
        <v>69748.0</v>
      </c>
      <c r="P264" s="34">
        <f t="shared" si="14"/>
        <v>29.39233038</v>
      </c>
      <c r="Q264" s="60"/>
      <c r="R264" s="36">
        <f t="shared" si="45"/>
        <v>350</v>
      </c>
      <c r="S264" s="61">
        <v>-476.0</v>
      </c>
      <c r="T264" s="37">
        <f t="shared" si="46"/>
        <v>-126</v>
      </c>
      <c r="U264" s="62">
        <v>1.0</v>
      </c>
      <c r="V264" s="74">
        <v>9.997893850042123</v>
      </c>
      <c r="W264" s="63">
        <v>27.5</v>
      </c>
      <c r="X264" s="35">
        <f t="shared" si="55"/>
        <v>0.3</v>
      </c>
      <c r="Y264" s="35">
        <f t="shared" si="56"/>
        <v>0</v>
      </c>
      <c r="Z264" s="40">
        <f t="shared" si="57"/>
        <v>-88.2</v>
      </c>
      <c r="AA264" s="34">
        <f t="shared" si="58"/>
        <v>-37.8</v>
      </c>
      <c r="AB264" s="41">
        <f t="shared" si="49"/>
        <v>0</v>
      </c>
      <c r="AC264" s="42" t="b">
        <v>1</v>
      </c>
      <c r="AD264" s="42" t="s">
        <v>138</v>
      </c>
      <c r="AE264" s="42" t="s">
        <v>138</v>
      </c>
      <c r="AF264" s="42" t="str">
        <f t="array" ref="AF264">INDEX('Deal Info'!D:D, MATCH(A264,'Deal Info'!A:A, 0))</f>
        <v>SF</v>
      </c>
      <c r="AG264" s="43" t="str">
        <f t="array" ref="AG264">INDEX('Deal Info'!G:G, MATCH(A264,'Deal Info'!A:A, 0))</f>
        <v>None</v>
      </c>
    </row>
    <row r="265" hidden="1">
      <c r="A265" s="23" t="str">
        <f t="array" ref="A265">if(G265='Room Info'!$B$1, INDEX('Room Info'!$A$2:$A3446, MATCH(B265,'Room Info'!$B$2:$B3446, 0)),if(G265='Room Info'!$C$1, INDEX('Room Info'!$A$2:$A3446, MATCH(B265,'Room Info'!$C$2:$C3446, 0)),if(G265='Room Info'!$D$1, INDEX('Room Info'!$A$2:$A3446, MATCH(B265,'Room Info'!$D$2:$D3446, 0)),if(G265='Room Info'!$E$1, INDEX('Room Info'!$A$2:$A3446, MATCH(B265,'Room Info'!$E$2:$E3446, 0)),if(G265='Room Info'!$F$1, INDEX('Room Info'!$A$2:$A3446, MATCH(B265,'Room Info'!$F$2:$F3446, 0)),if(G265='Room Info'!$H$1, INDEX('Room Info'!$A$2:$A3446, MATCH(B265,'Room Info'!$H$2:$H3446, 0)),if(G265='Room Info'!$G$1, INDEX('Room Info'!$A$2:$A3446, MATCH(B265,'Room Info'!$G$2:$G3446, 0)))))))))</f>
        <v>Mexanuk_AV</v>
      </c>
      <c r="B265" s="50" t="s">
        <v>160</v>
      </c>
      <c r="C265" s="97">
        <v>44551.0</v>
      </c>
      <c r="D265" s="51">
        <v>44581.0</v>
      </c>
      <c r="E265" s="52">
        <v>44562.0</v>
      </c>
      <c r="F265" s="50" t="s">
        <v>4</v>
      </c>
      <c r="G265" s="50" t="s">
        <v>5</v>
      </c>
      <c r="H265" s="54" t="s">
        <v>45</v>
      </c>
      <c r="I265" s="54" t="s">
        <v>7</v>
      </c>
      <c r="J265" s="75">
        <v>10.0</v>
      </c>
      <c r="K265" s="76">
        <v>2789.0</v>
      </c>
      <c r="L265" s="57">
        <v>-1040.0</v>
      </c>
      <c r="M265" s="58">
        <v>1425.0</v>
      </c>
      <c r="N265" s="33">
        <f t="shared" si="13"/>
        <v>27890</v>
      </c>
      <c r="O265" s="59">
        <v>72965.0</v>
      </c>
      <c r="P265" s="34">
        <f t="shared" si="14"/>
        <v>26.1617067</v>
      </c>
      <c r="Q265" s="60"/>
      <c r="R265" s="36">
        <f t="shared" si="45"/>
        <v>1425</v>
      </c>
      <c r="S265" s="61">
        <v>-744.0</v>
      </c>
      <c r="T265" s="37">
        <f t="shared" si="46"/>
        <v>681</v>
      </c>
      <c r="U265" s="62">
        <v>1.0</v>
      </c>
      <c r="V265" s="74">
        <v>10.0</v>
      </c>
      <c r="W265" s="63">
        <v>27.5</v>
      </c>
      <c r="X265" s="35">
        <f t="shared" si="55"/>
        <v>0.3</v>
      </c>
      <c r="Y265" s="35">
        <f t="shared" si="56"/>
        <v>0</v>
      </c>
      <c r="Z265" s="40">
        <f t="shared" si="57"/>
        <v>476.7</v>
      </c>
      <c r="AA265" s="34">
        <f t="shared" si="58"/>
        <v>204.3</v>
      </c>
      <c r="AB265" s="41">
        <f t="shared" si="49"/>
        <v>0</v>
      </c>
      <c r="AC265" s="42" t="b">
        <v>1</v>
      </c>
      <c r="AD265" s="42" t="s">
        <v>138</v>
      </c>
      <c r="AE265" s="42" t="s">
        <v>138</v>
      </c>
      <c r="AF265" s="42" t="str">
        <f t="array" ref="AF265">INDEX('Deal Info'!D:D, MATCH(A265,'Deal Info'!A:A, 0))</f>
        <v>SF</v>
      </c>
      <c r="AG265" s="43" t="str">
        <f t="array" ref="AG265">INDEX('Deal Info'!G:G, MATCH(A265,'Deal Info'!A:A, 0))</f>
        <v>None</v>
      </c>
    </row>
    <row r="266" hidden="1">
      <c r="A266" s="23" t="str">
        <f t="array" ref="A266">if(G266='Room Info'!$B$1, INDEX('Room Info'!$A$2:$A3446, MATCH(B266,'Room Info'!$B$2:$B3446, 0)),if(G266='Room Info'!$C$1, INDEX('Room Info'!$A$2:$A3446, MATCH(B266,'Room Info'!$C$2:$C3446, 0)),if(G266='Room Info'!$D$1, INDEX('Room Info'!$A$2:$A3446, MATCH(B266,'Room Info'!$D$2:$D3446, 0)),if(G266='Room Info'!$E$1, INDEX('Room Info'!$A$2:$A3446, MATCH(B266,'Room Info'!$E$2:$E3446, 0)),if(G266='Room Info'!$F$1, INDEX('Room Info'!$A$2:$A3446, MATCH(B266,'Room Info'!$F$2:$F3446, 0)),if(G266='Room Info'!$H$1, INDEX('Room Info'!$A$2:$A3446, MATCH(B266,'Room Info'!$H$2:$H3446, 0)),if(G266='Room Info'!$G$1, INDEX('Room Info'!$A$2:$A3446, MATCH(B266,'Room Info'!$G$2:$G3446, 0)))))))))</f>
        <v>Mexanuk_AV</v>
      </c>
      <c r="B266" s="50" t="s">
        <v>160</v>
      </c>
      <c r="C266" s="97">
        <v>44582.0</v>
      </c>
      <c r="D266" s="51">
        <v>44612.0</v>
      </c>
      <c r="E266" s="52">
        <v>44593.0</v>
      </c>
      <c r="F266" s="50" t="s">
        <v>4</v>
      </c>
      <c r="G266" s="50" t="s">
        <v>5</v>
      </c>
      <c r="H266" s="54" t="s">
        <v>45</v>
      </c>
      <c r="I266" s="54" t="s">
        <v>7</v>
      </c>
      <c r="J266" s="75">
        <v>10.0</v>
      </c>
      <c r="K266" s="76">
        <v>1016.0</v>
      </c>
      <c r="L266" s="57">
        <v>210.0</v>
      </c>
      <c r="M266" s="58">
        <v>1216.0</v>
      </c>
      <c r="N266" s="33">
        <f t="shared" si="13"/>
        <v>10160</v>
      </c>
      <c r="O266" s="59">
        <v>20037.0</v>
      </c>
      <c r="P266" s="34">
        <f t="shared" si="14"/>
        <v>19.72145669</v>
      </c>
      <c r="Q266" s="60"/>
      <c r="R266" s="36">
        <f t="shared" si="45"/>
        <v>1216</v>
      </c>
      <c r="S266" s="61">
        <v>-332.0</v>
      </c>
      <c r="T266" s="37">
        <f t="shared" si="46"/>
        <v>884</v>
      </c>
      <c r="U266" s="62">
        <v>1.0</v>
      </c>
      <c r="V266" s="74">
        <v>10.0</v>
      </c>
      <c r="W266" s="74">
        <v>88.4</v>
      </c>
      <c r="X266" s="35">
        <f t="shared" si="55"/>
        <v>0.3</v>
      </c>
      <c r="Y266" s="35">
        <f t="shared" si="56"/>
        <v>0</v>
      </c>
      <c r="Z266" s="40">
        <f t="shared" si="57"/>
        <v>618.8</v>
      </c>
      <c r="AA266" s="34">
        <f t="shared" si="58"/>
        <v>265.2</v>
      </c>
      <c r="AB266" s="41">
        <f t="shared" si="49"/>
        <v>0</v>
      </c>
      <c r="AC266" s="42" t="b">
        <v>1</v>
      </c>
      <c r="AD266" s="42" t="s">
        <v>138</v>
      </c>
      <c r="AE266" s="42" t="s">
        <v>138</v>
      </c>
      <c r="AF266" s="42" t="str">
        <f t="array" ref="AF266">INDEX('Deal Info'!D:D, MATCH(A266,'Deal Info'!A:A, 0))</f>
        <v>SF</v>
      </c>
      <c r="AG266" s="43" t="str">
        <f t="array" ref="AG266">INDEX('Deal Info'!G:G, MATCH(A266,'Deal Info'!A:A, 0))</f>
        <v>None</v>
      </c>
    </row>
    <row r="267" hidden="1">
      <c r="A267" s="23" t="str">
        <f t="array" ref="A267">if(G267='Room Info'!$B$1, INDEX('Room Info'!$A$2:$A3446, MATCH(B267,'Room Info'!$B$2:$B3446, 0)),if(G267='Room Info'!$C$1, INDEX('Room Info'!$A$2:$A3446, MATCH(B267,'Room Info'!$C$2:$C3446, 0)),if(G267='Room Info'!$D$1, INDEX('Room Info'!$A$2:$A3446, MATCH(B267,'Room Info'!$D$2:$D3446, 0)),if(G267='Room Info'!$E$1, INDEX('Room Info'!$A$2:$A3446, MATCH(B267,'Room Info'!$E$2:$E3446, 0)),if(G267='Room Info'!$F$1, INDEX('Room Info'!$A$2:$A3446, MATCH(B267,'Room Info'!$F$2:$F3446, 0)),if(G267='Room Info'!$H$1, INDEX('Room Info'!$A$2:$A3446, MATCH(B267,'Room Info'!$H$2:$H3446, 0)),if(G267='Room Info'!$G$1, INDEX('Room Info'!$A$2:$A3446, MATCH(B267,'Room Info'!$G$2:$G3446, 0)))))))))</f>
        <v>Mexanuk_AV</v>
      </c>
      <c r="B267" s="50" t="s">
        <v>160</v>
      </c>
      <c r="C267" s="97">
        <v>44613.0</v>
      </c>
      <c r="D267" s="51">
        <v>44640.0</v>
      </c>
      <c r="E267" s="52">
        <v>44621.0</v>
      </c>
      <c r="F267" s="50" t="s">
        <v>4</v>
      </c>
      <c r="G267" s="50" t="s">
        <v>5</v>
      </c>
      <c r="H267" s="54" t="s">
        <v>35</v>
      </c>
      <c r="I267" s="54" t="s">
        <v>7</v>
      </c>
      <c r="J267" s="75">
        <v>5.0</v>
      </c>
      <c r="K267" s="76">
        <v>162.0</v>
      </c>
      <c r="L267" s="57">
        <v>-125.0</v>
      </c>
      <c r="M267" s="58">
        <v>11.0</v>
      </c>
      <c r="N267" s="33">
        <f t="shared" si="13"/>
        <v>810</v>
      </c>
      <c r="O267" s="59">
        <v>2702.0</v>
      </c>
      <c r="P267" s="34">
        <f t="shared" si="14"/>
        <v>16.67901235</v>
      </c>
      <c r="Q267" s="60"/>
      <c r="R267" s="36">
        <f t="shared" si="45"/>
        <v>11</v>
      </c>
      <c r="S267" s="61">
        <v>-51.0</v>
      </c>
      <c r="T267" s="37">
        <f t="shared" si="46"/>
        <v>-40</v>
      </c>
      <c r="U267" s="62">
        <v>1.0</v>
      </c>
      <c r="V267" s="74">
        <v>9.650107991360692</v>
      </c>
      <c r="W267" s="74">
        <v>26.528200537153086</v>
      </c>
      <c r="X267" s="35">
        <f t="shared" si="55"/>
        <v>0.3</v>
      </c>
      <c r="Y267" s="35">
        <f t="shared" si="56"/>
        <v>0</v>
      </c>
      <c r="Z267" s="40">
        <f t="shared" si="57"/>
        <v>-28</v>
      </c>
      <c r="AA267" s="34">
        <f t="shared" si="58"/>
        <v>-12</v>
      </c>
      <c r="AB267" s="41">
        <f t="shared" si="49"/>
        <v>0</v>
      </c>
      <c r="AC267" s="42" t="b">
        <v>1</v>
      </c>
      <c r="AD267" s="42" t="s">
        <v>138</v>
      </c>
      <c r="AE267" s="42" t="s">
        <v>138</v>
      </c>
      <c r="AF267" s="42" t="str">
        <f t="array" ref="AF267">INDEX('Deal Info'!D:D, MATCH(A267,'Deal Info'!A:A, 0))</f>
        <v>SF</v>
      </c>
      <c r="AG267" s="43" t="str">
        <f t="array" ref="AG267">INDEX('Deal Info'!G:G, MATCH(A267,'Deal Info'!A:A, 0))</f>
        <v>None</v>
      </c>
    </row>
    <row r="268" hidden="1">
      <c r="A268" s="23" t="str">
        <f t="array" ref="A268">if(G268='Room Info'!$B$1, INDEX('Room Info'!$A$2:$A3446, MATCH(B268,'Room Info'!$B$2:$B3446, 0)),if(G268='Room Info'!$C$1, INDEX('Room Info'!$A$2:$A3446, MATCH(B268,'Room Info'!$C$2:$C3446, 0)),if(G268='Room Info'!$D$1, INDEX('Room Info'!$A$2:$A3446, MATCH(B268,'Room Info'!$D$2:$D3446, 0)),if(G268='Room Info'!$E$1, INDEX('Room Info'!$A$2:$A3446, MATCH(B268,'Room Info'!$E$2:$E3446, 0)),if(G268='Room Info'!$F$1, INDEX('Room Info'!$A$2:$A3446, MATCH(B268,'Room Info'!$F$2:$F3446, 0)),if(G268='Room Info'!$H$1, INDEX('Room Info'!$A$2:$A3446, MATCH(B268,'Room Info'!$H$2:$H3446, 0)),if(G268='Room Info'!$G$1, INDEX('Room Info'!$A$2:$A3446, MATCH(B268,'Room Info'!$G$2:$G3446, 0)))))))))</f>
        <v>Mexanuk_AV</v>
      </c>
      <c r="B268" s="50" t="s">
        <v>160</v>
      </c>
      <c r="C268" s="97">
        <v>44613.0</v>
      </c>
      <c r="D268" s="51">
        <v>44640.0</v>
      </c>
      <c r="E268" s="52">
        <v>44621.0</v>
      </c>
      <c r="F268" s="50" t="s">
        <v>4</v>
      </c>
      <c r="G268" s="50" t="s">
        <v>5</v>
      </c>
      <c r="H268" s="54" t="s">
        <v>45</v>
      </c>
      <c r="I268" s="54" t="s">
        <v>7</v>
      </c>
      <c r="J268" s="75">
        <v>10.0</v>
      </c>
      <c r="K268" s="76">
        <v>2153.0</v>
      </c>
      <c r="L268" s="57">
        <v>70.0</v>
      </c>
      <c r="M268" s="58">
        <v>264.0</v>
      </c>
      <c r="N268" s="33">
        <f t="shared" si="13"/>
        <v>21530</v>
      </c>
      <c r="O268" s="59">
        <v>90754.0</v>
      </c>
      <c r="P268" s="34">
        <f t="shared" si="14"/>
        <v>42.15234556</v>
      </c>
      <c r="Q268" s="60"/>
      <c r="R268" s="36">
        <f t="shared" si="45"/>
        <v>264</v>
      </c>
      <c r="S268" s="61">
        <v>32.0</v>
      </c>
      <c r="T268" s="37">
        <f t="shared" si="46"/>
        <v>296</v>
      </c>
      <c r="U268" s="62">
        <v>1.0</v>
      </c>
      <c r="V268" s="74">
        <v>9.650107991360692</v>
      </c>
      <c r="W268" s="74">
        <v>26.528200537153086</v>
      </c>
      <c r="X268" s="35">
        <f t="shared" si="55"/>
        <v>0.3</v>
      </c>
      <c r="Y268" s="35">
        <f t="shared" si="56"/>
        <v>0</v>
      </c>
      <c r="Z268" s="40">
        <f t="shared" si="57"/>
        <v>207.2</v>
      </c>
      <c r="AA268" s="34">
        <f t="shared" si="58"/>
        <v>88.8</v>
      </c>
      <c r="AB268" s="41">
        <f t="shared" si="49"/>
        <v>0</v>
      </c>
      <c r="AC268" s="42" t="b">
        <v>1</v>
      </c>
      <c r="AD268" s="42" t="s">
        <v>138</v>
      </c>
      <c r="AE268" s="42" t="s">
        <v>138</v>
      </c>
      <c r="AF268" s="42" t="str">
        <f t="array" ref="AF268">INDEX('Deal Info'!D:D, MATCH(A268,'Deal Info'!A:A, 0))</f>
        <v>SF</v>
      </c>
      <c r="AG268" s="43" t="str">
        <f t="array" ref="AG268">INDEX('Deal Info'!G:G, MATCH(A268,'Deal Info'!A:A, 0))</f>
        <v>None</v>
      </c>
    </row>
    <row r="269" hidden="1">
      <c r="A269" s="23" t="str">
        <f t="array" ref="A269">if(G269='Room Info'!$B$1, INDEX('Room Info'!$A$2:$A3446, MATCH(B269,'Room Info'!$B$2:$B3446, 0)),if(G269='Room Info'!$C$1, INDEX('Room Info'!$A$2:$A3446, MATCH(B269,'Room Info'!$C$2:$C3446, 0)),if(G269='Room Info'!$D$1, INDEX('Room Info'!$A$2:$A3446, MATCH(B269,'Room Info'!$D$2:$D3446, 0)),if(G269='Room Info'!$E$1, INDEX('Room Info'!$A$2:$A3446, MATCH(B269,'Room Info'!$E$2:$E3446, 0)),if(G269='Room Info'!$F$1, INDEX('Room Info'!$A$2:$A3446, MATCH(B269,'Room Info'!$F$2:$F3446, 0)),if(G269='Room Info'!$H$1, INDEX('Room Info'!$A$2:$A3446, MATCH(B269,'Room Info'!$H$2:$H3446, 0)),if(G269='Room Info'!$G$1, INDEX('Room Info'!$A$2:$A3446, MATCH(B269,'Room Info'!$G$2:$G3446, 0)))))))))</f>
        <v>Mexanuk_AV</v>
      </c>
      <c r="B269" s="50" t="s">
        <v>160</v>
      </c>
      <c r="C269" s="97">
        <v>44641.0</v>
      </c>
      <c r="D269" s="51">
        <v>44671.0</v>
      </c>
      <c r="E269" s="52">
        <v>44652.0</v>
      </c>
      <c r="F269" s="50" t="s">
        <v>4</v>
      </c>
      <c r="G269" s="50" t="s">
        <v>5</v>
      </c>
      <c r="H269" s="54" t="s">
        <v>35</v>
      </c>
      <c r="I269" s="54" t="s">
        <v>7</v>
      </c>
      <c r="J269" s="75">
        <v>5.0</v>
      </c>
      <c r="K269" s="76">
        <v>12.0</v>
      </c>
      <c r="L269" s="57">
        <v>15.0</v>
      </c>
      <c r="M269" s="58">
        <v>3.0</v>
      </c>
      <c r="N269" s="33">
        <f t="shared" si="13"/>
        <v>60</v>
      </c>
      <c r="O269" s="59">
        <v>1356.0</v>
      </c>
      <c r="P269" s="34">
        <f t="shared" si="14"/>
        <v>113</v>
      </c>
      <c r="Q269" s="60"/>
      <c r="R269" s="36">
        <f t="shared" si="45"/>
        <v>3</v>
      </c>
      <c r="S269" s="61">
        <v>7.0</v>
      </c>
      <c r="T269" s="37">
        <f t="shared" si="46"/>
        <v>10</v>
      </c>
      <c r="U269" s="62">
        <v>1.0</v>
      </c>
      <c r="V269" s="74">
        <v>9.9801521667218</v>
      </c>
      <c r="W269" s="74">
        <v>72.44378521710308</v>
      </c>
      <c r="X269" s="35">
        <f t="shared" si="55"/>
        <v>0.3</v>
      </c>
      <c r="Y269" s="35">
        <f t="shared" si="56"/>
        <v>0</v>
      </c>
      <c r="Z269" s="40">
        <f t="shared" si="57"/>
        <v>7</v>
      </c>
      <c r="AA269" s="34">
        <f t="shared" si="58"/>
        <v>3</v>
      </c>
      <c r="AB269" s="41">
        <f t="shared" si="49"/>
        <v>0</v>
      </c>
      <c r="AC269" s="42" t="b">
        <v>1</v>
      </c>
      <c r="AD269" s="42" t="s">
        <v>138</v>
      </c>
      <c r="AE269" s="42" t="s">
        <v>138</v>
      </c>
      <c r="AF269" s="42" t="str">
        <f t="array" ref="AF269">INDEX('Deal Info'!D:D, MATCH(A269,'Deal Info'!A:A, 0))</f>
        <v>SF</v>
      </c>
      <c r="AG269" s="43" t="str">
        <f t="array" ref="AG269">INDEX('Deal Info'!G:G, MATCH(A269,'Deal Info'!A:A, 0))</f>
        <v>None</v>
      </c>
    </row>
    <row r="270" hidden="1">
      <c r="A270" s="23" t="str">
        <f t="array" ref="A270">if(G270='Room Info'!$B$1, INDEX('Room Info'!$A$2:$A3446, MATCH(B270,'Room Info'!$B$2:$B3446, 0)),if(G270='Room Info'!$C$1, INDEX('Room Info'!$A$2:$A3446, MATCH(B270,'Room Info'!$C$2:$C3446, 0)),if(G270='Room Info'!$D$1, INDEX('Room Info'!$A$2:$A3446, MATCH(B270,'Room Info'!$D$2:$D3446, 0)),if(G270='Room Info'!$E$1, INDEX('Room Info'!$A$2:$A3446, MATCH(B270,'Room Info'!$E$2:$E3446, 0)),if(G270='Room Info'!$F$1, INDEX('Room Info'!$A$2:$A3446, MATCH(B270,'Room Info'!$F$2:$F3446, 0)),if(G270='Room Info'!$H$1, INDEX('Room Info'!$A$2:$A3446, MATCH(B270,'Room Info'!$H$2:$H3446, 0)),if(G270='Room Info'!$G$1, INDEX('Room Info'!$A$2:$A3446, MATCH(B270,'Room Info'!$G$2:$G3446, 0)))))))))</f>
        <v>Mexanuk_AV</v>
      </c>
      <c r="B270" s="50" t="s">
        <v>160</v>
      </c>
      <c r="C270" s="97">
        <v>44641.0</v>
      </c>
      <c r="D270" s="51">
        <v>44671.0</v>
      </c>
      <c r="E270" s="52">
        <v>44652.0</v>
      </c>
      <c r="F270" s="50" t="s">
        <v>4</v>
      </c>
      <c r="G270" s="50" t="s">
        <v>5</v>
      </c>
      <c r="H270" s="54" t="s">
        <v>45</v>
      </c>
      <c r="I270" s="54" t="s">
        <v>7</v>
      </c>
      <c r="J270" s="75">
        <v>10.0</v>
      </c>
      <c r="K270" s="76">
        <v>3011.0</v>
      </c>
      <c r="L270" s="57">
        <v>-1030.0</v>
      </c>
      <c r="M270" s="58">
        <v>1332.0</v>
      </c>
      <c r="N270" s="33">
        <f t="shared" si="13"/>
        <v>30110</v>
      </c>
      <c r="O270" s="59">
        <v>82416.0</v>
      </c>
      <c r="P270" s="34">
        <f t="shared" si="14"/>
        <v>27.37163733</v>
      </c>
      <c r="Q270" s="60"/>
      <c r="R270" s="36">
        <f t="shared" si="45"/>
        <v>1332</v>
      </c>
      <c r="S270" s="61">
        <v>-619.0</v>
      </c>
      <c r="T270" s="37">
        <f t="shared" si="46"/>
        <v>713</v>
      </c>
      <c r="U270" s="62">
        <v>1.0</v>
      </c>
      <c r="V270" s="74">
        <v>9.9801521667218</v>
      </c>
      <c r="W270" s="74">
        <v>72.44378521710308</v>
      </c>
      <c r="X270" s="35">
        <f t="shared" si="55"/>
        <v>0.3</v>
      </c>
      <c r="Y270" s="35">
        <f t="shared" si="56"/>
        <v>0</v>
      </c>
      <c r="Z270" s="40">
        <f t="shared" si="57"/>
        <v>499.1</v>
      </c>
      <c r="AA270" s="34">
        <f t="shared" si="58"/>
        <v>213.9</v>
      </c>
      <c r="AB270" s="41">
        <f t="shared" si="49"/>
        <v>0</v>
      </c>
      <c r="AC270" s="42" t="b">
        <v>1</v>
      </c>
      <c r="AD270" s="42" t="s">
        <v>138</v>
      </c>
      <c r="AE270" s="42" t="s">
        <v>138</v>
      </c>
      <c r="AF270" s="42" t="str">
        <f t="array" ref="AF270">INDEX('Deal Info'!D:D, MATCH(A270,'Deal Info'!A:A, 0))</f>
        <v>SF</v>
      </c>
      <c r="AG270" s="43" t="str">
        <f t="array" ref="AG270">INDEX('Deal Info'!G:G, MATCH(A270,'Deal Info'!A:A, 0))</f>
        <v>None</v>
      </c>
    </row>
    <row r="271" hidden="1">
      <c r="A271" s="23" t="str">
        <f t="array" ref="A271">if(G271='Room Info'!$B$1, INDEX('Room Info'!$A$2:$A3446, MATCH(B271,'Room Info'!$B$2:$B3446, 0)),if(G271='Room Info'!$C$1, INDEX('Room Info'!$A$2:$A3446, MATCH(B271,'Room Info'!$C$2:$C3446, 0)),if(G271='Room Info'!$D$1, INDEX('Room Info'!$A$2:$A3446, MATCH(B271,'Room Info'!$D$2:$D3446, 0)),if(G271='Room Info'!$E$1, INDEX('Room Info'!$A$2:$A3446, MATCH(B271,'Room Info'!$E$2:$E3446, 0)),if(G271='Room Info'!$F$1, INDEX('Room Info'!$A$2:$A3446, MATCH(B271,'Room Info'!$F$2:$F3446, 0)),if(G271='Room Info'!$H$1, INDEX('Room Info'!$A$2:$A3446, MATCH(B271,'Room Info'!$H$2:$H3446, 0)),if(G271='Room Info'!$G$1, INDEX('Room Info'!$A$2:$A3446, MATCH(B271,'Room Info'!$G$2:$G3446, 0)))))))))</f>
        <v>Mexanuk_AV</v>
      </c>
      <c r="B271" s="50" t="s">
        <v>160</v>
      </c>
      <c r="C271" s="97">
        <v>44672.0</v>
      </c>
      <c r="D271" s="51">
        <v>44701.0</v>
      </c>
      <c r="E271" s="52">
        <v>44682.0</v>
      </c>
      <c r="F271" s="50" t="s">
        <v>4</v>
      </c>
      <c r="G271" s="50" t="s">
        <v>5</v>
      </c>
      <c r="H271" s="54" t="s">
        <v>45</v>
      </c>
      <c r="I271" s="54" t="s">
        <v>7</v>
      </c>
      <c r="J271" s="75">
        <v>10.0</v>
      </c>
      <c r="K271" s="76">
        <v>2691.0</v>
      </c>
      <c r="L271" s="57">
        <v>-990.0</v>
      </c>
      <c r="M271" s="58">
        <v>1945.0</v>
      </c>
      <c r="N271" s="33">
        <f t="shared" si="13"/>
        <v>26910</v>
      </c>
      <c r="O271" s="59">
        <v>81314.0</v>
      </c>
      <c r="P271" s="34">
        <f t="shared" si="14"/>
        <v>30.2170197</v>
      </c>
      <c r="Q271" s="60"/>
      <c r="R271" s="36">
        <f t="shared" si="45"/>
        <v>1945</v>
      </c>
      <c r="S271" s="61">
        <v>-476.0</v>
      </c>
      <c r="T271" s="37">
        <f t="shared" si="46"/>
        <v>1469</v>
      </c>
      <c r="U271" s="62">
        <v>1.0</v>
      </c>
      <c r="V271" s="74">
        <v>10.0</v>
      </c>
      <c r="W271" s="74">
        <v>146.9</v>
      </c>
      <c r="X271" s="35">
        <f t="shared" si="55"/>
        <v>0.25</v>
      </c>
      <c r="Y271" s="35">
        <f t="shared" si="56"/>
        <v>0</v>
      </c>
      <c r="Z271" s="40">
        <f t="shared" si="57"/>
        <v>1101.75</v>
      </c>
      <c r="AA271" s="34">
        <f t="shared" si="58"/>
        <v>367.25</v>
      </c>
      <c r="AB271" s="41">
        <f t="shared" si="49"/>
        <v>0</v>
      </c>
      <c r="AC271" s="42" t="b">
        <v>1</v>
      </c>
      <c r="AD271" s="42" t="s">
        <v>138</v>
      </c>
      <c r="AE271" s="42" t="s">
        <v>138</v>
      </c>
      <c r="AF271" s="42" t="str">
        <f t="array" ref="AF271">INDEX('Deal Info'!D:D, MATCH(A271,'Deal Info'!A:A, 0))</f>
        <v>SF</v>
      </c>
      <c r="AG271" s="43" t="str">
        <f t="array" ref="AG271">INDEX('Deal Info'!G:G, MATCH(A271,'Deal Info'!A:A, 0))</f>
        <v>None</v>
      </c>
    </row>
    <row r="272" hidden="1">
      <c r="A272" s="23" t="str">
        <f t="array" ref="A272">if(G272='Room Info'!$B$1, INDEX('Room Info'!$A$2:$A3446, MATCH(B272,'Room Info'!$B$2:$B3446, 0)),if(G272='Room Info'!$C$1, INDEX('Room Info'!$A$2:$A3446, MATCH(B272,'Room Info'!$C$2:$C3446, 0)),if(G272='Room Info'!$D$1, INDEX('Room Info'!$A$2:$A3446, MATCH(B272,'Room Info'!$D$2:$D3446, 0)),if(G272='Room Info'!$E$1, INDEX('Room Info'!$A$2:$A3446, MATCH(B272,'Room Info'!$E$2:$E3446, 0)),if(G272='Room Info'!$F$1, INDEX('Room Info'!$A$2:$A3446, MATCH(B272,'Room Info'!$F$2:$F3446, 0)),if(G272='Room Info'!$H$1, INDEX('Room Info'!$A$2:$A3446, MATCH(B272,'Room Info'!$H$2:$H3446, 0)),if(G272='Room Info'!$G$1, INDEX('Room Info'!$A$2:$A3446, MATCH(B272,'Room Info'!$G$2:$G3446, 0)))))))))</f>
        <v>Mexanuk_AV</v>
      </c>
      <c r="B272" s="50" t="s">
        <v>160</v>
      </c>
      <c r="C272" s="97">
        <v>44702.0</v>
      </c>
      <c r="D272" s="51">
        <v>44732.0</v>
      </c>
      <c r="E272" s="52">
        <v>44713.0</v>
      </c>
      <c r="F272" s="50" t="s">
        <v>4</v>
      </c>
      <c r="G272" s="50" t="s">
        <v>5</v>
      </c>
      <c r="H272" s="54" t="s">
        <v>45</v>
      </c>
      <c r="I272" s="54" t="s">
        <v>7</v>
      </c>
      <c r="J272" s="75">
        <v>10.0</v>
      </c>
      <c r="K272" s="76">
        <v>2783.0</v>
      </c>
      <c r="L272" s="57">
        <v>810.0</v>
      </c>
      <c r="M272" s="58">
        <v>1455.0</v>
      </c>
      <c r="N272" s="33">
        <f t="shared" si="13"/>
        <v>27830</v>
      </c>
      <c r="O272" s="59">
        <v>109853.0</v>
      </c>
      <c r="P272" s="34">
        <f t="shared" si="14"/>
        <v>39.472871</v>
      </c>
      <c r="Q272" s="60"/>
      <c r="R272" s="36">
        <f t="shared" si="45"/>
        <v>1455</v>
      </c>
      <c r="S272" s="61">
        <v>-27.0</v>
      </c>
      <c r="T272" s="37">
        <f t="shared" si="46"/>
        <v>1428</v>
      </c>
      <c r="U272" s="62">
        <v>1.0</v>
      </c>
      <c r="V272" s="74">
        <v>10.0</v>
      </c>
      <c r="W272" s="74">
        <v>142.8</v>
      </c>
      <c r="X272" s="35">
        <f t="shared" si="55"/>
        <v>0.25</v>
      </c>
      <c r="Y272" s="35">
        <f t="shared" si="56"/>
        <v>0</v>
      </c>
      <c r="Z272" s="40">
        <f t="shared" si="57"/>
        <v>1071</v>
      </c>
      <c r="AA272" s="34">
        <f t="shared" si="58"/>
        <v>357</v>
      </c>
      <c r="AB272" s="41">
        <f t="shared" si="49"/>
        <v>0</v>
      </c>
      <c r="AC272" s="42" t="b">
        <v>1</v>
      </c>
      <c r="AD272" s="42" t="s">
        <v>138</v>
      </c>
      <c r="AE272" s="42" t="s">
        <v>138</v>
      </c>
      <c r="AF272" s="42" t="str">
        <f t="array" ref="AF272">INDEX('Deal Info'!D:D, MATCH(A272,'Deal Info'!A:A, 0))</f>
        <v>SF</v>
      </c>
      <c r="AG272" s="43" t="str">
        <f t="array" ref="AG272">INDEX('Deal Info'!G:G, MATCH(A272,'Deal Info'!A:A, 0))</f>
        <v>None</v>
      </c>
    </row>
    <row r="273" hidden="1">
      <c r="A273" s="23" t="str">
        <f t="array" ref="A273">if(G273='Room Info'!$B$1, INDEX('Room Info'!$A$2:$A3446, MATCH(B273,'Room Info'!$B$2:$B3446, 0)),if(G273='Room Info'!$C$1, INDEX('Room Info'!$A$2:$A3446, MATCH(B273,'Room Info'!$C$2:$C3446, 0)),if(G273='Room Info'!$D$1, INDEX('Room Info'!$A$2:$A3446, MATCH(B273,'Room Info'!$D$2:$D3446, 0)),if(G273='Room Info'!$E$1, INDEX('Room Info'!$A$2:$A3446, MATCH(B273,'Room Info'!$E$2:$E3446, 0)),if(G273='Room Info'!$F$1, INDEX('Room Info'!$A$2:$A3446, MATCH(B273,'Room Info'!$F$2:$F3446, 0)),if(G273='Room Info'!$H$1, INDEX('Room Info'!$A$2:$A3446, MATCH(B273,'Room Info'!$H$2:$H3446, 0)),if(G273='Room Info'!$G$1, INDEX('Room Info'!$A$2:$A3446, MATCH(B273,'Room Info'!$G$2:$G3446, 0)))))))))</f>
        <v>Mexanuk_AV</v>
      </c>
      <c r="B273" s="50" t="s">
        <v>160</v>
      </c>
      <c r="C273" s="97">
        <v>44733.0</v>
      </c>
      <c r="D273" s="51">
        <v>44762.0</v>
      </c>
      <c r="E273" s="52">
        <v>44743.0</v>
      </c>
      <c r="F273" s="50" t="s">
        <v>4</v>
      </c>
      <c r="G273" s="50" t="s">
        <v>5</v>
      </c>
      <c r="H273" s="54" t="s">
        <v>35</v>
      </c>
      <c r="I273" s="54" t="s">
        <v>7</v>
      </c>
      <c r="J273" s="75">
        <v>5.0</v>
      </c>
      <c r="K273" s="76">
        <v>2.0</v>
      </c>
      <c r="L273" s="57">
        <v>0.0</v>
      </c>
      <c r="M273" s="67"/>
      <c r="N273" s="33">
        <f t="shared" si="13"/>
        <v>10</v>
      </c>
      <c r="O273" s="59">
        <v>-276.0</v>
      </c>
      <c r="P273" s="34">
        <f t="shared" si="14"/>
        <v>-138</v>
      </c>
      <c r="Q273" s="60"/>
      <c r="R273" s="36">
        <f t="shared" si="45"/>
        <v>0</v>
      </c>
      <c r="S273" s="61">
        <v>-3.0</v>
      </c>
      <c r="T273" s="37">
        <f t="shared" si="46"/>
        <v>-3</v>
      </c>
      <c r="U273" s="62">
        <v>1.0</v>
      </c>
      <c r="V273" s="74">
        <v>9.996614759647935</v>
      </c>
      <c r="W273" s="74">
        <v>132.44483576024382</v>
      </c>
      <c r="X273" s="35">
        <f t="shared" si="55"/>
        <v>0.25</v>
      </c>
      <c r="Y273" s="35">
        <f t="shared" si="56"/>
        <v>0</v>
      </c>
      <c r="Z273" s="40">
        <f t="shared" si="57"/>
        <v>-2.25</v>
      </c>
      <c r="AA273" s="34">
        <f t="shared" si="58"/>
        <v>-0.75</v>
      </c>
      <c r="AB273" s="41">
        <f t="shared" si="49"/>
        <v>0</v>
      </c>
      <c r="AC273" s="42" t="b">
        <v>1</v>
      </c>
      <c r="AD273" s="42" t="s">
        <v>138</v>
      </c>
      <c r="AE273" s="42" t="s">
        <v>138</v>
      </c>
      <c r="AF273" s="42" t="str">
        <f t="array" ref="AF273">INDEX('Deal Info'!D:D, MATCH(A273,'Deal Info'!A:A, 0))</f>
        <v>SF</v>
      </c>
      <c r="AG273" s="43" t="str">
        <f t="array" ref="AG273">INDEX('Deal Info'!G:G, MATCH(A273,'Deal Info'!A:A, 0))</f>
        <v>None</v>
      </c>
    </row>
    <row r="274" hidden="1">
      <c r="A274" s="23" t="str">
        <f t="array" ref="A274">if(G274='Room Info'!$B$1, INDEX('Room Info'!$A$2:$A3446, MATCH(B274,'Room Info'!$B$2:$B3446, 0)),if(G274='Room Info'!$C$1, INDEX('Room Info'!$A$2:$A3446, MATCH(B274,'Room Info'!$C$2:$C3446, 0)),if(G274='Room Info'!$D$1, INDEX('Room Info'!$A$2:$A3446, MATCH(B274,'Room Info'!$D$2:$D3446, 0)),if(G274='Room Info'!$E$1, INDEX('Room Info'!$A$2:$A3446, MATCH(B274,'Room Info'!$E$2:$E3446, 0)),if(G274='Room Info'!$F$1, INDEX('Room Info'!$A$2:$A3446, MATCH(B274,'Room Info'!$F$2:$F3446, 0)),if(G274='Room Info'!$H$1, INDEX('Room Info'!$A$2:$A3446, MATCH(B274,'Room Info'!$H$2:$H3446, 0)),if(G274='Room Info'!$G$1, INDEX('Room Info'!$A$2:$A3446, MATCH(B274,'Room Info'!$G$2:$G3446, 0)))))))))</f>
        <v>Mexanuk_AV</v>
      </c>
      <c r="B274" s="50" t="s">
        <v>160</v>
      </c>
      <c r="C274" s="97">
        <v>44733.0</v>
      </c>
      <c r="D274" s="51">
        <v>44762.0</v>
      </c>
      <c r="E274" s="52">
        <v>44743.0</v>
      </c>
      <c r="F274" s="50" t="s">
        <v>4</v>
      </c>
      <c r="G274" s="50" t="s">
        <v>5</v>
      </c>
      <c r="H274" s="54" t="s">
        <v>45</v>
      </c>
      <c r="I274" s="54" t="s">
        <v>7</v>
      </c>
      <c r="J274" s="75">
        <v>10.0</v>
      </c>
      <c r="K274" s="76">
        <v>2952.0</v>
      </c>
      <c r="L274" s="57">
        <v>-760.0</v>
      </c>
      <c r="M274" s="58">
        <v>1825.0</v>
      </c>
      <c r="N274" s="33">
        <f t="shared" si="13"/>
        <v>29520</v>
      </c>
      <c r="O274" s="59">
        <v>94078.0</v>
      </c>
      <c r="P274" s="34">
        <f t="shared" si="14"/>
        <v>31.86924119</v>
      </c>
      <c r="Q274" s="60"/>
      <c r="R274" s="36">
        <f t="shared" si="45"/>
        <v>1825</v>
      </c>
      <c r="S274" s="61">
        <v>-498.0</v>
      </c>
      <c r="T274" s="37">
        <f t="shared" si="46"/>
        <v>1327</v>
      </c>
      <c r="U274" s="62">
        <v>1.0</v>
      </c>
      <c r="V274" s="74">
        <v>9.996614759647935</v>
      </c>
      <c r="W274" s="74">
        <v>132.44483576024382</v>
      </c>
      <c r="X274" s="35">
        <f t="shared" si="55"/>
        <v>0.25</v>
      </c>
      <c r="Y274" s="35">
        <f t="shared" si="56"/>
        <v>0</v>
      </c>
      <c r="Z274" s="40">
        <f t="shared" si="57"/>
        <v>995.25</v>
      </c>
      <c r="AA274" s="34">
        <f t="shared" si="58"/>
        <v>331.75</v>
      </c>
      <c r="AB274" s="41">
        <f t="shared" si="49"/>
        <v>0</v>
      </c>
      <c r="AC274" s="42" t="b">
        <v>1</v>
      </c>
      <c r="AD274" s="42" t="s">
        <v>138</v>
      </c>
      <c r="AE274" s="42" t="s">
        <v>138</v>
      </c>
      <c r="AF274" s="42" t="str">
        <f t="array" ref="AF274">INDEX('Deal Info'!D:D, MATCH(A274,'Deal Info'!A:A, 0))</f>
        <v>SF</v>
      </c>
      <c r="AG274" s="43" t="str">
        <f t="array" ref="AG274">INDEX('Deal Info'!G:G, MATCH(A274,'Deal Info'!A:A, 0))</f>
        <v>None</v>
      </c>
    </row>
    <row r="275" hidden="1">
      <c r="A275" s="23" t="str">
        <f t="array" ref="A275">if(G275='Room Info'!$B$1, INDEX('Room Info'!$A$2:$A3446, MATCH(B275,'Room Info'!$B$2:$B3446, 0)),if(G275='Room Info'!$C$1, INDEX('Room Info'!$A$2:$A3446, MATCH(B275,'Room Info'!$C$2:$C3446, 0)),if(G275='Room Info'!$D$1, INDEX('Room Info'!$A$2:$A3446, MATCH(B275,'Room Info'!$D$2:$D3446, 0)),if(G275='Room Info'!$E$1, INDEX('Room Info'!$A$2:$A3446, MATCH(B275,'Room Info'!$E$2:$E3446, 0)),if(G275='Room Info'!$F$1, INDEX('Room Info'!$A$2:$A3446, MATCH(B275,'Room Info'!$F$2:$F3446, 0)),if(G275='Room Info'!$H$1, INDEX('Room Info'!$A$2:$A3446, MATCH(B275,'Room Info'!$H$2:$H3446, 0)),if(G275='Room Info'!$G$1, INDEX('Room Info'!$A$2:$A3446, MATCH(B275,'Room Info'!$G$2:$G3446, 0)))))))))</f>
        <v>Mexanuk_AV</v>
      </c>
      <c r="B275" s="50" t="s">
        <v>160</v>
      </c>
      <c r="C275" s="97">
        <v>44763.0</v>
      </c>
      <c r="D275" s="51">
        <v>44793.0</v>
      </c>
      <c r="E275" s="52">
        <v>44774.0</v>
      </c>
      <c r="F275" s="53" t="s">
        <v>4</v>
      </c>
      <c r="G275" s="50" t="s">
        <v>5</v>
      </c>
      <c r="H275" s="54" t="s">
        <v>45</v>
      </c>
      <c r="I275" s="54" t="s">
        <v>7</v>
      </c>
      <c r="J275" s="75">
        <v>10.0</v>
      </c>
      <c r="K275" s="76">
        <v>2673.0</v>
      </c>
      <c r="L275" s="57">
        <v>-1840.0</v>
      </c>
      <c r="M275" s="58">
        <v>165.0</v>
      </c>
      <c r="N275" s="33">
        <f t="shared" si="13"/>
        <v>26730</v>
      </c>
      <c r="O275" s="59">
        <v>47481.0</v>
      </c>
      <c r="P275" s="34">
        <f t="shared" si="14"/>
        <v>17.76318743</v>
      </c>
      <c r="Q275" s="60"/>
      <c r="R275" s="36">
        <f t="shared" si="45"/>
        <v>165</v>
      </c>
      <c r="S275" s="61">
        <v>-1085.0</v>
      </c>
      <c r="T275" s="37">
        <f t="shared" si="46"/>
        <v>-920</v>
      </c>
      <c r="U275" s="62">
        <v>1.0</v>
      </c>
      <c r="V275" s="74">
        <v>10.0</v>
      </c>
      <c r="W275" s="63">
        <v>35.0</v>
      </c>
      <c r="X275" s="35">
        <f t="shared" si="55"/>
        <v>0.3</v>
      </c>
      <c r="Y275" s="35">
        <f t="shared" si="56"/>
        <v>0</v>
      </c>
      <c r="Z275" s="40">
        <f t="shared" si="57"/>
        <v>-644</v>
      </c>
      <c r="AA275" s="34">
        <f t="shared" si="58"/>
        <v>-276</v>
      </c>
      <c r="AB275" s="41">
        <f t="shared" si="49"/>
        <v>0</v>
      </c>
      <c r="AC275" s="42" t="b">
        <v>1</v>
      </c>
      <c r="AD275" s="42" t="s">
        <v>138</v>
      </c>
      <c r="AE275" s="42" t="s">
        <v>138</v>
      </c>
      <c r="AF275" s="42" t="str">
        <f t="array" ref="AF275">INDEX('Deal Info'!D:D, MATCH(A275,'Deal Info'!A:A, 0))</f>
        <v>SF</v>
      </c>
      <c r="AG275" s="43" t="str">
        <f t="array" ref="AG275">INDEX('Deal Info'!G:G, MATCH(A275,'Deal Info'!A:A, 0))</f>
        <v>None</v>
      </c>
    </row>
    <row r="276" hidden="1">
      <c r="A276" s="23" t="str">
        <f t="array" ref="A276">if(G276='Room Info'!$B$1, INDEX('Room Info'!$A$2:$A3446, MATCH(B276,'Room Info'!$B$2:$B3446, 0)),if(G276='Room Info'!$C$1, INDEX('Room Info'!$A$2:$A3446, MATCH(B276,'Room Info'!$C$2:$C3446, 0)),if(G276='Room Info'!$D$1, INDEX('Room Info'!$A$2:$A3446, MATCH(B276,'Room Info'!$D$2:$D3446, 0)),if(G276='Room Info'!$E$1, INDEX('Room Info'!$A$2:$A3446, MATCH(B276,'Room Info'!$E$2:$E3446, 0)),if(G276='Room Info'!$F$1, INDEX('Room Info'!$A$2:$A3446, MATCH(B276,'Room Info'!$F$2:$F3446, 0)),if(G276='Room Info'!$H$1, INDEX('Room Info'!$A$2:$A3446, MATCH(B276,'Room Info'!$H$2:$H3446, 0)),if(G276='Room Info'!$G$1, INDEX('Room Info'!$A$2:$A3446, MATCH(B276,'Room Info'!$G$2:$G3446, 0)))))))))</f>
        <v>Mexanuk_AV</v>
      </c>
      <c r="B276" s="50" t="s">
        <v>160</v>
      </c>
      <c r="C276" s="97">
        <v>44794.0</v>
      </c>
      <c r="D276" s="51">
        <v>44824.0</v>
      </c>
      <c r="E276" s="52">
        <v>44805.0</v>
      </c>
      <c r="F276" s="53" t="s">
        <v>4</v>
      </c>
      <c r="G276" s="50" t="s">
        <v>5</v>
      </c>
      <c r="H276" s="54" t="s">
        <v>45</v>
      </c>
      <c r="I276" s="54" t="s">
        <v>7</v>
      </c>
      <c r="J276" s="75">
        <v>10.0</v>
      </c>
      <c r="K276" s="76">
        <v>3082.0</v>
      </c>
      <c r="L276" s="57">
        <v>-2510.0</v>
      </c>
      <c r="M276" s="58">
        <v>2470.0</v>
      </c>
      <c r="N276" s="33">
        <f t="shared" si="13"/>
        <v>30820</v>
      </c>
      <c r="O276" s="59">
        <v>59631.0</v>
      </c>
      <c r="P276" s="34">
        <f t="shared" si="14"/>
        <v>19.34815055</v>
      </c>
      <c r="Q276" s="60"/>
      <c r="R276" s="36">
        <f t="shared" si="45"/>
        <v>2470</v>
      </c>
      <c r="S276" s="61">
        <v>-1205.0</v>
      </c>
      <c r="T276" s="37">
        <f t="shared" si="46"/>
        <v>1265</v>
      </c>
      <c r="U276" s="62">
        <v>1.0</v>
      </c>
      <c r="V276" s="74">
        <v>10.0</v>
      </c>
      <c r="W276" s="63">
        <v>35.0</v>
      </c>
      <c r="X276" s="35">
        <f t="shared" si="55"/>
        <v>0.3</v>
      </c>
      <c r="Y276" s="35">
        <f t="shared" si="56"/>
        <v>0</v>
      </c>
      <c r="Z276" s="40">
        <f t="shared" si="57"/>
        <v>885.5</v>
      </c>
      <c r="AA276" s="34">
        <f t="shared" si="58"/>
        <v>379.5</v>
      </c>
      <c r="AB276" s="41">
        <f t="shared" si="49"/>
        <v>0</v>
      </c>
      <c r="AC276" s="42" t="b">
        <v>1</v>
      </c>
      <c r="AD276" s="42" t="s">
        <v>138</v>
      </c>
      <c r="AE276" s="42" t="s">
        <v>138</v>
      </c>
      <c r="AF276" s="42" t="str">
        <f t="array" ref="AF276">INDEX('Deal Info'!D:D, MATCH(A276,'Deal Info'!A:A, 0))</f>
        <v>SF</v>
      </c>
      <c r="AG276" s="43" t="str">
        <f t="array" ref="AG276">INDEX('Deal Info'!G:G, MATCH(A276,'Deal Info'!A:A, 0))</f>
        <v>None</v>
      </c>
    </row>
    <row r="277" hidden="1">
      <c r="A277" s="23" t="str">
        <f t="array" ref="A277">if(G277='Room Info'!$B$1, INDEX('Room Info'!$A$2:$A3446, MATCH(B277,'Room Info'!$B$2:$B3446, 0)),if(G277='Room Info'!$C$1, INDEX('Room Info'!$A$2:$A3446, MATCH(B277,'Room Info'!$C$2:$C3446, 0)),if(G277='Room Info'!$D$1, INDEX('Room Info'!$A$2:$A3446, MATCH(B277,'Room Info'!$D$2:$D3446, 0)),if(G277='Room Info'!$E$1, INDEX('Room Info'!$A$2:$A3446, MATCH(B277,'Room Info'!$E$2:$E3446, 0)),if(G277='Room Info'!$F$1, INDEX('Room Info'!$A$2:$A3446, MATCH(B277,'Room Info'!$F$2:$F3446, 0)),if(G277='Room Info'!$H$1, INDEX('Room Info'!$A$2:$A3446, MATCH(B277,'Room Info'!$H$2:$H3446, 0)),if(G277='Room Info'!$G$1, INDEX('Room Info'!$A$2:$A3446, MATCH(B277,'Room Info'!$G$2:$G3446, 0)))))))))</f>
        <v>Mexanuk_AV</v>
      </c>
      <c r="B277" s="50" t="s">
        <v>160</v>
      </c>
      <c r="C277" s="97">
        <v>44825.0</v>
      </c>
      <c r="D277" s="51">
        <v>44854.0</v>
      </c>
      <c r="E277" s="52">
        <v>44835.0</v>
      </c>
      <c r="F277" s="53" t="s">
        <v>4</v>
      </c>
      <c r="G277" s="50" t="s">
        <v>5</v>
      </c>
      <c r="H277" s="54" t="s">
        <v>35</v>
      </c>
      <c r="I277" s="54" t="s">
        <v>7</v>
      </c>
      <c r="J277" s="75">
        <v>5.0</v>
      </c>
      <c r="K277" s="76">
        <v>1.0</v>
      </c>
      <c r="L277" s="57">
        <v>-5.0</v>
      </c>
      <c r="M277" s="67"/>
      <c r="N277" s="33">
        <f t="shared" si="13"/>
        <v>5</v>
      </c>
      <c r="O277" s="59">
        <v>98.0</v>
      </c>
      <c r="P277" s="34">
        <f t="shared" si="14"/>
        <v>98</v>
      </c>
      <c r="Q277" s="60"/>
      <c r="R277" s="36">
        <f t="shared" si="45"/>
        <v>0</v>
      </c>
      <c r="S277" s="61">
        <v>0.0</v>
      </c>
      <c r="T277" s="37">
        <f t="shared" si="46"/>
        <v>0</v>
      </c>
      <c r="U277" s="62">
        <v>1.0</v>
      </c>
      <c r="V277" s="74">
        <v>9.998196898665705</v>
      </c>
      <c r="W277" s="74">
        <v>84.2151848512173</v>
      </c>
      <c r="X277" s="35">
        <f t="shared" si="55"/>
        <v>0.3</v>
      </c>
      <c r="Y277" s="35">
        <f t="shared" si="56"/>
        <v>0</v>
      </c>
      <c r="Z277" s="40">
        <f t="shared" si="57"/>
        <v>0</v>
      </c>
      <c r="AA277" s="34">
        <f t="shared" si="58"/>
        <v>0</v>
      </c>
      <c r="AB277" s="41">
        <f t="shared" si="49"/>
        <v>0</v>
      </c>
      <c r="AC277" s="42" t="b">
        <v>1</v>
      </c>
      <c r="AD277" s="42" t="s">
        <v>138</v>
      </c>
      <c r="AE277" s="42" t="s">
        <v>138</v>
      </c>
      <c r="AF277" s="42" t="str">
        <f t="array" ref="AF277">INDEX('Deal Info'!D:D, MATCH(A277,'Deal Info'!A:A, 0))</f>
        <v>SF</v>
      </c>
      <c r="AG277" s="43" t="str">
        <f t="array" ref="AG277">INDEX('Deal Info'!G:G, MATCH(A277,'Deal Info'!A:A, 0))</f>
        <v>None</v>
      </c>
    </row>
    <row r="278" hidden="1">
      <c r="A278" s="23" t="str">
        <f t="array" ref="A278">if(G278='Room Info'!$B$1, INDEX('Room Info'!$A$2:$A3446, MATCH(B278,'Room Info'!$B$2:$B3446, 0)),if(G278='Room Info'!$C$1, INDEX('Room Info'!$A$2:$A3446, MATCH(B278,'Room Info'!$C$2:$C3446, 0)),if(G278='Room Info'!$D$1, INDEX('Room Info'!$A$2:$A3446, MATCH(B278,'Room Info'!$D$2:$D3446, 0)),if(G278='Room Info'!$E$1, INDEX('Room Info'!$A$2:$A3446, MATCH(B278,'Room Info'!$E$2:$E3446, 0)),if(G278='Room Info'!$F$1, INDEX('Room Info'!$A$2:$A3446, MATCH(B278,'Room Info'!$F$2:$F3446, 0)),if(G278='Room Info'!$H$1, INDEX('Room Info'!$A$2:$A3446, MATCH(B278,'Room Info'!$H$2:$H3446, 0)),if(G278='Room Info'!$G$1, INDEX('Room Info'!$A$2:$A3446, MATCH(B278,'Room Info'!$G$2:$G3446, 0)))))))))</f>
        <v>Mexanuk_AV</v>
      </c>
      <c r="B278" s="50" t="s">
        <v>160</v>
      </c>
      <c r="C278" s="97">
        <v>44825.0</v>
      </c>
      <c r="D278" s="51">
        <v>44854.0</v>
      </c>
      <c r="E278" s="52">
        <v>44835.0</v>
      </c>
      <c r="F278" s="53" t="s">
        <v>4</v>
      </c>
      <c r="G278" s="50" t="s">
        <v>5</v>
      </c>
      <c r="H278" s="54" t="s">
        <v>45</v>
      </c>
      <c r="I278" s="54" t="s">
        <v>7</v>
      </c>
      <c r="J278" s="75">
        <v>10.0</v>
      </c>
      <c r="K278" s="76">
        <v>2772.0</v>
      </c>
      <c r="L278" s="57">
        <v>-900.0</v>
      </c>
      <c r="M278" s="58">
        <v>1350.0</v>
      </c>
      <c r="N278" s="33">
        <f t="shared" si="13"/>
        <v>27720</v>
      </c>
      <c r="O278" s="59">
        <v>83017.0</v>
      </c>
      <c r="P278" s="34">
        <f t="shared" si="14"/>
        <v>29.9484127</v>
      </c>
      <c r="Q278" s="60"/>
      <c r="R278" s="36">
        <f t="shared" si="45"/>
        <v>1350</v>
      </c>
      <c r="S278" s="61">
        <v>-508.0</v>
      </c>
      <c r="T278" s="37">
        <f t="shared" si="46"/>
        <v>842</v>
      </c>
      <c r="U278" s="62">
        <v>1.0</v>
      </c>
      <c r="V278" s="74">
        <v>9.998196898665705</v>
      </c>
      <c r="W278" s="74">
        <v>84.2151848512173</v>
      </c>
      <c r="X278" s="35">
        <f t="shared" si="55"/>
        <v>0.3</v>
      </c>
      <c r="Y278" s="35">
        <f t="shared" si="56"/>
        <v>0</v>
      </c>
      <c r="Z278" s="40">
        <f t="shared" si="57"/>
        <v>589.4</v>
      </c>
      <c r="AA278" s="34">
        <f t="shared" si="58"/>
        <v>252.6</v>
      </c>
      <c r="AB278" s="41">
        <f t="shared" si="49"/>
        <v>0</v>
      </c>
      <c r="AC278" s="42" t="b">
        <v>1</v>
      </c>
      <c r="AD278" s="42" t="s">
        <v>138</v>
      </c>
      <c r="AE278" s="42" t="s">
        <v>138</v>
      </c>
      <c r="AF278" s="42" t="str">
        <f t="array" ref="AF278">INDEX('Deal Info'!D:D, MATCH(A278,'Deal Info'!A:A, 0))</f>
        <v>SF</v>
      </c>
      <c r="AG278" s="43" t="str">
        <f t="array" ref="AG278">INDEX('Deal Info'!G:G, MATCH(A278,'Deal Info'!A:A, 0))</f>
        <v>None</v>
      </c>
    </row>
    <row r="279" hidden="1">
      <c r="A279" s="23" t="str">
        <f t="array" ref="A279">if(G279='Room Info'!$B$1, INDEX('Room Info'!$A$2:$A3446, MATCH(B279,'Room Info'!$B$2:$B3446, 0)),if(G279='Room Info'!$C$1, INDEX('Room Info'!$A$2:$A3446, MATCH(B279,'Room Info'!$C$2:$C3446, 0)),if(G279='Room Info'!$D$1, INDEX('Room Info'!$A$2:$A3446, MATCH(B279,'Room Info'!$D$2:$D3446, 0)),if(G279='Room Info'!$E$1, INDEX('Room Info'!$A$2:$A3446, MATCH(B279,'Room Info'!$E$2:$E3446, 0)),if(G279='Room Info'!$F$1, INDEX('Room Info'!$A$2:$A3446, MATCH(B279,'Room Info'!$F$2:$F3446, 0)),if(G279='Room Info'!$H$1, INDEX('Room Info'!$A$2:$A3446, MATCH(B279,'Room Info'!$H$2:$H3446, 0)),if(G279='Room Info'!$G$1, INDEX('Room Info'!$A$2:$A3446, MATCH(B279,'Room Info'!$G$2:$G3446, 0)))))))))</f>
        <v>Mexanuk_AV</v>
      </c>
      <c r="B279" s="50" t="s">
        <v>160</v>
      </c>
      <c r="C279" s="97">
        <v>44855.0</v>
      </c>
      <c r="D279" s="51">
        <v>44885.0</v>
      </c>
      <c r="E279" s="52">
        <v>44866.0</v>
      </c>
      <c r="F279" s="53" t="s">
        <v>4</v>
      </c>
      <c r="G279" s="50" t="s">
        <v>5</v>
      </c>
      <c r="H279" s="54" t="s">
        <v>45</v>
      </c>
      <c r="I279" s="54" t="s">
        <v>7</v>
      </c>
      <c r="J279" s="75">
        <v>10.0</v>
      </c>
      <c r="K279" s="76">
        <v>341.0</v>
      </c>
      <c r="L279" s="57">
        <v>-700.0</v>
      </c>
      <c r="M279" s="58">
        <v>120.0</v>
      </c>
      <c r="N279" s="33">
        <f t="shared" si="13"/>
        <v>3410</v>
      </c>
      <c r="O279" s="59">
        <v>-5750.0</v>
      </c>
      <c r="P279" s="34">
        <f t="shared" si="14"/>
        <v>-16.86217009</v>
      </c>
      <c r="Q279" s="60"/>
      <c r="R279" s="36">
        <f t="shared" si="45"/>
        <v>120</v>
      </c>
      <c r="S279" s="61">
        <v>-363.0</v>
      </c>
      <c r="T279" s="37">
        <f t="shared" si="46"/>
        <v>-243</v>
      </c>
      <c r="U279" s="62">
        <v>1.0</v>
      </c>
      <c r="V279" s="74">
        <v>23.487133984028393</v>
      </c>
      <c r="W279" s="63">
        <v>0.38</v>
      </c>
      <c r="X279" s="35">
        <f t="shared" si="55"/>
        <v>0.3</v>
      </c>
      <c r="Y279" s="35">
        <f t="shared" si="56"/>
        <v>0</v>
      </c>
      <c r="Z279" s="40">
        <f t="shared" si="57"/>
        <v>-170.1</v>
      </c>
      <c r="AA279" s="34">
        <f t="shared" si="58"/>
        <v>-72.9</v>
      </c>
      <c r="AB279" s="41">
        <f t="shared" si="49"/>
        <v>0</v>
      </c>
      <c r="AC279" s="42" t="b">
        <v>1</v>
      </c>
      <c r="AD279" s="42" t="s">
        <v>138</v>
      </c>
      <c r="AE279" s="42" t="s">
        <v>138</v>
      </c>
      <c r="AF279" s="42" t="str">
        <f t="array" ref="AF279">INDEX('Deal Info'!D:D, MATCH(A279,'Deal Info'!A:A, 0))</f>
        <v>SF</v>
      </c>
      <c r="AG279" s="43" t="str">
        <f t="array" ref="AG279">INDEX('Deal Info'!G:G, MATCH(A279,'Deal Info'!A:A, 0))</f>
        <v>None</v>
      </c>
    </row>
    <row r="280" hidden="1">
      <c r="A280" s="23" t="str">
        <f t="array" ref="A280">if(G280='Room Info'!$B$1, INDEX('Room Info'!$A$2:$A3446, MATCH(B280,'Room Info'!$B$2:$B3446, 0)),if(G280='Room Info'!$C$1, INDEX('Room Info'!$A$2:$A3446, MATCH(B280,'Room Info'!$C$2:$C3446, 0)),if(G280='Room Info'!$D$1, INDEX('Room Info'!$A$2:$A3446, MATCH(B280,'Room Info'!$D$2:$D3446, 0)),if(G280='Room Info'!$E$1, INDEX('Room Info'!$A$2:$A3446, MATCH(B280,'Room Info'!$E$2:$E3446, 0)),if(G280='Room Info'!$F$1, INDEX('Room Info'!$A$2:$A3446, MATCH(B280,'Room Info'!$F$2:$F3446, 0)),if(G280='Room Info'!$H$1, INDEX('Room Info'!$A$2:$A3446, MATCH(B280,'Room Info'!$H$2:$H3446, 0)),if(G280='Room Info'!$G$1, INDEX('Room Info'!$A$2:$A3446, MATCH(B280,'Room Info'!$G$2:$G3446, 0)))))))))</f>
        <v>Mexanuk_AV</v>
      </c>
      <c r="B280" s="50" t="s">
        <v>160</v>
      </c>
      <c r="C280" s="97">
        <v>44855.0</v>
      </c>
      <c r="D280" s="51">
        <v>44885.0</v>
      </c>
      <c r="E280" s="52">
        <v>44866.0</v>
      </c>
      <c r="F280" s="53" t="s">
        <v>4</v>
      </c>
      <c r="G280" s="50" t="s">
        <v>5</v>
      </c>
      <c r="H280" s="54" t="s">
        <v>62</v>
      </c>
      <c r="I280" s="54" t="s">
        <v>7</v>
      </c>
      <c r="J280" s="75">
        <v>25.0</v>
      </c>
      <c r="K280" s="76">
        <v>2243.0</v>
      </c>
      <c r="L280" s="57">
        <v>250.0</v>
      </c>
      <c r="M280" s="58">
        <v>1690.0</v>
      </c>
      <c r="N280" s="33">
        <f t="shared" si="13"/>
        <v>56075</v>
      </c>
      <c r="O280" s="59">
        <v>43614.0</v>
      </c>
      <c r="P280" s="34">
        <f t="shared" si="14"/>
        <v>19.44449398</v>
      </c>
      <c r="Q280" s="60"/>
      <c r="R280" s="36">
        <f t="shared" si="45"/>
        <v>1690</v>
      </c>
      <c r="S280" s="61">
        <v>-1652.0</v>
      </c>
      <c r="T280" s="37">
        <f t="shared" si="46"/>
        <v>38</v>
      </c>
      <c r="U280" s="62">
        <v>1.0</v>
      </c>
      <c r="V280" s="74">
        <v>23.487133984028393</v>
      </c>
      <c r="W280" s="63">
        <v>0.38</v>
      </c>
      <c r="X280" s="35">
        <f t="shared" si="55"/>
        <v>0.3</v>
      </c>
      <c r="Y280" s="35">
        <f t="shared" si="56"/>
        <v>0</v>
      </c>
      <c r="Z280" s="40">
        <f t="shared" si="57"/>
        <v>26.6</v>
      </c>
      <c r="AA280" s="34">
        <f t="shared" si="58"/>
        <v>11.4</v>
      </c>
      <c r="AB280" s="41">
        <f t="shared" si="49"/>
        <v>0</v>
      </c>
      <c r="AC280" s="42" t="b">
        <v>1</v>
      </c>
      <c r="AD280" s="42" t="s">
        <v>138</v>
      </c>
      <c r="AE280" s="42" t="s">
        <v>138</v>
      </c>
      <c r="AF280" s="42" t="str">
        <f t="array" ref="AF280">INDEX('Deal Info'!D:D, MATCH(A280,'Deal Info'!A:A, 0))</f>
        <v>SF</v>
      </c>
      <c r="AG280" s="43" t="str">
        <f t="array" ref="AG280">INDEX('Deal Info'!G:G, MATCH(A280,'Deal Info'!A:A, 0))</f>
        <v>None</v>
      </c>
    </row>
    <row r="281" hidden="1">
      <c r="A281" s="23" t="str">
        <f t="array" ref="A281">if(G281='Room Info'!$B$1, INDEX('Room Info'!$A$2:$A3446, MATCH(B281,'Room Info'!$B$2:$B3446, 0)),if(G281='Room Info'!$C$1, INDEX('Room Info'!$A$2:$A3446, MATCH(B281,'Room Info'!$C$2:$C3446, 0)),if(G281='Room Info'!$D$1, INDEX('Room Info'!$A$2:$A3446, MATCH(B281,'Room Info'!$D$2:$D3446, 0)),if(G281='Room Info'!$E$1, INDEX('Room Info'!$A$2:$A3446, MATCH(B281,'Room Info'!$E$2:$E3446, 0)),if(G281='Room Info'!$F$1, INDEX('Room Info'!$A$2:$A3446, MATCH(B281,'Room Info'!$F$2:$F3446, 0)),if(G281='Room Info'!$H$1, INDEX('Room Info'!$A$2:$A3446, MATCH(B281,'Room Info'!$H$2:$H3446, 0)),if(G281='Room Info'!$G$1, INDEX('Room Info'!$A$2:$A3446, MATCH(B281,'Room Info'!$G$2:$G3446, 0)))))))))</f>
        <v>Mexanuk_AV</v>
      </c>
      <c r="B281" s="50" t="s">
        <v>160</v>
      </c>
      <c r="C281" s="97">
        <v>44886.0</v>
      </c>
      <c r="D281" s="51">
        <v>44915.0</v>
      </c>
      <c r="E281" s="52">
        <v>44896.0</v>
      </c>
      <c r="F281" s="53" t="s">
        <v>4</v>
      </c>
      <c r="G281" s="50" t="s">
        <v>5</v>
      </c>
      <c r="H281" s="54" t="s">
        <v>62</v>
      </c>
      <c r="I281" s="54" t="s">
        <v>7</v>
      </c>
      <c r="J281" s="55">
        <v>25.0</v>
      </c>
      <c r="K281" s="56">
        <v>797.0</v>
      </c>
      <c r="L281" s="57">
        <v>-325.0</v>
      </c>
      <c r="M281" s="58">
        <v>1100.0</v>
      </c>
      <c r="N281" s="33">
        <f t="shared" si="13"/>
        <v>19925</v>
      </c>
      <c r="O281" s="59">
        <v>8512.0</v>
      </c>
      <c r="P281" s="34">
        <f t="shared" si="14"/>
        <v>10.68005019</v>
      </c>
      <c r="Q281" s="60"/>
      <c r="R281" s="36">
        <f t="shared" si="45"/>
        <v>1100</v>
      </c>
      <c r="S281" s="61">
        <v>-877.0</v>
      </c>
      <c r="T281" s="37">
        <f t="shared" si="46"/>
        <v>223</v>
      </c>
      <c r="U281" s="62">
        <v>1.0</v>
      </c>
      <c r="V281" s="74">
        <v>23.487133984028393</v>
      </c>
      <c r="W281" s="63">
        <v>0.38</v>
      </c>
      <c r="X281" s="35">
        <f t="shared" si="55"/>
        <v>0.3</v>
      </c>
      <c r="Y281" s="35">
        <f t="shared" si="56"/>
        <v>0</v>
      </c>
      <c r="Z281" s="40">
        <f t="shared" si="57"/>
        <v>156.1</v>
      </c>
      <c r="AA281" s="34">
        <f t="shared" si="58"/>
        <v>66.9</v>
      </c>
      <c r="AB281" s="41">
        <f t="shared" si="49"/>
        <v>0</v>
      </c>
      <c r="AC281" s="42" t="b">
        <v>1</v>
      </c>
      <c r="AD281" s="42" t="s">
        <v>138</v>
      </c>
      <c r="AE281" s="42" t="s">
        <v>138</v>
      </c>
      <c r="AF281" s="42" t="str">
        <f t="array" ref="AF281">INDEX('Deal Info'!D:D, MATCH(A281,'Deal Info'!A:A, 0))</f>
        <v>SF</v>
      </c>
      <c r="AG281" s="43" t="str">
        <f t="array" ref="AG281">INDEX('Deal Info'!G:G, MATCH(A281,'Deal Info'!A:A, 0))</f>
        <v>None</v>
      </c>
    </row>
    <row r="282" hidden="1">
      <c r="A282" s="23" t="str">
        <f t="array" ref="A282">if(G282='Room Info'!$B$1, INDEX('Room Info'!$A$2:$A3446, MATCH(B282,'Room Info'!$B$2:$B3446, 0)),if(G282='Room Info'!$C$1, INDEX('Room Info'!$A$2:$A3446, MATCH(B282,'Room Info'!$C$2:$C3446, 0)),if(G282='Room Info'!$D$1, INDEX('Room Info'!$A$2:$A3446, MATCH(B282,'Room Info'!$D$2:$D3446, 0)),if(G282='Room Info'!$E$1, INDEX('Room Info'!$A$2:$A3446, MATCH(B282,'Room Info'!$E$2:$E3446, 0)),if(G282='Room Info'!$F$1, INDEX('Room Info'!$A$2:$A3446, MATCH(B282,'Room Info'!$F$2:$F3446, 0)),if(G282='Room Info'!$H$1, INDEX('Room Info'!$A$2:$A3446, MATCH(B282,'Room Info'!$H$2:$H3446, 0)),if(G282='Room Info'!$G$1, INDEX('Room Info'!$A$2:$A3446, MATCH(B282,'Room Info'!$G$2:$G3446, 0)))))))))</f>
        <v>SDEBA1</v>
      </c>
      <c r="B282" s="50" t="s">
        <v>161</v>
      </c>
      <c r="C282" s="97">
        <v>44802.0</v>
      </c>
      <c r="D282" s="51">
        <v>44824.0</v>
      </c>
      <c r="E282" s="52">
        <v>44805.0</v>
      </c>
      <c r="F282" s="50" t="s">
        <v>4</v>
      </c>
      <c r="G282" s="50" t="s">
        <v>5</v>
      </c>
      <c r="H282" s="54" t="s">
        <v>35</v>
      </c>
      <c r="I282" s="54" t="s">
        <v>7</v>
      </c>
      <c r="J282" s="55">
        <v>5.0</v>
      </c>
      <c r="K282" s="56">
        <v>121.0</v>
      </c>
      <c r="L282" s="57">
        <v>-80.0</v>
      </c>
      <c r="M282" s="58">
        <v>14.0</v>
      </c>
      <c r="N282" s="33">
        <f t="shared" si="13"/>
        <v>605</v>
      </c>
      <c r="O282" s="59">
        <v>-865.0</v>
      </c>
      <c r="P282" s="34">
        <f t="shared" si="14"/>
        <v>-7.148760331</v>
      </c>
      <c r="Q282" s="60"/>
      <c r="R282" s="36">
        <f t="shared" si="45"/>
        <v>14</v>
      </c>
      <c r="S282" s="61">
        <v>-61.0</v>
      </c>
      <c r="T282" s="37">
        <f t="shared" si="46"/>
        <v>-47</v>
      </c>
      <c r="U282" s="62">
        <v>1.0</v>
      </c>
      <c r="V282" s="74">
        <v>8.136015092502435</v>
      </c>
      <c r="W282" s="63">
        <v>35.15</v>
      </c>
      <c r="X282" s="35">
        <f t="shared" si="55"/>
        <v>0.3</v>
      </c>
      <c r="Y282" s="35">
        <f t="shared" si="56"/>
        <v>0</v>
      </c>
      <c r="Z282" s="40">
        <f t="shared" si="57"/>
        <v>-32.9</v>
      </c>
      <c r="AA282" s="34">
        <f t="shared" si="58"/>
        <v>-14.1</v>
      </c>
      <c r="AB282" s="41">
        <f t="shared" si="49"/>
        <v>0</v>
      </c>
      <c r="AC282" s="42" t="b">
        <v>1</v>
      </c>
      <c r="AD282" s="42" t="s">
        <v>138</v>
      </c>
      <c r="AE282" s="42" t="s">
        <v>138</v>
      </c>
      <c r="AF282" s="42" t="str">
        <f t="array" ref="AF282">INDEX('Deal Info'!D:D, MATCH(A282,'Deal Info'!A:A, 0))</f>
        <v>DoEV</v>
      </c>
      <c r="AG282" s="43" t="str">
        <f t="array" ref="AG282">INDEX('Deal Info'!G:G, MATCH(A282,'Deal Info'!A:A, 0))</f>
        <v>None</v>
      </c>
    </row>
    <row r="283" hidden="1">
      <c r="A283" s="23" t="str">
        <f t="array" ref="A283">if(G283='Room Info'!$B$1, INDEX('Room Info'!$A$2:$A3446, MATCH(B283,'Room Info'!$B$2:$B3446, 0)),if(G283='Room Info'!$C$1, INDEX('Room Info'!$A$2:$A3446, MATCH(B283,'Room Info'!$C$2:$C3446, 0)),if(G283='Room Info'!$D$1, INDEX('Room Info'!$A$2:$A3446, MATCH(B283,'Room Info'!$D$2:$D3446, 0)),if(G283='Room Info'!$E$1, INDEX('Room Info'!$A$2:$A3446, MATCH(B283,'Room Info'!$E$2:$E3446, 0)),if(G283='Room Info'!$F$1, INDEX('Room Info'!$A$2:$A3446, MATCH(B283,'Room Info'!$F$2:$F3446, 0)),if(G283='Room Info'!$H$1, INDEX('Room Info'!$A$2:$A3446, MATCH(B283,'Room Info'!$H$2:$H3446, 0)),if(G283='Room Info'!$G$1, INDEX('Room Info'!$A$2:$A3446, MATCH(B283,'Room Info'!$G$2:$G3446, 0)))))))))</f>
        <v>SDEBA1</v>
      </c>
      <c r="B283" s="50" t="s">
        <v>161</v>
      </c>
      <c r="C283" s="97">
        <v>44802.0</v>
      </c>
      <c r="D283" s="51">
        <v>44824.0</v>
      </c>
      <c r="E283" s="52">
        <v>44805.0</v>
      </c>
      <c r="F283" s="50" t="s">
        <v>4</v>
      </c>
      <c r="G283" s="50" t="s">
        <v>5</v>
      </c>
      <c r="H283" s="54" t="s">
        <v>38</v>
      </c>
      <c r="I283" s="54" t="s">
        <v>11</v>
      </c>
      <c r="J283" s="55">
        <v>5.0</v>
      </c>
      <c r="K283" s="56">
        <v>1393.0</v>
      </c>
      <c r="L283" s="57">
        <v>-490.0</v>
      </c>
      <c r="M283" s="58">
        <v>160.0</v>
      </c>
      <c r="N283" s="33">
        <f t="shared" si="13"/>
        <v>6965</v>
      </c>
      <c r="O283" s="59">
        <v>14560.0</v>
      </c>
      <c r="P283" s="34">
        <f t="shared" si="14"/>
        <v>10.45226131</v>
      </c>
      <c r="Q283" s="60"/>
      <c r="R283" s="36">
        <f t="shared" si="45"/>
        <v>160</v>
      </c>
      <c r="S283" s="61">
        <v>-398.0</v>
      </c>
      <c r="T283" s="37">
        <f t="shared" si="46"/>
        <v>-238</v>
      </c>
      <c r="U283" s="62">
        <v>1.0</v>
      </c>
      <c r="V283" s="74">
        <v>8.136015092502435</v>
      </c>
      <c r="W283" s="63">
        <v>35.15</v>
      </c>
      <c r="X283" s="35">
        <f t="shared" si="55"/>
        <v>0.3</v>
      </c>
      <c r="Y283" s="35">
        <f t="shared" si="56"/>
        <v>0</v>
      </c>
      <c r="Z283" s="40">
        <f t="shared" si="57"/>
        <v>-166.6</v>
      </c>
      <c r="AA283" s="34">
        <f t="shared" si="58"/>
        <v>-71.4</v>
      </c>
      <c r="AB283" s="41">
        <f t="shared" si="49"/>
        <v>0</v>
      </c>
      <c r="AC283" s="42" t="b">
        <v>1</v>
      </c>
      <c r="AD283" s="42" t="s">
        <v>138</v>
      </c>
      <c r="AE283" s="42" t="s">
        <v>138</v>
      </c>
      <c r="AF283" s="42" t="str">
        <f t="array" ref="AF283">INDEX('Deal Info'!D:D, MATCH(A283,'Deal Info'!A:A, 0))</f>
        <v>DoEV</v>
      </c>
      <c r="AG283" s="43" t="str">
        <f t="array" ref="AG283">INDEX('Deal Info'!G:G, MATCH(A283,'Deal Info'!A:A, 0))</f>
        <v>None</v>
      </c>
    </row>
    <row r="284" hidden="1">
      <c r="A284" s="23" t="str">
        <f t="array" ref="A284">if(G284='Room Info'!$B$1, INDEX('Room Info'!$A$2:$A3446, MATCH(B284,'Room Info'!$B$2:$B3446, 0)),if(G284='Room Info'!$C$1, INDEX('Room Info'!$A$2:$A3446, MATCH(B284,'Room Info'!$C$2:$C3446, 0)),if(G284='Room Info'!$D$1, INDEX('Room Info'!$A$2:$A3446, MATCH(B284,'Room Info'!$D$2:$D3446, 0)),if(G284='Room Info'!$E$1, INDEX('Room Info'!$A$2:$A3446, MATCH(B284,'Room Info'!$E$2:$E3446, 0)),if(G284='Room Info'!$F$1, INDEX('Room Info'!$A$2:$A3446, MATCH(B284,'Room Info'!$F$2:$F3446, 0)),if(G284='Room Info'!$H$1, INDEX('Room Info'!$A$2:$A3446, MATCH(B284,'Room Info'!$H$2:$H3446, 0)),if(G284='Room Info'!$G$1, INDEX('Room Info'!$A$2:$A3446, MATCH(B284,'Room Info'!$G$2:$G3446, 0)))))))))</f>
        <v>SDEBA1</v>
      </c>
      <c r="B284" s="50" t="s">
        <v>161</v>
      </c>
      <c r="C284" s="97">
        <v>44802.0</v>
      </c>
      <c r="D284" s="51">
        <v>44824.0</v>
      </c>
      <c r="E284" s="52">
        <v>44805.0</v>
      </c>
      <c r="F284" s="50" t="s">
        <v>4</v>
      </c>
      <c r="G284" s="50" t="s">
        <v>5</v>
      </c>
      <c r="H284" s="54" t="s">
        <v>45</v>
      </c>
      <c r="I284" s="54" t="s">
        <v>7</v>
      </c>
      <c r="J284" s="55">
        <v>10.0</v>
      </c>
      <c r="K284" s="56">
        <v>891.0</v>
      </c>
      <c r="L284" s="57">
        <v>-550.0</v>
      </c>
      <c r="M284" s="58">
        <v>182.0</v>
      </c>
      <c r="N284" s="33">
        <f t="shared" si="13"/>
        <v>8910</v>
      </c>
      <c r="O284" s="59">
        <v>34173.0</v>
      </c>
      <c r="P284" s="34">
        <f t="shared" si="14"/>
        <v>38.35353535</v>
      </c>
      <c r="Q284" s="60"/>
      <c r="R284" s="36">
        <f t="shared" si="45"/>
        <v>182</v>
      </c>
      <c r="S284" s="61">
        <v>-38.0</v>
      </c>
      <c r="T284" s="37">
        <f t="shared" si="46"/>
        <v>144</v>
      </c>
      <c r="U284" s="62">
        <v>1.0</v>
      </c>
      <c r="V284" s="74">
        <v>8.136015092502435</v>
      </c>
      <c r="W284" s="63">
        <v>35.15</v>
      </c>
      <c r="X284" s="35">
        <f t="shared" si="55"/>
        <v>0.3</v>
      </c>
      <c r="Y284" s="35">
        <f t="shared" si="56"/>
        <v>0</v>
      </c>
      <c r="Z284" s="40">
        <f t="shared" si="57"/>
        <v>100.8</v>
      </c>
      <c r="AA284" s="34">
        <f t="shared" si="58"/>
        <v>43.2</v>
      </c>
      <c r="AB284" s="41">
        <f t="shared" si="49"/>
        <v>0</v>
      </c>
      <c r="AC284" s="42" t="b">
        <v>1</v>
      </c>
      <c r="AD284" s="42" t="s">
        <v>138</v>
      </c>
      <c r="AE284" s="42" t="s">
        <v>138</v>
      </c>
      <c r="AF284" s="42" t="str">
        <f t="array" ref="AF284">INDEX('Deal Info'!D:D, MATCH(A284,'Deal Info'!A:A, 0))</f>
        <v>DoEV</v>
      </c>
      <c r="AG284" s="43" t="str">
        <f t="array" ref="AG284">INDEX('Deal Info'!G:G, MATCH(A284,'Deal Info'!A:A, 0))</f>
        <v>None</v>
      </c>
    </row>
    <row r="285" hidden="1">
      <c r="A285" s="23" t="str">
        <f t="array" ref="A285">if(G285='Room Info'!$B$1, INDEX('Room Info'!$A$2:$A3446, MATCH(B285,'Room Info'!$B$2:$B3446, 0)),if(G285='Room Info'!$C$1, INDEX('Room Info'!$A$2:$A3446, MATCH(B285,'Room Info'!$C$2:$C3446, 0)),if(G285='Room Info'!$D$1, INDEX('Room Info'!$A$2:$A3446, MATCH(B285,'Room Info'!$D$2:$D3446, 0)),if(G285='Room Info'!$E$1, INDEX('Room Info'!$A$2:$A3446, MATCH(B285,'Room Info'!$E$2:$E3446, 0)),if(G285='Room Info'!$F$1, INDEX('Room Info'!$A$2:$A3446, MATCH(B285,'Room Info'!$F$2:$F3446, 0)),if(G285='Room Info'!$H$1, INDEX('Room Info'!$A$2:$A3446, MATCH(B285,'Room Info'!$H$2:$H3446, 0)),if(G285='Room Info'!$G$1, INDEX('Room Info'!$A$2:$A3446, MATCH(B285,'Room Info'!$G$2:$G3446, 0)))))))))</f>
        <v>SDEBA1</v>
      </c>
      <c r="B285" s="50" t="s">
        <v>161</v>
      </c>
      <c r="C285" s="51">
        <v>44802.0</v>
      </c>
      <c r="D285" s="51">
        <v>44824.0</v>
      </c>
      <c r="E285" s="52">
        <v>44805.0</v>
      </c>
      <c r="F285" s="53" t="s">
        <v>4</v>
      </c>
      <c r="G285" s="59" t="s">
        <v>5</v>
      </c>
      <c r="H285" s="54" t="s">
        <v>48</v>
      </c>
      <c r="I285" s="54" t="s">
        <v>11</v>
      </c>
      <c r="J285" s="55">
        <v>10.0</v>
      </c>
      <c r="K285" s="56">
        <v>1801.0</v>
      </c>
      <c r="L285" s="57">
        <v>-1800.0</v>
      </c>
      <c r="M285" s="58">
        <v>369.0</v>
      </c>
      <c r="N285" s="33">
        <f t="shared" si="13"/>
        <v>18010</v>
      </c>
      <c r="O285" s="59">
        <v>23238.0</v>
      </c>
      <c r="P285" s="34">
        <f t="shared" si="14"/>
        <v>12.90283176</v>
      </c>
      <c r="Q285" s="60"/>
      <c r="R285" s="36">
        <f t="shared" si="45"/>
        <v>369</v>
      </c>
      <c r="S285" s="61">
        <v>-633.0</v>
      </c>
      <c r="T285" s="37">
        <f t="shared" si="46"/>
        <v>-264</v>
      </c>
      <c r="U285" s="62">
        <v>1.0</v>
      </c>
      <c r="V285" s="74">
        <v>8.136015092502435</v>
      </c>
      <c r="W285" s="63">
        <v>35.15</v>
      </c>
      <c r="X285" s="35">
        <f t="shared" si="55"/>
        <v>0.3</v>
      </c>
      <c r="Y285" s="35">
        <f t="shared" si="56"/>
        <v>0</v>
      </c>
      <c r="Z285" s="40">
        <f t="shared" si="57"/>
        <v>-184.8</v>
      </c>
      <c r="AA285" s="34">
        <f t="shared" si="58"/>
        <v>-79.2</v>
      </c>
      <c r="AB285" s="41">
        <f t="shared" si="49"/>
        <v>0</v>
      </c>
      <c r="AC285" s="42" t="b">
        <v>1</v>
      </c>
      <c r="AD285" s="42" t="s">
        <v>138</v>
      </c>
      <c r="AE285" s="42" t="s">
        <v>138</v>
      </c>
      <c r="AF285" s="42" t="str">
        <f t="array" ref="AF285">INDEX('Deal Info'!D:D, MATCH(A285,'Deal Info'!A:A, 0))</f>
        <v>DoEV</v>
      </c>
      <c r="AG285" s="43" t="str">
        <f t="array" ref="AG285">INDEX('Deal Info'!G:G, MATCH(A285,'Deal Info'!A:A, 0))</f>
        <v>None</v>
      </c>
    </row>
    <row r="286" hidden="1">
      <c r="A286" s="23" t="str">
        <f t="array" ref="A286">if(G286='Room Info'!$B$1, INDEX('Room Info'!$A$2:$A3446, MATCH(B286,'Room Info'!$B$2:$B3446, 0)),if(G286='Room Info'!$C$1, INDEX('Room Info'!$A$2:$A3446, MATCH(B286,'Room Info'!$C$2:$C3446, 0)),if(G286='Room Info'!$D$1, INDEX('Room Info'!$A$2:$A3446, MATCH(B286,'Room Info'!$D$2:$D3446, 0)),if(G286='Room Info'!$E$1, INDEX('Room Info'!$A$2:$A3446, MATCH(B286,'Room Info'!$E$2:$E3446, 0)),if(G286='Room Info'!$F$1, INDEX('Room Info'!$A$2:$A3446, MATCH(B286,'Room Info'!$F$2:$F3446, 0)),if(G286='Room Info'!$H$1, INDEX('Room Info'!$A$2:$A3446, MATCH(B286,'Room Info'!$H$2:$H3446, 0)),if(G286='Room Info'!$G$1, INDEX('Room Info'!$A$2:$A3446, MATCH(B286,'Room Info'!$G$2:$G3446, 0)))))))))</f>
        <v>SDEBA1</v>
      </c>
      <c r="B286" s="50" t="s">
        <v>161</v>
      </c>
      <c r="C286" s="51">
        <v>44802.0</v>
      </c>
      <c r="D286" s="51">
        <v>44824.0</v>
      </c>
      <c r="E286" s="52">
        <v>44805.0</v>
      </c>
      <c r="F286" s="53" t="s">
        <v>12</v>
      </c>
      <c r="G286" s="59" t="s">
        <v>5</v>
      </c>
      <c r="H286" s="54" t="s">
        <v>6</v>
      </c>
      <c r="I286" s="54" t="s">
        <v>7</v>
      </c>
      <c r="J286" s="55">
        <v>0.25</v>
      </c>
      <c r="K286" s="56">
        <v>36.0</v>
      </c>
      <c r="L286" s="57">
        <v>-1.0</v>
      </c>
      <c r="M286" s="67"/>
      <c r="N286" s="33">
        <f t="shared" si="13"/>
        <v>9</v>
      </c>
      <c r="O286" s="59">
        <v>1765.0</v>
      </c>
      <c r="P286" s="34">
        <f t="shared" si="14"/>
        <v>49.02777778</v>
      </c>
      <c r="Q286" s="60"/>
      <c r="R286" s="36">
        <f t="shared" si="45"/>
        <v>0</v>
      </c>
      <c r="S286" s="61">
        <v>0.0</v>
      </c>
      <c r="T286" s="37">
        <f t="shared" si="46"/>
        <v>-1</v>
      </c>
      <c r="U286" s="62">
        <v>1.0</v>
      </c>
      <c r="V286" s="74">
        <v>8.136015092502435</v>
      </c>
      <c r="W286" s="63">
        <v>35.15</v>
      </c>
      <c r="X286" s="35">
        <f t="shared" si="55"/>
        <v>0.3</v>
      </c>
      <c r="Y286" s="35">
        <f t="shared" si="56"/>
        <v>0</v>
      </c>
      <c r="Z286" s="40">
        <f t="shared" si="57"/>
        <v>-0.7</v>
      </c>
      <c r="AA286" s="34">
        <f t="shared" si="58"/>
        <v>-0.3</v>
      </c>
      <c r="AB286" s="41">
        <f t="shared" si="49"/>
        <v>0</v>
      </c>
      <c r="AC286" s="42" t="b">
        <v>1</v>
      </c>
      <c r="AD286" s="42" t="s">
        <v>138</v>
      </c>
      <c r="AE286" s="42" t="s">
        <v>138</v>
      </c>
      <c r="AF286" s="42" t="str">
        <f t="array" ref="AF286">INDEX('Deal Info'!D:D, MATCH(A286,'Deal Info'!A:A, 0))</f>
        <v>DoEV</v>
      </c>
      <c r="AG286" s="43" t="str">
        <f t="array" ref="AG286">INDEX('Deal Info'!G:G, MATCH(A286,'Deal Info'!A:A, 0))</f>
        <v>None</v>
      </c>
    </row>
    <row r="287" hidden="1">
      <c r="A287" s="23" t="str">
        <f t="array" ref="A287">if(G287='Room Info'!$B$1, INDEX('Room Info'!$A$2:$A3446, MATCH(B287,'Room Info'!$B$2:$B3446, 0)),if(G287='Room Info'!$C$1, INDEX('Room Info'!$A$2:$A3446, MATCH(B287,'Room Info'!$C$2:$C3446, 0)),if(G287='Room Info'!$D$1, INDEX('Room Info'!$A$2:$A3446, MATCH(B287,'Room Info'!$D$2:$D3446, 0)),if(G287='Room Info'!$E$1, INDEX('Room Info'!$A$2:$A3446, MATCH(B287,'Room Info'!$E$2:$E3446, 0)),if(G287='Room Info'!$F$1, INDEX('Room Info'!$A$2:$A3446, MATCH(B287,'Room Info'!$F$2:$F3446, 0)),if(G287='Room Info'!$H$1, INDEX('Room Info'!$A$2:$A3446, MATCH(B287,'Room Info'!$H$2:$H3446, 0)),if(G287='Room Info'!$G$1, INDEX('Room Info'!$A$2:$A3446, MATCH(B287,'Room Info'!$G$2:$G3446, 0)))))))))</f>
        <v>SDEBA1</v>
      </c>
      <c r="B287" s="50" t="s">
        <v>161</v>
      </c>
      <c r="C287" s="51">
        <v>44802.0</v>
      </c>
      <c r="D287" s="51">
        <v>44824.0</v>
      </c>
      <c r="E287" s="52">
        <v>44805.0</v>
      </c>
      <c r="F287" s="53" t="s">
        <v>12</v>
      </c>
      <c r="G287" s="59" t="s">
        <v>5</v>
      </c>
      <c r="H287" s="54" t="s">
        <v>10</v>
      </c>
      <c r="I287" s="54" t="s">
        <v>11</v>
      </c>
      <c r="J287" s="55">
        <v>0.25</v>
      </c>
      <c r="K287" s="56">
        <v>2.0</v>
      </c>
      <c r="L287" s="57">
        <v>0.0</v>
      </c>
      <c r="M287" s="67"/>
      <c r="N287" s="33">
        <f t="shared" si="13"/>
        <v>0.5</v>
      </c>
      <c r="O287" s="59">
        <v>357.0</v>
      </c>
      <c r="P287" s="34">
        <f t="shared" si="14"/>
        <v>178.5</v>
      </c>
      <c r="Q287" s="60"/>
      <c r="R287" s="36">
        <f t="shared" si="45"/>
        <v>0</v>
      </c>
      <c r="S287" s="61">
        <v>0.0</v>
      </c>
      <c r="T287" s="37">
        <f t="shared" si="46"/>
        <v>0</v>
      </c>
      <c r="U287" s="62">
        <v>1.0</v>
      </c>
      <c r="V287" s="74">
        <v>8.136015092502435</v>
      </c>
      <c r="W287" s="63">
        <v>35.15</v>
      </c>
      <c r="X287" s="35">
        <f t="shared" si="55"/>
        <v>0.3</v>
      </c>
      <c r="Y287" s="35">
        <f t="shared" si="56"/>
        <v>0</v>
      </c>
      <c r="Z287" s="40">
        <f t="shared" si="57"/>
        <v>0</v>
      </c>
      <c r="AA287" s="34">
        <f t="shared" si="58"/>
        <v>0</v>
      </c>
      <c r="AB287" s="41">
        <f t="shared" si="49"/>
        <v>0</v>
      </c>
      <c r="AC287" s="42" t="b">
        <v>1</v>
      </c>
      <c r="AD287" s="42" t="s">
        <v>138</v>
      </c>
      <c r="AE287" s="42" t="s">
        <v>138</v>
      </c>
      <c r="AF287" s="42" t="str">
        <f t="array" ref="AF287">INDEX('Deal Info'!D:D, MATCH(A287,'Deal Info'!A:A, 0))</f>
        <v>DoEV</v>
      </c>
      <c r="AG287" s="43" t="str">
        <f t="array" ref="AG287">INDEX('Deal Info'!G:G, MATCH(A287,'Deal Info'!A:A, 0))</f>
        <v>None</v>
      </c>
    </row>
    <row r="288" hidden="1">
      <c r="A288" s="23" t="str">
        <f t="array" ref="A288">if(G288='Room Info'!$B$1, INDEX('Room Info'!$A$2:$A3446, MATCH(B288,'Room Info'!$B$2:$B3446, 0)),if(G288='Room Info'!$C$1, INDEX('Room Info'!$A$2:$A3446, MATCH(B288,'Room Info'!$C$2:$C3446, 0)),if(G288='Room Info'!$D$1, INDEX('Room Info'!$A$2:$A3446, MATCH(B288,'Room Info'!$D$2:$D3446, 0)),if(G288='Room Info'!$E$1, INDEX('Room Info'!$A$2:$A3446, MATCH(B288,'Room Info'!$E$2:$E3446, 0)),if(G288='Room Info'!$F$1, INDEX('Room Info'!$A$2:$A3446, MATCH(B288,'Room Info'!$F$2:$F3446, 0)),if(G288='Room Info'!$H$1, INDEX('Room Info'!$A$2:$A3446, MATCH(B288,'Room Info'!$H$2:$H3446, 0)),if(G288='Room Info'!$G$1, INDEX('Room Info'!$A$2:$A3446, MATCH(B288,'Room Info'!$G$2:$G3446, 0)))))))))</f>
        <v>SDEBA1</v>
      </c>
      <c r="B288" s="50" t="s">
        <v>161</v>
      </c>
      <c r="C288" s="51">
        <v>44802.0</v>
      </c>
      <c r="D288" s="51">
        <v>44824.0</v>
      </c>
      <c r="E288" s="52">
        <v>44805.0</v>
      </c>
      <c r="F288" s="53" t="s">
        <v>12</v>
      </c>
      <c r="G288" s="59" t="s">
        <v>5</v>
      </c>
      <c r="H288" s="54" t="s">
        <v>20</v>
      </c>
      <c r="I288" s="54" t="s">
        <v>7</v>
      </c>
      <c r="J288" s="55">
        <v>1.0</v>
      </c>
      <c r="K288" s="56">
        <v>1.0</v>
      </c>
      <c r="L288" s="57">
        <v>-1.0</v>
      </c>
      <c r="M288" s="67"/>
      <c r="N288" s="33">
        <f t="shared" si="13"/>
        <v>1</v>
      </c>
      <c r="O288" s="59">
        <v>-31.0</v>
      </c>
      <c r="P288" s="34">
        <f t="shared" si="14"/>
        <v>-31</v>
      </c>
      <c r="Q288" s="60"/>
      <c r="R288" s="36">
        <f t="shared" si="45"/>
        <v>0</v>
      </c>
      <c r="S288" s="61">
        <v>0.0</v>
      </c>
      <c r="T288" s="37">
        <f t="shared" si="46"/>
        <v>-1</v>
      </c>
      <c r="U288" s="62">
        <v>1.0</v>
      </c>
      <c r="V288" s="74">
        <v>8.136015092502435</v>
      </c>
      <c r="W288" s="63">
        <v>35.15</v>
      </c>
      <c r="X288" s="35">
        <f t="shared" si="55"/>
        <v>0.3</v>
      </c>
      <c r="Y288" s="35">
        <f t="shared" si="56"/>
        <v>0</v>
      </c>
      <c r="Z288" s="40">
        <f t="shared" si="57"/>
        <v>-0.7</v>
      </c>
      <c r="AA288" s="34">
        <f t="shared" si="58"/>
        <v>-0.3</v>
      </c>
      <c r="AB288" s="41">
        <f t="shared" si="49"/>
        <v>0</v>
      </c>
      <c r="AC288" s="42" t="b">
        <v>1</v>
      </c>
      <c r="AD288" s="42" t="s">
        <v>138</v>
      </c>
      <c r="AE288" s="42" t="s">
        <v>138</v>
      </c>
      <c r="AF288" s="42" t="str">
        <f t="array" ref="AF288">INDEX('Deal Info'!D:D, MATCH(A288,'Deal Info'!A:A, 0))</f>
        <v>DoEV</v>
      </c>
      <c r="AG288" s="43" t="str">
        <f t="array" ref="AG288">INDEX('Deal Info'!G:G, MATCH(A288,'Deal Info'!A:A, 0))</f>
        <v>None</v>
      </c>
    </row>
    <row r="289" hidden="1">
      <c r="A289" s="23" t="str">
        <f t="array" ref="A289">if(G289='Room Info'!$B$1, INDEX('Room Info'!$A$2:$A3446, MATCH(B289,'Room Info'!$B$2:$B3446, 0)),if(G289='Room Info'!$C$1, INDEX('Room Info'!$A$2:$A3446, MATCH(B289,'Room Info'!$C$2:$C3446, 0)),if(G289='Room Info'!$D$1, INDEX('Room Info'!$A$2:$A3446, MATCH(B289,'Room Info'!$D$2:$D3446, 0)),if(G289='Room Info'!$E$1, INDEX('Room Info'!$A$2:$A3446, MATCH(B289,'Room Info'!$E$2:$E3446, 0)),if(G289='Room Info'!$F$1, INDEX('Room Info'!$A$2:$A3446, MATCH(B289,'Room Info'!$F$2:$F3446, 0)),if(G289='Room Info'!$H$1, INDEX('Room Info'!$A$2:$A3446, MATCH(B289,'Room Info'!$H$2:$H3446, 0)),if(G289='Room Info'!$G$1, INDEX('Room Info'!$A$2:$A3446, MATCH(B289,'Room Info'!$G$2:$G3446, 0)))))))))</f>
        <v>SDEBA1</v>
      </c>
      <c r="B289" s="59" t="s">
        <v>161</v>
      </c>
      <c r="C289" s="51">
        <v>44825.0</v>
      </c>
      <c r="D289" s="51">
        <v>44854.0</v>
      </c>
      <c r="E289" s="52">
        <v>44835.0</v>
      </c>
      <c r="F289" s="53" t="s">
        <v>4</v>
      </c>
      <c r="G289" s="50" t="s">
        <v>5</v>
      </c>
      <c r="H289" s="54" t="s">
        <v>38</v>
      </c>
      <c r="I289" s="54" t="s">
        <v>11</v>
      </c>
      <c r="J289" s="55">
        <v>5.0</v>
      </c>
      <c r="K289" s="56">
        <v>1473.0</v>
      </c>
      <c r="L289" s="57">
        <v>70.0</v>
      </c>
      <c r="M289" s="58">
        <v>427.0</v>
      </c>
      <c r="N289" s="33">
        <f t="shared" si="13"/>
        <v>7365</v>
      </c>
      <c r="O289" s="59">
        <v>20713.0</v>
      </c>
      <c r="P289" s="34">
        <f t="shared" si="14"/>
        <v>14.06177868</v>
      </c>
      <c r="Q289" s="60"/>
      <c r="R289" s="36">
        <f t="shared" si="45"/>
        <v>427</v>
      </c>
      <c r="S289" s="61">
        <v>-335.0</v>
      </c>
      <c r="T289" s="37">
        <f t="shared" si="46"/>
        <v>92</v>
      </c>
      <c r="U289" s="62">
        <v>1.0</v>
      </c>
      <c r="V289" s="74">
        <v>8.136015092502435</v>
      </c>
      <c r="W289" s="63">
        <v>35.15</v>
      </c>
      <c r="X289" s="35">
        <f t="shared" si="55"/>
        <v>0.3</v>
      </c>
      <c r="Y289" s="35">
        <f t="shared" si="56"/>
        <v>0</v>
      </c>
      <c r="Z289" s="40">
        <f t="shared" si="57"/>
        <v>64.4</v>
      </c>
      <c r="AA289" s="34">
        <f t="shared" si="58"/>
        <v>27.6</v>
      </c>
      <c r="AB289" s="41">
        <f t="shared" si="49"/>
        <v>0</v>
      </c>
      <c r="AC289" s="42" t="b">
        <v>1</v>
      </c>
      <c r="AD289" s="42" t="s">
        <v>138</v>
      </c>
      <c r="AE289" s="42" t="s">
        <v>138</v>
      </c>
      <c r="AF289" s="42" t="str">
        <f t="array" ref="AF289">INDEX('Deal Info'!D:D, MATCH(A289,'Deal Info'!A:A, 0))</f>
        <v>DoEV</v>
      </c>
      <c r="AG289" s="43" t="str">
        <f t="array" ref="AG289">INDEX('Deal Info'!G:G, MATCH(A289,'Deal Info'!A:A, 0))</f>
        <v>None</v>
      </c>
    </row>
    <row r="290" hidden="1">
      <c r="A290" s="23" t="str">
        <f t="array" ref="A290">if(G290='Room Info'!$B$1, INDEX('Room Info'!$A$2:$A3446, MATCH(B290,'Room Info'!$B$2:$B3446, 0)),if(G290='Room Info'!$C$1, INDEX('Room Info'!$A$2:$A3446, MATCH(B290,'Room Info'!$C$2:$C3446, 0)),if(G290='Room Info'!$D$1, INDEX('Room Info'!$A$2:$A3446, MATCH(B290,'Room Info'!$D$2:$D3446, 0)),if(G290='Room Info'!$E$1, INDEX('Room Info'!$A$2:$A3446, MATCH(B290,'Room Info'!$E$2:$E3446, 0)),if(G290='Room Info'!$F$1, INDEX('Room Info'!$A$2:$A3446, MATCH(B290,'Room Info'!$F$2:$F3446, 0)),if(G290='Room Info'!$H$1, INDEX('Room Info'!$A$2:$A3446, MATCH(B290,'Room Info'!$H$2:$H3446, 0)),if(G290='Room Info'!$G$1, INDEX('Room Info'!$A$2:$A3446, MATCH(B290,'Room Info'!$G$2:$G3446, 0)))))))))</f>
        <v>SDEBA1</v>
      </c>
      <c r="B290" s="50" t="s">
        <v>161</v>
      </c>
      <c r="C290" s="51">
        <v>44825.0</v>
      </c>
      <c r="D290" s="51">
        <v>44854.0</v>
      </c>
      <c r="E290" s="52">
        <v>44835.0</v>
      </c>
      <c r="F290" s="53" t="s">
        <v>4</v>
      </c>
      <c r="G290" s="50" t="s">
        <v>5</v>
      </c>
      <c r="H290" s="54" t="s">
        <v>45</v>
      </c>
      <c r="I290" s="54" t="s">
        <v>7</v>
      </c>
      <c r="J290" s="55">
        <v>10.0</v>
      </c>
      <c r="K290" s="56">
        <v>324.0</v>
      </c>
      <c r="L290" s="57">
        <v>100.0</v>
      </c>
      <c r="M290" s="58">
        <v>164.0</v>
      </c>
      <c r="N290" s="33">
        <f t="shared" si="13"/>
        <v>3240</v>
      </c>
      <c r="O290" s="59">
        <v>19870.0</v>
      </c>
      <c r="P290" s="34">
        <f t="shared" si="14"/>
        <v>61.32716049</v>
      </c>
      <c r="Q290" s="60"/>
      <c r="R290" s="36">
        <f t="shared" si="45"/>
        <v>164</v>
      </c>
      <c r="S290" s="61">
        <v>125.0</v>
      </c>
      <c r="T290" s="37">
        <f t="shared" si="46"/>
        <v>289</v>
      </c>
      <c r="U290" s="62">
        <v>1.0</v>
      </c>
      <c r="V290" s="74">
        <v>8.136015092502435</v>
      </c>
      <c r="W290" s="63">
        <v>35.15</v>
      </c>
      <c r="X290" s="35">
        <f t="shared" si="55"/>
        <v>0.3</v>
      </c>
      <c r="Y290" s="35">
        <f t="shared" si="56"/>
        <v>0</v>
      </c>
      <c r="Z290" s="40">
        <f t="shared" si="57"/>
        <v>202.3</v>
      </c>
      <c r="AA290" s="34">
        <f t="shared" si="58"/>
        <v>86.7</v>
      </c>
      <c r="AB290" s="41">
        <f t="shared" si="49"/>
        <v>0</v>
      </c>
      <c r="AC290" s="42" t="b">
        <v>1</v>
      </c>
      <c r="AD290" s="42" t="s">
        <v>138</v>
      </c>
      <c r="AE290" s="42" t="s">
        <v>138</v>
      </c>
      <c r="AF290" s="42" t="str">
        <f t="array" ref="AF290">INDEX('Deal Info'!D:D, MATCH(A290,'Deal Info'!A:A, 0))</f>
        <v>DoEV</v>
      </c>
      <c r="AG290" s="43" t="str">
        <f t="array" ref="AG290">INDEX('Deal Info'!G:G, MATCH(A290,'Deal Info'!A:A, 0))</f>
        <v>None</v>
      </c>
    </row>
    <row r="291" hidden="1">
      <c r="A291" s="23" t="str">
        <f t="array" ref="A291">if(G291='Room Info'!$B$1, INDEX('Room Info'!$A$2:$A3446, MATCH(B291,'Room Info'!$B$2:$B3446, 0)),if(G291='Room Info'!$C$1, INDEX('Room Info'!$A$2:$A3446, MATCH(B291,'Room Info'!$C$2:$C3446, 0)),if(G291='Room Info'!$D$1, INDEX('Room Info'!$A$2:$A3446, MATCH(B291,'Room Info'!$D$2:$D3446, 0)),if(G291='Room Info'!$E$1, INDEX('Room Info'!$A$2:$A3446, MATCH(B291,'Room Info'!$E$2:$E3446, 0)),if(G291='Room Info'!$F$1, INDEX('Room Info'!$A$2:$A3446, MATCH(B291,'Room Info'!$F$2:$F3446, 0)),if(G291='Room Info'!$H$1, INDEX('Room Info'!$A$2:$A3446, MATCH(B291,'Room Info'!$H$2:$H3446, 0)),if(G291='Room Info'!$G$1, INDEX('Room Info'!$A$2:$A3446, MATCH(B291,'Room Info'!$G$2:$G3446, 0)))))))))</f>
        <v>SDEBA1</v>
      </c>
      <c r="B291" s="50" t="s">
        <v>161</v>
      </c>
      <c r="C291" s="51">
        <v>44825.0</v>
      </c>
      <c r="D291" s="51">
        <v>44854.0</v>
      </c>
      <c r="E291" s="52">
        <v>44835.0</v>
      </c>
      <c r="F291" s="53" t="s">
        <v>4</v>
      </c>
      <c r="G291" s="59" t="s">
        <v>5</v>
      </c>
      <c r="H291" s="54" t="s">
        <v>48</v>
      </c>
      <c r="I291" s="54" t="s">
        <v>11</v>
      </c>
      <c r="J291" s="55">
        <v>10.0</v>
      </c>
      <c r="K291" s="56">
        <v>2174.0</v>
      </c>
      <c r="L291" s="57">
        <v>-1410.0</v>
      </c>
      <c r="M291" s="58">
        <v>1103.0</v>
      </c>
      <c r="N291" s="33">
        <f t="shared" si="13"/>
        <v>21740</v>
      </c>
      <c r="O291" s="59">
        <v>36025.0</v>
      </c>
      <c r="P291" s="34">
        <f t="shared" si="14"/>
        <v>16.57083717</v>
      </c>
      <c r="Q291" s="60"/>
      <c r="R291" s="36">
        <f t="shared" si="45"/>
        <v>1103</v>
      </c>
      <c r="S291" s="61">
        <v>-505.0</v>
      </c>
      <c r="T291" s="37">
        <f t="shared" si="46"/>
        <v>598</v>
      </c>
      <c r="U291" s="62">
        <v>1.0</v>
      </c>
      <c r="V291" s="74">
        <v>8.136015092502435</v>
      </c>
      <c r="W291" s="63">
        <v>35.15</v>
      </c>
      <c r="X291" s="35">
        <f t="shared" si="55"/>
        <v>0.3</v>
      </c>
      <c r="Y291" s="35">
        <f t="shared" si="56"/>
        <v>0</v>
      </c>
      <c r="Z291" s="40">
        <f t="shared" si="57"/>
        <v>418.6</v>
      </c>
      <c r="AA291" s="34">
        <f t="shared" si="58"/>
        <v>179.4</v>
      </c>
      <c r="AB291" s="41">
        <f t="shared" si="49"/>
        <v>0</v>
      </c>
      <c r="AC291" s="42" t="b">
        <v>1</v>
      </c>
      <c r="AD291" s="42" t="s">
        <v>138</v>
      </c>
      <c r="AE291" s="42" t="s">
        <v>138</v>
      </c>
      <c r="AF291" s="42" t="str">
        <f t="array" ref="AF291">INDEX('Deal Info'!D:D, MATCH(A291,'Deal Info'!A:A, 0))</f>
        <v>DoEV</v>
      </c>
      <c r="AG291" s="43" t="str">
        <f t="array" ref="AG291">INDEX('Deal Info'!G:G, MATCH(A291,'Deal Info'!A:A, 0))</f>
        <v>None</v>
      </c>
    </row>
    <row r="292" hidden="1">
      <c r="A292" s="23" t="str">
        <f t="array" ref="A292">if(G292='Room Info'!$B$1, INDEX('Room Info'!$A$2:$A3446, MATCH(B292,'Room Info'!$B$2:$B3446, 0)),if(G292='Room Info'!$C$1, INDEX('Room Info'!$A$2:$A3446, MATCH(B292,'Room Info'!$C$2:$C3446, 0)),if(G292='Room Info'!$D$1, INDEX('Room Info'!$A$2:$A3446, MATCH(B292,'Room Info'!$D$2:$D3446, 0)),if(G292='Room Info'!$E$1, INDEX('Room Info'!$A$2:$A3446, MATCH(B292,'Room Info'!$E$2:$E3446, 0)),if(G292='Room Info'!$F$1, INDEX('Room Info'!$A$2:$A3446, MATCH(B292,'Room Info'!$F$2:$F3446, 0)),if(G292='Room Info'!$H$1, INDEX('Room Info'!$A$2:$A3446, MATCH(B292,'Room Info'!$H$2:$H3446, 0)),if(G292='Room Info'!$G$1, INDEX('Room Info'!$A$2:$A3446, MATCH(B292,'Room Info'!$G$2:$G3446, 0)))))))))</f>
        <v>SDEBA1</v>
      </c>
      <c r="B292" s="50" t="s">
        <v>161</v>
      </c>
      <c r="C292" s="51">
        <v>44855.0</v>
      </c>
      <c r="D292" s="51">
        <v>44885.0</v>
      </c>
      <c r="E292" s="52">
        <v>44866.0</v>
      </c>
      <c r="F292" s="53" t="s">
        <v>4</v>
      </c>
      <c r="G292" s="50" t="s">
        <v>5</v>
      </c>
      <c r="H292" s="54" t="s">
        <v>38</v>
      </c>
      <c r="I292" s="54" t="s">
        <v>11</v>
      </c>
      <c r="J292" s="75">
        <v>5.0</v>
      </c>
      <c r="K292" s="76">
        <v>1.0</v>
      </c>
      <c r="L292" s="57">
        <v>10.0</v>
      </c>
      <c r="M292" s="58">
        <v>1.0</v>
      </c>
      <c r="N292" s="33">
        <f t="shared" si="13"/>
        <v>5</v>
      </c>
      <c r="O292" s="59">
        <v>-242.0</v>
      </c>
      <c r="P292" s="34">
        <f t="shared" si="14"/>
        <v>-242</v>
      </c>
      <c r="Q292" s="60"/>
      <c r="R292" s="36">
        <f t="shared" si="45"/>
        <v>1</v>
      </c>
      <c r="S292" s="61">
        <v>-4.0</v>
      </c>
      <c r="T292" s="37">
        <f t="shared" si="46"/>
        <v>-3</v>
      </c>
      <c r="U292" s="62">
        <v>1.0</v>
      </c>
      <c r="V292" s="74">
        <v>9.946798266730863</v>
      </c>
      <c r="W292" s="74">
        <v>27.44601757060916</v>
      </c>
      <c r="X292" s="35">
        <f t="shared" si="55"/>
        <v>0.3</v>
      </c>
      <c r="Y292" s="35">
        <f t="shared" si="56"/>
        <v>0</v>
      </c>
      <c r="Z292" s="40">
        <f t="shared" si="57"/>
        <v>-2.1</v>
      </c>
      <c r="AA292" s="34">
        <f t="shared" si="58"/>
        <v>-0.9</v>
      </c>
      <c r="AB292" s="41">
        <f t="shared" si="49"/>
        <v>0</v>
      </c>
      <c r="AC292" s="42" t="b">
        <v>1</v>
      </c>
      <c r="AD292" s="42" t="s">
        <v>138</v>
      </c>
      <c r="AE292" s="42" t="s">
        <v>138</v>
      </c>
      <c r="AF292" s="42" t="str">
        <f t="array" ref="AF292">INDEX('Deal Info'!D:D, MATCH(A292,'Deal Info'!A:A, 0))</f>
        <v>DoEV</v>
      </c>
      <c r="AG292" s="43" t="str">
        <f t="array" ref="AG292">INDEX('Deal Info'!G:G, MATCH(A292,'Deal Info'!A:A, 0))</f>
        <v>None</v>
      </c>
    </row>
    <row r="293" hidden="1">
      <c r="A293" s="23" t="str">
        <f t="array" ref="A293">if(G293='Room Info'!$B$1, INDEX('Room Info'!$A$2:$A3446, MATCH(B293,'Room Info'!$B$2:$B3446, 0)),if(G293='Room Info'!$C$1, INDEX('Room Info'!$A$2:$A3446, MATCH(B293,'Room Info'!$C$2:$C3446, 0)),if(G293='Room Info'!$D$1, INDEX('Room Info'!$A$2:$A3446, MATCH(B293,'Room Info'!$D$2:$D3446, 0)),if(G293='Room Info'!$E$1, INDEX('Room Info'!$A$2:$A3446, MATCH(B293,'Room Info'!$E$2:$E3446, 0)),if(G293='Room Info'!$F$1, INDEX('Room Info'!$A$2:$A3446, MATCH(B293,'Room Info'!$F$2:$F3446, 0)),if(G293='Room Info'!$H$1, INDEX('Room Info'!$A$2:$A3446, MATCH(B293,'Room Info'!$H$2:$H3446, 0)),if(G293='Room Info'!$G$1, INDEX('Room Info'!$A$2:$A3446, MATCH(B293,'Room Info'!$G$2:$G3446, 0)))))))))</f>
        <v>SDEBA1</v>
      </c>
      <c r="B293" s="50" t="s">
        <v>161</v>
      </c>
      <c r="C293" s="51">
        <v>44855.0</v>
      </c>
      <c r="D293" s="51">
        <v>44885.0</v>
      </c>
      <c r="E293" s="52">
        <v>44866.0</v>
      </c>
      <c r="F293" s="53" t="s">
        <v>4</v>
      </c>
      <c r="G293" s="50" t="s">
        <v>5</v>
      </c>
      <c r="H293" s="54" t="s">
        <v>45</v>
      </c>
      <c r="I293" s="54" t="s">
        <v>7</v>
      </c>
      <c r="J293" s="75">
        <v>10.0</v>
      </c>
      <c r="K293" s="76">
        <v>717.0</v>
      </c>
      <c r="L293" s="57">
        <v>410.0</v>
      </c>
      <c r="M293" s="58">
        <v>320.0</v>
      </c>
      <c r="N293" s="33">
        <f t="shared" si="13"/>
        <v>7170</v>
      </c>
      <c r="O293" s="59">
        <v>22210.0</v>
      </c>
      <c r="P293" s="34">
        <f t="shared" si="14"/>
        <v>30.9762901</v>
      </c>
      <c r="Q293" s="60"/>
      <c r="R293" s="36">
        <f t="shared" si="45"/>
        <v>320</v>
      </c>
      <c r="S293" s="61">
        <v>-134.0</v>
      </c>
      <c r="T293" s="37">
        <f t="shared" si="46"/>
        <v>186</v>
      </c>
      <c r="U293" s="62">
        <v>1.0</v>
      </c>
      <c r="V293" s="74">
        <v>9.946798266730863</v>
      </c>
      <c r="W293" s="74">
        <v>27.44601757060916</v>
      </c>
      <c r="X293" s="35">
        <f t="shared" si="55"/>
        <v>0.3</v>
      </c>
      <c r="Y293" s="35">
        <f t="shared" si="56"/>
        <v>0</v>
      </c>
      <c r="Z293" s="40">
        <f t="shared" si="57"/>
        <v>130.2</v>
      </c>
      <c r="AA293" s="34">
        <f t="shared" si="58"/>
        <v>55.8</v>
      </c>
      <c r="AB293" s="41">
        <f t="shared" si="49"/>
        <v>0</v>
      </c>
      <c r="AC293" s="42" t="b">
        <v>1</v>
      </c>
      <c r="AD293" s="42" t="s">
        <v>138</v>
      </c>
      <c r="AE293" s="42" t="s">
        <v>138</v>
      </c>
      <c r="AF293" s="42" t="str">
        <f t="array" ref="AF293">INDEX('Deal Info'!D:D, MATCH(A293,'Deal Info'!A:A, 0))</f>
        <v>DoEV</v>
      </c>
      <c r="AG293" s="43" t="str">
        <f t="array" ref="AG293">INDEX('Deal Info'!G:G, MATCH(A293,'Deal Info'!A:A, 0))</f>
        <v>None</v>
      </c>
    </row>
    <row r="294" hidden="1">
      <c r="A294" s="23" t="str">
        <f t="array" ref="A294">if(G294='Room Info'!$B$1, INDEX('Room Info'!$A$2:$A3446, MATCH(B294,'Room Info'!$B$2:$B3446, 0)),if(G294='Room Info'!$C$1, INDEX('Room Info'!$A$2:$A3446, MATCH(B294,'Room Info'!$C$2:$C3446, 0)),if(G294='Room Info'!$D$1, INDEX('Room Info'!$A$2:$A3446, MATCH(B294,'Room Info'!$D$2:$D3446, 0)),if(G294='Room Info'!$E$1, INDEX('Room Info'!$A$2:$A3446, MATCH(B294,'Room Info'!$E$2:$E3446, 0)),if(G294='Room Info'!$F$1, INDEX('Room Info'!$A$2:$A3446, MATCH(B294,'Room Info'!$F$2:$F3446, 0)),if(G294='Room Info'!$H$1, INDEX('Room Info'!$A$2:$A3446, MATCH(B294,'Room Info'!$H$2:$H3446, 0)),if(G294='Room Info'!$G$1, INDEX('Room Info'!$A$2:$A3446, MATCH(B294,'Room Info'!$G$2:$G3446, 0)))))))))</f>
        <v>SDEBA1</v>
      </c>
      <c r="B294" s="50" t="s">
        <v>161</v>
      </c>
      <c r="C294" s="51">
        <v>44855.0</v>
      </c>
      <c r="D294" s="51">
        <v>44885.0</v>
      </c>
      <c r="E294" s="52">
        <v>44866.0</v>
      </c>
      <c r="F294" s="53" t="s">
        <v>4</v>
      </c>
      <c r="G294" s="50" t="s">
        <v>5</v>
      </c>
      <c r="H294" s="54" t="s">
        <v>48</v>
      </c>
      <c r="I294" s="54" t="s">
        <v>11</v>
      </c>
      <c r="J294" s="75">
        <v>10.0</v>
      </c>
      <c r="K294" s="76">
        <v>3412.0</v>
      </c>
      <c r="L294" s="57">
        <v>-2130.0</v>
      </c>
      <c r="M294" s="58">
        <v>1523.0</v>
      </c>
      <c r="N294" s="33">
        <f t="shared" si="13"/>
        <v>34120</v>
      </c>
      <c r="O294" s="59">
        <v>37466.0</v>
      </c>
      <c r="P294" s="34">
        <f t="shared" si="14"/>
        <v>10.98065651</v>
      </c>
      <c r="Q294" s="60"/>
      <c r="R294" s="36">
        <f t="shared" si="45"/>
        <v>1523</v>
      </c>
      <c r="S294" s="61">
        <v>-1431.0</v>
      </c>
      <c r="T294" s="37">
        <f t="shared" si="46"/>
        <v>92</v>
      </c>
      <c r="U294" s="62">
        <v>1.0</v>
      </c>
      <c r="V294" s="74">
        <v>9.946798266730863</v>
      </c>
      <c r="W294" s="74">
        <v>27.44601757060916</v>
      </c>
      <c r="X294" s="35">
        <f t="shared" si="55"/>
        <v>0.3</v>
      </c>
      <c r="Y294" s="35">
        <f t="shared" si="56"/>
        <v>0</v>
      </c>
      <c r="Z294" s="40">
        <f t="shared" si="57"/>
        <v>64.4</v>
      </c>
      <c r="AA294" s="34">
        <f t="shared" si="58"/>
        <v>27.6</v>
      </c>
      <c r="AB294" s="41">
        <f t="shared" si="49"/>
        <v>0</v>
      </c>
      <c r="AC294" s="42" t="b">
        <v>1</v>
      </c>
      <c r="AD294" s="42" t="s">
        <v>138</v>
      </c>
      <c r="AE294" s="42" t="s">
        <v>138</v>
      </c>
      <c r="AF294" s="42" t="str">
        <f t="array" ref="AF294">INDEX('Deal Info'!D:D, MATCH(A294,'Deal Info'!A:A, 0))</f>
        <v>DoEV</v>
      </c>
      <c r="AG294" s="43" t="str">
        <f t="array" ref="AG294">INDEX('Deal Info'!G:G, MATCH(A294,'Deal Info'!A:A, 0))</f>
        <v>None</v>
      </c>
    </row>
    <row r="295" hidden="1">
      <c r="A295" s="23" t="str">
        <f t="array" ref="A295">if(G295='Room Info'!$B$1, INDEX('Room Info'!$A$2:$A3446, MATCH(B295,'Room Info'!$B$2:$B3446, 0)),if(G295='Room Info'!$C$1, INDEX('Room Info'!$A$2:$A3446, MATCH(B295,'Room Info'!$C$2:$C3446, 0)),if(G295='Room Info'!$D$1, INDEX('Room Info'!$A$2:$A3446, MATCH(B295,'Room Info'!$D$2:$D3446, 0)),if(G295='Room Info'!$E$1, INDEX('Room Info'!$A$2:$A3446, MATCH(B295,'Room Info'!$E$2:$E3446, 0)),if(G295='Room Info'!$F$1, INDEX('Room Info'!$A$2:$A3446, MATCH(B295,'Room Info'!$F$2:$F3446, 0)),if(G295='Room Info'!$H$1, INDEX('Room Info'!$A$2:$A3446, MATCH(B295,'Room Info'!$H$2:$H3446, 0)),if(G295='Room Info'!$G$1, INDEX('Room Info'!$A$2:$A3446, MATCH(B295,'Room Info'!$G$2:$G3446, 0)))))))))</f>
        <v>SDEBA1</v>
      </c>
      <c r="B295" s="50" t="s">
        <v>161</v>
      </c>
      <c r="C295" s="51">
        <v>44855.0</v>
      </c>
      <c r="D295" s="51">
        <v>44885.0</v>
      </c>
      <c r="E295" s="52">
        <v>44866.0</v>
      </c>
      <c r="F295" s="53" t="s">
        <v>12</v>
      </c>
      <c r="G295" s="50" t="s">
        <v>5</v>
      </c>
      <c r="H295" s="54" t="s">
        <v>23</v>
      </c>
      <c r="I295" s="54" t="s">
        <v>11</v>
      </c>
      <c r="J295" s="75">
        <v>1.0</v>
      </c>
      <c r="K295" s="76">
        <v>24.0</v>
      </c>
      <c r="L295" s="57">
        <v>-3.0</v>
      </c>
      <c r="M295" s="58">
        <v>1.0</v>
      </c>
      <c r="N295" s="33">
        <f t="shared" si="13"/>
        <v>24</v>
      </c>
      <c r="O295" s="70"/>
      <c r="P295" s="34">
        <f t="shared" si="14"/>
        <v>0</v>
      </c>
      <c r="Q295" s="60"/>
      <c r="R295" s="36">
        <f t="shared" si="45"/>
        <v>1</v>
      </c>
      <c r="S295" s="71"/>
      <c r="T295" s="37">
        <f t="shared" si="46"/>
        <v>-2</v>
      </c>
      <c r="U295" s="62">
        <v>1.0</v>
      </c>
      <c r="V295" s="74">
        <v>9.946798266730863</v>
      </c>
      <c r="W295" s="74">
        <v>27.44601757060916</v>
      </c>
      <c r="X295" s="35">
        <f t="shared" si="55"/>
        <v>0.3</v>
      </c>
      <c r="Y295" s="35">
        <f t="shared" si="56"/>
        <v>0</v>
      </c>
      <c r="Z295" s="40">
        <f t="shared" si="57"/>
        <v>-1.4</v>
      </c>
      <c r="AA295" s="34">
        <f t="shared" si="58"/>
        <v>-0.6</v>
      </c>
      <c r="AB295" s="41">
        <f t="shared" si="49"/>
        <v>0</v>
      </c>
      <c r="AC295" s="42" t="b">
        <v>1</v>
      </c>
      <c r="AD295" s="42" t="s">
        <v>138</v>
      </c>
      <c r="AE295" s="42" t="s">
        <v>138</v>
      </c>
      <c r="AF295" s="42" t="str">
        <f t="array" ref="AF295">INDEX('Deal Info'!D:D, MATCH(A295,'Deal Info'!A:A, 0))</f>
        <v>DoEV</v>
      </c>
      <c r="AG295" s="43" t="str">
        <f t="array" ref="AG295">INDEX('Deal Info'!G:G, MATCH(A295,'Deal Info'!A:A, 0))</f>
        <v>None</v>
      </c>
    </row>
    <row r="296" hidden="1">
      <c r="A296" s="23" t="str">
        <f t="array" ref="A296">if(G296='Room Info'!$B$1, INDEX('Room Info'!$A$2:$A3446, MATCH(B296,'Room Info'!$B$2:$B3446, 0)),if(G296='Room Info'!$C$1, INDEX('Room Info'!$A$2:$A3446, MATCH(B296,'Room Info'!$C$2:$C3446, 0)),if(G296='Room Info'!$D$1, INDEX('Room Info'!$A$2:$A3446, MATCH(B296,'Room Info'!$D$2:$D3446, 0)),if(G296='Room Info'!$E$1, INDEX('Room Info'!$A$2:$A3446, MATCH(B296,'Room Info'!$E$2:$E3446, 0)),if(G296='Room Info'!$F$1, INDEX('Room Info'!$A$2:$A3446, MATCH(B296,'Room Info'!$F$2:$F3446, 0)),if(G296='Room Info'!$H$1, INDEX('Room Info'!$A$2:$A3446, MATCH(B296,'Room Info'!$H$2:$H3446, 0)),if(G296='Room Info'!$G$1, INDEX('Room Info'!$A$2:$A3446, MATCH(B296,'Room Info'!$G$2:$G3446, 0)))))))))</f>
        <v>SDEBA1</v>
      </c>
      <c r="B296" s="50" t="s">
        <v>161</v>
      </c>
      <c r="C296" s="51">
        <v>44886.0</v>
      </c>
      <c r="D296" s="51">
        <v>44915.0</v>
      </c>
      <c r="E296" s="52">
        <v>44896.0</v>
      </c>
      <c r="F296" s="53" t="s">
        <v>4</v>
      </c>
      <c r="G296" s="50" t="s">
        <v>5</v>
      </c>
      <c r="H296" s="54" t="s">
        <v>48</v>
      </c>
      <c r="I296" s="54" t="s">
        <v>11</v>
      </c>
      <c r="J296" s="75">
        <v>10.0</v>
      </c>
      <c r="K296" s="76">
        <v>2183.0</v>
      </c>
      <c r="L296" s="57">
        <v>-440.0</v>
      </c>
      <c r="M296" s="58">
        <v>1580.0</v>
      </c>
      <c r="N296" s="33">
        <f t="shared" si="13"/>
        <v>21830</v>
      </c>
      <c r="O296" s="59">
        <v>18500.0</v>
      </c>
      <c r="P296" s="34">
        <f t="shared" si="14"/>
        <v>8.474576271</v>
      </c>
      <c r="Q296" s="60"/>
      <c r="R296" s="36">
        <f t="shared" si="45"/>
        <v>1580</v>
      </c>
      <c r="S296" s="61">
        <v>-1046.0</v>
      </c>
      <c r="T296" s="37">
        <f t="shared" si="46"/>
        <v>534</v>
      </c>
      <c r="U296" s="62">
        <v>1.0</v>
      </c>
      <c r="V296" s="74">
        <v>10.0</v>
      </c>
      <c r="W296" s="74">
        <v>53.4</v>
      </c>
      <c r="X296" s="35">
        <f t="shared" si="55"/>
        <v>0.3</v>
      </c>
      <c r="Y296" s="35">
        <f t="shared" si="56"/>
        <v>0</v>
      </c>
      <c r="Z296" s="40">
        <f t="shared" si="57"/>
        <v>373.8</v>
      </c>
      <c r="AA296" s="34">
        <f t="shared" si="58"/>
        <v>160.2</v>
      </c>
      <c r="AB296" s="41">
        <f t="shared" si="49"/>
        <v>0</v>
      </c>
      <c r="AC296" s="42" t="b">
        <v>1</v>
      </c>
      <c r="AD296" s="42" t="s">
        <v>138</v>
      </c>
      <c r="AE296" s="42" t="s">
        <v>138</v>
      </c>
      <c r="AF296" s="42" t="str">
        <f t="array" ref="AF296">INDEX('Deal Info'!D:D, MATCH(A296,'Deal Info'!A:A, 0))</f>
        <v>DoEV</v>
      </c>
      <c r="AG296" s="43" t="str">
        <f t="array" ref="AG296">INDEX('Deal Info'!G:G, MATCH(A296,'Deal Info'!A:A, 0))</f>
        <v>None</v>
      </c>
    </row>
    <row r="297" hidden="1">
      <c r="A297" s="23" t="str">
        <f t="array" ref="A297">if(G297='Room Info'!$B$1, INDEX('Room Info'!$A$2:$A3446, MATCH(B297,'Room Info'!$B$2:$B3446, 0)),if(G297='Room Info'!$C$1, INDEX('Room Info'!$A$2:$A3446, MATCH(B297,'Room Info'!$C$2:$C3446, 0)),if(G297='Room Info'!$D$1, INDEX('Room Info'!$A$2:$A3446, MATCH(B297,'Room Info'!$D$2:$D3446, 0)),if(G297='Room Info'!$E$1, INDEX('Room Info'!$A$2:$A3446, MATCH(B297,'Room Info'!$E$2:$E3446, 0)),if(G297='Room Info'!$F$1, INDEX('Room Info'!$A$2:$A3446, MATCH(B297,'Room Info'!$F$2:$F3446, 0)),if(G297='Room Info'!$H$1, INDEX('Room Info'!$A$2:$A3446, MATCH(B297,'Room Info'!$H$2:$H3446, 0)),if(G297='Room Info'!$G$1, INDEX('Room Info'!$A$2:$A3446, MATCH(B297,'Room Info'!$G$2:$G3446, 0)))))))))</f>
        <v>SDEBA1</v>
      </c>
      <c r="B297" s="50" t="s">
        <v>161</v>
      </c>
      <c r="C297" s="51">
        <v>44916.0</v>
      </c>
      <c r="D297" s="51">
        <v>44946.0</v>
      </c>
      <c r="E297" s="52">
        <v>44927.0</v>
      </c>
      <c r="F297" s="53" t="s">
        <v>4</v>
      </c>
      <c r="G297" s="50" t="s">
        <v>5</v>
      </c>
      <c r="H297" s="54" t="s">
        <v>38</v>
      </c>
      <c r="I297" s="54" t="s">
        <v>11</v>
      </c>
      <c r="J297" s="75">
        <v>5.0</v>
      </c>
      <c r="K297" s="76">
        <v>286.0</v>
      </c>
      <c r="L297" s="57">
        <v>0.0</v>
      </c>
      <c r="M297" s="58">
        <v>19.0</v>
      </c>
      <c r="N297" s="33">
        <f t="shared" si="13"/>
        <v>1430</v>
      </c>
      <c r="O297" s="59">
        <v>2611.0</v>
      </c>
      <c r="P297" s="34">
        <f t="shared" si="14"/>
        <v>9.129370629</v>
      </c>
      <c r="Q297" s="60"/>
      <c r="R297" s="36">
        <f t="shared" si="45"/>
        <v>19</v>
      </c>
      <c r="S297" s="61">
        <v>-90.0</v>
      </c>
      <c r="T297" s="37">
        <f t="shared" si="46"/>
        <v>-71</v>
      </c>
      <c r="U297" s="62">
        <v>1.0</v>
      </c>
      <c r="V297" s="74">
        <v>8.86807804404145</v>
      </c>
      <c r="W297" s="63">
        <v>75.0</v>
      </c>
      <c r="X297" s="35">
        <f t="shared" si="55"/>
        <v>0.23</v>
      </c>
      <c r="Y297" s="35">
        <f t="shared" si="56"/>
        <v>0</v>
      </c>
      <c r="Z297" s="40">
        <f t="shared" si="57"/>
        <v>-54.67</v>
      </c>
      <c r="AA297" s="34">
        <f t="shared" si="58"/>
        <v>-16.33</v>
      </c>
      <c r="AB297" s="41">
        <f t="shared" si="49"/>
        <v>0</v>
      </c>
      <c r="AC297" s="66" t="b">
        <v>1</v>
      </c>
      <c r="AD297" s="42" t="s">
        <v>138</v>
      </c>
      <c r="AE297" s="42" t="s">
        <v>138</v>
      </c>
      <c r="AF297" s="42" t="str">
        <f t="array" ref="AF297">INDEX('Deal Info'!D:D, MATCH(A297,'Deal Info'!A:A, 0))</f>
        <v>DoEV</v>
      </c>
      <c r="AG297" s="43" t="str">
        <f t="array" ref="AG297">INDEX('Deal Info'!G:G, MATCH(A297,'Deal Info'!A:A, 0))</f>
        <v>None</v>
      </c>
    </row>
    <row r="298" hidden="1">
      <c r="A298" s="23" t="str">
        <f t="array" ref="A298">if(G298='Room Info'!$B$1, INDEX('Room Info'!$A$2:$A3446, MATCH(B298,'Room Info'!$B$2:$B3446, 0)),if(G298='Room Info'!$C$1, INDEX('Room Info'!$A$2:$A3446, MATCH(B298,'Room Info'!$C$2:$C3446, 0)),if(G298='Room Info'!$D$1, INDEX('Room Info'!$A$2:$A3446, MATCH(B298,'Room Info'!$D$2:$D3446, 0)),if(G298='Room Info'!$E$1, INDEX('Room Info'!$A$2:$A3446, MATCH(B298,'Room Info'!$E$2:$E3446, 0)),if(G298='Room Info'!$F$1, INDEX('Room Info'!$A$2:$A3446, MATCH(B298,'Room Info'!$F$2:$F3446, 0)),if(G298='Room Info'!$H$1, INDEX('Room Info'!$A$2:$A3446, MATCH(B298,'Room Info'!$H$2:$H3446, 0)),if(G298='Room Info'!$G$1, INDEX('Room Info'!$A$2:$A3446, MATCH(B298,'Room Info'!$G$2:$G3446, 0)))))))))</f>
        <v>SDEBA1</v>
      </c>
      <c r="B298" s="50" t="s">
        <v>161</v>
      </c>
      <c r="C298" s="51">
        <v>44916.0</v>
      </c>
      <c r="D298" s="51">
        <v>44946.0</v>
      </c>
      <c r="E298" s="52">
        <v>44927.0</v>
      </c>
      <c r="F298" s="53" t="s">
        <v>4</v>
      </c>
      <c r="G298" s="50" t="s">
        <v>5</v>
      </c>
      <c r="H298" s="54" t="s">
        <v>45</v>
      </c>
      <c r="I298" s="54" t="s">
        <v>7</v>
      </c>
      <c r="J298" s="75">
        <v>10.0</v>
      </c>
      <c r="K298" s="76">
        <v>654.0</v>
      </c>
      <c r="L298" s="57">
        <v>310.0</v>
      </c>
      <c r="M298" s="58">
        <v>76.0</v>
      </c>
      <c r="N298" s="33">
        <f t="shared" si="13"/>
        <v>6540</v>
      </c>
      <c r="O298" s="59">
        <v>16753.0</v>
      </c>
      <c r="P298" s="34">
        <f t="shared" si="14"/>
        <v>25.61620795</v>
      </c>
      <c r="Q298" s="60"/>
      <c r="R298" s="36">
        <f t="shared" si="45"/>
        <v>76</v>
      </c>
      <c r="S298" s="61">
        <v>-173.0</v>
      </c>
      <c r="T298" s="37">
        <f t="shared" si="46"/>
        <v>-97</v>
      </c>
      <c r="U298" s="62">
        <v>1.0</v>
      </c>
      <c r="V298" s="74">
        <v>8.86807804404145</v>
      </c>
      <c r="W298" s="63">
        <v>75.0</v>
      </c>
      <c r="X298" s="35">
        <f t="shared" si="55"/>
        <v>0.23</v>
      </c>
      <c r="Y298" s="35">
        <f t="shared" si="56"/>
        <v>0</v>
      </c>
      <c r="Z298" s="40">
        <f t="shared" si="57"/>
        <v>-74.69</v>
      </c>
      <c r="AA298" s="34">
        <f t="shared" si="58"/>
        <v>-22.31</v>
      </c>
      <c r="AB298" s="41">
        <f t="shared" si="49"/>
        <v>0</v>
      </c>
      <c r="AC298" s="66" t="b">
        <v>1</v>
      </c>
      <c r="AD298" s="42" t="s">
        <v>138</v>
      </c>
      <c r="AE298" s="42" t="s">
        <v>138</v>
      </c>
      <c r="AF298" s="42" t="str">
        <f t="array" ref="AF298">INDEX('Deal Info'!D:D, MATCH(A298,'Deal Info'!A:A, 0))</f>
        <v>DoEV</v>
      </c>
      <c r="AG298" s="43" t="str">
        <f t="array" ref="AG298">INDEX('Deal Info'!G:G, MATCH(A298,'Deal Info'!A:A, 0))</f>
        <v>None</v>
      </c>
    </row>
    <row r="299" hidden="1">
      <c r="A299" s="23" t="str">
        <f t="array" ref="A299">if(G299='Room Info'!$B$1, INDEX('Room Info'!$A$2:$A3446, MATCH(B299,'Room Info'!$B$2:$B3446, 0)),if(G299='Room Info'!$C$1, INDEX('Room Info'!$A$2:$A3446, MATCH(B299,'Room Info'!$C$2:$C3446, 0)),if(G299='Room Info'!$D$1, INDEX('Room Info'!$A$2:$A3446, MATCH(B299,'Room Info'!$D$2:$D3446, 0)),if(G299='Room Info'!$E$1, INDEX('Room Info'!$A$2:$A3446, MATCH(B299,'Room Info'!$E$2:$E3446, 0)),if(G299='Room Info'!$F$1, INDEX('Room Info'!$A$2:$A3446, MATCH(B299,'Room Info'!$F$2:$F3446, 0)),if(G299='Room Info'!$H$1, INDEX('Room Info'!$A$2:$A3446, MATCH(B299,'Room Info'!$H$2:$H3446, 0)),if(G299='Room Info'!$G$1, INDEX('Room Info'!$A$2:$A3446, MATCH(B299,'Room Info'!$G$2:$G3446, 0)))))))))</f>
        <v>SDEBA1</v>
      </c>
      <c r="B299" s="50" t="s">
        <v>161</v>
      </c>
      <c r="C299" s="51">
        <v>44916.0</v>
      </c>
      <c r="D299" s="51">
        <v>44946.0</v>
      </c>
      <c r="E299" s="52">
        <v>44927.0</v>
      </c>
      <c r="F299" s="53" t="s">
        <v>4</v>
      </c>
      <c r="G299" s="50" t="s">
        <v>5</v>
      </c>
      <c r="H299" s="54" t="s">
        <v>48</v>
      </c>
      <c r="I299" s="54" t="s">
        <v>11</v>
      </c>
      <c r="J299" s="75">
        <v>10.0</v>
      </c>
      <c r="K299" s="76">
        <v>1118.0</v>
      </c>
      <c r="L299" s="57">
        <v>-1120.0</v>
      </c>
      <c r="M299" s="58">
        <v>130.0</v>
      </c>
      <c r="N299" s="33">
        <f t="shared" si="13"/>
        <v>11180</v>
      </c>
      <c r="O299" s="59">
        <v>15227.0</v>
      </c>
      <c r="P299" s="34">
        <f t="shared" si="14"/>
        <v>13.61985689</v>
      </c>
      <c r="Q299" s="60"/>
      <c r="R299" s="36">
        <f t="shared" si="45"/>
        <v>130</v>
      </c>
      <c r="S299" s="61">
        <v>-349.0</v>
      </c>
      <c r="T299" s="37">
        <f t="shared" si="46"/>
        <v>-219</v>
      </c>
      <c r="U299" s="62">
        <v>1.0</v>
      </c>
      <c r="V299" s="74">
        <v>8.86807804404145</v>
      </c>
      <c r="W299" s="63">
        <v>75.0</v>
      </c>
      <c r="X299" s="35">
        <f t="shared" si="55"/>
        <v>0.23</v>
      </c>
      <c r="Y299" s="35">
        <f t="shared" si="56"/>
        <v>0</v>
      </c>
      <c r="Z299" s="40">
        <f t="shared" si="57"/>
        <v>-168.63</v>
      </c>
      <c r="AA299" s="34">
        <f t="shared" si="58"/>
        <v>-50.37</v>
      </c>
      <c r="AB299" s="41">
        <f t="shared" si="49"/>
        <v>0</v>
      </c>
      <c r="AC299" s="66" t="b">
        <v>1</v>
      </c>
      <c r="AD299" s="42" t="s">
        <v>138</v>
      </c>
      <c r="AE299" s="42" t="s">
        <v>138</v>
      </c>
      <c r="AF299" s="42" t="str">
        <f t="array" ref="AF299">INDEX('Deal Info'!D:D, MATCH(A299,'Deal Info'!A:A, 0))</f>
        <v>DoEV</v>
      </c>
      <c r="AG299" s="43" t="str">
        <f t="array" ref="AG299">INDEX('Deal Info'!G:G, MATCH(A299,'Deal Info'!A:A, 0))</f>
        <v>None</v>
      </c>
    </row>
    <row r="300" hidden="1">
      <c r="A300" s="23" t="str">
        <f t="array" ref="A300">if(G300='Room Info'!$B$1, INDEX('Room Info'!$A$2:$A3446, MATCH(B300,'Room Info'!$B$2:$B3446, 0)),if(G300='Room Info'!$C$1, INDEX('Room Info'!$A$2:$A3446, MATCH(B300,'Room Info'!$C$2:$C3446, 0)),if(G300='Room Info'!$D$1, INDEX('Room Info'!$A$2:$A3446, MATCH(B300,'Room Info'!$D$2:$D3446, 0)),if(G300='Room Info'!$E$1, INDEX('Room Info'!$A$2:$A3446, MATCH(B300,'Room Info'!$E$2:$E3446, 0)),if(G300='Room Info'!$F$1, INDEX('Room Info'!$A$2:$A3446, MATCH(B300,'Room Info'!$F$2:$F3446, 0)),if(G300='Room Info'!$H$1, INDEX('Room Info'!$A$2:$A3446, MATCH(B300,'Room Info'!$H$2:$H3446, 0)),if(G300='Room Info'!$G$1, INDEX('Room Info'!$A$2:$A3446, MATCH(B300,'Room Info'!$G$2:$G3446, 0)))))))))</f>
        <v>SDEBA1</v>
      </c>
      <c r="B300" s="50" t="s">
        <v>161</v>
      </c>
      <c r="C300" s="51">
        <v>44916.0</v>
      </c>
      <c r="D300" s="51">
        <v>44946.0</v>
      </c>
      <c r="E300" s="52">
        <v>44927.0</v>
      </c>
      <c r="F300" s="53" t="s">
        <v>12</v>
      </c>
      <c r="G300" s="50" t="s">
        <v>5</v>
      </c>
      <c r="H300" s="54" t="s">
        <v>6</v>
      </c>
      <c r="I300" s="54" t="s">
        <v>7</v>
      </c>
      <c r="J300" s="75">
        <v>0.25</v>
      </c>
      <c r="K300" s="76">
        <v>2.0</v>
      </c>
      <c r="L300" s="57">
        <v>1.0</v>
      </c>
      <c r="M300" s="67"/>
      <c r="N300" s="33">
        <f t="shared" si="13"/>
        <v>0.5</v>
      </c>
      <c r="O300" s="70"/>
      <c r="P300" s="34">
        <f t="shared" si="14"/>
        <v>0</v>
      </c>
      <c r="Q300" s="60"/>
      <c r="R300" s="36">
        <f t="shared" si="45"/>
        <v>0</v>
      </c>
      <c r="S300" s="71"/>
      <c r="T300" s="37">
        <f t="shared" si="46"/>
        <v>1</v>
      </c>
      <c r="U300" s="62">
        <v>1.0</v>
      </c>
      <c r="V300" s="74">
        <v>8.86807804404145</v>
      </c>
      <c r="W300" s="63">
        <v>75.0</v>
      </c>
      <c r="X300" s="35">
        <f t="shared" si="55"/>
        <v>0.23</v>
      </c>
      <c r="Y300" s="35">
        <f t="shared" si="56"/>
        <v>0</v>
      </c>
      <c r="Z300" s="40">
        <f t="shared" si="57"/>
        <v>0.77</v>
      </c>
      <c r="AA300" s="34">
        <f t="shared" si="58"/>
        <v>0.23</v>
      </c>
      <c r="AB300" s="41">
        <f t="shared" si="49"/>
        <v>0</v>
      </c>
      <c r="AC300" s="66" t="b">
        <v>1</v>
      </c>
      <c r="AD300" s="42" t="s">
        <v>138</v>
      </c>
      <c r="AE300" s="42" t="s">
        <v>138</v>
      </c>
      <c r="AF300" s="42" t="str">
        <f t="array" ref="AF300">INDEX('Deal Info'!D:D, MATCH(A300,'Deal Info'!A:A, 0))</f>
        <v>DoEV</v>
      </c>
      <c r="AG300" s="43" t="str">
        <f t="array" ref="AG300">INDEX('Deal Info'!G:G, MATCH(A300,'Deal Info'!A:A, 0))</f>
        <v>None</v>
      </c>
    </row>
    <row r="301" hidden="1">
      <c r="A301" s="23" t="str">
        <f t="array" ref="A301">if(G301='Room Info'!$B$1, INDEX('Room Info'!$A$2:$A3446, MATCH(B301,'Room Info'!$B$2:$B3446, 0)),if(G301='Room Info'!$C$1, INDEX('Room Info'!$A$2:$A3446, MATCH(B301,'Room Info'!$C$2:$C3446, 0)),if(G301='Room Info'!$D$1, INDEX('Room Info'!$A$2:$A3446, MATCH(B301,'Room Info'!$D$2:$D3446, 0)),if(G301='Room Info'!$E$1, INDEX('Room Info'!$A$2:$A3446, MATCH(B301,'Room Info'!$E$2:$E3446, 0)),if(G301='Room Info'!$F$1, INDEX('Room Info'!$A$2:$A3446, MATCH(B301,'Room Info'!$F$2:$F3446, 0)),if(G301='Room Info'!$H$1, INDEX('Room Info'!$A$2:$A3446, MATCH(B301,'Room Info'!$H$2:$H3446, 0)),if(G301='Room Info'!$G$1, INDEX('Room Info'!$A$2:$A3446, MATCH(B301,'Room Info'!$G$2:$G3446, 0)))))))))</f>
        <v>supreme325i</v>
      </c>
      <c r="B301" s="50" t="s">
        <v>162</v>
      </c>
      <c r="C301" s="51">
        <v>44765.0</v>
      </c>
      <c r="D301" s="51">
        <v>44793.0</v>
      </c>
      <c r="E301" s="52">
        <v>44774.0</v>
      </c>
      <c r="F301" s="53" t="s">
        <v>4</v>
      </c>
      <c r="G301" s="50" t="s">
        <v>13</v>
      </c>
      <c r="H301" s="54" t="s">
        <v>74</v>
      </c>
      <c r="I301" s="54" t="s">
        <v>18</v>
      </c>
      <c r="J301" s="75">
        <v>50.0</v>
      </c>
      <c r="K301" s="76">
        <v>6744.0</v>
      </c>
      <c r="L301" s="57">
        <v>-11650.0</v>
      </c>
      <c r="M301" s="58">
        <v>17407.0</v>
      </c>
      <c r="N301" s="33">
        <f t="shared" si="13"/>
        <v>337200</v>
      </c>
      <c r="O301" s="59">
        <v>48104.0</v>
      </c>
      <c r="P301" s="34">
        <f t="shared" si="14"/>
        <v>7.132858837</v>
      </c>
      <c r="Q301" s="60"/>
      <c r="R301" s="36">
        <f t="shared" si="45"/>
        <v>17407</v>
      </c>
      <c r="S301" s="61">
        <v>-17529.0</v>
      </c>
      <c r="T301" s="37">
        <f t="shared" si="46"/>
        <v>-122</v>
      </c>
      <c r="U301" s="62">
        <v>1.0</v>
      </c>
      <c r="V301" s="74">
        <v>38.88557057529079</v>
      </c>
      <c r="W301" s="63">
        <v>29.97</v>
      </c>
      <c r="X301" s="35">
        <f t="shared" si="55"/>
        <v>0.3</v>
      </c>
      <c r="Y301" s="35">
        <f t="shared" si="56"/>
        <v>0</v>
      </c>
      <c r="Z301" s="40">
        <f t="shared" si="57"/>
        <v>-85.4</v>
      </c>
      <c r="AA301" s="34">
        <f t="shared" si="58"/>
        <v>-36.6</v>
      </c>
      <c r="AB301" s="41">
        <f t="shared" si="49"/>
        <v>0</v>
      </c>
      <c r="AC301" s="42" t="b">
        <v>1</v>
      </c>
      <c r="AD301" s="42" t="s">
        <v>138</v>
      </c>
      <c r="AE301" s="42" t="s">
        <v>138</v>
      </c>
      <c r="AF301" s="42" t="str">
        <f t="array" ref="AF301">INDEX('Deal Info'!D:D, MATCH(A301,'Deal Info'!A:A, 0))</f>
        <v>DoEVsu</v>
      </c>
      <c r="AG301" s="43" t="str">
        <f t="array" ref="AG301">INDEX('Deal Info'!G:G, MATCH(A301,'Deal Info'!A:A, 0))</f>
        <v>None</v>
      </c>
    </row>
    <row r="302" hidden="1">
      <c r="A302" s="23" t="str">
        <f t="array" ref="A302">if(G302='Room Info'!$B$1, INDEX('Room Info'!$A$2:$A3446, MATCH(B302,'Room Info'!$B$2:$B3446, 0)),if(G302='Room Info'!$C$1, INDEX('Room Info'!$A$2:$A3446, MATCH(B302,'Room Info'!$C$2:$C3446, 0)),if(G302='Room Info'!$D$1, INDEX('Room Info'!$A$2:$A3446, MATCH(B302,'Room Info'!$D$2:$D3446, 0)),if(G302='Room Info'!$E$1, INDEX('Room Info'!$A$2:$A3446, MATCH(B302,'Room Info'!$E$2:$E3446, 0)),if(G302='Room Info'!$F$1, INDEX('Room Info'!$A$2:$A3446, MATCH(B302,'Room Info'!$F$2:$F3446, 0)),if(G302='Room Info'!$H$1, INDEX('Room Info'!$A$2:$A3446, MATCH(B302,'Room Info'!$H$2:$H3446, 0)),if(G302='Room Info'!$G$1, INDEX('Room Info'!$A$2:$A3446, MATCH(B302,'Room Info'!$G$2:$G3446, 0)))))))))</f>
        <v>supreme325i</v>
      </c>
      <c r="B302" s="50" t="s">
        <v>162</v>
      </c>
      <c r="C302" s="51">
        <v>44794.0</v>
      </c>
      <c r="D302" s="51">
        <v>44824.0</v>
      </c>
      <c r="E302" s="52">
        <v>44805.0</v>
      </c>
      <c r="F302" s="53" t="s">
        <v>4</v>
      </c>
      <c r="G302" s="50" t="s">
        <v>13</v>
      </c>
      <c r="H302" s="54" t="s">
        <v>74</v>
      </c>
      <c r="I302" s="54" t="s">
        <v>18</v>
      </c>
      <c r="J302" s="75">
        <v>50.0</v>
      </c>
      <c r="K302" s="76">
        <v>1266.0</v>
      </c>
      <c r="L302" s="57">
        <v>-4850.0</v>
      </c>
      <c r="M302" s="58">
        <v>2109.0</v>
      </c>
      <c r="N302" s="33">
        <f t="shared" si="13"/>
        <v>63300</v>
      </c>
      <c r="O302" s="59">
        <v>4786.0</v>
      </c>
      <c r="P302" s="34">
        <f t="shared" si="14"/>
        <v>3.780410742</v>
      </c>
      <c r="Q302" s="60"/>
      <c r="R302" s="36">
        <f t="shared" si="45"/>
        <v>2109</v>
      </c>
      <c r="S302" s="61">
        <v>-3990.0</v>
      </c>
      <c r="T302" s="37">
        <f t="shared" si="46"/>
        <v>-1881</v>
      </c>
      <c r="U302" s="62">
        <v>1.0</v>
      </c>
      <c r="V302" s="74">
        <v>38.88557057529079</v>
      </c>
      <c r="W302" s="63">
        <v>29.97</v>
      </c>
      <c r="X302" s="35">
        <f t="shared" si="55"/>
        <v>0.3</v>
      </c>
      <c r="Y302" s="35">
        <f t="shared" si="56"/>
        <v>0</v>
      </c>
      <c r="Z302" s="40">
        <f t="shared" si="57"/>
        <v>-1316.7</v>
      </c>
      <c r="AA302" s="34">
        <f t="shared" si="58"/>
        <v>-564.3</v>
      </c>
      <c r="AB302" s="41">
        <f t="shared" si="49"/>
        <v>0</v>
      </c>
      <c r="AC302" s="42" t="b">
        <v>1</v>
      </c>
      <c r="AD302" s="42" t="s">
        <v>138</v>
      </c>
      <c r="AE302" s="42" t="s">
        <v>138</v>
      </c>
      <c r="AF302" s="42" t="str">
        <f t="array" ref="AF302">INDEX('Deal Info'!D:D, MATCH(A302,'Deal Info'!A:A, 0))</f>
        <v>DoEVsu</v>
      </c>
      <c r="AG302" s="43" t="str">
        <f t="array" ref="AG302">INDEX('Deal Info'!G:G, MATCH(A302,'Deal Info'!A:A, 0))</f>
        <v>None</v>
      </c>
    </row>
    <row r="303" hidden="1">
      <c r="A303" s="23" t="str">
        <f t="array" ref="A303">if(G303='Room Info'!$B$1, INDEX('Room Info'!$A$2:$A3446, MATCH(B303,'Room Info'!$B$2:$B3446, 0)),if(G303='Room Info'!$C$1, INDEX('Room Info'!$A$2:$A3446, MATCH(B303,'Room Info'!$C$2:$C3446, 0)),if(G303='Room Info'!$D$1, INDEX('Room Info'!$A$2:$A3446, MATCH(B303,'Room Info'!$D$2:$D3446, 0)),if(G303='Room Info'!$E$1, INDEX('Room Info'!$A$2:$A3446, MATCH(B303,'Room Info'!$E$2:$E3446, 0)),if(G303='Room Info'!$F$1, INDEX('Room Info'!$A$2:$A3446, MATCH(B303,'Room Info'!$F$2:$F3446, 0)),if(G303='Room Info'!$H$1, INDEX('Room Info'!$A$2:$A3446, MATCH(B303,'Room Info'!$H$2:$H3446, 0)),if(G303='Room Info'!$G$1, INDEX('Room Info'!$A$2:$A3446, MATCH(B303,'Room Info'!$G$2:$G3446, 0)))))))))</f>
        <v>supreme325i</v>
      </c>
      <c r="B303" s="50" t="s">
        <v>163</v>
      </c>
      <c r="C303" s="51">
        <v>44835.0</v>
      </c>
      <c r="D303" s="51">
        <v>44865.0</v>
      </c>
      <c r="E303" s="52">
        <v>44835.0</v>
      </c>
      <c r="F303" s="53" t="s">
        <v>4</v>
      </c>
      <c r="G303" s="50" t="s">
        <v>16</v>
      </c>
      <c r="H303" s="54" t="s">
        <v>59</v>
      </c>
      <c r="I303" s="54" t="s">
        <v>7</v>
      </c>
      <c r="J303" s="75">
        <v>20.0</v>
      </c>
      <c r="K303" s="76">
        <v>3317.0</v>
      </c>
      <c r="L303" s="57">
        <v>2260.0</v>
      </c>
      <c r="M303" s="58">
        <v>2901.0</v>
      </c>
      <c r="N303" s="33">
        <f t="shared" si="13"/>
        <v>66340</v>
      </c>
      <c r="O303" s="59">
        <v>174660.0</v>
      </c>
      <c r="P303" s="34">
        <f t="shared" si="14"/>
        <v>52.65601447</v>
      </c>
      <c r="Q303" s="60"/>
      <c r="R303" s="36">
        <f t="shared" si="45"/>
        <v>2901</v>
      </c>
      <c r="S303" s="61">
        <v>2189.0</v>
      </c>
      <c r="T303" s="37">
        <f t="shared" si="46"/>
        <v>5090</v>
      </c>
      <c r="U303" s="62">
        <v>1.0</v>
      </c>
      <c r="V303" s="74">
        <v>38.88557057529079</v>
      </c>
      <c r="W303" s="63">
        <v>29.97</v>
      </c>
      <c r="X303" s="35">
        <f t="shared" si="55"/>
        <v>0.3</v>
      </c>
      <c r="Y303" s="35">
        <f t="shared" si="56"/>
        <v>0</v>
      </c>
      <c r="Z303" s="40">
        <f t="shared" si="57"/>
        <v>3563</v>
      </c>
      <c r="AA303" s="34">
        <f t="shared" si="58"/>
        <v>1527</v>
      </c>
      <c r="AB303" s="41">
        <f t="shared" si="49"/>
        <v>0</v>
      </c>
      <c r="AC303" s="42" t="b">
        <v>1</v>
      </c>
      <c r="AD303" s="42" t="s">
        <v>138</v>
      </c>
      <c r="AE303" s="42" t="s">
        <v>138</v>
      </c>
      <c r="AF303" s="42" t="str">
        <f t="array" ref="AF303">INDEX('Deal Info'!D:D, MATCH(A303,'Deal Info'!A:A, 0))</f>
        <v>DoEVsu</v>
      </c>
      <c r="AG303" s="43" t="str">
        <f t="array" ref="AG303">INDEX('Deal Info'!G:G, MATCH(A303,'Deal Info'!A:A, 0))</f>
        <v>None</v>
      </c>
    </row>
    <row r="304" hidden="1">
      <c r="A304" s="23" t="str">
        <f t="array" ref="A304">if(G304='Room Info'!$B$1, INDEX('Room Info'!$A$2:$A3446, MATCH(B304,'Room Info'!$B$2:$B3446, 0)),if(G304='Room Info'!$C$1, INDEX('Room Info'!$A$2:$A3446, MATCH(B304,'Room Info'!$C$2:$C3446, 0)),if(G304='Room Info'!$D$1, INDEX('Room Info'!$A$2:$A3446, MATCH(B304,'Room Info'!$D$2:$D3446, 0)),if(G304='Room Info'!$E$1, INDEX('Room Info'!$A$2:$A3446, MATCH(B304,'Room Info'!$E$2:$E3446, 0)),if(G304='Room Info'!$F$1, INDEX('Room Info'!$A$2:$A3446, MATCH(B304,'Room Info'!$F$2:$F3446, 0)),if(G304='Room Info'!$H$1, INDEX('Room Info'!$A$2:$A3446, MATCH(B304,'Room Info'!$H$2:$H3446, 0)),if(G304='Room Info'!$G$1, INDEX('Room Info'!$A$2:$A3446, MATCH(B304,'Room Info'!$G$2:$G3446, 0)))))))))</f>
        <v>supreme325i</v>
      </c>
      <c r="B304" s="50" t="s">
        <v>163</v>
      </c>
      <c r="C304" s="51">
        <v>44835.0</v>
      </c>
      <c r="D304" s="51">
        <v>44865.0</v>
      </c>
      <c r="E304" s="52">
        <v>44835.0</v>
      </c>
      <c r="F304" s="53" t="s">
        <v>4</v>
      </c>
      <c r="G304" s="50" t="s">
        <v>16</v>
      </c>
      <c r="H304" s="54" t="s">
        <v>59</v>
      </c>
      <c r="I304" s="54" t="s">
        <v>7</v>
      </c>
      <c r="J304" s="75">
        <v>20.0</v>
      </c>
      <c r="K304" s="76">
        <v>1397.0</v>
      </c>
      <c r="L304" s="77">
        <v>-1500.0</v>
      </c>
      <c r="M304" s="58">
        <v>1073.0</v>
      </c>
      <c r="N304" s="33">
        <f t="shared" si="13"/>
        <v>27940</v>
      </c>
      <c r="O304" s="50">
        <v>31191.0</v>
      </c>
      <c r="P304" s="34">
        <f t="shared" si="14"/>
        <v>22.32712956</v>
      </c>
      <c r="Q304" s="60"/>
      <c r="R304" s="36">
        <f t="shared" si="45"/>
        <v>1073</v>
      </c>
      <c r="S304" s="61">
        <v>-664.0</v>
      </c>
      <c r="T304" s="37">
        <f t="shared" si="46"/>
        <v>409</v>
      </c>
      <c r="U304" s="62">
        <v>1.0</v>
      </c>
      <c r="V304" s="74">
        <v>38.88557057529079</v>
      </c>
      <c r="W304" s="63">
        <v>29.97</v>
      </c>
      <c r="X304" s="35">
        <f t="shared" si="55"/>
        <v>0.3</v>
      </c>
      <c r="Y304" s="35">
        <f t="shared" si="56"/>
        <v>0</v>
      </c>
      <c r="Z304" s="40">
        <f t="shared" si="57"/>
        <v>286.3</v>
      </c>
      <c r="AA304" s="34">
        <f t="shared" si="58"/>
        <v>122.7</v>
      </c>
      <c r="AB304" s="41">
        <f t="shared" si="49"/>
        <v>0</v>
      </c>
      <c r="AC304" s="42" t="b">
        <v>1</v>
      </c>
      <c r="AD304" s="42" t="s">
        <v>138</v>
      </c>
      <c r="AE304" s="42" t="s">
        <v>138</v>
      </c>
      <c r="AF304" s="42" t="str">
        <f t="array" ref="AF304">INDEX('Deal Info'!D:D, MATCH(A304,'Deal Info'!A:A, 0))</f>
        <v>DoEVsu</v>
      </c>
      <c r="AG304" s="43" t="str">
        <f t="array" ref="AG304">INDEX('Deal Info'!G:G, MATCH(A304,'Deal Info'!A:A, 0))</f>
        <v>None</v>
      </c>
    </row>
    <row r="305" hidden="1">
      <c r="A305" s="23" t="str">
        <f t="array" ref="A305">if(G305='Room Info'!$B$1, INDEX('Room Info'!$A$2:$A3446, MATCH(B305,'Room Info'!$B$2:$B3446, 0)),if(G305='Room Info'!$C$1, INDEX('Room Info'!$A$2:$A3446, MATCH(B305,'Room Info'!$C$2:$C3446, 0)),if(G305='Room Info'!$D$1, INDEX('Room Info'!$A$2:$A3446, MATCH(B305,'Room Info'!$D$2:$D3446, 0)),if(G305='Room Info'!$E$1, INDEX('Room Info'!$A$2:$A3446, MATCH(B305,'Room Info'!$E$2:$E3446, 0)),if(G305='Room Info'!$F$1, INDEX('Room Info'!$A$2:$A3446, MATCH(B305,'Room Info'!$F$2:$F3446, 0)),if(G305='Room Info'!$H$1, INDEX('Room Info'!$A$2:$A3446, MATCH(B305,'Room Info'!$H$2:$H3446, 0)),if(G305='Room Info'!$G$1, INDEX('Room Info'!$A$2:$A3446, MATCH(B305,'Room Info'!$G$2:$G3446, 0)))))))))</f>
        <v>supreme325i</v>
      </c>
      <c r="B305" s="50" t="s">
        <v>163</v>
      </c>
      <c r="C305" s="51">
        <v>44866.0</v>
      </c>
      <c r="D305" s="51">
        <v>44895.0</v>
      </c>
      <c r="E305" s="52">
        <v>44866.0</v>
      </c>
      <c r="F305" s="53" t="s">
        <v>4</v>
      </c>
      <c r="G305" s="50" t="s">
        <v>16</v>
      </c>
      <c r="H305" s="54" t="s">
        <v>59</v>
      </c>
      <c r="I305" s="54" t="s">
        <v>7</v>
      </c>
      <c r="J305" s="75">
        <v>20.0</v>
      </c>
      <c r="K305" s="76">
        <v>6194.0</v>
      </c>
      <c r="L305" s="77">
        <v>-420.0</v>
      </c>
      <c r="M305" s="58">
        <v>5577.0</v>
      </c>
      <c r="N305" s="33">
        <f t="shared" si="13"/>
        <v>123880</v>
      </c>
      <c r="O305" s="50">
        <v>241827.0</v>
      </c>
      <c r="P305" s="34">
        <f t="shared" si="14"/>
        <v>39.04213755</v>
      </c>
      <c r="Q305" s="60"/>
      <c r="R305" s="36">
        <f t="shared" si="45"/>
        <v>5577</v>
      </c>
      <c r="S305" s="61">
        <v>1143.0</v>
      </c>
      <c r="T305" s="37">
        <f t="shared" si="46"/>
        <v>6720</v>
      </c>
      <c r="U305" s="62">
        <v>1.0</v>
      </c>
      <c r="V305" s="74">
        <v>20.0</v>
      </c>
      <c r="W305" s="74">
        <v>336.0</v>
      </c>
      <c r="X305" s="35">
        <f t="shared" si="55"/>
        <v>0.12</v>
      </c>
      <c r="Y305" s="35">
        <f t="shared" si="56"/>
        <v>0</v>
      </c>
      <c r="Z305" s="40">
        <f t="shared" si="57"/>
        <v>5913.6</v>
      </c>
      <c r="AA305" s="34">
        <f t="shared" si="58"/>
        <v>806.4</v>
      </c>
      <c r="AB305" s="41">
        <f t="shared" si="49"/>
        <v>0</v>
      </c>
      <c r="AC305" s="42" t="b">
        <v>1</v>
      </c>
      <c r="AD305" s="42" t="s">
        <v>138</v>
      </c>
      <c r="AE305" s="42" t="s">
        <v>138</v>
      </c>
      <c r="AF305" s="42" t="str">
        <f t="array" ref="AF305">INDEX('Deal Info'!D:D, MATCH(A305,'Deal Info'!A:A, 0))</f>
        <v>DoEVsu</v>
      </c>
      <c r="AG305" s="43" t="str">
        <f t="array" ref="AG305">INDEX('Deal Info'!G:G, MATCH(A305,'Deal Info'!A:A, 0))</f>
        <v>None</v>
      </c>
    </row>
    <row r="306" hidden="1">
      <c r="A306" s="23" t="str">
        <f t="array" ref="A306">if(G306='Room Info'!$B$1, INDEX('Room Info'!$A$2:$A3446, MATCH(B306,'Room Info'!$B$2:$B3446, 0)),if(G306='Room Info'!$C$1, INDEX('Room Info'!$A$2:$A3446, MATCH(B306,'Room Info'!$C$2:$C3446, 0)),if(G306='Room Info'!$D$1, INDEX('Room Info'!$A$2:$A3446, MATCH(B306,'Room Info'!$D$2:$D3446, 0)),if(G306='Room Info'!$E$1, INDEX('Room Info'!$A$2:$A3446, MATCH(B306,'Room Info'!$E$2:$E3446, 0)),if(G306='Room Info'!$F$1, INDEX('Room Info'!$A$2:$A3446, MATCH(B306,'Room Info'!$F$2:$F3446, 0)),if(G306='Room Info'!$H$1, INDEX('Room Info'!$A$2:$A3446, MATCH(B306,'Room Info'!$H$2:$H3446, 0)),if(G306='Room Info'!$G$1, INDEX('Room Info'!$A$2:$A3446, MATCH(B306,'Room Info'!$G$2:$G3446, 0)))))))))</f>
        <v>supreme325i</v>
      </c>
      <c r="B306" s="50" t="s">
        <v>163</v>
      </c>
      <c r="C306" s="51">
        <v>44896.0</v>
      </c>
      <c r="D306" s="51">
        <v>44926.0</v>
      </c>
      <c r="E306" s="52">
        <v>44896.0</v>
      </c>
      <c r="F306" s="53" t="s">
        <v>4</v>
      </c>
      <c r="G306" s="50" t="s">
        <v>16</v>
      </c>
      <c r="H306" s="54" t="s">
        <v>59</v>
      </c>
      <c r="I306" s="54" t="s">
        <v>7</v>
      </c>
      <c r="J306" s="75">
        <v>20.0</v>
      </c>
      <c r="K306" s="76">
        <v>6733.0</v>
      </c>
      <c r="L306" s="77">
        <v>1460.0</v>
      </c>
      <c r="M306" s="58">
        <v>6617.0</v>
      </c>
      <c r="N306" s="33">
        <f t="shared" si="13"/>
        <v>134660</v>
      </c>
      <c r="O306" s="50">
        <v>237283.0</v>
      </c>
      <c r="P306" s="34">
        <f t="shared" si="14"/>
        <v>35.24179415</v>
      </c>
      <c r="Q306" s="60"/>
      <c r="R306" s="36">
        <f t="shared" si="45"/>
        <v>6617</v>
      </c>
      <c r="S306" s="61">
        <v>520.0</v>
      </c>
      <c r="T306" s="37">
        <f t="shared" si="46"/>
        <v>7137</v>
      </c>
      <c r="U306" s="62">
        <v>1.0</v>
      </c>
      <c r="V306" s="74">
        <v>20.0</v>
      </c>
      <c r="W306" s="74">
        <v>356.85</v>
      </c>
      <c r="X306" s="35">
        <f t="shared" si="55"/>
        <v>0.12</v>
      </c>
      <c r="Y306" s="35">
        <f t="shared" si="56"/>
        <v>0</v>
      </c>
      <c r="Z306" s="40">
        <f t="shared" si="57"/>
        <v>6280.56</v>
      </c>
      <c r="AA306" s="34">
        <f t="shared" si="58"/>
        <v>856.44</v>
      </c>
      <c r="AB306" s="41">
        <f t="shared" si="49"/>
        <v>0</v>
      </c>
      <c r="AC306" s="42" t="b">
        <v>1</v>
      </c>
      <c r="AD306" s="42" t="s">
        <v>138</v>
      </c>
      <c r="AE306" s="42" t="s">
        <v>138</v>
      </c>
      <c r="AF306" s="42" t="str">
        <f t="array" ref="AF306">INDEX('Deal Info'!D:D, MATCH(A306,'Deal Info'!A:A, 0))</f>
        <v>DoEVsu</v>
      </c>
      <c r="AG306" s="43" t="str">
        <f t="array" ref="AG306">INDEX('Deal Info'!G:G, MATCH(A306,'Deal Info'!A:A, 0))</f>
        <v>None</v>
      </c>
    </row>
    <row r="307" hidden="1">
      <c r="A307" s="23" t="str">
        <f t="array" ref="A307">if(G307='Room Info'!$B$1, INDEX('Room Info'!$A$2:$A3446, MATCH(B307,'Room Info'!$B$2:$B3446, 0)),if(G307='Room Info'!$C$1, INDEX('Room Info'!$A$2:$A3446, MATCH(B307,'Room Info'!$C$2:$C3446, 0)),if(G307='Room Info'!$D$1, INDEX('Room Info'!$A$2:$A3446, MATCH(B307,'Room Info'!$D$2:$D3446, 0)),if(G307='Room Info'!$E$1, INDEX('Room Info'!$A$2:$A3446, MATCH(B307,'Room Info'!$E$2:$E3446, 0)),if(G307='Room Info'!$F$1, INDEX('Room Info'!$A$2:$A3446, MATCH(B307,'Room Info'!$F$2:$F3446, 0)),if(G307='Room Info'!$H$1, INDEX('Room Info'!$A$2:$A3446, MATCH(B307,'Room Info'!$H$2:$H3446, 0)),if(G307='Room Info'!$G$1, INDEX('Room Info'!$A$2:$A3446, MATCH(B307,'Room Info'!$G$2:$G3446, 0)))))))))</f>
        <v>gRRRiz</v>
      </c>
      <c r="B307" s="50" t="s">
        <v>164</v>
      </c>
      <c r="C307" s="51">
        <v>44672.0</v>
      </c>
      <c r="D307" s="51">
        <v>44701.0</v>
      </c>
      <c r="E307" s="52">
        <v>44682.0</v>
      </c>
      <c r="F307" s="53" t="s">
        <v>4</v>
      </c>
      <c r="G307" s="50" t="s">
        <v>13</v>
      </c>
      <c r="H307" s="54" t="s">
        <v>85</v>
      </c>
      <c r="I307" s="54" t="s">
        <v>18</v>
      </c>
      <c r="J307" s="75">
        <v>100.0</v>
      </c>
      <c r="K307" s="76">
        <v>8252.0</v>
      </c>
      <c r="L307" s="77">
        <v>-41600.0</v>
      </c>
      <c r="M307" s="58">
        <v>46848.0</v>
      </c>
      <c r="N307" s="33">
        <f t="shared" si="13"/>
        <v>825200</v>
      </c>
      <c r="O307" s="50">
        <v>76719.0</v>
      </c>
      <c r="P307" s="34">
        <f t="shared" si="14"/>
        <v>9.297018905</v>
      </c>
      <c r="Q307" s="60"/>
      <c r="R307" s="36">
        <f t="shared" si="45"/>
        <v>46848</v>
      </c>
      <c r="S307" s="78">
        <v>-37718.0</v>
      </c>
      <c r="T307" s="37">
        <f t="shared" si="46"/>
        <v>9130</v>
      </c>
      <c r="U307" s="62">
        <v>1.0</v>
      </c>
      <c r="V307" s="63"/>
      <c r="W307" s="63"/>
      <c r="X307" s="35">
        <f t="shared" si="55"/>
        <v>0.15</v>
      </c>
      <c r="Y307" s="35">
        <f t="shared" si="56"/>
        <v>0.05</v>
      </c>
      <c r="Z307" s="40">
        <f t="shared" si="57"/>
        <v>7304</v>
      </c>
      <c r="AA307" s="34">
        <f t="shared" si="58"/>
        <v>1369.5</v>
      </c>
      <c r="AB307" s="41">
        <f t="shared" si="49"/>
        <v>456.5</v>
      </c>
      <c r="AC307" s="42" t="b">
        <v>1</v>
      </c>
      <c r="AD307" s="42" t="s">
        <v>138</v>
      </c>
      <c r="AE307" s="42" t="s">
        <v>138</v>
      </c>
      <c r="AF307" s="42" t="str">
        <f t="array" ref="AF307">INDEX('Deal Info'!D:D, MATCH(A307,'Deal Info'!A:A, 0))</f>
        <v>Fix15</v>
      </c>
      <c r="AG307" s="43" t="str">
        <f t="array" ref="AG307">INDEX('Deal Info'!G:G, MATCH(A307,'Deal Info'!A:A, 0))</f>
        <v>Fix5</v>
      </c>
    </row>
    <row r="308" hidden="1">
      <c r="A308" s="23" t="str">
        <f t="array" ref="A308">if(G308='Room Info'!$B$1, INDEX('Room Info'!$A$2:$A3446, MATCH(B308,'Room Info'!$B$2:$B3446, 0)),if(G308='Room Info'!$C$1, INDEX('Room Info'!$A$2:$A3446, MATCH(B308,'Room Info'!$C$2:$C3446, 0)),if(G308='Room Info'!$D$1, INDEX('Room Info'!$A$2:$A3446, MATCH(B308,'Room Info'!$D$2:$D3446, 0)),if(G308='Room Info'!$E$1, INDEX('Room Info'!$A$2:$A3446, MATCH(B308,'Room Info'!$E$2:$E3446, 0)),if(G308='Room Info'!$F$1, INDEX('Room Info'!$A$2:$A3446, MATCH(B308,'Room Info'!$F$2:$F3446, 0)),if(G308='Room Info'!$H$1, INDEX('Room Info'!$A$2:$A3446, MATCH(B308,'Room Info'!$H$2:$H3446, 0)),if(G308='Room Info'!$G$1, INDEX('Room Info'!$A$2:$A3446, MATCH(B308,'Room Info'!$G$2:$G3446, 0)))))))))</f>
        <v>gRRRiz</v>
      </c>
      <c r="B308" s="50" t="s">
        <v>164</v>
      </c>
      <c r="C308" s="51">
        <v>44702.0</v>
      </c>
      <c r="D308" s="51">
        <v>44732.0</v>
      </c>
      <c r="E308" s="52">
        <v>44713.0</v>
      </c>
      <c r="F308" s="53" t="s">
        <v>4</v>
      </c>
      <c r="G308" s="50" t="s">
        <v>13</v>
      </c>
      <c r="H308" s="54" t="s">
        <v>59</v>
      </c>
      <c r="I308" s="54" t="s">
        <v>18</v>
      </c>
      <c r="J308" s="75">
        <v>20.0</v>
      </c>
      <c r="K308" s="76">
        <v>56.0</v>
      </c>
      <c r="L308" s="77">
        <v>-240.0</v>
      </c>
      <c r="M308" s="58">
        <v>61.0</v>
      </c>
      <c r="N308" s="33">
        <f t="shared" si="13"/>
        <v>1120</v>
      </c>
      <c r="O308" s="50">
        <v>648.0</v>
      </c>
      <c r="P308" s="34">
        <f t="shared" si="14"/>
        <v>11.57142857</v>
      </c>
      <c r="Q308" s="60"/>
      <c r="R308" s="36">
        <f t="shared" si="45"/>
        <v>61</v>
      </c>
      <c r="S308" s="78">
        <v>-43.0</v>
      </c>
      <c r="T308" s="37">
        <f t="shared" si="46"/>
        <v>18</v>
      </c>
      <c r="U308" s="62">
        <v>1.0</v>
      </c>
      <c r="V308" s="63"/>
      <c r="W308" s="63"/>
      <c r="X308" s="35">
        <f t="shared" si="55"/>
        <v>0.15</v>
      </c>
      <c r="Y308" s="35">
        <f t="shared" si="56"/>
        <v>0.05</v>
      </c>
      <c r="Z308" s="40">
        <f t="shared" si="57"/>
        <v>14.4</v>
      </c>
      <c r="AA308" s="34">
        <f t="shared" si="58"/>
        <v>2.7</v>
      </c>
      <c r="AB308" s="41">
        <f t="shared" si="49"/>
        <v>0.9</v>
      </c>
      <c r="AC308" s="42" t="b">
        <v>1</v>
      </c>
      <c r="AD308" s="42" t="s">
        <v>138</v>
      </c>
      <c r="AE308" s="42" t="s">
        <v>138</v>
      </c>
      <c r="AF308" s="42" t="str">
        <f t="array" ref="AF308">INDEX('Deal Info'!D:D, MATCH(A308,'Deal Info'!A:A, 0))</f>
        <v>Fix15</v>
      </c>
      <c r="AG308" s="43" t="str">
        <f t="array" ref="AG308">INDEX('Deal Info'!G:G, MATCH(A308,'Deal Info'!A:A, 0))</f>
        <v>Fix5</v>
      </c>
    </row>
    <row r="309" hidden="1">
      <c r="A309" s="23" t="str">
        <f t="array" ref="A309">if(G309='Room Info'!$B$1, INDEX('Room Info'!$A$2:$A3446, MATCH(B309,'Room Info'!$B$2:$B3446, 0)),if(G309='Room Info'!$C$1, INDEX('Room Info'!$A$2:$A3446, MATCH(B309,'Room Info'!$C$2:$C3446, 0)),if(G309='Room Info'!$D$1, INDEX('Room Info'!$A$2:$A3446, MATCH(B309,'Room Info'!$D$2:$D3446, 0)),if(G309='Room Info'!$E$1, INDEX('Room Info'!$A$2:$A3446, MATCH(B309,'Room Info'!$E$2:$E3446, 0)),if(G309='Room Info'!$F$1, INDEX('Room Info'!$A$2:$A3446, MATCH(B309,'Room Info'!$F$2:$F3446, 0)),if(G309='Room Info'!$H$1, INDEX('Room Info'!$A$2:$A3446, MATCH(B309,'Room Info'!$H$2:$H3446, 0)),if(G309='Room Info'!$G$1, INDEX('Room Info'!$A$2:$A3446, MATCH(B309,'Room Info'!$G$2:$G3446, 0)))))))))</f>
        <v>gRRRiz</v>
      </c>
      <c r="B309" s="50" t="s">
        <v>164</v>
      </c>
      <c r="C309" s="51">
        <v>44702.0</v>
      </c>
      <c r="D309" s="51">
        <v>44732.0</v>
      </c>
      <c r="E309" s="52">
        <v>44713.0</v>
      </c>
      <c r="F309" s="53" t="s">
        <v>4</v>
      </c>
      <c r="G309" s="50" t="s">
        <v>13</v>
      </c>
      <c r="H309" s="54" t="s">
        <v>74</v>
      </c>
      <c r="I309" s="54" t="s">
        <v>18</v>
      </c>
      <c r="J309" s="75">
        <v>50.0</v>
      </c>
      <c r="K309" s="76">
        <v>44.0</v>
      </c>
      <c r="L309" s="77">
        <v>-450.0</v>
      </c>
      <c r="M309" s="58">
        <v>121.0</v>
      </c>
      <c r="N309" s="33">
        <f t="shared" si="13"/>
        <v>2200</v>
      </c>
      <c r="O309" s="50">
        <v>98.0</v>
      </c>
      <c r="P309" s="34">
        <f t="shared" si="14"/>
        <v>2.227272727</v>
      </c>
      <c r="Q309" s="60"/>
      <c r="R309" s="36">
        <f t="shared" si="45"/>
        <v>121</v>
      </c>
      <c r="S309" s="78">
        <v>-143.0</v>
      </c>
      <c r="T309" s="37">
        <f t="shared" si="46"/>
        <v>-22</v>
      </c>
      <c r="U309" s="62">
        <v>1.0</v>
      </c>
      <c r="V309" s="63"/>
      <c r="W309" s="63"/>
      <c r="X309" s="35">
        <f t="shared" si="55"/>
        <v>0.15</v>
      </c>
      <c r="Y309" s="35">
        <f t="shared" si="56"/>
        <v>0.05</v>
      </c>
      <c r="Z309" s="40">
        <f t="shared" si="57"/>
        <v>-17.6</v>
      </c>
      <c r="AA309" s="34">
        <f t="shared" si="58"/>
        <v>-3.3</v>
      </c>
      <c r="AB309" s="41">
        <f t="shared" si="49"/>
        <v>-1.1</v>
      </c>
      <c r="AC309" s="42" t="b">
        <v>1</v>
      </c>
      <c r="AD309" s="42" t="s">
        <v>138</v>
      </c>
      <c r="AE309" s="42" t="s">
        <v>138</v>
      </c>
      <c r="AF309" s="42" t="str">
        <f t="array" ref="AF309">INDEX('Deal Info'!D:D, MATCH(A309,'Deal Info'!A:A, 0))</f>
        <v>Fix15</v>
      </c>
      <c r="AG309" s="43" t="str">
        <f t="array" ref="AG309">INDEX('Deal Info'!G:G, MATCH(A309,'Deal Info'!A:A, 0))</f>
        <v>Fix5</v>
      </c>
    </row>
    <row r="310" hidden="1">
      <c r="A310" s="23" t="str">
        <f t="array" ref="A310">if(G310='Room Info'!$B$1, INDEX('Room Info'!$A$2:$A3446, MATCH(B310,'Room Info'!$B$2:$B3446, 0)),if(G310='Room Info'!$C$1, INDEX('Room Info'!$A$2:$A3446, MATCH(B310,'Room Info'!$C$2:$C3446, 0)),if(G310='Room Info'!$D$1, INDEX('Room Info'!$A$2:$A3446, MATCH(B310,'Room Info'!$D$2:$D3446, 0)),if(G310='Room Info'!$E$1, INDEX('Room Info'!$A$2:$A3446, MATCH(B310,'Room Info'!$E$2:$E3446, 0)),if(G310='Room Info'!$F$1, INDEX('Room Info'!$A$2:$A3446, MATCH(B310,'Room Info'!$F$2:$F3446, 0)),if(G310='Room Info'!$H$1, INDEX('Room Info'!$A$2:$A3446, MATCH(B310,'Room Info'!$H$2:$H3446, 0)),if(G310='Room Info'!$G$1, INDEX('Room Info'!$A$2:$A3446, MATCH(B310,'Room Info'!$G$2:$G3446, 0)))))))))</f>
        <v>gRRRiz</v>
      </c>
      <c r="B310" s="50" t="s">
        <v>164</v>
      </c>
      <c r="C310" s="51">
        <v>44702.0</v>
      </c>
      <c r="D310" s="51">
        <v>44732.0</v>
      </c>
      <c r="E310" s="52">
        <v>44713.0</v>
      </c>
      <c r="F310" s="53" t="s">
        <v>4</v>
      </c>
      <c r="G310" s="50" t="s">
        <v>13</v>
      </c>
      <c r="H310" s="54" t="s">
        <v>85</v>
      </c>
      <c r="I310" s="54" t="s">
        <v>18</v>
      </c>
      <c r="J310" s="75">
        <v>100.0</v>
      </c>
      <c r="K310" s="76">
        <v>2577.0</v>
      </c>
      <c r="L310" s="77">
        <v>-19200.0</v>
      </c>
      <c r="M310" s="58">
        <v>14145.0</v>
      </c>
      <c r="N310" s="33">
        <f t="shared" si="13"/>
        <v>257700</v>
      </c>
      <c r="O310" s="50">
        <v>19738.0</v>
      </c>
      <c r="P310" s="34">
        <f t="shared" si="14"/>
        <v>7.659293752</v>
      </c>
      <c r="Q310" s="60"/>
      <c r="R310" s="36">
        <f t="shared" si="45"/>
        <v>14145</v>
      </c>
      <c r="S310" s="78">
        <v>-12774.0</v>
      </c>
      <c r="T310" s="37">
        <f t="shared" si="46"/>
        <v>1371</v>
      </c>
      <c r="U310" s="62">
        <v>1.0</v>
      </c>
      <c r="V310" s="63"/>
      <c r="W310" s="63"/>
      <c r="X310" s="35">
        <f t="shared" si="55"/>
        <v>0.15</v>
      </c>
      <c r="Y310" s="35">
        <f t="shared" si="56"/>
        <v>0.05</v>
      </c>
      <c r="Z310" s="40">
        <f t="shared" si="57"/>
        <v>1096.8</v>
      </c>
      <c r="AA310" s="34">
        <f t="shared" si="58"/>
        <v>205.65</v>
      </c>
      <c r="AB310" s="41">
        <f t="shared" si="49"/>
        <v>68.55</v>
      </c>
      <c r="AC310" s="42" t="b">
        <v>1</v>
      </c>
      <c r="AD310" s="42" t="s">
        <v>138</v>
      </c>
      <c r="AE310" s="42" t="s">
        <v>138</v>
      </c>
      <c r="AF310" s="42" t="str">
        <f t="array" ref="AF310">INDEX('Deal Info'!D:D, MATCH(A310,'Deal Info'!A:A, 0))</f>
        <v>Fix15</v>
      </c>
      <c r="AG310" s="43" t="str">
        <f t="array" ref="AG310">INDEX('Deal Info'!G:G, MATCH(A310,'Deal Info'!A:A, 0))</f>
        <v>Fix5</v>
      </c>
    </row>
    <row r="311" hidden="1">
      <c r="A311" s="23" t="str">
        <f t="array" ref="A311">if(G311='Room Info'!$B$1, INDEX('Room Info'!$A$2:$A3446, MATCH(B311,'Room Info'!$B$2:$B3446, 0)),if(G311='Room Info'!$C$1, INDEX('Room Info'!$A$2:$A3446, MATCH(B311,'Room Info'!$C$2:$C3446, 0)),if(G311='Room Info'!$D$1, INDEX('Room Info'!$A$2:$A3446, MATCH(B311,'Room Info'!$D$2:$D3446, 0)),if(G311='Room Info'!$E$1, INDEX('Room Info'!$A$2:$A3446, MATCH(B311,'Room Info'!$E$2:$E3446, 0)),if(G311='Room Info'!$F$1, INDEX('Room Info'!$A$2:$A3446, MATCH(B311,'Room Info'!$F$2:$F3446, 0)),if(G311='Room Info'!$H$1, INDEX('Room Info'!$A$2:$A3446, MATCH(B311,'Room Info'!$H$2:$H3446, 0)),if(G311='Room Info'!$G$1, INDEX('Room Info'!$A$2:$A3446, MATCH(B311,'Room Info'!$G$2:$G3446, 0)))))))))</f>
        <v>gRRRiz</v>
      </c>
      <c r="B311" s="50" t="s">
        <v>164</v>
      </c>
      <c r="C311" s="51">
        <v>44733.0</v>
      </c>
      <c r="D311" s="51">
        <v>44762.0</v>
      </c>
      <c r="E311" s="52">
        <v>44743.0</v>
      </c>
      <c r="F311" s="53" t="s">
        <v>4</v>
      </c>
      <c r="G311" s="50" t="s">
        <v>13</v>
      </c>
      <c r="H311" s="54" t="s">
        <v>74</v>
      </c>
      <c r="I311" s="54" t="s">
        <v>18</v>
      </c>
      <c r="J311" s="75">
        <v>50.0</v>
      </c>
      <c r="K311" s="76">
        <v>500.0</v>
      </c>
      <c r="L311" s="77">
        <v>3150.0</v>
      </c>
      <c r="M311" s="58">
        <v>1476.0</v>
      </c>
      <c r="N311" s="33">
        <f t="shared" si="13"/>
        <v>25000</v>
      </c>
      <c r="O311" s="50">
        <v>14234.0</v>
      </c>
      <c r="P311" s="34">
        <f t="shared" si="14"/>
        <v>28.468</v>
      </c>
      <c r="Q311" s="60"/>
      <c r="R311" s="36">
        <f t="shared" si="45"/>
        <v>1476</v>
      </c>
      <c r="S311" s="78">
        <v>181.0</v>
      </c>
      <c r="T311" s="37">
        <f t="shared" si="46"/>
        <v>1657</v>
      </c>
      <c r="U311" s="62">
        <v>1.0</v>
      </c>
      <c r="V311" s="63"/>
      <c r="W311" s="63"/>
      <c r="X311" s="35">
        <f t="shared" si="55"/>
        <v>0.15</v>
      </c>
      <c r="Y311" s="35">
        <f t="shared" si="56"/>
        <v>0.05</v>
      </c>
      <c r="Z311" s="40">
        <f t="shared" si="57"/>
        <v>1325.6</v>
      </c>
      <c r="AA311" s="34">
        <f t="shared" si="58"/>
        <v>248.55</v>
      </c>
      <c r="AB311" s="41">
        <f t="shared" si="49"/>
        <v>82.85</v>
      </c>
      <c r="AC311" s="42" t="b">
        <v>1</v>
      </c>
      <c r="AD311" s="42" t="s">
        <v>138</v>
      </c>
      <c r="AE311" s="42" t="s">
        <v>138</v>
      </c>
      <c r="AF311" s="42" t="str">
        <f t="array" ref="AF311">INDEX('Deal Info'!D:D, MATCH(A311,'Deal Info'!A:A, 0))</f>
        <v>Fix15</v>
      </c>
      <c r="AG311" s="43" t="str">
        <f t="array" ref="AG311">INDEX('Deal Info'!G:G, MATCH(A311,'Deal Info'!A:A, 0))</f>
        <v>Fix5</v>
      </c>
    </row>
    <row r="312" hidden="1">
      <c r="A312" s="23" t="str">
        <f t="array" ref="A312">if(G312='Room Info'!$B$1, INDEX('Room Info'!$A$2:$A3446, MATCH(B312,'Room Info'!$B$2:$B3446, 0)),if(G312='Room Info'!$C$1, INDEX('Room Info'!$A$2:$A3446, MATCH(B312,'Room Info'!$C$2:$C3446, 0)),if(G312='Room Info'!$D$1, INDEX('Room Info'!$A$2:$A3446, MATCH(B312,'Room Info'!$D$2:$D3446, 0)),if(G312='Room Info'!$E$1, INDEX('Room Info'!$A$2:$A3446, MATCH(B312,'Room Info'!$E$2:$E3446, 0)),if(G312='Room Info'!$F$1, INDEX('Room Info'!$A$2:$A3446, MATCH(B312,'Room Info'!$F$2:$F3446, 0)),if(G312='Room Info'!$H$1, INDEX('Room Info'!$A$2:$A3446, MATCH(B312,'Room Info'!$H$2:$H3446, 0)),if(G312='Room Info'!$G$1, INDEX('Room Info'!$A$2:$A3446, MATCH(B312,'Room Info'!$G$2:$G3446, 0)))))))))</f>
        <v>gRRRiz</v>
      </c>
      <c r="B312" s="50" t="s">
        <v>164</v>
      </c>
      <c r="C312" s="51">
        <v>44763.0</v>
      </c>
      <c r="D312" s="51">
        <v>44793.0</v>
      </c>
      <c r="E312" s="52">
        <v>44774.0</v>
      </c>
      <c r="F312" s="53" t="s">
        <v>4</v>
      </c>
      <c r="G312" s="50" t="s">
        <v>13</v>
      </c>
      <c r="H312" s="54" t="s">
        <v>74</v>
      </c>
      <c r="I312" s="54" t="s">
        <v>18</v>
      </c>
      <c r="J312" s="75">
        <v>50.0</v>
      </c>
      <c r="K312" s="76">
        <v>114.0</v>
      </c>
      <c r="L312" s="77">
        <v>900.0</v>
      </c>
      <c r="M312" s="58">
        <v>316.0</v>
      </c>
      <c r="N312" s="33">
        <f t="shared" si="13"/>
        <v>5700</v>
      </c>
      <c r="O312" s="50">
        <v>4022.0</v>
      </c>
      <c r="P312" s="34">
        <f t="shared" si="14"/>
        <v>35.28070175</v>
      </c>
      <c r="Q312" s="60"/>
      <c r="R312" s="36">
        <f t="shared" si="45"/>
        <v>316</v>
      </c>
      <c r="S312" s="78">
        <v>165.0</v>
      </c>
      <c r="T312" s="37">
        <f t="shared" si="46"/>
        <v>481</v>
      </c>
      <c r="U312" s="62">
        <v>1.0</v>
      </c>
      <c r="V312" s="63"/>
      <c r="W312" s="63"/>
      <c r="X312" s="35">
        <f t="shared" si="55"/>
        <v>0.15</v>
      </c>
      <c r="Y312" s="35">
        <f t="shared" si="56"/>
        <v>0.05</v>
      </c>
      <c r="Z312" s="40">
        <f t="shared" si="57"/>
        <v>384.8</v>
      </c>
      <c r="AA312" s="34">
        <f t="shared" si="58"/>
        <v>72.15</v>
      </c>
      <c r="AB312" s="41">
        <f t="shared" si="49"/>
        <v>24.05</v>
      </c>
      <c r="AC312" s="42" t="b">
        <v>1</v>
      </c>
      <c r="AD312" s="42" t="s">
        <v>138</v>
      </c>
      <c r="AE312" s="42" t="s">
        <v>138</v>
      </c>
      <c r="AF312" s="42" t="str">
        <f t="array" ref="AF312">INDEX('Deal Info'!D:D, MATCH(A312,'Deal Info'!A:A, 0))</f>
        <v>Fix15</v>
      </c>
      <c r="AG312" s="43" t="str">
        <f t="array" ref="AG312">INDEX('Deal Info'!G:G, MATCH(A312,'Deal Info'!A:A, 0))</f>
        <v>Fix5</v>
      </c>
    </row>
    <row r="313" hidden="1">
      <c r="A313" s="23" t="str">
        <f t="array" ref="A313">if(G313='Room Info'!$B$1, INDEX('Room Info'!$A$2:$A3446, MATCH(B313,'Room Info'!$B$2:$B3446, 0)),if(G313='Room Info'!$C$1, INDEX('Room Info'!$A$2:$A3446, MATCH(B313,'Room Info'!$C$2:$C3446, 0)),if(G313='Room Info'!$D$1, INDEX('Room Info'!$A$2:$A3446, MATCH(B313,'Room Info'!$D$2:$D3446, 0)),if(G313='Room Info'!$E$1, INDEX('Room Info'!$A$2:$A3446, MATCH(B313,'Room Info'!$E$2:$E3446, 0)),if(G313='Room Info'!$F$1, INDEX('Room Info'!$A$2:$A3446, MATCH(B313,'Room Info'!$F$2:$F3446, 0)),if(G313='Room Info'!$H$1, INDEX('Room Info'!$A$2:$A3446, MATCH(B313,'Room Info'!$H$2:$H3446, 0)),if(G313='Room Info'!$G$1, INDEX('Room Info'!$A$2:$A3446, MATCH(B313,'Room Info'!$G$2:$G3446, 0)))))))))</f>
        <v>gRRRiz</v>
      </c>
      <c r="B313" s="50" t="s">
        <v>164</v>
      </c>
      <c r="C313" s="51">
        <v>44763.0</v>
      </c>
      <c r="D313" s="51">
        <v>44793.0</v>
      </c>
      <c r="E313" s="52">
        <v>44774.0</v>
      </c>
      <c r="F313" s="53" t="s">
        <v>4</v>
      </c>
      <c r="G313" s="50" t="s">
        <v>13</v>
      </c>
      <c r="H313" s="54" t="s">
        <v>85</v>
      </c>
      <c r="I313" s="54" t="s">
        <v>18</v>
      </c>
      <c r="J313" s="75">
        <v>100.0</v>
      </c>
      <c r="K313" s="76">
        <v>5509.0</v>
      </c>
      <c r="L313" s="77">
        <v>-21100.0</v>
      </c>
      <c r="M313" s="58">
        <v>30551.0</v>
      </c>
      <c r="N313" s="33">
        <f t="shared" si="13"/>
        <v>550900</v>
      </c>
      <c r="O313" s="50">
        <v>33755.0</v>
      </c>
      <c r="P313" s="34">
        <f t="shared" si="14"/>
        <v>6.127246324</v>
      </c>
      <c r="Q313" s="60"/>
      <c r="R313" s="36">
        <f t="shared" si="45"/>
        <v>30551</v>
      </c>
      <c r="S313" s="78">
        <v>-30231.0</v>
      </c>
      <c r="T313" s="37">
        <f t="shared" si="46"/>
        <v>320</v>
      </c>
      <c r="U313" s="62">
        <v>1.0</v>
      </c>
      <c r="V313" s="63"/>
      <c r="W313" s="63"/>
      <c r="X313" s="35">
        <f t="shared" si="55"/>
        <v>0.15</v>
      </c>
      <c r="Y313" s="35">
        <f t="shared" si="56"/>
        <v>0.05</v>
      </c>
      <c r="Z313" s="40">
        <f t="shared" si="57"/>
        <v>256</v>
      </c>
      <c r="AA313" s="34">
        <f t="shared" si="58"/>
        <v>48</v>
      </c>
      <c r="AB313" s="41">
        <f t="shared" si="49"/>
        <v>16</v>
      </c>
      <c r="AC313" s="42" t="b">
        <v>1</v>
      </c>
      <c r="AD313" s="42" t="s">
        <v>138</v>
      </c>
      <c r="AE313" s="42" t="s">
        <v>138</v>
      </c>
      <c r="AF313" s="42" t="str">
        <f t="array" ref="AF313">INDEX('Deal Info'!D:D, MATCH(A313,'Deal Info'!A:A, 0))</f>
        <v>Fix15</v>
      </c>
      <c r="AG313" s="43" t="str">
        <f t="array" ref="AG313">INDEX('Deal Info'!G:G, MATCH(A313,'Deal Info'!A:A, 0))</f>
        <v>Fix5</v>
      </c>
    </row>
    <row r="314" hidden="1">
      <c r="A314" s="23" t="str">
        <f t="array" ref="A314">if(G314='Room Info'!$B$1, INDEX('Room Info'!$A$2:$A3446, MATCH(B314,'Room Info'!$B$2:$B3446, 0)),if(G314='Room Info'!$C$1, INDEX('Room Info'!$A$2:$A3446, MATCH(B314,'Room Info'!$C$2:$C3446, 0)),if(G314='Room Info'!$D$1, INDEX('Room Info'!$A$2:$A3446, MATCH(B314,'Room Info'!$D$2:$D3446, 0)),if(G314='Room Info'!$E$1, INDEX('Room Info'!$A$2:$A3446, MATCH(B314,'Room Info'!$E$2:$E3446, 0)),if(G314='Room Info'!$F$1, INDEX('Room Info'!$A$2:$A3446, MATCH(B314,'Room Info'!$F$2:$F3446, 0)),if(G314='Room Info'!$H$1, INDEX('Room Info'!$A$2:$A3446, MATCH(B314,'Room Info'!$H$2:$H3446, 0)),if(G314='Room Info'!$G$1, INDEX('Room Info'!$A$2:$A3446, MATCH(B314,'Room Info'!$G$2:$G3446, 0)))))))))</f>
        <v>gRRRiz</v>
      </c>
      <c r="B314" s="50" t="s">
        <v>164</v>
      </c>
      <c r="C314" s="51">
        <v>44794.0</v>
      </c>
      <c r="D314" s="51">
        <v>44824.0</v>
      </c>
      <c r="E314" s="52">
        <v>44805.0</v>
      </c>
      <c r="F314" s="53" t="s">
        <v>4</v>
      </c>
      <c r="G314" s="50" t="s">
        <v>13</v>
      </c>
      <c r="H314" s="54" t="s">
        <v>59</v>
      </c>
      <c r="I314" s="54" t="s">
        <v>18</v>
      </c>
      <c r="J314" s="75">
        <v>20.0</v>
      </c>
      <c r="K314" s="76">
        <v>1.0</v>
      </c>
      <c r="L314" s="77">
        <v>-20.0</v>
      </c>
      <c r="M314" s="58">
        <v>5.0</v>
      </c>
      <c r="N314" s="33">
        <f t="shared" si="13"/>
        <v>20</v>
      </c>
      <c r="O314" s="50">
        <v>408.0</v>
      </c>
      <c r="P314" s="34">
        <f t="shared" si="14"/>
        <v>408</v>
      </c>
      <c r="Q314" s="60"/>
      <c r="R314" s="36">
        <f t="shared" si="45"/>
        <v>5</v>
      </c>
      <c r="S314" s="78">
        <v>22.0</v>
      </c>
      <c r="T314" s="37">
        <f t="shared" si="46"/>
        <v>27</v>
      </c>
      <c r="U314" s="62">
        <v>1.0</v>
      </c>
      <c r="V314" s="63"/>
      <c r="W314" s="63"/>
      <c r="X314" s="35">
        <f t="shared" si="55"/>
        <v>0.15</v>
      </c>
      <c r="Y314" s="35">
        <f t="shared" si="56"/>
        <v>0.05</v>
      </c>
      <c r="Z314" s="40">
        <f t="shared" si="57"/>
        <v>21.6</v>
      </c>
      <c r="AA314" s="34">
        <f t="shared" si="58"/>
        <v>4.05</v>
      </c>
      <c r="AB314" s="41">
        <f t="shared" si="49"/>
        <v>1.35</v>
      </c>
      <c r="AC314" s="42" t="b">
        <v>1</v>
      </c>
      <c r="AD314" s="42" t="s">
        <v>138</v>
      </c>
      <c r="AE314" s="42" t="s">
        <v>138</v>
      </c>
      <c r="AF314" s="42" t="str">
        <f t="array" ref="AF314">INDEX('Deal Info'!D:D, MATCH(A314,'Deal Info'!A:A, 0))</f>
        <v>Fix15</v>
      </c>
      <c r="AG314" s="43" t="str">
        <f t="array" ref="AG314">INDEX('Deal Info'!G:G, MATCH(A314,'Deal Info'!A:A, 0))</f>
        <v>Fix5</v>
      </c>
    </row>
    <row r="315" hidden="1">
      <c r="A315" s="23" t="str">
        <f t="array" ref="A315">if(G315='Room Info'!$B$1, INDEX('Room Info'!$A$2:$A3446, MATCH(B315,'Room Info'!$B$2:$B3446, 0)),if(G315='Room Info'!$C$1, INDEX('Room Info'!$A$2:$A3446, MATCH(B315,'Room Info'!$C$2:$C3446, 0)),if(G315='Room Info'!$D$1, INDEX('Room Info'!$A$2:$A3446, MATCH(B315,'Room Info'!$D$2:$D3446, 0)),if(G315='Room Info'!$E$1, INDEX('Room Info'!$A$2:$A3446, MATCH(B315,'Room Info'!$E$2:$E3446, 0)),if(G315='Room Info'!$F$1, INDEX('Room Info'!$A$2:$A3446, MATCH(B315,'Room Info'!$F$2:$F3446, 0)),if(G315='Room Info'!$H$1, INDEX('Room Info'!$A$2:$A3446, MATCH(B315,'Room Info'!$H$2:$H3446, 0)),if(G315='Room Info'!$G$1, INDEX('Room Info'!$A$2:$A3446, MATCH(B315,'Room Info'!$G$2:$G3446, 0)))))))))</f>
        <v>gRRRiz</v>
      </c>
      <c r="B315" s="50" t="s">
        <v>164</v>
      </c>
      <c r="C315" s="51">
        <v>44794.0</v>
      </c>
      <c r="D315" s="51">
        <v>44824.0</v>
      </c>
      <c r="E315" s="52">
        <v>44805.0</v>
      </c>
      <c r="F315" s="53" t="s">
        <v>4</v>
      </c>
      <c r="G315" s="50" t="s">
        <v>13</v>
      </c>
      <c r="H315" s="54" t="s">
        <v>85</v>
      </c>
      <c r="I315" s="54" t="s">
        <v>18</v>
      </c>
      <c r="J315" s="75">
        <v>100.0</v>
      </c>
      <c r="K315" s="76">
        <v>10285.0</v>
      </c>
      <c r="L315" s="77">
        <v>-57900.0</v>
      </c>
      <c r="M315" s="58">
        <v>57613.0</v>
      </c>
      <c r="N315" s="33">
        <f t="shared" si="13"/>
        <v>1028500</v>
      </c>
      <c r="O315" s="50">
        <v>96156.0</v>
      </c>
      <c r="P315" s="34">
        <f t="shared" si="14"/>
        <v>9.349149246</v>
      </c>
      <c r="Q315" s="60"/>
      <c r="R315" s="36">
        <f t="shared" si="45"/>
        <v>57613</v>
      </c>
      <c r="S315" s="78">
        <v>-48358.0</v>
      </c>
      <c r="T315" s="37">
        <f t="shared" si="46"/>
        <v>9255</v>
      </c>
      <c r="U315" s="62">
        <v>1.0</v>
      </c>
      <c r="V315" s="63"/>
      <c r="W315" s="63"/>
      <c r="X315" s="35">
        <f t="shared" si="55"/>
        <v>0.15</v>
      </c>
      <c r="Y315" s="35">
        <f t="shared" si="56"/>
        <v>0.05</v>
      </c>
      <c r="Z315" s="40">
        <f t="shared" si="57"/>
        <v>7404</v>
      </c>
      <c r="AA315" s="34">
        <f t="shared" si="58"/>
        <v>1388.25</v>
      </c>
      <c r="AB315" s="41">
        <f t="shared" si="49"/>
        <v>462.75</v>
      </c>
      <c r="AC315" s="42" t="b">
        <v>1</v>
      </c>
      <c r="AD315" s="42" t="s">
        <v>138</v>
      </c>
      <c r="AE315" s="42" t="s">
        <v>138</v>
      </c>
      <c r="AF315" s="42" t="str">
        <f t="array" ref="AF315">INDEX('Deal Info'!D:D, MATCH(A315,'Deal Info'!A:A, 0))</f>
        <v>Fix15</v>
      </c>
      <c r="AG315" s="43" t="str">
        <f t="array" ref="AG315">INDEX('Deal Info'!G:G, MATCH(A315,'Deal Info'!A:A, 0))</f>
        <v>Fix5</v>
      </c>
    </row>
    <row r="316" hidden="1">
      <c r="A316" s="23" t="str">
        <f t="array" ref="A316">if(G316='Room Info'!$B$1, INDEX('Room Info'!$A$2:$A3446, MATCH(B316,'Room Info'!$B$2:$B3446, 0)),if(G316='Room Info'!$C$1, INDEX('Room Info'!$A$2:$A3446, MATCH(B316,'Room Info'!$C$2:$C3446, 0)),if(G316='Room Info'!$D$1, INDEX('Room Info'!$A$2:$A3446, MATCH(B316,'Room Info'!$D$2:$D3446, 0)),if(G316='Room Info'!$E$1, INDEX('Room Info'!$A$2:$A3446, MATCH(B316,'Room Info'!$E$2:$E3446, 0)),if(G316='Room Info'!$F$1, INDEX('Room Info'!$A$2:$A3446, MATCH(B316,'Room Info'!$F$2:$F3446, 0)),if(G316='Room Info'!$H$1, INDEX('Room Info'!$A$2:$A3446, MATCH(B316,'Room Info'!$H$2:$H3446, 0)),if(G316='Room Info'!$G$1, INDEX('Room Info'!$A$2:$A3446, MATCH(B316,'Room Info'!$G$2:$G3446, 0)))))))))</f>
        <v>gRRRiz</v>
      </c>
      <c r="B316" s="50" t="s">
        <v>164</v>
      </c>
      <c r="C316" s="51">
        <v>44825.0</v>
      </c>
      <c r="D316" s="51">
        <v>44854.0</v>
      </c>
      <c r="E316" s="52">
        <v>44835.0</v>
      </c>
      <c r="F316" s="53" t="s">
        <v>4</v>
      </c>
      <c r="G316" s="50" t="s">
        <v>13</v>
      </c>
      <c r="H316" s="54" t="s">
        <v>59</v>
      </c>
      <c r="I316" s="54" t="s">
        <v>18</v>
      </c>
      <c r="J316" s="75">
        <v>20.0</v>
      </c>
      <c r="K316" s="76">
        <v>2.0</v>
      </c>
      <c r="L316" s="77">
        <v>-40.0</v>
      </c>
      <c r="M316" s="58">
        <v>2.0</v>
      </c>
      <c r="N316" s="33">
        <f t="shared" si="13"/>
        <v>40</v>
      </c>
      <c r="O316" s="50">
        <v>-308.0</v>
      </c>
      <c r="P316" s="34">
        <f t="shared" si="14"/>
        <v>-154</v>
      </c>
      <c r="Q316" s="60"/>
      <c r="R316" s="36">
        <f t="shared" si="45"/>
        <v>2</v>
      </c>
      <c r="S316" s="78">
        <v>-21.0</v>
      </c>
      <c r="T316" s="37">
        <f t="shared" si="46"/>
        <v>-19</v>
      </c>
      <c r="U316" s="62">
        <v>1.0</v>
      </c>
      <c r="V316" s="63"/>
      <c r="W316" s="63"/>
      <c r="X316" s="35">
        <f t="shared" si="55"/>
        <v>0.15</v>
      </c>
      <c r="Y316" s="35">
        <f t="shared" si="56"/>
        <v>0.05</v>
      </c>
      <c r="Z316" s="40">
        <f t="shared" si="57"/>
        <v>-15.2</v>
      </c>
      <c r="AA316" s="34">
        <f t="shared" si="58"/>
        <v>-2.85</v>
      </c>
      <c r="AB316" s="41">
        <f t="shared" si="49"/>
        <v>-0.95</v>
      </c>
      <c r="AC316" s="42" t="b">
        <v>1</v>
      </c>
      <c r="AD316" s="42" t="s">
        <v>138</v>
      </c>
      <c r="AE316" s="42" t="s">
        <v>138</v>
      </c>
      <c r="AF316" s="42" t="str">
        <f t="array" ref="AF316">INDEX('Deal Info'!D:D, MATCH(A316,'Deal Info'!A:A, 0))</f>
        <v>Fix15</v>
      </c>
      <c r="AG316" s="43" t="str">
        <f t="array" ref="AG316">INDEX('Deal Info'!G:G, MATCH(A316,'Deal Info'!A:A, 0))</f>
        <v>Fix5</v>
      </c>
    </row>
    <row r="317" hidden="1">
      <c r="A317" s="23" t="str">
        <f t="array" ref="A317">if(G317='Room Info'!$B$1, INDEX('Room Info'!$A$2:$A3446, MATCH(B317,'Room Info'!$B$2:$B3446, 0)),if(G317='Room Info'!$C$1, INDEX('Room Info'!$A$2:$A3446, MATCH(B317,'Room Info'!$C$2:$C3446, 0)),if(G317='Room Info'!$D$1, INDEX('Room Info'!$A$2:$A3446, MATCH(B317,'Room Info'!$D$2:$D3446, 0)),if(G317='Room Info'!$E$1, INDEX('Room Info'!$A$2:$A3446, MATCH(B317,'Room Info'!$E$2:$E3446, 0)),if(G317='Room Info'!$F$1, INDEX('Room Info'!$A$2:$A3446, MATCH(B317,'Room Info'!$F$2:$F3446, 0)),if(G317='Room Info'!$H$1, INDEX('Room Info'!$A$2:$A3446, MATCH(B317,'Room Info'!$H$2:$H3446, 0)),if(G317='Room Info'!$G$1, INDEX('Room Info'!$A$2:$A3446, MATCH(B317,'Room Info'!$G$2:$G3446, 0)))))))))</f>
        <v>gRRRiz</v>
      </c>
      <c r="B317" s="50" t="s">
        <v>164</v>
      </c>
      <c r="C317" s="51">
        <v>44825.0</v>
      </c>
      <c r="D317" s="51">
        <v>44854.0</v>
      </c>
      <c r="E317" s="52">
        <v>44835.0</v>
      </c>
      <c r="F317" s="53" t="s">
        <v>4</v>
      </c>
      <c r="G317" s="50" t="s">
        <v>13</v>
      </c>
      <c r="H317" s="54" t="s">
        <v>74</v>
      </c>
      <c r="I317" s="54" t="s">
        <v>18</v>
      </c>
      <c r="J317" s="75">
        <v>50.0</v>
      </c>
      <c r="K317" s="76">
        <v>2.0</v>
      </c>
      <c r="L317" s="77">
        <v>-100.0</v>
      </c>
      <c r="M317" s="58">
        <v>5.0</v>
      </c>
      <c r="N317" s="33">
        <f t="shared" si="13"/>
        <v>100</v>
      </c>
      <c r="O317" s="50">
        <v>-135.0</v>
      </c>
      <c r="P317" s="34">
        <f t="shared" si="14"/>
        <v>-67.5</v>
      </c>
      <c r="Q317" s="60"/>
      <c r="R317" s="36">
        <f t="shared" si="45"/>
        <v>5</v>
      </c>
      <c r="S317" s="78">
        <v>-27.0</v>
      </c>
      <c r="T317" s="37">
        <f t="shared" si="46"/>
        <v>-22</v>
      </c>
      <c r="U317" s="62">
        <v>1.0</v>
      </c>
      <c r="V317" s="63"/>
      <c r="W317" s="63"/>
      <c r="X317" s="35">
        <f t="shared" si="55"/>
        <v>0.15</v>
      </c>
      <c r="Y317" s="35">
        <f t="shared" si="56"/>
        <v>0.05</v>
      </c>
      <c r="Z317" s="40">
        <f t="shared" si="57"/>
        <v>-17.6</v>
      </c>
      <c r="AA317" s="34">
        <f t="shared" si="58"/>
        <v>-3.3</v>
      </c>
      <c r="AB317" s="41">
        <f t="shared" si="49"/>
        <v>-1.1</v>
      </c>
      <c r="AC317" s="42" t="b">
        <v>1</v>
      </c>
      <c r="AD317" s="42" t="s">
        <v>138</v>
      </c>
      <c r="AE317" s="42" t="s">
        <v>138</v>
      </c>
      <c r="AF317" s="42" t="str">
        <f t="array" ref="AF317">INDEX('Deal Info'!D:D, MATCH(A317,'Deal Info'!A:A, 0))</f>
        <v>Fix15</v>
      </c>
      <c r="AG317" s="43" t="str">
        <f t="array" ref="AG317">INDEX('Deal Info'!G:G, MATCH(A317,'Deal Info'!A:A, 0))</f>
        <v>Fix5</v>
      </c>
    </row>
    <row r="318" hidden="1">
      <c r="A318" s="23" t="str">
        <f t="array" ref="A318">if(G318='Room Info'!$B$1, INDEX('Room Info'!$A$2:$A3446, MATCH(B318,'Room Info'!$B$2:$B3446, 0)),if(G318='Room Info'!$C$1, INDEX('Room Info'!$A$2:$A3446, MATCH(B318,'Room Info'!$C$2:$C3446, 0)),if(G318='Room Info'!$D$1, INDEX('Room Info'!$A$2:$A3446, MATCH(B318,'Room Info'!$D$2:$D3446, 0)),if(G318='Room Info'!$E$1, INDEX('Room Info'!$A$2:$A3446, MATCH(B318,'Room Info'!$E$2:$E3446, 0)),if(G318='Room Info'!$F$1, INDEX('Room Info'!$A$2:$A3446, MATCH(B318,'Room Info'!$F$2:$F3446, 0)),if(G318='Room Info'!$H$1, INDEX('Room Info'!$A$2:$A3446, MATCH(B318,'Room Info'!$H$2:$H3446, 0)),if(G318='Room Info'!$G$1, INDEX('Room Info'!$A$2:$A3446, MATCH(B318,'Room Info'!$G$2:$G3446, 0)))))))))</f>
        <v>gRRRiz</v>
      </c>
      <c r="B318" s="50" t="s">
        <v>164</v>
      </c>
      <c r="C318" s="51">
        <v>44825.0</v>
      </c>
      <c r="D318" s="51">
        <v>44854.0</v>
      </c>
      <c r="E318" s="52">
        <v>44835.0</v>
      </c>
      <c r="F318" s="50" t="s">
        <v>4</v>
      </c>
      <c r="G318" s="50" t="s">
        <v>13</v>
      </c>
      <c r="H318" s="54" t="s">
        <v>85</v>
      </c>
      <c r="I318" s="54" t="s">
        <v>18</v>
      </c>
      <c r="J318" s="75">
        <v>100.0</v>
      </c>
      <c r="K318" s="76">
        <v>9330.0</v>
      </c>
      <c r="L318" s="57">
        <v>-41700.0</v>
      </c>
      <c r="M318" s="58">
        <v>51085.0</v>
      </c>
      <c r="N318" s="33">
        <f t="shared" si="13"/>
        <v>933000</v>
      </c>
      <c r="O318" s="59">
        <v>146059.0</v>
      </c>
      <c r="P318" s="34">
        <f t="shared" si="14"/>
        <v>15.65476956</v>
      </c>
      <c r="Q318" s="60"/>
      <c r="R318" s="36">
        <f t="shared" si="45"/>
        <v>51085</v>
      </c>
      <c r="S318" s="61">
        <v>-26294.0</v>
      </c>
      <c r="T318" s="37">
        <f t="shared" si="46"/>
        <v>24791</v>
      </c>
      <c r="U318" s="62">
        <v>1.0</v>
      </c>
      <c r="V318" s="63"/>
      <c r="W318" s="63"/>
      <c r="X318" s="35">
        <f t="shared" si="55"/>
        <v>0.15</v>
      </c>
      <c r="Y318" s="35">
        <f t="shared" si="56"/>
        <v>0.05</v>
      </c>
      <c r="Z318" s="40">
        <f t="shared" si="57"/>
        <v>19832.8</v>
      </c>
      <c r="AA318" s="34">
        <f t="shared" si="58"/>
        <v>3718.65</v>
      </c>
      <c r="AB318" s="41">
        <f t="shared" si="49"/>
        <v>1239.55</v>
      </c>
      <c r="AC318" s="42" t="b">
        <v>1</v>
      </c>
      <c r="AD318" s="42" t="s">
        <v>138</v>
      </c>
      <c r="AE318" s="42" t="s">
        <v>138</v>
      </c>
      <c r="AF318" s="42" t="str">
        <f t="array" ref="AF318">INDEX('Deal Info'!D:D, MATCH(A318,'Deal Info'!A:A, 0))</f>
        <v>Fix15</v>
      </c>
      <c r="AG318" s="43" t="str">
        <f t="array" ref="AG318">INDEX('Deal Info'!G:G, MATCH(A318,'Deal Info'!A:A, 0))</f>
        <v>Fix5</v>
      </c>
    </row>
    <row r="319" hidden="1">
      <c r="A319" s="23" t="str">
        <f t="array" ref="A319">if(G319='Room Info'!$B$1, INDEX('Room Info'!$A$2:$A3446, MATCH(B319,'Room Info'!$B$2:$B3446, 0)),if(G319='Room Info'!$C$1, INDEX('Room Info'!$A$2:$A3446, MATCH(B319,'Room Info'!$C$2:$C3446, 0)),if(G319='Room Info'!$D$1, INDEX('Room Info'!$A$2:$A3446, MATCH(B319,'Room Info'!$D$2:$D3446, 0)),if(G319='Room Info'!$E$1, INDEX('Room Info'!$A$2:$A3446, MATCH(B319,'Room Info'!$E$2:$E3446, 0)),if(G319='Room Info'!$F$1, INDEX('Room Info'!$A$2:$A3446, MATCH(B319,'Room Info'!$F$2:$F3446, 0)),if(G319='Room Info'!$H$1, INDEX('Room Info'!$A$2:$A3446, MATCH(B319,'Room Info'!$H$2:$H3446, 0)),if(G319='Room Info'!$G$1, INDEX('Room Info'!$A$2:$A3446, MATCH(B319,'Room Info'!$G$2:$G3446, 0)))))))))</f>
        <v>gRRRiz</v>
      </c>
      <c r="B319" s="50" t="s">
        <v>164</v>
      </c>
      <c r="C319" s="51">
        <v>44855.0</v>
      </c>
      <c r="D319" s="51">
        <v>44885.0</v>
      </c>
      <c r="E319" s="52">
        <v>44866.0</v>
      </c>
      <c r="F319" s="50" t="s">
        <v>4</v>
      </c>
      <c r="G319" s="50" t="s">
        <v>13</v>
      </c>
      <c r="H319" s="54" t="s">
        <v>85</v>
      </c>
      <c r="I319" s="54" t="s">
        <v>18</v>
      </c>
      <c r="J319" s="75">
        <v>100.0</v>
      </c>
      <c r="K319" s="76">
        <v>1.0</v>
      </c>
      <c r="L319" s="57">
        <v>0.0</v>
      </c>
      <c r="M319" s="58">
        <v>0.0</v>
      </c>
      <c r="N319" s="33">
        <f t="shared" si="13"/>
        <v>100</v>
      </c>
      <c r="O319" s="59">
        <v>0.0</v>
      </c>
      <c r="P319" s="34">
        <f t="shared" si="14"/>
        <v>0</v>
      </c>
      <c r="Q319" s="60"/>
      <c r="R319" s="36">
        <f t="shared" si="45"/>
        <v>0</v>
      </c>
      <c r="S319" s="61">
        <v>-7.0</v>
      </c>
      <c r="T319" s="37">
        <f t="shared" si="46"/>
        <v>-7</v>
      </c>
      <c r="U319" s="62">
        <v>1.0</v>
      </c>
      <c r="V319" s="63"/>
      <c r="W319" s="63"/>
      <c r="X319" s="35">
        <f t="shared" si="55"/>
        <v>0.15</v>
      </c>
      <c r="Y319" s="35">
        <f t="shared" si="56"/>
        <v>0.05</v>
      </c>
      <c r="Z319" s="40">
        <f t="shared" si="57"/>
        <v>-5.6</v>
      </c>
      <c r="AA319" s="34">
        <f t="shared" si="58"/>
        <v>-1.05</v>
      </c>
      <c r="AB319" s="41">
        <f t="shared" si="49"/>
        <v>-0.35</v>
      </c>
      <c r="AC319" s="42" t="b">
        <v>1</v>
      </c>
      <c r="AD319" s="42" t="s">
        <v>138</v>
      </c>
      <c r="AE319" s="42" t="s">
        <v>138</v>
      </c>
      <c r="AF319" s="42" t="str">
        <f t="array" ref="AF319">INDEX('Deal Info'!D:D, MATCH(A319,'Deal Info'!A:A, 0))</f>
        <v>Fix15</v>
      </c>
      <c r="AG319" s="43" t="str">
        <f t="array" ref="AG319">INDEX('Deal Info'!G:G, MATCH(A319,'Deal Info'!A:A, 0))</f>
        <v>Fix5</v>
      </c>
    </row>
    <row r="320" hidden="1">
      <c r="A320" s="23" t="str">
        <f t="array" ref="A320">if(G320='Room Info'!$B$1, INDEX('Room Info'!$A$2:$A3446, MATCH(B320,'Room Info'!$B$2:$B3446, 0)),if(G320='Room Info'!$C$1, INDEX('Room Info'!$A$2:$A3446, MATCH(B320,'Room Info'!$C$2:$C3446, 0)),if(G320='Room Info'!$D$1, INDEX('Room Info'!$A$2:$A3446, MATCH(B320,'Room Info'!$D$2:$D3446, 0)),if(G320='Room Info'!$E$1, INDEX('Room Info'!$A$2:$A3446, MATCH(B320,'Room Info'!$E$2:$E3446, 0)),if(G320='Room Info'!$F$1, INDEX('Room Info'!$A$2:$A3446, MATCH(B320,'Room Info'!$F$2:$F3446, 0)),if(G320='Room Info'!$H$1, INDEX('Room Info'!$A$2:$A3446, MATCH(B320,'Room Info'!$H$2:$H3446, 0)),if(G320='Room Info'!$G$1, INDEX('Room Info'!$A$2:$A3446, MATCH(B320,'Room Info'!$G$2:$G3446, 0)))))))))</f>
        <v>gRRRiz</v>
      </c>
      <c r="B320" s="50" t="s">
        <v>164</v>
      </c>
      <c r="C320" s="51">
        <v>44886.0</v>
      </c>
      <c r="D320" s="51">
        <v>44915.0</v>
      </c>
      <c r="E320" s="52">
        <v>44896.0</v>
      </c>
      <c r="F320" s="50" t="s">
        <v>4</v>
      </c>
      <c r="G320" s="50" t="s">
        <v>13</v>
      </c>
      <c r="H320" s="54" t="s">
        <v>85</v>
      </c>
      <c r="I320" s="54" t="s">
        <v>18</v>
      </c>
      <c r="J320" s="75">
        <v>100.0</v>
      </c>
      <c r="K320" s="76">
        <v>6886.0</v>
      </c>
      <c r="L320" s="57">
        <v>-45400.0</v>
      </c>
      <c r="M320" s="58">
        <v>36998.0</v>
      </c>
      <c r="N320" s="33">
        <f t="shared" si="13"/>
        <v>688600</v>
      </c>
      <c r="O320" s="59">
        <v>53577.0</v>
      </c>
      <c r="P320" s="34">
        <f t="shared" si="14"/>
        <v>7.780569271</v>
      </c>
      <c r="Q320" s="60"/>
      <c r="R320" s="36">
        <f t="shared" si="45"/>
        <v>36998</v>
      </c>
      <c r="S320" s="61">
        <v>-34957.0</v>
      </c>
      <c r="T320" s="37">
        <f t="shared" si="46"/>
        <v>2041</v>
      </c>
      <c r="U320" s="62">
        <v>1.0</v>
      </c>
      <c r="V320" s="63"/>
      <c r="W320" s="63"/>
      <c r="X320" s="35">
        <f t="shared" si="55"/>
        <v>0.15</v>
      </c>
      <c r="Y320" s="35">
        <f t="shared" si="56"/>
        <v>0.05</v>
      </c>
      <c r="Z320" s="40">
        <f t="shared" si="57"/>
        <v>1632.8</v>
      </c>
      <c r="AA320" s="34">
        <f t="shared" si="58"/>
        <v>306.15</v>
      </c>
      <c r="AB320" s="41">
        <f t="shared" si="49"/>
        <v>102.05</v>
      </c>
      <c r="AC320" s="42" t="b">
        <v>1</v>
      </c>
      <c r="AD320" s="42" t="s">
        <v>138</v>
      </c>
      <c r="AE320" s="42" t="s">
        <v>138</v>
      </c>
      <c r="AF320" s="42" t="str">
        <f t="array" ref="AF320">INDEX('Deal Info'!D:D, MATCH(A320,'Deal Info'!A:A, 0))</f>
        <v>Fix15</v>
      </c>
      <c r="AG320" s="43" t="str">
        <f t="array" ref="AG320">INDEX('Deal Info'!G:G, MATCH(A320,'Deal Info'!A:A, 0))</f>
        <v>Fix5</v>
      </c>
    </row>
    <row r="321" hidden="1">
      <c r="A321" s="23" t="str">
        <f t="array" ref="A321">if(G321='Room Info'!$B$1, INDEX('Room Info'!$A$2:$A3446, MATCH(B321,'Room Info'!$B$2:$B3446, 0)),if(G321='Room Info'!$C$1, INDEX('Room Info'!$A$2:$A3446, MATCH(B321,'Room Info'!$C$2:$C3446, 0)),if(G321='Room Info'!$D$1, INDEX('Room Info'!$A$2:$A3446, MATCH(B321,'Room Info'!$D$2:$D3446, 0)),if(G321='Room Info'!$E$1, INDEX('Room Info'!$A$2:$A3446, MATCH(B321,'Room Info'!$E$2:$E3446, 0)),if(G321='Room Info'!$F$1, INDEX('Room Info'!$A$2:$A3446, MATCH(B321,'Room Info'!$F$2:$F3446, 0)),if(G321='Room Info'!$H$1, INDEX('Room Info'!$A$2:$A3446, MATCH(B321,'Room Info'!$H$2:$H3446, 0)),if(G321='Room Info'!$G$1, INDEX('Room Info'!$A$2:$A3446, MATCH(B321,'Room Info'!$G$2:$G3446, 0)))))))))</f>
        <v>gRRRiz</v>
      </c>
      <c r="B321" s="50" t="s">
        <v>164</v>
      </c>
      <c r="C321" s="51">
        <v>44916.0</v>
      </c>
      <c r="D321" s="51">
        <v>44946.0</v>
      </c>
      <c r="E321" s="52">
        <v>44927.0</v>
      </c>
      <c r="F321" s="50" t="s">
        <v>4</v>
      </c>
      <c r="G321" s="50" t="s">
        <v>13</v>
      </c>
      <c r="H321" s="54" t="s">
        <v>74</v>
      </c>
      <c r="I321" s="54" t="s">
        <v>18</v>
      </c>
      <c r="J321" s="75">
        <v>50.0</v>
      </c>
      <c r="K321" s="76">
        <v>1.0</v>
      </c>
      <c r="L321" s="57">
        <v>100.0</v>
      </c>
      <c r="M321" s="67"/>
      <c r="N321" s="33">
        <f t="shared" si="13"/>
        <v>50</v>
      </c>
      <c r="O321" s="59">
        <v>257.0</v>
      </c>
      <c r="P321" s="34">
        <f t="shared" si="14"/>
        <v>257</v>
      </c>
      <c r="Q321" s="60"/>
      <c r="R321" s="36">
        <f t="shared" si="45"/>
        <v>0</v>
      </c>
      <c r="S321" s="61">
        <v>33.0</v>
      </c>
      <c r="T321" s="37">
        <f t="shared" si="46"/>
        <v>33</v>
      </c>
      <c r="U321" s="62">
        <v>1.0</v>
      </c>
      <c r="V321" s="63"/>
      <c r="W321" s="63"/>
      <c r="X321" s="35">
        <f t="shared" si="55"/>
        <v>0.15</v>
      </c>
      <c r="Y321" s="35">
        <f t="shared" si="56"/>
        <v>0.05</v>
      </c>
      <c r="Z321" s="40">
        <f t="shared" si="57"/>
        <v>26.4</v>
      </c>
      <c r="AA321" s="34">
        <f t="shared" si="58"/>
        <v>4.95</v>
      </c>
      <c r="AB321" s="41">
        <f t="shared" si="49"/>
        <v>1.65</v>
      </c>
      <c r="AC321" s="42" t="b">
        <v>1</v>
      </c>
      <c r="AD321" s="42" t="s">
        <v>138</v>
      </c>
      <c r="AE321" s="42" t="s">
        <v>138</v>
      </c>
      <c r="AF321" s="42" t="str">
        <f t="array" ref="AF321">INDEX('Deal Info'!D:D, MATCH(A321,'Deal Info'!A:A, 0))</f>
        <v>Fix15</v>
      </c>
      <c r="AG321" s="43" t="str">
        <f t="array" ref="AG321">INDEX('Deal Info'!G:G, MATCH(A321,'Deal Info'!A:A, 0))</f>
        <v>Fix5</v>
      </c>
    </row>
    <row r="322" hidden="1">
      <c r="A322" s="23" t="str">
        <f t="array" ref="A322">if(G322='Room Info'!$B$1, INDEX('Room Info'!$A$2:$A3446, MATCH(B322,'Room Info'!$B$2:$B3446, 0)),if(G322='Room Info'!$C$1, INDEX('Room Info'!$A$2:$A3446, MATCH(B322,'Room Info'!$C$2:$C3446, 0)),if(G322='Room Info'!$D$1, INDEX('Room Info'!$A$2:$A3446, MATCH(B322,'Room Info'!$D$2:$D3446, 0)),if(G322='Room Info'!$E$1, INDEX('Room Info'!$A$2:$A3446, MATCH(B322,'Room Info'!$E$2:$E3446, 0)),if(G322='Room Info'!$F$1, INDEX('Room Info'!$A$2:$A3446, MATCH(B322,'Room Info'!$F$2:$F3446, 0)),if(G322='Room Info'!$H$1, INDEX('Room Info'!$A$2:$A3446, MATCH(B322,'Room Info'!$H$2:$H3446, 0)),if(G322='Room Info'!$G$1, INDEX('Room Info'!$A$2:$A3446, MATCH(B322,'Room Info'!$G$2:$G3446, 0)))))))))</f>
        <v>gRRRiz</v>
      </c>
      <c r="B322" s="50" t="s">
        <v>164</v>
      </c>
      <c r="C322" s="51">
        <v>44916.0</v>
      </c>
      <c r="D322" s="51">
        <v>44946.0</v>
      </c>
      <c r="E322" s="52">
        <v>44927.0</v>
      </c>
      <c r="F322" s="50" t="s">
        <v>4</v>
      </c>
      <c r="G322" s="50" t="s">
        <v>13</v>
      </c>
      <c r="H322" s="54" t="s">
        <v>85</v>
      </c>
      <c r="I322" s="54" t="s">
        <v>18</v>
      </c>
      <c r="J322" s="75">
        <v>100.0</v>
      </c>
      <c r="K322" s="76">
        <v>4885.0</v>
      </c>
      <c r="L322" s="57">
        <v>-15500.0</v>
      </c>
      <c r="M322" s="58">
        <v>26236.0</v>
      </c>
      <c r="N322" s="33">
        <f t="shared" si="13"/>
        <v>488500</v>
      </c>
      <c r="O322" s="59">
        <v>31787.0</v>
      </c>
      <c r="P322" s="34">
        <f t="shared" si="14"/>
        <v>6.507062436</v>
      </c>
      <c r="Q322" s="60"/>
      <c r="R322" s="36">
        <f t="shared" si="45"/>
        <v>26236</v>
      </c>
      <c r="S322" s="103">
        <v>-25738.0</v>
      </c>
      <c r="T322" s="37">
        <f t="shared" si="46"/>
        <v>498</v>
      </c>
      <c r="U322" s="62">
        <v>1.0</v>
      </c>
      <c r="V322" s="63"/>
      <c r="W322" s="63"/>
      <c r="X322" s="35">
        <f t="shared" si="55"/>
        <v>0.15</v>
      </c>
      <c r="Y322" s="35">
        <f t="shared" si="56"/>
        <v>0.05</v>
      </c>
      <c r="Z322" s="40">
        <f t="shared" si="57"/>
        <v>398.4</v>
      </c>
      <c r="AA322" s="34">
        <f t="shared" si="58"/>
        <v>74.7</v>
      </c>
      <c r="AB322" s="41">
        <f t="shared" si="49"/>
        <v>24.9</v>
      </c>
      <c r="AC322" s="42" t="b">
        <v>1</v>
      </c>
      <c r="AD322" s="42" t="s">
        <v>138</v>
      </c>
      <c r="AE322" s="42" t="s">
        <v>138</v>
      </c>
      <c r="AF322" s="42" t="str">
        <f t="array" ref="AF322">INDEX('Deal Info'!D:D, MATCH(A322,'Deal Info'!A:A, 0))</f>
        <v>Fix15</v>
      </c>
      <c r="AG322" s="43" t="str">
        <f t="array" ref="AG322">INDEX('Deal Info'!G:G, MATCH(A322,'Deal Info'!A:A, 0))</f>
        <v>Fix5</v>
      </c>
    </row>
    <row r="323" hidden="1">
      <c r="A323" s="23" t="str">
        <f t="array" ref="A323">if(G323='Room Info'!$B$1, INDEX('Room Info'!$A$2:$A3446, MATCH(B323,'Room Info'!$B$2:$B3446, 0)),if(G323='Room Info'!$C$1, INDEX('Room Info'!$A$2:$A3446, MATCH(B323,'Room Info'!$C$2:$C3446, 0)),if(G323='Room Info'!$D$1, INDEX('Room Info'!$A$2:$A3446, MATCH(B323,'Room Info'!$D$2:$D3446, 0)),if(G323='Room Info'!$E$1, INDEX('Room Info'!$A$2:$A3446, MATCH(B323,'Room Info'!$E$2:$E3446, 0)),if(G323='Room Info'!$F$1, INDEX('Room Info'!$A$2:$A3446, MATCH(B323,'Room Info'!$F$2:$F3446, 0)),if(G323='Room Info'!$H$1, INDEX('Room Info'!$A$2:$A3446, MATCH(B323,'Room Info'!$H$2:$H3446, 0)),if(G323='Room Info'!$G$1, INDEX('Room Info'!$A$2:$A3446, MATCH(B323,'Room Info'!$G$2:$G3446, 0)))))))))</f>
        <v>Kiss4money99</v>
      </c>
      <c r="B323" s="50" t="s">
        <v>165</v>
      </c>
      <c r="C323" s="51">
        <v>44197.0</v>
      </c>
      <c r="D323" s="51">
        <v>44227.0</v>
      </c>
      <c r="E323" s="52">
        <v>44197.0</v>
      </c>
      <c r="F323" s="50" t="s">
        <v>12</v>
      </c>
      <c r="G323" s="50" t="s">
        <v>16</v>
      </c>
      <c r="H323" s="54" t="s">
        <v>59</v>
      </c>
      <c r="I323" s="54" t="s">
        <v>7</v>
      </c>
      <c r="J323" s="75">
        <v>20.0</v>
      </c>
      <c r="K323" s="76">
        <v>1.0</v>
      </c>
      <c r="L323" s="57">
        <v>-3014.0</v>
      </c>
      <c r="M323" s="58">
        <v>1740.0</v>
      </c>
      <c r="N323" s="33">
        <f t="shared" si="13"/>
        <v>20</v>
      </c>
      <c r="O323" s="70"/>
      <c r="P323" s="34">
        <f t="shared" si="14"/>
        <v>0</v>
      </c>
      <c r="Q323" s="60"/>
      <c r="R323" s="36">
        <f t="shared" si="45"/>
        <v>1740</v>
      </c>
      <c r="S323" s="71"/>
      <c r="T323" s="37">
        <f t="shared" si="46"/>
        <v>-1274</v>
      </c>
      <c r="U323" s="62">
        <v>1.0</v>
      </c>
      <c r="V323" s="74">
        <v>20.0</v>
      </c>
      <c r="W323" s="63">
        <v>33.48</v>
      </c>
      <c r="X323" s="35">
        <f t="shared" si="55"/>
        <v>0.3</v>
      </c>
      <c r="Y323" s="35">
        <f t="shared" si="56"/>
        <v>0</v>
      </c>
      <c r="Z323" s="40">
        <f t="shared" si="57"/>
        <v>-891.8</v>
      </c>
      <c r="AA323" s="34">
        <f t="shared" si="58"/>
        <v>-382.2</v>
      </c>
      <c r="AB323" s="41">
        <f t="shared" si="49"/>
        <v>0</v>
      </c>
      <c r="AC323" s="42" t="b">
        <v>1</v>
      </c>
      <c r="AD323" s="42" t="s">
        <v>138</v>
      </c>
      <c r="AE323" s="42" t="s">
        <v>138</v>
      </c>
      <c r="AF323" s="42" t="str">
        <f t="array" ref="AF323">INDEX('Deal Info'!D:D, MATCH(A323,'Deal Info'!A:A, 0))</f>
        <v>SF</v>
      </c>
      <c r="AG323" s="43" t="str">
        <f t="array" ref="AG323">INDEX('Deal Info'!G:G, MATCH(A323,'Deal Info'!A:A, 0))</f>
        <v>None</v>
      </c>
    </row>
    <row r="324" hidden="1">
      <c r="A324" s="23" t="str">
        <f t="array" ref="A324">if(G324='Room Info'!$B$1, INDEX('Room Info'!$A$2:$A3446, MATCH(B324,'Room Info'!$B$2:$B3446, 0)),if(G324='Room Info'!$C$1, INDEX('Room Info'!$A$2:$A3446, MATCH(B324,'Room Info'!$C$2:$C3446, 0)),if(G324='Room Info'!$D$1, INDEX('Room Info'!$A$2:$A3446, MATCH(B324,'Room Info'!$D$2:$D3446, 0)),if(G324='Room Info'!$E$1, INDEX('Room Info'!$A$2:$A3446, MATCH(B324,'Room Info'!$E$2:$E3446, 0)),if(G324='Room Info'!$F$1, INDEX('Room Info'!$A$2:$A3446, MATCH(B324,'Room Info'!$F$2:$F3446, 0)),if(G324='Room Info'!$H$1, INDEX('Room Info'!$A$2:$A3446, MATCH(B324,'Room Info'!$H$2:$H3446, 0)),if(G324='Room Info'!$G$1, INDEX('Room Info'!$A$2:$A3446, MATCH(B324,'Room Info'!$G$2:$G3446, 0)))))))))</f>
        <v>Kiss4money99</v>
      </c>
      <c r="B324" s="50" t="s">
        <v>165</v>
      </c>
      <c r="C324" s="51">
        <v>44228.0</v>
      </c>
      <c r="D324" s="51">
        <v>44255.0</v>
      </c>
      <c r="E324" s="52">
        <v>44228.0</v>
      </c>
      <c r="F324" s="50" t="s">
        <v>4</v>
      </c>
      <c r="G324" s="50" t="s">
        <v>16</v>
      </c>
      <c r="H324" s="54" t="s">
        <v>59</v>
      </c>
      <c r="I324" s="54" t="s">
        <v>7</v>
      </c>
      <c r="J324" s="75">
        <v>20.0</v>
      </c>
      <c r="K324" s="76">
        <v>3439.0</v>
      </c>
      <c r="L324" s="57">
        <v>-1300.0</v>
      </c>
      <c r="M324" s="58">
        <v>3380.0</v>
      </c>
      <c r="N324" s="33">
        <f t="shared" si="13"/>
        <v>68780</v>
      </c>
      <c r="O324" s="59">
        <v>43187.0</v>
      </c>
      <c r="P324" s="34">
        <f t="shared" si="14"/>
        <v>12.55801105</v>
      </c>
      <c r="Q324" s="60"/>
      <c r="R324" s="36">
        <f t="shared" si="45"/>
        <v>3380</v>
      </c>
      <c r="S324" s="61">
        <v>-3015.0</v>
      </c>
      <c r="T324" s="37">
        <f t="shared" si="46"/>
        <v>365</v>
      </c>
      <c r="U324" s="62">
        <v>1.0</v>
      </c>
      <c r="V324" s="74">
        <v>20.0</v>
      </c>
      <c r="W324" s="63">
        <v>33.48</v>
      </c>
      <c r="X324" s="35">
        <f t="shared" si="55"/>
        <v>0.3</v>
      </c>
      <c r="Y324" s="35">
        <f t="shared" si="56"/>
        <v>0</v>
      </c>
      <c r="Z324" s="40">
        <f t="shared" si="57"/>
        <v>255.5</v>
      </c>
      <c r="AA324" s="34">
        <f t="shared" si="58"/>
        <v>109.5</v>
      </c>
      <c r="AB324" s="41">
        <f t="shared" si="49"/>
        <v>0</v>
      </c>
      <c r="AC324" s="42" t="b">
        <v>1</v>
      </c>
      <c r="AD324" s="42" t="s">
        <v>138</v>
      </c>
      <c r="AE324" s="42" t="s">
        <v>138</v>
      </c>
      <c r="AF324" s="42" t="str">
        <f t="array" ref="AF324">INDEX('Deal Info'!D:D, MATCH(A324,'Deal Info'!A:A, 0))</f>
        <v>SF</v>
      </c>
      <c r="AG324" s="43" t="str">
        <f t="array" ref="AG324">INDEX('Deal Info'!G:G, MATCH(A324,'Deal Info'!A:A, 0))</f>
        <v>None</v>
      </c>
    </row>
    <row r="325" hidden="1">
      <c r="A325" s="23" t="str">
        <f t="array" ref="A325">if(G325='Room Info'!$B$1, INDEX('Room Info'!$A$2:$A3446, MATCH(B325,'Room Info'!$B$2:$B3446, 0)),if(G325='Room Info'!$C$1, INDEX('Room Info'!$A$2:$A3446, MATCH(B325,'Room Info'!$C$2:$C3446, 0)),if(G325='Room Info'!$D$1, INDEX('Room Info'!$A$2:$A3446, MATCH(B325,'Room Info'!$D$2:$D3446, 0)),if(G325='Room Info'!$E$1, INDEX('Room Info'!$A$2:$A3446, MATCH(B325,'Room Info'!$E$2:$E3446, 0)),if(G325='Room Info'!$F$1, INDEX('Room Info'!$A$2:$A3446, MATCH(B325,'Room Info'!$F$2:$F3446, 0)),if(G325='Room Info'!$H$1, INDEX('Room Info'!$A$2:$A3446, MATCH(B325,'Room Info'!$H$2:$H3446, 0)),if(G325='Room Info'!$G$1, INDEX('Room Info'!$A$2:$A3446, MATCH(B325,'Room Info'!$G$2:$G3446, 0)))))))))</f>
        <v>Kiss4money99</v>
      </c>
      <c r="B325" s="50" t="s">
        <v>165</v>
      </c>
      <c r="C325" s="51">
        <v>44256.0</v>
      </c>
      <c r="D325" s="51">
        <v>44286.0</v>
      </c>
      <c r="E325" s="52">
        <v>44256.0</v>
      </c>
      <c r="F325" s="50" t="s">
        <v>4</v>
      </c>
      <c r="G325" s="50" t="s">
        <v>16</v>
      </c>
      <c r="H325" s="54" t="s">
        <v>59</v>
      </c>
      <c r="I325" s="54" t="s">
        <v>7</v>
      </c>
      <c r="J325" s="75">
        <v>20.0</v>
      </c>
      <c r="K325" s="76">
        <v>2026.0</v>
      </c>
      <c r="L325" s="57">
        <v>2660.0</v>
      </c>
      <c r="M325" s="58">
        <v>2280.0</v>
      </c>
      <c r="N325" s="33">
        <f t="shared" si="13"/>
        <v>40520</v>
      </c>
      <c r="O325" s="59">
        <v>89727.0</v>
      </c>
      <c r="P325" s="34">
        <f t="shared" si="14"/>
        <v>44.28775913</v>
      </c>
      <c r="Q325" s="60"/>
      <c r="R325" s="36">
        <f t="shared" si="45"/>
        <v>2280</v>
      </c>
      <c r="S325" s="61">
        <v>638.0</v>
      </c>
      <c r="T325" s="37">
        <f t="shared" si="46"/>
        <v>2918</v>
      </c>
      <c r="U325" s="62">
        <v>1.0</v>
      </c>
      <c r="V325" s="74">
        <v>20.0</v>
      </c>
      <c r="W325" s="63">
        <v>33.48</v>
      </c>
      <c r="X325" s="35">
        <f t="shared" si="55"/>
        <v>0.3</v>
      </c>
      <c r="Y325" s="35">
        <f t="shared" si="56"/>
        <v>0</v>
      </c>
      <c r="Z325" s="40">
        <f t="shared" si="57"/>
        <v>2042.6</v>
      </c>
      <c r="AA325" s="34">
        <f t="shared" si="58"/>
        <v>875.4</v>
      </c>
      <c r="AB325" s="41">
        <f t="shared" si="49"/>
        <v>0</v>
      </c>
      <c r="AC325" s="42" t="b">
        <v>1</v>
      </c>
      <c r="AD325" s="42" t="s">
        <v>138</v>
      </c>
      <c r="AE325" s="42" t="s">
        <v>138</v>
      </c>
      <c r="AF325" s="42" t="str">
        <f t="array" ref="AF325">INDEX('Deal Info'!D:D, MATCH(A325,'Deal Info'!A:A, 0))</f>
        <v>SF</v>
      </c>
      <c r="AG325" s="43" t="str">
        <f t="array" ref="AG325">INDEX('Deal Info'!G:G, MATCH(A325,'Deal Info'!A:A, 0))</f>
        <v>None</v>
      </c>
    </row>
    <row r="326" hidden="1">
      <c r="A326" s="23" t="str">
        <f t="array" ref="A326">if(G326='Room Info'!$B$1, INDEX('Room Info'!$A$2:$A3446, MATCH(B326,'Room Info'!$B$2:$B3446, 0)),if(G326='Room Info'!$C$1, INDEX('Room Info'!$A$2:$A3446, MATCH(B326,'Room Info'!$C$2:$C3446, 0)),if(G326='Room Info'!$D$1, INDEX('Room Info'!$A$2:$A3446, MATCH(B326,'Room Info'!$D$2:$D3446, 0)),if(G326='Room Info'!$E$1, INDEX('Room Info'!$A$2:$A3446, MATCH(B326,'Room Info'!$E$2:$E3446, 0)),if(G326='Room Info'!$F$1, INDEX('Room Info'!$A$2:$A3446, MATCH(B326,'Room Info'!$F$2:$F3446, 0)),if(G326='Room Info'!$H$1, INDEX('Room Info'!$A$2:$A3446, MATCH(B326,'Room Info'!$H$2:$H3446, 0)),if(G326='Room Info'!$G$1, INDEX('Room Info'!$A$2:$A3446, MATCH(B326,'Room Info'!$G$2:$G3446, 0)))))))))</f>
        <v>Kiss4money99</v>
      </c>
      <c r="B326" s="50" t="s">
        <v>165</v>
      </c>
      <c r="C326" s="51">
        <v>44287.0</v>
      </c>
      <c r="D326" s="51">
        <v>44316.0</v>
      </c>
      <c r="E326" s="52">
        <v>44287.0</v>
      </c>
      <c r="F326" s="53" t="s">
        <v>4</v>
      </c>
      <c r="G326" s="50" t="s">
        <v>16</v>
      </c>
      <c r="H326" s="54" t="s">
        <v>59</v>
      </c>
      <c r="I326" s="54" t="s">
        <v>7</v>
      </c>
      <c r="J326" s="75">
        <v>20.0</v>
      </c>
      <c r="K326" s="76">
        <v>1466.0</v>
      </c>
      <c r="L326" s="57">
        <v>-2180.0</v>
      </c>
      <c r="M326" s="58">
        <v>773.0</v>
      </c>
      <c r="N326" s="33">
        <f t="shared" si="13"/>
        <v>29320</v>
      </c>
      <c r="O326" s="59">
        <v>12717.0</v>
      </c>
      <c r="P326" s="34">
        <f t="shared" si="14"/>
        <v>8.674624829</v>
      </c>
      <c r="Q326" s="60"/>
      <c r="R326" s="36">
        <f t="shared" si="45"/>
        <v>773</v>
      </c>
      <c r="S326" s="61">
        <v>-1493.0</v>
      </c>
      <c r="T326" s="37">
        <f t="shared" si="46"/>
        <v>-720</v>
      </c>
      <c r="U326" s="62">
        <v>1.0</v>
      </c>
      <c r="V326" s="74">
        <v>20.403768506056526</v>
      </c>
      <c r="W326" s="74">
        <v>-27.93601583113457</v>
      </c>
      <c r="X326" s="35">
        <f t="shared" si="55"/>
        <v>0.3</v>
      </c>
      <c r="Y326" s="35">
        <f t="shared" si="56"/>
        <v>0</v>
      </c>
      <c r="Z326" s="40">
        <f t="shared" si="57"/>
        <v>-504</v>
      </c>
      <c r="AA326" s="34">
        <f t="shared" si="58"/>
        <v>-216</v>
      </c>
      <c r="AB326" s="41">
        <f t="shared" si="49"/>
        <v>0</v>
      </c>
      <c r="AC326" s="42" t="b">
        <v>1</v>
      </c>
      <c r="AD326" s="42" t="s">
        <v>138</v>
      </c>
      <c r="AE326" s="42" t="s">
        <v>138</v>
      </c>
      <c r="AF326" s="42" t="str">
        <f t="array" ref="AF326">INDEX('Deal Info'!D:D, MATCH(A326,'Deal Info'!A:A, 0))</f>
        <v>SF</v>
      </c>
      <c r="AG326" s="43" t="str">
        <f t="array" ref="AG326">INDEX('Deal Info'!G:G, MATCH(A326,'Deal Info'!A:A, 0))</f>
        <v>None</v>
      </c>
    </row>
    <row r="327" hidden="1">
      <c r="A327" s="23" t="str">
        <f t="array" ref="A327">if(G327='Room Info'!$B$1, INDEX('Room Info'!$A$2:$A3446, MATCH(B327,'Room Info'!$B$2:$B3446, 0)),if(G327='Room Info'!$C$1, INDEX('Room Info'!$A$2:$A3446, MATCH(B327,'Room Info'!$C$2:$C3446, 0)),if(G327='Room Info'!$D$1, INDEX('Room Info'!$A$2:$A3446, MATCH(B327,'Room Info'!$D$2:$D3446, 0)),if(G327='Room Info'!$E$1, INDEX('Room Info'!$A$2:$A3446, MATCH(B327,'Room Info'!$E$2:$E3446, 0)),if(G327='Room Info'!$F$1, INDEX('Room Info'!$A$2:$A3446, MATCH(B327,'Room Info'!$F$2:$F3446, 0)),if(G327='Room Info'!$H$1, INDEX('Room Info'!$A$2:$A3446, MATCH(B327,'Room Info'!$H$2:$H3446, 0)),if(G327='Room Info'!$G$1, INDEX('Room Info'!$A$2:$A3446, MATCH(B327,'Room Info'!$G$2:$G3446, 0)))))))))</f>
        <v>Kiss4money99</v>
      </c>
      <c r="B327" s="50" t="s">
        <v>165</v>
      </c>
      <c r="C327" s="51">
        <v>44287.0</v>
      </c>
      <c r="D327" s="51">
        <v>44316.0</v>
      </c>
      <c r="E327" s="52">
        <v>44287.0</v>
      </c>
      <c r="F327" s="53" t="s">
        <v>12</v>
      </c>
      <c r="G327" s="50" t="s">
        <v>16</v>
      </c>
      <c r="H327" s="54" t="s">
        <v>74</v>
      </c>
      <c r="I327" s="54" t="s">
        <v>7</v>
      </c>
      <c r="J327" s="75">
        <v>50.0</v>
      </c>
      <c r="K327" s="76">
        <v>20.0</v>
      </c>
      <c r="L327" s="57">
        <v>150.0</v>
      </c>
      <c r="M327" s="67"/>
      <c r="N327" s="33">
        <f t="shared" si="13"/>
        <v>1000</v>
      </c>
      <c r="O327" s="70"/>
      <c r="P327" s="34">
        <f t="shared" si="14"/>
        <v>0</v>
      </c>
      <c r="Q327" s="60"/>
      <c r="R327" s="36">
        <f t="shared" si="45"/>
        <v>0</v>
      </c>
      <c r="S327" s="71"/>
      <c r="T327" s="37">
        <f t="shared" si="46"/>
        <v>150</v>
      </c>
      <c r="U327" s="62">
        <v>1.0</v>
      </c>
      <c r="V327" s="74">
        <v>20.403768506056526</v>
      </c>
      <c r="W327" s="74">
        <v>-27.93601583113457</v>
      </c>
      <c r="X327" s="35">
        <f t="shared" si="55"/>
        <v>0.3</v>
      </c>
      <c r="Y327" s="35">
        <f t="shared" si="56"/>
        <v>0</v>
      </c>
      <c r="Z327" s="40">
        <f t="shared" si="57"/>
        <v>105</v>
      </c>
      <c r="AA327" s="34">
        <f t="shared" si="58"/>
        <v>45</v>
      </c>
      <c r="AB327" s="41">
        <f t="shared" si="49"/>
        <v>0</v>
      </c>
      <c r="AC327" s="42" t="b">
        <v>1</v>
      </c>
      <c r="AD327" s="42" t="s">
        <v>138</v>
      </c>
      <c r="AE327" s="42" t="s">
        <v>138</v>
      </c>
      <c r="AF327" s="42" t="str">
        <f t="array" ref="AF327">INDEX('Deal Info'!D:D, MATCH(A327,'Deal Info'!A:A, 0))</f>
        <v>SF</v>
      </c>
      <c r="AG327" s="43" t="str">
        <f t="array" ref="AG327">INDEX('Deal Info'!G:G, MATCH(A327,'Deal Info'!A:A, 0))</f>
        <v>None</v>
      </c>
    </row>
    <row r="328" hidden="1">
      <c r="A328" s="23" t="str">
        <f t="array" ref="A328">if(G328='Room Info'!$B$1, INDEX('Room Info'!$A$2:$A3446, MATCH(B328,'Room Info'!$B$2:$B3446, 0)),if(G328='Room Info'!$C$1, INDEX('Room Info'!$A$2:$A3446, MATCH(B328,'Room Info'!$C$2:$C3446, 0)),if(G328='Room Info'!$D$1, INDEX('Room Info'!$A$2:$A3446, MATCH(B328,'Room Info'!$D$2:$D3446, 0)),if(G328='Room Info'!$E$1, INDEX('Room Info'!$A$2:$A3446, MATCH(B328,'Room Info'!$E$2:$E3446, 0)),if(G328='Room Info'!$F$1, INDEX('Room Info'!$A$2:$A3446, MATCH(B328,'Room Info'!$F$2:$F3446, 0)),if(G328='Room Info'!$H$1, INDEX('Room Info'!$A$2:$A3446, MATCH(B328,'Room Info'!$H$2:$H3446, 0)),if(G328='Room Info'!$G$1, INDEX('Room Info'!$A$2:$A3446, MATCH(B328,'Room Info'!$G$2:$G3446, 0)))))))))</f>
        <v>Kiss4money99</v>
      </c>
      <c r="B328" s="50" t="s">
        <v>166</v>
      </c>
      <c r="C328" s="51">
        <v>44317.0</v>
      </c>
      <c r="D328" s="51">
        <v>44347.0</v>
      </c>
      <c r="E328" s="52">
        <v>44317.0</v>
      </c>
      <c r="F328" s="53" t="s">
        <v>4</v>
      </c>
      <c r="G328" s="50" t="s">
        <v>16</v>
      </c>
      <c r="H328" s="54" t="s">
        <v>59</v>
      </c>
      <c r="I328" s="54" t="s">
        <v>7</v>
      </c>
      <c r="J328" s="75">
        <v>20.0</v>
      </c>
      <c r="K328" s="76">
        <v>408.0</v>
      </c>
      <c r="L328" s="57">
        <v>-640.0</v>
      </c>
      <c r="M328" s="58">
        <v>998.0</v>
      </c>
      <c r="N328" s="33">
        <f t="shared" si="13"/>
        <v>8160</v>
      </c>
      <c r="O328" s="59">
        <v>9051.0</v>
      </c>
      <c r="P328" s="34">
        <f t="shared" si="14"/>
        <v>22.18382353</v>
      </c>
      <c r="Q328" s="60"/>
      <c r="R328" s="36">
        <f t="shared" si="45"/>
        <v>998</v>
      </c>
      <c r="S328" s="61">
        <v>-168.0</v>
      </c>
      <c r="T328" s="37">
        <f t="shared" si="46"/>
        <v>830</v>
      </c>
      <c r="U328" s="62">
        <v>1.0</v>
      </c>
      <c r="V328" s="74">
        <v>20.0</v>
      </c>
      <c r="W328" s="74">
        <v>41.5</v>
      </c>
      <c r="X328" s="35">
        <f t="shared" si="55"/>
        <v>0.3</v>
      </c>
      <c r="Y328" s="35">
        <f t="shared" si="56"/>
        <v>0</v>
      </c>
      <c r="Z328" s="40">
        <f t="shared" si="57"/>
        <v>581</v>
      </c>
      <c r="AA328" s="34">
        <f t="shared" si="58"/>
        <v>249</v>
      </c>
      <c r="AB328" s="41">
        <f t="shared" si="49"/>
        <v>0</v>
      </c>
      <c r="AC328" s="42" t="b">
        <v>1</v>
      </c>
      <c r="AD328" s="42" t="s">
        <v>138</v>
      </c>
      <c r="AE328" s="42" t="s">
        <v>138</v>
      </c>
      <c r="AF328" s="42" t="str">
        <f t="array" ref="AF328">INDEX('Deal Info'!D:D, MATCH(A328,'Deal Info'!A:A, 0))</f>
        <v>SF</v>
      </c>
      <c r="AG328" s="43" t="str">
        <f t="array" ref="AG328">INDEX('Deal Info'!G:G, MATCH(A328,'Deal Info'!A:A, 0))</f>
        <v>None</v>
      </c>
    </row>
    <row r="329" hidden="1">
      <c r="A329" s="23" t="str">
        <f t="array" ref="A329">if(G329='Room Info'!$B$1, INDEX('Room Info'!$A$2:$A3446, MATCH(B329,'Room Info'!$B$2:$B3446, 0)),if(G329='Room Info'!$C$1, INDEX('Room Info'!$A$2:$A3446, MATCH(B329,'Room Info'!$C$2:$C3446, 0)),if(G329='Room Info'!$D$1, INDEX('Room Info'!$A$2:$A3446, MATCH(B329,'Room Info'!$D$2:$D3446, 0)),if(G329='Room Info'!$E$1, INDEX('Room Info'!$A$2:$A3446, MATCH(B329,'Room Info'!$E$2:$E3446, 0)),if(G329='Room Info'!$F$1, INDEX('Room Info'!$A$2:$A3446, MATCH(B329,'Room Info'!$F$2:$F3446, 0)),if(G329='Room Info'!$H$1, INDEX('Room Info'!$A$2:$A3446, MATCH(B329,'Room Info'!$H$2:$H3446, 0)),if(G329='Room Info'!$G$1, INDEX('Room Info'!$A$2:$A3446, MATCH(B329,'Room Info'!$G$2:$G3446, 0)))))))))</f>
        <v>Kiss4money99</v>
      </c>
      <c r="B329" s="50" t="s">
        <v>167</v>
      </c>
      <c r="C329" s="51">
        <v>44348.0</v>
      </c>
      <c r="D329" s="51">
        <v>44377.0</v>
      </c>
      <c r="E329" s="52">
        <v>44348.0</v>
      </c>
      <c r="F329" s="53" t="s">
        <v>12</v>
      </c>
      <c r="G329" s="50" t="s">
        <v>16</v>
      </c>
      <c r="H329" s="54" t="s">
        <v>20</v>
      </c>
      <c r="I329" s="54" t="s">
        <v>7</v>
      </c>
      <c r="J329" s="75">
        <v>1.0</v>
      </c>
      <c r="K329" s="76">
        <v>26.0</v>
      </c>
      <c r="L329" s="57">
        <v>10.0</v>
      </c>
      <c r="M329" s="58">
        <v>1.0</v>
      </c>
      <c r="N329" s="33">
        <f t="shared" si="13"/>
        <v>26</v>
      </c>
      <c r="O329" s="70"/>
      <c r="P329" s="34">
        <f t="shared" si="14"/>
        <v>0</v>
      </c>
      <c r="Q329" s="60"/>
      <c r="R329" s="36">
        <f t="shared" si="45"/>
        <v>1</v>
      </c>
      <c r="S329" s="71"/>
      <c r="T329" s="37">
        <f t="shared" si="46"/>
        <v>11</v>
      </c>
      <c r="U329" s="62">
        <v>1.0</v>
      </c>
      <c r="V329" s="74">
        <v>10.962177121771218</v>
      </c>
      <c r="W329" s="74">
        <v>-69.23807119414289</v>
      </c>
      <c r="X329" s="35">
        <f t="shared" si="55"/>
        <v>0.3</v>
      </c>
      <c r="Y329" s="35">
        <f t="shared" si="56"/>
        <v>0</v>
      </c>
      <c r="Z329" s="40">
        <f t="shared" si="57"/>
        <v>7.7</v>
      </c>
      <c r="AA329" s="34">
        <f t="shared" si="58"/>
        <v>3.3</v>
      </c>
      <c r="AB329" s="41">
        <f t="shared" si="49"/>
        <v>0</v>
      </c>
      <c r="AC329" s="42" t="b">
        <v>1</v>
      </c>
      <c r="AD329" s="42" t="s">
        <v>138</v>
      </c>
      <c r="AE329" s="42" t="s">
        <v>138</v>
      </c>
      <c r="AF329" s="42" t="str">
        <f t="array" ref="AF329">INDEX('Deal Info'!D:D, MATCH(A329,'Deal Info'!A:A, 0))</f>
        <v>SF</v>
      </c>
      <c r="AG329" s="43" t="str">
        <f t="array" ref="AG329">INDEX('Deal Info'!G:G, MATCH(A329,'Deal Info'!A:A, 0))</f>
        <v>None</v>
      </c>
    </row>
    <row r="330" hidden="1">
      <c r="A330" s="23" t="str">
        <f t="array" ref="A330">if(G330='Room Info'!$B$1, INDEX('Room Info'!$A$2:$A3446, MATCH(B330,'Room Info'!$B$2:$B3446, 0)),if(G330='Room Info'!$C$1, INDEX('Room Info'!$A$2:$A3446, MATCH(B330,'Room Info'!$C$2:$C3446, 0)),if(G330='Room Info'!$D$1, INDEX('Room Info'!$A$2:$A3446, MATCH(B330,'Room Info'!$D$2:$D3446, 0)),if(G330='Room Info'!$E$1, INDEX('Room Info'!$A$2:$A3446, MATCH(B330,'Room Info'!$E$2:$E3446, 0)),if(G330='Room Info'!$F$1, INDEX('Room Info'!$A$2:$A3446, MATCH(B330,'Room Info'!$F$2:$F3446, 0)),if(G330='Room Info'!$H$1, INDEX('Room Info'!$A$2:$A3446, MATCH(B330,'Room Info'!$H$2:$H3446, 0)),if(G330='Room Info'!$G$1, INDEX('Room Info'!$A$2:$A3446, MATCH(B330,'Room Info'!$G$2:$G3446, 0)))))))))</f>
        <v>Kiss4money99</v>
      </c>
      <c r="B330" s="50" t="s">
        <v>167</v>
      </c>
      <c r="C330" s="51">
        <v>44348.0</v>
      </c>
      <c r="D330" s="51">
        <v>44377.0</v>
      </c>
      <c r="E330" s="52">
        <v>44348.0</v>
      </c>
      <c r="F330" s="53" t="s">
        <v>12</v>
      </c>
      <c r="G330" s="50" t="s">
        <v>16</v>
      </c>
      <c r="H330" s="54" t="s">
        <v>45</v>
      </c>
      <c r="I330" s="54" t="s">
        <v>7</v>
      </c>
      <c r="J330" s="75">
        <v>10.0</v>
      </c>
      <c r="K330" s="76">
        <v>803.0</v>
      </c>
      <c r="L330" s="57">
        <v>-520.0</v>
      </c>
      <c r="M330" s="58">
        <v>123.0</v>
      </c>
      <c r="N330" s="33">
        <f t="shared" si="13"/>
        <v>8030</v>
      </c>
      <c r="O330" s="70"/>
      <c r="P330" s="34">
        <f t="shared" si="14"/>
        <v>0</v>
      </c>
      <c r="Q330" s="60"/>
      <c r="R330" s="36">
        <f t="shared" si="45"/>
        <v>123</v>
      </c>
      <c r="S330" s="71"/>
      <c r="T330" s="37">
        <f t="shared" si="46"/>
        <v>-397</v>
      </c>
      <c r="U330" s="62">
        <v>1.0</v>
      </c>
      <c r="V330" s="74">
        <v>10.962177121771218</v>
      </c>
      <c r="W330" s="74">
        <v>-69.23807119414289</v>
      </c>
      <c r="X330" s="35">
        <f t="shared" si="55"/>
        <v>0.3</v>
      </c>
      <c r="Y330" s="35">
        <f t="shared" si="56"/>
        <v>0</v>
      </c>
      <c r="Z330" s="40">
        <f t="shared" si="57"/>
        <v>-277.9</v>
      </c>
      <c r="AA330" s="34">
        <f t="shared" si="58"/>
        <v>-119.1</v>
      </c>
      <c r="AB330" s="41">
        <f t="shared" si="49"/>
        <v>0</v>
      </c>
      <c r="AC330" s="42" t="b">
        <v>1</v>
      </c>
      <c r="AD330" s="42" t="s">
        <v>138</v>
      </c>
      <c r="AE330" s="42" t="s">
        <v>138</v>
      </c>
      <c r="AF330" s="42" t="str">
        <f t="array" ref="AF330">INDEX('Deal Info'!D:D, MATCH(A330,'Deal Info'!A:A, 0))</f>
        <v>SF</v>
      </c>
      <c r="AG330" s="43" t="str">
        <f t="array" ref="AG330">INDEX('Deal Info'!G:G, MATCH(A330,'Deal Info'!A:A, 0))</f>
        <v>None</v>
      </c>
    </row>
    <row r="331" hidden="1">
      <c r="A331" s="23" t="str">
        <f t="array" ref="A331">if(G331='Room Info'!$B$1, INDEX('Room Info'!$A$2:$A3446, MATCH(B331,'Room Info'!$B$2:$B3446, 0)),if(G331='Room Info'!$C$1, INDEX('Room Info'!$A$2:$A3446, MATCH(B331,'Room Info'!$C$2:$C3446, 0)),if(G331='Room Info'!$D$1, INDEX('Room Info'!$A$2:$A3446, MATCH(B331,'Room Info'!$D$2:$D3446, 0)),if(G331='Room Info'!$E$1, INDEX('Room Info'!$A$2:$A3446, MATCH(B331,'Room Info'!$E$2:$E3446, 0)),if(G331='Room Info'!$F$1, INDEX('Room Info'!$A$2:$A3446, MATCH(B331,'Room Info'!$F$2:$F3446, 0)),if(G331='Room Info'!$H$1, INDEX('Room Info'!$A$2:$A3446, MATCH(B331,'Room Info'!$H$2:$H3446, 0)),if(G331='Room Info'!$G$1, INDEX('Room Info'!$A$2:$A3446, MATCH(B331,'Room Info'!$G$2:$G3446, 0)))))))))</f>
        <v>Kiss4money99</v>
      </c>
      <c r="B331" s="50" t="s">
        <v>167</v>
      </c>
      <c r="C331" s="51">
        <v>44348.0</v>
      </c>
      <c r="D331" s="51">
        <v>44377.0</v>
      </c>
      <c r="E331" s="52">
        <v>44348.0</v>
      </c>
      <c r="F331" s="53" t="s">
        <v>12</v>
      </c>
      <c r="G331" s="50" t="s">
        <v>16</v>
      </c>
      <c r="H331" s="54" t="s">
        <v>59</v>
      </c>
      <c r="I331" s="54" t="s">
        <v>7</v>
      </c>
      <c r="J331" s="55">
        <v>20.0</v>
      </c>
      <c r="K331" s="56">
        <v>180.0</v>
      </c>
      <c r="L331" s="57">
        <v>-460.0</v>
      </c>
      <c r="M331" s="58">
        <v>0.0</v>
      </c>
      <c r="N331" s="33">
        <f t="shared" si="13"/>
        <v>3600</v>
      </c>
      <c r="O331" s="70"/>
      <c r="P331" s="34">
        <f t="shared" si="14"/>
        <v>0</v>
      </c>
      <c r="Q331" s="60"/>
      <c r="R331" s="36">
        <f t="shared" si="45"/>
        <v>0</v>
      </c>
      <c r="S331" s="71"/>
      <c r="T331" s="37">
        <f t="shared" si="46"/>
        <v>-460</v>
      </c>
      <c r="U331" s="62">
        <v>1.0</v>
      </c>
      <c r="V331" s="74">
        <v>10.962177121771218</v>
      </c>
      <c r="W331" s="74">
        <v>-69.23807119414289</v>
      </c>
      <c r="X331" s="35">
        <f t="shared" si="55"/>
        <v>0.3</v>
      </c>
      <c r="Y331" s="35">
        <f t="shared" si="56"/>
        <v>0</v>
      </c>
      <c r="Z331" s="40">
        <f t="shared" si="57"/>
        <v>-322</v>
      </c>
      <c r="AA331" s="34">
        <f t="shared" si="58"/>
        <v>-138</v>
      </c>
      <c r="AB331" s="41">
        <f t="shared" si="49"/>
        <v>0</v>
      </c>
      <c r="AC331" s="42" t="b">
        <v>1</v>
      </c>
      <c r="AD331" s="42" t="s">
        <v>138</v>
      </c>
      <c r="AE331" s="42" t="s">
        <v>138</v>
      </c>
      <c r="AF331" s="42" t="str">
        <f t="array" ref="AF331">INDEX('Deal Info'!D:D, MATCH(A331,'Deal Info'!A:A, 0))</f>
        <v>SF</v>
      </c>
      <c r="AG331" s="43" t="str">
        <f t="array" ref="AG331">INDEX('Deal Info'!G:G, MATCH(A331,'Deal Info'!A:A, 0))</f>
        <v>None</v>
      </c>
    </row>
    <row r="332" hidden="1">
      <c r="A332" s="23" t="str">
        <f t="array" ref="A332">if(G332='Room Info'!$B$1, INDEX('Room Info'!$A$2:$A3446, MATCH(B332,'Room Info'!$B$2:$B3446, 0)),if(G332='Room Info'!$C$1, INDEX('Room Info'!$A$2:$A3446, MATCH(B332,'Room Info'!$C$2:$C3446, 0)),if(G332='Room Info'!$D$1, INDEX('Room Info'!$A$2:$A3446, MATCH(B332,'Room Info'!$D$2:$D3446, 0)),if(G332='Room Info'!$E$1, INDEX('Room Info'!$A$2:$A3446, MATCH(B332,'Room Info'!$E$2:$E3446, 0)),if(G332='Room Info'!$F$1, INDEX('Room Info'!$A$2:$A3446, MATCH(B332,'Room Info'!$F$2:$F3446, 0)),if(G332='Room Info'!$H$1, INDEX('Room Info'!$A$2:$A3446, MATCH(B332,'Room Info'!$H$2:$H3446, 0)),if(G332='Room Info'!$G$1, INDEX('Room Info'!$A$2:$A3446, MATCH(B332,'Room Info'!$G$2:$G3446, 0)))))))))</f>
        <v>Kiss4money99</v>
      </c>
      <c r="B332" s="50" t="s">
        <v>167</v>
      </c>
      <c r="C332" s="51">
        <v>44348.0</v>
      </c>
      <c r="D332" s="51">
        <v>44377.0</v>
      </c>
      <c r="E332" s="52">
        <v>44348.0</v>
      </c>
      <c r="F332" s="53" t="s">
        <v>12</v>
      </c>
      <c r="G332" s="50" t="s">
        <v>16</v>
      </c>
      <c r="H332" s="54" t="s">
        <v>32</v>
      </c>
      <c r="I332" s="54" t="s">
        <v>7</v>
      </c>
      <c r="J332" s="55">
        <v>3.0</v>
      </c>
      <c r="K332" s="56">
        <v>74.0</v>
      </c>
      <c r="L332" s="57">
        <v>87.0</v>
      </c>
      <c r="M332" s="58">
        <v>5.0</v>
      </c>
      <c r="N332" s="33">
        <f t="shared" si="13"/>
        <v>222</v>
      </c>
      <c r="O332" s="70"/>
      <c r="P332" s="34">
        <f t="shared" si="14"/>
        <v>0</v>
      </c>
      <c r="Q332" s="60"/>
      <c r="R332" s="36">
        <f t="shared" si="45"/>
        <v>5</v>
      </c>
      <c r="S332" s="71"/>
      <c r="T332" s="37">
        <f t="shared" si="46"/>
        <v>92</v>
      </c>
      <c r="U332" s="62">
        <v>1.0</v>
      </c>
      <c r="V332" s="74">
        <v>10.962177121771218</v>
      </c>
      <c r="W332" s="74">
        <v>-69.23807119414289</v>
      </c>
      <c r="X332" s="35">
        <f t="shared" si="55"/>
        <v>0.3</v>
      </c>
      <c r="Y332" s="35">
        <f t="shared" si="56"/>
        <v>0</v>
      </c>
      <c r="Z332" s="40">
        <f t="shared" si="57"/>
        <v>64.4</v>
      </c>
      <c r="AA332" s="34">
        <f t="shared" si="58"/>
        <v>27.6</v>
      </c>
      <c r="AB332" s="41">
        <f t="shared" si="49"/>
        <v>0</v>
      </c>
      <c r="AC332" s="42" t="b">
        <v>1</v>
      </c>
      <c r="AD332" s="42" t="s">
        <v>138</v>
      </c>
      <c r="AE332" s="42" t="s">
        <v>138</v>
      </c>
      <c r="AF332" s="42" t="str">
        <f t="array" ref="AF332">INDEX('Deal Info'!D:D, MATCH(A332,'Deal Info'!A:A, 0))</f>
        <v>SF</v>
      </c>
      <c r="AG332" s="43" t="str">
        <f t="array" ref="AG332">INDEX('Deal Info'!G:G, MATCH(A332,'Deal Info'!A:A, 0))</f>
        <v>None</v>
      </c>
    </row>
    <row r="333" hidden="1">
      <c r="A333" s="23" t="str">
        <f t="array" ref="A333">if(G333='Room Info'!$B$1, INDEX('Room Info'!$A$2:$A3446, MATCH(B333,'Room Info'!$B$2:$B3446, 0)),if(G333='Room Info'!$C$1, INDEX('Room Info'!$A$2:$A3446, MATCH(B333,'Room Info'!$C$2:$C3446, 0)),if(G333='Room Info'!$D$1, INDEX('Room Info'!$A$2:$A3446, MATCH(B333,'Room Info'!$D$2:$D3446, 0)),if(G333='Room Info'!$E$1, INDEX('Room Info'!$A$2:$A3446, MATCH(B333,'Room Info'!$E$2:$E3446, 0)),if(G333='Room Info'!$F$1, INDEX('Room Info'!$A$2:$A3446, MATCH(B333,'Room Info'!$F$2:$F3446, 0)),if(G333='Room Info'!$H$1, INDEX('Room Info'!$A$2:$A3446, MATCH(B333,'Room Info'!$H$2:$H3446, 0)),if(G333='Room Info'!$G$1, INDEX('Room Info'!$A$2:$A3446, MATCH(B333,'Room Info'!$G$2:$G3446, 0)))))))))</f>
        <v>Kiss4money99</v>
      </c>
      <c r="B333" s="50" t="s">
        <v>167</v>
      </c>
      <c r="C333" s="51">
        <v>44348.0</v>
      </c>
      <c r="D333" s="51">
        <v>44377.0</v>
      </c>
      <c r="E333" s="52">
        <v>44348.0</v>
      </c>
      <c r="F333" s="53" t="s">
        <v>12</v>
      </c>
      <c r="G333" s="50" t="s">
        <v>16</v>
      </c>
      <c r="H333" s="54" t="s">
        <v>35</v>
      </c>
      <c r="I333" s="54" t="s">
        <v>7</v>
      </c>
      <c r="J333" s="55">
        <v>5.0</v>
      </c>
      <c r="K333" s="56">
        <v>1.0</v>
      </c>
      <c r="L333" s="57">
        <v>-5.0</v>
      </c>
      <c r="M333" s="58">
        <v>0.0</v>
      </c>
      <c r="N333" s="33">
        <f t="shared" si="13"/>
        <v>5</v>
      </c>
      <c r="O333" s="70"/>
      <c r="P333" s="34">
        <f t="shared" si="14"/>
        <v>0</v>
      </c>
      <c r="Q333" s="60"/>
      <c r="R333" s="36">
        <f t="shared" si="45"/>
        <v>0</v>
      </c>
      <c r="S333" s="71"/>
      <c r="T333" s="37">
        <f t="shared" si="46"/>
        <v>-5</v>
      </c>
      <c r="U333" s="62">
        <v>1.0</v>
      </c>
      <c r="V333" s="74">
        <v>10.962177121771218</v>
      </c>
      <c r="W333" s="74">
        <v>-69.23807119414289</v>
      </c>
      <c r="X333" s="35">
        <f t="shared" si="55"/>
        <v>0.3</v>
      </c>
      <c r="Y333" s="35">
        <f t="shared" si="56"/>
        <v>0</v>
      </c>
      <c r="Z333" s="40">
        <f t="shared" si="57"/>
        <v>-3.5</v>
      </c>
      <c r="AA333" s="34">
        <f t="shared" si="58"/>
        <v>-1.5</v>
      </c>
      <c r="AB333" s="41">
        <f t="shared" si="49"/>
        <v>0</v>
      </c>
      <c r="AC333" s="42" t="b">
        <v>1</v>
      </c>
      <c r="AD333" s="42" t="s">
        <v>138</v>
      </c>
      <c r="AE333" s="42" t="s">
        <v>138</v>
      </c>
      <c r="AF333" s="42" t="str">
        <f t="array" ref="AF333">INDEX('Deal Info'!D:D, MATCH(A333,'Deal Info'!A:A, 0))</f>
        <v>SF</v>
      </c>
      <c r="AG333" s="43" t="str">
        <f t="array" ref="AG333">INDEX('Deal Info'!G:G, MATCH(A333,'Deal Info'!A:A, 0))</f>
        <v>None</v>
      </c>
    </row>
    <row r="334" hidden="1">
      <c r="A334" s="23" t="str">
        <f t="array" ref="A334">if(G334='Room Info'!$B$1, INDEX('Room Info'!$A$2:$A3446, MATCH(B334,'Room Info'!$B$2:$B3446, 0)),if(G334='Room Info'!$C$1, INDEX('Room Info'!$A$2:$A3446, MATCH(B334,'Room Info'!$C$2:$C3446, 0)),if(G334='Room Info'!$D$1, INDEX('Room Info'!$A$2:$A3446, MATCH(B334,'Room Info'!$D$2:$D3446, 0)),if(G334='Room Info'!$E$1, INDEX('Room Info'!$A$2:$A3446, MATCH(B334,'Room Info'!$E$2:$E3446, 0)),if(G334='Room Info'!$F$1, INDEX('Room Info'!$A$2:$A3446, MATCH(B334,'Room Info'!$F$2:$F3446, 0)),if(G334='Room Info'!$H$1, INDEX('Room Info'!$A$2:$A3446, MATCH(B334,'Room Info'!$H$2:$H3446, 0)),if(G334='Room Info'!$G$1, INDEX('Room Info'!$A$2:$A3446, MATCH(B334,'Room Info'!$G$2:$G3446, 0)))))))))</f>
        <v>Kiss4money99</v>
      </c>
      <c r="B334" s="50" t="s">
        <v>166</v>
      </c>
      <c r="C334" s="51">
        <v>44398.0</v>
      </c>
      <c r="D334" s="51">
        <v>44428.0</v>
      </c>
      <c r="E334" s="52">
        <v>44409.0</v>
      </c>
      <c r="F334" s="53" t="s">
        <v>4</v>
      </c>
      <c r="G334" s="50" t="s">
        <v>5</v>
      </c>
      <c r="H334" s="54" t="s">
        <v>35</v>
      </c>
      <c r="I334" s="54" t="s">
        <v>7</v>
      </c>
      <c r="J334" s="55">
        <v>5.0</v>
      </c>
      <c r="K334" s="56">
        <v>1354.0</v>
      </c>
      <c r="L334" s="57">
        <v>-390.0</v>
      </c>
      <c r="M334" s="58">
        <v>200.0</v>
      </c>
      <c r="N334" s="33">
        <f t="shared" si="13"/>
        <v>6770</v>
      </c>
      <c r="O334" s="59">
        <v>47739.0</v>
      </c>
      <c r="P334" s="34">
        <f t="shared" si="14"/>
        <v>35.2577548</v>
      </c>
      <c r="Q334" s="60"/>
      <c r="R334" s="36">
        <f t="shared" si="45"/>
        <v>200</v>
      </c>
      <c r="S334" s="61">
        <v>-185.0</v>
      </c>
      <c r="T334" s="37">
        <f t="shared" si="46"/>
        <v>15</v>
      </c>
      <c r="U334" s="62">
        <v>1.0</v>
      </c>
      <c r="V334" s="74">
        <v>5.0</v>
      </c>
      <c r="W334" s="74">
        <v>3.0</v>
      </c>
      <c r="X334" s="35">
        <f t="shared" si="55"/>
        <v>0.3</v>
      </c>
      <c r="Y334" s="35">
        <f t="shared" si="56"/>
        <v>0</v>
      </c>
      <c r="Z334" s="40">
        <f t="shared" si="57"/>
        <v>10.5</v>
      </c>
      <c r="AA334" s="34">
        <f t="shared" si="58"/>
        <v>4.5</v>
      </c>
      <c r="AB334" s="41">
        <f t="shared" si="49"/>
        <v>0</v>
      </c>
      <c r="AC334" s="42" t="b">
        <v>1</v>
      </c>
      <c r="AD334" s="42" t="s">
        <v>138</v>
      </c>
      <c r="AE334" s="42" t="s">
        <v>138</v>
      </c>
      <c r="AF334" s="42" t="str">
        <f t="array" ref="AF334">INDEX('Deal Info'!D:D, MATCH(A334,'Deal Info'!A:A, 0))</f>
        <v>SF</v>
      </c>
      <c r="AG334" s="43" t="str">
        <f t="array" ref="AG334">INDEX('Deal Info'!G:G, MATCH(A334,'Deal Info'!A:A, 0))</f>
        <v>None</v>
      </c>
    </row>
    <row r="335" hidden="1">
      <c r="A335" s="23" t="str">
        <f t="array" ref="A335">if(G335='Room Info'!$B$1, INDEX('Room Info'!$A$2:$A3446, MATCH(B335,'Room Info'!$B$2:$B3446, 0)),if(G335='Room Info'!$C$1, INDEX('Room Info'!$A$2:$A3446, MATCH(B335,'Room Info'!$C$2:$C3446, 0)),if(G335='Room Info'!$D$1, INDEX('Room Info'!$A$2:$A3446, MATCH(B335,'Room Info'!$D$2:$D3446, 0)),if(G335='Room Info'!$E$1, INDEX('Room Info'!$A$2:$A3446, MATCH(B335,'Room Info'!$E$2:$E3446, 0)),if(G335='Room Info'!$F$1, INDEX('Room Info'!$A$2:$A3446, MATCH(B335,'Room Info'!$F$2:$F3446, 0)),if(G335='Room Info'!$H$1, INDEX('Room Info'!$A$2:$A3446, MATCH(B335,'Room Info'!$H$2:$H3446, 0)),if(G335='Room Info'!$G$1, INDEX('Room Info'!$A$2:$A3446, MATCH(B335,'Room Info'!$G$2:$G3446, 0)))))))))</f>
        <v>Kiss4money99</v>
      </c>
      <c r="B335" s="50" t="s">
        <v>166</v>
      </c>
      <c r="C335" s="51">
        <v>44429.0</v>
      </c>
      <c r="D335" s="51">
        <v>44459.0</v>
      </c>
      <c r="E335" s="52">
        <v>44440.0</v>
      </c>
      <c r="F335" s="53" t="s">
        <v>4</v>
      </c>
      <c r="G335" s="59" t="s">
        <v>5</v>
      </c>
      <c r="H335" s="54" t="s">
        <v>35</v>
      </c>
      <c r="I335" s="54" t="s">
        <v>7</v>
      </c>
      <c r="J335" s="55">
        <v>5.0</v>
      </c>
      <c r="K335" s="56">
        <v>1447.0</v>
      </c>
      <c r="L335" s="57">
        <v>10.0</v>
      </c>
      <c r="M335" s="58">
        <v>5.0</v>
      </c>
      <c r="N335" s="33">
        <f t="shared" si="13"/>
        <v>7235</v>
      </c>
      <c r="O335" s="59">
        <v>98596.0</v>
      </c>
      <c r="P335" s="34">
        <f t="shared" si="14"/>
        <v>68.138217</v>
      </c>
      <c r="Q335" s="60"/>
      <c r="R335" s="36">
        <f t="shared" si="45"/>
        <v>5</v>
      </c>
      <c r="S335" s="61">
        <v>238.0</v>
      </c>
      <c r="T335" s="37">
        <f t="shared" si="46"/>
        <v>243</v>
      </c>
      <c r="U335" s="62">
        <v>1.0</v>
      </c>
      <c r="V335" s="74">
        <v>4.987021857923497</v>
      </c>
      <c r="W335" s="74">
        <v>47.12231201205314</v>
      </c>
      <c r="X335" s="35">
        <f t="shared" si="55"/>
        <v>0.3</v>
      </c>
      <c r="Y335" s="35">
        <f t="shared" si="56"/>
        <v>0</v>
      </c>
      <c r="Z335" s="40">
        <f t="shared" si="57"/>
        <v>170.1</v>
      </c>
      <c r="AA335" s="34">
        <f t="shared" si="58"/>
        <v>72.9</v>
      </c>
      <c r="AB335" s="41">
        <f t="shared" si="49"/>
        <v>0</v>
      </c>
      <c r="AC335" s="42" t="b">
        <v>1</v>
      </c>
      <c r="AD335" s="42" t="s">
        <v>138</v>
      </c>
      <c r="AE335" s="42" t="s">
        <v>138</v>
      </c>
      <c r="AF335" s="42" t="str">
        <f t="array" ref="AF335">INDEX('Deal Info'!D:D, MATCH(A335,'Deal Info'!A:A, 0))</f>
        <v>SF</v>
      </c>
      <c r="AG335" s="43" t="str">
        <f t="array" ref="AG335">INDEX('Deal Info'!G:G, MATCH(A335,'Deal Info'!A:A, 0))</f>
        <v>None</v>
      </c>
    </row>
    <row r="336" hidden="1">
      <c r="A336" s="23" t="str">
        <f t="array" ref="A336">if(G336='Room Info'!$B$1, INDEX('Room Info'!$A$2:$A3446, MATCH(B336,'Room Info'!$B$2:$B3446, 0)),if(G336='Room Info'!$C$1, INDEX('Room Info'!$A$2:$A3446, MATCH(B336,'Room Info'!$C$2:$C3446, 0)),if(G336='Room Info'!$D$1, INDEX('Room Info'!$A$2:$A3446, MATCH(B336,'Room Info'!$D$2:$D3446, 0)),if(G336='Room Info'!$E$1, INDEX('Room Info'!$A$2:$A3446, MATCH(B336,'Room Info'!$E$2:$E3446, 0)),if(G336='Room Info'!$F$1, INDEX('Room Info'!$A$2:$A3446, MATCH(B336,'Room Info'!$F$2:$F3446, 0)),if(G336='Room Info'!$H$1, INDEX('Room Info'!$A$2:$A3446, MATCH(B336,'Room Info'!$H$2:$H3446, 0)),if(G336='Room Info'!$G$1, INDEX('Room Info'!$A$2:$A3446, MATCH(B336,'Room Info'!$G$2:$G3446, 0)))))))))</f>
        <v>Kiss4money99</v>
      </c>
      <c r="B336" s="50" t="s">
        <v>166</v>
      </c>
      <c r="C336" s="51">
        <v>44429.0</v>
      </c>
      <c r="D336" s="51">
        <v>44459.0</v>
      </c>
      <c r="E336" s="52">
        <v>44440.0</v>
      </c>
      <c r="F336" s="53" t="s">
        <v>4</v>
      </c>
      <c r="G336" s="59" t="s">
        <v>5</v>
      </c>
      <c r="H336" s="54" t="s">
        <v>45</v>
      </c>
      <c r="I336" s="54" t="s">
        <v>7</v>
      </c>
      <c r="J336" s="55">
        <v>10.0</v>
      </c>
      <c r="K336" s="56">
        <v>4.0</v>
      </c>
      <c r="L336" s="57">
        <v>10.0</v>
      </c>
      <c r="M336" s="67"/>
      <c r="N336" s="33">
        <f t="shared" si="13"/>
        <v>40</v>
      </c>
      <c r="O336" s="59">
        <v>-264.0</v>
      </c>
      <c r="P336" s="34">
        <f t="shared" si="14"/>
        <v>-66</v>
      </c>
      <c r="Q336" s="60"/>
      <c r="R336" s="36">
        <f t="shared" si="45"/>
        <v>0</v>
      </c>
      <c r="S336" s="61">
        <v>-8.0</v>
      </c>
      <c r="T336" s="37">
        <f t="shared" si="46"/>
        <v>-8</v>
      </c>
      <c r="U336" s="62">
        <v>1.0</v>
      </c>
      <c r="V336" s="74">
        <v>4.987021857923497</v>
      </c>
      <c r="W336" s="74">
        <v>47.12231201205314</v>
      </c>
      <c r="X336" s="35">
        <f t="shared" si="55"/>
        <v>0.3</v>
      </c>
      <c r="Y336" s="35">
        <f t="shared" si="56"/>
        <v>0</v>
      </c>
      <c r="Z336" s="40">
        <f t="shared" si="57"/>
        <v>-5.6</v>
      </c>
      <c r="AA336" s="34">
        <f t="shared" si="58"/>
        <v>-2.4</v>
      </c>
      <c r="AB336" s="41">
        <f t="shared" si="49"/>
        <v>0</v>
      </c>
      <c r="AC336" s="42" t="b">
        <v>1</v>
      </c>
      <c r="AD336" s="42" t="s">
        <v>138</v>
      </c>
      <c r="AE336" s="42" t="s">
        <v>138</v>
      </c>
      <c r="AF336" s="42" t="str">
        <f t="array" ref="AF336">INDEX('Deal Info'!D:D, MATCH(A336,'Deal Info'!A:A, 0))</f>
        <v>SF</v>
      </c>
      <c r="AG336" s="43" t="str">
        <f t="array" ref="AG336">INDEX('Deal Info'!G:G, MATCH(A336,'Deal Info'!A:A, 0))</f>
        <v>None</v>
      </c>
    </row>
    <row r="337" hidden="1">
      <c r="A337" s="23" t="str">
        <f t="array" ref="A337">if(G337='Room Info'!$B$1, INDEX('Room Info'!$A$2:$A3446, MATCH(B337,'Room Info'!$B$2:$B3446, 0)),if(G337='Room Info'!$C$1, INDEX('Room Info'!$A$2:$A3446, MATCH(B337,'Room Info'!$C$2:$C3446, 0)),if(G337='Room Info'!$D$1, INDEX('Room Info'!$A$2:$A3446, MATCH(B337,'Room Info'!$D$2:$D3446, 0)),if(G337='Room Info'!$E$1, INDEX('Room Info'!$A$2:$A3446, MATCH(B337,'Room Info'!$E$2:$E3446, 0)),if(G337='Room Info'!$F$1, INDEX('Room Info'!$A$2:$A3446, MATCH(B337,'Room Info'!$F$2:$F3446, 0)),if(G337='Room Info'!$H$1, INDEX('Room Info'!$A$2:$A3446, MATCH(B337,'Room Info'!$H$2:$H3446, 0)),if(G337='Room Info'!$G$1, INDEX('Room Info'!$A$2:$A3446, MATCH(B337,'Room Info'!$G$2:$G3446, 0)))))))))</f>
        <v>Kiss4money99</v>
      </c>
      <c r="B337" s="50" t="s">
        <v>166</v>
      </c>
      <c r="C337" s="51">
        <v>44429.0</v>
      </c>
      <c r="D337" s="51">
        <v>44459.0</v>
      </c>
      <c r="E337" s="52">
        <v>44440.0</v>
      </c>
      <c r="F337" s="53" t="s">
        <v>4</v>
      </c>
      <c r="G337" s="59" t="s">
        <v>5</v>
      </c>
      <c r="H337" s="54" t="s">
        <v>28</v>
      </c>
      <c r="I337" s="54" t="s">
        <v>7</v>
      </c>
      <c r="J337" s="55">
        <v>2.0</v>
      </c>
      <c r="K337" s="56">
        <v>13.0</v>
      </c>
      <c r="L337" s="57">
        <v>-12.0</v>
      </c>
      <c r="M337" s="67"/>
      <c r="N337" s="33">
        <f t="shared" si="13"/>
        <v>26</v>
      </c>
      <c r="O337" s="70"/>
      <c r="P337" s="34">
        <f t="shared" si="14"/>
        <v>0</v>
      </c>
      <c r="Q337" s="60"/>
      <c r="R337" s="36">
        <f t="shared" si="45"/>
        <v>0</v>
      </c>
      <c r="S337" s="71"/>
      <c r="T337" s="37">
        <f t="shared" si="46"/>
        <v>0</v>
      </c>
      <c r="U337" s="62">
        <v>1.0</v>
      </c>
      <c r="V337" s="74">
        <v>4.987021857923497</v>
      </c>
      <c r="W337" s="74">
        <v>47.12231201205314</v>
      </c>
      <c r="X337" s="35">
        <f t="shared" si="55"/>
        <v>0.3</v>
      </c>
      <c r="Y337" s="35">
        <f t="shared" si="56"/>
        <v>0</v>
      </c>
      <c r="Z337" s="40">
        <f t="shared" si="57"/>
        <v>0</v>
      </c>
      <c r="AA337" s="34">
        <f t="shared" si="58"/>
        <v>0</v>
      </c>
      <c r="AB337" s="41">
        <f t="shared" si="49"/>
        <v>0</v>
      </c>
      <c r="AC337" s="42" t="b">
        <v>1</v>
      </c>
      <c r="AD337" s="42" t="s">
        <v>138</v>
      </c>
      <c r="AE337" s="42" t="s">
        <v>138</v>
      </c>
      <c r="AF337" s="42" t="str">
        <f t="array" ref="AF337">INDEX('Deal Info'!D:D, MATCH(A337,'Deal Info'!A:A, 0))</f>
        <v>SF</v>
      </c>
      <c r="AG337" s="43" t="str">
        <f t="array" ref="AG337">INDEX('Deal Info'!G:G, MATCH(A337,'Deal Info'!A:A, 0))</f>
        <v>None</v>
      </c>
    </row>
    <row r="338" hidden="1">
      <c r="A338" s="23" t="str">
        <f t="array" ref="A338">if(G338='Room Info'!$B$1, INDEX('Room Info'!$A$2:$A3446, MATCH(B338,'Room Info'!$B$2:$B3446, 0)),if(G338='Room Info'!$C$1, INDEX('Room Info'!$A$2:$A3446, MATCH(B338,'Room Info'!$C$2:$C3446, 0)),if(G338='Room Info'!$D$1, INDEX('Room Info'!$A$2:$A3446, MATCH(B338,'Room Info'!$D$2:$D3446, 0)),if(G338='Room Info'!$E$1, INDEX('Room Info'!$A$2:$A3446, MATCH(B338,'Room Info'!$E$2:$E3446, 0)),if(G338='Room Info'!$F$1, INDEX('Room Info'!$A$2:$A3446, MATCH(B338,'Room Info'!$F$2:$F3446, 0)),if(G338='Room Info'!$H$1, INDEX('Room Info'!$A$2:$A3446, MATCH(B338,'Room Info'!$H$2:$H3446, 0)),if(G338='Room Info'!$G$1, INDEX('Room Info'!$A$2:$A3446, MATCH(B338,'Room Info'!$G$2:$G3446, 0)))))))))</f>
        <v>Kiss4money99</v>
      </c>
      <c r="B338" s="50" t="s">
        <v>166</v>
      </c>
      <c r="C338" s="51">
        <v>44460.0</v>
      </c>
      <c r="D338" s="51">
        <v>44489.0</v>
      </c>
      <c r="E338" s="52">
        <v>44470.0</v>
      </c>
      <c r="F338" s="53" t="s">
        <v>4</v>
      </c>
      <c r="G338" s="59" t="s">
        <v>5</v>
      </c>
      <c r="H338" s="54" t="s">
        <v>35</v>
      </c>
      <c r="I338" s="54" t="s">
        <v>7</v>
      </c>
      <c r="J338" s="55">
        <v>5.0</v>
      </c>
      <c r="K338" s="56">
        <v>1899.0</v>
      </c>
      <c r="L338" s="57">
        <v>-180.0</v>
      </c>
      <c r="M338" s="58">
        <v>411.0</v>
      </c>
      <c r="N338" s="33">
        <f t="shared" si="13"/>
        <v>9495</v>
      </c>
      <c r="O338" s="59">
        <v>105368.0</v>
      </c>
      <c r="P338" s="34">
        <f t="shared" si="14"/>
        <v>55.48604529</v>
      </c>
      <c r="Q338" s="60"/>
      <c r="R338" s="36">
        <f t="shared" si="45"/>
        <v>411</v>
      </c>
      <c r="S338" s="61">
        <v>94.0</v>
      </c>
      <c r="T338" s="37">
        <f t="shared" si="46"/>
        <v>505</v>
      </c>
      <c r="U338" s="62">
        <v>1.0</v>
      </c>
      <c r="V338" s="74">
        <v>5.0</v>
      </c>
      <c r="W338" s="74">
        <v>101.0</v>
      </c>
      <c r="X338" s="35">
        <f t="shared" si="55"/>
        <v>0.25</v>
      </c>
      <c r="Y338" s="35">
        <f t="shared" si="56"/>
        <v>0</v>
      </c>
      <c r="Z338" s="40">
        <f t="shared" si="57"/>
        <v>378.75</v>
      </c>
      <c r="AA338" s="34">
        <f t="shared" si="58"/>
        <v>126.25</v>
      </c>
      <c r="AB338" s="41">
        <f t="shared" si="49"/>
        <v>0</v>
      </c>
      <c r="AC338" s="42" t="b">
        <v>1</v>
      </c>
      <c r="AD338" s="42" t="s">
        <v>138</v>
      </c>
      <c r="AE338" s="42" t="s">
        <v>138</v>
      </c>
      <c r="AF338" s="42" t="str">
        <f t="array" ref="AF338">INDEX('Deal Info'!D:D, MATCH(A338,'Deal Info'!A:A, 0))</f>
        <v>SF</v>
      </c>
      <c r="AG338" s="43" t="str">
        <f t="array" ref="AG338">INDEX('Deal Info'!G:G, MATCH(A338,'Deal Info'!A:A, 0))</f>
        <v>None</v>
      </c>
    </row>
    <row r="339" hidden="1">
      <c r="A339" s="23" t="str">
        <f t="array" ref="A339">if(G339='Room Info'!$B$1, INDEX('Room Info'!$A$2:$A3446, MATCH(B339,'Room Info'!$B$2:$B3446, 0)),if(G339='Room Info'!$C$1, INDEX('Room Info'!$A$2:$A3446, MATCH(B339,'Room Info'!$C$2:$C3446, 0)),if(G339='Room Info'!$D$1, INDEX('Room Info'!$A$2:$A3446, MATCH(B339,'Room Info'!$D$2:$D3446, 0)),if(G339='Room Info'!$E$1, INDEX('Room Info'!$A$2:$A3446, MATCH(B339,'Room Info'!$E$2:$E3446, 0)),if(G339='Room Info'!$F$1, INDEX('Room Info'!$A$2:$A3446, MATCH(B339,'Room Info'!$F$2:$F3446, 0)),if(G339='Room Info'!$H$1, INDEX('Room Info'!$A$2:$A3446, MATCH(B339,'Room Info'!$H$2:$H3446, 0)),if(G339='Room Info'!$G$1, INDEX('Room Info'!$A$2:$A3446, MATCH(B339,'Room Info'!$G$2:$G3446, 0)))))))))</f>
        <v>Kiss4money99</v>
      </c>
      <c r="B339" s="50" t="s">
        <v>166</v>
      </c>
      <c r="C339" s="51">
        <v>44490.0</v>
      </c>
      <c r="D339" s="51">
        <v>44520.0</v>
      </c>
      <c r="E339" s="52">
        <v>44501.0</v>
      </c>
      <c r="F339" s="53" t="s">
        <v>4</v>
      </c>
      <c r="G339" s="59" t="s">
        <v>5</v>
      </c>
      <c r="H339" s="54" t="s">
        <v>35</v>
      </c>
      <c r="I339" s="54" t="s">
        <v>7</v>
      </c>
      <c r="J339" s="55">
        <v>5.0</v>
      </c>
      <c r="K339" s="56">
        <v>1866.0</v>
      </c>
      <c r="L339" s="57">
        <v>420.0</v>
      </c>
      <c r="M339" s="58">
        <v>265.0</v>
      </c>
      <c r="N339" s="33">
        <f t="shared" si="13"/>
        <v>9330</v>
      </c>
      <c r="O339" s="59">
        <v>146072.0</v>
      </c>
      <c r="P339" s="34">
        <f t="shared" si="14"/>
        <v>78.28081458</v>
      </c>
      <c r="Q339" s="60"/>
      <c r="R339" s="36">
        <f t="shared" si="45"/>
        <v>265</v>
      </c>
      <c r="S339" s="61">
        <v>502.0</v>
      </c>
      <c r="T339" s="37">
        <f t="shared" si="46"/>
        <v>767</v>
      </c>
      <c r="U339" s="62">
        <v>1.0</v>
      </c>
      <c r="V339" s="74">
        <v>5.005353319057816</v>
      </c>
      <c r="W339" s="74">
        <v>153.03614973262032</v>
      </c>
      <c r="X339" s="35">
        <f t="shared" si="55"/>
        <v>0.25</v>
      </c>
      <c r="Y339" s="35">
        <f t="shared" si="56"/>
        <v>0</v>
      </c>
      <c r="Z339" s="40">
        <f t="shared" si="57"/>
        <v>575.25</v>
      </c>
      <c r="AA339" s="34">
        <f t="shared" si="58"/>
        <v>191.75</v>
      </c>
      <c r="AB339" s="41">
        <f t="shared" si="49"/>
        <v>0</v>
      </c>
      <c r="AC339" s="42" t="b">
        <v>1</v>
      </c>
      <c r="AD339" s="42" t="s">
        <v>138</v>
      </c>
      <c r="AE339" s="42" t="s">
        <v>138</v>
      </c>
      <c r="AF339" s="42" t="str">
        <f t="array" ref="AF339">INDEX('Deal Info'!D:D, MATCH(A339,'Deal Info'!A:A, 0))</f>
        <v>SF</v>
      </c>
      <c r="AG339" s="43" t="str">
        <f t="array" ref="AG339">INDEX('Deal Info'!G:G, MATCH(A339,'Deal Info'!A:A, 0))</f>
        <v>None</v>
      </c>
    </row>
    <row r="340" hidden="1">
      <c r="A340" s="23" t="str">
        <f t="array" ref="A340">if(G340='Room Info'!$B$1, INDEX('Room Info'!$A$2:$A3446, MATCH(B340,'Room Info'!$B$2:$B3446, 0)),if(G340='Room Info'!$C$1, INDEX('Room Info'!$A$2:$A3446, MATCH(B340,'Room Info'!$C$2:$C3446, 0)),if(G340='Room Info'!$D$1, INDEX('Room Info'!$A$2:$A3446, MATCH(B340,'Room Info'!$D$2:$D3446, 0)),if(G340='Room Info'!$E$1, INDEX('Room Info'!$A$2:$A3446, MATCH(B340,'Room Info'!$E$2:$E3446, 0)),if(G340='Room Info'!$F$1, INDEX('Room Info'!$A$2:$A3446, MATCH(B340,'Room Info'!$F$2:$F3446, 0)),if(G340='Room Info'!$H$1, INDEX('Room Info'!$A$2:$A3446, MATCH(B340,'Room Info'!$H$2:$H3446, 0)),if(G340='Room Info'!$G$1, INDEX('Room Info'!$A$2:$A3446, MATCH(B340,'Room Info'!$G$2:$G3446, 0)))))))))</f>
        <v>Kiss4money99</v>
      </c>
      <c r="B340" s="50" t="s">
        <v>166</v>
      </c>
      <c r="C340" s="51">
        <v>44490.0</v>
      </c>
      <c r="D340" s="51">
        <v>44520.0</v>
      </c>
      <c r="E340" s="52">
        <v>44501.0</v>
      </c>
      <c r="F340" s="53" t="s">
        <v>4</v>
      </c>
      <c r="G340" s="50" t="s">
        <v>5</v>
      </c>
      <c r="H340" s="54" t="s">
        <v>45</v>
      </c>
      <c r="I340" s="54" t="s">
        <v>7</v>
      </c>
      <c r="J340" s="55">
        <v>10.0</v>
      </c>
      <c r="K340" s="56">
        <v>2.0</v>
      </c>
      <c r="L340" s="57">
        <v>-20.0</v>
      </c>
      <c r="M340" s="67"/>
      <c r="N340" s="33">
        <f t="shared" si="13"/>
        <v>20</v>
      </c>
      <c r="O340" s="59">
        <v>3.0</v>
      </c>
      <c r="P340" s="34">
        <f t="shared" si="14"/>
        <v>1.5</v>
      </c>
      <c r="Q340" s="60"/>
      <c r="R340" s="36">
        <f t="shared" si="45"/>
        <v>0</v>
      </c>
      <c r="S340" s="61">
        <v>-1.0</v>
      </c>
      <c r="T340" s="37">
        <f t="shared" si="46"/>
        <v>-1</v>
      </c>
      <c r="U340" s="62">
        <v>1.0</v>
      </c>
      <c r="V340" s="74">
        <v>5.005353319057816</v>
      </c>
      <c r="W340" s="74">
        <v>153.03614973262032</v>
      </c>
      <c r="X340" s="35">
        <f t="shared" si="55"/>
        <v>0.25</v>
      </c>
      <c r="Y340" s="35">
        <f t="shared" si="56"/>
        <v>0</v>
      </c>
      <c r="Z340" s="40">
        <f t="shared" si="57"/>
        <v>-0.75</v>
      </c>
      <c r="AA340" s="34">
        <f t="shared" si="58"/>
        <v>-0.25</v>
      </c>
      <c r="AB340" s="41">
        <f t="shared" si="49"/>
        <v>0</v>
      </c>
      <c r="AC340" s="42" t="b">
        <v>1</v>
      </c>
      <c r="AD340" s="42" t="s">
        <v>138</v>
      </c>
      <c r="AE340" s="42" t="s">
        <v>138</v>
      </c>
      <c r="AF340" s="42" t="str">
        <f t="array" ref="AF340">INDEX('Deal Info'!D:D, MATCH(A340,'Deal Info'!A:A, 0))</f>
        <v>SF</v>
      </c>
      <c r="AG340" s="43" t="str">
        <f t="array" ref="AG340">INDEX('Deal Info'!G:G, MATCH(A340,'Deal Info'!A:A, 0))</f>
        <v>None</v>
      </c>
    </row>
    <row r="341" hidden="1">
      <c r="A341" s="23" t="str">
        <f t="array" ref="A341">if(G341='Room Info'!$B$1, INDEX('Room Info'!$A$2:$A3446, MATCH(B341,'Room Info'!$B$2:$B3446, 0)),if(G341='Room Info'!$C$1, INDEX('Room Info'!$A$2:$A3446, MATCH(B341,'Room Info'!$C$2:$C3446, 0)),if(G341='Room Info'!$D$1, INDEX('Room Info'!$A$2:$A3446, MATCH(B341,'Room Info'!$D$2:$D3446, 0)),if(G341='Room Info'!$E$1, INDEX('Room Info'!$A$2:$A3446, MATCH(B341,'Room Info'!$E$2:$E3446, 0)),if(G341='Room Info'!$F$1, INDEX('Room Info'!$A$2:$A3446, MATCH(B341,'Room Info'!$F$2:$F3446, 0)),if(G341='Room Info'!$H$1, INDEX('Room Info'!$A$2:$A3446, MATCH(B341,'Room Info'!$H$2:$H3446, 0)),if(G341='Room Info'!$G$1, INDEX('Room Info'!$A$2:$A3446, MATCH(B341,'Room Info'!$G$2:$G3446, 0)))))))))</f>
        <v>Kiss4money99</v>
      </c>
      <c r="B341" s="50" t="s">
        <v>166</v>
      </c>
      <c r="C341" s="51">
        <v>44521.0</v>
      </c>
      <c r="D341" s="51">
        <v>44550.0</v>
      </c>
      <c r="E341" s="52">
        <v>44531.0</v>
      </c>
      <c r="F341" s="53" t="s">
        <v>4</v>
      </c>
      <c r="G341" s="50" t="s">
        <v>5</v>
      </c>
      <c r="H341" s="54" t="s">
        <v>35</v>
      </c>
      <c r="I341" s="54" t="s">
        <v>7</v>
      </c>
      <c r="J341" s="75">
        <v>5.0</v>
      </c>
      <c r="K341" s="76">
        <v>28.0</v>
      </c>
      <c r="L341" s="57">
        <v>50.0</v>
      </c>
      <c r="M341" s="58">
        <v>4.0</v>
      </c>
      <c r="N341" s="33">
        <f t="shared" si="13"/>
        <v>140</v>
      </c>
      <c r="O341" s="59">
        <v>846.0</v>
      </c>
      <c r="P341" s="34">
        <f t="shared" si="14"/>
        <v>30.21428571</v>
      </c>
      <c r="Q341" s="60"/>
      <c r="R341" s="36">
        <f t="shared" si="45"/>
        <v>4</v>
      </c>
      <c r="S341" s="61">
        <v>-5.0</v>
      </c>
      <c r="T341" s="37">
        <f t="shared" si="46"/>
        <v>-1</v>
      </c>
      <c r="U341" s="62">
        <v>1.0</v>
      </c>
      <c r="V341" s="74">
        <v>9.91701244813278</v>
      </c>
      <c r="W341" s="74">
        <v>35.393723849372385</v>
      </c>
      <c r="X341" s="35">
        <f t="shared" si="55"/>
        <v>0.3</v>
      </c>
      <c r="Y341" s="35">
        <f t="shared" si="56"/>
        <v>0</v>
      </c>
      <c r="Z341" s="40">
        <f t="shared" si="57"/>
        <v>-0.7</v>
      </c>
      <c r="AA341" s="34">
        <f t="shared" si="58"/>
        <v>-0.3</v>
      </c>
      <c r="AB341" s="41">
        <f t="shared" si="49"/>
        <v>0</v>
      </c>
      <c r="AC341" s="42" t="b">
        <v>1</v>
      </c>
      <c r="AD341" s="42" t="s">
        <v>138</v>
      </c>
      <c r="AE341" s="42" t="s">
        <v>138</v>
      </c>
      <c r="AF341" s="42" t="str">
        <f t="array" ref="AF341">INDEX('Deal Info'!D:D, MATCH(A341,'Deal Info'!A:A, 0))</f>
        <v>SF</v>
      </c>
      <c r="AG341" s="43" t="str">
        <f t="array" ref="AG341">INDEX('Deal Info'!G:G, MATCH(A341,'Deal Info'!A:A, 0))</f>
        <v>None</v>
      </c>
    </row>
    <row r="342" hidden="1">
      <c r="A342" s="23" t="str">
        <f t="array" ref="A342">if(G342='Room Info'!$B$1, INDEX('Room Info'!$A$2:$A3446, MATCH(B342,'Room Info'!$B$2:$B3446, 0)),if(G342='Room Info'!$C$1, INDEX('Room Info'!$A$2:$A3446, MATCH(B342,'Room Info'!$C$2:$C3446, 0)),if(G342='Room Info'!$D$1, INDEX('Room Info'!$A$2:$A3446, MATCH(B342,'Room Info'!$D$2:$D3446, 0)),if(G342='Room Info'!$E$1, INDEX('Room Info'!$A$2:$A3446, MATCH(B342,'Room Info'!$E$2:$E3446, 0)),if(G342='Room Info'!$F$1, INDEX('Room Info'!$A$2:$A3446, MATCH(B342,'Room Info'!$F$2:$F3446, 0)),if(G342='Room Info'!$H$1, INDEX('Room Info'!$A$2:$A3446, MATCH(B342,'Room Info'!$H$2:$H3446, 0)),if(G342='Room Info'!$G$1, INDEX('Room Info'!$A$2:$A3446, MATCH(B342,'Room Info'!$G$2:$G3446, 0)))))))))</f>
        <v>Kiss4money99</v>
      </c>
      <c r="B342" s="50" t="s">
        <v>166</v>
      </c>
      <c r="C342" s="51">
        <v>44521.0</v>
      </c>
      <c r="D342" s="51">
        <v>44550.0</v>
      </c>
      <c r="E342" s="52">
        <v>44531.0</v>
      </c>
      <c r="F342" s="53" t="s">
        <v>4</v>
      </c>
      <c r="G342" s="50" t="s">
        <v>5</v>
      </c>
      <c r="H342" s="54" t="s">
        <v>45</v>
      </c>
      <c r="I342" s="54" t="s">
        <v>7</v>
      </c>
      <c r="J342" s="75">
        <v>10.0</v>
      </c>
      <c r="K342" s="76">
        <v>1659.0</v>
      </c>
      <c r="L342" s="57">
        <v>90.0</v>
      </c>
      <c r="M342" s="58">
        <v>321.0</v>
      </c>
      <c r="N342" s="33">
        <f t="shared" si="13"/>
        <v>16590</v>
      </c>
      <c r="O342" s="59">
        <v>70016.0</v>
      </c>
      <c r="P342" s="34">
        <f t="shared" si="14"/>
        <v>42.20373719</v>
      </c>
      <c r="Q342" s="60"/>
      <c r="R342" s="36">
        <f t="shared" si="45"/>
        <v>321</v>
      </c>
      <c r="S342" s="61">
        <v>31.0</v>
      </c>
      <c r="T342" s="37">
        <f t="shared" si="46"/>
        <v>352</v>
      </c>
      <c r="U342" s="62">
        <v>1.0</v>
      </c>
      <c r="V342" s="74">
        <v>9.91701244813278</v>
      </c>
      <c r="W342" s="74">
        <v>35.393723849372385</v>
      </c>
      <c r="X342" s="35">
        <f t="shared" si="55"/>
        <v>0.3</v>
      </c>
      <c r="Y342" s="35">
        <f t="shared" si="56"/>
        <v>0</v>
      </c>
      <c r="Z342" s="40">
        <f t="shared" si="57"/>
        <v>246.4</v>
      </c>
      <c r="AA342" s="34">
        <f t="shared" si="58"/>
        <v>105.6</v>
      </c>
      <c r="AB342" s="41">
        <f t="shared" si="49"/>
        <v>0</v>
      </c>
      <c r="AC342" s="42" t="b">
        <v>1</v>
      </c>
      <c r="AD342" s="42" t="s">
        <v>138</v>
      </c>
      <c r="AE342" s="42" t="s">
        <v>138</v>
      </c>
      <c r="AF342" s="42" t="str">
        <f t="array" ref="AF342">INDEX('Deal Info'!D:D, MATCH(A342,'Deal Info'!A:A, 0))</f>
        <v>SF</v>
      </c>
      <c r="AG342" s="43" t="str">
        <f t="array" ref="AG342">INDEX('Deal Info'!G:G, MATCH(A342,'Deal Info'!A:A, 0))</f>
        <v>None</v>
      </c>
    </row>
    <row r="343" hidden="1">
      <c r="A343" s="23" t="str">
        <f t="array" ref="A343">if(G343='Room Info'!$B$1, INDEX('Room Info'!$A$2:$A3446, MATCH(B343,'Room Info'!$B$2:$B3446, 0)),if(G343='Room Info'!$C$1, INDEX('Room Info'!$A$2:$A3446, MATCH(B343,'Room Info'!$C$2:$C3446, 0)),if(G343='Room Info'!$D$1, INDEX('Room Info'!$A$2:$A3446, MATCH(B343,'Room Info'!$D$2:$D3446, 0)),if(G343='Room Info'!$E$1, INDEX('Room Info'!$A$2:$A3446, MATCH(B343,'Room Info'!$E$2:$E3446, 0)),if(G343='Room Info'!$F$1, INDEX('Room Info'!$A$2:$A3446, MATCH(B343,'Room Info'!$F$2:$F3446, 0)),if(G343='Room Info'!$H$1, INDEX('Room Info'!$A$2:$A3446, MATCH(B343,'Room Info'!$H$2:$H3446, 0)),if(G343='Room Info'!$G$1, INDEX('Room Info'!$A$2:$A3446, MATCH(B343,'Room Info'!$G$2:$G3446, 0)))))))))</f>
        <v>Kiss4money99</v>
      </c>
      <c r="B343" s="50" t="s">
        <v>166</v>
      </c>
      <c r="C343" s="51">
        <v>44551.0</v>
      </c>
      <c r="D343" s="51">
        <v>44581.0</v>
      </c>
      <c r="E343" s="52">
        <v>44562.0</v>
      </c>
      <c r="F343" s="53" t="s">
        <v>4</v>
      </c>
      <c r="G343" s="50" t="s">
        <v>5</v>
      </c>
      <c r="H343" s="54" t="s">
        <v>45</v>
      </c>
      <c r="I343" s="54" t="s">
        <v>7</v>
      </c>
      <c r="J343" s="75">
        <v>10.0</v>
      </c>
      <c r="K343" s="76">
        <v>2899.0</v>
      </c>
      <c r="L343" s="57">
        <v>320.0</v>
      </c>
      <c r="M343" s="58">
        <v>1468.0</v>
      </c>
      <c r="N343" s="33">
        <f t="shared" si="13"/>
        <v>28990</v>
      </c>
      <c r="O343" s="59">
        <v>96710.0</v>
      </c>
      <c r="P343" s="34">
        <f t="shared" si="14"/>
        <v>33.35977923</v>
      </c>
      <c r="Q343" s="60"/>
      <c r="R343" s="36">
        <f t="shared" si="45"/>
        <v>1468</v>
      </c>
      <c r="S343" s="61">
        <v>-390.0</v>
      </c>
      <c r="T343" s="37">
        <f t="shared" si="46"/>
        <v>1078</v>
      </c>
      <c r="U343" s="62">
        <v>1.0</v>
      </c>
      <c r="V343" s="74">
        <v>10.0</v>
      </c>
      <c r="W343" s="74">
        <v>107.1</v>
      </c>
      <c r="X343" s="35">
        <f t="shared" si="55"/>
        <v>0.25</v>
      </c>
      <c r="Y343" s="35">
        <f t="shared" si="56"/>
        <v>0</v>
      </c>
      <c r="Z343" s="40">
        <f t="shared" si="57"/>
        <v>808.5</v>
      </c>
      <c r="AA343" s="34">
        <f t="shared" si="58"/>
        <v>269.5</v>
      </c>
      <c r="AB343" s="41">
        <f t="shared" si="49"/>
        <v>0</v>
      </c>
      <c r="AC343" s="42" t="b">
        <v>1</v>
      </c>
      <c r="AD343" s="42" t="s">
        <v>138</v>
      </c>
      <c r="AE343" s="42" t="s">
        <v>138</v>
      </c>
      <c r="AF343" s="42" t="str">
        <f t="array" ref="AF343">INDEX('Deal Info'!D:D, MATCH(A343,'Deal Info'!A:A, 0))</f>
        <v>SF</v>
      </c>
      <c r="AG343" s="43" t="str">
        <f t="array" ref="AG343">INDEX('Deal Info'!G:G, MATCH(A343,'Deal Info'!A:A, 0))</f>
        <v>None</v>
      </c>
    </row>
    <row r="344" hidden="1">
      <c r="A344" s="23" t="str">
        <f t="array" ref="A344">if(G344='Room Info'!$B$1, INDEX('Room Info'!$A$2:$A3446, MATCH(B344,'Room Info'!$B$2:$B3446, 0)),if(G344='Room Info'!$C$1, INDEX('Room Info'!$A$2:$A3446, MATCH(B344,'Room Info'!$C$2:$C3446, 0)),if(G344='Room Info'!$D$1, INDEX('Room Info'!$A$2:$A3446, MATCH(B344,'Room Info'!$D$2:$D3446, 0)),if(G344='Room Info'!$E$1, INDEX('Room Info'!$A$2:$A3446, MATCH(B344,'Room Info'!$E$2:$E3446, 0)),if(G344='Room Info'!$F$1, INDEX('Room Info'!$A$2:$A3446, MATCH(B344,'Room Info'!$F$2:$F3446, 0)),if(G344='Room Info'!$H$1, INDEX('Room Info'!$A$2:$A3446, MATCH(B344,'Room Info'!$H$2:$H3446, 0)),if(G344='Room Info'!$G$1, INDEX('Room Info'!$A$2:$A3446, MATCH(B344,'Room Info'!$G$2:$G3446, 0)))))))))</f>
        <v>Kiss4money99</v>
      </c>
      <c r="B344" s="50" t="s">
        <v>166</v>
      </c>
      <c r="C344" s="51">
        <v>44551.0</v>
      </c>
      <c r="D344" s="51">
        <v>44581.0</v>
      </c>
      <c r="E344" s="52">
        <v>44562.0</v>
      </c>
      <c r="F344" s="53" t="s">
        <v>12</v>
      </c>
      <c r="G344" s="50" t="s">
        <v>5</v>
      </c>
      <c r="H344" s="54" t="s">
        <v>48</v>
      </c>
      <c r="I344" s="54" t="s">
        <v>7</v>
      </c>
      <c r="J344" s="75">
        <v>10.0</v>
      </c>
      <c r="K344" s="76">
        <v>6.0</v>
      </c>
      <c r="L344" s="57">
        <v>-10.0</v>
      </c>
      <c r="M344" s="58">
        <v>3.0</v>
      </c>
      <c r="N344" s="33">
        <f t="shared" si="13"/>
        <v>60</v>
      </c>
      <c r="O344" s="70"/>
      <c r="P344" s="34">
        <f t="shared" si="14"/>
        <v>0</v>
      </c>
      <c r="Q344" s="60"/>
      <c r="R344" s="36">
        <f t="shared" si="45"/>
        <v>3</v>
      </c>
      <c r="S344" s="71"/>
      <c r="T344" s="37">
        <f t="shared" si="46"/>
        <v>-7</v>
      </c>
      <c r="U344" s="62">
        <v>1.0</v>
      </c>
      <c r="V344" s="74">
        <v>10.0</v>
      </c>
      <c r="W344" s="74">
        <v>107.1</v>
      </c>
      <c r="X344" s="35">
        <f t="shared" si="55"/>
        <v>0.25</v>
      </c>
      <c r="Y344" s="35">
        <f t="shared" si="56"/>
        <v>0</v>
      </c>
      <c r="Z344" s="40">
        <f t="shared" si="57"/>
        <v>-5.25</v>
      </c>
      <c r="AA344" s="34">
        <f t="shared" si="58"/>
        <v>-1.75</v>
      </c>
      <c r="AB344" s="41">
        <f t="shared" si="49"/>
        <v>0</v>
      </c>
      <c r="AC344" s="42" t="b">
        <v>1</v>
      </c>
      <c r="AD344" s="42" t="s">
        <v>138</v>
      </c>
      <c r="AE344" s="42" t="s">
        <v>138</v>
      </c>
      <c r="AF344" s="42" t="str">
        <f t="array" ref="AF344">INDEX('Deal Info'!D:D, MATCH(A344,'Deal Info'!A:A, 0))</f>
        <v>SF</v>
      </c>
      <c r="AG344" s="43" t="str">
        <f t="array" ref="AG344">INDEX('Deal Info'!G:G, MATCH(A344,'Deal Info'!A:A, 0))</f>
        <v>None</v>
      </c>
    </row>
    <row r="345" hidden="1">
      <c r="A345" s="23" t="str">
        <f t="array" ref="A345">if(G345='Room Info'!$B$1, INDEX('Room Info'!$A$2:$A3446, MATCH(B345,'Room Info'!$B$2:$B3446, 0)),if(G345='Room Info'!$C$1, INDEX('Room Info'!$A$2:$A3446, MATCH(B345,'Room Info'!$C$2:$C3446, 0)),if(G345='Room Info'!$D$1, INDEX('Room Info'!$A$2:$A3446, MATCH(B345,'Room Info'!$D$2:$D3446, 0)),if(G345='Room Info'!$E$1, INDEX('Room Info'!$A$2:$A3446, MATCH(B345,'Room Info'!$E$2:$E3446, 0)),if(G345='Room Info'!$F$1, INDEX('Room Info'!$A$2:$A3446, MATCH(B345,'Room Info'!$F$2:$F3446, 0)),if(G345='Room Info'!$H$1, INDEX('Room Info'!$A$2:$A3446, MATCH(B345,'Room Info'!$H$2:$H3446, 0)),if(G345='Room Info'!$G$1, INDEX('Room Info'!$A$2:$A3446, MATCH(B345,'Room Info'!$G$2:$G3446, 0)))))))))</f>
        <v>Kiss4money99</v>
      </c>
      <c r="B345" s="50" t="s">
        <v>166</v>
      </c>
      <c r="C345" s="51">
        <v>44582.0</v>
      </c>
      <c r="D345" s="51">
        <v>44612.0</v>
      </c>
      <c r="E345" s="52">
        <v>44593.0</v>
      </c>
      <c r="F345" s="53" t="s">
        <v>4</v>
      </c>
      <c r="G345" s="50" t="s">
        <v>5</v>
      </c>
      <c r="H345" s="54" t="s">
        <v>35</v>
      </c>
      <c r="I345" s="54" t="s">
        <v>7</v>
      </c>
      <c r="J345" s="75">
        <v>5.0</v>
      </c>
      <c r="K345" s="76">
        <v>10.0</v>
      </c>
      <c r="L345" s="57">
        <v>5.0</v>
      </c>
      <c r="M345" s="58">
        <v>1.0</v>
      </c>
      <c r="N345" s="33">
        <f t="shared" si="13"/>
        <v>50</v>
      </c>
      <c r="O345" s="59">
        <v>0.0</v>
      </c>
      <c r="P345" s="34">
        <f t="shared" si="14"/>
        <v>0</v>
      </c>
      <c r="Q345" s="60"/>
      <c r="R345" s="36">
        <f t="shared" si="45"/>
        <v>1</v>
      </c>
      <c r="S345" s="61">
        <v>-4.0</v>
      </c>
      <c r="T345" s="37">
        <f t="shared" si="46"/>
        <v>-3</v>
      </c>
      <c r="U345" s="62">
        <v>1.0</v>
      </c>
      <c r="V345" s="74">
        <v>9.964739069111424</v>
      </c>
      <c r="W345" s="74">
        <v>-30.005803255484786</v>
      </c>
      <c r="X345" s="35">
        <f t="shared" si="55"/>
        <v>0.3</v>
      </c>
      <c r="Y345" s="35">
        <f t="shared" si="56"/>
        <v>0</v>
      </c>
      <c r="Z345" s="40">
        <f t="shared" si="57"/>
        <v>-2.1</v>
      </c>
      <c r="AA345" s="34">
        <f t="shared" si="58"/>
        <v>-0.9</v>
      </c>
      <c r="AB345" s="41">
        <f t="shared" si="49"/>
        <v>0</v>
      </c>
      <c r="AC345" s="42" t="b">
        <v>1</v>
      </c>
      <c r="AD345" s="42" t="s">
        <v>138</v>
      </c>
      <c r="AE345" s="42" t="s">
        <v>138</v>
      </c>
      <c r="AF345" s="42" t="str">
        <f t="array" ref="AF345">INDEX('Deal Info'!D:D, MATCH(A345,'Deal Info'!A:A, 0))</f>
        <v>SF</v>
      </c>
      <c r="AG345" s="43" t="str">
        <f t="array" ref="AG345">INDEX('Deal Info'!G:G, MATCH(A345,'Deal Info'!A:A, 0))</f>
        <v>None</v>
      </c>
    </row>
    <row r="346" hidden="1">
      <c r="A346" s="23" t="str">
        <f t="array" ref="A346">if(G346='Room Info'!$B$1, INDEX('Room Info'!$A$2:$A3446, MATCH(B346,'Room Info'!$B$2:$B3446, 0)),if(G346='Room Info'!$C$1, INDEX('Room Info'!$A$2:$A3446, MATCH(B346,'Room Info'!$C$2:$C3446, 0)),if(G346='Room Info'!$D$1, INDEX('Room Info'!$A$2:$A3446, MATCH(B346,'Room Info'!$D$2:$D3446, 0)),if(G346='Room Info'!$E$1, INDEX('Room Info'!$A$2:$A3446, MATCH(B346,'Room Info'!$E$2:$E3446, 0)),if(G346='Room Info'!$F$1, INDEX('Room Info'!$A$2:$A3446, MATCH(B346,'Room Info'!$F$2:$F3446, 0)),if(G346='Room Info'!$H$1, INDEX('Room Info'!$A$2:$A3446, MATCH(B346,'Room Info'!$H$2:$H3446, 0)),if(G346='Room Info'!$G$1, INDEX('Room Info'!$A$2:$A3446, MATCH(B346,'Room Info'!$G$2:$G3446, 0)))))))))</f>
        <v>Kiss4money99</v>
      </c>
      <c r="B346" s="50" t="s">
        <v>166</v>
      </c>
      <c r="C346" s="51">
        <v>44582.0</v>
      </c>
      <c r="D346" s="51">
        <v>44612.0</v>
      </c>
      <c r="E346" s="52">
        <v>44593.0</v>
      </c>
      <c r="F346" s="53" t="s">
        <v>4</v>
      </c>
      <c r="G346" s="50" t="s">
        <v>5</v>
      </c>
      <c r="H346" s="54" t="s">
        <v>45</v>
      </c>
      <c r="I346" s="54" t="s">
        <v>7</v>
      </c>
      <c r="J346" s="75">
        <v>10.0</v>
      </c>
      <c r="K346" s="76">
        <v>1408.0</v>
      </c>
      <c r="L346" s="57">
        <v>-770.0</v>
      </c>
      <c r="M346" s="58">
        <v>323.0</v>
      </c>
      <c r="N346" s="33">
        <f t="shared" si="13"/>
        <v>14080</v>
      </c>
      <c r="O346" s="59">
        <v>21434.0</v>
      </c>
      <c r="P346" s="34">
        <f t="shared" si="14"/>
        <v>15.22301136</v>
      </c>
      <c r="Q346" s="60"/>
      <c r="R346" s="36">
        <f t="shared" si="45"/>
        <v>323</v>
      </c>
      <c r="S346" s="61">
        <v>-619.0</v>
      </c>
      <c r="T346" s="37">
        <f t="shared" si="46"/>
        <v>-296</v>
      </c>
      <c r="U346" s="62">
        <v>1.0</v>
      </c>
      <c r="V346" s="74">
        <v>9.964739069111424</v>
      </c>
      <c r="W346" s="74">
        <v>-30.005803255484786</v>
      </c>
      <c r="X346" s="35">
        <f t="shared" si="55"/>
        <v>0.3</v>
      </c>
      <c r="Y346" s="35">
        <f t="shared" si="56"/>
        <v>0</v>
      </c>
      <c r="Z346" s="40">
        <f t="shared" si="57"/>
        <v>-207.2</v>
      </c>
      <c r="AA346" s="34">
        <f t="shared" si="58"/>
        <v>-88.8</v>
      </c>
      <c r="AB346" s="41">
        <f t="shared" si="49"/>
        <v>0</v>
      </c>
      <c r="AC346" s="42" t="b">
        <v>1</v>
      </c>
      <c r="AD346" s="42" t="s">
        <v>138</v>
      </c>
      <c r="AE346" s="42" t="s">
        <v>138</v>
      </c>
      <c r="AF346" s="42" t="str">
        <f t="array" ref="AF346">INDEX('Deal Info'!D:D, MATCH(A346,'Deal Info'!A:A, 0))</f>
        <v>SF</v>
      </c>
      <c r="AG346" s="43" t="str">
        <f t="array" ref="AG346">INDEX('Deal Info'!G:G, MATCH(A346,'Deal Info'!A:A, 0))</f>
        <v>None</v>
      </c>
    </row>
    <row r="347" hidden="1">
      <c r="A347" s="23" t="str">
        <f t="array" ref="A347">if(G347='Room Info'!$B$1, INDEX('Room Info'!$A$2:$A3446, MATCH(B347,'Room Info'!$B$2:$B3446, 0)),if(G347='Room Info'!$C$1, INDEX('Room Info'!$A$2:$A3446, MATCH(B347,'Room Info'!$C$2:$C3446, 0)),if(G347='Room Info'!$D$1, INDEX('Room Info'!$A$2:$A3446, MATCH(B347,'Room Info'!$D$2:$D3446, 0)),if(G347='Room Info'!$E$1, INDEX('Room Info'!$A$2:$A3446, MATCH(B347,'Room Info'!$E$2:$E3446, 0)),if(G347='Room Info'!$F$1, INDEX('Room Info'!$A$2:$A3446, MATCH(B347,'Room Info'!$F$2:$F3446, 0)),if(G347='Room Info'!$H$1, INDEX('Room Info'!$A$2:$A3446, MATCH(B347,'Room Info'!$H$2:$H3446, 0)),if(G347='Room Info'!$G$1, INDEX('Room Info'!$A$2:$A3446, MATCH(B347,'Room Info'!$G$2:$G3446, 0)))))))))</f>
        <v>Kiss4money99</v>
      </c>
      <c r="B347" s="50" t="s">
        <v>166</v>
      </c>
      <c r="C347" s="51">
        <v>44613.0</v>
      </c>
      <c r="D347" s="51">
        <v>44640.0</v>
      </c>
      <c r="E347" s="52">
        <v>44621.0</v>
      </c>
      <c r="F347" s="53" t="s">
        <v>4</v>
      </c>
      <c r="G347" s="50" t="s">
        <v>5</v>
      </c>
      <c r="H347" s="54" t="s">
        <v>35</v>
      </c>
      <c r="I347" s="54" t="s">
        <v>7</v>
      </c>
      <c r="J347" s="75">
        <v>5.0</v>
      </c>
      <c r="K347" s="76">
        <v>3705.0</v>
      </c>
      <c r="L347" s="57">
        <v>730.0</v>
      </c>
      <c r="M347" s="58">
        <v>270.0</v>
      </c>
      <c r="N347" s="33">
        <f t="shared" si="13"/>
        <v>18525</v>
      </c>
      <c r="O347" s="59">
        <v>281090.0</v>
      </c>
      <c r="P347" s="34">
        <f t="shared" si="14"/>
        <v>75.86774629</v>
      </c>
      <c r="Q347" s="60"/>
      <c r="R347" s="36">
        <f t="shared" si="45"/>
        <v>270</v>
      </c>
      <c r="S347" s="61">
        <v>893.0</v>
      </c>
      <c r="T347" s="37">
        <f t="shared" si="46"/>
        <v>1163</v>
      </c>
      <c r="U347" s="62">
        <v>1.0</v>
      </c>
      <c r="V347" s="74">
        <v>5.383752803388986</v>
      </c>
      <c r="W347" s="74">
        <v>221.22115251099282</v>
      </c>
      <c r="X347" s="35">
        <f t="shared" si="55"/>
        <v>0.25</v>
      </c>
      <c r="Y347" s="35">
        <f t="shared" si="56"/>
        <v>0</v>
      </c>
      <c r="Z347" s="40">
        <f t="shared" si="57"/>
        <v>872.25</v>
      </c>
      <c r="AA347" s="34">
        <f t="shared" si="58"/>
        <v>290.75</v>
      </c>
      <c r="AB347" s="41">
        <f t="shared" si="49"/>
        <v>0</v>
      </c>
      <c r="AC347" s="42" t="b">
        <v>1</v>
      </c>
      <c r="AD347" s="42" t="s">
        <v>138</v>
      </c>
      <c r="AE347" s="42" t="s">
        <v>138</v>
      </c>
      <c r="AF347" s="42" t="str">
        <f t="array" ref="AF347">INDEX('Deal Info'!D:D, MATCH(A347,'Deal Info'!A:A, 0))</f>
        <v>SF</v>
      </c>
      <c r="AG347" s="43" t="str">
        <f t="array" ref="AG347">INDEX('Deal Info'!G:G, MATCH(A347,'Deal Info'!A:A, 0))</f>
        <v>None</v>
      </c>
    </row>
    <row r="348" hidden="1">
      <c r="A348" s="23" t="str">
        <f t="array" ref="A348">if(G348='Room Info'!$B$1, INDEX('Room Info'!$A$2:$A3446, MATCH(B348,'Room Info'!$B$2:$B3446, 0)),if(G348='Room Info'!$C$1, INDEX('Room Info'!$A$2:$A3446, MATCH(B348,'Room Info'!$C$2:$C3446, 0)),if(G348='Room Info'!$D$1, INDEX('Room Info'!$A$2:$A3446, MATCH(B348,'Room Info'!$D$2:$D3446, 0)),if(G348='Room Info'!$E$1, INDEX('Room Info'!$A$2:$A3446, MATCH(B348,'Room Info'!$E$2:$E3446, 0)),if(G348='Room Info'!$F$1, INDEX('Room Info'!$A$2:$A3446, MATCH(B348,'Room Info'!$F$2:$F3446, 0)),if(G348='Room Info'!$H$1, INDEX('Room Info'!$A$2:$A3446, MATCH(B348,'Room Info'!$H$2:$H3446, 0)),if(G348='Room Info'!$G$1, INDEX('Room Info'!$A$2:$A3446, MATCH(B348,'Room Info'!$G$2:$G3446, 0)))))))))</f>
        <v>Kiss4money99</v>
      </c>
      <c r="B348" s="50" t="s">
        <v>166</v>
      </c>
      <c r="C348" s="51">
        <v>44613.0</v>
      </c>
      <c r="D348" s="51">
        <v>44640.0</v>
      </c>
      <c r="E348" s="52">
        <v>44621.0</v>
      </c>
      <c r="F348" s="53" t="s">
        <v>4</v>
      </c>
      <c r="G348" s="50" t="s">
        <v>5</v>
      </c>
      <c r="H348" s="54" t="s">
        <v>45</v>
      </c>
      <c r="I348" s="54" t="s">
        <v>7</v>
      </c>
      <c r="J348" s="75">
        <v>10.0</v>
      </c>
      <c r="K348" s="76">
        <v>308.0</v>
      </c>
      <c r="L348" s="77">
        <v>-250.0</v>
      </c>
      <c r="M348" s="58">
        <v>40.0</v>
      </c>
      <c r="N348" s="33">
        <f t="shared" si="13"/>
        <v>3080</v>
      </c>
      <c r="O348" s="50">
        <v>11920.0</v>
      </c>
      <c r="P348" s="34">
        <f t="shared" si="14"/>
        <v>38.7012987</v>
      </c>
      <c r="Q348" s="60"/>
      <c r="R348" s="36">
        <f t="shared" si="45"/>
        <v>40</v>
      </c>
      <c r="S348" s="78">
        <v>-12.0</v>
      </c>
      <c r="T348" s="37">
        <f t="shared" si="46"/>
        <v>28</v>
      </c>
      <c r="U348" s="62">
        <v>1.0</v>
      </c>
      <c r="V348" s="74">
        <v>5.383752803388986</v>
      </c>
      <c r="W348" s="74">
        <v>221.22115251099282</v>
      </c>
      <c r="X348" s="35">
        <f t="shared" si="55"/>
        <v>0.25</v>
      </c>
      <c r="Y348" s="35">
        <f t="shared" si="56"/>
        <v>0</v>
      </c>
      <c r="Z348" s="40">
        <f t="shared" si="57"/>
        <v>21</v>
      </c>
      <c r="AA348" s="34">
        <f t="shared" si="58"/>
        <v>7</v>
      </c>
      <c r="AB348" s="41">
        <f t="shared" si="49"/>
        <v>0</v>
      </c>
      <c r="AC348" s="42" t="b">
        <v>1</v>
      </c>
      <c r="AD348" s="42" t="s">
        <v>138</v>
      </c>
      <c r="AE348" s="42" t="s">
        <v>138</v>
      </c>
      <c r="AF348" s="42" t="str">
        <f t="array" ref="AF348">INDEX('Deal Info'!D:D, MATCH(A348,'Deal Info'!A:A, 0))</f>
        <v>SF</v>
      </c>
      <c r="AG348" s="43" t="str">
        <f t="array" ref="AG348">INDEX('Deal Info'!G:G, MATCH(A348,'Deal Info'!A:A, 0))</f>
        <v>None</v>
      </c>
    </row>
    <row r="349" hidden="1">
      <c r="A349" s="23" t="str">
        <f t="array" ref="A349">if(G349='Room Info'!$B$1, INDEX('Room Info'!$A$2:$A3446, MATCH(B349,'Room Info'!$B$2:$B3446, 0)),if(G349='Room Info'!$C$1, INDEX('Room Info'!$A$2:$A3446, MATCH(B349,'Room Info'!$C$2:$C3446, 0)),if(G349='Room Info'!$D$1, INDEX('Room Info'!$A$2:$A3446, MATCH(B349,'Room Info'!$D$2:$D3446, 0)),if(G349='Room Info'!$E$1, INDEX('Room Info'!$A$2:$A3446, MATCH(B349,'Room Info'!$E$2:$E3446, 0)),if(G349='Room Info'!$F$1, INDEX('Room Info'!$A$2:$A3446, MATCH(B349,'Room Info'!$F$2:$F3446, 0)),if(G349='Room Info'!$H$1, INDEX('Room Info'!$A$2:$A3446, MATCH(B349,'Room Info'!$H$2:$H3446, 0)),if(G349='Room Info'!$G$1, INDEX('Room Info'!$A$2:$A3446, MATCH(B349,'Room Info'!$G$2:$G3446, 0)))))))))</f>
        <v>Kiss4money99</v>
      </c>
      <c r="B349" s="50" t="s">
        <v>166</v>
      </c>
      <c r="C349" s="51">
        <v>44641.0</v>
      </c>
      <c r="D349" s="51">
        <v>44671.0</v>
      </c>
      <c r="E349" s="52">
        <v>44652.0</v>
      </c>
      <c r="F349" s="53" t="s">
        <v>4</v>
      </c>
      <c r="G349" s="50" t="s">
        <v>5</v>
      </c>
      <c r="H349" s="54" t="s">
        <v>35</v>
      </c>
      <c r="I349" s="54" t="s">
        <v>7</v>
      </c>
      <c r="J349" s="75">
        <v>5.0</v>
      </c>
      <c r="K349" s="76">
        <v>3.0</v>
      </c>
      <c r="L349" s="77">
        <v>-15.0</v>
      </c>
      <c r="M349" s="58">
        <v>1.0</v>
      </c>
      <c r="N349" s="33">
        <f t="shared" si="13"/>
        <v>15</v>
      </c>
      <c r="O349" s="50">
        <v>262.0</v>
      </c>
      <c r="P349" s="34">
        <f t="shared" si="14"/>
        <v>87.33333333</v>
      </c>
      <c r="Q349" s="60"/>
      <c r="R349" s="36">
        <f t="shared" si="45"/>
        <v>1</v>
      </c>
      <c r="S349" s="78">
        <v>1.0</v>
      </c>
      <c r="T349" s="37">
        <f t="shared" si="46"/>
        <v>2</v>
      </c>
      <c r="U349" s="62">
        <v>1.0</v>
      </c>
      <c r="V349" s="74">
        <v>9.993270524899058</v>
      </c>
      <c r="W349" s="74">
        <v>166.1117845117845</v>
      </c>
      <c r="X349" s="35">
        <f t="shared" si="55"/>
        <v>0.25</v>
      </c>
      <c r="Y349" s="35">
        <f t="shared" si="56"/>
        <v>0</v>
      </c>
      <c r="Z349" s="40">
        <f t="shared" si="57"/>
        <v>1.5</v>
      </c>
      <c r="AA349" s="34">
        <f t="shared" si="58"/>
        <v>0.5</v>
      </c>
      <c r="AB349" s="41">
        <f t="shared" si="49"/>
        <v>0</v>
      </c>
      <c r="AC349" s="42" t="b">
        <v>1</v>
      </c>
      <c r="AD349" s="42" t="s">
        <v>138</v>
      </c>
      <c r="AE349" s="42" t="s">
        <v>138</v>
      </c>
      <c r="AF349" s="42" t="str">
        <f t="array" ref="AF349">INDEX('Deal Info'!D:D, MATCH(A349,'Deal Info'!A:A, 0))</f>
        <v>SF</v>
      </c>
      <c r="AG349" s="43" t="str">
        <f t="array" ref="AG349">INDEX('Deal Info'!G:G, MATCH(A349,'Deal Info'!A:A, 0))</f>
        <v>None</v>
      </c>
    </row>
    <row r="350" hidden="1">
      <c r="A350" s="23" t="str">
        <f t="array" ref="A350">if(G350='Room Info'!$B$1, INDEX('Room Info'!$A$2:$A3446, MATCH(B350,'Room Info'!$B$2:$B3446, 0)),if(G350='Room Info'!$C$1, INDEX('Room Info'!$A$2:$A3446, MATCH(B350,'Room Info'!$C$2:$C3446, 0)),if(G350='Room Info'!$D$1, INDEX('Room Info'!$A$2:$A3446, MATCH(B350,'Room Info'!$D$2:$D3446, 0)),if(G350='Room Info'!$E$1, INDEX('Room Info'!$A$2:$A3446, MATCH(B350,'Room Info'!$E$2:$E3446, 0)),if(G350='Room Info'!$F$1, INDEX('Room Info'!$A$2:$A3446, MATCH(B350,'Room Info'!$F$2:$F3446, 0)),if(G350='Room Info'!$H$1, INDEX('Room Info'!$A$2:$A3446, MATCH(B350,'Room Info'!$H$2:$H3446, 0)),if(G350='Room Info'!$G$1, INDEX('Room Info'!$A$2:$A3446, MATCH(B350,'Room Info'!$G$2:$G3446, 0)))))))))</f>
        <v>Kiss4money99</v>
      </c>
      <c r="B350" s="50" t="s">
        <v>166</v>
      </c>
      <c r="C350" s="51">
        <v>44641.0</v>
      </c>
      <c r="D350" s="51">
        <v>44671.0</v>
      </c>
      <c r="E350" s="52">
        <v>44652.0</v>
      </c>
      <c r="F350" s="53" t="s">
        <v>4</v>
      </c>
      <c r="G350" s="50" t="s">
        <v>5</v>
      </c>
      <c r="H350" s="54" t="s">
        <v>45</v>
      </c>
      <c r="I350" s="54" t="s">
        <v>7</v>
      </c>
      <c r="J350" s="75">
        <v>10.0</v>
      </c>
      <c r="K350" s="76">
        <v>2226.0</v>
      </c>
      <c r="L350" s="77">
        <v>-30.0</v>
      </c>
      <c r="M350" s="58">
        <v>1104.0</v>
      </c>
      <c r="N350" s="33">
        <f t="shared" si="13"/>
        <v>22260</v>
      </c>
      <c r="O350" s="50">
        <v>116093.0</v>
      </c>
      <c r="P350" s="34">
        <f t="shared" si="14"/>
        <v>52.15318958</v>
      </c>
      <c r="Q350" s="60"/>
      <c r="R350" s="36">
        <f t="shared" si="45"/>
        <v>1104</v>
      </c>
      <c r="S350" s="78">
        <v>554.0</v>
      </c>
      <c r="T350" s="37">
        <f t="shared" si="46"/>
        <v>1658</v>
      </c>
      <c r="U350" s="62">
        <v>1.0</v>
      </c>
      <c r="V350" s="74">
        <v>9.993270524899058</v>
      </c>
      <c r="W350" s="74">
        <v>166.1117845117845</v>
      </c>
      <c r="X350" s="35">
        <f t="shared" si="55"/>
        <v>0.25</v>
      </c>
      <c r="Y350" s="35">
        <f t="shared" si="56"/>
        <v>0</v>
      </c>
      <c r="Z350" s="40">
        <f t="shared" si="57"/>
        <v>1243.5</v>
      </c>
      <c r="AA350" s="34">
        <f t="shared" si="58"/>
        <v>414.5</v>
      </c>
      <c r="AB350" s="41">
        <f t="shared" si="49"/>
        <v>0</v>
      </c>
      <c r="AC350" s="42" t="b">
        <v>1</v>
      </c>
      <c r="AD350" s="42" t="s">
        <v>138</v>
      </c>
      <c r="AE350" s="42" t="s">
        <v>138</v>
      </c>
      <c r="AF350" s="42" t="str">
        <f t="array" ref="AF350">INDEX('Deal Info'!D:D, MATCH(A350,'Deal Info'!A:A, 0))</f>
        <v>SF</v>
      </c>
      <c r="AG350" s="43" t="str">
        <f t="array" ref="AG350">INDEX('Deal Info'!G:G, MATCH(A350,'Deal Info'!A:A, 0))</f>
        <v>None</v>
      </c>
    </row>
    <row r="351" hidden="1">
      <c r="A351" s="23" t="str">
        <f t="array" ref="A351">if(G351='Room Info'!$B$1, INDEX('Room Info'!$A$2:$A3446, MATCH(B351,'Room Info'!$B$2:$B3446, 0)),if(G351='Room Info'!$C$1, INDEX('Room Info'!$A$2:$A3446, MATCH(B351,'Room Info'!$C$2:$C3446, 0)),if(G351='Room Info'!$D$1, INDEX('Room Info'!$A$2:$A3446, MATCH(B351,'Room Info'!$D$2:$D3446, 0)),if(G351='Room Info'!$E$1, INDEX('Room Info'!$A$2:$A3446, MATCH(B351,'Room Info'!$E$2:$E3446, 0)),if(G351='Room Info'!$F$1, INDEX('Room Info'!$A$2:$A3446, MATCH(B351,'Room Info'!$F$2:$F3446, 0)),if(G351='Room Info'!$H$1, INDEX('Room Info'!$A$2:$A3446, MATCH(B351,'Room Info'!$H$2:$H3446, 0)),if(G351='Room Info'!$G$1, INDEX('Room Info'!$A$2:$A3446, MATCH(B351,'Room Info'!$G$2:$G3446, 0)))))))))</f>
        <v>Kiss4money99</v>
      </c>
      <c r="B351" s="50" t="s">
        <v>166</v>
      </c>
      <c r="C351" s="51">
        <v>44672.0</v>
      </c>
      <c r="D351" s="51">
        <v>44701.0</v>
      </c>
      <c r="E351" s="52">
        <v>44682.0</v>
      </c>
      <c r="F351" s="53" t="s">
        <v>4</v>
      </c>
      <c r="G351" s="50" t="s">
        <v>5</v>
      </c>
      <c r="H351" s="54" t="s">
        <v>35</v>
      </c>
      <c r="I351" s="54" t="s">
        <v>7</v>
      </c>
      <c r="J351" s="75">
        <v>5.0</v>
      </c>
      <c r="K351" s="76">
        <v>2.0</v>
      </c>
      <c r="L351" s="77">
        <v>15.0</v>
      </c>
      <c r="M351" s="58">
        <v>1.0</v>
      </c>
      <c r="N351" s="33">
        <f t="shared" si="13"/>
        <v>10</v>
      </c>
      <c r="O351" s="50">
        <v>1385.0</v>
      </c>
      <c r="P351" s="34">
        <f t="shared" si="14"/>
        <v>692.5</v>
      </c>
      <c r="Q351" s="60"/>
      <c r="R351" s="36">
        <f t="shared" si="45"/>
        <v>1</v>
      </c>
      <c r="S351" s="78">
        <v>12.0</v>
      </c>
      <c r="T351" s="37">
        <f t="shared" si="46"/>
        <v>13</v>
      </c>
      <c r="U351" s="62">
        <v>1.0</v>
      </c>
      <c r="V351" s="74">
        <v>9.996375498368975</v>
      </c>
      <c r="W351" s="74">
        <v>251.79126178390135</v>
      </c>
      <c r="X351" s="35">
        <f t="shared" si="55"/>
        <v>0.25</v>
      </c>
      <c r="Y351" s="35">
        <f t="shared" si="56"/>
        <v>0</v>
      </c>
      <c r="Z351" s="40">
        <f t="shared" si="57"/>
        <v>9.75</v>
      </c>
      <c r="AA351" s="34">
        <f t="shared" si="58"/>
        <v>3.25</v>
      </c>
      <c r="AB351" s="41">
        <f t="shared" si="49"/>
        <v>0</v>
      </c>
      <c r="AC351" s="42" t="b">
        <v>1</v>
      </c>
      <c r="AD351" s="42" t="s">
        <v>138</v>
      </c>
      <c r="AE351" s="42" t="s">
        <v>138</v>
      </c>
      <c r="AF351" s="42" t="str">
        <f t="array" ref="AF351">INDEX('Deal Info'!D:D, MATCH(A351,'Deal Info'!A:A, 0))</f>
        <v>SF</v>
      </c>
      <c r="AG351" s="43" t="str">
        <f t="array" ref="AG351">INDEX('Deal Info'!G:G, MATCH(A351,'Deal Info'!A:A, 0))</f>
        <v>None</v>
      </c>
    </row>
    <row r="352" hidden="1">
      <c r="A352" s="23" t="str">
        <f t="array" ref="A352">if(G352='Room Info'!$B$1, INDEX('Room Info'!$A$2:$A3446, MATCH(B352,'Room Info'!$B$2:$B3446, 0)),if(G352='Room Info'!$C$1, INDEX('Room Info'!$A$2:$A3446, MATCH(B352,'Room Info'!$C$2:$C3446, 0)),if(G352='Room Info'!$D$1, INDEX('Room Info'!$A$2:$A3446, MATCH(B352,'Room Info'!$D$2:$D3446, 0)),if(G352='Room Info'!$E$1, INDEX('Room Info'!$A$2:$A3446, MATCH(B352,'Room Info'!$E$2:$E3446, 0)),if(G352='Room Info'!$F$1, INDEX('Room Info'!$A$2:$A3446, MATCH(B352,'Room Info'!$F$2:$F3446, 0)),if(G352='Room Info'!$H$1, INDEX('Room Info'!$A$2:$A3446, MATCH(B352,'Room Info'!$H$2:$H3446, 0)),if(G352='Room Info'!$G$1, INDEX('Room Info'!$A$2:$A3446, MATCH(B352,'Room Info'!$G$2:$G3446, 0)))))))))</f>
        <v>Kiss4money99</v>
      </c>
      <c r="B352" s="50" t="s">
        <v>166</v>
      </c>
      <c r="C352" s="51">
        <v>44672.0</v>
      </c>
      <c r="D352" s="51">
        <v>44701.0</v>
      </c>
      <c r="E352" s="52">
        <v>44682.0</v>
      </c>
      <c r="F352" s="53" t="s">
        <v>4</v>
      </c>
      <c r="G352" s="50" t="s">
        <v>5</v>
      </c>
      <c r="H352" s="54" t="s">
        <v>45</v>
      </c>
      <c r="I352" s="54" t="s">
        <v>7</v>
      </c>
      <c r="J352" s="75">
        <v>10.0</v>
      </c>
      <c r="K352" s="76">
        <v>2757.0</v>
      </c>
      <c r="L352" s="77">
        <v>200.0</v>
      </c>
      <c r="M352" s="58">
        <v>1503.0</v>
      </c>
      <c r="N352" s="33">
        <f t="shared" si="13"/>
        <v>27570</v>
      </c>
      <c r="O352" s="50">
        <v>164495.0</v>
      </c>
      <c r="P352" s="34">
        <f t="shared" si="14"/>
        <v>59.66449039</v>
      </c>
      <c r="Q352" s="60"/>
      <c r="R352" s="36">
        <f t="shared" si="45"/>
        <v>1503</v>
      </c>
      <c r="S352" s="78">
        <v>1001.0</v>
      </c>
      <c r="T352" s="37">
        <f t="shared" si="46"/>
        <v>2504</v>
      </c>
      <c r="U352" s="62">
        <v>1.0</v>
      </c>
      <c r="V352" s="74">
        <v>9.996375498368975</v>
      </c>
      <c r="W352" s="74">
        <v>251.79126178390135</v>
      </c>
      <c r="X352" s="35">
        <f t="shared" si="55"/>
        <v>0.25</v>
      </c>
      <c r="Y352" s="35">
        <f t="shared" si="56"/>
        <v>0</v>
      </c>
      <c r="Z352" s="40">
        <f t="shared" si="57"/>
        <v>1878</v>
      </c>
      <c r="AA352" s="34">
        <f t="shared" si="58"/>
        <v>626</v>
      </c>
      <c r="AB352" s="41">
        <f t="shared" si="49"/>
        <v>0</v>
      </c>
      <c r="AC352" s="42" t="b">
        <v>1</v>
      </c>
      <c r="AD352" s="42" t="s">
        <v>138</v>
      </c>
      <c r="AE352" s="42" t="s">
        <v>138</v>
      </c>
      <c r="AF352" s="42" t="str">
        <f t="array" ref="AF352">INDEX('Deal Info'!D:D, MATCH(A352,'Deal Info'!A:A, 0))</f>
        <v>SF</v>
      </c>
      <c r="AG352" s="43" t="str">
        <f t="array" ref="AG352">INDEX('Deal Info'!G:G, MATCH(A352,'Deal Info'!A:A, 0))</f>
        <v>None</v>
      </c>
    </row>
    <row r="353" hidden="1">
      <c r="A353" s="23" t="str">
        <f t="array" ref="A353">if(G353='Room Info'!$B$1, INDEX('Room Info'!$A$2:$A3446, MATCH(B353,'Room Info'!$B$2:$B3446, 0)),if(G353='Room Info'!$C$1, INDEX('Room Info'!$A$2:$A3446, MATCH(B353,'Room Info'!$C$2:$C3446, 0)),if(G353='Room Info'!$D$1, INDEX('Room Info'!$A$2:$A3446, MATCH(B353,'Room Info'!$D$2:$D3446, 0)),if(G353='Room Info'!$E$1, INDEX('Room Info'!$A$2:$A3446, MATCH(B353,'Room Info'!$E$2:$E3446, 0)),if(G353='Room Info'!$F$1, INDEX('Room Info'!$A$2:$A3446, MATCH(B353,'Room Info'!$F$2:$F3446, 0)),if(G353='Room Info'!$H$1, INDEX('Room Info'!$A$2:$A3446, MATCH(B353,'Room Info'!$H$2:$H3446, 0)),if(G353='Room Info'!$G$1, INDEX('Room Info'!$A$2:$A3446, MATCH(B353,'Room Info'!$G$2:$G3446, 0)))))))))</f>
        <v>Kiss4money99</v>
      </c>
      <c r="B353" s="50" t="s">
        <v>166</v>
      </c>
      <c r="C353" s="51">
        <v>44702.0</v>
      </c>
      <c r="D353" s="51">
        <v>44732.0</v>
      </c>
      <c r="E353" s="52">
        <v>44713.0</v>
      </c>
      <c r="F353" s="53" t="s">
        <v>4</v>
      </c>
      <c r="G353" s="50" t="s">
        <v>5</v>
      </c>
      <c r="H353" s="54" t="s">
        <v>45</v>
      </c>
      <c r="I353" s="54" t="s">
        <v>7</v>
      </c>
      <c r="J353" s="75">
        <v>10.0</v>
      </c>
      <c r="K353" s="76">
        <v>4647.0</v>
      </c>
      <c r="L353" s="77">
        <v>-290.0</v>
      </c>
      <c r="M353" s="58">
        <v>2900.0</v>
      </c>
      <c r="N353" s="33">
        <f t="shared" si="13"/>
        <v>46470</v>
      </c>
      <c r="O353" s="50">
        <v>217602.0</v>
      </c>
      <c r="P353" s="34">
        <f t="shared" si="14"/>
        <v>46.82633957</v>
      </c>
      <c r="Q353" s="60"/>
      <c r="R353" s="36">
        <f t="shared" si="45"/>
        <v>2900</v>
      </c>
      <c r="S353" s="78">
        <v>633.0</v>
      </c>
      <c r="T353" s="37">
        <f t="shared" si="46"/>
        <v>3533</v>
      </c>
      <c r="U353" s="62">
        <v>1.0</v>
      </c>
      <c r="V353" s="74">
        <v>10.0</v>
      </c>
      <c r="W353" s="74">
        <v>353.3</v>
      </c>
      <c r="X353" s="35">
        <f t="shared" si="55"/>
        <v>0.25</v>
      </c>
      <c r="Y353" s="35">
        <f t="shared" si="56"/>
        <v>0</v>
      </c>
      <c r="Z353" s="40">
        <f t="shared" si="57"/>
        <v>2649.75</v>
      </c>
      <c r="AA353" s="34">
        <f t="shared" si="58"/>
        <v>883.25</v>
      </c>
      <c r="AB353" s="41">
        <f t="shared" si="49"/>
        <v>0</v>
      </c>
      <c r="AC353" s="42" t="b">
        <v>1</v>
      </c>
      <c r="AD353" s="42" t="s">
        <v>138</v>
      </c>
      <c r="AE353" s="42" t="s">
        <v>138</v>
      </c>
      <c r="AF353" s="42" t="str">
        <f t="array" ref="AF353">INDEX('Deal Info'!D:D, MATCH(A353,'Deal Info'!A:A, 0))</f>
        <v>SF</v>
      </c>
      <c r="AG353" s="43" t="str">
        <f t="array" ref="AG353">INDEX('Deal Info'!G:G, MATCH(A353,'Deal Info'!A:A, 0))</f>
        <v>None</v>
      </c>
    </row>
    <row r="354" hidden="1">
      <c r="A354" s="23" t="str">
        <f t="array" ref="A354">if(G354='Room Info'!$B$1, INDEX('Room Info'!$A$2:$A3446, MATCH(B354,'Room Info'!$B$2:$B3446, 0)),if(G354='Room Info'!$C$1, INDEX('Room Info'!$A$2:$A3446, MATCH(B354,'Room Info'!$C$2:$C3446, 0)),if(G354='Room Info'!$D$1, INDEX('Room Info'!$A$2:$A3446, MATCH(B354,'Room Info'!$D$2:$D3446, 0)),if(G354='Room Info'!$E$1, INDEX('Room Info'!$A$2:$A3446, MATCH(B354,'Room Info'!$E$2:$E3446, 0)),if(G354='Room Info'!$F$1, INDEX('Room Info'!$A$2:$A3446, MATCH(B354,'Room Info'!$F$2:$F3446, 0)),if(G354='Room Info'!$H$1, INDEX('Room Info'!$A$2:$A3446, MATCH(B354,'Room Info'!$H$2:$H3446, 0)),if(G354='Room Info'!$G$1, INDEX('Room Info'!$A$2:$A3446, MATCH(B354,'Room Info'!$G$2:$G3446, 0)))))))))</f>
        <v>Kiss4money99</v>
      </c>
      <c r="B354" s="50" t="s">
        <v>166</v>
      </c>
      <c r="C354" s="51">
        <v>44733.0</v>
      </c>
      <c r="D354" s="51">
        <v>44762.0</v>
      </c>
      <c r="E354" s="52">
        <v>44743.0</v>
      </c>
      <c r="F354" s="53" t="s">
        <v>4</v>
      </c>
      <c r="G354" s="50" t="s">
        <v>5</v>
      </c>
      <c r="H354" s="54" t="s">
        <v>35</v>
      </c>
      <c r="I354" s="54" t="s">
        <v>7</v>
      </c>
      <c r="J354" s="75">
        <v>5.0</v>
      </c>
      <c r="K354" s="76">
        <v>35.0</v>
      </c>
      <c r="L354" s="77">
        <v>-5.0</v>
      </c>
      <c r="M354" s="58">
        <v>8.0</v>
      </c>
      <c r="N354" s="33">
        <f t="shared" si="13"/>
        <v>175</v>
      </c>
      <c r="O354" s="50">
        <v>3533.0</v>
      </c>
      <c r="P354" s="34">
        <f t="shared" si="14"/>
        <v>100.9428571</v>
      </c>
      <c r="Q354" s="60"/>
      <c r="R354" s="36">
        <f t="shared" si="45"/>
        <v>8</v>
      </c>
      <c r="S354" s="78">
        <v>16.0</v>
      </c>
      <c r="T354" s="37">
        <f t="shared" si="46"/>
        <v>24</v>
      </c>
      <c r="U354" s="62">
        <v>1.0</v>
      </c>
      <c r="V354" s="74">
        <v>24.536822603056972</v>
      </c>
      <c r="W354" s="74">
        <v>44.01547899952808</v>
      </c>
      <c r="X354" s="35">
        <f t="shared" si="55"/>
        <v>0.3</v>
      </c>
      <c r="Y354" s="35">
        <f t="shared" si="56"/>
        <v>0</v>
      </c>
      <c r="Z354" s="40">
        <f t="shared" si="57"/>
        <v>19</v>
      </c>
      <c r="AA354" s="34">
        <v>5.0</v>
      </c>
      <c r="AB354" s="41">
        <f t="shared" si="49"/>
        <v>0</v>
      </c>
      <c r="AC354" s="42" t="b">
        <v>0</v>
      </c>
      <c r="AD354" s="42" t="s">
        <v>138</v>
      </c>
      <c r="AE354" s="42" t="s">
        <v>138</v>
      </c>
      <c r="AF354" s="42" t="str">
        <f t="array" ref="AF354">INDEX('Deal Info'!D:D, MATCH(A354,'Deal Info'!A:A, 0))</f>
        <v>SF</v>
      </c>
      <c r="AG354" s="43" t="str">
        <f t="array" ref="AG354">INDEX('Deal Info'!G:G, MATCH(A354,'Deal Info'!A:A, 0))</f>
        <v>None</v>
      </c>
    </row>
    <row r="355" hidden="1">
      <c r="A355" s="23" t="str">
        <f t="array" ref="A355">if(G355='Room Info'!$B$1, INDEX('Room Info'!$A$2:$A3446, MATCH(B355,'Room Info'!$B$2:$B3446, 0)),if(G355='Room Info'!$C$1, INDEX('Room Info'!$A$2:$A3446, MATCH(B355,'Room Info'!$C$2:$C3446, 0)),if(G355='Room Info'!$D$1, INDEX('Room Info'!$A$2:$A3446, MATCH(B355,'Room Info'!$D$2:$D3446, 0)),if(G355='Room Info'!$E$1, INDEX('Room Info'!$A$2:$A3446, MATCH(B355,'Room Info'!$E$2:$E3446, 0)),if(G355='Room Info'!$F$1, INDEX('Room Info'!$A$2:$A3446, MATCH(B355,'Room Info'!$F$2:$F3446, 0)),if(G355='Room Info'!$H$1, INDEX('Room Info'!$A$2:$A3446, MATCH(B355,'Room Info'!$H$2:$H3446, 0)),if(G355='Room Info'!$G$1, INDEX('Room Info'!$A$2:$A3446, MATCH(B355,'Room Info'!$G$2:$G3446, 0)))))))))</f>
        <v>Kiss4money99</v>
      </c>
      <c r="B355" s="50" t="s">
        <v>166</v>
      </c>
      <c r="C355" s="51">
        <v>44733.0</v>
      </c>
      <c r="D355" s="51">
        <v>44762.0</v>
      </c>
      <c r="E355" s="52">
        <v>44743.0</v>
      </c>
      <c r="F355" s="50" t="s">
        <v>4</v>
      </c>
      <c r="G355" s="50" t="s">
        <v>5</v>
      </c>
      <c r="H355" s="54" t="s">
        <v>45</v>
      </c>
      <c r="I355" s="54" t="s">
        <v>7</v>
      </c>
      <c r="J355" s="75">
        <v>10.0</v>
      </c>
      <c r="K355" s="76">
        <v>20.0</v>
      </c>
      <c r="L355" s="57">
        <v>20.0</v>
      </c>
      <c r="M355" s="58">
        <v>8.0</v>
      </c>
      <c r="N355" s="33">
        <f t="shared" si="13"/>
        <v>200</v>
      </c>
      <c r="O355" s="59">
        <v>3037.0</v>
      </c>
      <c r="P355" s="34">
        <f t="shared" si="14"/>
        <v>151.85</v>
      </c>
      <c r="Q355" s="60"/>
      <c r="R355" s="36">
        <f t="shared" si="45"/>
        <v>8</v>
      </c>
      <c r="S355" s="61">
        <v>41.0</v>
      </c>
      <c r="T355" s="37">
        <f t="shared" si="46"/>
        <v>49</v>
      </c>
      <c r="U355" s="62">
        <v>1.0</v>
      </c>
      <c r="V355" s="74">
        <v>24.536822603056972</v>
      </c>
      <c r="W355" s="74">
        <v>44.01547899952808</v>
      </c>
      <c r="X355" s="35">
        <f t="shared" si="55"/>
        <v>0.3</v>
      </c>
      <c r="Y355" s="35">
        <f t="shared" si="56"/>
        <v>0</v>
      </c>
      <c r="Z355" s="40">
        <f t="shared" si="57"/>
        <v>38</v>
      </c>
      <c r="AA355" s="34">
        <v>11.0</v>
      </c>
      <c r="AB355" s="41">
        <f t="shared" si="49"/>
        <v>0</v>
      </c>
      <c r="AC355" s="42" t="b">
        <v>0</v>
      </c>
      <c r="AD355" s="42" t="s">
        <v>138</v>
      </c>
      <c r="AE355" s="42" t="s">
        <v>138</v>
      </c>
      <c r="AF355" s="42" t="str">
        <f t="array" ref="AF355">INDEX('Deal Info'!D:D, MATCH(A355,'Deal Info'!A:A, 0))</f>
        <v>SF</v>
      </c>
      <c r="AG355" s="43" t="str">
        <f t="array" ref="AG355">INDEX('Deal Info'!G:G, MATCH(A355,'Deal Info'!A:A, 0))</f>
        <v>None</v>
      </c>
    </row>
    <row r="356" hidden="1">
      <c r="A356" s="23" t="str">
        <f t="array" ref="A356">if(G356='Room Info'!$B$1, INDEX('Room Info'!$A$2:$A3446, MATCH(B356,'Room Info'!$B$2:$B3446, 0)),if(G356='Room Info'!$C$1, INDEX('Room Info'!$A$2:$A3446, MATCH(B356,'Room Info'!$C$2:$C3446, 0)),if(G356='Room Info'!$D$1, INDEX('Room Info'!$A$2:$A3446, MATCH(B356,'Room Info'!$D$2:$D3446, 0)),if(G356='Room Info'!$E$1, INDEX('Room Info'!$A$2:$A3446, MATCH(B356,'Room Info'!$E$2:$E3446, 0)),if(G356='Room Info'!$F$1, INDEX('Room Info'!$A$2:$A3446, MATCH(B356,'Room Info'!$F$2:$F3446, 0)),if(G356='Room Info'!$H$1, INDEX('Room Info'!$A$2:$A3446, MATCH(B356,'Room Info'!$H$2:$H3446, 0)),if(G356='Room Info'!$G$1, INDEX('Room Info'!$A$2:$A3446, MATCH(B356,'Room Info'!$G$2:$G3446, 0)))))))))</f>
        <v>Kiss4money99</v>
      </c>
      <c r="B356" s="50" t="s">
        <v>166</v>
      </c>
      <c r="C356" s="51">
        <v>44733.0</v>
      </c>
      <c r="D356" s="51">
        <v>44762.0</v>
      </c>
      <c r="E356" s="52">
        <v>44743.0</v>
      </c>
      <c r="F356" s="53" t="s">
        <v>4</v>
      </c>
      <c r="G356" s="50" t="s">
        <v>5</v>
      </c>
      <c r="H356" s="54" t="s">
        <v>62</v>
      </c>
      <c r="I356" s="54" t="s">
        <v>7</v>
      </c>
      <c r="J356" s="75">
        <v>25.0</v>
      </c>
      <c r="K356" s="76">
        <v>2104.0</v>
      </c>
      <c r="L356" s="57">
        <v>-2100.0</v>
      </c>
      <c r="M356" s="58">
        <v>1848.0</v>
      </c>
      <c r="N356" s="33">
        <f t="shared" si="13"/>
        <v>52600</v>
      </c>
      <c r="O356" s="59">
        <v>55996.0</v>
      </c>
      <c r="P356" s="34">
        <f t="shared" si="14"/>
        <v>26.61406844</v>
      </c>
      <c r="Q356" s="60"/>
      <c r="R356" s="36">
        <f t="shared" si="45"/>
        <v>1848</v>
      </c>
      <c r="S356" s="61">
        <v>-841.0</v>
      </c>
      <c r="T356" s="37">
        <f t="shared" si="46"/>
        <v>1007</v>
      </c>
      <c r="U356" s="62">
        <v>1.0</v>
      </c>
      <c r="V356" s="74">
        <v>24.536822603056972</v>
      </c>
      <c r="W356" s="74">
        <v>44.01547899952808</v>
      </c>
      <c r="X356" s="35">
        <f t="shared" si="55"/>
        <v>0.3</v>
      </c>
      <c r="Y356" s="35">
        <f t="shared" si="56"/>
        <v>0</v>
      </c>
      <c r="Z356" s="40">
        <f t="shared" si="57"/>
        <v>785</v>
      </c>
      <c r="AA356" s="34">
        <v>222.0</v>
      </c>
      <c r="AB356" s="41">
        <f t="shared" si="49"/>
        <v>0</v>
      </c>
      <c r="AC356" s="42" t="b">
        <v>0</v>
      </c>
      <c r="AD356" s="42" t="s">
        <v>138</v>
      </c>
      <c r="AE356" s="42" t="s">
        <v>138</v>
      </c>
      <c r="AF356" s="42" t="str">
        <f t="array" ref="AF356">INDEX('Deal Info'!D:D, MATCH(A356,'Deal Info'!A:A, 0))</f>
        <v>SF</v>
      </c>
      <c r="AG356" s="43" t="str">
        <f t="array" ref="AG356">INDEX('Deal Info'!G:G, MATCH(A356,'Deal Info'!A:A, 0))</f>
        <v>None</v>
      </c>
    </row>
    <row r="357" hidden="1">
      <c r="A357" s="23" t="str">
        <f t="array" ref="A357">if(G357='Room Info'!$B$1, INDEX('Room Info'!$A$2:$A3446, MATCH(B357,'Room Info'!$B$2:$B3446, 0)),if(G357='Room Info'!$C$1, INDEX('Room Info'!$A$2:$A3446, MATCH(B357,'Room Info'!$C$2:$C3446, 0)),if(G357='Room Info'!$D$1, INDEX('Room Info'!$A$2:$A3446, MATCH(B357,'Room Info'!$D$2:$D3446, 0)),if(G357='Room Info'!$E$1, INDEX('Room Info'!$A$2:$A3446, MATCH(B357,'Room Info'!$E$2:$E3446, 0)),if(G357='Room Info'!$F$1, INDEX('Room Info'!$A$2:$A3446, MATCH(B357,'Room Info'!$F$2:$F3446, 0)),if(G357='Room Info'!$H$1, INDEX('Room Info'!$A$2:$A3446, MATCH(B357,'Room Info'!$H$2:$H3446, 0)),if(G357='Room Info'!$G$1, INDEX('Room Info'!$A$2:$A3446, MATCH(B357,'Room Info'!$G$2:$G3446, 0)))))))))</f>
        <v>Kiss4money99</v>
      </c>
      <c r="B357" s="50" t="s">
        <v>166</v>
      </c>
      <c r="C357" s="51">
        <v>44763.0</v>
      </c>
      <c r="D357" s="51">
        <v>44793.0</v>
      </c>
      <c r="E357" s="52">
        <v>44774.0</v>
      </c>
      <c r="F357" s="53" t="s">
        <v>4</v>
      </c>
      <c r="G357" s="50" t="s">
        <v>5</v>
      </c>
      <c r="H357" s="54" t="s">
        <v>35</v>
      </c>
      <c r="I357" s="54" t="s">
        <v>7</v>
      </c>
      <c r="J357" s="75">
        <v>5.0</v>
      </c>
      <c r="K357" s="76">
        <v>1.0</v>
      </c>
      <c r="L357" s="57">
        <v>-5.0</v>
      </c>
      <c r="M357" s="67"/>
      <c r="N357" s="33">
        <f t="shared" si="13"/>
        <v>5</v>
      </c>
      <c r="O357" s="59">
        <v>-670.0</v>
      </c>
      <c r="P357" s="34">
        <f t="shared" si="14"/>
        <v>-670</v>
      </c>
      <c r="Q357" s="60"/>
      <c r="R357" s="36">
        <f t="shared" si="45"/>
        <v>0</v>
      </c>
      <c r="S357" s="61">
        <v>-6.0</v>
      </c>
      <c r="T357" s="37">
        <f t="shared" si="46"/>
        <v>-6</v>
      </c>
      <c r="U357" s="62">
        <v>1.0</v>
      </c>
      <c r="V357" s="74">
        <v>24.9818676337262</v>
      </c>
      <c r="W357" s="74">
        <v>51.91765559789512</v>
      </c>
      <c r="X357" s="35">
        <f t="shared" si="55"/>
        <v>0.3</v>
      </c>
      <c r="Y357" s="35">
        <f t="shared" si="56"/>
        <v>0</v>
      </c>
      <c r="Z357" s="40">
        <f t="shared" si="57"/>
        <v>-4.2</v>
      </c>
      <c r="AA357" s="34">
        <f t="shared" ref="AA357:AA358" si="59">if(AD357="EUR",((T357-R357)*X357)*U357+(R357*X357),(T357*X357))</f>
        <v>-1.8</v>
      </c>
      <c r="AB357" s="41">
        <f t="shared" si="49"/>
        <v>0</v>
      </c>
      <c r="AC357" s="42" t="b">
        <v>0</v>
      </c>
      <c r="AD357" s="42" t="s">
        <v>138</v>
      </c>
      <c r="AE357" s="42" t="s">
        <v>138</v>
      </c>
      <c r="AF357" s="42" t="str">
        <f t="array" ref="AF357">INDEX('Deal Info'!D:D, MATCH(A357,'Deal Info'!A:A, 0))</f>
        <v>SF</v>
      </c>
      <c r="AG357" s="43" t="str">
        <f t="array" ref="AG357">INDEX('Deal Info'!G:G, MATCH(A357,'Deal Info'!A:A, 0))</f>
        <v>None</v>
      </c>
    </row>
    <row r="358" hidden="1">
      <c r="A358" s="23" t="str">
        <f t="array" ref="A358">if(G358='Room Info'!$B$1, INDEX('Room Info'!$A$2:$A3446, MATCH(B358,'Room Info'!$B$2:$B3446, 0)),if(G358='Room Info'!$C$1, INDEX('Room Info'!$A$2:$A3446, MATCH(B358,'Room Info'!$C$2:$C3446, 0)),if(G358='Room Info'!$D$1, INDEX('Room Info'!$A$2:$A3446, MATCH(B358,'Room Info'!$D$2:$D3446, 0)),if(G358='Room Info'!$E$1, INDEX('Room Info'!$A$2:$A3446, MATCH(B358,'Room Info'!$E$2:$E3446, 0)),if(G358='Room Info'!$F$1, INDEX('Room Info'!$A$2:$A3446, MATCH(B358,'Room Info'!$F$2:$F3446, 0)),if(G358='Room Info'!$H$1, INDEX('Room Info'!$A$2:$A3446, MATCH(B358,'Room Info'!$H$2:$H3446, 0)),if(G358='Room Info'!$G$1, INDEX('Room Info'!$A$2:$A3446, MATCH(B358,'Room Info'!$G$2:$G3446, 0)))))))))</f>
        <v>Kiss4money99</v>
      </c>
      <c r="B358" s="50" t="s">
        <v>166</v>
      </c>
      <c r="C358" s="51">
        <v>44763.0</v>
      </c>
      <c r="D358" s="51">
        <v>44793.0</v>
      </c>
      <c r="E358" s="52">
        <v>44774.0</v>
      </c>
      <c r="F358" s="53" t="s">
        <v>4</v>
      </c>
      <c r="G358" s="50" t="s">
        <v>5</v>
      </c>
      <c r="H358" s="54" t="s">
        <v>62</v>
      </c>
      <c r="I358" s="54" t="s">
        <v>7</v>
      </c>
      <c r="J358" s="75">
        <v>25.0</v>
      </c>
      <c r="K358" s="76">
        <v>1102.0</v>
      </c>
      <c r="L358" s="57">
        <v>225.0</v>
      </c>
      <c r="M358" s="58">
        <v>1255.0</v>
      </c>
      <c r="N358" s="33">
        <f t="shared" si="13"/>
        <v>27550</v>
      </c>
      <c r="O358" s="59">
        <v>36779.0</v>
      </c>
      <c r="P358" s="34">
        <f t="shared" si="14"/>
        <v>33.37477314</v>
      </c>
      <c r="Q358" s="60"/>
      <c r="R358" s="36">
        <f t="shared" si="45"/>
        <v>1255</v>
      </c>
      <c r="S358" s="61">
        <v>-35.0</v>
      </c>
      <c r="T358" s="37">
        <f t="shared" si="46"/>
        <v>1220</v>
      </c>
      <c r="U358" s="62">
        <v>1.0</v>
      </c>
      <c r="V358" s="74">
        <v>24.9818676337262</v>
      </c>
      <c r="W358" s="74">
        <v>51.91765559789512</v>
      </c>
      <c r="X358" s="35">
        <f t="shared" si="55"/>
        <v>0.3</v>
      </c>
      <c r="Y358" s="35">
        <f t="shared" si="56"/>
        <v>0</v>
      </c>
      <c r="Z358" s="40">
        <f t="shared" si="57"/>
        <v>854</v>
      </c>
      <c r="AA358" s="34">
        <f t="shared" si="59"/>
        <v>366</v>
      </c>
      <c r="AB358" s="41">
        <f t="shared" si="49"/>
        <v>0</v>
      </c>
      <c r="AC358" s="42" t="b">
        <v>0</v>
      </c>
      <c r="AD358" s="42" t="s">
        <v>138</v>
      </c>
      <c r="AE358" s="42" t="s">
        <v>138</v>
      </c>
      <c r="AF358" s="42" t="str">
        <f t="array" ref="AF358">INDEX('Deal Info'!D:D, MATCH(A358,'Deal Info'!A:A, 0))</f>
        <v>SF</v>
      </c>
      <c r="AG358" s="43" t="str">
        <f t="array" ref="AG358">INDEX('Deal Info'!G:G, MATCH(A358,'Deal Info'!A:A, 0))</f>
        <v>None</v>
      </c>
    </row>
    <row r="359" hidden="1">
      <c r="A359" s="23" t="str">
        <f t="array" ref="A359">if(G359='Room Info'!$B$1, INDEX('Room Info'!$A$2:$A3446, MATCH(B359,'Room Info'!$B$2:$B3446, 0)),if(G359='Room Info'!$C$1, INDEX('Room Info'!$A$2:$A3446, MATCH(B359,'Room Info'!$C$2:$C3446, 0)),if(G359='Room Info'!$D$1, INDEX('Room Info'!$A$2:$A3446, MATCH(B359,'Room Info'!$D$2:$D3446, 0)),if(G359='Room Info'!$E$1, INDEX('Room Info'!$A$2:$A3446, MATCH(B359,'Room Info'!$E$2:$E3446, 0)),if(G359='Room Info'!$F$1, INDEX('Room Info'!$A$2:$A3446, MATCH(B359,'Room Info'!$F$2:$F3446, 0)),if(G359='Room Info'!$H$1, INDEX('Room Info'!$A$2:$A3446, MATCH(B359,'Room Info'!$H$2:$H3446, 0)),if(G359='Room Info'!$G$1, INDEX('Room Info'!$A$2:$A3446, MATCH(B359,'Room Info'!$G$2:$G3446, 0)))))))))</f>
        <v>Kiss4money99</v>
      </c>
      <c r="B359" s="50" t="s">
        <v>166</v>
      </c>
      <c r="C359" s="51">
        <v>44763.0</v>
      </c>
      <c r="D359" s="51">
        <v>44793.0</v>
      </c>
      <c r="E359" s="52">
        <v>44774.0</v>
      </c>
      <c r="F359" s="53" t="s">
        <v>12</v>
      </c>
      <c r="G359" s="50" t="s">
        <v>5</v>
      </c>
      <c r="H359" s="54" t="s">
        <v>45</v>
      </c>
      <c r="I359" s="54" t="s">
        <v>7</v>
      </c>
      <c r="J359" s="55">
        <v>10.0</v>
      </c>
      <c r="K359" s="56">
        <v>0.0</v>
      </c>
      <c r="L359" s="57">
        <v>83.0</v>
      </c>
      <c r="M359" s="67"/>
      <c r="N359" s="33">
        <f t="shared" si="13"/>
        <v>0</v>
      </c>
      <c r="O359" s="59">
        <v>0.0</v>
      </c>
      <c r="P359" s="34" t="str">
        <f t="shared" si="14"/>
        <v/>
      </c>
      <c r="Q359" s="60"/>
      <c r="R359" s="36">
        <f t="shared" si="45"/>
        <v>0</v>
      </c>
      <c r="S359" s="71"/>
      <c r="T359" s="37">
        <f t="shared" si="46"/>
        <v>83</v>
      </c>
      <c r="U359" s="62">
        <v>1.0</v>
      </c>
      <c r="V359" s="74">
        <v>24.9818676337262</v>
      </c>
      <c r="W359" s="74">
        <v>51.91765559789512</v>
      </c>
      <c r="X359" s="35">
        <f t="shared" si="55"/>
        <v>0.3</v>
      </c>
      <c r="Y359" s="35">
        <f t="shared" si="56"/>
        <v>0</v>
      </c>
      <c r="Z359" s="40">
        <f t="shared" si="57"/>
        <v>0</v>
      </c>
      <c r="AA359" s="65">
        <v>83.0</v>
      </c>
      <c r="AB359" s="41">
        <f t="shared" si="49"/>
        <v>0</v>
      </c>
      <c r="AC359" s="42" t="b">
        <v>0</v>
      </c>
      <c r="AD359" s="42" t="s">
        <v>138</v>
      </c>
      <c r="AE359" s="42" t="s">
        <v>138</v>
      </c>
      <c r="AF359" s="42" t="str">
        <f t="array" ref="AF359">INDEX('Deal Info'!D:D, MATCH(A359,'Deal Info'!A:A, 0))</f>
        <v>SF</v>
      </c>
      <c r="AG359" s="43" t="str">
        <f t="array" ref="AG359">INDEX('Deal Info'!G:G, MATCH(A359,'Deal Info'!A:A, 0))</f>
        <v>None</v>
      </c>
    </row>
    <row r="360" hidden="1">
      <c r="A360" s="23" t="str">
        <f t="array" ref="A360">if(G360='Room Info'!$B$1, INDEX('Room Info'!$A$2:$A3446, MATCH(B360,'Room Info'!$B$2:$B3446, 0)),if(G360='Room Info'!$C$1, INDEX('Room Info'!$A$2:$A3446, MATCH(B360,'Room Info'!$C$2:$C3446, 0)),if(G360='Room Info'!$D$1, INDEX('Room Info'!$A$2:$A3446, MATCH(B360,'Room Info'!$D$2:$D3446, 0)),if(G360='Room Info'!$E$1, INDEX('Room Info'!$A$2:$A3446, MATCH(B360,'Room Info'!$E$2:$E3446, 0)),if(G360='Room Info'!$F$1, INDEX('Room Info'!$A$2:$A3446, MATCH(B360,'Room Info'!$F$2:$F3446, 0)),if(G360='Room Info'!$H$1, INDEX('Room Info'!$A$2:$A3446, MATCH(B360,'Room Info'!$H$2:$H3446, 0)),if(G360='Room Info'!$G$1, INDEX('Room Info'!$A$2:$A3446, MATCH(B360,'Room Info'!$G$2:$G3446, 0)))))))))</f>
        <v>Kiss4money99</v>
      </c>
      <c r="B360" s="50" t="s">
        <v>166</v>
      </c>
      <c r="C360" s="51">
        <v>44794.0</v>
      </c>
      <c r="D360" s="51">
        <v>44824.0</v>
      </c>
      <c r="E360" s="52">
        <v>44805.0</v>
      </c>
      <c r="F360" s="53" t="s">
        <v>4</v>
      </c>
      <c r="G360" s="59" t="s">
        <v>5</v>
      </c>
      <c r="H360" s="54" t="s">
        <v>62</v>
      </c>
      <c r="I360" s="54" t="s">
        <v>7</v>
      </c>
      <c r="J360" s="55">
        <v>25.0</v>
      </c>
      <c r="K360" s="56">
        <v>1652.0</v>
      </c>
      <c r="L360" s="57">
        <v>-75.0</v>
      </c>
      <c r="M360" s="58">
        <v>1750.0</v>
      </c>
      <c r="N360" s="33">
        <f t="shared" si="13"/>
        <v>41300</v>
      </c>
      <c r="O360" s="59">
        <v>34435.0</v>
      </c>
      <c r="P360" s="34">
        <f t="shared" si="14"/>
        <v>20.84443099</v>
      </c>
      <c r="Q360" s="60"/>
      <c r="R360" s="36">
        <f t="shared" si="45"/>
        <v>1750</v>
      </c>
      <c r="S360" s="61">
        <v>-1071.0</v>
      </c>
      <c r="T360" s="37">
        <f t="shared" si="46"/>
        <v>679</v>
      </c>
      <c r="U360" s="62">
        <v>1.0</v>
      </c>
      <c r="V360" s="74">
        <v>25.0</v>
      </c>
      <c r="W360" s="74">
        <v>27.16</v>
      </c>
      <c r="X360" s="35">
        <f t="shared" si="55"/>
        <v>0.3</v>
      </c>
      <c r="Y360" s="35">
        <f t="shared" si="56"/>
        <v>0</v>
      </c>
      <c r="Z360" s="40">
        <f t="shared" si="57"/>
        <v>475.3</v>
      </c>
      <c r="AA360" s="34">
        <f t="shared" ref="AA360:AA422" si="60">if(AD360="EUR",((T360-R360)*X360)*U360+(R360*X360),(T360*X360))</f>
        <v>203.7</v>
      </c>
      <c r="AB360" s="41">
        <f t="shared" si="49"/>
        <v>0</v>
      </c>
      <c r="AC360" s="42" t="b">
        <v>0</v>
      </c>
      <c r="AD360" s="42" t="s">
        <v>138</v>
      </c>
      <c r="AE360" s="42" t="s">
        <v>138</v>
      </c>
      <c r="AF360" s="42" t="str">
        <f t="array" ref="AF360">INDEX('Deal Info'!D:D, MATCH(A360,'Deal Info'!A:A, 0))</f>
        <v>SF</v>
      </c>
      <c r="AG360" s="43" t="str">
        <f t="array" ref="AG360">INDEX('Deal Info'!G:G, MATCH(A360,'Deal Info'!A:A, 0))</f>
        <v>None</v>
      </c>
    </row>
    <row r="361" hidden="1">
      <c r="A361" s="23" t="str">
        <f t="array" ref="A361">if(G361='Room Info'!$B$1, INDEX('Room Info'!$A$2:$A3446, MATCH(B361,'Room Info'!$B$2:$B3446, 0)),if(G361='Room Info'!$C$1, INDEX('Room Info'!$A$2:$A3446, MATCH(B361,'Room Info'!$C$2:$C3446, 0)),if(G361='Room Info'!$D$1, INDEX('Room Info'!$A$2:$A3446, MATCH(B361,'Room Info'!$D$2:$D3446, 0)),if(G361='Room Info'!$E$1, INDEX('Room Info'!$A$2:$A3446, MATCH(B361,'Room Info'!$E$2:$E3446, 0)),if(G361='Room Info'!$F$1, INDEX('Room Info'!$A$2:$A3446, MATCH(B361,'Room Info'!$F$2:$F3446, 0)),if(G361='Room Info'!$H$1, INDEX('Room Info'!$A$2:$A3446, MATCH(B361,'Room Info'!$H$2:$H3446, 0)),if(G361='Room Info'!$G$1, INDEX('Room Info'!$A$2:$A3446, MATCH(B361,'Room Info'!$G$2:$G3446, 0)))))))))</f>
        <v>Kiss4money99</v>
      </c>
      <c r="B361" s="50" t="s">
        <v>166</v>
      </c>
      <c r="C361" s="51">
        <v>44825.0</v>
      </c>
      <c r="D361" s="51">
        <v>44854.0</v>
      </c>
      <c r="E361" s="52">
        <v>44835.0</v>
      </c>
      <c r="F361" s="53" t="s">
        <v>4</v>
      </c>
      <c r="G361" s="59" t="s">
        <v>5</v>
      </c>
      <c r="H361" s="54" t="s">
        <v>35</v>
      </c>
      <c r="I361" s="54" t="s">
        <v>7</v>
      </c>
      <c r="J361" s="55">
        <v>5.0</v>
      </c>
      <c r="K361" s="56">
        <v>1.0</v>
      </c>
      <c r="L361" s="57">
        <v>20.0</v>
      </c>
      <c r="M361" s="67"/>
      <c r="N361" s="33">
        <f t="shared" si="13"/>
        <v>5</v>
      </c>
      <c r="O361" s="59">
        <v>198.0</v>
      </c>
      <c r="P361" s="34">
        <f t="shared" si="14"/>
        <v>198</v>
      </c>
      <c r="Q361" s="60"/>
      <c r="R361" s="36">
        <f t="shared" si="45"/>
        <v>0</v>
      </c>
      <c r="S361" s="61">
        <v>1.0</v>
      </c>
      <c r="T361" s="37">
        <f t="shared" si="46"/>
        <v>1</v>
      </c>
      <c r="U361" s="62">
        <v>1.0</v>
      </c>
      <c r="V361" s="74">
        <v>12.72369407648088</v>
      </c>
      <c r="W361" s="63">
        <f t="shared" ref="W361:W368" si="61">100.05/3</f>
        <v>33.35</v>
      </c>
      <c r="X361" s="35">
        <f t="shared" si="55"/>
        <v>0.3</v>
      </c>
      <c r="Y361" s="35">
        <f t="shared" si="56"/>
        <v>0</v>
      </c>
      <c r="Z361" s="40">
        <f t="shared" si="57"/>
        <v>0.7</v>
      </c>
      <c r="AA361" s="34">
        <f t="shared" si="60"/>
        <v>0.3</v>
      </c>
      <c r="AB361" s="41">
        <f t="shared" si="49"/>
        <v>0</v>
      </c>
      <c r="AC361" s="42" t="b">
        <v>0</v>
      </c>
      <c r="AD361" s="42" t="s">
        <v>138</v>
      </c>
      <c r="AE361" s="42" t="s">
        <v>138</v>
      </c>
      <c r="AF361" s="42" t="str">
        <f t="array" ref="AF361">INDEX('Deal Info'!D:D, MATCH(A361,'Deal Info'!A:A, 0))</f>
        <v>SF</v>
      </c>
      <c r="AG361" s="43" t="str">
        <f t="array" ref="AG361">INDEX('Deal Info'!G:G, MATCH(A361,'Deal Info'!A:A, 0))</f>
        <v>None</v>
      </c>
    </row>
    <row r="362" hidden="1">
      <c r="A362" s="23" t="str">
        <f t="array" ref="A362">if(G362='Room Info'!$B$1, INDEX('Room Info'!$A$2:$A3446, MATCH(B362,'Room Info'!$B$2:$B3446, 0)),if(G362='Room Info'!$C$1, INDEX('Room Info'!$A$2:$A3446, MATCH(B362,'Room Info'!$C$2:$C3446, 0)),if(G362='Room Info'!$D$1, INDEX('Room Info'!$A$2:$A3446, MATCH(B362,'Room Info'!$D$2:$D3446, 0)),if(G362='Room Info'!$E$1, INDEX('Room Info'!$A$2:$A3446, MATCH(B362,'Room Info'!$E$2:$E3446, 0)),if(G362='Room Info'!$F$1, INDEX('Room Info'!$A$2:$A3446, MATCH(B362,'Room Info'!$F$2:$F3446, 0)),if(G362='Room Info'!$H$1, INDEX('Room Info'!$A$2:$A3446, MATCH(B362,'Room Info'!$H$2:$H3446, 0)),if(G362='Room Info'!$G$1, INDEX('Room Info'!$A$2:$A3446, MATCH(B362,'Room Info'!$G$2:$G3446, 0)))))))))</f>
        <v>Kiss4money99</v>
      </c>
      <c r="B362" s="50" t="s">
        <v>166</v>
      </c>
      <c r="C362" s="51">
        <v>44825.0</v>
      </c>
      <c r="D362" s="51">
        <v>44854.0</v>
      </c>
      <c r="E362" s="52">
        <v>44835.0</v>
      </c>
      <c r="F362" s="53" t="s">
        <v>4</v>
      </c>
      <c r="G362" s="59" t="s">
        <v>5</v>
      </c>
      <c r="H362" s="54" t="s">
        <v>45</v>
      </c>
      <c r="I362" s="54" t="s">
        <v>7</v>
      </c>
      <c r="J362" s="55">
        <v>10.0</v>
      </c>
      <c r="K362" s="56">
        <v>365.0</v>
      </c>
      <c r="L362" s="57">
        <v>210.0</v>
      </c>
      <c r="M362" s="58">
        <v>197.0</v>
      </c>
      <c r="N362" s="33">
        <f t="shared" si="13"/>
        <v>3650</v>
      </c>
      <c r="O362" s="59">
        <v>17067.0</v>
      </c>
      <c r="P362" s="34">
        <f t="shared" si="14"/>
        <v>46.75890411</v>
      </c>
      <c r="Q362" s="60"/>
      <c r="R362" s="36">
        <f t="shared" si="45"/>
        <v>197</v>
      </c>
      <c r="S362" s="61">
        <v>31.0</v>
      </c>
      <c r="T362" s="37">
        <f t="shared" si="46"/>
        <v>228</v>
      </c>
      <c r="U362" s="62">
        <v>1.0</v>
      </c>
      <c r="V362" s="74">
        <v>12.72369407648088</v>
      </c>
      <c r="W362" s="63">
        <f t="shared" si="61"/>
        <v>33.35</v>
      </c>
      <c r="X362" s="35">
        <f t="shared" si="55"/>
        <v>0.3</v>
      </c>
      <c r="Y362" s="35">
        <f t="shared" si="56"/>
        <v>0</v>
      </c>
      <c r="Z362" s="40">
        <f t="shared" si="57"/>
        <v>159.6</v>
      </c>
      <c r="AA362" s="34">
        <f t="shared" si="60"/>
        <v>68.4</v>
      </c>
      <c r="AB362" s="41">
        <f t="shared" si="49"/>
        <v>0</v>
      </c>
      <c r="AC362" s="42" t="b">
        <v>0</v>
      </c>
      <c r="AD362" s="42" t="s">
        <v>138</v>
      </c>
      <c r="AE362" s="42" t="s">
        <v>138</v>
      </c>
      <c r="AF362" s="42" t="str">
        <f t="array" ref="AF362">INDEX('Deal Info'!D:D, MATCH(A362,'Deal Info'!A:A, 0))</f>
        <v>SF</v>
      </c>
      <c r="AG362" s="43" t="str">
        <f t="array" ref="AG362">INDEX('Deal Info'!G:G, MATCH(A362,'Deal Info'!A:A, 0))</f>
        <v>None</v>
      </c>
    </row>
    <row r="363" hidden="1">
      <c r="A363" s="23" t="str">
        <f t="array" ref="A363">if(G363='Room Info'!$B$1, INDEX('Room Info'!$A$2:$A3446, MATCH(B363,'Room Info'!$B$2:$B3446, 0)),if(G363='Room Info'!$C$1, INDEX('Room Info'!$A$2:$A3446, MATCH(B363,'Room Info'!$C$2:$C3446, 0)),if(G363='Room Info'!$D$1, INDEX('Room Info'!$A$2:$A3446, MATCH(B363,'Room Info'!$D$2:$D3446, 0)),if(G363='Room Info'!$E$1, INDEX('Room Info'!$A$2:$A3446, MATCH(B363,'Room Info'!$E$2:$E3446, 0)),if(G363='Room Info'!$F$1, INDEX('Room Info'!$A$2:$A3446, MATCH(B363,'Room Info'!$F$2:$F3446, 0)),if(G363='Room Info'!$H$1, INDEX('Room Info'!$A$2:$A3446, MATCH(B363,'Room Info'!$H$2:$H3446, 0)),if(G363='Room Info'!$G$1, INDEX('Room Info'!$A$2:$A3446, MATCH(B363,'Room Info'!$G$2:$G3446, 0)))))))))</f>
        <v>Kiss4money99</v>
      </c>
      <c r="B363" s="50" t="s">
        <v>166</v>
      </c>
      <c r="C363" s="51">
        <v>44825.0</v>
      </c>
      <c r="D363" s="51">
        <v>44854.0</v>
      </c>
      <c r="E363" s="52">
        <v>44835.0</v>
      </c>
      <c r="F363" s="53" t="s">
        <v>4</v>
      </c>
      <c r="G363" s="59" t="s">
        <v>5</v>
      </c>
      <c r="H363" s="54" t="s">
        <v>62</v>
      </c>
      <c r="I363" s="54" t="s">
        <v>7</v>
      </c>
      <c r="J363" s="55">
        <v>25.0</v>
      </c>
      <c r="K363" s="56">
        <v>1193.0</v>
      </c>
      <c r="L363" s="57">
        <v>-1500.0</v>
      </c>
      <c r="M363" s="58">
        <v>1382.0</v>
      </c>
      <c r="N363" s="33">
        <f t="shared" si="13"/>
        <v>29825</v>
      </c>
      <c r="O363" s="59">
        <v>5361.0</v>
      </c>
      <c r="P363" s="34">
        <f t="shared" si="14"/>
        <v>4.493713328</v>
      </c>
      <c r="Q363" s="60"/>
      <c r="R363" s="36">
        <f t="shared" si="45"/>
        <v>1382</v>
      </c>
      <c r="S363" s="61">
        <v>-1697.0</v>
      </c>
      <c r="T363" s="37">
        <f t="shared" si="46"/>
        <v>-315</v>
      </c>
      <c r="U363" s="62">
        <v>1.0</v>
      </c>
      <c r="V363" s="74">
        <v>12.72369407648088</v>
      </c>
      <c r="W363" s="63">
        <f t="shared" si="61"/>
        <v>33.35</v>
      </c>
      <c r="X363" s="35">
        <f t="shared" si="55"/>
        <v>0.3</v>
      </c>
      <c r="Y363" s="35">
        <f t="shared" si="56"/>
        <v>0</v>
      </c>
      <c r="Z363" s="40">
        <f t="shared" si="57"/>
        <v>-220.5</v>
      </c>
      <c r="AA363" s="34">
        <f t="shared" si="60"/>
        <v>-94.5</v>
      </c>
      <c r="AB363" s="41">
        <f t="shared" si="49"/>
        <v>0</v>
      </c>
      <c r="AC363" s="42" t="b">
        <v>0</v>
      </c>
      <c r="AD363" s="42" t="s">
        <v>138</v>
      </c>
      <c r="AE363" s="42" t="s">
        <v>138</v>
      </c>
      <c r="AF363" s="42" t="str">
        <f t="array" ref="AF363">INDEX('Deal Info'!D:D, MATCH(A363,'Deal Info'!A:A, 0))</f>
        <v>SF</v>
      </c>
      <c r="AG363" s="43" t="str">
        <f t="array" ref="AG363">INDEX('Deal Info'!G:G, MATCH(A363,'Deal Info'!A:A, 0))</f>
        <v>None</v>
      </c>
    </row>
    <row r="364" hidden="1">
      <c r="A364" s="23" t="str">
        <f t="array" ref="A364">if(G364='Room Info'!$B$1, INDEX('Room Info'!$A$2:$A3446, MATCH(B364,'Room Info'!$B$2:$B3446, 0)),if(G364='Room Info'!$C$1, INDEX('Room Info'!$A$2:$A3446, MATCH(B364,'Room Info'!$C$2:$C3446, 0)),if(G364='Room Info'!$D$1, INDEX('Room Info'!$A$2:$A3446, MATCH(B364,'Room Info'!$D$2:$D3446, 0)),if(G364='Room Info'!$E$1, INDEX('Room Info'!$A$2:$A3446, MATCH(B364,'Room Info'!$E$2:$E3446, 0)),if(G364='Room Info'!$F$1, INDEX('Room Info'!$A$2:$A3446, MATCH(B364,'Room Info'!$F$2:$F3446, 0)),if(G364='Room Info'!$H$1, INDEX('Room Info'!$A$2:$A3446, MATCH(B364,'Room Info'!$H$2:$H3446, 0)),if(G364='Room Info'!$G$1, INDEX('Room Info'!$A$2:$A3446, MATCH(B364,'Room Info'!$G$2:$G3446, 0)))))))))</f>
        <v>Kiss4money99</v>
      </c>
      <c r="B364" s="50" t="s">
        <v>166</v>
      </c>
      <c r="C364" s="51">
        <v>44855.0</v>
      </c>
      <c r="D364" s="51">
        <v>44885.0</v>
      </c>
      <c r="E364" s="52">
        <v>44866.0</v>
      </c>
      <c r="F364" s="53" t="s">
        <v>4</v>
      </c>
      <c r="G364" s="59" t="s">
        <v>5</v>
      </c>
      <c r="H364" s="54" t="s">
        <v>35</v>
      </c>
      <c r="I364" s="54" t="s">
        <v>7</v>
      </c>
      <c r="J364" s="55">
        <v>5.0</v>
      </c>
      <c r="K364" s="56">
        <v>1.0</v>
      </c>
      <c r="L364" s="57">
        <v>-5.0</v>
      </c>
      <c r="M364" s="67"/>
      <c r="N364" s="33">
        <f t="shared" si="13"/>
        <v>5</v>
      </c>
      <c r="O364" s="59">
        <v>-413.0</v>
      </c>
      <c r="P364" s="34">
        <f t="shared" si="14"/>
        <v>-413</v>
      </c>
      <c r="Q364" s="60"/>
      <c r="R364" s="36">
        <f t="shared" si="45"/>
        <v>0</v>
      </c>
      <c r="S364" s="61">
        <v>-4.0</v>
      </c>
      <c r="T364" s="37">
        <f t="shared" si="46"/>
        <v>-4</v>
      </c>
      <c r="U364" s="62">
        <v>1.0</v>
      </c>
      <c r="V364" s="74">
        <v>12.72369407648088</v>
      </c>
      <c r="W364" s="63">
        <f t="shared" si="61"/>
        <v>33.35</v>
      </c>
      <c r="X364" s="35">
        <f t="shared" si="55"/>
        <v>0.3</v>
      </c>
      <c r="Y364" s="35">
        <f t="shared" si="56"/>
        <v>0</v>
      </c>
      <c r="Z364" s="40">
        <f t="shared" si="57"/>
        <v>-2.8</v>
      </c>
      <c r="AA364" s="34">
        <f t="shared" si="60"/>
        <v>-1.2</v>
      </c>
      <c r="AB364" s="41">
        <f t="shared" si="49"/>
        <v>0</v>
      </c>
      <c r="AC364" s="42" t="b">
        <v>1</v>
      </c>
      <c r="AD364" s="42" t="s">
        <v>138</v>
      </c>
      <c r="AE364" s="42" t="s">
        <v>138</v>
      </c>
      <c r="AF364" s="42" t="str">
        <f t="array" ref="AF364">INDEX('Deal Info'!D:D, MATCH(A364,'Deal Info'!A:A, 0))</f>
        <v>SF</v>
      </c>
      <c r="AG364" s="43" t="str">
        <f t="array" ref="AG364">INDEX('Deal Info'!G:G, MATCH(A364,'Deal Info'!A:A, 0))</f>
        <v>None</v>
      </c>
    </row>
    <row r="365" hidden="1">
      <c r="A365" s="23" t="str">
        <f t="array" ref="A365">if(G365='Room Info'!$B$1, INDEX('Room Info'!$A$2:$A3446, MATCH(B365,'Room Info'!$B$2:$B3446, 0)),if(G365='Room Info'!$C$1, INDEX('Room Info'!$A$2:$A3446, MATCH(B365,'Room Info'!$C$2:$C3446, 0)),if(G365='Room Info'!$D$1, INDEX('Room Info'!$A$2:$A3446, MATCH(B365,'Room Info'!$D$2:$D3446, 0)),if(G365='Room Info'!$E$1, INDEX('Room Info'!$A$2:$A3446, MATCH(B365,'Room Info'!$E$2:$E3446, 0)),if(G365='Room Info'!$F$1, INDEX('Room Info'!$A$2:$A3446, MATCH(B365,'Room Info'!$F$2:$F3446, 0)),if(G365='Room Info'!$H$1, INDEX('Room Info'!$A$2:$A3446, MATCH(B365,'Room Info'!$H$2:$H3446, 0)),if(G365='Room Info'!$G$1, INDEX('Room Info'!$A$2:$A3446, MATCH(B365,'Room Info'!$G$2:$G3446, 0)))))))))</f>
        <v>Kiss4money99</v>
      </c>
      <c r="B365" s="50" t="s">
        <v>166</v>
      </c>
      <c r="C365" s="51">
        <v>44855.0</v>
      </c>
      <c r="D365" s="51">
        <v>44885.0</v>
      </c>
      <c r="E365" s="52">
        <v>44866.0</v>
      </c>
      <c r="F365" s="53" t="s">
        <v>4</v>
      </c>
      <c r="G365" s="50" t="s">
        <v>5</v>
      </c>
      <c r="H365" s="54" t="s">
        <v>45</v>
      </c>
      <c r="I365" s="54" t="s">
        <v>7</v>
      </c>
      <c r="J365" s="55">
        <v>10.0</v>
      </c>
      <c r="K365" s="56">
        <v>3717.0</v>
      </c>
      <c r="L365" s="57">
        <v>120.0</v>
      </c>
      <c r="M365" s="58">
        <v>1551.0</v>
      </c>
      <c r="N365" s="33">
        <f t="shared" si="13"/>
        <v>37170</v>
      </c>
      <c r="O365" s="59">
        <v>88940.0</v>
      </c>
      <c r="P365" s="34">
        <f t="shared" si="14"/>
        <v>23.92789884</v>
      </c>
      <c r="Q365" s="60"/>
      <c r="R365" s="36">
        <f t="shared" si="45"/>
        <v>1551</v>
      </c>
      <c r="S365" s="61">
        <v>-1176.0</v>
      </c>
      <c r="T365" s="37">
        <f t="shared" si="46"/>
        <v>375</v>
      </c>
      <c r="U365" s="62">
        <v>1.0</v>
      </c>
      <c r="V365" s="74">
        <v>12.72369407648088</v>
      </c>
      <c r="W365" s="63">
        <f t="shared" si="61"/>
        <v>33.35</v>
      </c>
      <c r="X365" s="35">
        <f t="shared" si="55"/>
        <v>0.3</v>
      </c>
      <c r="Y365" s="35">
        <f t="shared" si="56"/>
        <v>0</v>
      </c>
      <c r="Z365" s="40">
        <f t="shared" si="57"/>
        <v>262.5</v>
      </c>
      <c r="AA365" s="34">
        <f t="shared" si="60"/>
        <v>112.5</v>
      </c>
      <c r="AB365" s="41">
        <f t="shared" si="49"/>
        <v>0</v>
      </c>
      <c r="AC365" s="42" t="b">
        <v>1</v>
      </c>
      <c r="AD365" s="42" t="s">
        <v>138</v>
      </c>
      <c r="AE365" s="42" t="s">
        <v>138</v>
      </c>
      <c r="AF365" s="42" t="str">
        <f t="array" ref="AF365">INDEX('Deal Info'!D:D, MATCH(A365,'Deal Info'!A:A, 0))</f>
        <v>SF</v>
      </c>
      <c r="AG365" s="43" t="str">
        <f t="array" ref="AG365">INDEX('Deal Info'!G:G, MATCH(A365,'Deal Info'!A:A, 0))</f>
        <v>None</v>
      </c>
    </row>
    <row r="366" hidden="1">
      <c r="A366" s="23" t="str">
        <f t="array" ref="A366">if(G366='Room Info'!$B$1, INDEX('Room Info'!$A$2:$A3446, MATCH(B366,'Room Info'!$B$2:$B3446, 0)),if(G366='Room Info'!$C$1, INDEX('Room Info'!$A$2:$A3446, MATCH(B366,'Room Info'!$C$2:$C3446, 0)),if(G366='Room Info'!$D$1, INDEX('Room Info'!$A$2:$A3446, MATCH(B366,'Room Info'!$D$2:$D3446, 0)),if(G366='Room Info'!$E$1, INDEX('Room Info'!$A$2:$A3446, MATCH(B366,'Room Info'!$E$2:$E3446, 0)),if(G366='Room Info'!$F$1, INDEX('Room Info'!$A$2:$A3446, MATCH(B366,'Room Info'!$F$2:$F3446, 0)),if(G366='Room Info'!$H$1, INDEX('Room Info'!$A$2:$A3446, MATCH(B366,'Room Info'!$H$2:$H3446, 0)),if(G366='Room Info'!$G$1, INDEX('Room Info'!$A$2:$A3446, MATCH(B366,'Room Info'!$G$2:$G3446, 0)))))))))</f>
        <v>Kiss4money99</v>
      </c>
      <c r="B366" s="50" t="s">
        <v>166</v>
      </c>
      <c r="C366" s="51">
        <v>44855.0</v>
      </c>
      <c r="D366" s="51">
        <v>44885.0</v>
      </c>
      <c r="E366" s="52">
        <v>44866.0</v>
      </c>
      <c r="F366" s="53" t="s">
        <v>4</v>
      </c>
      <c r="G366" s="59" t="s">
        <v>5</v>
      </c>
      <c r="H366" s="54" t="s">
        <v>62</v>
      </c>
      <c r="I366" s="54" t="s">
        <v>7</v>
      </c>
      <c r="J366" s="55">
        <v>25.0</v>
      </c>
      <c r="K366" s="56">
        <v>261.0</v>
      </c>
      <c r="L366" s="57">
        <v>-1325.0</v>
      </c>
      <c r="M366" s="58">
        <v>234.0</v>
      </c>
      <c r="N366" s="33">
        <f t="shared" si="13"/>
        <v>6525</v>
      </c>
      <c r="O366" s="59">
        <v>-3702.0</v>
      </c>
      <c r="P366" s="34">
        <f t="shared" si="14"/>
        <v>-14.18390805</v>
      </c>
      <c r="Q366" s="60"/>
      <c r="R366" s="36">
        <f t="shared" si="45"/>
        <v>234</v>
      </c>
      <c r="S366" s="61">
        <v>-599.0</v>
      </c>
      <c r="T366" s="37">
        <f t="shared" si="46"/>
        <v>-365</v>
      </c>
      <c r="U366" s="62">
        <v>1.0</v>
      </c>
      <c r="V366" s="74">
        <v>12.72369407648088</v>
      </c>
      <c r="W366" s="63">
        <f t="shared" si="61"/>
        <v>33.35</v>
      </c>
      <c r="X366" s="35">
        <f t="shared" si="55"/>
        <v>0.3</v>
      </c>
      <c r="Y366" s="35">
        <f t="shared" si="56"/>
        <v>0</v>
      </c>
      <c r="Z366" s="40">
        <f t="shared" si="57"/>
        <v>-255.5</v>
      </c>
      <c r="AA366" s="34">
        <f t="shared" si="60"/>
        <v>-109.5</v>
      </c>
      <c r="AB366" s="41">
        <f t="shared" si="49"/>
        <v>0</v>
      </c>
      <c r="AC366" s="42" t="b">
        <v>1</v>
      </c>
      <c r="AD366" s="42" t="s">
        <v>138</v>
      </c>
      <c r="AE366" s="42" t="s">
        <v>138</v>
      </c>
      <c r="AF366" s="42" t="str">
        <f t="array" ref="AF366">INDEX('Deal Info'!D:D, MATCH(A366,'Deal Info'!A:A, 0))</f>
        <v>SF</v>
      </c>
      <c r="AG366" s="43" t="str">
        <f t="array" ref="AG366">INDEX('Deal Info'!G:G, MATCH(A366,'Deal Info'!A:A, 0))</f>
        <v>None</v>
      </c>
    </row>
    <row r="367" hidden="1">
      <c r="A367" s="23" t="str">
        <f t="array" ref="A367">if(G367='Room Info'!$B$1, INDEX('Room Info'!$A$2:$A3446, MATCH(B367,'Room Info'!$B$2:$B3446, 0)),if(G367='Room Info'!$C$1, INDEX('Room Info'!$A$2:$A3446, MATCH(B367,'Room Info'!$C$2:$C3446, 0)),if(G367='Room Info'!$D$1, INDEX('Room Info'!$A$2:$A3446, MATCH(B367,'Room Info'!$D$2:$D3446, 0)),if(G367='Room Info'!$E$1, INDEX('Room Info'!$A$2:$A3446, MATCH(B367,'Room Info'!$E$2:$E3446, 0)),if(G367='Room Info'!$F$1, INDEX('Room Info'!$A$2:$A3446, MATCH(B367,'Room Info'!$F$2:$F3446, 0)),if(G367='Room Info'!$H$1, INDEX('Room Info'!$A$2:$A3446, MATCH(B367,'Room Info'!$H$2:$H3446, 0)),if(G367='Room Info'!$G$1, INDEX('Room Info'!$A$2:$A3446, MATCH(B367,'Room Info'!$G$2:$G3446, 0)))))))))</f>
        <v>Kiss4money99</v>
      </c>
      <c r="B367" s="50" t="s">
        <v>166</v>
      </c>
      <c r="C367" s="51">
        <v>44886.0</v>
      </c>
      <c r="D367" s="51">
        <v>44915.0</v>
      </c>
      <c r="E367" s="52">
        <v>44896.0</v>
      </c>
      <c r="F367" s="53" t="s">
        <v>4</v>
      </c>
      <c r="G367" s="59" t="s">
        <v>5</v>
      </c>
      <c r="H367" s="54" t="s">
        <v>35</v>
      </c>
      <c r="I367" s="54" t="s">
        <v>7</v>
      </c>
      <c r="J367" s="55">
        <v>5.0</v>
      </c>
      <c r="K367" s="56">
        <v>1.0</v>
      </c>
      <c r="L367" s="57">
        <v>10.0</v>
      </c>
      <c r="M367" s="67"/>
      <c r="N367" s="33">
        <f t="shared" si="13"/>
        <v>5</v>
      </c>
      <c r="O367" s="59">
        <v>375.0</v>
      </c>
      <c r="P367" s="34">
        <f t="shared" si="14"/>
        <v>375</v>
      </c>
      <c r="Q367" s="60"/>
      <c r="R367" s="36">
        <f t="shared" si="45"/>
        <v>0</v>
      </c>
      <c r="S367" s="61">
        <v>3.0</v>
      </c>
      <c r="T367" s="37">
        <f t="shared" si="46"/>
        <v>3</v>
      </c>
      <c r="U367" s="62">
        <v>1.0</v>
      </c>
      <c r="V367" s="74">
        <v>12.72369407648088</v>
      </c>
      <c r="W367" s="63">
        <f t="shared" si="61"/>
        <v>33.35</v>
      </c>
      <c r="X367" s="35">
        <f t="shared" si="55"/>
        <v>0.3</v>
      </c>
      <c r="Y367" s="35">
        <f t="shared" si="56"/>
        <v>0</v>
      </c>
      <c r="Z367" s="40">
        <f t="shared" si="57"/>
        <v>2.1</v>
      </c>
      <c r="AA367" s="34">
        <f t="shared" si="60"/>
        <v>0.9</v>
      </c>
      <c r="AB367" s="41">
        <f t="shared" si="49"/>
        <v>0</v>
      </c>
      <c r="AC367" s="42" t="b">
        <v>1</v>
      </c>
      <c r="AD367" s="42" t="s">
        <v>138</v>
      </c>
      <c r="AE367" s="42" t="s">
        <v>138</v>
      </c>
      <c r="AF367" s="42" t="str">
        <f t="array" ref="AF367">INDEX('Deal Info'!D:D, MATCH(A367,'Deal Info'!A:A, 0))</f>
        <v>SF</v>
      </c>
      <c r="AG367" s="43" t="str">
        <f t="array" ref="AG367">INDEX('Deal Info'!G:G, MATCH(A367,'Deal Info'!A:A, 0))</f>
        <v>None</v>
      </c>
    </row>
    <row r="368" hidden="1">
      <c r="A368" s="23" t="str">
        <f t="array" ref="A368">if(G368='Room Info'!$B$1, INDEX('Room Info'!$A$2:$A3446, MATCH(B368,'Room Info'!$B$2:$B3446, 0)),if(G368='Room Info'!$C$1, INDEX('Room Info'!$A$2:$A3446, MATCH(B368,'Room Info'!$C$2:$C3446, 0)),if(G368='Room Info'!$D$1, INDEX('Room Info'!$A$2:$A3446, MATCH(B368,'Room Info'!$D$2:$D3446, 0)),if(G368='Room Info'!$E$1, INDEX('Room Info'!$A$2:$A3446, MATCH(B368,'Room Info'!$E$2:$E3446, 0)),if(G368='Room Info'!$F$1, INDEX('Room Info'!$A$2:$A3446, MATCH(B368,'Room Info'!$F$2:$F3446, 0)),if(G368='Room Info'!$H$1, INDEX('Room Info'!$A$2:$A3446, MATCH(B368,'Room Info'!$H$2:$H3446, 0)),if(G368='Room Info'!$G$1, INDEX('Room Info'!$A$2:$A3446, MATCH(B368,'Room Info'!$G$2:$G3446, 0)))))))))</f>
        <v>Kiss4money99</v>
      </c>
      <c r="B368" s="50" t="s">
        <v>166</v>
      </c>
      <c r="C368" s="51">
        <v>44886.0</v>
      </c>
      <c r="D368" s="51">
        <v>44915.0</v>
      </c>
      <c r="E368" s="52">
        <v>44896.0</v>
      </c>
      <c r="F368" s="53" t="s">
        <v>4</v>
      </c>
      <c r="G368" s="59" t="s">
        <v>5</v>
      </c>
      <c r="H368" s="54" t="s">
        <v>45</v>
      </c>
      <c r="I368" s="54" t="s">
        <v>7</v>
      </c>
      <c r="J368" s="55">
        <v>10.0</v>
      </c>
      <c r="K368" s="56">
        <v>2463.0</v>
      </c>
      <c r="L368" s="57">
        <v>-160.0</v>
      </c>
      <c r="M368" s="58">
        <v>1594.0</v>
      </c>
      <c r="N368" s="33">
        <f t="shared" si="13"/>
        <v>24630</v>
      </c>
      <c r="O368" s="59">
        <v>86748.0</v>
      </c>
      <c r="P368" s="34">
        <f t="shared" si="14"/>
        <v>35.22046285</v>
      </c>
      <c r="Q368" s="60"/>
      <c r="R368" s="36">
        <f t="shared" si="45"/>
        <v>1594</v>
      </c>
      <c r="S368" s="61">
        <v>-244.0</v>
      </c>
      <c r="T368" s="37">
        <f t="shared" si="46"/>
        <v>1350</v>
      </c>
      <c r="U368" s="62">
        <v>1.0</v>
      </c>
      <c r="V368" s="74">
        <v>12.72369407648088</v>
      </c>
      <c r="W368" s="63">
        <f t="shared" si="61"/>
        <v>33.35</v>
      </c>
      <c r="X368" s="35">
        <f t="shared" si="55"/>
        <v>0.3</v>
      </c>
      <c r="Y368" s="35">
        <f t="shared" si="56"/>
        <v>0</v>
      </c>
      <c r="Z368" s="40">
        <f t="shared" si="57"/>
        <v>945</v>
      </c>
      <c r="AA368" s="34">
        <f t="shared" si="60"/>
        <v>405</v>
      </c>
      <c r="AB368" s="41">
        <f t="shared" si="49"/>
        <v>0</v>
      </c>
      <c r="AC368" s="42" t="b">
        <v>1</v>
      </c>
      <c r="AD368" s="42" t="s">
        <v>138</v>
      </c>
      <c r="AE368" s="42" t="s">
        <v>138</v>
      </c>
      <c r="AF368" s="42" t="str">
        <f t="array" ref="AF368">INDEX('Deal Info'!D:D, MATCH(A368,'Deal Info'!A:A, 0))</f>
        <v>SF</v>
      </c>
      <c r="AG368" s="43" t="str">
        <f t="array" ref="AG368">INDEX('Deal Info'!G:G, MATCH(A368,'Deal Info'!A:A, 0))</f>
        <v>None</v>
      </c>
    </row>
    <row r="369" hidden="1">
      <c r="A369" s="23" t="str">
        <f t="array" ref="A369">if(G369='Room Info'!$B$1, INDEX('Room Info'!$A$2:$A3446, MATCH(B369,'Room Info'!$B$2:$B3446, 0)),if(G369='Room Info'!$C$1, INDEX('Room Info'!$A$2:$A3446, MATCH(B369,'Room Info'!$C$2:$C3446, 0)),if(G369='Room Info'!$D$1, INDEX('Room Info'!$A$2:$A3446, MATCH(B369,'Room Info'!$D$2:$D3446, 0)),if(G369='Room Info'!$E$1, INDEX('Room Info'!$A$2:$A3446, MATCH(B369,'Room Info'!$E$2:$E3446, 0)),if(G369='Room Info'!$F$1, INDEX('Room Info'!$A$2:$A3446, MATCH(B369,'Room Info'!$F$2:$F3446, 0)),if(G369='Room Info'!$H$1, INDEX('Room Info'!$A$2:$A3446, MATCH(B369,'Room Info'!$H$2:$H3446, 0)),if(G369='Room Info'!$G$1, INDEX('Room Info'!$A$2:$A3446, MATCH(B369,'Room Info'!$G$2:$G3446, 0)))))))))</f>
        <v>Kiss4money99</v>
      </c>
      <c r="B369" s="50" t="s">
        <v>166</v>
      </c>
      <c r="C369" s="51">
        <v>44916.0</v>
      </c>
      <c r="D369" s="51">
        <v>44946.0</v>
      </c>
      <c r="E369" s="52">
        <v>44927.0</v>
      </c>
      <c r="F369" s="53" t="s">
        <v>4</v>
      </c>
      <c r="G369" s="50" t="s">
        <v>5</v>
      </c>
      <c r="H369" s="54" t="s">
        <v>45</v>
      </c>
      <c r="I369" s="54" t="s">
        <v>7</v>
      </c>
      <c r="J369" s="75">
        <v>10.0</v>
      </c>
      <c r="K369" s="76">
        <v>1250.0</v>
      </c>
      <c r="L369" s="57">
        <v>580.0</v>
      </c>
      <c r="M369" s="58">
        <v>300.0</v>
      </c>
      <c r="N369" s="33">
        <f t="shared" si="13"/>
        <v>12500</v>
      </c>
      <c r="O369" s="59">
        <v>81662.0</v>
      </c>
      <c r="P369" s="34">
        <f t="shared" si="14"/>
        <v>65.3296</v>
      </c>
      <c r="Q369" s="60"/>
      <c r="R369" s="36">
        <f t="shared" si="45"/>
        <v>300</v>
      </c>
      <c r="S369" s="61">
        <v>597.0</v>
      </c>
      <c r="T369" s="37">
        <f t="shared" si="46"/>
        <v>897</v>
      </c>
      <c r="U369" s="62">
        <v>1.0</v>
      </c>
      <c r="V369" s="74">
        <v>10.0</v>
      </c>
      <c r="W369" s="74">
        <v>89.7</v>
      </c>
      <c r="X369" s="35">
        <f t="shared" si="55"/>
        <v>0.25</v>
      </c>
      <c r="Y369" s="35">
        <f t="shared" si="56"/>
        <v>0</v>
      </c>
      <c r="Z369" s="40">
        <f t="shared" si="57"/>
        <v>672.75</v>
      </c>
      <c r="AA369" s="34">
        <f t="shared" si="60"/>
        <v>224.25</v>
      </c>
      <c r="AB369" s="41">
        <f t="shared" si="49"/>
        <v>0</v>
      </c>
      <c r="AC369" s="42" t="b">
        <v>1</v>
      </c>
      <c r="AD369" s="42" t="s">
        <v>138</v>
      </c>
      <c r="AE369" s="42" t="s">
        <v>138</v>
      </c>
      <c r="AF369" s="42" t="str">
        <f t="array" ref="AF369">INDEX('Deal Info'!D:D, MATCH(A369,'Deal Info'!A:A, 0))</f>
        <v>SF</v>
      </c>
      <c r="AG369" s="43" t="str">
        <f t="array" ref="AG369">INDEX('Deal Info'!G:G, MATCH(A369,'Deal Info'!A:A, 0))</f>
        <v>None</v>
      </c>
    </row>
    <row r="370" hidden="1">
      <c r="A370" s="23" t="str">
        <f t="array" ref="A370">if(G370='Room Info'!$B$1, INDEX('Room Info'!$A$2:$A3446, MATCH(B370,'Room Info'!$B$2:$B3446, 0)),if(G370='Room Info'!$C$1, INDEX('Room Info'!$A$2:$A3446, MATCH(B370,'Room Info'!$C$2:$C3446, 0)),if(G370='Room Info'!$D$1, INDEX('Room Info'!$A$2:$A3446, MATCH(B370,'Room Info'!$D$2:$D3446, 0)),if(G370='Room Info'!$E$1, INDEX('Room Info'!$A$2:$A3446, MATCH(B370,'Room Info'!$E$2:$E3446, 0)),if(G370='Room Info'!$F$1, INDEX('Room Info'!$A$2:$A3446, MATCH(B370,'Room Info'!$F$2:$F3446, 0)),if(G370='Room Info'!$H$1, INDEX('Room Info'!$A$2:$A3446, MATCH(B370,'Room Info'!$H$2:$H3446, 0)),if(G370='Room Info'!$G$1, INDEX('Room Info'!$A$2:$A3446, MATCH(B370,'Room Info'!$G$2:$G3446, 0)))))))))</f>
        <v>Lo4io</v>
      </c>
      <c r="B370" s="50" t="s">
        <v>158</v>
      </c>
      <c r="C370" s="82">
        <v>44702.0</v>
      </c>
      <c r="D370" s="82">
        <v>44732.0</v>
      </c>
      <c r="E370" s="52">
        <v>44713.0</v>
      </c>
      <c r="F370" s="53" t="s">
        <v>4</v>
      </c>
      <c r="G370" s="50" t="s">
        <v>9</v>
      </c>
      <c r="H370" s="54" t="s">
        <v>78</v>
      </c>
      <c r="I370" s="54" t="s">
        <v>7</v>
      </c>
      <c r="J370" s="79">
        <v>50.0</v>
      </c>
      <c r="K370" s="80">
        <v>1664.0</v>
      </c>
      <c r="L370" s="77">
        <v>-2369.0</v>
      </c>
      <c r="M370" s="81">
        <v>1940.0</v>
      </c>
      <c r="N370" s="33">
        <f t="shared" si="13"/>
        <v>83200</v>
      </c>
      <c r="O370" s="50">
        <v>82565.0</v>
      </c>
      <c r="P370" s="34">
        <f t="shared" si="14"/>
        <v>49.61838942</v>
      </c>
      <c r="Q370" s="60"/>
      <c r="R370" s="36">
        <f t="shared" si="45"/>
        <v>1940</v>
      </c>
      <c r="S370" s="78">
        <v>116.0</v>
      </c>
      <c r="T370" s="37">
        <f t="shared" si="46"/>
        <v>2056</v>
      </c>
      <c r="U370" s="62">
        <v>1.053</v>
      </c>
      <c r="V370" s="74">
        <v>48.60864941510103</v>
      </c>
      <c r="W370" s="74">
        <v>89.09936918869644</v>
      </c>
      <c r="X370" s="35">
        <f t="shared" si="55"/>
        <v>0.15</v>
      </c>
      <c r="Y370" s="35">
        <f t="shared" si="56"/>
        <v>0</v>
      </c>
      <c r="Z370" s="40">
        <f t="shared" si="57"/>
        <v>1746.6778</v>
      </c>
      <c r="AA370" s="34">
        <f t="shared" si="60"/>
        <v>309.3222</v>
      </c>
      <c r="AB370" s="41">
        <f t="shared" si="49"/>
        <v>0</v>
      </c>
      <c r="AC370" s="42" t="b">
        <v>1</v>
      </c>
      <c r="AD370" s="66" t="s">
        <v>140</v>
      </c>
      <c r="AE370" s="66"/>
      <c r="AF370" s="42" t="str">
        <f t="array" ref="AF370">INDEX('Deal Info'!D:D, MATCH(A370,'Deal Info'!A:A, 0))</f>
        <v>DoEVLo</v>
      </c>
      <c r="AG370" s="43" t="str">
        <f t="array" ref="AG370">INDEX('Deal Info'!G:G, MATCH(A370,'Deal Info'!A:A, 0))</f>
        <v>None</v>
      </c>
    </row>
    <row r="371" hidden="1">
      <c r="A371" s="23" t="str">
        <f t="array" ref="A371">if(G371='Room Info'!$B$1, INDEX('Room Info'!$A$2:$A3446, MATCH(B371,'Room Info'!$B$2:$B3446, 0)),if(G371='Room Info'!$C$1, INDEX('Room Info'!$A$2:$A3446, MATCH(B371,'Room Info'!$C$2:$C3446, 0)),if(G371='Room Info'!$D$1, INDEX('Room Info'!$A$2:$A3446, MATCH(B371,'Room Info'!$D$2:$D3446, 0)),if(G371='Room Info'!$E$1, INDEX('Room Info'!$A$2:$A3446, MATCH(B371,'Room Info'!$E$2:$E3446, 0)),if(G371='Room Info'!$F$1, INDEX('Room Info'!$A$2:$A3446, MATCH(B371,'Room Info'!$F$2:$F3446, 0)),if(G371='Room Info'!$H$1, INDEX('Room Info'!$A$2:$A3446, MATCH(B371,'Room Info'!$H$2:$H3446, 0)),if(G371='Room Info'!$G$1, INDEX('Room Info'!$A$2:$A3446, MATCH(B371,'Room Info'!$G$2:$G3446, 0)))))))))</f>
        <v>Lo4io</v>
      </c>
      <c r="B371" s="50" t="s">
        <v>158</v>
      </c>
      <c r="C371" s="82">
        <v>44733.0</v>
      </c>
      <c r="D371" s="82">
        <v>44762.0</v>
      </c>
      <c r="E371" s="52">
        <v>44743.0</v>
      </c>
      <c r="F371" s="53" t="s">
        <v>4</v>
      </c>
      <c r="G371" s="50" t="s">
        <v>9</v>
      </c>
      <c r="H371" s="54" t="s">
        <v>78</v>
      </c>
      <c r="I371" s="54" t="s">
        <v>7</v>
      </c>
      <c r="J371" s="79">
        <v>50.0</v>
      </c>
      <c r="K371" s="80">
        <v>160.0</v>
      </c>
      <c r="L371" s="77">
        <v>562.0</v>
      </c>
      <c r="M371" s="81">
        <v>4005.0</v>
      </c>
      <c r="N371" s="33">
        <f t="shared" si="13"/>
        <v>8000</v>
      </c>
      <c r="O371" s="50">
        <v>10754.0</v>
      </c>
      <c r="P371" s="34">
        <f t="shared" si="14"/>
        <v>67.2125</v>
      </c>
      <c r="Q371" s="60"/>
      <c r="R371" s="36">
        <f t="shared" si="45"/>
        <v>4005</v>
      </c>
      <c r="S371" s="78">
        <v>236.0</v>
      </c>
      <c r="T371" s="37">
        <f t="shared" si="46"/>
        <v>4241</v>
      </c>
      <c r="U371" s="62">
        <v>1.021</v>
      </c>
      <c r="V371" s="74">
        <v>82.0617059891107</v>
      </c>
      <c r="W371" s="74">
        <v>38.19077317763624</v>
      </c>
      <c r="X371" s="35">
        <f t="shared" si="55"/>
        <v>0.2</v>
      </c>
      <c r="Y371" s="35">
        <f t="shared" si="56"/>
        <v>0</v>
      </c>
      <c r="Z371" s="40">
        <f t="shared" si="57"/>
        <v>3391.8088</v>
      </c>
      <c r="AA371" s="34">
        <f t="shared" si="60"/>
        <v>849.1912</v>
      </c>
      <c r="AB371" s="41">
        <f t="shared" si="49"/>
        <v>0</v>
      </c>
      <c r="AC371" s="42" t="b">
        <v>1</v>
      </c>
      <c r="AD371" s="66" t="s">
        <v>140</v>
      </c>
      <c r="AE371" s="66"/>
      <c r="AF371" s="42" t="str">
        <f t="array" ref="AF371">INDEX('Deal Info'!D:D, MATCH(A371,'Deal Info'!A:A, 0))</f>
        <v>DoEVLo</v>
      </c>
      <c r="AG371" s="43" t="str">
        <f t="array" ref="AG371">INDEX('Deal Info'!G:G, MATCH(A371,'Deal Info'!A:A, 0))</f>
        <v>None</v>
      </c>
    </row>
    <row r="372" hidden="1">
      <c r="A372" s="23" t="str">
        <f t="array" ref="A372">if(G372='Room Info'!$B$1, INDEX('Room Info'!$A$2:$A3446, MATCH(B372,'Room Info'!$B$2:$B3446, 0)),if(G372='Room Info'!$C$1, INDEX('Room Info'!$A$2:$A3446, MATCH(B372,'Room Info'!$C$2:$C3446, 0)),if(G372='Room Info'!$D$1, INDEX('Room Info'!$A$2:$A3446, MATCH(B372,'Room Info'!$D$2:$D3446, 0)),if(G372='Room Info'!$E$1, INDEX('Room Info'!$A$2:$A3446, MATCH(B372,'Room Info'!$E$2:$E3446, 0)),if(G372='Room Info'!$F$1, INDEX('Room Info'!$A$2:$A3446, MATCH(B372,'Room Info'!$F$2:$F3446, 0)),if(G372='Room Info'!$H$1, INDEX('Room Info'!$A$2:$A3446, MATCH(B372,'Room Info'!$H$2:$H3446, 0)),if(G372='Room Info'!$G$1, INDEX('Room Info'!$A$2:$A3446, MATCH(B372,'Room Info'!$G$2:$G3446, 0)))))))))</f>
        <v>Lo4io</v>
      </c>
      <c r="B372" s="50" t="s">
        <v>158</v>
      </c>
      <c r="C372" s="97">
        <v>44763.0</v>
      </c>
      <c r="D372" s="97">
        <v>44793.0</v>
      </c>
      <c r="E372" s="52">
        <v>44774.0</v>
      </c>
      <c r="F372" s="53" t="s">
        <v>4</v>
      </c>
      <c r="G372" s="50" t="s">
        <v>9</v>
      </c>
      <c r="H372" s="54" t="s">
        <v>78</v>
      </c>
      <c r="I372" s="54" t="s">
        <v>7</v>
      </c>
      <c r="J372" s="75">
        <v>50.0</v>
      </c>
      <c r="K372" s="76">
        <v>509.0</v>
      </c>
      <c r="L372" s="77">
        <v>904.0</v>
      </c>
      <c r="M372" s="98">
        <v>316.0</v>
      </c>
      <c r="N372" s="33">
        <f t="shared" si="13"/>
        <v>25450</v>
      </c>
      <c r="O372" s="50">
        <v>22597.0</v>
      </c>
      <c r="P372" s="34">
        <f t="shared" si="14"/>
        <v>44.39489194</v>
      </c>
      <c r="Q372" s="60"/>
      <c r="R372" s="36">
        <f t="shared" si="45"/>
        <v>316</v>
      </c>
      <c r="S372" s="78">
        <v>-228.0</v>
      </c>
      <c r="T372" s="37">
        <f t="shared" si="46"/>
        <v>88</v>
      </c>
      <c r="U372" s="62">
        <v>1.004</v>
      </c>
      <c r="V372" s="74">
        <v>72.4418955629339</v>
      </c>
      <c r="W372" s="74">
        <v>7.688920833333333</v>
      </c>
      <c r="X372" s="35">
        <f t="shared" si="55"/>
        <v>0.25</v>
      </c>
      <c r="Y372" s="35">
        <f t="shared" si="56"/>
        <v>0</v>
      </c>
      <c r="Z372" s="40">
        <f t="shared" si="57"/>
        <v>66.228</v>
      </c>
      <c r="AA372" s="34">
        <f t="shared" si="60"/>
        <v>21.772</v>
      </c>
      <c r="AB372" s="41">
        <f t="shared" si="49"/>
        <v>0</v>
      </c>
      <c r="AC372" s="42" t="b">
        <v>1</v>
      </c>
      <c r="AD372" s="66" t="s">
        <v>140</v>
      </c>
      <c r="AE372" s="66"/>
      <c r="AF372" s="42" t="str">
        <f t="array" ref="AF372">INDEX('Deal Info'!D:D, MATCH(A372,'Deal Info'!A:A, 0))</f>
        <v>DoEVLo</v>
      </c>
      <c r="AG372" s="43" t="str">
        <f t="array" ref="AG372">INDEX('Deal Info'!G:G, MATCH(A372,'Deal Info'!A:A, 0))</f>
        <v>None</v>
      </c>
    </row>
    <row r="373" hidden="1">
      <c r="A373" s="23" t="str">
        <f t="array" ref="A373">if(G373='Room Info'!$B$1, INDEX('Room Info'!$A$2:$A3446, MATCH(B373,'Room Info'!$B$2:$B3446, 0)),if(G373='Room Info'!$C$1, INDEX('Room Info'!$A$2:$A3446, MATCH(B373,'Room Info'!$C$2:$C3446, 0)),if(G373='Room Info'!$D$1, INDEX('Room Info'!$A$2:$A3446, MATCH(B373,'Room Info'!$D$2:$D3446, 0)),if(G373='Room Info'!$E$1, INDEX('Room Info'!$A$2:$A3446, MATCH(B373,'Room Info'!$E$2:$E3446, 0)),if(G373='Room Info'!$F$1, INDEX('Room Info'!$A$2:$A3446, MATCH(B373,'Room Info'!$F$2:$F3446, 0)),if(G373='Room Info'!$H$1, INDEX('Room Info'!$A$2:$A3446, MATCH(B373,'Room Info'!$H$2:$H3446, 0)),if(G373='Room Info'!$G$1, INDEX('Room Info'!$A$2:$A3446, MATCH(B373,'Room Info'!$G$2:$G3446, 0)))))))))</f>
        <v>Lo4io</v>
      </c>
      <c r="B373" s="50" t="s">
        <v>158</v>
      </c>
      <c r="C373" s="51">
        <v>44733.0</v>
      </c>
      <c r="D373" s="51">
        <v>44762.0</v>
      </c>
      <c r="E373" s="52">
        <v>44743.0</v>
      </c>
      <c r="F373" s="53" t="s">
        <v>4</v>
      </c>
      <c r="G373" s="50" t="s">
        <v>9</v>
      </c>
      <c r="H373" s="54" t="s">
        <v>78</v>
      </c>
      <c r="I373" s="54" t="s">
        <v>7</v>
      </c>
      <c r="J373" s="55">
        <v>50.0</v>
      </c>
      <c r="K373" s="56">
        <v>160.0</v>
      </c>
      <c r="L373" s="57">
        <v>562.0</v>
      </c>
      <c r="M373" s="58">
        <v>4005.0</v>
      </c>
      <c r="N373" s="33">
        <f t="shared" si="13"/>
        <v>8000</v>
      </c>
      <c r="O373" s="59">
        <v>10754.0</v>
      </c>
      <c r="P373" s="34">
        <f t="shared" si="14"/>
        <v>67.2125</v>
      </c>
      <c r="Q373" s="60"/>
      <c r="R373" s="36">
        <f t="shared" si="45"/>
        <v>4005</v>
      </c>
      <c r="S373" s="61">
        <v>236.0</v>
      </c>
      <c r="T373" s="37">
        <f t="shared" si="46"/>
        <v>4241</v>
      </c>
      <c r="U373" s="62">
        <v>1.021</v>
      </c>
      <c r="V373" s="63"/>
      <c r="W373" s="63"/>
      <c r="X373" s="83">
        <v>0.2</v>
      </c>
      <c r="Y373" s="35">
        <f>if(AG373="None",0,if(AG373="Fix5",0.05, if(AG373="Fix6.25",0.0625,if(AG373="Fix3.75",0.0375,if(AG373="Fix10",0.1,if(AG373="Fix3",0.03,0))))))</f>
        <v>0</v>
      </c>
      <c r="Z373" s="40">
        <f t="shared" si="57"/>
        <v>3391.8088</v>
      </c>
      <c r="AA373" s="34">
        <f t="shared" si="60"/>
        <v>849.1912</v>
      </c>
      <c r="AB373" s="41">
        <f t="shared" si="49"/>
        <v>0</v>
      </c>
      <c r="AC373" s="42" t="b">
        <v>1</v>
      </c>
      <c r="AD373" s="50" t="s">
        <v>140</v>
      </c>
      <c r="AE373" s="50"/>
      <c r="AF373" s="42" t="str">
        <f t="array" ref="AF373">INDEX('Deal Info'!D:D, MATCH(A373,'Deal Info'!A:A, 0))</f>
        <v>DoEVLo</v>
      </c>
      <c r="AG373" s="43" t="str">
        <f t="array" ref="AG373">INDEX('Deal Info'!G:G, MATCH(A373,'Deal Info'!A:A, 0))</f>
        <v>None</v>
      </c>
    </row>
    <row r="374" hidden="1">
      <c r="A374" s="23" t="str">
        <f t="array" ref="A374">if(G374='Room Info'!$B$1, INDEX('Room Info'!$A$2:$A3446, MATCH(B374,'Room Info'!$B$2:$B3446, 0)),if(G374='Room Info'!$C$1, INDEX('Room Info'!$A$2:$A3446, MATCH(B374,'Room Info'!$C$2:$C3446, 0)),if(G374='Room Info'!$D$1, INDEX('Room Info'!$A$2:$A3446, MATCH(B374,'Room Info'!$D$2:$D3446, 0)),if(G374='Room Info'!$E$1, INDEX('Room Info'!$A$2:$A3446, MATCH(B374,'Room Info'!$E$2:$E3446, 0)),if(G374='Room Info'!$F$1, INDEX('Room Info'!$A$2:$A3446, MATCH(B374,'Room Info'!$F$2:$F3446, 0)),if(G374='Room Info'!$H$1, INDEX('Room Info'!$A$2:$A3446, MATCH(B374,'Room Info'!$H$2:$H3446, 0)),if(G374='Room Info'!$G$1, INDEX('Room Info'!$A$2:$A3446, MATCH(B374,'Room Info'!$G$2:$G3446, 0)))))))))</f>
        <v>DeusVulter</v>
      </c>
      <c r="B374" s="50" t="s">
        <v>168</v>
      </c>
      <c r="C374" s="51">
        <v>44903.0</v>
      </c>
      <c r="D374" s="51">
        <v>44926.0</v>
      </c>
      <c r="E374" s="52">
        <v>44896.0</v>
      </c>
      <c r="F374" s="53" t="s">
        <v>4</v>
      </c>
      <c r="G374" s="50" t="s">
        <v>16</v>
      </c>
      <c r="H374" s="54" t="s">
        <v>59</v>
      </c>
      <c r="I374" s="54" t="s">
        <v>7</v>
      </c>
      <c r="J374" s="75">
        <v>20.0</v>
      </c>
      <c r="K374" s="76">
        <v>2775.0</v>
      </c>
      <c r="L374" s="57">
        <v>-2260.0</v>
      </c>
      <c r="M374" s="58">
        <v>1621.0</v>
      </c>
      <c r="N374" s="33">
        <f t="shared" si="13"/>
        <v>55500</v>
      </c>
      <c r="O374" s="59">
        <v>81132.0</v>
      </c>
      <c r="P374" s="34">
        <f t="shared" si="14"/>
        <v>29.23675676</v>
      </c>
      <c r="Q374" s="60"/>
      <c r="R374" s="36">
        <f t="shared" si="45"/>
        <v>1621</v>
      </c>
      <c r="S374" s="61">
        <v>-412.0</v>
      </c>
      <c r="T374" s="37">
        <f t="shared" si="46"/>
        <v>1209</v>
      </c>
      <c r="U374" s="62">
        <v>1.0</v>
      </c>
      <c r="V374" s="74">
        <v>19.994596541786745</v>
      </c>
      <c r="W374" s="74">
        <v>60.71640392757409</v>
      </c>
      <c r="X374" s="35">
        <f t="shared" ref="X374:X398" si="62">IF(AF374="DoEV",IF(AND(V374&lt;20,W374&lt;55),0.3,0)+IF(AND(V374&lt;20,W374&gt;=55,W374&lt;105),0.23,0)+IF(AND(V374&lt;20,W374&gt;=105),0.17,0)+IF(AND(V374&gt;=20,V374&lt;40,W374&lt;45),0.3,0)+IF(AND(V374&gt;=20,V374&lt;40,W374&gt;=45,W374&lt;95),0.23,0)+IF(AND(V374&gt;=20,V374&lt;40,W374&gt;=95),0.17,0)+IF(AND(V374&gt;=40,V374&lt;75,W374&lt;35),0.3,0)+IF(AND(V374&gt;=40,V374&lt;75,W374&gt;=35,W374&lt;75),0.23,0)+IF(AND(V374&gt;=40,V374&lt;75,W374&gt;=75,W374&lt;120),0.17,0)+IF(AND(V374&gt;=40,V374&lt;75,W374&gt;=120),0.12,0)+IF(AND(V374&gt;=75,V374&lt;175,W374&lt;35),0.3,0)+IF(AND(V374&gt;=75,V374&lt;=175,W374&gt;=35,W374&lt;65),0.23,0)+IF(AND(V374&gt;=75,V374&lt;=175,W374&gt;=65,W374&lt;110),0.17,0)+IF(AND(V374&gt;=75,V374&lt;=175,W374&gt;=110),0.12,0)+IF(AND(V374&gt;175,W374&lt;25),0.3,0)+IF(AND(V374&gt;175,W374&gt;=25,W374&lt;55),0.23,0)+IF(AND(V374&gt;175,W374&gt;=55,W374&lt;95),0.17,0)+IF(AND(V374&gt;175,W374&gt;=95),0.12,0),
IF(AF374="Fix15",0.15,
IF(AF374="Fix11.25",0.1125,
IF(AF374="Fix10",0.1,
IF(AF374="Fix9",0.09,
IF(AF374="DoEV2017",IF(AND(W374&lt;74),0.2,0)+IF(AND(W374&gt;=74),0.17,0),
IF(AF374="SF",IF(AND(V374&lt;20,W374&lt;89),0.3,0)+IF(AND(V374&lt;20,W374&gt;=89),0.25,0)+IF(AND(V374&gt;=20,V374&lt;40,W374&lt;74),0.3,0)+IF(AND(V374&gt;=20,V374&lt;40,W374&gt;=75),0.22,0)+IF(AND(V374&gt;=40,V374&lt;75,W374&lt;75),0.26,0)+IF(AND(V374&gt;=40,V374&lt;75,W374&gt;=75),0.22,0)+IF(V374&gt;=75,0.22,0),
IF(AF374="DoEVold",IF(AND(V374&lt;40,W374&lt;35),0.35,0)+IF(AND(V374&lt;40,W374&gt;=35,W374&lt;75),0.25,0)+IF(AND(V374&lt;40,W374&gt;=75),0.17,0)+IF(AND(V374&gt;=40,V374&lt;75,W374&lt;25),0.35,0)+IF(AND(V374&gt;=40,V374&lt;75,W374&gt;=25,W374&lt;65),0.25,0)+IF(AND(V374&gt;=40,V374&lt;75,W374&gt;=65,W374&lt;100),0.17,0)+IF(AND(V374&gt;=40,V374&lt;75,W374&gt;=100),0.1,0)+IF(AND(V374&gt;=75,W374&lt;25),0.35,0)+IF(AND(V374&gt;=75,W374&gt;=25,W374&lt;60),0.25,0)+IF(AND(V374&gt;=75,W374&gt;=60,W374&lt;95),0.17,0)+IF(AND(V374&gt;=75,W374&gt;=95),0.1,0),
IF(AF374="DoEVold15",IF(AND(V374&lt;=40,W374&lt;35),0.35,0)+IF(AND(V374&lt;=40,W374&gt;=35,W374&lt;75),0.25,0)+IF(AND(V374&lt;=40,W374&gt;=75,W374&lt;120),0.17,0)+IF(AND(V374&lt;=40,W374&gt;=120),0.15,0)+IF(AND(V374&gt;40,V374&lt;75,W374&lt;25),0.35,0)+IF(AND(V374&gt;=40,V374&lt;75,W374&gt;=25,W374&lt;65),0.25,0)+IF(AND(V374&gt;=40,V374&lt;75,W374&gt;=65,W374&lt;100),0.17,0)+IF(AND(V374&gt;=40,V374&lt;75,W374&gt;=100),0.1,0)+IF(AND(V374&gt;=75,W374&lt;25),0.35,0)+IF(AND(V374&gt;=75,W374&gt;=25,W374&lt;60),0.25,0)+IF(AND(V374&gt;=75,W374&gt;=60,W374&lt;95),0.17,0)+IF(AND(V374&gt;=75,W374&gt;=95),0.1,0),
IF(AF374="DoEVba",IF(AND(V374&lt;20,W374&lt;105),0.2,0)+IF(AND(V374&lt;20,W374&gt;=105),0.15,0)+IF(AND(V374&gt;=20,V374&lt;40,W374&lt;95),0.2,0)+IF(AND(V374&gt;=20,V374&lt;40,W374&gt;=95,W374&lt;150),0.15,0)+IF(AND(V374&gt;=20,V374&lt;40,W374&gt;=150),0.12,0)+IF(AND(V374&gt;=40,V374&lt;75,W374&lt;75),0.2,0)+IF(AND(V374&gt;=40,V374&lt;75,W374&gt;=75,W374&lt;120),0.15,0)+IF(AND(V374&gt;=40,V374&lt;75,W374&gt;=120),0.12,0)+IF(AND(V374&gt;=75,V374&lt;175,W374&lt;65),0.2,0)+IF(AND(V374&gt;=75,V374&lt;175,W374&gt;=65,W374&lt;110),0.15,0)+IF(AND(V374&gt;=75,V374&lt;175,W374&gt;=110),0.12,0)+IF(AND(V374&gt;=175,W374&lt;55),0.2,0)+IF(AND(V374&gt;=175,W374&gt;=55,W374&lt;95),0.15,0)+IF(AND(V374&gt;=175,W374&gt;=95),0.12,0),
IF(AF374="DoEVku",IF(AND(V374&lt;20,W374&lt;55),0.23,0)+IF(AND(V374&lt;20,W374&gt;=55,W374&lt;105),0.2,0)+IF(AND(V374&lt;20,W374&gt;=105),0.17,0)+IF(AND(V374&gt;=20,V374&lt;40,W374&lt;45),0.23,0)+IF(AND(V374&gt;=20,V374&lt;40,W374&gt;=45,W374&lt;95),0.2,0)+IF(AND(V374&gt;=20,V374&lt;40,W374&gt;=95,W374&lt;=150),0.17,0)+IF(AND(V374&gt;=20,V374&lt;40,W374&gt;=150),0.12,0)+IF(AND(V374&gt;=40,V374&lt;75,W374&lt;35),0.23,0)+IF(AND(V374&gt;=40,V374&lt;75,W374&gt;=35,W374&lt;75),0.2,0)+IF(AND(V374&gt;=40,V374&lt;75,W374&gt;=75,W374&lt;120),0.17,0)+IF(AND(V374&gt;=40,V374&lt;75,W374&gt;=120),0.12,0)+IF(AND(V374&gt;=75,V374&lt;175,W374&lt;35),0.23,0)+IF(AND(V374&gt;=75,V374&lt;=175,W374&gt;=35,W374&lt;65),0.2,0)+IF(AND(V374&gt;=75,V374&lt;=175,W374&gt;=65,W374&lt;110),0.17,0)+IF(AND(V374&gt;=75,V374&lt;=175,W374&gt;=110),0.12,0)+IF(AND(V374&gt;175,W374&lt;25),0.23,0)+IF(AND(V374&gt;175,W374&gt;=25,W374&lt;55),0.2,0)+IF(AND(V374&gt;175,W374&gt;=55,W374&lt;95),0.17,0)+IF(AND(V374&gt;175,W374&gt;=95),0.12,0),
IF(AF374="DoEVs1",IF(AND(V374&lt;20,W374&lt;55),0.3,0)+IF(AND(V374&lt;20,W374&gt;=55,W374&lt;105),0.23,0)+IF(AND(V374&lt;20,W374&gt;=105),0.17,0)+IF(AND(V374&gt;=20,V374&lt;40,W374&lt;45),0.3,0)+IF(AND(V374&gt;=20,V374&lt;40,W374&gt;=45,W374&lt;95),0.23,0)+IF(AND(V374&gt;=20,V374&lt;40,W374&gt;=95,W374&lt;=150),0.17,0)+IF(AND(V374&gt;=20,V374&lt;40,W374&gt;=150),0.12,0)+IF(AND(V374&gt;=40,V374&lt;75,W374&lt;35),0.3,0)+IF(AND(V374&gt;=40,V374&lt;75,W374&gt;=35,W374&lt;75),0.23,0)+IF(AND(V374&gt;=40,V374&lt;75,W374&gt;=75,W374&lt;120),0.17,0)+IF(AND(V374&gt;=40,V374&lt;75,W374&gt;=120),0.12,0)+IF(AND(V374&gt;=75,V374&lt;175,W374&lt;35),0.3,0)+IF(AND(V374&gt;=75,V374&lt;=175,W374&gt;=35,W374&lt;65),0.23,0)+IF(AND(V374&gt;=75,V374&lt;=175,W374&gt;=65,W374&lt;110),0.17,0)+IF(AND(V374&gt;=75,V374&lt;=175,W374&gt;=110),0.12,0)+IF(AND(V374&gt;175,W374&lt;25),0.3,0)+IF(AND(V374&gt;175,W374&gt;=25,W374&lt;55),0.23,0)+IF(AND(V374&gt;175,W374&gt;=55,W374&lt;95),0.17,0)+IF(AND(V374&gt;175,W374&gt;=95),0.12,0),
IF(AF374="DoEVsu",IF(AND(V374&lt;20,W374&lt;55),0.3,0)+IF(AND(V374&lt;20,W374&gt;=55,W374&lt;105),0.23,0)+IF(AND(V374&lt;20,W374&gt;=105),0.17,0)+IF(AND(V374&gt;=20,V374&lt;40,W374&lt;45),0.3,0)+IF(AND(V374&gt;=20,V374&lt;40,W374&gt;=45,W374&lt;95),0.23,0)+IF(AND(V374&gt;=20,V374&lt;40,W374&gt;=95,W374&lt;=250),0.17,0)+IF(AND(V374&gt;=20,V374&lt;40,W374&gt;=250),0.12,0)+IF(AND(V374&gt;=40,V374&lt;75,W374&lt;35),0.3,0)+IF(AND(V374&gt;=40,V374&lt;75,W374&gt;=35,W374&lt;75),0.23,0)+IF(AND(V374&gt;=40,V374&lt;75,W374&gt;=75,W374&lt;120),0.17,0)+IF(AND(V374&gt;=40,V374&lt;75,W374&gt;=120),0.12,0)+IF(AND(V374&gt;=75,V374&lt;175,W374&lt;35),0.3,0)+IF(AND(V374&gt;=75,V374&lt;=175,W374&gt;=35,W374&lt;65),0.23,0)+IF(AND(V374&gt;=75,V374&lt;=175,W374&gt;=65,W374&lt;110),0.17,0)+IF(AND(V374&gt;=75,V374&lt;=175,W374&gt;=110),0.12,0)+IF(AND(V374&gt;175,W374&lt;25),0.3,0)+IF(AND(V374&gt;175,W374&gt;=25,W374&lt;55),0.23,0)+IF(AND(V374&gt;175,W374&gt;=55,W374&lt;95),0.17,0)+IF(AND(V374&gt;175,W374&gt;=95),0.12,0),
IF(AF374="DoEVni",IF(AND(V374&lt;20,W374&lt;55),0.3,0)+IF(AND(V374&lt;20,W374&gt;=55,W374&lt;105),0.23,0)+IF(AND(V374&lt;20,W374&gt;=105),0.17,0)+IF(AND(V374&gt;=20,V374&lt;40,W374&lt;45),0.3,0)+IF(AND(V374&gt;=20,V374&lt;40,W374&gt;=45,W374&lt;95),0.23,0)+IF(AND(V374&gt;=20,V374&lt;40,W374&gt;=95,W374&lt;=200),0.17,0)+IF(AND(V374&gt;=20,V374&lt;40,W374&gt;=200),0.12,0)+IF(AND(V374&gt;=40,V374&lt;75,W374&lt;35),0.3,0)+IF(AND(V374&gt;=40,V374&lt;75,W374&gt;=35,W374&lt;75),0.23,0)+IF(AND(V374&gt;=40,V374&lt;75,W374&gt;=75,W374&lt;120),0.17,0)+IF(AND(V374&gt;=40,V374&lt;75,W374&gt;=120),0.12,0)+IF(AND(V374&gt;=75,V374&lt;175,W374&lt;35),0.3,0)+IF(AND(V374&gt;=75,V374&lt;=175,W374&gt;=35,W374&lt;65),0.23,0)+IF(AND(V374&gt;=75,V374&lt;=175,W374&gt;=65,W374&lt;110),0.17,0)+IF(AND(V374&gt;=75,V374&lt;=175,W374&gt;=110),0.12,0)+IF(AND(V374&gt;175,W374&lt;25),0.3,0)+IF(AND(V374&gt;175,W374&gt;=25,W374&lt;55),0.23,0)+IF(AND(V374&gt;175,W374&gt;=55,W374&lt;95),0.17,0)+IF(AND(V374&gt;175,W374&gt;=95),0.12,0),
IF(AF374="DoEVLo",IF(AND(V374&lt;20,W374&lt;55),0.25,0)+IF(AND(V374&lt;20,W374&gt;=55,W374&lt;105),0.2,0)+IF(AND(V374&lt;20,W374&gt;=105),0.15,0)+IF(AND(V374&gt;=20,V374&lt;40,W374&lt;45),0.25,0)+IF(AND(V374&gt;=20,V374&lt;40,W374&gt;=45,W374&lt;95),0.2,0)+IF(AND(V374&gt;=20,V374&lt;40,W374&gt;=95),0.15,0)+IF(AND(V374&gt;=40,V374&lt;75,W374&lt;35),0.25,0)+IF(AND(V374&gt;=40,V374&lt;75,W374&gt;=35,W374&lt;75),0.2,0)+IF(AND(V374&gt;=40,V374&lt;75,W374&gt;=75,W374&lt;120),0.15,0)+IF(AND(V374&gt;=40,V374&lt;75,W374&gt;=120),0.1,0)+IF(AND(V374&gt;=75,V374&lt;175,W374&lt;35),0.25,0)+IF(AND(V374&gt;=75,V374&lt;=175,W374&gt;=35,W374&lt;65),0.2,0)+IF(AND(V374&gt;=75,V374&lt;=175,W374&gt;=65,W374&lt;110),0.15,0)+IF(AND(V374&gt;=75,V374&lt;=175,W374&gt;=110),0.1,0)+IF(AND(V374&gt;175,W374&lt;25),0.25,0)+IF(AND(V374&gt;175,W374&gt;=25,W374&lt;55),0.2,0)+IF(AND(V374&gt;175,W374&gt;=55,W374&lt;95),0.15,0)+IF(AND(V374&gt;175,W374&gt;=95),0.1,0))))))))))))))))</f>
        <v>0.23</v>
      </c>
      <c r="Y374" s="35">
        <f t="shared" ref="Y374:Y429" si="63">if(AG374="None",0,if(AG374="Fix5",0.05,if(AG374="Fix3.75",0.0375,if(AG374="Fix10",0.1,if(AG374="Fix3",0.03,0)))))</f>
        <v>0</v>
      </c>
      <c r="Z374" s="40">
        <f t="shared" si="57"/>
        <v>930.93</v>
      </c>
      <c r="AA374" s="34">
        <f t="shared" si="60"/>
        <v>278.07</v>
      </c>
      <c r="AB374" s="41">
        <f t="shared" si="49"/>
        <v>0</v>
      </c>
      <c r="AC374" s="42" t="b">
        <v>1</v>
      </c>
      <c r="AD374" s="42" t="s">
        <v>138</v>
      </c>
      <c r="AE374" s="42" t="s">
        <v>138</v>
      </c>
      <c r="AF374" s="42" t="str">
        <f t="array" ref="AF374">INDEX('Deal Info'!D:D, MATCH(A374,'Deal Info'!A:A, 0))</f>
        <v>DoEV</v>
      </c>
      <c r="AG374" s="43" t="str">
        <f t="array" ref="AG374">INDEX('Deal Info'!G:G, MATCH(A374,'Deal Info'!A:A, 0))</f>
        <v>None</v>
      </c>
    </row>
    <row r="375" hidden="1">
      <c r="A375" s="23" t="str">
        <f t="array" ref="A375">if(G375='Room Info'!$B$1, INDEX('Room Info'!$A$2:$A3446, MATCH(B375,'Room Info'!$B$2:$B3446, 0)),if(G375='Room Info'!$C$1, INDEX('Room Info'!$A$2:$A3446, MATCH(B375,'Room Info'!$C$2:$C3446, 0)),if(G375='Room Info'!$D$1, INDEX('Room Info'!$A$2:$A3446, MATCH(B375,'Room Info'!$D$2:$D3446, 0)),if(G375='Room Info'!$E$1, INDEX('Room Info'!$A$2:$A3446, MATCH(B375,'Room Info'!$E$2:$E3446, 0)),if(G375='Room Info'!$F$1, INDEX('Room Info'!$A$2:$A3446, MATCH(B375,'Room Info'!$F$2:$F3446, 0)),if(G375='Room Info'!$H$1, INDEX('Room Info'!$A$2:$A3446, MATCH(B375,'Room Info'!$H$2:$H3446, 0)),if(G375='Room Info'!$G$1, INDEX('Room Info'!$A$2:$A3446, MATCH(B375,'Room Info'!$G$2:$G3446, 0)))))))))</f>
        <v>DeusVulter</v>
      </c>
      <c r="B375" s="50" t="s">
        <v>168</v>
      </c>
      <c r="C375" s="51">
        <v>44903.0</v>
      </c>
      <c r="D375" s="51">
        <v>44926.0</v>
      </c>
      <c r="E375" s="52">
        <v>44896.0</v>
      </c>
      <c r="F375" s="53" t="s">
        <v>4</v>
      </c>
      <c r="G375" s="50" t="s">
        <v>16</v>
      </c>
      <c r="H375" s="54" t="s">
        <v>35</v>
      </c>
      <c r="I375" s="54" t="s">
        <v>7</v>
      </c>
      <c r="J375" s="75">
        <v>5.0</v>
      </c>
      <c r="K375" s="76">
        <v>1.0</v>
      </c>
      <c r="L375" s="57">
        <v>5.0</v>
      </c>
      <c r="M375" s="58">
        <v>5.0</v>
      </c>
      <c r="N375" s="33">
        <f t="shared" si="13"/>
        <v>5</v>
      </c>
      <c r="O375" s="59">
        <v>32.0</v>
      </c>
      <c r="P375" s="34">
        <f t="shared" si="14"/>
        <v>32</v>
      </c>
      <c r="Q375" s="60"/>
      <c r="R375" s="36">
        <f t="shared" si="45"/>
        <v>5</v>
      </c>
      <c r="S375" s="61">
        <v>0.0</v>
      </c>
      <c r="T375" s="37">
        <f t="shared" si="46"/>
        <v>5</v>
      </c>
      <c r="U375" s="62">
        <v>1.0</v>
      </c>
      <c r="V375" s="74">
        <v>19.994596541786745</v>
      </c>
      <c r="W375" s="74">
        <v>60.71640392757409</v>
      </c>
      <c r="X375" s="35">
        <f t="shared" si="62"/>
        <v>0.23</v>
      </c>
      <c r="Y375" s="35">
        <f t="shared" si="63"/>
        <v>0</v>
      </c>
      <c r="Z375" s="40">
        <f t="shared" si="57"/>
        <v>3.85</v>
      </c>
      <c r="AA375" s="34">
        <f t="shared" si="60"/>
        <v>1.15</v>
      </c>
      <c r="AB375" s="41">
        <f t="shared" si="49"/>
        <v>0</v>
      </c>
      <c r="AC375" s="42" t="b">
        <v>1</v>
      </c>
      <c r="AD375" s="42" t="s">
        <v>138</v>
      </c>
      <c r="AE375" s="42" t="s">
        <v>138</v>
      </c>
      <c r="AF375" s="42" t="str">
        <f t="array" ref="AF375">INDEX('Deal Info'!D:D, MATCH(A375,'Deal Info'!A:A, 0))</f>
        <v>DoEV</v>
      </c>
      <c r="AG375" s="43" t="str">
        <f t="array" ref="AG375">INDEX('Deal Info'!G:G, MATCH(A375,'Deal Info'!A:A, 0))</f>
        <v>None</v>
      </c>
    </row>
    <row r="376" hidden="1">
      <c r="A376" s="23" t="str">
        <f t="array" ref="A376">if(G376='Room Info'!$B$1, INDEX('Room Info'!$A$2:$A3446, MATCH(B376,'Room Info'!$B$2:$B3446, 0)),if(G376='Room Info'!$C$1, INDEX('Room Info'!$A$2:$A3446, MATCH(B376,'Room Info'!$C$2:$C3446, 0)),if(G376='Room Info'!$D$1, INDEX('Room Info'!$A$2:$A3446, MATCH(B376,'Room Info'!$D$2:$D3446, 0)),if(G376='Room Info'!$E$1, INDEX('Room Info'!$A$2:$A3446, MATCH(B376,'Room Info'!$E$2:$E3446, 0)),if(G376='Room Info'!$F$1, INDEX('Room Info'!$A$2:$A3446, MATCH(B376,'Room Info'!$F$2:$F3446, 0)),if(G376='Room Info'!$H$1, INDEX('Room Info'!$A$2:$A3446, MATCH(B376,'Room Info'!$H$2:$H3446, 0)),if(G376='Room Info'!$G$1, INDEX('Room Info'!$A$2:$A3446, MATCH(B376,'Room Info'!$G$2:$G3446, 0)))))))))</f>
        <v>S1lense</v>
      </c>
      <c r="B376" s="50" t="s">
        <v>169</v>
      </c>
      <c r="C376" s="51">
        <v>44738.0</v>
      </c>
      <c r="D376" s="51">
        <v>44762.0</v>
      </c>
      <c r="E376" s="52">
        <v>44743.0</v>
      </c>
      <c r="F376" s="53" t="s">
        <v>4</v>
      </c>
      <c r="G376" s="50" t="s">
        <v>5</v>
      </c>
      <c r="H376" s="54" t="s">
        <v>48</v>
      </c>
      <c r="I376" s="54" t="s">
        <v>11</v>
      </c>
      <c r="J376" s="75">
        <v>10.0</v>
      </c>
      <c r="K376" s="76">
        <v>14983.0</v>
      </c>
      <c r="L376" s="57">
        <v>-5340.0</v>
      </c>
      <c r="M376" s="58">
        <v>3592.0</v>
      </c>
      <c r="N376" s="33">
        <f t="shared" si="13"/>
        <v>149830</v>
      </c>
      <c r="O376" s="59">
        <v>248440.0</v>
      </c>
      <c r="P376" s="34">
        <f t="shared" si="14"/>
        <v>16.58145899</v>
      </c>
      <c r="Q376" s="60"/>
      <c r="R376" s="36">
        <f t="shared" si="45"/>
        <v>3592</v>
      </c>
      <c r="S376" s="61">
        <v>-3692.0</v>
      </c>
      <c r="T376" s="37">
        <f t="shared" si="46"/>
        <v>-100</v>
      </c>
      <c r="U376" s="62">
        <v>1.0</v>
      </c>
      <c r="V376" s="63">
        <v>21.0</v>
      </c>
      <c r="W376" s="63">
        <v>305.2</v>
      </c>
      <c r="X376" s="35">
        <f t="shared" si="62"/>
        <v>0.12</v>
      </c>
      <c r="Y376" s="35">
        <f t="shared" si="63"/>
        <v>0</v>
      </c>
      <c r="Z376" s="40">
        <f t="shared" si="57"/>
        <v>-88</v>
      </c>
      <c r="AA376" s="34">
        <f t="shared" si="60"/>
        <v>-12</v>
      </c>
      <c r="AB376" s="41">
        <f t="shared" si="49"/>
        <v>0</v>
      </c>
      <c r="AC376" s="42" t="b">
        <v>1</v>
      </c>
      <c r="AD376" s="42" t="s">
        <v>138</v>
      </c>
      <c r="AE376" s="42" t="s">
        <v>138</v>
      </c>
      <c r="AF376" s="42" t="str">
        <f t="array" ref="AF376">INDEX('Deal Info'!D:D, MATCH(A376,'Deal Info'!A:A, 0))</f>
        <v>DoEVs1</v>
      </c>
      <c r="AG376" s="43" t="str">
        <f t="array" ref="AG376">INDEX('Deal Info'!G:G, MATCH(A376,'Deal Info'!A:A, 0))</f>
        <v>None</v>
      </c>
    </row>
    <row r="377" hidden="1">
      <c r="A377" s="23" t="str">
        <f t="array" ref="A377">if(G377='Room Info'!$B$1, INDEX('Room Info'!$A$2:$A3446, MATCH(B377,'Room Info'!$B$2:$B3446, 0)),if(G377='Room Info'!$C$1, INDEX('Room Info'!$A$2:$A3446, MATCH(B377,'Room Info'!$C$2:$C3446, 0)),if(G377='Room Info'!$D$1, INDEX('Room Info'!$A$2:$A3446, MATCH(B377,'Room Info'!$D$2:$D3446, 0)),if(G377='Room Info'!$E$1, INDEX('Room Info'!$A$2:$A3446, MATCH(B377,'Room Info'!$E$2:$E3446, 0)),if(G377='Room Info'!$F$1, INDEX('Room Info'!$A$2:$A3446, MATCH(B377,'Room Info'!$F$2:$F3446, 0)),if(G377='Room Info'!$H$1, INDEX('Room Info'!$A$2:$A3446, MATCH(B377,'Room Info'!$H$2:$H3446, 0)),if(G377='Room Info'!$G$1, INDEX('Room Info'!$A$2:$A3446, MATCH(B377,'Room Info'!$G$2:$G3446, 0)))))))))</f>
        <v>S1lense</v>
      </c>
      <c r="B377" s="50" t="s">
        <v>169</v>
      </c>
      <c r="C377" s="51">
        <v>44763.0</v>
      </c>
      <c r="D377" s="51">
        <v>44793.0</v>
      </c>
      <c r="E377" s="52">
        <v>44774.0</v>
      </c>
      <c r="F377" s="53" t="s">
        <v>4</v>
      </c>
      <c r="G377" s="50" t="s">
        <v>5</v>
      </c>
      <c r="H377" s="54" t="s">
        <v>38</v>
      </c>
      <c r="I377" s="54" t="s">
        <v>11</v>
      </c>
      <c r="J377" s="75">
        <v>5.0</v>
      </c>
      <c r="K377" s="76">
        <v>2.0</v>
      </c>
      <c r="L377" s="57">
        <v>-10.0</v>
      </c>
      <c r="M377" s="58">
        <v>1.0</v>
      </c>
      <c r="N377" s="33">
        <f t="shared" si="13"/>
        <v>10</v>
      </c>
      <c r="O377" s="59">
        <v>167.0</v>
      </c>
      <c r="P377" s="34">
        <f t="shared" si="14"/>
        <v>83.5</v>
      </c>
      <c r="Q377" s="60"/>
      <c r="R377" s="36">
        <f t="shared" si="45"/>
        <v>1</v>
      </c>
      <c r="S377" s="61">
        <v>2.0</v>
      </c>
      <c r="T377" s="37">
        <f t="shared" si="46"/>
        <v>3</v>
      </c>
      <c r="U377" s="62">
        <v>1.0</v>
      </c>
      <c r="V377" s="63">
        <v>21.0</v>
      </c>
      <c r="W377" s="63">
        <v>305.2</v>
      </c>
      <c r="X377" s="35">
        <f t="shared" si="62"/>
        <v>0.12</v>
      </c>
      <c r="Y377" s="35">
        <f t="shared" si="63"/>
        <v>0</v>
      </c>
      <c r="Z377" s="40">
        <f t="shared" si="57"/>
        <v>2.64</v>
      </c>
      <c r="AA377" s="34">
        <f t="shared" si="60"/>
        <v>0.36</v>
      </c>
      <c r="AB377" s="41">
        <f t="shared" si="49"/>
        <v>0</v>
      </c>
      <c r="AC377" s="42" t="b">
        <v>1</v>
      </c>
      <c r="AD377" s="42" t="s">
        <v>138</v>
      </c>
      <c r="AE377" s="42" t="s">
        <v>138</v>
      </c>
      <c r="AF377" s="42" t="str">
        <f t="array" ref="AF377">INDEX('Deal Info'!D:D, MATCH(A377,'Deal Info'!A:A, 0))</f>
        <v>DoEVs1</v>
      </c>
      <c r="AG377" s="43" t="str">
        <f t="array" ref="AG377">INDEX('Deal Info'!G:G, MATCH(A377,'Deal Info'!A:A, 0))</f>
        <v>None</v>
      </c>
    </row>
    <row r="378" hidden="1">
      <c r="A378" s="23" t="str">
        <f t="array" ref="A378">if(G378='Room Info'!$B$1, INDEX('Room Info'!$A$2:$A3446, MATCH(B378,'Room Info'!$B$2:$B3446, 0)),if(G378='Room Info'!$C$1, INDEX('Room Info'!$A$2:$A3446, MATCH(B378,'Room Info'!$C$2:$C3446, 0)),if(G378='Room Info'!$D$1, INDEX('Room Info'!$A$2:$A3446, MATCH(B378,'Room Info'!$D$2:$D3446, 0)),if(G378='Room Info'!$E$1, INDEX('Room Info'!$A$2:$A3446, MATCH(B378,'Room Info'!$E$2:$E3446, 0)),if(G378='Room Info'!$F$1, INDEX('Room Info'!$A$2:$A3446, MATCH(B378,'Room Info'!$F$2:$F3446, 0)),if(G378='Room Info'!$H$1, INDEX('Room Info'!$A$2:$A3446, MATCH(B378,'Room Info'!$H$2:$H3446, 0)),if(G378='Room Info'!$G$1, INDEX('Room Info'!$A$2:$A3446, MATCH(B378,'Room Info'!$G$2:$G3446, 0)))))))))</f>
        <v>S1lense</v>
      </c>
      <c r="B378" s="50" t="s">
        <v>169</v>
      </c>
      <c r="C378" s="51">
        <v>44763.0</v>
      </c>
      <c r="D378" s="51">
        <v>44793.0</v>
      </c>
      <c r="E378" s="52">
        <v>44774.0</v>
      </c>
      <c r="F378" s="53" t="s">
        <v>4</v>
      </c>
      <c r="G378" s="50" t="s">
        <v>5</v>
      </c>
      <c r="H378" s="54" t="s">
        <v>48</v>
      </c>
      <c r="I378" s="54" t="s">
        <v>11</v>
      </c>
      <c r="J378" s="75">
        <v>10.0</v>
      </c>
      <c r="K378" s="76">
        <v>5891.0</v>
      </c>
      <c r="L378" s="77">
        <v>-2830.0</v>
      </c>
      <c r="M378" s="58">
        <v>3046.0</v>
      </c>
      <c r="N378" s="33">
        <f t="shared" si="13"/>
        <v>58910</v>
      </c>
      <c r="O378" s="50">
        <v>77583.0</v>
      </c>
      <c r="P378" s="34">
        <f t="shared" si="14"/>
        <v>13.16975047</v>
      </c>
      <c r="Q378" s="60"/>
      <c r="R378" s="36">
        <f t="shared" si="45"/>
        <v>3046</v>
      </c>
      <c r="S378" s="78">
        <v>-1939.0</v>
      </c>
      <c r="T378" s="37">
        <f t="shared" si="46"/>
        <v>1107</v>
      </c>
      <c r="U378" s="62">
        <v>1.0</v>
      </c>
      <c r="V378" s="63">
        <v>21.0</v>
      </c>
      <c r="W378" s="63">
        <v>305.2</v>
      </c>
      <c r="X378" s="35">
        <f t="shared" si="62"/>
        <v>0.12</v>
      </c>
      <c r="Y378" s="35">
        <f t="shared" si="63"/>
        <v>0</v>
      </c>
      <c r="Z378" s="40">
        <f t="shared" si="57"/>
        <v>974.16</v>
      </c>
      <c r="AA378" s="34">
        <f t="shared" si="60"/>
        <v>132.84</v>
      </c>
      <c r="AB378" s="41">
        <f t="shared" si="49"/>
        <v>0</v>
      </c>
      <c r="AC378" s="42" t="b">
        <v>1</v>
      </c>
      <c r="AD378" s="42" t="s">
        <v>138</v>
      </c>
      <c r="AE378" s="42" t="s">
        <v>138</v>
      </c>
      <c r="AF378" s="42" t="str">
        <f t="array" ref="AF378">INDEX('Deal Info'!D:D, MATCH(A378,'Deal Info'!A:A, 0))</f>
        <v>DoEVs1</v>
      </c>
      <c r="AG378" s="43" t="str">
        <f t="array" ref="AG378">INDEX('Deal Info'!G:G, MATCH(A378,'Deal Info'!A:A, 0))</f>
        <v>None</v>
      </c>
    </row>
    <row r="379" hidden="1">
      <c r="A379" s="23" t="str">
        <f t="array" ref="A379">if(G379='Room Info'!$B$1, INDEX('Room Info'!$A$2:$A3446, MATCH(B379,'Room Info'!$B$2:$B3446, 0)),if(G379='Room Info'!$C$1, INDEX('Room Info'!$A$2:$A3446, MATCH(B379,'Room Info'!$C$2:$C3446, 0)),if(G379='Room Info'!$D$1, INDEX('Room Info'!$A$2:$A3446, MATCH(B379,'Room Info'!$D$2:$D3446, 0)),if(G379='Room Info'!$E$1, INDEX('Room Info'!$A$2:$A3446, MATCH(B379,'Room Info'!$E$2:$E3446, 0)),if(G379='Room Info'!$F$1, INDEX('Room Info'!$A$2:$A3446, MATCH(B379,'Room Info'!$F$2:$F3446, 0)),if(G379='Room Info'!$H$1, INDEX('Room Info'!$A$2:$A3446, MATCH(B379,'Room Info'!$H$2:$H3446, 0)),if(G379='Room Info'!$G$1, INDEX('Room Info'!$A$2:$A3446, MATCH(B379,'Room Info'!$G$2:$G3446, 0)))))))))</f>
        <v>S1lense</v>
      </c>
      <c r="B379" s="50" t="s">
        <v>169</v>
      </c>
      <c r="C379" s="51">
        <v>44763.0</v>
      </c>
      <c r="D379" s="51">
        <v>44793.0</v>
      </c>
      <c r="E379" s="52">
        <v>44774.0</v>
      </c>
      <c r="F379" s="53" t="s">
        <v>4</v>
      </c>
      <c r="G379" s="50" t="s">
        <v>5</v>
      </c>
      <c r="H379" s="54" t="s">
        <v>63</v>
      </c>
      <c r="I379" s="54" t="s">
        <v>11</v>
      </c>
      <c r="J379" s="75">
        <v>25.0</v>
      </c>
      <c r="K379" s="76">
        <v>10950.0</v>
      </c>
      <c r="L379" s="77">
        <v>-5650.0</v>
      </c>
      <c r="M379" s="58">
        <v>12133.0</v>
      </c>
      <c r="N379" s="33">
        <f t="shared" si="13"/>
        <v>273750</v>
      </c>
      <c r="O379" s="50">
        <v>149043.0</v>
      </c>
      <c r="P379" s="34">
        <f t="shared" si="14"/>
        <v>13.61123288</v>
      </c>
      <c r="Q379" s="60"/>
      <c r="R379" s="36">
        <f t="shared" si="45"/>
        <v>12133</v>
      </c>
      <c r="S379" s="78">
        <v>-5777.0</v>
      </c>
      <c r="T379" s="37">
        <f t="shared" si="46"/>
        <v>6356</v>
      </c>
      <c r="U379" s="62">
        <v>1.0</v>
      </c>
      <c r="V379" s="63">
        <v>21.0</v>
      </c>
      <c r="W379" s="63">
        <v>305.2</v>
      </c>
      <c r="X379" s="35">
        <f t="shared" si="62"/>
        <v>0.12</v>
      </c>
      <c r="Y379" s="35">
        <f t="shared" si="63"/>
        <v>0</v>
      </c>
      <c r="Z379" s="40">
        <f t="shared" si="57"/>
        <v>5593.28</v>
      </c>
      <c r="AA379" s="34">
        <f t="shared" si="60"/>
        <v>762.72</v>
      </c>
      <c r="AB379" s="41">
        <f t="shared" si="49"/>
        <v>0</v>
      </c>
      <c r="AC379" s="42" t="b">
        <v>1</v>
      </c>
      <c r="AD379" s="42" t="s">
        <v>138</v>
      </c>
      <c r="AE379" s="42" t="s">
        <v>138</v>
      </c>
      <c r="AF379" s="42" t="str">
        <f t="array" ref="AF379">INDEX('Deal Info'!D:D, MATCH(A379,'Deal Info'!A:A, 0))</f>
        <v>DoEVs1</v>
      </c>
      <c r="AG379" s="43" t="str">
        <f t="array" ref="AG379">INDEX('Deal Info'!G:G, MATCH(A379,'Deal Info'!A:A, 0))</f>
        <v>None</v>
      </c>
    </row>
    <row r="380" hidden="1">
      <c r="A380" s="23" t="str">
        <f t="array" ref="A380">if(G380='Room Info'!$B$1, INDEX('Room Info'!$A$2:$A3446, MATCH(B380,'Room Info'!$B$2:$B3446, 0)),if(G380='Room Info'!$C$1, INDEX('Room Info'!$A$2:$A3446, MATCH(B380,'Room Info'!$C$2:$C3446, 0)),if(G380='Room Info'!$D$1, INDEX('Room Info'!$A$2:$A3446, MATCH(B380,'Room Info'!$D$2:$D3446, 0)),if(G380='Room Info'!$E$1, INDEX('Room Info'!$A$2:$A3446, MATCH(B380,'Room Info'!$E$2:$E3446, 0)),if(G380='Room Info'!$F$1, INDEX('Room Info'!$A$2:$A3446, MATCH(B380,'Room Info'!$F$2:$F3446, 0)),if(G380='Room Info'!$H$1, INDEX('Room Info'!$A$2:$A3446, MATCH(B380,'Room Info'!$H$2:$H3446, 0)),if(G380='Room Info'!$G$1, INDEX('Room Info'!$A$2:$A3446, MATCH(B380,'Room Info'!$G$2:$G3446, 0)))))))))</f>
        <v>S1lense</v>
      </c>
      <c r="B380" s="50" t="s">
        <v>169</v>
      </c>
      <c r="C380" s="51">
        <v>44763.0</v>
      </c>
      <c r="D380" s="51">
        <v>44793.0</v>
      </c>
      <c r="E380" s="52">
        <v>44774.0</v>
      </c>
      <c r="F380" s="53" t="s">
        <v>4</v>
      </c>
      <c r="G380" s="50" t="s">
        <v>5</v>
      </c>
      <c r="H380" s="54" t="s">
        <v>75</v>
      </c>
      <c r="I380" s="54" t="s">
        <v>11</v>
      </c>
      <c r="J380" s="75">
        <v>50.0</v>
      </c>
      <c r="K380" s="76">
        <v>1160.0</v>
      </c>
      <c r="L380" s="77">
        <v>-1000.0</v>
      </c>
      <c r="M380" s="58">
        <v>2570.0</v>
      </c>
      <c r="N380" s="33">
        <f t="shared" si="13"/>
        <v>58000</v>
      </c>
      <c r="O380" s="50">
        <v>24135.0</v>
      </c>
      <c r="P380" s="34">
        <f t="shared" si="14"/>
        <v>20.80603448</v>
      </c>
      <c r="Q380" s="60"/>
      <c r="R380" s="36">
        <f t="shared" si="45"/>
        <v>2570</v>
      </c>
      <c r="S380" s="78">
        <v>66.0</v>
      </c>
      <c r="T380" s="37">
        <f t="shared" si="46"/>
        <v>2636</v>
      </c>
      <c r="U380" s="62">
        <v>1.0</v>
      </c>
      <c r="V380" s="63">
        <v>21.0</v>
      </c>
      <c r="W380" s="63">
        <v>305.2</v>
      </c>
      <c r="X380" s="35">
        <f t="shared" si="62"/>
        <v>0.12</v>
      </c>
      <c r="Y380" s="35">
        <f t="shared" si="63"/>
        <v>0</v>
      </c>
      <c r="Z380" s="40">
        <f t="shared" si="57"/>
        <v>2319.68</v>
      </c>
      <c r="AA380" s="34">
        <f t="shared" si="60"/>
        <v>316.32</v>
      </c>
      <c r="AB380" s="41">
        <f t="shared" si="49"/>
        <v>0</v>
      </c>
      <c r="AC380" s="42" t="b">
        <v>1</v>
      </c>
      <c r="AD380" s="42" t="s">
        <v>138</v>
      </c>
      <c r="AE380" s="42" t="s">
        <v>138</v>
      </c>
      <c r="AF380" s="42" t="str">
        <f t="array" ref="AF380">INDEX('Deal Info'!D:D, MATCH(A380,'Deal Info'!A:A, 0))</f>
        <v>DoEVs1</v>
      </c>
      <c r="AG380" s="43" t="str">
        <f t="array" ref="AG380">INDEX('Deal Info'!G:G, MATCH(A380,'Deal Info'!A:A, 0))</f>
        <v>None</v>
      </c>
    </row>
    <row r="381" hidden="1">
      <c r="A381" s="23" t="str">
        <f t="array" ref="A381">if(G381='Room Info'!$B$1, INDEX('Room Info'!$A$2:$A3446, MATCH(B381,'Room Info'!$B$2:$B3446, 0)),if(G381='Room Info'!$C$1, INDEX('Room Info'!$A$2:$A3446, MATCH(B381,'Room Info'!$C$2:$C3446, 0)),if(G381='Room Info'!$D$1, INDEX('Room Info'!$A$2:$A3446, MATCH(B381,'Room Info'!$D$2:$D3446, 0)),if(G381='Room Info'!$E$1, INDEX('Room Info'!$A$2:$A3446, MATCH(B381,'Room Info'!$E$2:$E3446, 0)),if(G381='Room Info'!$F$1, INDEX('Room Info'!$A$2:$A3446, MATCH(B381,'Room Info'!$F$2:$F3446, 0)),if(G381='Room Info'!$H$1, INDEX('Room Info'!$A$2:$A3446, MATCH(B381,'Room Info'!$H$2:$H3446, 0)),if(G381='Room Info'!$G$1, INDEX('Room Info'!$A$2:$A3446, MATCH(B381,'Room Info'!$G$2:$G3446, 0)))))))))</f>
        <v>S1lense</v>
      </c>
      <c r="B381" s="50" t="s">
        <v>169</v>
      </c>
      <c r="C381" s="51">
        <v>44794.0</v>
      </c>
      <c r="D381" s="51">
        <v>44824.0</v>
      </c>
      <c r="E381" s="52">
        <v>44805.0</v>
      </c>
      <c r="F381" s="53" t="s">
        <v>4</v>
      </c>
      <c r="G381" s="50" t="s">
        <v>5</v>
      </c>
      <c r="H381" s="54" t="s">
        <v>38</v>
      </c>
      <c r="I381" s="54" t="s">
        <v>11</v>
      </c>
      <c r="J381" s="75">
        <v>5.0</v>
      </c>
      <c r="K381" s="76">
        <v>3.0</v>
      </c>
      <c r="L381" s="77">
        <v>-5.0</v>
      </c>
      <c r="M381" s="58">
        <v>1.0</v>
      </c>
      <c r="N381" s="33">
        <f t="shared" si="13"/>
        <v>15</v>
      </c>
      <c r="O381" s="50">
        <v>137.0</v>
      </c>
      <c r="P381" s="34">
        <f t="shared" si="14"/>
        <v>45.66666667</v>
      </c>
      <c r="Q381" s="60"/>
      <c r="R381" s="36">
        <f t="shared" si="45"/>
        <v>1</v>
      </c>
      <c r="S381" s="78">
        <v>1.0</v>
      </c>
      <c r="T381" s="37">
        <f t="shared" si="46"/>
        <v>2</v>
      </c>
      <c r="U381" s="62">
        <v>1.0</v>
      </c>
      <c r="V381" s="74">
        <v>20.86070591164692</v>
      </c>
      <c r="W381" s="63">
        <v>60.42</v>
      </c>
      <c r="X381" s="35">
        <f t="shared" si="62"/>
        <v>0.23</v>
      </c>
      <c r="Y381" s="35">
        <f t="shared" si="63"/>
        <v>0</v>
      </c>
      <c r="Z381" s="40">
        <f t="shared" si="57"/>
        <v>1.54</v>
      </c>
      <c r="AA381" s="34">
        <f t="shared" si="60"/>
        <v>0.46</v>
      </c>
      <c r="AB381" s="41">
        <f t="shared" si="49"/>
        <v>0</v>
      </c>
      <c r="AC381" s="42" t="b">
        <v>1</v>
      </c>
      <c r="AD381" s="42" t="s">
        <v>138</v>
      </c>
      <c r="AE381" s="42" t="s">
        <v>138</v>
      </c>
      <c r="AF381" s="42" t="str">
        <f t="array" ref="AF381">INDEX('Deal Info'!D:D, MATCH(A381,'Deal Info'!A:A, 0))</f>
        <v>DoEVs1</v>
      </c>
      <c r="AG381" s="43" t="str">
        <f t="array" ref="AG381">INDEX('Deal Info'!G:G, MATCH(A381,'Deal Info'!A:A, 0))</f>
        <v>None</v>
      </c>
    </row>
    <row r="382" hidden="1">
      <c r="A382" s="23" t="str">
        <f t="array" ref="A382">if(G382='Room Info'!$B$1, INDEX('Room Info'!$A$2:$A3446, MATCH(B382,'Room Info'!$B$2:$B3446, 0)),if(G382='Room Info'!$C$1, INDEX('Room Info'!$A$2:$A3446, MATCH(B382,'Room Info'!$C$2:$C3446, 0)),if(G382='Room Info'!$D$1, INDEX('Room Info'!$A$2:$A3446, MATCH(B382,'Room Info'!$D$2:$D3446, 0)),if(G382='Room Info'!$E$1, INDEX('Room Info'!$A$2:$A3446, MATCH(B382,'Room Info'!$E$2:$E3446, 0)),if(G382='Room Info'!$F$1, INDEX('Room Info'!$A$2:$A3446, MATCH(B382,'Room Info'!$F$2:$F3446, 0)),if(G382='Room Info'!$H$1, INDEX('Room Info'!$A$2:$A3446, MATCH(B382,'Room Info'!$H$2:$H3446, 0)),if(G382='Room Info'!$G$1, INDEX('Room Info'!$A$2:$A3446, MATCH(B382,'Room Info'!$G$2:$G3446, 0)))))))))</f>
        <v>S1lense</v>
      </c>
      <c r="B382" s="50" t="s">
        <v>169</v>
      </c>
      <c r="C382" s="51">
        <v>44794.0</v>
      </c>
      <c r="D382" s="51">
        <v>44824.0</v>
      </c>
      <c r="E382" s="52">
        <v>44805.0</v>
      </c>
      <c r="F382" s="53" t="s">
        <v>4</v>
      </c>
      <c r="G382" s="50" t="s">
        <v>5</v>
      </c>
      <c r="H382" s="54" t="s">
        <v>48</v>
      </c>
      <c r="I382" s="54" t="s">
        <v>11</v>
      </c>
      <c r="J382" s="75">
        <v>10.0</v>
      </c>
      <c r="K382" s="76">
        <v>2283.0</v>
      </c>
      <c r="L382" s="77">
        <v>-990.0</v>
      </c>
      <c r="M382" s="58">
        <v>748.0</v>
      </c>
      <c r="N382" s="33">
        <f t="shared" si="13"/>
        <v>22830</v>
      </c>
      <c r="O382" s="50">
        <v>32383.0</v>
      </c>
      <c r="P382" s="34">
        <f t="shared" si="14"/>
        <v>14.18440648</v>
      </c>
      <c r="Q382" s="60"/>
      <c r="R382" s="36">
        <f t="shared" si="45"/>
        <v>748</v>
      </c>
      <c r="S382" s="78">
        <v>-701.0</v>
      </c>
      <c r="T382" s="37">
        <f t="shared" si="46"/>
        <v>47</v>
      </c>
      <c r="U382" s="62">
        <v>1.0</v>
      </c>
      <c r="V382" s="74">
        <v>20.86070591164692</v>
      </c>
      <c r="W382" s="63">
        <v>60.42</v>
      </c>
      <c r="X382" s="35">
        <f t="shared" si="62"/>
        <v>0.23</v>
      </c>
      <c r="Y382" s="35">
        <f t="shared" si="63"/>
        <v>0</v>
      </c>
      <c r="Z382" s="40">
        <f t="shared" si="57"/>
        <v>36.19</v>
      </c>
      <c r="AA382" s="34">
        <f t="shared" si="60"/>
        <v>10.81</v>
      </c>
      <c r="AB382" s="41">
        <f t="shared" si="49"/>
        <v>0</v>
      </c>
      <c r="AC382" s="42" t="b">
        <v>1</v>
      </c>
      <c r="AD382" s="42" t="s">
        <v>138</v>
      </c>
      <c r="AE382" s="42" t="s">
        <v>138</v>
      </c>
      <c r="AF382" s="42" t="str">
        <f t="array" ref="AF382">INDEX('Deal Info'!D:D, MATCH(A382,'Deal Info'!A:A, 0))</f>
        <v>DoEVs1</v>
      </c>
      <c r="AG382" s="43" t="str">
        <f t="array" ref="AG382">INDEX('Deal Info'!G:G, MATCH(A382,'Deal Info'!A:A, 0))</f>
        <v>None</v>
      </c>
    </row>
    <row r="383" hidden="1">
      <c r="A383" s="23" t="str">
        <f t="array" ref="A383">if(G383='Room Info'!$B$1, INDEX('Room Info'!$A$2:$A3446, MATCH(B383,'Room Info'!$B$2:$B3446, 0)),if(G383='Room Info'!$C$1, INDEX('Room Info'!$A$2:$A3446, MATCH(B383,'Room Info'!$C$2:$C3446, 0)),if(G383='Room Info'!$D$1, INDEX('Room Info'!$A$2:$A3446, MATCH(B383,'Room Info'!$D$2:$D3446, 0)),if(G383='Room Info'!$E$1, INDEX('Room Info'!$A$2:$A3446, MATCH(B383,'Room Info'!$E$2:$E3446, 0)),if(G383='Room Info'!$F$1, INDEX('Room Info'!$A$2:$A3446, MATCH(B383,'Room Info'!$F$2:$F3446, 0)),if(G383='Room Info'!$H$1, INDEX('Room Info'!$A$2:$A3446, MATCH(B383,'Room Info'!$H$2:$H3446, 0)),if(G383='Room Info'!$G$1, INDEX('Room Info'!$A$2:$A3446, MATCH(B383,'Room Info'!$G$2:$G3446, 0)))))))))</f>
        <v>S1lense</v>
      </c>
      <c r="B383" s="50" t="s">
        <v>169</v>
      </c>
      <c r="C383" s="51">
        <v>44794.0</v>
      </c>
      <c r="D383" s="51">
        <v>44824.0</v>
      </c>
      <c r="E383" s="52">
        <v>44805.0</v>
      </c>
      <c r="F383" s="53" t="s">
        <v>4</v>
      </c>
      <c r="G383" s="50" t="s">
        <v>5</v>
      </c>
      <c r="H383" s="54" t="s">
        <v>63</v>
      </c>
      <c r="I383" s="54" t="s">
        <v>11</v>
      </c>
      <c r="J383" s="75">
        <v>25.0</v>
      </c>
      <c r="K383" s="76">
        <v>16446.0</v>
      </c>
      <c r="L383" s="77">
        <v>-14600.0</v>
      </c>
      <c r="M383" s="58">
        <v>11546.0</v>
      </c>
      <c r="N383" s="33">
        <f t="shared" si="13"/>
        <v>411150</v>
      </c>
      <c r="O383" s="50">
        <v>166165.0</v>
      </c>
      <c r="P383" s="34">
        <f t="shared" si="14"/>
        <v>10.10367263</v>
      </c>
      <c r="Q383" s="60"/>
      <c r="R383" s="36">
        <f t="shared" si="45"/>
        <v>11546</v>
      </c>
      <c r="S383" s="78">
        <v>-13531.0</v>
      </c>
      <c r="T383" s="37">
        <f t="shared" si="46"/>
        <v>-1985</v>
      </c>
      <c r="U383" s="62">
        <v>1.0</v>
      </c>
      <c r="V383" s="74">
        <v>20.86070591164692</v>
      </c>
      <c r="W383" s="63">
        <v>60.42</v>
      </c>
      <c r="X383" s="35">
        <f t="shared" si="62"/>
        <v>0.23</v>
      </c>
      <c r="Y383" s="35">
        <f t="shared" si="63"/>
        <v>0</v>
      </c>
      <c r="Z383" s="40">
        <f t="shared" si="57"/>
        <v>-1528.45</v>
      </c>
      <c r="AA383" s="34">
        <f t="shared" si="60"/>
        <v>-456.55</v>
      </c>
      <c r="AB383" s="41">
        <f t="shared" si="49"/>
        <v>0</v>
      </c>
      <c r="AC383" s="42" t="b">
        <v>1</v>
      </c>
      <c r="AD383" s="42" t="s">
        <v>138</v>
      </c>
      <c r="AE383" s="42" t="s">
        <v>138</v>
      </c>
      <c r="AF383" s="42" t="str">
        <f t="array" ref="AF383">INDEX('Deal Info'!D:D, MATCH(A383,'Deal Info'!A:A, 0))</f>
        <v>DoEVs1</v>
      </c>
      <c r="AG383" s="43" t="str">
        <f t="array" ref="AG383">INDEX('Deal Info'!G:G, MATCH(A383,'Deal Info'!A:A, 0))</f>
        <v>None</v>
      </c>
    </row>
    <row r="384" hidden="1">
      <c r="A384" s="23" t="str">
        <f t="array" ref="A384">if(G384='Room Info'!$B$1, INDEX('Room Info'!$A$2:$A3446, MATCH(B384,'Room Info'!$B$2:$B3446, 0)),if(G384='Room Info'!$C$1, INDEX('Room Info'!$A$2:$A3446, MATCH(B384,'Room Info'!$C$2:$C3446, 0)),if(G384='Room Info'!$D$1, INDEX('Room Info'!$A$2:$A3446, MATCH(B384,'Room Info'!$D$2:$D3446, 0)),if(G384='Room Info'!$E$1, INDEX('Room Info'!$A$2:$A3446, MATCH(B384,'Room Info'!$E$2:$E3446, 0)),if(G384='Room Info'!$F$1, INDEX('Room Info'!$A$2:$A3446, MATCH(B384,'Room Info'!$F$2:$F3446, 0)),if(G384='Room Info'!$H$1, INDEX('Room Info'!$A$2:$A3446, MATCH(B384,'Room Info'!$H$2:$H3446, 0)),if(G384='Room Info'!$G$1, INDEX('Room Info'!$A$2:$A3446, MATCH(B384,'Room Info'!$G$2:$G3446, 0)))))))))</f>
        <v>S1lense</v>
      </c>
      <c r="B384" s="50" t="s">
        <v>169</v>
      </c>
      <c r="C384" s="51">
        <v>44794.0</v>
      </c>
      <c r="D384" s="51">
        <v>44824.0</v>
      </c>
      <c r="E384" s="52">
        <v>44805.0</v>
      </c>
      <c r="F384" s="50" t="s">
        <v>4</v>
      </c>
      <c r="G384" s="50" t="s">
        <v>5</v>
      </c>
      <c r="H384" s="54" t="s">
        <v>75</v>
      </c>
      <c r="I384" s="54" t="s">
        <v>11</v>
      </c>
      <c r="J384" s="75">
        <v>50.0</v>
      </c>
      <c r="K384" s="76">
        <v>1859.0</v>
      </c>
      <c r="L384" s="57">
        <v>-450.0</v>
      </c>
      <c r="M384" s="58">
        <v>2610.0</v>
      </c>
      <c r="N384" s="33">
        <f t="shared" si="13"/>
        <v>92950</v>
      </c>
      <c r="O384" s="59">
        <v>21980.0</v>
      </c>
      <c r="P384" s="34">
        <f t="shared" si="14"/>
        <v>11.82356105</v>
      </c>
      <c r="Q384" s="60"/>
      <c r="R384" s="36">
        <f t="shared" si="45"/>
        <v>2610</v>
      </c>
      <c r="S384" s="61">
        <v>-2565.0</v>
      </c>
      <c r="T384" s="37">
        <f t="shared" si="46"/>
        <v>45</v>
      </c>
      <c r="U384" s="62">
        <v>1.0</v>
      </c>
      <c r="V384" s="74">
        <v>20.86070591164692</v>
      </c>
      <c r="W384" s="63">
        <v>60.42</v>
      </c>
      <c r="X384" s="35">
        <f t="shared" si="62"/>
        <v>0.23</v>
      </c>
      <c r="Y384" s="35">
        <f t="shared" si="63"/>
        <v>0</v>
      </c>
      <c r="Z384" s="40">
        <f t="shared" si="57"/>
        <v>34.65</v>
      </c>
      <c r="AA384" s="34">
        <f t="shared" si="60"/>
        <v>10.35</v>
      </c>
      <c r="AB384" s="41">
        <f t="shared" si="49"/>
        <v>0</v>
      </c>
      <c r="AC384" s="42" t="b">
        <v>1</v>
      </c>
      <c r="AD384" s="42" t="s">
        <v>138</v>
      </c>
      <c r="AE384" s="42" t="s">
        <v>138</v>
      </c>
      <c r="AF384" s="42" t="str">
        <f t="array" ref="AF384">INDEX('Deal Info'!D:D, MATCH(A384,'Deal Info'!A:A, 0))</f>
        <v>DoEVs1</v>
      </c>
      <c r="AG384" s="43" t="str">
        <f t="array" ref="AG384">INDEX('Deal Info'!G:G, MATCH(A384,'Deal Info'!A:A, 0))</f>
        <v>None</v>
      </c>
    </row>
    <row r="385" hidden="1">
      <c r="A385" s="23" t="str">
        <f t="array" ref="A385">if(G385='Room Info'!$B$1, INDEX('Room Info'!$A$2:$A3446, MATCH(B385,'Room Info'!$B$2:$B3446, 0)),if(G385='Room Info'!$C$1, INDEX('Room Info'!$A$2:$A3446, MATCH(B385,'Room Info'!$C$2:$C3446, 0)),if(G385='Room Info'!$D$1, INDEX('Room Info'!$A$2:$A3446, MATCH(B385,'Room Info'!$D$2:$D3446, 0)),if(G385='Room Info'!$E$1, INDEX('Room Info'!$A$2:$A3446, MATCH(B385,'Room Info'!$E$2:$E3446, 0)),if(G385='Room Info'!$F$1, INDEX('Room Info'!$A$2:$A3446, MATCH(B385,'Room Info'!$F$2:$F3446, 0)),if(G385='Room Info'!$H$1, INDEX('Room Info'!$A$2:$A3446, MATCH(B385,'Room Info'!$H$2:$H3446, 0)),if(G385='Room Info'!$G$1, INDEX('Room Info'!$A$2:$A3446, MATCH(B385,'Room Info'!$G$2:$G3446, 0)))))))))</f>
        <v>S1lense</v>
      </c>
      <c r="B385" s="50" t="s">
        <v>169</v>
      </c>
      <c r="C385" s="51">
        <v>44825.0</v>
      </c>
      <c r="D385" s="51">
        <v>44854.0</v>
      </c>
      <c r="E385" s="52">
        <v>44835.0</v>
      </c>
      <c r="F385" s="50" t="s">
        <v>4</v>
      </c>
      <c r="G385" s="59" t="s">
        <v>5</v>
      </c>
      <c r="H385" s="54" t="s">
        <v>38</v>
      </c>
      <c r="I385" s="54" t="s">
        <v>11</v>
      </c>
      <c r="J385" s="55">
        <v>5.0</v>
      </c>
      <c r="K385" s="56">
        <v>1.0</v>
      </c>
      <c r="L385" s="57">
        <v>5.0</v>
      </c>
      <c r="M385" s="58">
        <v>1.0</v>
      </c>
      <c r="N385" s="33">
        <f t="shared" si="13"/>
        <v>5</v>
      </c>
      <c r="O385" s="59">
        <v>-49.0</v>
      </c>
      <c r="P385" s="34">
        <f t="shared" si="14"/>
        <v>-49</v>
      </c>
      <c r="Q385" s="60"/>
      <c r="R385" s="36">
        <f t="shared" si="45"/>
        <v>1</v>
      </c>
      <c r="S385" s="61">
        <v>-1.0</v>
      </c>
      <c r="T385" s="37">
        <f t="shared" si="46"/>
        <v>0</v>
      </c>
      <c r="U385" s="62">
        <v>1.0</v>
      </c>
      <c r="V385" s="74">
        <v>20.86070591164692</v>
      </c>
      <c r="W385" s="63">
        <v>60.42</v>
      </c>
      <c r="X385" s="35">
        <f t="shared" si="62"/>
        <v>0.23</v>
      </c>
      <c r="Y385" s="35">
        <f t="shared" si="63"/>
        <v>0</v>
      </c>
      <c r="Z385" s="40">
        <f t="shared" si="57"/>
        <v>0</v>
      </c>
      <c r="AA385" s="34">
        <f t="shared" si="60"/>
        <v>0</v>
      </c>
      <c r="AB385" s="41">
        <f t="shared" si="49"/>
        <v>0</v>
      </c>
      <c r="AC385" s="42" t="b">
        <v>1</v>
      </c>
      <c r="AD385" s="42" t="s">
        <v>138</v>
      </c>
      <c r="AE385" s="42" t="s">
        <v>138</v>
      </c>
      <c r="AF385" s="42" t="str">
        <f t="array" ref="AF385">INDEX('Deal Info'!D:D, MATCH(A385,'Deal Info'!A:A, 0))</f>
        <v>DoEVs1</v>
      </c>
      <c r="AG385" s="43" t="str">
        <f t="array" ref="AG385">INDEX('Deal Info'!G:G, MATCH(A385,'Deal Info'!A:A, 0))</f>
        <v>None</v>
      </c>
    </row>
    <row r="386" hidden="1">
      <c r="A386" s="23" t="str">
        <f t="array" ref="A386">if(G386='Room Info'!$B$1, INDEX('Room Info'!$A$2:$A3446, MATCH(B386,'Room Info'!$B$2:$B3446, 0)),if(G386='Room Info'!$C$1, INDEX('Room Info'!$A$2:$A3446, MATCH(B386,'Room Info'!$C$2:$C3446, 0)),if(G386='Room Info'!$D$1, INDEX('Room Info'!$A$2:$A3446, MATCH(B386,'Room Info'!$D$2:$D3446, 0)),if(G386='Room Info'!$E$1, INDEX('Room Info'!$A$2:$A3446, MATCH(B386,'Room Info'!$E$2:$E3446, 0)),if(G386='Room Info'!$F$1, INDEX('Room Info'!$A$2:$A3446, MATCH(B386,'Room Info'!$F$2:$F3446, 0)),if(G386='Room Info'!$H$1, INDEX('Room Info'!$A$2:$A3446, MATCH(B386,'Room Info'!$H$2:$H3446, 0)),if(G386='Room Info'!$G$1, INDEX('Room Info'!$A$2:$A3446, MATCH(B386,'Room Info'!$G$2:$G3446, 0)))))))))</f>
        <v>S1lense</v>
      </c>
      <c r="B386" s="50" t="s">
        <v>169</v>
      </c>
      <c r="C386" s="51">
        <v>44825.0</v>
      </c>
      <c r="D386" s="51">
        <v>44854.0</v>
      </c>
      <c r="E386" s="52">
        <v>44835.0</v>
      </c>
      <c r="F386" s="50" t="s">
        <v>4</v>
      </c>
      <c r="G386" s="59" t="s">
        <v>5</v>
      </c>
      <c r="H386" s="54" t="s">
        <v>48</v>
      </c>
      <c r="I386" s="54" t="s">
        <v>11</v>
      </c>
      <c r="J386" s="55">
        <v>10.0</v>
      </c>
      <c r="K386" s="56">
        <v>6684.0</v>
      </c>
      <c r="L386" s="57">
        <v>-430.0</v>
      </c>
      <c r="M386" s="58">
        <v>4065.0</v>
      </c>
      <c r="N386" s="33">
        <f t="shared" si="13"/>
        <v>66840</v>
      </c>
      <c r="O386" s="59">
        <v>80073.0</v>
      </c>
      <c r="P386" s="34">
        <f t="shared" si="14"/>
        <v>11.97980251</v>
      </c>
      <c r="Q386" s="60"/>
      <c r="R386" s="36">
        <f t="shared" si="45"/>
        <v>4065</v>
      </c>
      <c r="S386" s="61">
        <v>-2490.0</v>
      </c>
      <c r="T386" s="37">
        <f t="shared" si="46"/>
        <v>1575</v>
      </c>
      <c r="U386" s="62">
        <v>1.0</v>
      </c>
      <c r="V386" s="74">
        <v>20.86070591164692</v>
      </c>
      <c r="W386" s="63">
        <v>60.42</v>
      </c>
      <c r="X386" s="35">
        <f t="shared" si="62"/>
        <v>0.23</v>
      </c>
      <c r="Y386" s="35">
        <f t="shared" si="63"/>
        <v>0</v>
      </c>
      <c r="Z386" s="40">
        <f t="shared" si="57"/>
        <v>1212.75</v>
      </c>
      <c r="AA386" s="34">
        <f t="shared" si="60"/>
        <v>362.25</v>
      </c>
      <c r="AB386" s="41">
        <f t="shared" si="49"/>
        <v>0</v>
      </c>
      <c r="AC386" s="42" t="b">
        <v>1</v>
      </c>
      <c r="AD386" s="42" t="s">
        <v>138</v>
      </c>
      <c r="AE386" s="42" t="s">
        <v>138</v>
      </c>
      <c r="AF386" s="42" t="str">
        <f t="array" ref="AF386">INDEX('Deal Info'!D:D, MATCH(A386,'Deal Info'!A:A, 0))</f>
        <v>DoEVs1</v>
      </c>
      <c r="AG386" s="43" t="str">
        <f t="array" ref="AG386">INDEX('Deal Info'!G:G, MATCH(A386,'Deal Info'!A:A, 0))</f>
        <v>None</v>
      </c>
    </row>
    <row r="387" hidden="1">
      <c r="A387" s="23" t="str">
        <f t="array" ref="A387">if(G387='Room Info'!$B$1, INDEX('Room Info'!$A$2:$A3446, MATCH(B387,'Room Info'!$B$2:$B3446, 0)),if(G387='Room Info'!$C$1, INDEX('Room Info'!$A$2:$A3446, MATCH(B387,'Room Info'!$C$2:$C3446, 0)),if(G387='Room Info'!$D$1, INDEX('Room Info'!$A$2:$A3446, MATCH(B387,'Room Info'!$D$2:$D3446, 0)),if(G387='Room Info'!$E$1, INDEX('Room Info'!$A$2:$A3446, MATCH(B387,'Room Info'!$E$2:$E3446, 0)),if(G387='Room Info'!$F$1, INDEX('Room Info'!$A$2:$A3446, MATCH(B387,'Room Info'!$F$2:$F3446, 0)),if(G387='Room Info'!$H$1, INDEX('Room Info'!$A$2:$A3446, MATCH(B387,'Room Info'!$H$2:$H3446, 0)),if(G387='Room Info'!$G$1, INDEX('Room Info'!$A$2:$A3446, MATCH(B387,'Room Info'!$G$2:$G3446, 0)))))))))</f>
        <v>S1lense</v>
      </c>
      <c r="B387" s="50" t="s">
        <v>169</v>
      </c>
      <c r="C387" s="51">
        <v>44825.0</v>
      </c>
      <c r="D387" s="51">
        <v>44854.0</v>
      </c>
      <c r="E387" s="52">
        <v>44835.0</v>
      </c>
      <c r="F387" s="50" t="s">
        <v>4</v>
      </c>
      <c r="G387" s="59" t="s">
        <v>5</v>
      </c>
      <c r="H387" s="54" t="s">
        <v>63</v>
      </c>
      <c r="I387" s="54" t="s">
        <v>11</v>
      </c>
      <c r="J387" s="55">
        <v>25.0</v>
      </c>
      <c r="K387" s="56">
        <v>8755.0</v>
      </c>
      <c r="L387" s="57">
        <v>-12375.0</v>
      </c>
      <c r="M387" s="58">
        <v>11411.0</v>
      </c>
      <c r="N387" s="33">
        <f t="shared" si="13"/>
        <v>218875</v>
      </c>
      <c r="O387" s="59">
        <v>35722.0</v>
      </c>
      <c r="P387" s="34">
        <f t="shared" si="14"/>
        <v>4.080182753</v>
      </c>
      <c r="Q387" s="60"/>
      <c r="R387" s="36">
        <f t="shared" si="45"/>
        <v>11411</v>
      </c>
      <c r="S387" s="61">
        <v>-11222.0</v>
      </c>
      <c r="T387" s="37">
        <f t="shared" si="46"/>
        <v>189</v>
      </c>
      <c r="U387" s="62">
        <v>1.0</v>
      </c>
      <c r="V387" s="74">
        <v>20.86070591164692</v>
      </c>
      <c r="W387" s="63">
        <v>60.42</v>
      </c>
      <c r="X387" s="35">
        <f t="shared" si="62"/>
        <v>0.23</v>
      </c>
      <c r="Y387" s="35">
        <f t="shared" si="63"/>
        <v>0</v>
      </c>
      <c r="Z387" s="40">
        <f t="shared" si="57"/>
        <v>145.53</v>
      </c>
      <c r="AA387" s="34">
        <f t="shared" si="60"/>
        <v>43.47</v>
      </c>
      <c r="AB387" s="41">
        <f t="shared" si="49"/>
        <v>0</v>
      </c>
      <c r="AC387" s="42" t="b">
        <v>1</v>
      </c>
      <c r="AD387" s="42" t="s">
        <v>138</v>
      </c>
      <c r="AE387" s="42" t="s">
        <v>138</v>
      </c>
      <c r="AF387" s="42" t="str">
        <f t="array" ref="AF387">INDEX('Deal Info'!D:D, MATCH(A387,'Deal Info'!A:A, 0))</f>
        <v>DoEVs1</v>
      </c>
      <c r="AG387" s="43" t="str">
        <f t="array" ref="AG387">INDEX('Deal Info'!G:G, MATCH(A387,'Deal Info'!A:A, 0))</f>
        <v>None</v>
      </c>
    </row>
    <row r="388" hidden="1">
      <c r="A388" s="23" t="str">
        <f t="array" ref="A388">if(G388='Room Info'!$B$1, INDEX('Room Info'!$A$2:$A3446, MATCH(B388,'Room Info'!$B$2:$B3446, 0)),if(G388='Room Info'!$C$1, INDEX('Room Info'!$A$2:$A3446, MATCH(B388,'Room Info'!$C$2:$C3446, 0)),if(G388='Room Info'!$D$1, INDEX('Room Info'!$A$2:$A3446, MATCH(B388,'Room Info'!$D$2:$D3446, 0)),if(G388='Room Info'!$E$1, INDEX('Room Info'!$A$2:$A3446, MATCH(B388,'Room Info'!$E$2:$E3446, 0)),if(G388='Room Info'!$F$1, INDEX('Room Info'!$A$2:$A3446, MATCH(B388,'Room Info'!$F$2:$F3446, 0)),if(G388='Room Info'!$H$1, INDEX('Room Info'!$A$2:$A3446, MATCH(B388,'Room Info'!$H$2:$H3446, 0)),if(G388='Room Info'!$G$1, INDEX('Room Info'!$A$2:$A3446, MATCH(B388,'Room Info'!$G$2:$G3446, 0)))))))))</f>
        <v>S1lense</v>
      </c>
      <c r="B388" s="50" t="s">
        <v>169</v>
      </c>
      <c r="C388" s="51">
        <v>44825.0</v>
      </c>
      <c r="D388" s="51">
        <v>44854.0</v>
      </c>
      <c r="E388" s="52">
        <v>44835.0</v>
      </c>
      <c r="F388" s="53" t="s">
        <v>4</v>
      </c>
      <c r="G388" s="50" t="s">
        <v>5</v>
      </c>
      <c r="H388" s="54" t="s">
        <v>75</v>
      </c>
      <c r="I388" s="54" t="s">
        <v>11</v>
      </c>
      <c r="J388" s="75">
        <v>50.0</v>
      </c>
      <c r="K388" s="76">
        <v>638.0</v>
      </c>
      <c r="L388" s="57">
        <v>-1850.0</v>
      </c>
      <c r="M388" s="58">
        <v>1663.0</v>
      </c>
      <c r="N388" s="33">
        <f t="shared" si="13"/>
        <v>31900</v>
      </c>
      <c r="O388" s="59">
        <v>-4154.0</v>
      </c>
      <c r="P388" s="34">
        <f t="shared" si="14"/>
        <v>-6.510971787</v>
      </c>
      <c r="Q388" s="60"/>
      <c r="R388" s="36">
        <f t="shared" si="45"/>
        <v>1663</v>
      </c>
      <c r="S388" s="61">
        <v>-2680.0</v>
      </c>
      <c r="T388" s="37">
        <f t="shared" si="46"/>
        <v>-1017</v>
      </c>
      <c r="U388" s="62">
        <v>1.0</v>
      </c>
      <c r="V388" s="74">
        <v>20.86070591164692</v>
      </c>
      <c r="W388" s="63">
        <v>60.42</v>
      </c>
      <c r="X388" s="35">
        <f t="shared" si="62"/>
        <v>0.23</v>
      </c>
      <c r="Y388" s="35">
        <f t="shared" si="63"/>
        <v>0</v>
      </c>
      <c r="Z388" s="40">
        <f t="shared" si="57"/>
        <v>-783.09</v>
      </c>
      <c r="AA388" s="34">
        <f t="shared" si="60"/>
        <v>-233.91</v>
      </c>
      <c r="AB388" s="41">
        <f t="shared" si="49"/>
        <v>0</v>
      </c>
      <c r="AC388" s="42" t="b">
        <v>1</v>
      </c>
      <c r="AD388" s="42" t="s">
        <v>138</v>
      </c>
      <c r="AE388" s="42" t="s">
        <v>138</v>
      </c>
      <c r="AF388" s="42" t="str">
        <f t="array" ref="AF388">INDEX('Deal Info'!D:D, MATCH(A388,'Deal Info'!A:A, 0))</f>
        <v>DoEVs1</v>
      </c>
      <c r="AG388" s="43" t="str">
        <f t="array" ref="AG388">INDEX('Deal Info'!G:G, MATCH(A388,'Deal Info'!A:A, 0))</f>
        <v>None</v>
      </c>
    </row>
    <row r="389" hidden="1">
      <c r="A389" s="23" t="str">
        <f t="array" ref="A389">if(G389='Room Info'!$B$1, INDEX('Room Info'!$A$2:$A3446, MATCH(B389,'Room Info'!$B$2:$B3446, 0)),if(G389='Room Info'!$C$1, INDEX('Room Info'!$A$2:$A3446, MATCH(B389,'Room Info'!$C$2:$C3446, 0)),if(G389='Room Info'!$D$1, INDEX('Room Info'!$A$2:$A3446, MATCH(B389,'Room Info'!$D$2:$D3446, 0)),if(G389='Room Info'!$E$1, INDEX('Room Info'!$A$2:$A3446, MATCH(B389,'Room Info'!$E$2:$E3446, 0)),if(G389='Room Info'!$F$1, INDEX('Room Info'!$A$2:$A3446, MATCH(B389,'Room Info'!$F$2:$F3446, 0)),if(G389='Room Info'!$H$1, INDEX('Room Info'!$A$2:$A3446, MATCH(B389,'Room Info'!$H$2:$H3446, 0)),if(G389='Room Info'!$G$1, INDEX('Room Info'!$A$2:$A3446, MATCH(B389,'Room Info'!$G$2:$G3446, 0)))))))))</f>
        <v>S1lense</v>
      </c>
      <c r="B389" s="50" t="s">
        <v>169</v>
      </c>
      <c r="C389" s="51">
        <v>44855.0</v>
      </c>
      <c r="D389" s="51">
        <v>44885.0</v>
      </c>
      <c r="E389" s="52">
        <v>44866.0</v>
      </c>
      <c r="F389" s="53" t="s">
        <v>4</v>
      </c>
      <c r="G389" s="50" t="s">
        <v>5</v>
      </c>
      <c r="H389" s="54" t="s">
        <v>38</v>
      </c>
      <c r="I389" s="54" t="s">
        <v>11</v>
      </c>
      <c r="J389" s="75">
        <v>5.0</v>
      </c>
      <c r="K389" s="76">
        <v>1.0</v>
      </c>
      <c r="L389" s="57">
        <v>10.0</v>
      </c>
      <c r="M389" s="58">
        <v>1.0</v>
      </c>
      <c r="N389" s="33">
        <f t="shared" si="13"/>
        <v>5</v>
      </c>
      <c r="O389" s="59">
        <v>1.0</v>
      </c>
      <c r="P389" s="34">
        <f t="shared" si="14"/>
        <v>1</v>
      </c>
      <c r="Q389" s="60"/>
      <c r="R389" s="36">
        <f t="shared" si="45"/>
        <v>1</v>
      </c>
      <c r="S389" s="61">
        <v>0.0</v>
      </c>
      <c r="T389" s="37">
        <f t="shared" si="46"/>
        <v>1</v>
      </c>
      <c r="U389" s="62">
        <v>1.0</v>
      </c>
      <c r="V389" s="74">
        <v>20.86070591164692</v>
      </c>
      <c r="W389" s="63">
        <v>60.42</v>
      </c>
      <c r="X389" s="35">
        <f t="shared" si="62"/>
        <v>0.23</v>
      </c>
      <c r="Y389" s="35">
        <f t="shared" si="63"/>
        <v>0</v>
      </c>
      <c r="Z389" s="40">
        <f t="shared" si="57"/>
        <v>0.77</v>
      </c>
      <c r="AA389" s="34">
        <f t="shared" si="60"/>
        <v>0.23</v>
      </c>
      <c r="AB389" s="41">
        <f t="shared" si="49"/>
        <v>0</v>
      </c>
      <c r="AC389" s="42" t="b">
        <v>1</v>
      </c>
      <c r="AD389" s="42" t="s">
        <v>138</v>
      </c>
      <c r="AE389" s="42" t="s">
        <v>138</v>
      </c>
      <c r="AF389" s="42" t="str">
        <f t="array" ref="AF389">INDEX('Deal Info'!D:D, MATCH(A389,'Deal Info'!A:A, 0))</f>
        <v>DoEVs1</v>
      </c>
      <c r="AG389" s="43" t="str">
        <f t="array" ref="AG389">INDEX('Deal Info'!G:G, MATCH(A389,'Deal Info'!A:A, 0))</f>
        <v>None</v>
      </c>
    </row>
    <row r="390" hidden="1">
      <c r="A390" s="23" t="str">
        <f t="array" ref="A390">if(G390='Room Info'!$B$1, INDEX('Room Info'!$A$2:$A3446, MATCH(B390,'Room Info'!$B$2:$B3446, 0)),if(G390='Room Info'!$C$1, INDEX('Room Info'!$A$2:$A3446, MATCH(B390,'Room Info'!$C$2:$C3446, 0)),if(G390='Room Info'!$D$1, INDEX('Room Info'!$A$2:$A3446, MATCH(B390,'Room Info'!$D$2:$D3446, 0)),if(G390='Room Info'!$E$1, INDEX('Room Info'!$A$2:$A3446, MATCH(B390,'Room Info'!$E$2:$E3446, 0)),if(G390='Room Info'!$F$1, INDEX('Room Info'!$A$2:$A3446, MATCH(B390,'Room Info'!$F$2:$F3446, 0)),if(G390='Room Info'!$H$1, INDEX('Room Info'!$A$2:$A3446, MATCH(B390,'Room Info'!$H$2:$H3446, 0)),if(G390='Room Info'!$G$1, INDEX('Room Info'!$A$2:$A3446, MATCH(B390,'Room Info'!$G$2:$G3446, 0)))))))))</f>
        <v>S1lense</v>
      </c>
      <c r="B390" s="50" t="s">
        <v>169</v>
      </c>
      <c r="C390" s="51">
        <v>44855.0</v>
      </c>
      <c r="D390" s="51">
        <v>44885.0</v>
      </c>
      <c r="E390" s="52">
        <v>44866.0</v>
      </c>
      <c r="F390" s="53" t="s">
        <v>4</v>
      </c>
      <c r="G390" s="50" t="s">
        <v>5</v>
      </c>
      <c r="H390" s="54" t="s">
        <v>48</v>
      </c>
      <c r="I390" s="54" t="s">
        <v>11</v>
      </c>
      <c r="J390" s="75">
        <v>10.0</v>
      </c>
      <c r="K390" s="76">
        <v>8717.0</v>
      </c>
      <c r="L390" s="57">
        <v>-2120.0</v>
      </c>
      <c r="M390" s="58">
        <v>7507.0</v>
      </c>
      <c r="N390" s="33">
        <f t="shared" si="13"/>
        <v>87170</v>
      </c>
      <c r="O390" s="59">
        <v>99370.0</v>
      </c>
      <c r="P390" s="34">
        <f t="shared" si="14"/>
        <v>11.39956407</v>
      </c>
      <c r="Q390" s="60"/>
      <c r="R390" s="36">
        <f t="shared" si="45"/>
        <v>7507</v>
      </c>
      <c r="S390" s="61">
        <v>-3489.0</v>
      </c>
      <c r="T390" s="37">
        <f t="shared" si="46"/>
        <v>4018</v>
      </c>
      <c r="U390" s="62">
        <v>1.0</v>
      </c>
      <c r="V390" s="74">
        <v>20.86070591164692</v>
      </c>
      <c r="W390" s="63">
        <v>60.42</v>
      </c>
      <c r="X390" s="35">
        <f t="shared" si="62"/>
        <v>0.23</v>
      </c>
      <c r="Y390" s="35">
        <f t="shared" si="63"/>
        <v>0</v>
      </c>
      <c r="Z390" s="40">
        <f t="shared" si="57"/>
        <v>3093.86</v>
      </c>
      <c r="AA390" s="34">
        <f t="shared" si="60"/>
        <v>924.14</v>
      </c>
      <c r="AB390" s="41">
        <f t="shared" si="49"/>
        <v>0</v>
      </c>
      <c r="AC390" s="42" t="b">
        <v>1</v>
      </c>
      <c r="AD390" s="42" t="s">
        <v>138</v>
      </c>
      <c r="AE390" s="42" t="s">
        <v>138</v>
      </c>
      <c r="AF390" s="42" t="str">
        <f t="array" ref="AF390">INDEX('Deal Info'!D:D, MATCH(A390,'Deal Info'!A:A, 0))</f>
        <v>DoEVs1</v>
      </c>
      <c r="AG390" s="43" t="str">
        <f t="array" ref="AG390">INDEX('Deal Info'!G:G, MATCH(A390,'Deal Info'!A:A, 0))</f>
        <v>None</v>
      </c>
    </row>
    <row r="391" hidden="1">
      <c r="A391" s="23" t="str">
        <f t="array" ref="A391">if(G391='Room Info'!$B$1, INDEX('Room Info'!$A$2:$A3446, MATCH(B391,'Room Info'!$B$2:$B3446, 0)),if(G391='Room Info'!$C$1, INDEX('Room Info'!$A$2:$A3446, MATCH(B391,'Room Info'!$C$2:$C3446, 0)),if(G391='Room Info'!$D$1, INDEX('Room Info'!$A$2:$A3446, MATCH(B391,'Room Info'!$D$2:$D3446, 0)),if(G391='Room Info'!$E$1, INDEX('Room Info'!$A$2:$A3446, MATCH(B391,'Room Info'!$E$2:$E3446, 0)),if(G391='Room Info'!$F$1, INDEX('Room Info'!$A$2:$A3446, MATCH(B391,'Room Info'!$F$2:$F3446, 0)),if(G391='Room Info'!$H$1, INDEX('Room Info'!$A$2:$A3446, MATCH(B391,'Room Info'!$H$2:$H3446, 0)),if(G391='Room Info'!$G$1, INDEX('Room Info'!$A$2:$A3446, MATCH(B391,'Room Info'!$G$2:$G3446, 0)))))))))</f>
        <v>S1lense</v>
      </c>
      <c r="B391" s="50" t="s">
        <v>169</v>
      </c>
      <c r="C391" s="51">
        <v>44855.0</v>
      </c>
      <c r="D391" s="51">
        <v>44885.0</v>
      </c>
      <c r="E391" s="52">
        <v>44866.0</v>
      </c>
      <c r="F391" s="53" t="s">
        <v>4</v>
      </c>
      <c r="G391" s="50" t="s">
        <v>5</v>
      </c>
      <c r="H391" s="54" t="s">
        <v>63</v>
      </c>
      <c r="I391" s="54" t="s">
        <v>11</v>
      </c>
      <c r="J391" s="75">
        <v>25.0</v>
      </c>
      <c r="K391" s="76">
        <v>2668.0</v>
      </c>
      <c r="L391" s="57">
        <v>-3825.0</v>
      </c>
      <c r="M391" s="58">
        <v>4923.0</v>
      </c>
      <c r="N391" s="33">
        <f t="shared" si="13"/>
        <v>66700</v>
      </c>
      <c r="O391" s="59">
        <v>4500.0</v>
      </c>
      <c r="P391" s="34">
        <f t="shared" si="14"/>
        <v>1.686656672</v>
      </c>
      <c r="Q391" s="60"/>
      <c r="R391" s="36">
        <f t="shared" si="45"/>
        <v>4923</v>
      </c>
      <c r="S391" s="61">
        <v>-3986.0</v>
      </c>
      <c r="T391" s="37">
        <f t="shared" si="46"/>
        <v>937</v>
      </c>
      <c r="U391" s="62">
        <v>1.0</v>
      </c>
      <c r="V391" s="74">
        <v>20.86070591164692</v>
      </c>
      <c r="W391" s="63">
        <v>60.42</v>
      </c>
      <c r="X391" s="35">
        <f t="shared" si="62"/>
        <v>0.23</v>
      </c>
      <c r="Y391" s="35">
        <f t="shared" si="63"/>
        <v>0</v>
      </c>
      <c r="Z391" s="40">
        <f t="shared" si="57"/>
        <v>721.49</v>
      </c>
      <c r="AA391" s="34">
        <f t="shared" si="60"/>
        <v>215.51</v>
      </c>
      <c r="AB391" s="41">
        <f t="shared" si="49"/>
        <v>0</v>
      </c>
      <c r="AC391" s="42" t="b">
        <v>1</v>
      </c>
      <c r="AD391" s="42" t="s">
        <v>138</v>
      </c>
      <c r="AE391" s="42" t="s">
        <v>138</v>
      </c>
      <c r="AF391" s="42" t="str">
        <f t="array" ref="AF391">INDEX('Deal Info'!D:D, MATCH(A391,'Deal Info'!A:A, 0))</f>
        <v>DoEVs1</v>
      </c>
      <c r="AG391" s="43" t="str">
        <f t="array" ref="AG391">INDEX('Deal Info'!G:G, MATCH(A391,'Deal Info'!A:A, 0))</f>
        <v>None</v>
      </c>
    </row>
    <row r="392" hidden="1">
      <c r="A392" s="23" t="str">
        <f t="array" ref="A392">if(G392='Room Info'!$B$1, INDEX('Room Info'!$A$2:$A3446, MATCH(B392,'Room Info'!$B$2:$B3446, 0)),if(G392='Room Info'!$C$1, INDEX('Room Info'!$A$2:$A3446, MATCH(B392,'Room Info'!$C$2:$C3446, 0)),if(G392='Room Info'!$D$1, INDEX('Room Info'!$A$2:$A3446, MATCH(B392,'Room Info'!$D$2:$D3446, 0)),if(G392='Room Info'!$E$1, INDEX('Room Info'!$A$2:$A3446, MATCH(B392,'Room Info'!$E$2:$E3446, 0)),if(G392='Room Info'!$F$1, INDEX('Room Info'!$A$2:$A3446, MATCH(B392,'Room Info'!$F$2:$F3446, 0)),if(G392='Room Info'!$H$1, INDEX('Room Info'!$A$2:$A3446, MATCH(B392,'Room Info'!$H$2:$H3446, 0)),if(G392='Room Info'!$G$1, INDEX('Room Info'!$A$2:$A3446, MATCH(B392,'Room Info'!$G$2:$G3446, 0)))))))))</f>
        <v>S1lense</v>
      </c>
      <c r="B392" s="50" t="s">
        <v>169</v>
      </c>
      <c r="C392" s="51">
        <v>44855.0</v>
      </c>
      <c r="D392" s="51">
        <v>44885.0</v>
      </c>
      <c r="E392" s="52">
        <v>44866.0</v>
      </c>
      <c r="F392" s="53" t="s">
        <v>4</v>
      </c>
      <c r="G392" s="50" t="s">
        <v>5</v>
      </c>
      <c r="H392" s="54" t="s">
        <v>75</v>
      </c>
      <c r="I392" s="54" t="s">
        <v>11</v>
      </c>
      <c r="J392" s="55">
        <v>50.0</v>
      </c>
      <c r="K392" s="56">
        <v>138.0</v>
      </c>
      <c r="L392" s="57">
        <v>-1050.0</v>
      </c>
      <c r="M392" s="58">
        <v>509.0</v>
      </c>
      <c r="N392" s="33">
        <f t="shared" si="13"/>
        <v>6900</v>
      </c>
      <c r="O392" s="59">
        <v>-595.0</v>
      </c>
      <c r="P392" s="34">
        <f t="shared" si="14"/>
        <v>-4.311594203</v>
      </c>
      <c r="Q392" s="60"/>
      <c r="R392" s="36">
        <f t="shared" si="45"/>
        <v>509</v>
      </c>
      <c r="S392" s="61">
        <v>-540.0</v>
      </c>
      <c r="T392" s="37">
        <f t="shared" si="46"/>
        <v>-31</v>
      </c>
      <c r="U392" s="62">
        <v>1.0</v>
      </c>
      <c r="V392" s="74">
        <v>20.86070591164692</v>
      </c>
      <c r="W392" s="63">
        <v>60.42</v>
      </c>
      <c r="X392" s="35">
        <f t="shared" si="62"/>
        <v>0.23</v>
      </c>
      <c r="Y392" s="35">
        <f t="shared" si="63"/>
        <v>0</v>
      </c>
      <c r="Z392" s="40">
        <f t="shared" si="57"/>
        <v>-23.87</v>
      </c>
      <c r="AA392" s="34">
        <f t="shared" si="60"/>
        <v>-7.13</v>
      </c>
      <c r="AB392" s="41">
        <f t="shared" si="49"/>
        <v>0</v>
      </c>
      <c r="AC392" s="42" t="b">
        <v>1</v>
      </c>
      <c r="AD392" s="42" t="s">
        <v>138</v>
      </c>
      <c r="AE392" s="42" t="s">
        <v>138</v>
      </c>
      <c r="AF392" s="42" t="str">
        <f t="array" ref="AF392">INDEX('Deal Info'!D:D, MATCH(A392,'Deal Info'!A:A, 0))</f>
        <v>DoEVs1</v>
      </c>
      <c r="AG392" s="43" t="str">
        <f t="array" ref="AG392">INDEX('Deal Info'!G:G, MATCH(A392,'Deal Info'!A:A, 0))</f>
        <v>None</v>
      </c>
    </row>
    <row r="393" hidden="1">
      <c r="A393" s="23" t="str">
        <f t="array" ref="A393">if(G393='Room Info'!$B$1, INDEX('Room Info'!$A$2:$A3446, MATCH(B393,'Room Info'!$B$2:$B3446, 0)),if(G393='Room Info'!$C$1, INDEX('Room Info'!$A$2:$A3446, MATCH(B393,'Room Info'!$C$2:$C3446, 0)),if(G393='Room Info'!$D$1, INDEX('Room Info'!$A$2:$A3446, MATCH(B393,'Room Info'!$D$2:$D3446, 0)),if(G393='Room Info'!$E$1, INDEX('Room Info'!$A$2:$A3446, MATCH(B393,'Room Info'!$E$2:$E3446, 0)),if(G393='Room Info'!$F$1, INDEX('Room Info'!$A$2:$A3446, MATCH(B393,'Room Info'!$F$2:$F3446, 0)),if(G393='Room Info'!$H$1, INDEX('Room Info'!$A$2:$A3446, MATCH(B393,'Room Info'!$H$2:$H3446, 0)),if(G393='Room Info'!$G$1, INDEX('Room Info'!$A$2:$A3446, MATCH(B393,'Room Info'!$G$2:$G3446, 0)))))))))</f>
        <v>S1lense</v>
      </c>
      <c r="B393" s="50" t="s">
        <v>169</v>
      </c>
      <c r="C393" s="51">
        <v>44886.0</v>
      </c>
      <c r="D393" s="51">
        <v>44915.0</v>
      </c>
      <c r="E393" s="52">
        <v>44896.0</v>
      </c>
      <c r="F393" s="53" t="s">
        <v>4</v>
      </c>
      <c r="G393" s="50" t="s">
        <v>5</v>
      </c>
      <c r="H393" s="54" t="s">
        <v>48</v>
      </c>
      <c r="I393" s="54" t="s">
        <v>11</v>
      </c>
      <c r="J393" s="55">
        <v>10.0</v>
      </c>
      <c r="K393" s="56">
        <v>19718.0</v>
      </c>
      <c r="L393" s="57">
        <v>-6270.0</v>
      </c>
      <c r="M393" s="58">
        <v>4405.0</v>
      </c>
      <c r="N393" s="33">
        <f t="shared" si="13"/>
        <v>197180</v>
      </c>
      <c r="O393" s="59">
        <v>298548.0</v>
      </c>
      <c r="P393" s="34">
        <f t="shared" si="14"/>
        <v>15.1408865</v>
      </c>
      <c r="Q393" s="60"/>
      <c r="R393" s="36">
        <f t="shared" si="45"/>
        <v>4405</v>
      </c>
      <c r="S393" s="61">
        <v>-5307.0</v>
      </c>
      <c r="T393" s="37">
        <f t="shared" si="46"/>
        <v>-902</v>
      </c>
      <c r="U393" s="62">
        <v>1.0</v>
      </c>
      <c r="V393" s="63">
        <v>12.0</v>
      </c>
      <c r="W393" s="63">
        <v>101.5</v>
      </c>
      <c r="X393" s="35">
        <f t="shared" si="62"/>
        <v>0.23</v>
      </c>
      <c r="Y393" s="35">
        <f t="shared" si="63"/>
        <v>0</v>
      </c>
      <c r="Z393" s="40">
        <f t="shared" si="57"/>
        <v>-694.54</v>
      </c>
      <c r="AA393" s="34">
        <f t="shared" si="60"/>
        <v>-207.46</v>
      </c>
      <c r="AB393" s="41">
        <f t="shared" si="49"/>
        <v>0</v>
      </c>
      <c r="AC393" s="42" t="b">
        <v>1</v>
      </c>
      <c r="AD393" s="42" t="s">
        <v>138</v>
      </c>
      <c r="AE393" s="42" t="s">
        <v>138</v>
      </c>
      <c r="AF393" s="42" t="str">
        <f t="array" ref="AF393">INDEX('Deal Info'!D:D, MATCH(A393,'Deal Info'!A:A, 0))</f>
        <v>DoEVs1</v>
      </c>
      <c r="AG393" s="43" t="str">
        <f t="array" ref="AG393">INDEX('Deal Info'!G:G, MATCH(A393,'Deal Info'!A:A, 0))</f>
        <v>None</v>
      </c>
    </row>
    <row r="394" hidden="1">
      <c r="A394" s="23" t="str">
        <f t="array" ref="A394">if(G394='Room Info'!$B$1, INDEX('Room Info'!$A$2:$A3446, MATCH(B394,'Room Info'!$B$2:$B3446, 0)),if(G394='Room Info'!$C$1, INDEX('Room Info'!$A$2:$A3446, MATCH(B394,'Room Info'!$C$2:$C3446, 0)),if(G394='Room Info'!$D$1, INDEX('Room Info'!$A$2:$A3446, MATCH(B394,'Room Info'!$D$2:$D3446, 0)),if(G394='Room Info'!$E$1, INDEX('Room Info'!$A$2:$A3446, MATCH(B394,'Room Info'!$E$2:$E3446, 0)),if(G394='Room Info'!$F$1, INDEX('Room Info'!$A$2:$A3446, MATCH(B394,'Room Info'!$F$2:$F3446, 0)),if(G394='Room Info'!$H$1, INDEX('Room Info'!$A$2:$A3446, MATCH(B394,'Room Info'!$H$2:$H3446, 0)),if(G394='Room Info'!$G$1, INDEX('Room Info'!$A$2:$A3446, MATCH(B394,'Room Info'!$G$2:$G3446, 0)))))))))</f>
        <v>S1lense</v>
      </c>
      <c r="B394" s="50" t="s">
        <v>169</v>
      </c>
      <c r="C394" s="51">
        <v>44886.0</v>
      </c>
      <c r="D394" s="51">
        <v>44915.0</v>
      </c>
      <c r="E394" s="52">
        <v>44896.0</v>
      </c>
      <c r="F394" s="53" t="s">
        <v>4</v>
      </c>
      <c r="G394" s="59" t="s">
        <v>5</v>
      </c>
      <c r="H394" s="54" t="s">
        <v>63</v>
      </c>
      <c r="I394" s="54" t="s">
        <v>11</v>
      </c>
      <c r="J394" s="55">
        <v>25.0</v>
      </c>
      <c r="K394" s="56">
        <v>857.0</v>
      </c>
      <c r="L394" s="57">
        <v>-1350.0</v>
      </c>
      <c r="M394" s="58">
        <v>410.0</v>
      </c>
      <c r="N394" s="33">
        <f t="shared" si="13"/>
        <v>21425</v>
      </c>
      <c r="O394" s="59">
        <v>1223.0</v>
      </c>
      <c r="P394" s="34">
        <f t="shared" si="14"/>
        <v>1.427071179</v>
      </c>
      <c r="Q394" s="60"/>
      <c r="R394" s="36">
        <f t="shared" si="45"/>
        <v>410</v>
      </c>
      <c r="S394" s="61">
        <v>-1263.0</v>
      </c>
      <c r="T394" s="37">
        <f t="shared" si="46"/>
        <v>-853</v>
      </c>
      <c r="U394" s="62">
        <v>1.0</v>
      </c>
      <c r="V394" s="63">
        <v>12.0</v>
      </c>
      <c r="W394" s="63">
        <v>101.5</v>
      </c>
      <c r="X394" s="35">
        <f t="shared" si="62"/>
        <v>0.23</v>
      </c>
      <c r="Y394" s="35">
        <f t="shared" si="63"/>
        <v>0</v>
      </c>
      <c r="Z394" s="40">
        <f t="shared" si="57"/>
        <v>-656.81</v>
      </c>
      <c r="AA394" s="34">
        <f t="shared" si="60"/>
        <v>-196.19</v>
      </c>
      <c r="AB394" s="41">
        <f t="shared" si="49"/>
        <v>0</v>
      </c>
      <c r="AC394" s="42" t="b">
        <v>1</v>
      </c>
      <c r="AD394" s="42" t="s">
        <v>138</v>
      </c>
      <c r="AE394" s="42" t="s">
        <v>138</v>
      </c>
      <c r="AF394" s="42" t="str">
        <f t="array" ref="AF394">INDEX('Deal Info'!D:D, MATCH(A394,'Deal Info'!A:A, 0))</f>
        <v>DoEVs1</v>
      </c>
      <c r="AG394" s="43" t="str">
        <f t="array" ref="AG394">INDEX('Deal Info'!G:G, MATCH(A394,'Deal Info'!A:A, 0))</f>
        <v>None</v>
      </c>
    </row>
    <row r="395" hidden="1">
      <c r="A395" s="23" t="str">
        <f t="array" ref="A395">if(G395='Room Info'!$B$1, INDEX('Room Info'!$A$2:$A3446, MATCH(B395,'Room Info'!$B$2:$B3446, 0)),if(G395='Room Info'!$C$1, INDEX('Room Info'!$A$2:$A3446, MATCH(B395,'Room Info'!$C$2:$C3446, 0)),if(G395='Room Info'!$D$1, INDEX('Room Info'!$A$2:$A3446, MATCH(B395,'Room Info'!$D$2:$D3446, 0)),if(G395='Room Info'!$E$1, INDEX('Room Info'!$A$2:$A3446, MATCH(B395,'Room Info'!$E$2:$E3446, 0)),if(G395='Room Info'!$F$1, INDEX('Room Info'!$A$2:$A3446, MATCH(B395,'Room Info'!$F$2:$F3446, 0)),if(G395='Room Info'!$H$1, INDEX('Room Info'!$A$2:$A3446, MATCH(B395,'Room Info'!$H$2:$H3446, 0)),if(G395='Room Info'!$G$1, INDEX('Room Info'!$A$2:$A3446, MATCH(B395,'Room Info'!$G$2:$G3446, 0)))))))))</f>
        <v>S1lense</v>
      </c>
      <c r="B395" s="50" t="s">
        <v>169</v>
      </c>
      <c r="C395" s="51">
        <v>44916.0</v>
      </c>
      <c r="D395" s="51">
        <v>44946.0</v>
      </c>
      <c r="E395" s="52">
        <v>44927.0</v>
      </c>
      <c r="F395" s="53" t="s">
        <v>4</v>
      </c>
      <c r="G395" s="59" t="s">
        <v>5</v>
      </c>
      <c r="H395" s="54" t="s">
        <v>38</v>
      </c>
      <c r="I395" s="54" t="s">
        <v>11</v>
      </c>
      <c r="J395" s="55">
        <v>5.0</v>
      </c>
      <c r="K395" s="56">
        <v>4.0</v>
      </c>
      <c r="L395" s="57">
        <v>-10.0</v>
      </c>
      <c r="M395" s="58">
        <v>1.0</v>
      </c>
      <c r="N395" s="33">
        <f t="shared" si="13"/>
        <v>20</v>
      </c>
      <c r="O395" s="59">
        <v>-100.0</v>
      </c>
      <c r="P395" s="34">
        <f t="shared" si="14"/>
        <v>-25</v>
      </c>
      <c r="Q395" s="60"/>
      <c r="R395" s="36">
        <f t="shared" si="45"/>
        <v>1</v>
      </c>
      <c r="S395" s="61">
        <v>-3.0</v>
      </c>
      <c r="T395" s="37">
        <f t="shared" si="46"/>
        <v>-2</v>
      </c>
      <c r="U395" s="62">
        <v>1.0</v>
      </c>
      <c r="V395" s="63">
        <v>12.0</v>
      </c>
      <c r="W395" s="63">
        <v>101.5</v>
      </c>
      <c r="X395" s="35">
        <f t="shared" si="62"/>
        <v>0.23</v>
      </c>
      <c r="Y395" s="35">
        <f t="shared" si="63"/>
        <v>0</v>
      </c>
      <c r="Z395" s="40">
        <f t="shared" si="57"/>
        <v>-1.54</v>
      </c>
      <c r="AA395" s="34">
        <f t="shared" si="60"/>
        <v>-0.46</v>
      </c>
      <c r="AB395" s="41">
        <f t="shared" si="49"/>
        <v>0</v>
      </c>
      <c r="AC395" s="42" t="b">
        <v>1</v>
      </c>
      <c r="AD395" s="42" t="s">
        <v>138</v>
      </c>
      <c r="AE395" s="42" t="s">
        <v>138</v>
      </c>
      <c r="AF395" s="42" t="str">
        <f t="array" ref="AF395">INDEX('Deal Info'!D:D, MATCH(A395,'Deal Info'!A:A, 0))</f>
        <v>DoEVs1</v>
      </c>
      <c r="AG395" s="43" t="str">
        <f t="array" ref="AG395">INDEX('Deal Info'!G:G, MATCH(A395,'Deal Info'!A:A, 0))</f>
        <v>None</v>
      </c>
    </row>
    <row r="396" hidden="1">
      <c r="A396" s="23" t="str">
        <f t="array" ref="A396">if(G396='Room Info'!$B$1, INDEX('Room Info'!$A$2:$A3446, MATCH(B396,'Room Info'!$B$2:$B3446, 0)),if(G396='Room Info'!$C$1, INDEX('Room Info'!$A$2:$A3446, MATCH(B396,'Room Info'!$C$2:$C3446, 0)),if(G396='Room Info'!$D$1, INDEX('Room Info'!$A$2:$A3446, MATCH(B396,'Room Info'!$D$2:$D3446, 0)),if(G396='Room Info'!$E$1, INDEX('Room Info'!$A$2:$A3446, MATCH(B396,'Room Info'!$E$2:$E3446, 0)),if(G396='Room Info'!$F$1, INDEX('Room Info'!$A$2:$A3446, MATCH(B396,'Room Info'!$F$2:$F3446, 0)),if(G396='Room Info'!$H$1, INDEX('Room Info'!$A$2:$A3446, MATCH(B396,'Room Info'!$H$2:$H3446, 0)),if(G396='Room Info'!$G$1, INDEX('Room Info'!$A$2:$A3446, MATCH(B396,'Room Info'!$G$2:$G3446, 0)))))))))</f>
        <v>S1lense</v>
      </c>
      <c r="B396" s="50" t="s">
        <v>169</v>
      </c>
      <c r="C396" s="51">
        <v>44916.0</v>
      </c>
      <c r="D396" s="51">
        <v>44946.0</v>
      </c>
      <c r="E396" s="52">
        <v>44927.0</v>
      </c>
      <c r="F396" s="53" t="s">
        <v>4</v>
      </c>
      <c r="G396" s="59" t="s">
        <v>5</v>
      </c>
      <c r="H396" s="54" t="s">
        <v>48</v>
      </c>
      <c r="I396" s="54" t="s">
        <v>11</v>
      </c>
      <c r="J396" s="55">
        <v>10.0</v>
      </c>
      <c r="K396" s="56">
        <v>18713.0</v>
      </c>
      <c r="L396" s="57">
        <v>-10120.0</v>
      </c>
      <c r="M396" s="58">
        <v>9547.0</v>
      </c>
      <c r="N396" s="33">
        <f t="shared" si="13"/>
        <v>187130</v>
      </c>
      <c r="O396" s="59">
        <v>236421.0</v>
      </c>
      <c r="P396" s="34">
        <f t="shared" si="14"/>
        <v>12.63405119</v>
      </c>
      <c r="Q396" s="60"/>
      <c r="R396" s="36">
        <f t="shared" si="45"/>
        <v>9547</v>
      </c>
      <c r="S396" s="61">
        <v>-6259.0</v>
      </c>
      <c r="T396" s="37">
        <f t="shared" si="46"/>
        <v>3288</v>
      </c>
      <c r="U396" s="62">
        <v>1.0</v>
      </c>
      <c r="V396" s="63">
        <v>12.0</v>
      </c>
      <c r="W396" s="63">
        <v>101.5</v>
      </c>
      <c r="X396" s="35">
        <f t="shared" si="62"/>
        <v>0.23</v>
      </c>
      <c r="Y396" s="35">
        <f t="shared" si="63"/>
        <v>0</v>
      </c>
      <c r="Z396" s="40">
        <f t="shared" si="57"/>
        <v>2531.76</v>
      </c>
      <c r="AA396" s="34">
        <f t="shared" si="60"/>
        <v>756.24</v>
      </c>
      <c r="AB396" s="41">
        <f t="shared" si="49"/>
        <v>0</v>
      </c>
      <c r="AC396" s="42" t="b">
        <v>1</v>
      </c>
      <c r="AD396" s="42" t="s">
        <v>138</v>
      </c>
      <c r="AE396" s="42" t="s">
        <v>138</v>
      </c>
      <c r="AF396" s="42" t="str">
        <f t="array" ref="AF396">INDEX('Deal Info'!D:D, MATCH(A396,'Deal Info'!A:A, 0))</f>
        <v>DoEVs1</v>
      </c>
      <c r="AG396" s="43" t="str">
        <f t="array" ref="AG396">INDEX('Deal Info'!G:G, MATCH(A396,'Deal Info'!A:A, 0))</f>
        <v>None</v>
      </c>
    </row>
    <row r="397" hidden="1">
      <c r="A397" s="23" t="str">
        <f t="array" ref="A397">if(G397='Room Info'!$B$1, INDEX('Room Info'!$A$2:$A3446, MATCH(B397,'Room Info'!$B$2:$B3446, 0)),if(G397='Room Info'!$C$1, INDEX('Room Info'!$A$2:$A3446, MATCH(B397,'Room Info'!$C$2:$C3446, 0)),if(G397='Room Info'!$D$1, INDEX('Room Info'!$A$2:$A3446, MATCH(B397,'Room Info'!$D$2:$D3446, 0)),if(G397='Room Info'!$E$1, INDEX('Room Info'!$A$2:$A3446, MATCH(B397,'Room Info'!$E$2:$E3446, 0)),if(G397='Room Info'!$F$1, INDEX('Room Info'!$A$2:$A3446, MATCH(B397,'Room Info'!$F$2:$F3446, 0)),if(G397='Room Info'!$H$1, INDEX('Room Info'!$A$2:$A3446, MATCH(B397,'Room Info'!$H$2:$H3446, 0)),if(G397='Room Info'!$G$1, INDEX('Room Info'!$A$2:$A3446, MATCH(B397,'Room Info'!$G$2:$G3446, 0)))))))))</f>
        <v>S1lense</v>
      </c>
      <c r="B397" s="50" t="s">
        <v>169</v>
      </c>
      <c r="C397" s="51">
        <v>44916.0</v>
      </c>
      <c r="D397" s="51">
        <v>44946.0</v>
      </c>
      <c r="E397" s="52">
        <v>44927.0</v>
      </c>
      <c r="F397" s="53" t="s">
        <v>4</v>
      </c>
      <c r="G397" s="59" t="s">
        <v>5</v>
      </c>
      <c r="H397" s="54" t="s">
        <v>63</v>
      </c>
      <c r="I397" s="54" t="s">
        <v>11</v>
      </c>
      <c r="J397" s="55">
        <v>25.0</v>
      </c>
      <c r="K397" s="56">
        <v>5133.0</v>
      </c>
      <c r="L397" s="57">
        <v>-7125.0</v>
      </c>
      <c r="M397" s="58">
        <v>5612.0</v>
      </c>
      <c r="N397" s="33">
        <f t="shared" si="13"/>
        <v>128325</v>
      </c>
      <c r="O397" s="59">
        <v>42177.0</v>
      </c>
      <c r="P397" s="34">
        <f t="shared" si="14"/>
        <v>8.216832262</v>
      </c>
      <c r="Q397" s="60"/>
      <c r="R397" s="36">
        <f t="shared" si="45"/>
        <v>5612</v>
      </c>
      <c r="S397" s="61">
        <v>-4707.0</v>
      </c>
      <c r="T397" s="37">
        <f t="shared" si="46"/>
        <v>905</v>
      </c>
      <c r="U397" s="62">
        <v>1.0</v>
      </c>
      <c r="V397" s="63">
        <v>12.0</v>
      </c>
      <c r="W397" s="63">
        <v>101.5</v>
      </c>
      <c r="X397" s="35">
        <f t="shared" si="62"/>
        <v>0.23</v>
      </c>
      <c r="Y397" s="35">
        <f t="shared" si="63"/>
        <v>0</v>
      </c>
      <c r="Z397" s="40">
        <f t="shared" si="57"/>
        <v>696.85</v>
      </c>
      <c r="AA397" s="34">
        <f t="shared" si="60"/>
        <v>208.15</v>
      </c>
      <c r="AB397" s="41">
        <f t="shared" si="49"/>
        <v>0</v>
      </c>
      <c r="AC397" s="42" t="b">
        <v>1</v>
      </c>
      <c r="AD397" s="42" t="s">
        <v>138</v>
      </c>
      <c r="AE397" s="42" t="s">
        <v>138</v>
      </c>
      <c r="AF397" s="42" t="str">
        <f t="array" ref="AF397">INDEX('Deal Info'!D:D, MATCH(A397,'Deal Info'!A:A, 0))</f>
        <v>DoEVs1</v>
      </c>
      <c r="AG397" s="43" t="str">
        <f t="array" ref="AG397">INDEX('Deal Info'!G:G, MATCH(A397,'Deal Info'!A:A, 0))</f>
        <v>None</v>
      </c>
    </row>
    <row r="398" hidden="1">
      <c r="A398" s="23" t="str">
        <f t="array" ref="A398">if(G398='Room Info'!$B$1, INDEX('Room Info'!$A$2:$A3446, MATCH(B398,'Room Info'!$B$2:$B3446, 0)),if(G398='Room Info'!$C$1, INDEX('Room Info'!$A$2:$A3446, MATCH(B398,'Room Info'!$C$2:$C3446, 0)),if(G398='Room Info'!$D$1, INDEX('Room Info'!$A$2:$A3446, MATCH(B398,'Room Info'!$D$2:$D3446, 0)),if(G398='Room Info'!$E$1, INDEX('Room Info'!$A$2:$A3446, MATCH(B398,'Room Info'!$E$2:$E3446, 0)),if(G398='Room Info'!$F$1, INDEX('Room Info'!$A$2:$A3446, MATCH(B398,'Room Info'!$F$2:$F3446, 0)),if(G398='Room Info'!$H$1, INDEX('Room Info'!$A$2:$A3446, MATCH(B398,'Room Info'!$H$2:$H3446, 0)),if(G398='Room Info'!$G$1, INDEX('Room Info'!$A$2:$A3446, MATCH(B398,'Room Info'!$G$2:$G3446, 0)))))))))</f>
        <v>S1lense</v>
      </c>
      <c r="B398" s="50" t="s">
        <v>169</v>
      </c>
      <c r="C398" s="51">
        <v>44916.0</v>
      </c>
      <c r="D398" s="51">
        <v>44946.0</v>
      </c>
      <c r="E398" s="52">
        <v>44927.0</v>
      </c>
      <c r="F398" s="53" t="s">
        <v>12</v>
      </c>
      <c r="G398" s="59" t="s">
        <v>5</v>
      </c>
      <c r="H398" s="54" t="s">
        <v>23</v>
      </c>
      <c r="I398" s="54" t="s">
        <v>11</v>
      </c>
      <c r="J398" s="55">
        <v>1.0</v>
      </c>
      <c r="K398" s="56">
        <v>36.0</v>
      </c>
      <c r="L398" s="57">
        <v>1.0</v>
      </c>
      <c r="M398" s="58">
        <v>2.0</v>
      </c>
      <c r="N398" s="33">
        <f t="shared" si="13"/>
        <v>36</v>
      </c>
      <c r="O398" s="70"/>
      <c r="P398" s="34">
        <f t="shared" si="14"/>
        <v>0</v>
      </c>
      <c r="Q398" s="60"/>
      <c r="R398" s="36">
        <f t="shared" si="45"/>
        <v>2</v>
      </c>
      <c r="S398" s="71"/>
      <c r="T398" s="37">
        <f t="shared" si="46"/>
        <v>3</v>
      </c>
      <c r="U398" s="62">
        <v>1.0</v>
      </c>
      <c r="V398" s="63">
        <v>12.0</v>
      </c>
      <c r="W398" s="63">
        <v>101.5</v>
      </c>
      <c r="X398" s="35">
        <f t="shared" si="62"/>
        <v>0.23</v>
      </c>
      <c r="Y398" s="35">
        <f t="shared" si="63"/>
        <v>0</v>
      </c>
      <c r="Z398" s="40">
        <f t="shared" si="57"/>
        <v>2.31</v>
      </c>
      <c r="AA398" s="34">
        <f t="shared" si="60"/>
        <v>0.69</v>
      </c>
      <c r="AB398" s="41">
        <f t="shared" si="49"/>
        <v>0</v>
      </c>
      <c r="AC398" s="42" t="b">
        <v>1</v>
      </c>
      <c r="AD398" s="42" t="s">
        <v>138</v>
      </c>
      <c r="AE398" s="42" t="s">
        <v>138</v>
      </c>
      <c r="AF398" s="42" t="str">
        <f t="array" ref="AF398">INDEX('Deal Info'!D:D, MATCH(A398,'Deal Info'!A:A, 0))</f>
        <v>DoEVs1</v>
      </c>
      <c r="AG398" s="43" t="str">
        <f t="array" ref="AG398">INDEX('Deal Info'!G:G, MATCH(A398,'Deal Info'!A:A, 0))</f>
        <v>None</v>
      </c>
    </row>
    <row r="399" hidden="1">
      <c r="A399" s="23" t="str">
        <f t="array" ref="A399">if(G399='Room Info'!$B$1, INDEX('Room Info'!$A$2:$A3446, MATCH(B399,'Room Info'!$B$2:$B3446, 0)),if(G399='Room Info'!$C$1, INDEX('Room Info'!$A$2:$A3446, MATCH(B399,'Room Info'!$C$2:$C3446, 0)),if(G399='Room Info'!$D$1, INDEX('Room Info'!$A$2:$A3446, MATCH(B399,'Room Info'!$D$2:$D3446, 0)),if(G399='Room Info'!$E$1, INDEX('Room Info'!$A$2:$A3446, MATCH(B399,'Room Info'!$E$2:$E3446, 0)),if(G399='Room Info'!$F$1, INDEX('Room Info'!$A$2:$A3446, MATCH(B399,'Room Info'!$F$2:$F3446, 0)),if(G399='Room Info'!$H$1, INDEX('Room Info'!$A$2:$A3446, MATCH(B399,'Room Info'!$H$2:$H3446, 0)),if(G399='Room Info'!$G$1, INDEX('Room Info'!$A$2:$A3446, MATCH(B399,'Room Info'!$G$2:$G3446, 0)))))))))</f>
        <v>CrippledMind</v>
      </c>
      <c r="B399" s="50" t="s">
        <v>170</v>
      </c>
      <c r="C399" s="51">
        <v>44628.0</v>
      </c>
      <c r="D399" s="51">
        <v>44640.0</v>
      </c>
      <c r="E399" s="52">
        <v>44621.0</v>
      </c>
      <c r="F399" s="53" t="s">
        <v>4</v>
      </c>
      <c r="G399" s="50" t="s">
        <v>5</v>
      </c>
      <c r="H399" s="54" t="s">
        <v>35</v>
      </c>
      <c r="I399" s="54" t="s">
        <v>7</v>
      </c>
      <c r="J399" s="55">
        <v>5.0</v>
      </c>
      <c r="K399" s="56">
        <v>90.0</v>
      </c>
      <c r="L399" s="57">
        <v>0.0</v>
      </c>
      <c r="M399" s="58">
        <v>6.0</v>
      </c>
      <c r="N399" s="33">
        <f t="shared" si="13"/>
        <v>450</v>
      </c>
      <c r="O399" s="59">
        <v>2970.0</v>
      </c>
      <c r="P399" s="34">
        <f t="shared" si="14"/>
        <v>33</v>
      </c>
      <c r="Q399" s="60"/>
      <c r="R399" s="36">
        <f t="shared" si="45"/>
        <v>6</v>
      </c>
      <c r="S399" s="61">
        <v>-13.0</v>
      </c>
      <c r="T399" s="37">
        <f t="shared" si="46"/>
        <v>-7</v>
      </c>
      <c r="U399" s="62">
        <v>1.0</v>
      </c>
      <c r="V399" s="74">
        <v>9.391069012178619</v>
      </c>
      <c r="W399" s="74">
        <v>42.3806916426513</v>
      </c>
      <c r="X399" s="35">
        <v>0.17</v>
      </c>
      <c r="Y399" s="35">
        <f t="shared" si="63"/>
        <v>0</v>
      </c>
      <c r="Z399" s="40">
        <f t="shared" si="57"/>
        <v>-5.81</v>
      </c>
      <c r="AA399" s="34">
        <f t="shared" si="60"/>
        <v>-1.19</v>
      </c>
      <c r="AB399" s="41">
        <f t="shared" si="49"/>
        <v>0</v>
      </c>
      <c r="AC399" s="42" t="b">
        <v>1</v>
      </c>
      <c r="AD399" s="42" t="s">
        <v>138</v>
      </c>
      <c r="AE399" s="42" t="s">
        <v>138</v>
      </c>
      <c r="AF399" s="42" t="str">
        <f t="array" ref="AF399">INDEX('Deal Info'!D:D, MATCH(A399,'Deal Info'!A:A, 0))</f>
        <v>DoEV</v>
      </c>
      <c r="AG399" s="43" t="str">
        <f t="array" ref="AG399">INDEX('Deal Info'!G:G, MATCH(A399,'Deal Info'!A:A, 0))</f>
        <v>None</v>
      </c>
    </row>
    <row r="400" hidden="1">
      <c r="A400" s="23" t="str">
        <f t="array" ref="A400">if(G400='Room Info'!$B$1, INDEX('Room Info'!$A$2:$A3446, MATCH(B400,'Room Info'!$B$2:$B3446, 0)),if(G400='Room Info'!$C$1, INDEX('Room Info'!$A$2:$A3446, MATCH(B400,'Room Info'!$C$2:$C3446, 0)),if(G400='Room Info'!$D$1, INDEX('Room Info'!$A$2:$A3446, MATCH(B400,'Room Info'!$D$2:$D3446, 0)),if(G400='Room Info'!$E$1, INDEX('Room Info'!$A$2:$A3446, MATCH(B400,'Room Info'!$E$2:$E3446, 0)),if(G400='Room Info'!$F$1, INDEX('Room Info'!$A$2:$A3446, MATCH(B400,'Room Info'!$F$2:$F3446, 0)),if(G400='Room Info'!$H$1, INDEX('Room Info'!$A$2:$A3446, MATCH(B400,'Room Info'!$H$2:$H3446, 0)),if(G400='Room Info'!$G$1, INDEX('Room Info'!$A$2:$A3446, MATCH(B400,'Room Info'!$G$2:$G3446, 0)))))))))</f>
        <v>CrippledMind</v>
      </c>
      <c r="B400" s="50" t="s">
        <v>170</v>
      </c>
      <c r="C400" s="51">
        <v>44628.0</v>
      </c>
      <c r="D400" s="51">
        <v>44640.0</v>
      </c>
      <c r="E400" s="52">
        <v>44621.0</v>
      </c>
      <c r="F400" s="53" t="s">
        <v>4</v>
      </c>
      <c r="G400" s="50" t="s">
        <v>5</v>
      </c>
      <c r="H400" s="54" t="s">
        <v>45</v>
      </c>
      <c r="I400" s="54" t="s">
        <v>7</v>
      </c>
      <c r="J400" s="75">
        <v>10.0</v>
      </c>
      <c r="K400" s="76">
        <v>649.0</v>
      </c>
      <c r="L400" s="57">
        <v>200.0</v>
      </c>
      <c r="M400" s="58">
        <v>69.0</v>
      </c>
      <c r="N400" s="33">
        <f t="shared" si="13"/>
        <v>6490</v>
      </c>
      <c r="O400" s="59">
        <v>44781.0</v>
      </c>
      <c r="P400" s="34">
        <f t="shared" si="14"/>
        <v>69</v>
      </c>
      <c r="Q400" s="60"/>
      <c r="R400" s="36">
        <f t="shared" si="45"/>
        <v>69</v>
      </c>
      <c r="S400" s="61">
        <v>336.0</v>
      </c>
      <c r="T400" s="37">
        <f t="shared" si="46"/>
        <v>405</v>
      </c>
      <c r="U400" s="62">
        <v>1.0</v>
      </c>
      <c r="V400" s="74">
        <v>9.391069012178619</v>
      </c>
      <c r="W400" s="74">
        <v>42.3806916426513</v>
      </c>
      <c r="X400" s="35">
        <v>0.17</v>
      </c>
      <c r="Y400" s="35">
        <f t="shared" si="63"/>
        <v>0</v>
      </c>
      <c r="Z400" s="40">
        <f t="shared" si="57"/>
        <v>336.15</v>
      </c>
      <c r="AA400" s="34">
        <f t="shared" si="60"/>
        <v>68.85</v>
      </c>
      <c r="AB400" s="41">
        <f t="shared" si="49"/>
        <v>0</v>
      </c>
      <c r="AC400" s="42" t="b">
        <v>1</v>
      </c>
      <c r="AD400" s="42" t="s">
        <v>138</v>
      </c>
      <c r="AE400" s="42" t="s">
        <v>138</v>
      </c>
      <c r="AF400" s="42" t="str">
        <f t="array" ref="AF400">INDEX('Deal Info'!D:D, MATCH(A400,'Deal Info'!A:A, 0))</f>
        <v>DoEV</v>
      </c>
      <c r="AG400" s="43" t="str">
        <f t="array" ref="AG400">INDEX('Deal Info'!G:G, MATCH(A400,'Deal Info'!A:A, 0))</f>
        <v>None</v>
      </c>
    </row>
    <row r="401" hidden="1">
      <c r="A401" s="23" t="str">
        <f t="array" ref="A401">if(G401='Room Info'!$B$1, INDEX('Room Info'!$A$2:$A3446, MATCH(B401,'Room Info'!$B$2:$B3446, 0)),if(G401='Room Info'!$C$1, INDEX('Room Info'!$A$2:$A3446, MATCH(B401,'Room Info'!$C$2:$C3446, 0)),if(G401='Room Info'!$D$1, INDEX('Room Info'!$A$2:$A3446, MATCH(B401,'Room Info'!$D$2:$D3446, 0)),if(G401='Room Info'!$E$1, INDEX('Room Info'!$A$2:$A3446, MATCH(B401,'Room Info'!$E$2:$E3446, 0)),if(G401='Room Info'!$F$1, INDEX('Room Info'!$A$2:$A3446, MATCH(B401,'Room Info'!$F$2:$F3446, 0)),if(G401='Room Info'!$H$1, INDEX('Room Info'!$A$2:$A3446, MATCH(B401,'Room Info'!$H$2:$H3446, 0)),if(G401='Room Info'!$G$1, INDEX('Room Info'!$A$2:$A3446, MATCH(B401,'Room Info'!$G$2:$G3446, 0)))))))))</f>
        <v>CrippledMind</v>
      </c>
      <c r="B401" s="50" t="s">
        <v>170</v>
      </c>
      <c r="C401" s="51">
        <v>44641.0</v>
      </c>
      <c r="D401" s="51">
        <v>44671.0</v>
      </c>
      <c r="E401" s="52">
        <v>44652.0</v>
      </c>
      <c r="F401" s="53" t="s">
        <v>4</v>
      </c>
      <c r="G401" s="50" t="s">
        <v>5</v>
      </c>
      <c r="H401" s="54" t="s">
        <v>35</v>
      </c>
      <c r="I401" s="54" t="s">
        <v>7</v>
      </c>
      <c r="J401" s="75">
        <v>5.0</v>
      </c>
      <c r="K401" s="76">
        <v>144.0</v>
      </c>
      <c r="L401" s="57">
        <v>-95.0</v>
      </c>
      <c r="M401" s="58">
        <v>42.0</v>
      </c>
      <c r="N401" s="33">
        <f t="shared" si="13"/>
        <v>720</v>
      </c>
      <c r="O401" s="59">
        <v>-1895.0</v>
      </c>
      <c r="P401" s="34">
        <f t="shared" si="14"/>
        <v>-13.15972222</v>
      </c>
      <c r="Q401" s="60"/>
      <c r="R401" s="36">
        <f t="shared" si="45"/>
        <v>42</v>
      </c>
      <c r="S401" s="61">
        <v>-78.0</v>
      </c>
      <c r="T401" s="37">
        <f t="shared" si="46"/>
        <v>-36</v>
      </c>
      <c r="U401" s="62">
        <v>1.0</v>
      </c>
      <c r="V401" s="74">
        <v>9.501039501039502</v>
      </c>
      <c r="W401" s="74">
        <v>94.83172866520786</v>
      </c>
      <c r="X401" s="35">
        <f t="shared" ref="X401:X429" si="64">IF(AF401="DoEV",IF(AND(V401&lt;20,W401&lt;55),0.3,0)+IF(AND(V401&lt;20,W401&gt;=55,W401&lt;105),0.23,0)+IF(AND(V401&lt;20,W401&gt;=105),0.17,0)+IF(AND(V401&gt;=20,V401&lt;40,W401&lt;45),0.3,0)+IF(AND(V401&gt;=20,V401&lt;40,W401&gt;=45,W401&lt;95),0.23,0)+IF(AND(V401&gt;=20,V401&lt;40,W401&gt;=95),0.17,0)+IF(AND(V401&gt;=40,V401&lt;75,W401&lt;35),0.3,0)+IF(AND(V401&gt;=40,V401&lt;75,W401&gt;=35,W401&lt;75),0.23,0)+IF(AND(V401&gt;=40,V401&lt;75,W401&gt;=75,W401&lt;120),0.17,0)+IF(AND(V401&gt;=40,V401&lt;75,W401&gt;=120),0.12,0)+IF(AND(V401&gt;=75,V401&lt;175,W401&lt;35),0.3,0)+IF(AND(V401&gt;=75,V401&lt;=175,W401&gt;=35,W401&lt;65),0.23,0)+IF(AND(V401&gt;=75,V401&lt;=175,W401&gt;=65,W401&lt;110),0.17,0)+IF(AND(V401&gt;=75,V401&lt;=175,W401&gt;=110),0.12,0)+IF(AND(V401&gt;175,W401&lt;25),0.3,0)+IF(AND(V401&gt;175,W401&gt;=25,W401&lt;55),0.23,0)+IF(AND(V401&gt;175,W401&gt;=55,W401&lt;95),0.17,0)+IF(AND(V401&gt;175,W401&gt;=95),0.12,0),
IF(AF401="Fix15",0.15,
IF(AF401="Fix11.25",0.1125,
IF(AF401="Fix10",0.1,
IF(AF401="Fix9",0.09,
IF(AF401="DoEV2017",IF(AND(W401&lt;74),0.2,0)+IF(AND(W401&gt;=74),0.17,0),
IF(AF401="SF",IF(AND(V401&lt;20,W401&lt;89),0.3,0)+IF(AND(V401&lt;20,W401&gt;=89),0.25,0)+IF(AND(V401&gt;=20,V401&lt;40,W401&lt;74),0.3,0)+IF(AND(V401&gt;=20,V401&lt;40,W401&gt;=75),0.22,0)+IF(AND(V401&gt;=40,V401&lt;75,W401&lt;75),0.26,0)+IF(AND(V401&gt;=40,V401&lt;75,W401&gt;=75),0.22,0)+IF(V401&gt;=75,0.22,0),
IF(AF401="DoEVold",IF(AND(V401&lt;40,W401&lt;35),0.35,0)+IF(AND(V401&lt;40,W401&gt;=35,W401&lt;75),0.25,0)+IF(AND(V401&lt;40,W401&gt;=75),0.17,0)+IF(AND(V401&gt;=40,V401&lt;75,W401&lt;25),0.35,0)+IF(AND(V401&gt;=40,V401&lt;75,W401&gt;=25,W401&lt;65),0.25,0)+IF(AND(V401&gt;=40,V401&lt;75,W401&gt;=65,W401&lt;100),0.17,0)+IF(AND(V401&gt;=40,V401&lt;75,W401&gt;=100),0.1,0)+IF(AND(V401&gt;=75,W401&lt;25),0.35,0)+IF(AND(V401&gt;=75,W401&gt;=25,W401&lt;60),0.25,0)+IF(AND(V401&gt;=75,W401&gt;=60,W401&lt;95),0.17,0)+IF(AND(V401&gt;=75,W401&gt;=95),0.1,0),
IF(AF401="DoEVold15",IF(AND(V401&lt;=40,W401&lt;35),0.35,0)+IF(AND(V401&lt;=40,W401&gt;=35,W401&lt;75),0.25,0)+IF(AND(V401&lt;=40,W401&gt;=75,W401&lt;120),0.17,0)+IF(AND(V401&lt;=40,W401&gt;=120),0.15,0)+IF(AND(V401&gt;40,V401&lt;75,W401&lt;25),0.35,0)+IF(AND(V401&gt;=40,V401&lt;75,W401&gt;=25,W401&lt;65),0.25,0)+IF(AND(V401&gt;=40,V401&lt;75,W401&gt;=65,W401&lt;100),0.17,0)+IF(AND(V401&gt;=40,V401&lt;75,W401&gt;=100),0.1,0)+IF(AND(V401&gt;=75,W401&lt;25),0.35,0)+IF(AND(V401&gt;=75,W401&gt;=25,W401&lt;60),0.25,0)+IF(AND(V401&gt;=75,W401&gt;=60,W401&lt;95),0.17,0)+IF(AND(V401&gt;=75,W401&gt;=95),0.1,0),
IF(AF401="DoEVba",IF(AND(V401&lt;20,W401&lt;105),0.2,0)+IF(AND(V401&lt;20,W401&gt;=105),0.15,0)+IF(AND(V401&gt;=20,V401&lt;40,W401&lt;95),0.2,0)+IF(AND(V401&gt;=20,V401&lt;40,W401&gt;=95,W401&lt;150),0.15,0)+IF(AND(V401&gt;=20,V401&lt;40,W401&gt;=150),0.12,0)+IF(AND(V401&gt;=40,V401&lt;75,W401&lt;75),0.2,0)+IF(AND(V401&gt;=40,V401&lt;75,W401&gt;=75,W401&lt;120),0.15,0)+IF(AND(V401&gt;=40,V401&lt;75,W401&gt;=120),0.12,0)+IF(AND(V401&gt;=75,V401&lt;175,W401&lt;65),0.2,0)+IF(AND(V401&gt;=75,V401&lt;175,W401&gt;=65,W401&lt;110),0.15,0)+IF(AND(V401&gt;=75,V401&lt;175,W401&gt;=110),0.12,0)+IF(AND(V401&gt;=175,W401&lt;55),0.2,0)+IF(AND(V401&gt;=175,W401&gt;=55,W401&lt;95),0.15,0)+IF(AND(V401&gt;=175,W401&gt;=95),0.12,0),
IF(AF401="DoEVku",IF(AND(V401&lt;20,W401&lt;55),0.23,0)+IF(AND(V401&lt;20,W401&gt;=55,W401&lt;105),0.2,0)+IF(AND(V401&lt;20,W401&gt;=105),0.17,0)+IF(AND(V401&gt;=20,V401&lt;40,W401&lt;45),0.23,0)+IF(AND(V401&gt;=20,V401&lt;40,W401&gt;=45,W401&lt;95),0.2,0)+IF(AND(V401&gt;=20,V401&lt;40,W401&gt;=95,W401&lt;=150),0.17,0)+IF(AND(V401&gt;=20,V401&lt;40,W401&gt;=150),0.12,0)+IF(AND(V401&gt;=40,V401&lt;75,W401&lt;35),0.23,0)+IF(AND(V401&gt;=40,V401&lt;75,W401&gt;=35,W401&lt;75),0.2,0)+IF(AND(V401&gt;=40,V401&lt;75,W401&gt;=75,W401&lt;120),0.17,0)+IF(AND(V401&gt;=40,V401&lt;75,W401&gt;=120),0.12,0)+IF(AND(V401&gt;=75,V401&lt;175,W401&lt;35),0.23,0)+IF(AND(V401&gt;=75,V401&lt;=175,W401&gt;=35,W401&lt;65),0.2,0)+IF(AND(V401&gt;=75,V401&lt;=175,W401&gt;=65,W401&lt;110),0.17,0)+IF(AND(V401&gt;=75,V401&lt;=175,W401&gt;=110),0.12,0)+IF(AND(V401&gt;175,W401&lt;25),0.23,0)+IF(AND(V401&gt;175,W401&gt;=25,W401&lt;55),0.2,0)+IF(AND(V401&gt;175,W401&gt;=55,W401&lt;95),0.17,0)+IF(AND(V401&gt;175,W401&gt;=95),0.12,0),
IF(AF401="DoEVs1",IF(AND(V401&lt;20,W401&lt;55),0.3,0)+IF(AND(V401&lt;20,W401&gt;=55,W401&lt;105),0.23,0)+IF(AND(V401&lt;20,W401&gt;=105),0.17,0)+IF(AND(V401&gt;=20,V401&lt;40,W401&lt;45),0.3,0)+IF(AND(V401&gt;=20,V401&lt;40,W401&gt;=45,W401&lt;95),0.23,0)+IF(AND(V401&gt;=20,V401&lt;40,W401&gt;=95,W401&lt;=150),0.17,0)+IF(AND(V401&gt;=20,V401&lt;40,W401&gt;=150),0.12,0)+IF(AND(V401&gt;=40,V401&lt;75,W401&lt;35),0.3,0)+IF(AND(V401&gt;=40,V401&lt;75,W401&gt;=35,W401&lt;75),0.23,0)+IF(AND(V401&gt;=40,V401&lt;75,W401&gt;=75,W401&lt;120),0.17,0)+IF(AND(V401&gt;=40,V401&lt;75,W401&gt;=120),0.12,0)+IF(AND(V401&gt;=75,V401&lt;175,W401&lt;35),0.3,0)+IF(AND(V401&gt;=75,V401&lt;=175,W401&gt;=35,W401&lt;65),0.23,0)+IF(AND(V401&gt;=75,V401&lt;=175,W401&gt;=65,W401&lt;110),0.17,0)+IF(AND(V401&gt;=75,V401&lt;=175,W401&gt;=110),0.12,0)+IF(AND(V401&gt;175,W401&lt;25),0.3,0)+IF(AND(V401&gt;175,W401&gt;=25,W401&lt;55),0.23,0)+IF(AND(V401&gt;175,W401&gt;=55,W401&lt;95),0.17,0)+IF(AND(V401&gt;175,W401&gt;=95),0.12,0),
IF(AF401="DoEVsu",IF(AND(V401&lt;20,W401&lt;55),0.3,0)+IF(AND(V401&lt;20,W401&gt;=55,W401&lt;105),0.23,0)+IF(AND(V401&lt;20,W401&gt;=105),0.17,0)+IF(AND(V401&gt;=20,V401&lt;40,W401&lt;45),0.3,0)+IF(AND(V401&gt;=20,V401&lt;40,W401&gt;=45,W401&lt;95),0.23,0)+IF(AND(V401&gt;=20,V401&lt;40,W401&gt;=95,W401&lt;=250),0.17,0)+IF(AND(V401&gt;=20,V401&lt;40,W401&gt;=250),0.12,0)+IF(AND(V401&gt;=40,V401&lt;75,W401&lt;35),0.3,0)+IF(AND(V401&gt;=40,V401&lt;75,W401&gt;=35,W401&lt;75),0.23,0)+IF(AND(V401&gt;=40,V401&lt;75,W401&gt;=75,W401&lt;120),0.17,0)+IF(AND(V401&gt;=40,V401&lt;75,W401&gt;=120),0.12,0)+IF(AND(V401&gt;=75,V401&lt;175,W401&lt;35),0.3,0)+IF(AND(V401&gt;=75,V401&lt;=175,W401&gt;=35,W401&lt;65),0.23,0)+IF(AND(V401&gt;=75,V401&lt;=175,W401&gt;=65,W401&lt;110),0.17,0)+IF(AND(V401&gt;=75,V401&lt;=175,W401&gt;=110),0.12,0)+IF(AND(V401&gt;175,W401&lt;25),0.3,0)+IF(AND(V401&gt;175,W401&gt;=25,W401&lt;55),0.23,0)+IF(AND(V401&gt;175,W401&gt;=55,W401&lt;95),0.17,0)+IF(AND(V401&gt;175,W401&gt;=95),0.12,0),
IF(AF401="DoEVni",IF(AND(V401&lt;20,W401&lt;55),0.3,0)+IF(AND(V401&lt;20,W401&gt;=55,W401&lt;105),0.23,0)+IF(AND(V401&lt;20,W401&gt;=105),0.17,0)+IF(AND(V401&gt;=20,V401&lt;40,W401&lt;45),0.3,0)+IF(AND(V401&gt;=20,V401&lt;40,W401&gt;=45,W401&lt;95),0.23,0)+IF(AND(V401&gt;=20,V401&lt;40,W401&gt;=95,W401&lt;=200),0.17,0)+IF(AND(V401&gt;=20,V401&lt;40,W401&gt;=200),0.12,0)+IF(AND(V401&gt;=40,V401&lt;75,W401&lt;35),0.3,0)+IF(AND(V401&gt;=40,V401&lt;75,W401&gt;=35,W401&lt;75),0.23,0)+IF(AND(V401&gt;=40,V401&lt;75,W401&gt;=75,W401&lt;120),0.17,0)+IF(AND(V401&gt;=40,V401&lt;75,W401&gt;=120),0.12,0)+IF(AND(V401&gt;=75,V401&lt;175,W401&lt;35),0.3,0)+IF(AND(V401&gt;=75,V401&lt;=175,W401&gt;=35,W401&lt;65),0.23,0)+IF(AND(V401&gt;=75,V401&lt;=175,W401&gt;=65,W401&lt;110),0.17,0)+IF(AND(V401&gt;=75,V401&lt;=175,W401&gt;=110),0.12,0)+IF(AND(V401&gt;175,W401&lt;25),0.3,0)+IF(AND(V401&gt;175,W401&gt;=25,W401&lt;55),0.23,0)+IF(AND(V401&gt;175,W401&gt;=55,W401&lt;95),0.17,0)+IF(AND(V401&gt;175,W401&gt;=95),0.12,0),
IF(AF401="DoEVLo",IF(AND(V401&lt;20,W401&lt;55),0.25,0)+IF(AND(V401&lt;20,W401&gt;=55,W401&lt;105),0.2,0)+IF(AND(V401&lt;20,W401&gt;=105),0.15,0)+IF(AND(V401&gt;=20,V401&lt;40,W401&lt;45),0.25,0)+IF(AND(V401&gt;=20,V401&lt;40,W401&gt;=45,W401&lt;95),0.2,0)+IF(AND(V401&gt;=20,V401&lt;40,W401&gt;=95),0.15,0)+IF(AND(V401&gt;=40,V401&lt;75,W401&lt;35),0.25,0)+IF(AND(V401&gt;=40,V401&lt;75,W401&gt;=35,W401&lt;75),0.2,0)+IF(AND(V401&gt;=40,V401&lt;75,W401&gt;=75,W401&lt;120),0.15,0)+IF(AND(V401&gt;=40,V401&lt;75,W401&gt;=120),0.1,0)+IF(AND(V401&gt;=75,V401&lt;175,W401&lt;35),0.25,0)+IF(AND(V401&gt;=75,V401&lt;=175,W401&gt;=35,W401&lt;65),0.2,0)+IF(AND(V401&gt;=75,V401&lt;=175,W401&gt;=65,W401&lt;110),0.15,0)+IF(AND(V401&gt;=75,V401&lt;=175,W401&gt;=110),0.1,0)+IF(AND(V401&gt;175,W401&lt;25),0.25,0)+IF(AND(V401&gt;175,W401&gt;=25,W401&lt;55),0.2,0)+IF(AND(V401&gt;175,W401&gt;=55,W401&lt;95),0.15,0)+IF(AND(V401&gt;175,W401&gt;=95),0.1,0))))))))))))))))</f>
        <v>0.23</v>
      </c>
      <c r="Y401" s="35">
        <f t="shared" si="63"/>
        <v>0</v>
      </c>
      <c r="Z401" s="40">
        <f t="shared" si="57"/>
        <v>-27.72</v>
      </c>
      <c r="AA401" s="34">
        <f t="shared" si="60"/>
        <v>-8.28</v>
      </c>
      <c r="AB401" s="41">
        <f t="shared" si="49"/>
        <v>0</v>
      </c>
      <c r="AC401" s="42" t="b">
        <v>1</v>
      </c>
      <c r="AD401" s="42" t="s">
        <v>138</v>
      </c>
      <c r="AE401" s="42" t="s">
        <v>138</v>
      </c>
      <c r="AF401" s="42" t="str">
        <f t="array" ref="AF401">INDEX('Deal Info'!D:D, MATCH(A401,'Deal Info'!A:A, 0))</f>
        <v>DoEV</v>
      </c>
      <c r="AG401" s="43" t="str">
        <f t="array" ref="AG401">INDEX('Deal Info'!G:G, MATCH(A401,'Deal Info'!A:A, 0))</f>
        <v>None</v>
      </c>
    </row>
    <row r="402" hidden="1">
      <c r="A402" s="23" t="str">
        <f t="array" ref="A402">if(G402='Room Info'!$B$1, INDEX('Room Info'!$A$2:$A3446, MATCH(B402,'Room Info'!$B$2:$B3446, 0)),if(G402='Room Info'!$C$1, INDEX('Room Info'!$A$2:$A3446, MATCH(B402,'Room Info'!$C$2:$C3446, 0)),if(G402='Room Info'!$D$1, INDEX('Room Info'!$A$2:$A3446, MATCH(B402,'Room Info'!$D$2:$D3446, 0)),if(G402='Room Info'!$E$1, INDEX('Room Info'!$A$2:$A3446, MATCH(B402,'Room Info'!$E$2:$E3446, 0)),if(G402='Room Info'!$F$1, INDEX('Room Info'!$A$2:$A3446, MATCH(B402,'Room Info'!$F$2:$F3446, 0)),if(G402='Room Info'!$H$1, INDEX('Room Info'!$A$2:$A3446, MATCH(B402,'Room Info'!$H$2:$H3446, 0)),if(G402='Room Info'!$G$1, INDEX('Room Info'!$A$2:$A3446, MATCH(B402,'Room Info'!$G$2:$G3446, 0)))))))))</f>
        <v>CrippledMind</v>
      </c>
      <c r="B402" s="50" t="s">
        <v>170</v>
      </c>
      <c r="C402" s="51">
        <v>44641.0</v>
      </c>
      <c r="D402" s="51">
        <v>44671.0</v>
      </c>
      <c r="E402" s="52">
        <v>44652.0</v>
      </c>
      <c r="F402" s="53" t="s">
        <v>4</v>
      </c>
      <c r="G402" s="50" t="s">
        <v>5</v>
      </c>
      <c r="H402" s="54" t="s">
        <v>45</v>
      </c>
      <c r="I402" s="54" t="s">
        <v>7</v>
      </c>
      <c r="J402" s="75">
        <v>10.0</v>
      </c>
      <c r="K402" s="76">
        <v>1299.0</v>
      </c>
      <c r="L402" s="57">
        <v>360.0</v>
      </c>
      <c r="M402" s="58">
        <v>658.0</v>
      </c>
      <c r="N402" s="33">
        <f t="shared" si="13"/>
        <v>12990</v>
      </c>
      <c r="O402" s="59">
        <v>65338.0</v>
      </c>
      <c r="P402" s="34">
        <f t="shared" si="14"/>
        <v>50.2986913</v>
      </c>
      <c r="Q402" s="60"/>
      <c r="R402" s="36">
        <f t="shared" si="45"/>
        <v>658</v>
      </c>
      <c r="S402" s="61">
        <v>279.0</v>
      </c>
      <c r="T402" s="37">
        <f t="shared" si="46"/>
        <v>937</v>
      </c>
      <c r="U402" s="62">
        <v>1.0</v>
      </c>
      <c r="V402" s="74">
        <v>9.501039501039502</v>
      </c>
      <c r="W402" s="74">
        <v>94.83172866520786</v>
      </c>
      <c r="X402" s="35">
        <f t="shared" si="64"/>
        <v>0.23</v>
      </c>
      <c r="Y402" s="35">
        <f t="shared" si="63"/>
        <v>0</v>
      </c>
      <c r="Z402" s="40">
        <f t="shared" si="57"/>
        <v>721.49</v>
      </c>
      <c r="AA402" s="34">
        <f t="shared" si="60"/>
        <v>215.51</v>
      </c>
      <c r="AB402" s="41">
        <f t="shared" si="49"/>
        <v>0</v>
      </c>
      <c r="AC402" s="42" t="b">
        <v>1</v>
      </c>
      <c r="AD402" s="42" t="s">
        <v>138</v>
      </c>
      <c r="AE402" s="42" t="s">
        <v>138</v>
      </c>
      <c r="AF402" s="42" t="str">
        <f t="array" ref="AF402">INDEX('Deal Info'!D:D, MATCH(A402,'Deal Info'!A:A, 0))</f>
        <v>DoEV</v>
      </c>
      <c r="AG402" s="43" t="str">
        <f t="array" ref="AG402">INDEX('Deal Info'!G:G, MATCH(A402,'Deal Info'!A:A, 0))</f>
        <v>None</v>
      </c>
    </row>
    <row r="403" hidden="1">
      <c r="A403" s="23" t="str">
        <f t="array" ref="A403">if(G403='Room Info'!$B$1, INDEX('Room Info'!$A$2:$A3446, MATCH(B403,'Room Info'!$B$2:$B3446, 0)),if(G403='Room Info'!$C$1, INDEX('Room Info'!$A$2:$A3446, MATCH(B403,'Room Info'!$C$2:$C3446, 0)),if(G403='Room Info'!$D$1, INDEX('Room Info'!$A$2:$A3446, MATCH(B403,'Room Info'!$D$2:$D3446, 0)),if(G403='Room Info'!$E$1, INDEX('Room Info'!$A$2:$A3446, MATCH(B403,'Room Info'!$E$2:$E3446, 0)),if(G403='Room Info'!$F$1, INDEX('Room Info'!$A$2:$A3446, MATCH(B403,'Room Info'!$F$2:$F3446, 0)),if(G403='Room Info'!$H$1, INDEX('Room Info'!$A$2:$A3446, MATCH(B403,'Room Info'!$H$2:$H3446, 0)),if(G403='Room Info'!$G$1, INDEX('Room Info'!$A$2:$A3446, MATCH(B403,'Room Info'!$G$2:$G3446, 0)))))))))</f>
        <v>CrippledMind</v>
      </c>
      <c r="B403" s="50" t="s">
        <v>170</v>
      </c>
      <c r="C403" s="51">
        <v>44672.0</v>
      </c>
      <c r="D403" s="51">
        <v>44701.0</v>
      </c>
      <c r="E403" s="52">
        <v>44682.0</v>
      </c>
      <c r="F403" s="53" t="s">
        <v>4</v>
      </c>
      <c r="G403" s="50" t="s">
        <v>5</v>
      </c>
      <c r="H403" s="54" t="s">
        <v>45</v>
      </c>
      <c r="I403" s="54" t="s">
        <v>7</v>
      </c>
      <c r="J403" s="75">
        <v>10.0</v>
      </c>
      <c r="K403" s="76">
        <v>1308.0</v>
      </c>
      <c r="L403" s="57">
        <v>190.0</v>
      </c>
      <c r="M403" s="58">
        <v>801.0</v>
      </c>
      <c r="N403" s="33">
        <f t="shared" si="13"/>
        <v>13080</v>
      </c>
      <c r="O403" s="59">
        <v>66660.0</v>
      </c>
      <c r="P403" s="34">
        <f t="shared" si="14"/>
        <v>50.96330275</v>
      </c>
      <c r="Q403" s="60"/>
      <c r="R403" s="36">
        <f t="shared" si="45"/>
        <v>801</v>
      </c>
      <c r="S403" s="61">
        <v>266.0</v>
      </c>
      <c r="T403" s="37">
        <f t="shared" si="46"/>
        <v>1067</v>
      </c>
      <c r="U403" s="62">
        <v>1.0</v>
      </c>
      <c r="V403" s="74">
        <v>11.946107784431138</v>
      </c>
      <c r="W403" s="74">
        <v>98.94436090225564</v>
      </c>
      <c r="X403" s="35">
        <f t="shared" si="64"/>
        <v>0.23</v>
      </c>
      <c r="Y403" s="35">
        <f t="shared" si="63"/>
        <v>0</v>
      </c>
      <c r="Z403" s="40">
        <f t="shared" si="57"/>
        <v>821.59</v>
      </c>
      <c r="AA403" s="34">
        <f t="shared" si="60"/>
        <v>245.41</v>
      </c>
      <c r="AB403" s="41">
        <f t="shared" si="49"/>
        <v>0</v>
      </c>
      <c r="AC403" s="42" t="b">
        <v>1</v>
      </c>
      <c r="AD403" s="42" t="s">
        <v>138</v>
      </c>
      <c r="AE403" s="42" t="s">
        <v>138</v>
      </c>
      <c r="AF403" s="42" t="str">
        <f t="array" ref="AF403">INDEX('Deal Info'!D:D, MATCH(A403,'Deal Info'!A:A, 0))</f>
        <v>DoEV</v>
      </c>
      <c r="AG403" s="43" t="str">
        <f t="array" ref="AG403">INDEX('Deal Info'!G:G, MATCH(A403,'Deal Info'!A:A, 0))</f>
        <v>None</v>
      </c>
    </row>
    <row r="404" hidden="1">
      <c r="A404" s="23" t="str">
        <f t="array" ref="A404">if(G404='Room Info'!$B$1, INDEX('Room Info'!$A$2:$A3446, MATCH(B404,'Room Info'!$B$2:$B3446, 0)),if(G404='Room Info'!$C$1, INDEX('Room Info'!$A$2:$A3446, MATCH(B404,'Room Info'!$C$2:$C3446, 0)),if(G404='Room Info'!$D$1, INDEX('Room Info'!$A$2:$A3446, MATCH(B404,'Room Info'!$D$2:$D3446, 0)),if(G404='Room Info'!$E$1, INDEX('Room Info'!$A$2:$A3446, MATCH(B404,'Room Info'!$E$2:$E3446, 0)),if(G404='Room Info'!$F$1, INDEX('Room Info'!$A$2:$A3446, MATCH(B404,'Room Info'!$F$2:$F3446, 0)),if(G404='Room Info'!$H$1, INDEX('Room Info'!$A$2:$A3446, MATCH(B404,'Room Info'!$H$2:$H3446, 0)),if(G404='Room Info'!$G$1, INDEX('Room Info'!$A$2:$A3446, MATCH(B404,'Room Info'!$G$2:$G3446, 0)))))))))</f>
        <v>CrippledMind</v>
      </c>
      <c r="B404" s="50" t="s">
        <v>170</v>
      </c>
      <c r="C404" s="51">
        <v>44672.0</v>
      </c>
      <c r="D404" s="51">
        <v>44701.0</v>
      </c>
      <c r="E404" s="52">
        <v>44682.0</v>
      </c>
      <c r="F404" s="53" t="s">
        <v>4</v>
      </c>
      <c r="G404" s="50" t="s">
        <v>5</v>
      </c>
      <c r="H404" s="54" t="s">
        <v>62</v>
      </c>
      <c r="I404" s="54" t="s">
        <v>7</v>
      </c>
      <c r="J404" s="75">
        <v>25.0</v>
      </c>
      <c r="K404" s="76">
        <v>195.0</v>
      </c>
      <c r="L404" s="57">
        <v>0.0</v>
      </c>
      <c r="M404" s="58">
        <v>256.0</v>
      </c>
      <c r="N404" s="33">
        <f t="shared" si="13"/>
        <v>4875</v>
      </c>
      <c r="O404" s="59">
        <v>3603.0</v>
      </c>
      <c r="P404" s="34">
        <f t="shared" si="14"/>
        <v>18.47692308</v>
      </c>
      <c r="Q404" s="60"/>
      <c r="R404" s="36">
        <f t="shared" si="45"/>
        <v>256</v>
      </c>
      <c r="S404" s="61">
        <v>-141.0</v>
      </c>
      <c r="T404" s="37">
        <f t="shared" si="46"/>
        <v>115</v>
      </c>
      <c r="U404" s="62">
        <v>1.0</v>
      </c>
      <c r="V404" s="74">
        <v>11.946107784431138</v>
      </c>
      <c r="W404" s="74">
        <v>98.94436090225564</v>
      </c>
      <c r="X404" s="35">
        <f t="shared" si="64"/>
        <v>0.23</v>
      </c>
      <c r="Y404" s="35">
        <f t="shared" si="63"/>
        <v>0</v>
      </c>
      <c r="Z404" s="40">
        <f t="shared" si="57"/>
        <v>88.55</v>
      </c>
      <c r="AA404" s="34">
        <f t="shared" si="60"/>
        <v>26.45</v>
      </c>
      <c r="AB404" s="41">
        <f t="shared" si="49"/>
        <v>0</v>
      </c>
      <c r="AC404" s="42" t="b">
        <v>1</v>
      </c>
      <c r="AD404" s="42" t="s">
        <v>138</v>
      </c>
      <c r="AE404" s="42" t="s">
        <v>138</v>
      </c>
      <c r="AF404" s="42" t="str">
        <f t="array" ref="AF404">INDEX('Deal Info'!D:D, MATCH(A404,'Deal Info'!A:A, 0))</f>
        <v>DoEV</v>
      </c>
      <c r="AG404" s="43" t="str">
        <f t="array" ref="AG404">INDEX('Deal Info'!G:G, MATCH(A404,'Deal Info'!A:A, 0))</f>
        <v>None</v>
      </c>
    </row>
    <row r="405" hidden="1">
      <c r="A405" s="23" t="str">
        <f t="array" ref="A405">if(G405='Room Info'!$B$1, INDEX('Room Info'!$A$2:$A3446, MATCH(B405,'Room Info'!$B$2:$B3446, 0)),if(G405='Room Info'!$C$1, INDEX('Room Info'!$A$2:$A3446, MATCH(B405,'Room Info'!$C$2:$C3446, 0)),if(G405='Room Info'!$D$1, INDEX('Room Info'!$A$2:$A3446, MATCH(B405,'Room Info'!$D$2:$D3446, 0)),if(G405='Room Info'!$E$1, INDEX('Room Info'!$A$2:$A3446, MATCH(B405,'Room Info'!$E$2:$E3446, 0)),if(G405='Room Info'!$F$1, INDEX('Room Info'!$A$2:$A3446, MATCH(B405,'Room Info'!$F$2:$F3446, 0)),if(G405='Room Info'!$H$1, INDEX('Room Info'!$A$2:$A3446, MATCH(B405,'Room Info'!$H$2:$H3446, 0)),if(G405='Room Info'!$G$1, INDEX('Room Info'!$A$2:$A3446, MATCH(B405,'Room Info'!$G$2:$G3446, 0)))))))))</f>
        <v>CrippledMind</v>
      </c>
      <c r="B405" s="50" t="s">
        <v>170</v>
      </c>
      <c r="C405" s="51">
        <v>44702.0</v>
      </c>
      <c r="D405" s="51">
        <v>44732.0</v>
      </c>
      <c r="E405" s="52">
        <v>44713.0</v>
      </c>
      <c r="F405" s="53" t="s">
        <v>4</v>
      </c>
      <c r="G405" s="50" t="s">
        <v>5</v>
      </c>
      <c r="H405" s="54" t="s">
        <v>35</v>
      </c>
      <c r="I405" s="54" t="s">
        <v>7</v>
      </c>
      <c r="J405" s="75">
        <v>5.0</v>
      </c>
      <c r="K405" s="76">
        <v>12.0</v>
      </c>
      <c r="L405" s="57">
        <v>-20.0</v>
      </c>
      <c r="M405" s="67"/>
      <c r="N405" s="33">
        <f t="shared" si="13"/>
        <v>60</v>
      </c>
      <c r="O405" s="59">
        <v>1463.0</v>
      </c>
      <c r="P405" s="34">
        <f t="shared" si="14"/>
        <v>121.9166667</v>
      </c>
      <c r="Q405" s="60"/>
      <c r="R405" s="36">
        <f t="shared" si="45"/>
        <v>0</v>
      </c>
      <c r="S405" s="61">
        <v>8.0</v>
      </c>
      <c r="T405" s="37">
        <f t="shared" si="46"/>
        <v>8</v>
      </c>
      <c r="U405" s="62">
        <v>1.0</v>
      </c>
      <c r="V405" s="74">
        <v>9.932960893854748</v>
      </c>
      <c r="W405" s="74">
        <v>78.72778402699663</v>
      </c>
      <c r="X405" s="35">
        <f t="shared" si="64"/>
        <v>0.23</v>
      </c>
      <c r="Y405" s="35">
        <f t="shared" si="63"/>
        <v>0</v>
      </c>
      <c r="Z405" s="40">
        <f t="shared" si="57"/>
        <v>6.16</v>
      </c>
      <c r="AA405" s="34">
        <f t="shared" si="60"/>
        <v>1.84</v>
      </c>
      <c r="AB405" s="41">
        <f t="shared" si="49"/>
        <v>0</v>
      </c>
      <c r="AC405" s="42" t="b">
        <v>1</v>
      </c>
      <c r="AD405" s="42" t="s">
        <v>138</v>
      </c>
      <c r="AE405" s="42" t="s">
        <v>138</v>
      </c>
      <c r="AF405" s="42" t="str">
        <f t="array" ref="AF405">INDEX('Deal Info'!D:D, MATCH(A405,'Deal Info'!A:A, 0))</f>
        <v>DoEV</v>
      </c>
      <c r="AG405" s="43" t="str">
        <f t="array" ref="AG405">INDEX('Deal Info'!G:G, MATCH(A405,'Deal Info'!A:A, 0))</f>
        <v>None</v>
      </c>
    </row>
    <row r="406" hidden="1">
      <c r="A406" s="23" t="str">
        <f t="array" ref="A406">if(G406='Room Info'!$B$1, INDEX('Room Info'!$A$2:$A3446, MATCH(B406,'Room Info'!$B$2:$B3446, 0)),if(G406='Room Info'!$C$1, INDEX('Room Info'!$A$2:$A3446, MATCH(B406,'Room Info'!$C$2:$C3446, 0)),if(G406='Room Info'!$D$1, INDEX('Room Info'!$A$2:$A3446, MATCH(B406,'Room Info'!$D$2:$D3446, 0)),if(G406='Room Info'!$E$1, INDEX('Room Info'!$A$2:$A3446, MATCH(B406,'Room Info'!$E$2:$E3446, 0)),if(G406='Room Info'!$F$1, INDEX('Room Info'!$A$2:$A3446, MATCH(B406,'Room Info'!$F$2:$F3446, 0)),if(G406='Room Info'!$H$1, INDEX('Room Info'!$A$2:$A3446, MATCH(B406,'Room Info'!$H$2:$H3446, 0)),if(G406='Room Info'!$G$1, INDEX('Room Info'!$A$2:$A3446, MATCH(B406,'Room Info'!$G$2:$G3446, 0)))))))))</f>
        <v>CrippledMind</v>
      </c>
      <c r="B406" s="50" t="s">
        <v>170</v>
      </c>
      <c r="C406" s="51">
        <v>44702.0</v>
      </c>
      <c r="D406" s="51">
        <v>44732.0</v>
      </c>
      <c r="E406" s="52">
        <v>44713.0</v>
      </c>
      <c r="F406" s="53" t="s">
        <v>4</v>
      </c>
      <c r="G406" s="59" t="s">
        <v>5</v>
      </c>
      <c r="H406" s="54" t="s">
        <v>45</v>
      </c>
      <c r="I406" s="54" t="s">
        <v>7</v>
      </c>
      <c r="J406" s="55">
        <v>10.0</v>
      </c>
      <c r="K406" s="56">
        <v>883.0</v>
      </c>
      <c r="L406" s="57">
        <v>350.0</v>
      </c>
      <c r="M406" s="58">
        <v>675.0</v>
      </c>
      <c r="N406" s="33">
        <f t="shared" si="13"/>
        <v>8830</v>
      </c>
      <c r="O406" s="59">
        <v>40163.0</v>
      </c>
      <c r="P406" s="34">
        <f t="shared" si="14"/>
        <v>45.48471121</v>
      </c>
      <c r="Q406" s="60"/>
      <c r="R406" s="36">
        <f t="shared" si="45"/>
        <v>675</v>
      </c>
      <c r="S406" s="61">
        <v>99.0</v>
      </c>
      <c r="T406" s="37">
        <f t="shared" si="46"/>
        <v>774</v>
      </c>
      <c r="U406" s="62">
        <v>1.0</v>
      </c>
      <c r="V406" s="74">
        <v>9.932960893854748</v>
      </c>
      <c r="W406" s="74">
        <v>78.72778402699663</v>
      </c>
      <c r="X406" s="35">
        <f t="shared" si="64"/>
        <v>0.23</v>
      </c>
      <c r="Y406" s="35">
        <f t="shared" si="63"/>
        <v>0</v>
      </c>
      <c r="Z406" s="40">
        <f t="shared" si="57"/>
        <v>595.98</v>
      </c>
      <c r="AA406" s="34">
        <f t="shared" si="60"/>
        <v>178.02</v>
      </c>
      <c r="AB406" s="41">
        <f t="shared" si="49"/>
        <v>0</v>
      </c>
      <c r="AC406" s="42" t="b">
        <v>1</v>
      </c>
      <c r="AD406" s="42" t="s">
        <v>138</v>
      </c>
      <c r="AE406" s="42" t="s">
        <v>138</v>
      </c>
      <c r="AF406" s="42" t="str">
        <f t="array" ref="AF406">INDEX('Deal Info'!D:D, MATCH(A406,'Deal Info'!A:A, 0))</f>
        <v>DoEV</v>
      </c>
      <c r="AG406" s="43" t="str">
        <f t="array" ref="AG406">INDEX('Deal Info'!G:G, MATCH(A406,'Deal Info'!A:A, 0))</f>
        <v>None</v>
      </c>
    </row>
    <row r="407" hidden="1">
      <c r="A407" s="23" t="str">
        <f t="array" ref="A407">if(G407='Room Info'!$B$1, INDEX('Room Info'!$A$2:$A3446, MATCH(B407,'Room Info'!$B$2:$B3446, 0)),if(G407='Room Info'!$C$1, INDEX('Room Info'!$A$2:$A3446, MATCH(B407,'Room Info'!$C$2:$C3446, 0)),if(G407='Room Info'!$D$1, INDEX('Room Info'!$A$2:$A3446, MATCH(B407,'Room Info'!$D$2:$D3446, 0)),if(G407='Room Info'!$E$1, INDEX('Room Info'!$A$2:$A3446, MATCH(B407,'Room Info'!$E$2:$E3446, 0)),if(G407='Room Info'!$F$1, INDEX('Room Info'!$A$2:$A3446, MATCH(B407,'Room Info'!$F$2:$F3446, 0)),if(G407='Room Info'!$H$1, INDEX('Room Info'!$A$2:$A3446, MATCH(B407,'Room Info'!$H$2:$H3446, 0)),if(G407='Room Info'!$G$1, INDEX('Room Info'!$A$2:$A3446, MATCH(B407,'Room Info'!$G$2:$G3446, 0)))))))))</f>
        <v>CrippledMind</v>
      </c>
      <c r="B407" s="50" t="s">
        <v>170</v>
      </c>
      <c r="C407" s="51">
        <v>44733.0</v>
      </c>
      <c r="D407" s="51">
        <v>44762.0</v>
      </c>
      <c r="E407" s="52">
        <v>44743.0</v>
      </c>
      <c r="F407" s="53" t="s">
        <v>4</v>
      </c>
      <c r="G407" s="59" t="s">
        <v>5</v>
      </c>
      <c r="H407" s="54" t="s">
        <v>35</v>
      </c>
      <c r="I407" s="54" t="s">
        <v>7</v>
      </c>
      <c r="J407" s="55">
        <v>5.0</v>
      </c>
      <c r="K407" s="56">
        <v>258.0</v>
      </c>
      <c r="L407" s="57">
        <v>-45.0</v>
      </c>
      <c r="M407" s="58">
        <v>74.0</v>
      </c>
      <c r="N407" s="33">
        <f t="shared" si="13"/>
        <v>1290</v>
      </c>
      <c r="O407" s="59">
        <v>6431.0</v>
      </c>
      <c r="P407" s="34">
        <f t="shared" si="14"/>
        <v>24.92635659</v>
      </c>
      <c r="Q407" s="60"/>
      <c r="R407" s="36">
        <f t="shared" si="45"/>
        <v>74</v>
      </c>
      <c r="S407" s="61">
        <v>-57.0</v>
      </c>
      <c r="T407" s="37">
        <f t="shared" si="46"/>
        <v>17</v>
      </c>
      <c r="U407" s="62">
        <v>1.0</v>
      </c>
      <c r="V407" s="74">
        <v>9.446826758147512</v>
      </c>
      <c r="W407" s="74">
        <v>181.11901951883794</v>
      </c>
      <c r="X407" s="35">
        <f t="shared" si="64"/>
        <v>0.17</v>
      </c>
      <c r="Y407" s="35">
        <f t="shared" si="63"/>
        <v>0</v>
      </c>
      <c r="Z407" s="40">
        <f t="shared" si="57"/>
        <v>14.11</v>
      </c>
      <c r="AA407" s="34">
        <f t="shared" si="60"/>
        <v>2.89</v>
      </c>
      <c r="AB407" s="41">
        <f t="shared" si="49"/>
        <v>0</v>
      </c>
      <c r="AC407" s="42" t="b">
        <v>1</v>
      </c>
      <c r="AD407" s="42" t="s">
        <v>138</v>
      </c>
      <c r="AE407" s="42" t="s">
        <v>138</v>
      </c>
      <c r="AF407" s="42" t="str">
        <f t="array" ref="AF407">INDEX('Deal Info'!D:D, MATCH(A407,'Deal Info'!A:A, 0))</f>
        <v>DoEV</v>
      </c>
      <c r="AG407" s="43" t="str">
        <f t="array" ref="AG407">INDEX('Deal Info'!G:G, MATCH(A407,'Deal Info'!A:A, 0))</f>
        <v>None</v>
      </c>
    </row>
    <row r="408" hidden="1">
      <c r="A408" s="23" t="str">
        <f t="array" ref="A408">if(G408='Room Info'!$B$1, INDEX('Room Info'!$A$2:$A3446, MATCH(B408,'Room Info'!$B$2:$B3446, 0)),if(G408='Room Info'!$C$1, INDEX('Room Info'!$A$2:$A3446, MATCH(B408,'Room Info'!$C$2:$C3446, 0)),if(G408='Room Info'!$D$1, INDEX('Room Info'!$A$2:$A3446, MATCH(B408,'Room Info'!$D$2:$D3446, 0)),if(G408='Room Info'!$E$1, INDEX('Room Info'!$A$2:$A3446, MATCH(B408,'Room Info'!$E$2:$E3446, 0)),if(G408='Room Info'!$F$1, INDEX('Room Info'!$A$2:$A3446, MATCH(B408,'Room Info'!$F$2:$F3446, 0)),if(G408='Room Info'!$H$1, INDEX('Room Info'!$A$2:$A3446, MATCH(B408,'Room Info'!$H$2:$H3446, 0)),if(G408='Room Info'!$G$1, INDEX('Room Info'!$A$2:$A3446, MATCH(B408,'Room Info'!$G$2:$G3446, 0)))))))))</f>
        <v>CrippledMind</v>
      </c>
      <c r="B408" s="50" t="s">
        <v>170</v>
      </c>
      <c r="C408" s="51">
        <v>44733.0</v>
      </c>
      <c r="D408" s="51">
        <v>44762.0</v>
      </c>
      <c r="E408" s="52">
        <v>44743.0</v>
      </c>
      <c r="F408" s="53" t="s">
        <v>4</v>
      </c>
      <c r="G408" s="59" t="s">
        <v>5</v>
      </c>
      <c r="H408" s="54" t="s">
        <v>45</v>
      </c>
      <c r="I408" s="54" t="s">
        <v>7</v>
      </c>
      <c r="J408" s="55">
        <v>10.0</v>
      </c>
      <c r="K408" s="56">
        <v>2074.0</v>
      </c>
      <c r="L408" s="57">
        <v>940.0</v>
      </c>
      <c r="M408" s="58">
        <v>1035.0</v>
      </c>
      <c r="N408" s="33">
        <f t="shared" si="13"/>
        <v>20740</v>
      </c>
      <c r="O408" s="59">
        <v>121120.0</v>
      </c>
      <c r="P408" s="34">
        <f t="shared" si="14"/>
        <v>58.39922854</v>
      </c>
      <c r="Q408" s="60"/>
      <c r="R408" s="36">
        <f t="shared" si="45"/>
        <v>1035</v>
      </c>
      <c r="S408" s="61">
        <v>659.0</v>
      </c>
      <c r="T408" s="37">
        <f t="shared" si="46"/>
        <v>1694</v>
      </c>
      <c r="U408" s="62">
        <v>1.0</v>
      </c>
      <c r="V408" s="74">
        <v>9.446826758147512</v>
      </c>
      <c r="W408" s="74">
        <v>181.11901951883794</v>
      </c>
      <c r="X408" s="35">
        <f t="shared" si="64"/>
        <v>0.17</v>
      </c>
      <c r="Y408" s="35">
        <f t="shared" si="63"/>
        <v>0</v>
      </c>
      <c r="Z408" s="40">
        <f t="shared" si="57"/>
        <v>1406.02</v>
      </c>
      <c r="AA408" s="34">
        <f t="shared" si="60"/>
        <v>287.98</v>
      </c>
      <c r="AB408" s="41">
        <f t="shared" si="49"/>
        <v>0</v>
      </c>
      <c r="AC408" s="42" t="b">
        <v>1</v>
      </c>
      <c r="AD408" s="42" t="s">
        <v>138</v>
      </c>
      <c r="AE408" s="42" t="s">
        <v>138</v>
      </c>
      <c r="AF408" s="42" t="str">
        <f t="array" ref="AF408">INDEX('Deal Info'!D:D, MATCH(A408,'Deal Info'!A:A, 0))</f>
        <v>DoEV</v>
      </c>
      <c r="AG408" s="43" t="str">
        <f t="array" ref="AG408">INDEX('Deal Info'!G:G, MATCH(A408,'Deal Info'!A:A, 0))</f>
        <v>None</v>
      </c>
    </row>
    <row r="409" hidden="1">
      <c r="A409" s="23" t="str">
        <f t="array" ref="A409">if(G409='Room Info'!$B$1, INDEX('Room Info'!$A$2:$A3446, MATCH(B409,'Room Info'!$B$2:$B3446, 0)),if(G409='Room Info'!$C$1, INDEX('Room Info'!$A$2:$A3446, MATCH(B409,'Room Info'!$C$2:$C3446, 0)),if(G409='Room Info'!$D$1, INDEX('Room Info'!$A$2:$A3446, MATCH(B409,'Room Info'!$D$2:$D3446, 0)),if(G409='Room Info'!$E$1, INDEX('Room Info'!$A$2:$A3446, MATCH(B409,'Room Info'!$E$2:$E3446, 0)),if(G409='Room Info'!$F$1, INDEX('Room Info'!$A$2:$A3446, MATCH(B409,'Room Info'!$F$2:$F3446, 0)),if(G409='Room Info'!$H$1, INDEX('Room Info'!$A$2:$A3446, MATCH(B409,'Room Info'!$H$2:$H3446, 0)),if(G409='Room Info'!$G$1, INDEX('Room Info'!$A$2:$A3446, MATCH(B409,'Room Info'!$G$2:$G3446, 0)))))))))</f>
        <v>CrippledMind</v>
      </c>
      <c r="B409" s="50" t="s">
        <v>170</v>
      </c>
      <c r="C409" s="51">
        <v>44763.0</v>
      </c>
      <c r="D409" s="51">
        <v>44793.0</v>
      </c>
      <c r="E409" s="52">
        <v>44774.0</v>
      </c>
      <c r="F409" s="53" t="s">
        <v>4</v>
      </c>
      <c r="G409" s="50" t="s">
        <v>5</v>
      </c>
      <c r="H409" s="54" t="s">
        <v>35</v>
      </c>
      <c r="I409" s="54" t="s">
        <v>7</v>
      </c>
      <c r="J409" s="75">
        <v>5.0</v>
      </c>
      <c r="K409" s="76">
        <v>85.0</v>
      </c>
      <c r="L409" s="77">
        <v>-45.0</v>
      </c>
      <c r="M409" s="58">
        <v>25.0</v>
      </c>
      <c r="N409" s="33">
        <f t="shared" si="13"/>
        <v>425</v>
      </c>
      <c r="O409" s="50">
        <v>877.0</v>
      </c>
      <c r="P409" s="34">
        <f t="shared" si="14"/>
        <v>10.31764706</v>
      </c>
      <c r="Q409" s="60"/>
      <c r="R409" s="36">
        <f t="shared" si="45"/>
        <v>25</v>
      </c>
      <c r="S409" s="78">
        <v>-29.0</v>
      </c>
      <c r="T409" s="37">
        <f t="shared" si="46"/>
        <v>-4</v>
      </c>
      <c r="U409" s="62">
        <v>1.0</v>
      </c>
      <c r="V409" s="74">
        <v>9.820592823712948</v>
      </c>
      <c r="W409" s="74">
        <v>28.61334392374901</v>
      </c>
      <c r="X409" s="35">
        <f t="shared" si="64"/>
        <v>0.3</v>
      </c>
      <c r="Y409" s="35">
        <f t="shared" si="63"/>
        <v>0</v>
      </c>
      <c r="Z409" s="40">
        <f t="shared" si="57"/>
        <v>-2.8</v>
      </c>
      <c r="AA409" s="34">
        <f t="shared" si="60"/>
        <v>-1.2</v>
      </c>
      <c r="AB409" s="41">
        <f t="shared" si="49"/>
        <v>0</v>
      </c>
      <c r="AC409" s="42" t="b">
        <v>1</v>
      </c>
      <c r="AD409" s="42" t="s">
        <v>138</v>
      </c>
      <c r="AE409" s="42" t="s">
        <v>138</v>
      </c>
      <c r="AF409" s="42" t="str">
        <f t="array" ref="AF409">INDEX('Deal Info'!D:D, MATCH(A409,'Deal Info'!A:A, 0))</f>
        <v>DoEV</v>
      </c>
      <c r="AG409" s="43" t="str">
        <f t="array" ref="AG409">INDEX('Deal Info'!G:G, MATCH(A409,'Deal Info'!A:A, 0))</f>
        <v>None</v>
      </c>
    </row>
    <row r="410" hidden="1">
      <c r="A410" s="23" t="str">
        <f t="array" ref="A410">if(G410='Room Info'!$B$1, INDEX('Room Info'!$A$2:$A3446, MATCH(B410,'Room Info'!$B$2:$B3446, 0)),if(G410='Room Info'!$C$1, INDEX('Room Info'!$A$2:$A3446, MATCH(B410,'Room Info'!$C$2:$C3446, 0)),if(G410='Room Info'!$D$1, INDEX('Room Info'!$A$2:$A3446, MATCH(B410,'Room Info'!$D$2:$D3446, 0)),if(G410='Room Info'!$E$1, INDEX('Room Info'!$A$2:$A3446, MATCH(B410,'Room Info'!$E$2:$E3446, 0)),if(G410='Room Info'!$F$1, INDEX('Room Info'!$A$2:$A3446, MATCH(B410,'Room Info'!$F$2:$F3446, 0)),if(G410='Room Info'!$H$1, INDEX('Room Info'!$A$2:$A3446, MATCH(B410,'Room Info'!$H$2:$H3446, 0)),if(G410='Room Info'!$G$1, INDEX('Room Info'!$A$2:$A3446, MATCH(B410,'Room Info'!$G$2:$G3446, 0)))))))))</f>
        <v>CrippledMind</v>
      </c>
      <c r="B410" s="50" t="s">
        <v>170</v>
      </c>
      <c r="C410" s="51">
        <v>44763.0</v>
      </c>
      <c r="D410" s="51">
        <v>44793.0</v>
      </c>
      <c r="E410" s="52">
        <v>44774.0</v>
      </c>
      <c r="F410" s="53" t="s">
        <v>4</v>
      </c>
      <c r="G410" s="50" t="s">
        <v>5</v>
      </c>
      <c r="H410" s="54" t="s">
        <v>45</v>
      </c>
      <c r="I410" s="54" t="s">
        <v>7</v>
      </c>
      <c r="J410" s="75">
        <v>10.0</v>
      </c>
      <c r="K410" s="76">
        <v>1184.0</v>
      </c>
      <c r="L410" s="77">
        <v>-1020.0</v>
      </c>
      <c r="M410" s="58">
        <v>606.0</v>
      </c>
      <c r="N410" s="33">
        <f t="shared" si="13"/>
        <v>11840</v>
      </c>
      <c r="O410" s="50">
        <v>31874.0</v>
      </c>
      <c r="P410" s="34">
        <f t="shared" si="14"/>
        <v>26.92060811</v>
      </c>
      <c r="Q410" s="60"/>
      <c r="R410" s="36">
        <f t="shared" si="45"/>
        <v>606</v>
      </c>
      <c r="S410" s="78">
        <v>-272.0</v>
      </c>
      <c r="T410" s="37">
        <f t="shared" si="46"/>
        <v>334</v>
      </c>
      <c r="U410" s="62">
        <v>1.0</v>
      </c>
      <c r="V410" s="74">
        <v>9.820592823712948</v>
      </c>
      <c r="W410" s="74">
        <v>28.61334392374901</v>
      </c>
      <c r="X410" s="35">
        <f t="shared" si="64"/>
        <v>0.3</v>
      </c>
      <c r="Y410" s="35">
        <f t="shared" si="63"/>
        <v>0</v>
      </c>
      <c r="Z410" s="40">
        <f t="shared" si="57"/>
        <v>233.8</v>
      </c>
      <c r="AA410" s="34">
        <f t="shared" si="60"/>
        <v>100.2</v>
      </c>
      <c r="AB410" s="41">
        <f t="shared" si="49"/>
        <v>0</v>
      </c>
      <c r="AC410" s="42" t="b">
        <v>1</v>
      </c>
      <c r="AD410" s="42" t="s">
        <v>138</v>
      </c>
      <c r="AE410" s="42" t="s">
        <v>138</v>
      </c>
      <c r="AF410" s="42" t="str">
        <f t="array" ref="AF410">INDEX('Deal Info'!D:D, MATCH(A410,'Deal Info'!A:A, 0))</f>
        <v>DoEV</v>
      </c>
      <c r="AG410" s="43" t="str">
        <f t="array" ref="AG410">INDEX('Deal Info'!G:G, MATCH(A410,'Deal Info'!A:A, 0))</f>
        <v>None</v>
      </c>
    </row>
    <row r="411" hidden="1">
      <c r="A411" s="23" t="str">
        <f t="array" ref="A411">if(G411='Room Info'!$B$1, INDEX('Room Info'!$A$2:$A3446, MATCH(B411,'Room Info'!$B$2:$B3446, 0)),if(G411='Room Info'!$C$1, INDEX('Room Info'!$A$2:$A3446, MATCH(B411,'Room Info'!$C$2:$C3446, 0)),if(G411='Room Info'!$D$1, INDEX('Room Info'!$A$2:$A3446, MATCH(B411,'Room Info'!$D$2:$D3446, 0)),if(G411='Room Info'!$E$1, INDEX('Room Info'!$A$2:$A3446, MATCH(B411,'Room Info'!$E$2:$E3446, 0)),if(G411='Room Info'!$F$1, INDEX('Room Info'!$A$2:$A3446, MATCH(B411,'Room Info'!$F$2:$F3446, 0)),if(G411='Room Info'!$H$1, INDEX('Room Info'!$A$2:$A3446, MATCH(B411,'Room Info'!$H$2:$H3446, 0)),if(G411='Room Info'!$G$1, INDEX('Room Info'!$A$2:$A3446, MATCH(B411,'Room Info'!$G$2:$G3446, 0)))))))))</f>
        <v>CrippledMind</v>
      </c>
      <c r="B411" s="50" t="s">
        <v>170</v>
      </c>
      <c r="C411" s="51">
        <v>44763.0</v>
      </c>
      <c r="D411" s="51">
        <v>44793.0</v>
      </c>
      <c r="E411" s="52">
        <v>44774.0</v>
      </c>
      <c r="F411" s="50" t="s">
        <v>4</v>
      </c>
      <c r="G411" s="59" t="s">
        <v>5</v>
      </c>
      <c r="H411" s="54" t="s">
        <v>62</v>
      </c>
      <c r="I411" s="54" t="s">
        <v>7</v>
      </c>
      <c r="J411" s="55">
        <v>25.0</v>
      </c>
      <c r="K411" s="56">
        <v>13.0</v>
      </c>
      <c r="L411" s="57">
        <v>-75.0</v>
      </c>
      <c r="M411" s="58">
        <v>14.0</v>
      </c>
      <c r="N411" s="33">
        <f t="shared" si="13"/>
        <v>325</v>
      </c>
      <c r="O411" s="59">
        <v>-925.0</v>
      </c>
      <c r="P411" s="34">
        <f t="shared" si="14"/>
        <v>-71.15384615</v>
      </c>
      <c r="Q411" s="60"/>
      <c r="R411" s="36">
        <f t="shared" si="45"/>
        <v>14</v>
      </c>
      <c r="S411" s="61">
        <v>-63.0</v>
      </c>
      <c r="T411" s="37">
        <f t="shared" si="46"/>
        <v>-49</v>
      </c>
      <c r="U411" s="62">
        <v>1.0</v>
      </c>
      <c r="V411" s="74">
        <v>9.820592823712948</v>
      </c>
      <c r="W411" s="74">
        <v>28.61334392374901</v>
      </c>
      <c r="X411" s="35">
        <f t="shared" si="64"/>
        <v>0.3</v>
      </c>
      <c r="Y411" s="35">
        <f t="shared" si="63"/>
        <v>0</v>
      </c>
      <c r="Z411" s="40">
        <f t="shared" si="57"/>
        <v>-34.3</v>
      </c>
      <c r="AA411" s="34">
        <f t="shared" si="60"/>
        <v>-14.7</v>
      </c>
      <c r="AB411" s="41">
        <f t="shared" si="49"/>
        <v>0</v>
      </c>
      <c r="AC411" s="42" t="b">
        <v>1</v>
      </c>
      <c r="AD411" s="42" t="s">
        <v>138</v>
      </c>
      <c r="AE411" s="42" t="s">
        <v>138</v>
      </c>
      <c r="AF411" s="42" t="str">
        <f t="array" ref="AF411">INDEX('Deal Info'!D:D, MATCH(A411,'Deal Info'!A:A, 0))</f>
        <v>DoEV</v>
      </c>
      <c r="AG411" s="43" t="str">
        <f t="array" ref="AG411">INDEX('Deal Info'!G:G, MATCH(A411,'Deal Info'!A:A, 0))</f>
        <v>None</v>
      </c>
    </row>
    <row r="412" hidden="1">
      <c r="A412" s="23" t="str">
        <f t="array" ref="A412">if(G412='Room Info'!$B$1, INDEX('Room Info'!$A$2:$A3446, MATCH(B412,'Room Info'!$B$2:$B3446, 0)),if(G412='Room Info'!$C$1, INDEX('Room Info'!$A$2:$A3446, MATCH(B412,'Room Info'!$C$2:$C3446, 0)),if(G412='Room Info'!$D$1, INDEX('Room Info'!$A$2:$A3446, MATCH(B412,'Room Info'!$D$2:$D3446, 0)),if(G412='Room Info'!$E$1, INDEX('Room Info'!$A$2:$A3446, MATCH(B412,'Room Info'!$E$2:$E3446, 0)),if(G412='Room Info'!$F$1, INDEX('Room Info'!$A$2:$A3446, MATCH(B412,'Room Info'!$F$2:$F3446, 0)),if(G412='Room Info'!$H$1, INDEX('Room Info'!$A$2:$A3446, MATCH(B412,'Room Info'!$H$2:$H3446, 0)),if(G412='Room Info'!$G$1, INDEX('Room Info'!$A$2:$A3446, MATCH(B412,'Room Info'!$G$2:$G3446, 0)))))))))</f>
        <v>CrippledMind</v>
      </c>
      <c r="B412" s="50" t="s">
        <v>170</v>
      </c>
      <c r="C412" s="51">
        <v>44794.0</v>
      </c>
      <c r="D412" s="51">
        <v>44824.0</v>
      </c>
      <c r="E412" s="52">
        <v>44805.0</v>
      </c>
      <c r="F412" s="50" t="s">
        <v>4</v>
      </c>
      <c r="G412" s="59" t="s">
        <v>5</v>
      </c>
      <c r="H412" s="54" t="s">
        <v>35</v>
      </c>
      <c r="I412" s="54" t="s">
        <v>7</v>
      </c>
      <c r="J412" s="55">
        <v>5.0</v>
      </c>
      <c r="K412" s="56">
        <v>37.0</v>
      </c>
      <c r="L412" s="57">
        <v>-25.0</v>
      </c>
      <c r="M412" s="58">
        <v>10.0</v>
      </c>
      <c r="N412" s="33">
        <f t="shared" si="13"/>
        <v>185</v>
      </c>
      <c r="O412" s="59">
        <v>3620.0</v>
      </c>
      <c r="P412" s="34">
        <f t="shared" si="14"/>
        <v>97.83783784</v>
      </c>
      <c r="Q412" s="60"/>
      <c r="R412" s="36">
        <f t="shared" si="45"/>
        <v>10</v>
      </c>
      <c r="S412" s="61">
        <v>16.0</v>
      </c>
      <c r="T412" s="37">
        <f t="shared" si="46"/>
        <v>26</v>
      </c>
      <c r="U412" s="62">
        <v>1.0</v>
      </c>
      <c r="V412" s="74">
        <v>9.880336351875808</v>
      </c>
      <c r="W412" s="74">
        <v>66.19207855973814</v>
      </c>
      <c r="X412" s="35">
        <f t="shared" si="64"/>
        <v>0.23</v>
      </c>
      <c r="Y412" s="35">
        <f t="shared" si="63"/>
        <v>0</v>
      </c>
      <c r="Z412" s="40">
        <f t="shared" si="57"/>
        <v>20.02</v>
      </c>
      <c r="AA412" s="34">
        <f t="shared" si="60"/>
        <v>5.98</v>
      </c>
      <c r="AB412" s="41">
        <f t="shared" si="49"/>
        <v>0</v>
      </c>
      <c r="AC412" s="42" t="b">
        <v>1</v>
      </c>
      <c r="AD412" s="42" t="s">
        <v>138</v>
      </c>
      <c r="AE412" s="42" t="s">
        <v>138</v>
      </c>
      <c r="AF412" s="42" t="str">
        <f t="array" ref="AF412">INDEX('Deal Info'!D:D, MATCH(A412,'Deal Info'!A:A, 0))</f>
        <v>DoEV</v>
      </c>
      <c r="AG412" s="43" t="str">
        <f t="array" ref="AG412">INDEX('Deal Info'!G:G, MATCH(A412,'Deal Info'!A:A, 0))</f>
        <v>None</v>
      </c>
    </row>
    <row r="413" hidden="1">
      <c r="A413" s="23" t="str">
        <f t="array" ref="A413">if(G413='Room Info'!$B$1, INDEX('Room Info'!$A$2:$A3446, MATCH(B413,'Room Info'!$B$2:$B3446, 0)),if(G413='Room Info'!$C$1, INDEX('Room Info'!$A$2:$A3446, MATCH(B413,'Room Info'!$C$2:$C3446, 0)),if(G413='Room Info'!$D$1, INDEX('Room Info'!$A$2:$A3446, MATCH(B413,'Room Info'!$D$2:$D3446, 0)),if(G413='Room Info'!$E$1, INDEX('Room Info'!$A$2:$A3446, MATCH(B413,'Room Info'!$E$2:$E3446, 0)),if(G413='Room Info'!$F$1, INDEX('Room Info'!$A$2:$A3446, MATCH(B413,'Room Info'!$F$2:$F3446, 0)),if(G413='Room Info'!$H$1, INDEX('Room Info'!$A$2:$A3446, MATCH(B413,'Room Info'!$H$2:$H3446, 0)),if(G413='Room Info'!$G$1, INDEX('Room Info'!$A$2:$A3446, MATCH(B413,'Room Info'!$G$2:$G3446, 0)))))))))</f>
        <v>CrippledMind</v>
      </c>
      <c r="B413" s="50" t="s">
        <v>170</v>
      </c>
      <c r="C413" s="51">
        <v>44794.0</v>
      </c>
      <c r="D413" s="51">
        <v>44824.0</v>
      </c>
      <c r="E413" s="52">
        <v>44805.0</v>
      </c>
      <c r="F413" s="50" t="s">
        <v>4</v>
      </c>
      <c r="G413" s="59" t="s">
        <v>5</v>
      </c>
      <c r="H413" s="54" t="s">
        <v>45</v>
      </c>
      <c r="I413" s="54" t="s">
        <v>7</v>
      </c>
      <c r="J413" s="55">
        <v>10.0</v>
      </c>
      <c r="K413" s="56">
        <v>1509.0</v>
      </c>
      <c r="L413" s="57">
        <v>-200.0</v>
      </c>
      <c r="M413" s="58">
        <v>735.0</v>
      </c>
      <c r="N413" s="33">
        <f t="shared" si="13"/>
        <v>15090</v>
      </c>
      <c r="O413" s="59">
        <v>55523.0</v>
      </c>
      <c r="P413" s="34">
        <f t="shared" si="14"/>
        <v>36.79456594</v>
      </c>
      <c r="Q413" s="60"/>
      <c r="R413" s="36">
        <f t="shared" si="45"/>
        <v>735</v>
      </c>
      <c r="S413" s="61">
        <v>-107.0</v>
      </c>
      <c r="T413" s="37">
        <f t="shared" si="46"/>
        <v>628</v>
      </c>
      <c r="U413" s="62">
        <v>1.0</v>
      </c>
      <c r="V413" s="74">
        <v>9.880336351875808</v>
      </c>
      <c r="W413" s="74">
        <v>66.19207855973814</v>
      </c>
      <c r="X413" s="35">
        <f t="shared" si="64"/>
        <v>0.23</v>
      </c>
      <c r="Y413" s="35">
        <f t="shared" si="63"/>
        <v>0</v>
      </c>
      <c r="Z413" s="40">
        <f t="shared" si="57"/>
        <v>483.56</v>
      </c>
      <c r="AA413" s="34">
        <f t="shared" si="60"/>
        <v>144.44</v>
      </c>
      <c r="AB413" s="41">
        <f t="shared" si="49"/>
        <v>0</v>
      </c>
      <c r="AC413" s="42" t="b">
        <v>1</v>
      </c>
      <c r="AD413" s="42" t="s">
        <v>138</v>
      </c>
      <c r="AE413" s="42" t="s">
        <v>138</v>
      </c>
      <c r="AF413" s="42" t="str">
        <f t="array" ref="AF413">INDEX('Deal Info'!D:D, MATCH(A413,'Deal Info'!A:A, 0))</f>
        <v>DoEV</v>
      </c>
      <c r="AG413" s="43" t="str">
        <f t="array" ref="AG413">INDEX('Deal Info'!G:G, MATCH(A413,'Deal Info'!A:A, 0))</f>
        <v>None</v>
      </c>
    </row>
    <row r="414" hidden="1">
      <c r="A414" s="23" t="str">
        <f t="array" ref="A414">if(G414='Room Info'!$B$1, INDEX('Room Info'!$A$2:$A3446, MATCH(B414,'Room Info'!$B$2:$B3446, 0)),if(G414='Room Info'!$C$1, INDEX('Room Info'!$A$2:$A3446, MATCH(B414,'Room Info'!$C$2:$C3446, 0)),if(G414='Room Info'!$D$1, INDEX('Room Info'!$A$2:$A3446, MATCH(B414,'Room Info'!$D$2:$D3446, 0)),if(G414='Room Info'!$E$1, INDEX('Room Info'!$A$2:$A3446, MATCH(B414,'Room Info'!$E$2:$E3446, 0)),if(G414='Room Info'!$F$1, INDEX('Room Info'!$A$2:$A3446, MATCH(B414,'Room Info'!$F$2:$F3446, 0)),if(G414='Room Info'!$H$1, INDEX('Room Info'!$A$2:$A3446, MATCH(B414,'Room Info'!$H$2:$H3446, 0)),if(G414='Room Info'!$G$1, INDEX('Room Info'!$A$2:$A3446, MATCH(B414,'Room Info'!$G$2:$G3446, 0)))))))))</f>
        <v>CrippledMind</v>
      </c>
      <c r="B414" s="50" t="s">
        <v>170</v>
      </c>
      <c r="C414" s="51">
        <v>44825.0</v>
      </c>
      <c r="D414" s="51">
        <v>44854.0</v>
      </c>
      <c r="E414" s="52">
        <v>44835.0</v>
      </c>
      <c r="F414" s="53" t="s">
        <v>4</v>
      </c>
      <c r="G414" s="50" t="s">
        <v>5</v>
      </c>
      <c r="H414" s="54" t="s">
        <v>35</v>
      </c>
      <c r="I414" s="54" t="s">
        <v>7</v>
      </c>
      <c r="J414" s="75">
        <v>5.0</v>
      </c>
      <c r="K414" s="76">
        <v>33.0</v>
      </c>
      <c r="L414" s="77">
        <v>0.0</v>
      </c>
      <c r="M414" s="58">
        <v>6.0</v>
      </c>
      <c r="N414" s="33">
        <f t="shared" si="13"/>
        <v>165</v>
      </c>
      <c r="O414" s="50">
        <v>5848.0</v>
      </c>
      <c r="P414" s="34">
        <f t="shared" si="14"/>
        <v>177.2121212</v>
      </c>
      <c r="Q414" s="60"/>
      <c r="R414" s="36">
        <f t="shared" si="45"/>
        <v>6</v>
      </c>
      <c r="S414" s="78">
        <v>38.0</v>
      </c>
      <c r="T414" s="37">
        <f t="shared" si="46"/>
        <v>44</v>
      </c>
      <c r="U414" s="62">
        <v>1.0</v>
      </c>
      <c r="V414" s="74">
        <v>9.78818998716303</v>
      </c>
      <c r="W414" s="74">
        <v>41.06990163934426</v>
      </c>
      <c r="X414" s="35">
        <f t="shared" si="64"/>
        <v>0.3</v>
      </c>
      <c r="Y414" s="35">
        <f t="shared" si="63"/>
        <v>0</v>
      </c>
      <c r="Z414" s="40">
        <f t="shared" si="57"/>
        <v>30.8</v>
      </c>
      <c r="AA414" s="34">
        <f t="shared" si="60"/>
        <v>13.2</v>
      </c>
      <c r="AB414" s="41">
        <f t="shared" si="49"/>
        <v>0</v>
      </c>
      <c r="AC414" s="42" t="b">
        <v>1</v>
      </c>
      <c r="AD414" s="42" t="s">
        <v>138</v>
      </c>
      <c r="AE414" s="42" t="s">
        <v>138</v>
      </c>
      <c r="AF414" s="42" t="str">
        <f t="array" ref="AF414">INDEX('Deal Info'!D:D, MATCH(A414,'Deal Info'!A:A, 0))</f>
        <v>DoEV</v>
      </c>
      <c r="AG414" s="43" t="str">
        <f t="array" ref="AG414">INDEX('Deal Info'!G:G, MATCH(A414,'Deal Info'!A:A, 0))</f>
        <v>None</v>
      </c>
    </row>
    <row r="415" hidden="1">
      <c r="A415" s="23" t="str">
        <f t="array" ref="A415">if(G415='Room Info'!$B$1, INDEX('Room Info'!$A$2:$A3446, MATCH(B415,'Room Info'!$B$2:$B3446, 0)),if(G415='Room Info'!$C$1, INDEX('Room Info'!$A$2:$A3446, MATCH(B415,'Room Info'!$C$2:$C3446, 0)),if(G415='Room Info'!$D$1, INDEX('Room Info'!$A$2:$A3446, MATCH(B415,'Room Info'!$D$2:$D3446, 0)),if(G415='Room Info'!$E$1, INDEX('Room Info'!$A$2:$A3446, MATCH(B415,'Room Info'!$E$2:$E3446, 0)),if(G415='Room Info'!$F$1, INDEX('Room Info'!$A$2:$A3446, MATCH(B415,'Room Info'!$F$2:$F3446, 0)),if(G415='Room Info'!$H$1, INDEX('Room Info'!$A$2:$A3446, MATCH(B415,'Room Info'!$H$2:$H3446, 0)),if(G415='Room Info'!$G$1, INDEX('Room Info'!$A$2:$A3446, MATCH(B415,'Room Info'!$G$2:$G3446, 0)))))))))</f>
        <v>CrippledMind</v>
      </c>
      <c r="B415" s="50" t="s">
        <v>170</v>
      </c>
      <c r="C415" s="51">
        <v>44825.0</v>
      </c>
      <c r="D415" s="51">
        <v>44854.0</v>
      </c>
      <c r="E415" s="52">
        <v>44835.0</v>
      </c>
      <c r="F415" s="50" t="s">
        <v>4</v>
      </c>
      <c r="G415" s="50" t="s">
        <v>5</v>
      </c>
      <c r="H415" s="54" t="s">
        <v>45</v>
      </c>
      <c r="I415" s="54" t="s">
        <v>7</v>
      </c>
      <c r="J415" s="75">
        <v>10.0</v>
      </c>
      <c r="K415" s="76">
        <v>682.0</v>
      </c>
      <c r="L415" s="57">
        <v>40.0</v>
      </c>
      <c r="M415" s="58">
        <v>225.0</v>
      </c>
      <c r="N415" s="33">
        <f t="shared" si="13"/>
        <v>6820</v>
      </c>
      <c r="O415" s="59">
        <v>37555.0</v>
      </c>
      <c r="P415" s="34">
        <f t="shared" si="14"/>
        <v>55.0659824</v>
      </c>
      <c r="Q415" s="60"/>
      <c r="R415" s="36">
        <f t="shared" si="45"/>
        <v>225</v>
      </c>
      <c r="S415" s="61">
        <v>185.0</v>
      </c>
      <c r="T415" s="37">
        <f t="shared" si="46"/>
        <v>410</v>
      </c>
      <c r="U415" s="62">
        <v>1.0</v>
      </c>
      <c r="V415" s="74">
        <v>9.78818998716303</v>
      </c>
      <c r="W415" s="74">
        <v>41.06990163934426</v>
      </c>
      <c r="X415" s="35">
        <f t="shared" si="64"/>
        <v>0.3</v>
      </c>
      <c r="Y415" s="35">
        <f t="shared" si="63"/>
        <v>0</v>
      </c>
      <c r="Z415" s="40">
        <f t="shared" si="57"/>
        <v>287</v>
      </c>
      <c r="AA415" s="34">
        <f t="shared" si="60"/>
        <v>123</v>
      </c>
      <c r="AB415" s="41">
        <f t="shared" si="49"/>
        <v>0</v>
      </c>
      <c r="AC415" s="42" t="b">
        <v>1</v>
      </c>
      <c r="AD415" s="42" t="s">
        <v>138</v>
      </c>
      <c r="AE415" s="42" t="s">
        <v>138</v>
      </c>
      <c r="AF415" s="42" t="str">
        <f t="array" ref="AF415">INDEX('Deal Info'!D:D, MATCH(A415,'Deal Info'!A:A, 0))</f>
        <v>DoEV</v>
      </c>
      <c r="AG415" s="43" t="str">
        <f t="array" ref="AG415">INDEX('Deal Info'!G:G, MATCH(A415,'Deal Info'!A:A, 0))</f>
        <v>None</v>
      </c>
    </row>
    <row r="416" hidden="1">
      <c r="A416" s="23" t="str">
        <f t="array" ref="A416">if(G416='Room Info'!$B$1, INDEX('Room Info'!$A$2:$A3446, MATCH(B416,'Room Info'!$B$2:$B3446, 0)),if(G416='Room Info'!$C$1, INDEX('Room Info'!$A$2:$A3446, MATCH(B416,'Room Info'!$C$2:$C3446, 0)),if(G416='Room Info'!$D$1, INDEX('Room Info'!$A$2:$A3446, MATCH(B416,'Room Info'!$D$2:$D3446, 0)),if(G416='Room Info'!$E$1, INDEX('Room Info'!$A$2:$A3446, MATCH(B416,'Room Info'!$E$2:$E3446, 0)),if(G416='Room Info'!$F$1, INDEX('Room Info'!$A$2:$A3446, MATCH(B416,'Room Info'!$F$2:$F3446, 0)),if(G416='Room Info'!$H$1, INDEX('Room Info'!$A$2:$A3446, MATCH(B416,'Room Info'!$H$2:$H3446, 0)),if(G416='Room Info'!$G$1, INDEX('Room Info'!$A$2:$A3446, MATCH(B416,'Room Info'!$G$2:$G3446, 0)))))))))</f>
        <v>CrippledMind</v>
      </c>
      <c r="B416" s="50" t="s">
        <v>170</v>
      </c>
      <c r="C416" s="51">
        <v>44825.0</v>
      </c>
      <c r="D416" s="51">
        <v>44854.0</v>
      </c>
      <c r="E416" s="52">
        <v>44835.0</v>
      </c>
      <c r="F416" s="50" t="s">
        <v>4</v>
      </c>
      <c r="G416" s="50" t="s">
        <v>5</v>
      </c>
      <c r="H416" s="54" t="s">
        <v>48</v>
      </c>
      <c r="I416" s="54" t="s">
        <v>7</v>
      </c>
      <c r="J416" s="75">
        <v>10.0</v>
      </c>
      <c r="K416" s="76">
        <v>64.0</v>
      </c>
      <c r="L416" s="57">
        <v>-70.0</v>
      </c>
      <c r="M416" s="58">
        <v>21.0</v>
      </c>
      <c r="N416" s="33">
        <f t="shared" si="13"/>
        <v>640</v>
      </c>
      <c r="O416" s="59">
        <v>-834.0</v>
      </c>
      <c r="P416" s="34">
        <f t="shared" si="14"/>
        <v>-13.03125</v>
      </c>
      <c r="Q416" s="60"/>
      <c r="R416" s="36">
        <f t="shared" si="45"/>
        <v>21</v>
      </c>
      <c r="S416" s="61">
        <v>-73.0</v>
      </c>
      <c r="T416" s="37">
        <f t="shared" si="46"/>
        <v>-52</v>
      </c>
      <c r="U416" s="62">
        <v>1.0</v>
      </c>
      <c r="V416" s="74">
        <v>9.78818998716303</v>
      </c>
      <c r="W416" s="74">
        <v>41.06990163934426</v>
      </c>
      <c r="X416" s="35">
        <f t="shared" si="64"/>
        <v>0.3</v>
      </c>
      <c r="Y416" s="35">
        <f t="shared" si="63"/>
        <v>0</v>
      </c>
      <c r="Z416" s="40">
        <f t="shared" si="57"/>
        <v>-36.4</v>
      </c>
      <c r="AA416" s="34">
        <f t="shared" si="60"/>
        <v>-15.6</v>
      </c>
      <c r="AB416" s="41">
        <f t="shared" si="49"/>
        <v>0</v>
      </c>
      <c r="AC416" s="42" t="b">
        <v>1</v>
      </c>
      <c r="AD416" s="42" t="s">
        <v>138</v>
      </c>
      <c r="AE416" s="42" t="s">
        <v>138</v>
      </c>
      <c r="AF416" s="42" t="str">
        <f t="array" ref="AF416">INDEX('Deal Info'!D:D, MATCH(A416,'Deal Info'!A:A, 0))</f>
        <v>DoEV</v>
      </c>
      <c r="AG416" s="43" t="str">
        <f t="array" ref="AG416">INDEX('Deal Info'!G:G, MATCH(A416,'Deal Info'!A:A, 0))</f>
        <v>None</v>
      </c>
    </row>
    <row r="417" hidden="1">
      <c r="A417" s="23" t="str">
        <f t="array" ref="A417">if(G417='Room Info'!$B$1, INDEX('Room Info'!$A$2:$A3446, MATCH(B417,'Room Info'!$B$2:$B3446, 0)),if(G417='Room Info'!$C$1, INDEX('Room Info'!$A$2:$A3446, MATCH(B417,'Room Info'!$C$2:$C3446, 0)),if(G417='Room Info'!$D$1, INDEX('Room Info'!$A$2:$A3446, MATCH(B417,'Room Info'!$D$2:$D3446, 0)),if(G417='Room Info'!$E$1, INDEX('Room Info'!$A$2:$A3446, MATCH(B417,'Room Info'!$E$2:$E3446, 0)),if(G417='Room Info'!$F$1, INDEX('Room Info'!$A$2:$A3446, MATCH(B417,'Room Info'!$F$2:$F3446, 0)),if(G417='Room Info'!$H$1, INDEX('Room Info'!$A$2:$A3446, MATCH(B417,'Room Info'!$H$2:$H3446, 0)),if(G417='Room Info'!$G$1, INDEX('Room Info'!$A$2:$A3446, MATCH(B417,'Room Info'!$G$2:$G3446, 0)))))))))</f>
        <v>CrippledMind</v>
      </c>
      <c r="B417" s="50" t="s">
        <v>170</v>
      </c>
      <c r="C417" s="51">
        <v>44855.0</v>
      </c>
      <c r="D417" s="51">
        <v>44885.0</v>
      </c>
      <c r="E417" s="52">
        <v>44866.0</v>
      </c>
      <c r="F417" s="50" t="s">
        <v>4</v>
      </c>
      <c r="G417" s="50" t="s">
        <v>5</v>
      </c>
      <c r="H417" s="54" t="s">
        <v>35</v>
      </c>
      <c r="I417" s="54" t="s">
        <v>7</v>
      </c>
      <c r="J417" s="75">
        <v>5.0</v>
      </c>
      <c r="K417" s="76">
        <v>73.0</v>
      </c>
      <c r="L417" s="57">
        <v>40.0</v>
      </c>
      <c r="M417" s="58">
        <v>16.0</v>
      </c>
      <c r="N417" s="33">
        <f t="shared" si="13"/>
        <v>365</v>
      </c>
      <c r="O417" s="59">
        <v>4892.0</v>
      </c>
      <c r="P417" s="34">
        <f t="shared" si="14"/>
        <v>67.01369863</v>
      </c>
      <c r="Q417" s="60"/>
      <c r="R417" s="36">
        <f t="shared" si="45"/>
        <v>16</v>
      </c>
      <c r="S417" s="61">
        <v>16.0</v>
      </c>
      <c r="T417" s="37">
        <f t="shared" si="46"/>
        <v>32</v>
      </c>
      <c r="U417" s="62">
        <v>1.0</v>
      </c>
      <c r="V417" s="74">
        <v>8.557312252964428</v>
      </c>
      <c r="W417" s="74">
        <v>22.43695150115473</v>
      </c>
      <c r="X417" s="35">
        <f t="shared" si="64"/>
        <v>0.3</v>
      </c>
      <c r="Y417" s="35">
        <f t="shared" si="63"/>
        <v>0</v>
      </c>
      <c r="Z417" s="40">
        <f t="shared" si="57"/>
        <v>22.4</v>
      </c>
      <c r="AA417" s="34">
        <f t="shared" si="60"/>
        <v>9.6</v>
      </c>
      <c r="AB417" s="41">
        <f t="shared" si="49"/>
        <v>0</v>
      </c>
      <c r="AC417" s="42" t="b">
        <v>1</v>
      </c>
      <c r="AD417" s="42" t="s">
        <v>138</v>
      </c>
      <c r="AE417" s="42" t="s">
        <v>138</v>
      </c>
      <c r="AF417" s="42" t="str">
        <f t="array" ref="AF417">INDEX('Deal Info'!D:D, MATCH(A417,'Deal Info'!A:A, 0))</f>
        <v>DoEV</v>
      </c>
      <c r="AG417" s="43" t="str">
        <f t="array" ref="AG417">INDEX('Deal Info'!G:G, MATCH(A417,'Deal Info'!A:A, 0))</f>
        <v>None</v>
      </c>
    </row>
    <row r="418" hidden="1">
      <c r="A418" s="23" t="str">
        <f t="array" ref="A418">if(G418='Room Info'!$B$1, INDEX('Room Info'!$A$2:$A3446, MATCH(B418,'Room Info'!$B$2:$B3446, 0)),if(G418='Room Info'!$C$1, INDEX('Room Info'!$A$2:$A3446, MATCH(B418,'Room Info'!$C$2:$C3446, 0)),if(G418='Room Info'!$D$1, INDEX('Room Info'!$A$2:$A3446, MATCH(B418,'Room Info'!$D$2:$D3446, 0)),if(G418='Room Info'!$E$1, INDEX('Room Info'!$A$2:$A3446, MATCH(B418,'Room Info'!$E$2:$E3446, 0)),if(G418='Room Info'!$F$1, INDEX('Room Info'!$A$2:$A3446, MATCH(B418,'Room Info'!$F$2:$F3446, 0)),if(G418='Room Info'!$H$1, INDEX('Room Info'!$A$2:$A3446, MATCH(B418,'Room Info'!$H$2:$H3446, 0)),if(G418='Room Info'!$G$1, INDEX('Room Info'!$A$2:$A3446, MATCH(B418,'Room Info'!$G$2:$G3446, 0)))))))))</f>
        <v>CrippledMind</v>
      </c>
      <c r="B418" s="50" t="s">
        <v>170</v>
      </c>
      <c r="C418" s="51">
        <v>44855.0</v>
      </c>
      <c r="D418" s="51">
        <v>44885.0</v>
      </c>
      <c r="E418" s="52">
        <v>44866.0</v>
      </c>
      <c r="F418" s="50" t="s">
        <v>4</v>
      </c>
      <c r="G418" s="50" t="s">
        <v>5</v>
      </c>
      <c r="H418" s="54" t="s">
        <v>45</v>
      </c>
      <c r="I418" s="54" t="s">
        <v>7</v>
      </c>
      <c r="J418" s="75">
        <v>10.0</v>
      </c>
      <c r="K418" s="76">
        <v>180.0</v>
      </c>
      <c r="L418" s="57">
        <v>130.0</v>
      </c>
      <c r="M418" s="58">
        <v>69.0</v>
      </c>
      <c r="N418" s="33">
        <f t="shared" si="13"/>
        <v>1800</v>
      </c>
      <c r="O418" s="59">
        <v>11577.0</v>
      </c>
      <c r="P418" s="34">
        <f t="shared" si="14"/>
        <v>64.31666667</v>
      </c>
      <c r="Q418" s="60"/>
      <c r="R418" s="36">
        <f t="shared" si="45"/>
        <v>69</v>
      </c>
      <c r="S418" s="61">
        <v>91.0</v>
      </c>
      <c r="T418" s="37">
        <f t="shared" si="46"/>
        <v>160</v>
      </c>
      <c r="U418" s="62">
        <v>1.0</v>
      </c>
      <c r="V418" s="74">
        <v>8.557312252964428</v>
      </c>
      <c r="W418" s="74">
        <v>22.43695150115473</v>
      </c>
      <c r="X418" s="35">
        <f t="shared" si="64"/>
        <v>0.3</v>
      </c>
      <c r="Y418" s="35">
        <f t="shared" si="63"/>
        <v>0</v>
      </c>
      <c r="Z418" s="40">
        <f t="shared" si="57"/>
        <v>112</v>
      </c>
      <c r="AA418" s="34">
        <f t="shared" si="60"/>
        <v>48</v>
      </c>
      <c r="AB418" s="41">
        <f t="shared" si="49"/>
        <v>0</v>
      </c>
      <c r="AC418" s="42" t="b">
        <v>1</v>
      </c>
      <c r="AD418" s="42" t="s">
        <v>138</v>
      </c>
      <c r="AE418" s="42" t="s">
        <v>138</v>
      </c>
      <c r="AF418" s="42" t="str">
        <f t="array" ref="AF418">INDEX('Deal Info'!D:D, MATCH(A418,'Deal Info'!A:A, 0))</f>
        <v>DoEV</v>
      </c>
      <c r="AG418" s="43" t="str">
        <f t="array" ref="AG418">INDEX('Deal Info'!G:G, MATCH(A418,'Deal Info'!A:A, 0))</f>
        <v>None</v>
      </c>
    </row>
    <row r="419" hidden="1">
      <c r="A419" s="23" t="str">
        <f t="array" ref="A419">if(G419='Room Info'!$B$1, INDEX('Room Info'!$A$2:$A3446, MATCH(B419,'Room Info'!$B$2:$B3446, 0)),if(G419='Room Info'!$C$1, INDEX('Room Info'!$A$2:$A3446, MATCH(B419,'Room Info'!$C$2:$C3446, 0)),if(G419='Room Info'!$D$1, INDEX('Room Info'!$A$2:$A3446, MATCH(B419,'Room Info'!$D$2:$D3446, 0)),if(G419='Room Info'!$E$1, INDEX('Room Info'!$A$2:$A3446, MATCH(B419,'Room Info'!$E$2:$E3446, 0)),if(G419='Room Info'!$F$1, INDEX('Room Info'!$A$2:$A3446, MATCH(B419,'Room Info'!$F$2:$F3446, 0)),if(G419='Room Info'!$H$1, INDEX('Room Info'!$A$2:$A3446, MATCH(B419,'Room Info'!$H$2:$H3446, 0)),if(G419='Room Info'!$G$1, INDEX('Room Info'!$A$2:$A3446, MATCH(B419,'Room Info'!$G$2:$G3446, 0)))))))))</f>
        <v>CrippledMind</v>
      </c>
      <c r="B419" s="50" t="s">
        <v>170</v>
      </c>
      <c r="C419" s="51">
        <v>44886.0</v>
      </c>
      <c r="D419" s="51">
        <v>44915.0</v>
      </c>
      <c r="E419" s="52">
        <v>44896.0</v>
      </c>
      <c r="F419" s="50" t="s">
        <v>4</v>
      </c>
      <c r="G419" s="59" t="s">
        <v>5</v>
      </c>
      <c r="H419" s="54" t="s">
        <v>35</v>
      </c>
      <c r="I419" s="54" t="s">
        <v>7</v>
      </c>
      <c r="J419" s="55">
        <v>5.0</v>
      </c>
      <c r="K419" s="56">
        <v>210.0</v>
      </c>
      <c r="L419" s="57">
        <v>55.0</v>
      </c>
      <c r="M419" s="58">
        <v>114.0</v>
      </c>
      <c r="N419" s="33">
        <f t="shared" si="13"/>
        <v>1050</v>
      </c>
      <c r="O419" s="59">
        <v>19795.0</v>
      </c>
      <c r="P419" s="34">
        <f t="shared" si="14"/>
        <v>94.26190476</v>
      </c>
      <c r="Q419" s="60"/>
      <c r="R419" s="36">
        <f t="shared" si="45"/>
        <v>114</v>
      </c>
      <c r="S419" s="61">
        <v>87.0</v>
      </c>
      <c r="T419" s="37">
        <f t="shared" si="46"/>
        <v>201</v>
      </c>
      <c r="U419" s="62">
        <v>1.0</v>
      </c>
      <c r="V419" s="74">
        <v>8.743256743256744</v>
      </c>
      <c r="W419" s="74">
        <v>32.82529707495429</v>
      </c>
      <c r="X419" s="35">
        <f t="shared" si="64"/>
        <v>0.3</v>
      </c>
      <c r="Y419" s="35">
        <f t="shared" si="63"/>
        <v>0</v>
      </c>
      <c r="Z419" s="40">
        <f t="shared" si="57"/>
        <v>140.7</v>
      </c>
      <c r="AA419" s="34">
        <f t="shared" si="60"/>
        <v>60.3</v>
      </c>
      <c r="AB419" s="41">
        <f t="shared" si="49"/>
        <v>0</v>
      </c>
      <c r="AC419" s="42" t="b">
        <v>1</v>
      </c>
      <c r="AD419" s="42" t="s">
        <v>138</v>
      </c>
      <c r="AE419" s="42" t="s">
        <v>138</v>
      </c>
      <c r="AF419" s="42" t="str">
        <f t="array" ref="AF419">INDEX('Deal Info'!D:D, MATCH(A419,'Deal Info'!A:A, 0))</f>
        <v>DoEV</v>
      </c>
      <c r="AG419" s="43" t="str">
        <f t="array" ref="AG419">INDEX('Deal Info'!G:G, MATCH(A419,'Deal Info'!A:A, 0))</f>
        <v>None</v>
      </c>
    </row>
    <row r="420" hidden="1">
      <c r="A420" s="23" t="str">
        <f t="array" ref="A420">if(G420='Room Info'!$B$1, INDEX('Room Info'!$A$2:$A3446, MATCH(B420,'Room Info'!$B$2:$B3446, 0)),if(G420='Room Info'!$C$1, INDEX('Room Info'!$A$2:$A3446, MATCH(B420,'Room Info'!$C$2:$C3446, 0)),if(G420='Room Info'!$D$1, INDEX('Room Info'!$A$2:$A3446, MATCH(B420,'Room Info'!$D$2:$D3446, 0)),if(G420='Room Info'!$E$1, INDEX('Room Info'!$A$2:$A3446, MATCH(B420,'Room Info'!$E$2:$E3446, 0)),if(G420='Room Info'!$F$1, INDEX('Room Info'!$A$2:$A3446, MATCH(B420,'Room Info'!$F$2:$F3446, 0)),if(G420='Room Info'!$H$1, INDEX('Room Info'!$A$2:$A3446, MATCH(B420,'Room Info'!$H$2:$H3446, 0)),if(G420='Room Info'!$G$1, INDEX('Room Info'!$A$2:$A3446, MATCH(B420,'Room Info'!$G$2:$G3446, 0)))))))))</f>
        <v>CrippledMind</v>
      </c>
      <c r="B420" s="50" t="s">
        <v>170</v>
      </c>
      <c r="C420" s="51">
        <v>44886.0</v>
      </c>
      <c r="D420" s="51">
        <v>44915.0</v>
      </c>
      <c r="E420" s="52">
        <v>44896.0</v>
      </c>
      <c r="F420" s="50" t="s">
        <v>4</v>
      </c>
      <c r="G420" s="59" t="s">
        <v>5</v>
      </c>
      <c r="H420" s="54" t="s">
        <v>45</v>
      </c>
      <c r="I420" s="54" t="s">
        <v>7</v>
      </c>
      <c r="J420" s="55">
        <v>10.0</v>
      </c>
      <c r="K420" s="56">
        <v>439.0</v>
      </c>
      <c r="L420" s="57">
        <v>-290.0</v>
      </c>
      <c r="M420" s="58">
        <v>31.0</v>
      </c>
      <c r="N420" s="33">
        <f t="shared" si="13"/>
        <v>4390</v>
      </c>
      <c r="O420" s="59">
        <v>10098.0</v>
      </c>
      <c r="P420" s="34">
        <f t="shared" si="14"/>
        <v>23.0022779</v>
      </c>
      <c r="Q420" s="60"/>
      <c r="R420" s="36">
        <f t="shared" si="45"/>
        <v>31</v>
      </c>
      <c r="S420" s="61">
        <v>-139.0</v>
      </c>
      <c r="T420" s="37">
        <f t="shared" si="46"/>
        <v>-108</v>
      </c>
      <c r="U420" s="62">
        <v>1.0</v>
      </c>
      <c r="V420" s="74">
        <v>8.743256743256744</v>
      </c>
      <c r="W420" s="74">
        <v>32.82529707495429</v>
      </c>
      <c r="X420" s="35">
        <f t="shared" si="64"/>
        <v>0.3</v>
      </c>
      <c r="Y420" s="35">
        <f t="shared" si="63"/>
        <v>0</v>
      </c>
      <c r="Z420" s="40">
        <f t="shared" si="57"/>
        <v>-75.6</v>
      </c>
      <c r="AA420" s="34">
        <f t="shared" si="60"/>
        <v>-32.4</v>
      </c>
      <c r="AB420" s="41">
        <f t="shared" si="49"/>
        <v>0</v>
      </c>
      <c r="AC420" s="42" t="b">
        <v>1</v>
      </c>
      <c r="AD420" s="42" t="s">
        <v>138</v>
      </c>
      <c r="AE420" s="42" t="s">
        <v>138</v>
      </c>
      <c r="AF420" s="42" t="str">
        <f t="array" ref="AF420">INDEX('Deal Info'!D:D, MATCH(A420,'Deal Info'!A:A, 0))</f>
        <v>DoEV</v>
      </c>
      <c r="AG420" s="43" t="str">
        <f t="array" ref="AG420">INDEX('Deal Info'!G:G, MATCH(A420,'Deal Info'!A:A, 0))</f>
        <v>None</v>
      </c>
    </row>
    <row r="421" hidden="1">
      <c r="A421" s="23" t="str">
        <f t="array" ref="A421">if(G421='Room Info'!$B$1, INDEX('Room Info'!$A$2:$A3446, MATCH(B421,'Room Info'!$B$2:$B3446, 0)),if(G421='Room Info'!$C$1, INDEX('Room Info'!$A$2:$A3446, MATCH(B421,'Room Info'!$C$2:$C3446, 0)),if(G421='Room Info'!$D$1, INDEX('Room Info'!$A$2:$A3446, MATCH(B421,'Room Info'!$D$2:$D3446, 0)),if(G421='Room Info'!$E$1, INDEX('Room Info'!$A$2:$A3446, MATCH(B421,'Room Info'!$E$2:$E3446, 0)),if(G421='Room Info'!$F$1, INDEX('Room Info'!$A$2:$A3446, MATCH(B421,'Room Info'!$F$2:$F3446, 0)),if(G421='Room Info'!$H$1, INDEX('Room Info'!$A$2:$A3446, MATCH(B421,'Room Info'!$H$2:$H3446, 0)),if(G421='Room Info'!$G$1, INDEX('Room Info'!$A$2:$A3446, MATCH(B421,'Room Info'!$G$2:$G3446, 0)))))))))</f>
        <v>CrippledMind</v>
      </c>
      <c r="B421" s="50" t="s">
        <v>170</v>
      </c>
      <c r="C421" s="51">
        <v>44886.0</v>
      </c>
      <c r="D421" s="51">
        <v>44915.0</v>
      </c>
      <c r="E421" s="52">
        <v>44896.0</v>
      </c>
      <c r="F421" s="53" t="s">
        <v>12</v>
      </c>
      <c r="G421" s="50" t="s">
        <v>5</v>
      </c>
      <c r="H421" s="54" t="s">
        <v>28</v>
      </c>
      <c r="I421" s="54" t="s">
        <v>7</v>
      </c>
      <c r="J421" s="75">
        <v>2.0</v>
      </c>
      <c r="K421" s="76">
        <v>26.0</v>
      </c>
      <c r="L421" s="57">
        <v>6.0</v>
      </c>
      <c r="M421" s="58">
        <v>2.0</v>
      </c>
      <c r="N421" s="33">
        <f t="shared" si="13"/>
        <v>52</v>
      </c>
      <c r="O421" s="70"/>
      <c r="P421" s="34">
        <f t="shared" si="14"/>
        <v>0</v>
      </c>
      <c r="Q421" s="60"/>
      <c r="R421" s="36">
        <f t="shared" si="45"/>
        <v>2</v>
      </c>
      <c r="S421" s="71"/>
      <c r="T421" s="37">
        <f t="shared" si="46"/>
        <v>8</v>
      </c>
      <c r="U421" s="62">
        <v>1.0</v>
      </c>
      <c r="V421" s="74">
        <v>8.743256743256744</v>
      </c>
      <c r="W421" s="74">
        <v>32.82529707495429</v>
      </c>
      <c r="X421" s="35">
        <f t="shared" si="64"/>
        <v>0.3</v>
      </c>
      <c r="Y421" s="35">
        <f t="shared" si="63"/>
        <v>0</v>
      </c>
      <c r="Z421" s="40">
        <f t="shared" si="57"/>
        <v>5.6</v>
      </c>
      <c r="AA421" s="34">
        <f t="shared" si="60"/>
        <v>2.4</v>
      </c>
      <c r="AB421" s="41">
        <f t="shared" si="49"/>
        <v>0</v>
      </c>
      <c r="AC421" s="42" t="b">
        <v>1</v>
      </c>
      <c r="AD421" s="42" t="s">
        <v>138</v>
      </c>
      <c r="AE421" s="42" t="s">
        <v>138</v>
      </c>
      <c r="AF421" s="42" t="str">
        <f t="array" ref="AF421">INDEX('Deal Info'!D:D, MATCH(A421,'Deal Info'!A:A, 0))</f>
        <v>DoEV</v>
      </c>
      <c r="AG421" s="43" t="str">
        <f t="array" ref="AG421">INDEX('Deal Info'!G:G, MATCH(A421,'Deal Info'!A:A, 0))</f>
        <v>None</v>
      </c>
    </row>
    <row r="422" hidden="1">
      <c r="A422" s="23" t="str">
        <f t="array" ref="A422">if(G422='Room Info'!$B$1, INDEX('Room Info'!$A$2:$A3446, MATCH(B422,'Room Info'!$B$2:$B3446, 0)),if(G422='Room Info'!$C$1, INDEX('Room Info'!$A$2:$A3446, MATCH(B422,'Room Info'!$C$2:$C3446, 0)),if(G422='Room Info'!$D$1, INDEX('Room Info'!$A$2:$A3446, MATCH(B422,'Room Info'!$D$2:$D3446, 0)),if(G422='Room Info'!$E$1, INDEX('Room Info'!$A$2:$A3446, MATCH(B422,'Room Info'!$E$2:$E3446, 0)),if(G422='Room Info'!$F$1, INDEX('Room Info'!$A$2:$A3446, MATCH(B422,'Room Info'!$F$2:$F3446, 0)),if(G422='Room Info'!$H$1, INDEX('Room Info'!$A$2:$A3446, MATCH(B422,'Room Info'!$H$2:$H3446, 0)),if(G422='Room Info'!$G$1, INDEX('Room Info'!$A$2:$A3446, MATCH(B422,'Room Info'!$G$2:$G3446, 0)))))))))</f>
        <v>CrippledMind</v>
      </c>
      <c r="B422" s="50" t="s">
        <v>170</v>
      </c>
      <c r="C422" s="51">
        <v>44916.0</v>
      </c>
      <c r="D422" s="51">
        <v>44946.0</v>
      </c>
      <c r="E422" s="52">
        <v>44927.0</v>
      </c>
      <c r="F422" s="53" t="s">
        <v>4</v>
      </c>
      <c r="G422" s="50" t="s">
        <v>5</v>
      </c>
      <c r="H422" s="54" t="s">
        <v>45</v>
      </c>
      <c r="I422" s="54" t="s">
        <v>7</v>
      </c>
      <c r="J422" s="75">
        <v>10.0</v>
      </c>
      <c r="K422" s="76">
        <v>326.0</v>
      </c>
      <c r="L422" s="57">
        <v>440.0</v>
      </c>
      <c r="M422" s="58">
        <v>75.0</v>
      </c>
      <c r="N422" s="33">
        <f t="shared" si="13"/>
        <v>3260</v>
      </c>
      <c r="O422" s="59">
        <v>18843.0</v>
      </c>
      <c r="P422" s="34">
        <f t="shared" si="14"/>
        <v>57.8006135</v>
      </c>
      <c r="Q422" s="60"/>
      <c r="R422" s="36">
        <f t="shared" si="45"/>
        <v>75</v>
      </c>
      <c r="S422" s="61">
        <v>111.0</v>
      </c>
      <c r="T422" s="37">
        <f t="shared" si="46"/>
        <v>186</v>
      </c>
      <c r="U422" s="62">
        <v>1.0</v>
      </c>
      <c r="V422" s="74">
        <v>10.0</v>
      </c>
      <c r="W422" s="74">
        <v>18.6</v>
      </c>
      <c r="X422" s="35">
        <f t="shared" si="64"/>
        <v>0.3</v>
      </c>
      <c r="Y422" s="35">
        <f t="shared" si="63"/>
        <v>0</v>
      </c>
      <c r="Z422" s="40">
        <f t="shared" si="57"/>
        <v>130.2</v>
      </c>
      <c r="AA422" s="34">
        <f t="shared" si="60"/>
        <v>55.8</v>
      </c>
      <c r="AB422" s="41">
        <f t="shared" si="49"/>
        <v>0</v>
      </c>
      <c r="AC422" s="42" t="b">
        <v>1</v>
      </c>
      <c r="AD422" s="42" t="s">
        <v>138</v>
      </c>
      <c r="AE422" s="42" t="s">
        <v>138</v>
      </c>
      <c r="AF422" s="42" t="str">
        <f t="array" ref="AF422">INDEX('Deal Info'!D:D, MATCH(A422,'Deal Info'!A:A, 0))</f>
        <v>DoEV</v>
      </c>
      <c r="AG422" s="43" t="str">
        <f t="array" ref="AG422">INDEX('Deal Info'!G:G, MATCH(A422,'Deal Info'!A:A, 0))</f>
        <v>None</v>
      </c>
    </row>
    <row r="423" hidden="1">
      <c r="A423" s="23" t="str">
        <f t="array" ref="A423">if(G423='Room Info'!$B$1, INDEX('Room Info'!$A$2:$A3446, MATCH(B423,'Room Info'!$B$2:$B3446, 0)),if(G423='Room Info'!$C$1, INDEX('Room Info'!$A$2:$A3446, MATCH(B423,'Room Info'!$C$2:$C3446, 0)),if(G423='Room Info'!$D$1, INDEX('Room Info'!$A$2:$A3446, MATCH(B423,'Room Info'!$D$2:$D3446, 0)),if(G423='Room Info'!$E$1, INDEX('Room Info'!$A$2:$A3446, MATCH(B423,'Room Info'!$E$2:$E3446, 0)),if(G423='Room Info'!$F$1, INDEX('Room Info'!$A$2:$A3446, MATCH(B423,'Room Info'!$F$2:$F3446, 0)),if(G423='Room Info'!$H$1, INDEX('Room Info'!$A$2:$A3446, MATCH(B423,'Room Info'!$H$2:$H3446, 0)),if(G423='Room Info'!$G$1, INDEX('Room Info'!$A$2:$A3446, MATCH(B423,'Room Info'!$G$2:$G3446, 0)))))))))</f>
        <v>Freedoom</v>
      </c>
      <c r="B423" s="50" t="s">
        <v>159</v>
      </c>
      <c r="C423" s="51">
        <v>44470.0</v>
      </c>
      <c r="D423" s="51">
        <v>44500.0</v>
      </c>
      <c r="E423" s="52">
        <v>44470.0</v>
      </c>
      <c r="F423" s="53" t="s">
        <v>8</v>
      </c>
      <c r="G423" s="50" t="s">
        <v>9</v>
      </c>
      <c r="H423" s="54" t="s">
        <v>53</v>
      </c>
      <c r="I423" s="54" t="s">
        <v>7</v>
      </c>
      <c r="J423" s="55">
        <v>10.0</v>
      </c>
      <c r="K423" s="56">
        <v>546.0</v>
      </c>
      <c r="L423" s="57">
        <v>-620.0</v>
      </c>
      <c r="M423" s="58">
        <v>11.0</v>
      </c>
      <c r="N423" s="33">
        <f t="shared" si="13"/>
        <v>5460</v>
      </c>
      <c r="O423" s="59">
        <v>32208.0</v>
      </c>
      <c r="P423" s="34">
        <f t="shared" si="14"/>
        <v>58.98901099</v>
      </c>
      <c r="Q423" s="60"/>
      <c r="R423" s="36">
        <f t="shared" si="45"/>
        <v>11</v>
      </c>
      <c r="S423" s="61">
        <v>79.0</v>
      </c>
      <c r="T423" s="37">
        <f t="shared" si="46"/>
        <v>90</v>
      </c>
      <c r="U423" s="62">
        <v>1.0</v>
      </c>
      <c r="V423" s="63"/>
      <c r="W423" s="63"/>
      <c r="X423" s="35">
        <f t="shared" si="64"/>
        <v>0.35</v>
      </c>
      <c r="Y423" s="35">
        <f t="shared" si="63"/>
        <v>0</v>
      </c>
      <c r="Z423" s="64">
        <v>75.0</v>
      </c>
      <c r="AA423" s="65">
        <v>15.0</v>
      </c>
      <c r="AB423" s="41">
        <f t="shared" si="49"/>
        <v>0</v>
      </c>
      <c r="AC423" s="42" t="b">
        <v>1</v>
      </c>
      <c r="AD423" s="42" t="s">
        <v>138</v>
      </c>
      <c r="AE423" s="42" t="s">
        <v>138</v>
      </c>
      <c r="AF423" s="42" t="str">
        <f t="array" ref="AF423">INDEX('Deal Info'!D:D, MATCH(A423,'Deal Info'!A:A, 0))</f>
        <v>DoEVold</v>
      </c>
      <c r="AG423" s="43" t="str">
        <f t="array" ref="AG423">INDEX('Deal Info'!G:G, MATCH(A423,'Deal Info'!A:A, 0))</f>
        <v>None</v>
      </c>
    </row>
    <row r="424" hidden="1">
      <c r="A424" s="23" t="str">
        <f t="array" ref="A424">if(G424='Room Info'!$B$1, INDEX('Room Info'!$A$2:$A3446, MATCH(B424,'Room Info'!$B$2:$B3446, 0)),if(G424='Room Info'!$C$1, INDEX('Room Info'!$A$2:$A3446, MATCH(B424,'Room Info'!$C$2:$C3446, 0)),if(G424='Room Info'!$D$1, INDEX('Room Info'!$A$2:$A3446, MATCH(B424,'Room Info'!$D$2:$D3446, 0)),if(G424='Room Info'!$E$1, INDEX('Room Info'!$A$2:$A3446, MATCH(B424,'Room Info'!$E$2:$E3446, 0)),if(G424='Room Info'!$F$1, INDEX('Room Info'!$A$2:$A3446, MATCH(B424,'Room Info'!$F$2:$F3446, 0)),if(G424='Room Info'!$H$1, INDEX('Room Info'!$A$2:$A3446, MATCH(B424,'Room Info'!$H$2:$H3446, 0)),if(G424='Room Info'!$G$1, INDEX('Room Info'!$A$2:$A3446, MATCH(B424,'Room Info'!$G$2:$G3446, 0)))))))))</f>
        <v>Freedoom</v>
      </c>
      <c r="B424" s="50" t="s">
        <v>159</v>
      </c>
      <c r="C424" s="51">
        <v>44501.0</v>
      </c>
      <c r="D424" s="51">
        <v>44530.0</v>
      </c>
      <c r="E424" s="52">
        <v>44501.0</v>
      </c>
      <c r="F424" s="53" t="s">
        <v>8</v>
      </c>
      <c r="G424" s="59" t="s">
        <v>9</v>
      </c>
      <c r="H424" s="54" t="s">
        <v>53</v>
      </c>
      <c r="I424" s="54" t="s">
        <v>7</v>
      </c>
      <c r="J424" s="55">
        <v>10.0</v>
      </c>
      <c r="K424" s="56">
        <v>1262.0</v>
      </c>
      <c r="L424" s="57">
        <v>-1290.0</v>
      </c>
      <c r="M424" s="58">
        <v>480.0</v>
      </c>
      <c r="N424" s="33">
        <f t="shared" si="13"/>
        <v>12620</v>
      </c>
      <c r="O424" s="59">
        <v>93812.0</v>
      </c>
      <c r="P424" s="34">
        <f t="shared" si="14"/>
        <v>74.33597464</v>
      </c>
      <c r="Q424" s="60"/>
      <c r="R424" s="36">
        <f t="shared" si="45"/>
        <v>480</v>
      </c>
      <c r="S424" s="61">
        <v>665.0</v>
      </c>
      <c r="T424" s="37">
        <f t="shared" si="46"/>
        <v>1145</v>
      </c>
      <c r="U424" s="62">
        <v>1.0</v>
      </c>
      <c r="V424" s="63"/>
      <c r="W424" s="63"/>
      <c r="X424" s="35">
        <f t="shared" si="64"/>
        <v>0.35</v>
      </c>
      <c r="Y424" s="35">
        <f t="shared" si="63"/>
        <v>0</v>
      </c>
      <c r="Z424" s="64">
        <v>950.0</v>
      </c>
      <c r="AA424" s="65">
        <v>195.0</v>
      </c>
      <c r="AB424" s="41">
        <f t="shared" si="49"/>
        <v>0</v>
      </c>
      <c r="AC424" s="42" t="b">
        <v>1</v>
      </c>
      <c r="AD424" s="42" t="s">
        <v>138</v>
      </c>
      <c r="AE424" s="42" t="s">
        <v>138</v>
      </c>
      <c r="AF424" s="42" t="str">
        <f t="array" ref="AF424">INDEX('Deal Info'!D:D, MATCH(A424,'Deal Info'!A:A, 0))</f>
        <v>DoEVold</v>
      </c>
      <c r="AG424" s="43" t="str">
        <f t="array" ref="AG424">INDEX('Deal Info'!G:G, MATCH(A424,'Deal Info'!A:A, 0))</f>
        <v>None</v>
      </c>
    </row>
    <row r="425" hidden="1">
      <c r="A425" s="23" t="str">
        <f t="array" ref="A425">if(G425='Room Info'!$B$1, INDEX('Room Info'!$A$2:$A3446, MATCH(B425,'Room Info'!$B$2:$B3446, 0)),if(G425='Room Info'!$C$1, INDEX('Room Info'!$A$2:$A3446, MATCH(B425,'Room Info'!$C$2:$C3446, 0)),if(G425='Room Info'!$D$1, INDEX('Room Info'!$A$2:$A3446, MATCH(B425,'Room Info'!$D$2:$D3446, 0)),if(G425='Room Info'!$E$1, INDEX('Room Info'!$A$2:$A3446, MATCH(B425,'Room Info'!$E$2:$E3446, 0)),if(G425='Room Info'!$F$1, INDEX('Room Info'!$A$2:$A3446, MATCH(B425,'Room Info'!$F$2:$F3446, 0)),if(G425='Room Info'!$H$1, INDEX('Room Info'!$A$2:$A3446, MATCH(B425,'Room Info'!$H$2:$H3446, 0)),if(G425='Room Info'!$G$1, INDEX('Room Info'!$A$2:$A3446, MATCH(B425,'Room Info'!$G$2:$G3446, 0)))))))))</f>
        <v>Freedoom</v>
      </c>
      <c r="B425" s="50" t="s">
        <v>159</v>
      </c>
      <c r="C425" s="51">
        <v>44501.0</v>
      </c>
      <c r="D425" s="51">
        <v>44530.0</v>
      </c>
      <c r="E425" s="52">
        <v>44501.0</v>
      </c>
      <c r="F425" s="53" t="s">
        <v>8</v>
      </c>
      <c r="G425" s="59" t="s">
        <v>9</v>
      </c>
      <c r="H425" s="54" t="s">
        <v>66</v>
      </c>
      <c r="I425" s="54" t="s">
        <v>7</v>
      </c>
      <c r="J425" s="55">
        <v>25.0</v>
      </c>
      <c r="K425" s="56">
        <v>495.0</v>
      </c>
      <c r="L425" s="57">
        <v>-1525.0</v>
      </c>
      <c r="M425" s="58">
        <v>5.0</v>
      </c>
      <c r="N425" s="33">
        <f t="shared" si="13"/>
        <v>12375</v>
      </c>
      <c r="O425" s="59">
        <v>30463.0</v>
      </c>
      <c r="P425" s="34">
        <f t="shared" si="14"/>
        <v>61.54141414</v>
      </c>
      <c r="Q425" s="60"/>
      <c r="R425" s="36">
        <f t="shared" si="45"/>
        <v>5</v>
      </c>
      <c r="S425" s="61">
        <v>254.0</v>
      </c>
      <c r="T425" s="37">
        <f t="shared" si="46"/>
        <v>259</v>
      </c>
      <c r="U425" s="62">
        <v>1.0</v>
      </c>
      <c r="V425" s="63"/>
      <c r="W425" s="63"/>
      <c r="X425" s="35">
        <f t="shared" si="64"/>
        <v>0.35</v>
      </c>
      <c r="Y425" s="35">
        <f t="shared" si="63"/>
        <v>0</v>
      </c>
      <c r="Z425" s="64">
        <v>215.0</v>
      </c>
      <c r="AA425" s="65">
        <v>44.0</v>
      </c>
      <c r="AB425" s="41">
        <f t="shared" si="49"/>
        <v>0</v>
      </c>
      <c r="AC425" s="42" t="b">
        <v>1</v>
      </c>
      <c r="AD425" s="42" t="s">
        <v>138</v>
      </c>
      <c r="AE425" s="42" t="s">
        <v>138</v>
      </c>
      <c r="AF425" s="42" t="str">
        <f t="array" ref="AF425">INDEX('Deal Info'!D:D, MATCH(A425,'Deal Info'!A:A, 0))</f>
        <v>DoEVold</v>
      </c>
      <c r="AG425" s="43" t="str">
        <f t="array" ref="AG425">INDEX('Deal Info'!G:G, MATCH(A425,'Deal Info'!A:A, 0))</f>
        <v>None</v>
      </c>
    </row>
    <row r="426" hidden="1">
      <c r="A426" s="23" t="str">
        <f t="array" ref="A426">if(G426='Room Info'!$B$1, INDEX('Room Info'!$A$2:$A3446, MATCH(B426,'Room Info'!$B$2:$B3446, 0)),if(G426='Room Info'!$C$1, INDEX('Room Info'!$A$2:$A3446, MATCH(B426,'Room Info'!$C$2:$C3446, 0)),if(G426='Room Info'!$D$1, INDEX('Room Info'!$A$2:$A3446, MATCH(B426,'Room Info'!$D$2:$D3446, 0)),if(G426='Room Info'!$E$1, INDEX('Room Info'!$A$2:$A3446, MATCH(B426,'Room Info'!$E$2:$E3446, 0)),if(G426='Room Info'!$F$1, INDEX('Room Info'!$A$2:$A3446, MATCH(B426,'Room Info'!$F$2:$F3446, 0)),if(G426='Room Info'!$H$1, INDEX('Room Info'!$A$2:$A3446, MATCH(B426,'Room Info'!$H$2:$H3446, 0)),if(G426='Room Info'!$G$1, INDEX('Room Info'!$A$2:$A3446, MATCH(B426,'Room Info'!$G$2:$G3446, 0)))))))))</f>
        <v>Freedoom</v>
      </c>
      <c r="B426" s="50" t="s">
        <v>159</v>
      </c>
      <c r="C426" s="51">
        <v>44531.0</v>
      </c>
      <c r="D426" s="51">
        <v>44550.0</v>
      </c>
      <c r="E426" s="52">
        <v>44531.0</v>
      </c>
      <c r="F426" s="53" t="s">
        <v>8</v>
      </c>
      <c r="G426" s="59" t="s">
        <v>9</v>
      </c>
      <c r="H426" s="54" t="s">
        <v>42</v>
      </c>
      <c r="I426" s="54" t="s">
        <v>7</v>
      </c>
      <c r="J426" s="55">
        <v>5.0</v>
      </c>
      <c r="K426" s="56">
        <v>1.0</v>
      </c>
      <c r="L426" s="57">
        <v>-5.0</v>
      </c>
      <c r="M426" s="58">
        <v>5.0</v>
      </c>
      <c r="N426" s="33">
        <f t="shared" si="13"/>
        <v>5</v>
      </c>
      <c r="O426" s="59">
        <v>-387.0</v>
      </c>
      <c r="P426" s="34">
        <f t="shared" si="14"/>
        <v>-387</v>
      </c>
      <c r="Q426" s="60"/>
      <c r="R426" s="36">
        <f t="shared" si="45"/>
        <v>5</v>
      </c>
      <c r="S426" s="61">
        <v>-4.0</v>
      </c>
      <c r="T426" s="37">
        <f t="shared" si="46"/>
        <v>1</v>
      </c>
      <c r="U426" s="62">
        <v>1.0</v>
      </c>
      <c r="V426" s="63"/>
      <c r="W426" s="63"/>
      <c r="X426" s="35">
        <f t="shared" si="64"/>
        <v>0.35</v>
      </c>
      <c r="Y426" s="35">
        <f t="shared" si="63"/>
        <v>0</v>
      </c>
      <c r="Z426" s="64">
        <v>1.0</v>
      </c>
      <c r="AA426" s="65">
        <v>0.0</v>
      </c>
      <c r="AB426" s="41">
        <f t="shared" si="49"/>
        <v>0</v>
      </c>
      <c r="AC426" s="42" t="b">
        <v>1</v>
      </c>
      <c r="AD426" s="42" t="s">
        <v>138</v>
      </c>
      <c r="AE426" s="42" t="s">
        <v>138</v>
      </c>
      <c r="AF426" s="42" t="str">
        <f t="array" ref="AF426">INDEX('Deal Info'!D:D, MATCH(A426,'Deal Info'!A:A, 0))</f>
        <v>DoEVold</v>
      </c>
      <c r="AG426" s="43" t="str">
        <f t="array" ref="AG426">INDEX('Deal Info'!G:G, MATCH(A426,'Deal Info'!A:A, 0))</f>
        <v>None</v>
      </c>
    </row>
    <row r="427" hidden="1">
      <c r="A427" s="23" t="str">
        <f t="array" ref="A427">if(G427='Room Info'!$B$1, INDEX('Room Info'!$A$2:$A3446, MATCH(B427,'Room Info'!$B$2:$B3446, 0)),if(G427='Room Info'!$C$1, INDEX('Room Info'!$A$2:$A3446, MATCH(B427,'Room Info'!$C$2:$C3446, 0)),if(G427='Room Info'!$D$1, INDEX('Room Info'!$A$2:$A3446, MATCH(B427,'Room Info'!$D$2:$D3446, 0)),if(G427='Room Info'!$E$1, INDEX('Room Info'!$A$2:$A3446, MATCH(B427,'Room Info'!$E$2:$E3446, 0)),if(G427='Room Info'!$F$1, INDEX('Room Info'!$A$2:$A3446, MATCH(B427,'Room Info'!$F$2:$F3446, 0)),if(G427='Room Info'!$H$1, INDEX('Room Info'!$A$2:$A3446, MATCH(B427,'Room Info'!$H$2:$H3446, 0)),if(G427='Room Info'!$G$1, INDEX('Room Info'!$A$2:$A3446, MATCH(B427,'Room Info'!$G$2:$G3446, 0)))))))))</f>
        <v>Freedoom</v>
      </c>
      <c r="B427" s="50" t="s">
        <v>159</v>
      </c>
      <c r="C427" s="51">
        <v>44531.0</v>
      </c>
      <c r="D427" s="51">
        <v>44550.0</v>
      </c>
      <c r="E427" s="52">
        <v>44531.0</v>
      </c>
      <c r="F427" s="53" t="s">
        <v>8</v>
      </c>
      <c r="G427" s="59" t="s">
        <v>9</v>
      </c>
      <c r="H427" s="54" t="s">
        <v>53</v>
      </c>
      <c r="I427" s="54" t="s">
        <v>7</v>
      </c>
      <c r="J427" s="55">
        <v>10.0</v>
      </c>
      <c r="K427" s="56">
        <v>697.0</v>
      </c>
      <c r="L427" s="57">
        <v>-120.0</v>
      </c>
      <c r="M427" s="58">
        <v>105.0</v>
      </c>
      <c r="N427" s="33">
        <f t="shared" si="13"/>
        <v>6970</v>
      </c>
      <c r="O427" s="59">
        <v>49432.0</v>
      </c>
      <c r="P427" s="34">
        <f t="shared" si="14"/>
        <v>70.92109039</v>
      </c>
      <c r="Q427" s="60"/>
      <c r="R427" s="36">
        <f t="shared" si="45"/>
        <v>105</v>
      </c>
      <c r="S427" s="61">
        <v>234.0</v>
      </c>
      <c r="T427" s="37">
        <f t="shared" si="46"/>
        <v>339</v>
      </c>
      <c r="U427" s="62">
        <v>1.0</v>
      </c>
      <c r="V427" s="63"/>
      <c r="W427" s="63"/>
      <c r="X427" s="35">
        <f t="shared" si="64"/>
        <v>0.35</v>
      </c>
      <c r="Y427" s="35">
        <f t="shared" si="63"/>
        <v>0</v>
      </c>
      <c r="Z427" s="64">
        <v>281.0</v>
      </c>
      <c r="AA427" s="65">
        <v>58.0</v>
      </c>
      <c r="AB427" s="41">
        <f t="shared" si="49"/>
        <v>0</v>
      </c>
      <c r="AC427" s="42" t="b">
        <v>1</v>
      </c>
      <c r="AD427" s="42" t="s">
        <v>138</v>
      </c>
      <c r="AE427" s="42" t="s">
        <v>138</v>
      </c>
      <c r="AF427" s="42" t="str">
        <f t="array" ref="AF427">INDEX('Deal Info'!D:D, MATCH(A427,'Deal Info'!A:A, 0))</f>
        <v>DoEVold</v>
      </c>
      <c r="AG427" s="43" t="str">
        <f t="array" ref="AG427">INDEX('Deal Info'!G:G, MATCH(A427,'Deal Info'!A:A, 0))</f>
        <v>None</v>
      </c>
    </row>
    <row r="428" hidden="1">
      <c r="A428" s="23" t="str">
        <f t="array" ref="A428">if(G428='Room Info'!$B$1, INDEX('Room Info'!$A$2:$A3446, MATCH(B428,'Room Info'!$B$2:$B3446, 0)),if(G428='Room Info'!$C$1, INDEX('Room Info'!$A$2:$A3446, MATCH(B428,'Room Info'!$C$2:$C3446, 0)),if(G428='Room Info'!$D$1, INDEX('Room Info'!$A$2:$A3446, MATCH(B428,'Room Info'!$D$2:$D3446, 0)),if(G428='Room Info'!$E$1, INDEX('Room Info'!$A$2:$A3446, MATCH(B428,'Room Info'!$E$2:$E3446, 0)),if(G428='Room Info'!$F$1, INDEX('Room Info'!$A$2:$A3446, MATCH(B428,'Room Info'!$F$2:$F3446, 0)),if(G428='Room Info'!$H$1, INDEX('Room Info'!$A$2:$A3446, MATCH(B428,'Room Info'!$H$2:$H3446, 0)),if(G428='Room Info'!$G$1, INDEX('Room Info'!$A$2:$A3446, MATCH(B428,'Room Info'!$G$2:$G3446, 0)))))))))</f>
        <v>Freedoom</v>
      </c>
      <c r="B428" s="50" t="s">
        <v>159</v>
      </c>
      <c r="C428" s="51">
        <v>44531.0</v>
      </c>
      <c r="D428" s="51">
        <v>44550.0</v>
      </c>
      <c r="E428" s="52">
        <v>44531.0</v>
      </c>
      <c r="F428" s="53" t="s">
        <v>8</v>
      </c>
      <c r="G428" s="59" t="s">
        <v>9</v>
      </c>
      <c r="H428" s="54" t="s">
        <v>66</v>
      </c>
      <c r="I428" s="54" t="s">
        <v>7</v>
      </c>
      <c r="J428" s="55">
        <v>25.0</v>
      </c>
      <c r="K428" s="56">
        <v>442.0</v>
      </c>
      <c r="L428" s="57">
        <v>-1050.0</v>
      </c>
      <c r="M428" s="58">
        <v>0.0</v>
      </c>
      <c r="N428" s="33">
        <f t="shared" si="13"/>
        <v>11050</v>
      </c>
      <c r="O428" s="59">
        <v>32612.0</v>
      </c>
      <c r="P428" s="34">
        <f t="shared" si="14"/>
        <v>73.78280543</v>
      </c>
      <c r="Q428" s="60"/>
      <c r="R428" s="36">
        <f t="shared" si="45"/>
        <v>0</v>
      </c>
      <c r="S428" s="61">
        <v>427.0</v>
      </c>
      <c r="T428" s="37">
        <f t="shared" si="46"/>
        <v>427</v>
      </c>
      <c r="U428" s="62">
        <v>1.0</v>
      </c>
      <c r="V428" s="63"/>
      <c r="W428" s="63"/>
      <c r="X428" s="35">
        <f t="shared" si="64"/>
        <v>0.35</v>
      </c>
      <c r="Y428" s="35">
        <f t="shared" si="63"/>
        <v>0</v>
      </c>
      <c r="Z428" s="64">
        <v>354.0</v>
      </c>
      <c r="AA428" s="65">
        <v>73.0</v>
      </c>
      <c r="AB428" s="41">
        <f t="shared" si="49"/>
        <v>0</v>
      </c>
      <c r="AC428" s="42" t="b">
        <v>1</v>
      </c>
      <c r="AD428" s="42" t="s">
        <v>138</v>
      </c>
      <c r="AE428" s="42" t="s">
        <v>138</v>
      </c>
      <c r="AF428" s="42" t="str">
        <f t="array" ref="AF428">INDEX('Deal Info'!D:D, MATCH(A428,'Deal Info'!A:A, 0))</f>
        <v>DoEVold</v>
      </c>
      <c r="AG428" s="43" t="str">
        <f t="array" ref="AG428">INDEX('Deal Info'!G:G, MATCH(A428,'Deal Info'!A:A, 0))</f>
        <v>None</v>
      </c>
    </row>
    <row r="429" hidden="1">
      <c r="A429" s="23" t="str">
        <f t="array" ref="A429">if(G429='Room Info'!$B$1, INDEX('Room Info'!$A$2:$A3446, MATCH(B429,'Room Info'!$B$2:$B3446, 0)),if(G429='Room Info'!$C$1, INDEX('Room Info'!$A$2:$A3446, MATCH(B429,'Room Info'!$C$2:$C3446, 0)),if(G429='Room Info'!$D$1, INDEX('Room Info'!$A$2:$A3446, MATCH(B429,'Room Info'!$D$2:$D3446, 0)),if(G429='Room Info'!$E$1, INDEX('Room Info'!$A$2:$A3446, MATCH(B429,'Room Info'!$E$2:$E3446, 0)),if(G429='Room Info'!$F$1, INDEX('Room Info'!$A$2:$A3446, MATCH(B429,'Room Info'!$F$2:$F3446, 0)),if(G429='Room Info'!$H$1, INDEX('Room Info'!$A$2:$A3446, MATCH(B429,'Room Info'!$H$2:$H3446, 0)),if(G429='Room Info'!$G$1, INDEX('Room Info'!$A$2:$A3446, MATCH(B429,'Room Info'!$G$2:$G3446, 0)))))))))</f>
        <v>Freedoom</v>
      </c>
      <c r="B429" s="50" t="s">
        <v>159</v>
      </c>
      <c r="C429" s="51">
        <v>44551.0</v>
      </c>
      <c r="D429" s="51">
        <v>44592.0</v>
      </c>
      <c r="E429" s="52">
        <v>44562.0</v>
      </c>
      <c r="F429" s="53" t="s">
        <v>12</v>
      </c>
      <c r="G429" s="59" t="s">
        <v>9</v>
      </c>
      <c r="H429" s="54" t="s">
        <v>79</v>
      </c>
      <c r="I429" s="54" t="s">
        <v>7</v>
      </c>
      <c r="J429" s="55">
        <v>50.0</v>
      </c>
      <c r="K429" s="56">
        <v>1.0</v>
      </c>
      <c r="L429" s="57">
        <v>50.0</v>
      </c>
      <c r="M429" s="58">
        <v>0.0</v>
      </c>
      <c r="N429" s="33">
        <f t="shared" si="13"/>
        <v>50</v>
      </c>
      <c r="O429" s="59">
        <v>-335.0</v>
      </c>
      <c r="P429" s="34">
        <f t="shared" si="14"/>
        <v>-335</v>
      </c>
      <c r="Q429" s="60"/>
      <c r="R429" s="36">
        <f t="shared" si="45"/>
        <v>0</v>
      </c>
      <c r="S429" s="61">
        <v>-35.0</v>
      </c>
      <c r="T429" s="37">
        <f t="shared" si="46"/>
        <v>15</v>
      </c>
      <c r="U429" s="62">
        <v>1.0</v>
      </c>
      <c r="V429" s="63"/>
      <c r="W429" s="63"/>
      <c r="X429" s="35">
        <f t="shared" si="64"/>
        <v>0.35</v>
      </c>
      <c r="Y429" s="35">
        <f t="shared" si="63"/>
        <v>0</v>
      </c>
      <c r="Z429" s="64">
        <v>42.0</v>
      </c>
      <c r="AA429" s="65">
        <v>9.0</v>
      </c>
      <c r="AB429" s="41">
        <f t="shared" si="49"/>
        <v>0</v>
      </c>
      <c r="AC429" s="42" t="b">
        <v>1</v>
      </c>
      <c r="AD429" s="42" t="s">
        <v>138</v>
      </c>
      <c r="AE429" s="42" t="s">
        <v>138</v>
      </c>
      <c r="AF429" s="42" t="str">
        <f t="array" ref="AF429">INDEX('Deal Info'!D:D, MATCH(A429,'Deal Info'!A:A, 0))</f>
        <v>DoEVold</v>
      </c>
      <c r="AG429" s="43" t="str">
        <f t="array" ref="AG429">INDEX('Deal Info'!G:G, MATCH(A429,'Deal Info'!A:A, 0))</f>
        <v>None</v>
      </c>
    </row>
    <row r="430" hidden="1">
      <c r="A430" s="23" t="str">
        <f t="array" ref="A430">if(G430='Room Info'!$B$1, INDEX('Room Info'!$A$2:$A3446, MATCH(B430,'Room Info'!$B$2:$B3446, 0)),if(G430='Room Info'!$C$1, INDEX('Room Info'!$A$2:$A3446, MATCH(B430,'Room Info'!$C$2:$C3446, 0)),if(G430='Room Info'!$D$1, INDEX('Room Info'!$A$2:$A3446, MATCH(B430,'Room Info'!$D$2:$D3446, 0)),if(G430='Room Info'!$E$1, INDEX('Room Info'!$A$2:$A3446, MATCH(B430,'Room Info'!$E$2:$E3446, 0)),if(G430='Room Info'!$F$1, INDEX('Room Info'!$A$2:$A3446, MATCH(B430,'Room Info'!$F$2:$F3446, 0)),if(G430='Room Info'!$H$1, INDEX('Room Info'!$A$2:$A3446, MATCH(B430,'Room Info'!$H$2:$H3446, 0)),if(G430='Room Info'!$G$1, INDEX('Room Info'!$A$2:$A3446, MATCH(B430,'Room Info'!$G$2:$G3446, 0)))))))))</f>
        <v>Mackevgen</v>
      </c>
      <c r="B430" s="50" t="s">
        <v>171</v>
      </c>
      <c r="C430" s="82">
        <v>44805.0</v>
      </c>
      <c r="D430" s="82">
        <v>44834.0</v>
      </c>
      <c r="E430" s="52">
        <v>44805.0</v>
      </c>
      <c r="F430" s="53" t="s">
        <v>8</v>
      </c>
      <c r="G430" s="50" t="s">
        <v>9</v>
      </c>
      <c r="H430" s="54" t="s">
        <v>78</v>
      </c>
      <c r="I430" s="54" t="s">
        <v>7</v>
      </c>
      <c r="J430" s="79">
        <v>50.0</v>
      </c>
      <c r="K430" s="80">
        <v>1197.0</v>
      </c>
      <c r="L430" s="77">
        <v>50.0</v>
      </c>
      <c r="M430" s="81">
        <v>103.0</v>
      </c>
      <c r="N430" s="33">
        <f t="shared" si="13"/>
        <v>59850</v>
      </c>
      <c r="O430" s="50">
        <v>104934.0</v>
      </c>
      <c r="P430" s="34">
        <f t="shared" si="14"/>
        <v>87.6641604</v>
      </c>
      <c r="Q430" s="60"/>
      <c r="R430" s="36">
        <f t="shared" si="45"/>
        <v>103</v>
      </c>
      <c r="S430" s="78">
        <v>4665.0</v>
      </c>
      <c r="T430" s="37">
        <f t="shared" si="46"/>
        <v>4768</v>
      </c>
      <c r="U430" s="62">
        <v>1.0</v>
      </c>
      <c r="V430" s="63"/>
      <c r="W430" s="63"/>
      <c r="X430" s="83">
        <v>0.12</v>
      </c>
      <c r="Y430" s="35">
        <f t="shared" ref="Y430:Y432" si="65">if(AG430="None",0,if(AG430="Fix5",0.05, if(AG430="Fix6.25",0.0625,if(AG430="Fix3.75",0.0375,if(AG430="Fix10",0.1,if(AG430="Fix3",0.03,0))))))</f>
        <v>0.1</v>
      </c>
      <c r="Z430" s="40">
        <f t="shared" ref="Z430:Z440" si="66">T430-AA430-AB430</f>
        <v>3719.2</v>
      </c>
      <c r="AA430" s="65">
        <v>572.0</v>
      </c>
      <c r="AB430" s="41">
        <f t="shared" si="49"/>
        <v>476.8</v>
      </c>
      <c r="AC430" s="42" t="b">
        <v>1</v>
      </c>
      <c r="AD430" s="42" t="s">
        <v>138</v>
      </c>
      <c r="AE430" s="42" t="s">
        <v>138</v>
      </c>
      <c r="AF430" s="42" t="str">
        <f t="array" ref="AF430">INDEX('Deal Info'!D:D, MATCH(A430,'Deal Info'!A:A, 0))</f>
        <v>DoEV</v>
      </c>
      <c r="AG430" s="43" t="str">
        <f t="array" ref="AG430">INDEX('Deal Info'!G:G, MATCH(A430,'Deal Info'!A:A, 0))</f>
        <v>Fix10</v>
      </c>
    </row>
    <row r="431" hidden="1">
      <c r="A431" s="23" t="s">
        <v>154</v>
      </c>
      <c r="B431" s="50" t="s">
        <v>155</v>
      </c>
      <c r="C431" s="51">
        <v>44698.0</v>
      </c>
      <c r="D431" s="51">
        <v>44712.0</v>
      </c>
      <c r="E431" s="52">
        <v>44682.0</v>
      </c>
      <c r="F431" s="53" t="s">
        <v>8</v>
      </c>
      <c r="G431" s="59" t="s">
        <v>9</v>
      </c>
      <c r="H431" s="54" t="s">
        <v>78</v>
      </c>
      <c r="I431" s="54" t="s">
        <v>7</v>
      </c>
      <c r="J431" s="55">
        <v>50.0</v>
      </c>
      <c r="K431" s="56">
        <v>850.0</v>
      </c>
      <c r="L431" s="57">
        <v>-1735.0</v>
      </c>
      <c r="M431" s="58">
        <v>766.0</v>
      </c>
      <c r="N431" s="33">
        <f t="shared" si="13"/>
        <v>42500</v>
      </c>
      <c r="O431" s="59">
        <v>43413.0</v>
      </c>
      <c r="P431" s="34">
        <f t="shared" si="14"/>
        <v>51.07411765</v>
      </c>
      <c r="Q431" s="60"/>
      <c r="R431" s="36">
        <f t="shared" si="45"/>
        <v>766</v>
      </c>
      <c r="S431" s="61">
        <v>39.0</v>
      </c>
      <c r="T431" s="37">
        <f t="shared" si="46"/>
        <v>805</v>
      </c>
      <c r="U431" s="62">
        <v>1.07</v>
      </c>
      <c r="V431" s="63"/>
      <c r="W431" s="63"/>
      <c r="X431" s="83">
        <v>0.25</v>
      </c>
      <c r="Y431" s="35">
        <f t="shared" si="65"/>
        <v>0</v>
      </c>
      <c r="Z431" s="40">
        <f t="shared" si="66"/>
        <v>603.0675</v>
      </c>
      <c r="AA431" s="34">
        <f t="shared" ref="AA431:AA438" si="67">if(AD431="EUR",((T431-R431)*X431)*U431+(R431*X431),(T431*X431))</f>
        <v>201.9325</v>
      </c>
      <c r="AB431" s="41">
        <f t="shared" si="49"/>
        <v>0</v>
      </c>
      <c r="AC431" s="42" t="b">
        <v>1</v>
      </c>
      <c r="AD431" s="66" t="s">
        <v>140</v>
      </c>
      <c r="AE431" s="66"/>
      <c r="AF431" s="42" t="str">
        <f t="array" ref="AF431">INDEX('Deal Info'!D:D, MATCH(A431,'Deal Info'!A:A, 0))</f>
        <v>DoEVold</v>
      </c>
      <c r="AG431" s="43" t="str">
        <f t="array" ref="AG431">INDEX('Deal Info'!G:G, MATCH(A431,'Deal Info'!A:A, 0))</f>
        <v>None</v>
      </c>
    </row>
    <row r="432" hidden="1">
      <c r="A432" s="23" t="s">
        <v>154</v>
      </c>
      <c r="B432" s="50" t="s">
        <v>155</v>
      </c>
      <c r="C432" s="104">
        <v>44713.0</v>
      </c>
      <c r="D432" s="104">
        <v>44742.0</v>
      </c>
      <c r="E432" s="52">
        <v>44713.0</v>
      </c>
      <c r="F432" s="50" t="s">
        <v>8</v>
      </c>
      <c r="G432" s="59" t="s">
        <v>9</v>
      </c>
      <c r="H432" s="54" t="s">
        <v>78</v>
      </c>
      <c r="I432" s="54" t="s">
        <v>7</v>
      </c>
      <c r="J432" s="55">
        <v>50.0</v>
      </c>
      <c r="K432" s="56">
        <v>401.0</v>
      </c>
      <c r="L432" s="57">
        <v>-2300.0</v>
      </c>
      <c r="M432" s="58">
        <v>475.0</v>
      </c>
      <c r="N432" s="33">
        <f t="shared" si="13"/>
        <v>20050</v>
      </c>
      <c r="O432" s="59">
        <v>9157.0</v>
      </c>
      <c r="P432" s="34">
        <f t="shared" si="14"/>
        <v>22.83541147</v>
      </c>
      <c r="Q432" s="60"/>
      <c r="R432" s="36">
        <f t="shared" si="45"/>
        <v>475</v>
      </c>
      <c r="S432" s="61">
        <v>-1075.0</v>
      </c>
      <c r="T432" s="37">
        <f t="shared" si="46"/>
        <v>-600</v>
      </c>
      <c r="U432" s="62">
        <v>1.021</v>
      </c>
      <c r="V432" s="63"/>
      <c r="W432" s="63"/>
      <c r="X432" s="83">
        <v>0.25</v>
      </c>
      <c r="Y432" s="35">
        <f t="shared" si="65"/>
        <v>0</v>
      </c>
      <c r="Z432" s="40">
        <f t="shared" si="66"/>
        <v>-444.35625</v>
      </c>
      <c r="AA432" s="34">
        <f t="shared" si="67"/>
        <v>-155.64375</v>
      </c>
      <c r="AB432" s="41">
        <f t="shared" si="49"/>
        <v>0</v>
      </c>
      <c r="AC432" s="42" t="b">
        <v>1</v>
      </c>
      <c r="AD432" s="66" t="s">
        <v>140</v>
      </c>
      <c r="AE432" s="66"/>
      <c r="AF432" s="42" t="str">
        <f t="array" ref="AF432">INDEX('Deal Info'!D:D, MATCH(A432,'Deal Info'!A:A, 0))</f>
        <v>DoEVold</v>
      </c>
      <c r="AG432" s="43" t="str">
        <f t="array" ref="AG432">INDEX('Deal Info'!G:G, MATCH(A432,'Deal Info'!A:A, 0))</f>
        <v>None</v>
      </c>
    </row>
    <row r="433" hidden="1">
      <c r="A433" s="23" t="str">
        <f t="array" ref="A433">if(G433='Room Info'!$B$1, INDEX('Room Info'!$A$2:$A3446, MATCH(B433,'Room Info'!$B$2:$B3446, 0)),if(G433='Room Info'!$C$1, INDEX('Room Info'!$A$2:$A3446, MATCH(B433,'Room Info'!$C$2:$C3446, 0)),if(G433='Room Info'!$D$1, INDEX('Room Info'!$A$2:$A3446, MATCH(B433,'Room Info'!$D$2:$D3446, 0)),if(G433='Room Info'!$E$1, INDEX('Room Info'!$A$2:$A3446, MATCH(B433,'Room Info'!$E$2:$E3446, 0)),if(G433='Room Info'!$F$1, INDEX('Room Info'!$A$2:$A3446, MATCH(B433,'Room Info'!$F$2:$F3446, 0)),if(G433='Room Info'!$H$1, INDEX('Room Info'!$A$2:$A3446, MATCH(B433,'Room Info'!$H$2:$H3446, 0)),if(G433='Room Info'!$G$1, INDEX('Room Info'!$A$2:$A3446, MATCH(B433,'Room Info'!$G$2:$G3446, 0)))))))))</f>
        <v>Lo4io</v>
      </c>
      <c r="B433" s="50" t="s">
        <v>158</v>
      </c>
      <c r="C433" s="97">
        <v>44825.0</v>
      </c>
      <c r="D433" s="97">
        <v>44854.0</v>
      </c>
      <c r="E433" s="52">
        <v>44835.0</v>
      </c>
      <c r="F433" s="53" t="s">
        <v>4</v>
      </c>
      <c r="G433" s="50" t="s">
        <v>9</v>
      </c>
      <c r="H433" s="54" t="s">
        <v>77</v>
      </c>
      <c r="I433" s="54" t="s">
        <v>21</v>
      </c>
      <c r="J433" s="75">
        <v>50.0</v>
      </c>
      <c r="K433" s="76">
        <v>617.0</v>
      </c>
      <c r="L433" s="77">
        <v>-1856.0</v>
      </c>
      <c r="M433" s="81">
        <v>748.0</v>
      </c>
      <c r="N433" s="33">
        <f t="shared" si="13"/>
        <v>30850</v>
      </c>
      <c r="O433" s="50">
        <v>39358.0</v>
      </c>
      <c r="P433" s="34">
        <f t="shared" si="14"/>
        <v>63.78930308</v>
      </c>
      <c r="Q433" s="60"/>
      <c r="R433" s="36">
        <f t="shared" si="45"/>
        <v>748</v>
      </c>
      <c r="S433" s="78">
        <v>923.0</v>
      </c>
      <c r="T433" s="37">
        <f t="shared" si="46"/>
        <v>1671</v>
      </c>
      <c r="U433" s="62">
        <v>1.0</v>
      </c>
      <c r="V433" s="74">
        <v>46.54329608938548</v>
      </c>
      <c r="W433" s="74">
        <v>67.52852213053262</v>
      </c>
      <c r="X433" s="35">
        <f t="shared" ref="X433:X435" si="68">IF(AF433="DoEV",IF(AND(V433&lt;20,W433&lt;55),0.3,0)+IF(AND(V433&lt;20,W433&gt;=55,W433&lt;105),0.23,0)+IF(AND(V433&lt;20,W433&gt;=105),0.17,0)+IF(AND(V433&gt;=20,V433&lt;40,W433&lt;45),0.3,0)+IF(AND(V433&gt;=20,V433&lt;40,W433&gt;=45,W433&lt;95),0.23,0)+IF(AND(V433&gt;=20,V433&lt;40,W433&gt;=95),0.17,0)+IF(AND(V433&gt;=40,V433&lt;75,W433&lt;35),0.3,0)+IF(AND(V433&gt;=40,V433&lt;75,W433&gt;=35,W433&lt;75),0.23,0)+IF(AND(V433&gt;=40,V433&lt;75,W433&gt;=75,W433&lt;120),0.17,0)+IF(AND(V433&gt;=40,V433&lt;75,W433&gt;=120),0.12,0)+IF(AND(V433&gt;=75,V433&lt;175,W433&lt;35),0.3,0)+IF(AND(V433&gt;=75,V433&lt;=175,W433&gt;=35,W433&lt;65),0.23,0)+IF(AND(V433&gt;=75,V433&lt;=175,W433&gt;=65,W433&lt;110),0.17,0)+IF(AND(V433&gt;=75,V433&lt;=175,W433&gt;=110),0.12,0)+IF(AND(V433&gt;175,W433&lt;25),0.3,0)+IF(AND(V433&gt;175,W433&gt;=25,W433&lt;55),0.23,0)+IF(AND(V433&gt;175,W433&gt;=55,W433&lt;95),0.17,0)+IF(AND(V433&gt;175,W433&gt;=95),0.12,0),
IF(AF433="Fix15",0.15,
IF(AF433="Fix11.25",0.1125,
IF(AF433="Fix10",0.1,
IF(AF433="Fix9",0.09,
IF(AF433="DoEV2017",IF(AND(W433&lt;74),0.2,0)+IF(AND(W433&gt;=74),0.17,0),
IF(AF433="SF",IF(AND(V433&lt;20,W433&lt;89),0.3,0)+IF(AND(V433&lt;20,W433&gt;=89),0.25,0)+IF(AND(V433&gt;=20,V433&lt;40,W433&lt;74),0.3,0)+IF(AND(V433&gt;=20,V433&lt;40,W433&gt;=75),0.22,0)+IF(AND(V433&gt;=40,V433&lt;75,W433&lt;75),0.26,0)+IF(AND(V433&gt;=40,V433&lt;75,W433&gt;=75),0.22,0)+IF(V433&gt;=75,0.22,0),
IF(AF433="DoEVold",IF(AND(V433&lt;40,W433&lt;35),0.35,0)+IF(AND(V433&lt;40,W433&gt;=35,W433&lt;75),0.25,0)+IF(AND(V433&lt;40,W433&gt;=75),0.17,0)+IF(AND(V433&gt;=40,V433&lt;75,W433&lt;25),0.35,0)+IF(AND(V433&gt;=40,V433&lt;75,W433&gt;=25,W433&lt;65),0.25,0)+IF(AND(V433&gt;=40,V433&lt;75,W433&gt;=65,W433&lt;100),0.17,0)+IF(AND(V433&gt;=40,V433&lt;75,W433&gt;=100),0.1,0)+IF(AND(V433&gt;=75,W433&lt;25),0.35,0)+IF(AND(V433&gt;=75,W433&gt;=25,W433&lt;60),0.25,0)+IF(AND(V433&gt;=75,W433&gt;=60,W433&lt;95),0.17,0)+IF(AND(V433&gt;=75,W433&gt;=95),0.1,0),
IF(AF433="DoEVold15",IF(AND(V433&lt;=40,W433&lt;35),0.35,0)+IF(AND(V433&lt;=40,W433&gt;=35,W433&lt;75),0.25,0)+IF(AND(V433&lt;=40,W433&gt;=75,W433&lt;120),0.17,0)+IF(AND(V433&lt;=40,W433&gt;=120),0.15,0)+IF(AND(V433&gt;40,V433&lt;75,W433&lt;25),0.35,0)+IF(AND(V433&gt;=40,V433&lt;75,W433&gt;=25,W433&lt;65),0.25,0)+IF(AND(V433&gt;=40,V433&lt;75,W433&gt;=65,W433&lt;100),0.17,0)+IF(AND(V433&gt;=40,V433&lt;75,W433&gt;=100),0.1,0)+IF(AND(V433&gt;=75,W433&lt;25),0.35,0)+IF(AND(V433&gt;=75,W433&gt;=25,W433&lt;60),0.25,0)+IF(AND(V433&gt;=75,W433&gt;=60,W433&lt;95),0.17,0)+IF(AND(V433&gt;=75,W433&gt;=95),0.1,0),
IF(AF433="DoEVba",IF(AND(V433&lt;20,W433&lt;105),0.2,0)+IF(AND(V433&lt;20,W433&gt;=105),0.15,0)+IF(AND(V433&gt;=20,V433&lt;40,W433&lt;95),0.2,0)+IF(AND(V433&gt;=20,V433&lt;40,W433&gt;=95,W433&lt;150),0.15,0)+IF(AND(V433&gt;=20,V433&lt;40,W433&gt;=150),0.12,0)+IF(AND(V433&gt;=40,V433&lt;75,W433&lt;75),0.2,0)+IF(AND(V433&gt;=40,V433&lt;75,W433&gt;=75,W433&lt;120),0.15,0)+IF(AND(V433&gt;=40,V433&lt;75,W433&gt;=120),0.12,0)+IF(AND(V433&gt;=75,V433&lt;175,W433&lt;65),0.2,0)+IF(AND(V433&gt;=75,V433&lt;175,W433&gt;=65,W433&lt;110),0.15,0)+IF(AND(V433&gt;=75,V433&lt;175,W433&gt;=110),0.12,0)+IF(AND(V433&gt;=175,W433&lt;55),0.2,0)+IF(AND(V433&gt;=175,W433&gt;=55,W433&lt;95),0.15,0)+IF(AND(V433&gt;=175,W433&gt;=95),0.12,0),
IF(AF433="DoEVku",IF(AND(V433&lt;20,W433&lt;55),0.23,0)+IF(AND(V433&lt;20,W433&gt;=55,W433&lt;105),0.2,0)+IF(AND(V433&lt;20,W433&gt;=105),0.17,0)+IF(AND(V433&gt;=20,V433&lt;40,W433&lt;45),0.23,0)+IF(AND(V433&gt;=20,V433&lt;40,W433&gt;=45,W433&lt;95),0.2,0)+IF(AND(V433&gt;=20,V433&lt;40,W433&gt;=95,W433&lt;=150),0.17,0)+IF(AND(V433&gt;=20,V433&lt;40,W433&gt;=150),0.12,0)+IF(AND(V433&gt;=40,V433&lt;75,W433&lt;35),0.23,0)+IF(AND(V433&gt;=40,V433&lt;75,W433&gt;=35,W433&lt;75),0.2,0)+IF(AND(V433&gt;=40,V433&lt;75,W433&gt;=75,W433&lt;120),0.17,0)+IF(AND(V433&gt;=40,V433&lt;75,W433&gt;=120),0.12,0)+IF(AND(V433&gt;=75,V433&lt;175,W433&lt;35),0.23,0)+IF(AND(V433&gt;=75,V433&lt;=175,W433&gt;=35,W433&lt;65),0.2,0)+IF(AND(V433&gt;=75,V433&lt;=175,W433&gt;=65,W433&lt;110),0.17,0)+IF(AND(V433&gt;=75,V433&lt;=175,W433&gt;=110),0.12,0)+IF(AND(V433&gt;175,W433&lt;25),0.23,0)+IF(AND(V433&gt;175,W433&gt;=25,W433&lt;55),0.2,0)+IF(AND(V433&gt;175,W433&gt;=55,W433&lt;95),0.17,0)+IF(AND(V433&gt;175,W433&gt;=95),0.12,0),
IF(AF433="DoEVs1",IF(AND(V433&lt;20,W433&lt;55),0.3,0)+IF(AND(V433&lt;20,W433&gt;=55,W433&lt;105),0.23,0)+IF(AND(V433&lt;20,W433&gt;=105),0.17,0)+IF(AND(V433&gt;=20,V433&lt;40,W433&lt;45),0.3,0)+IF(AND(V433&gt;=20,V433&lt;40,W433&gt;=45,W433&lt;95),0.23,0)+IF(AND(V433&gt;=20,V433&lt;40,W433&gt;=95,W433&lt;=150),0.17,0)+IF(AND(V433&gt;=20,V433&lt;40,W433&gt;=150),0.12,0)+IF(AND(V433&gt;=40,V433&lt;75,W433&lt;35),0.3,0)+IF(AND(V433&gt;=40,V433&lt;75,W433&gt;=35,W433&lt;75),0.23,0)+IF(AND(V433&gt;=40,V433&lt;75,W433&gt;=75,W433&lt;120),0.17,0)+IF(AND(V433&gt;=40,V433&lt;75,W433&gt;=120),0.12,0)+IF(AND(V433&gt;=75,V433&lt;175,W433&lt;35),0.3,0)+IF(AND(V433&gt;=75,V433&lt;=175,W433&gt;=35,W433&lt;65),0.23,0)+IF(AND(V433&gt;=75,V433&lt;=175,W433&gt;=65,W433&lt;110),0.17,0)+IF(AND(V433&gt;=75,V433&lt;=175,W433&gt;=110),0.12,0)+IF(AND(V433&gt;175,W433&lt;25),0.3,0)+IF(AND(V433&gt;175,W433&gt;=25,W433&lt;55),0.23,0)+IF(AND(V433&gt;175,W433&gt;=55,W433&lt;95),0.17,0)+IF(AND(V433&gt;175,W433&gt;=95),0.12,0),
IF(AF433="DoEVsu",IF(AND(V433&lt;20,W433&lt;55),0.3,0)+IF(AND(V433&lt;20,W433&gt;=55,W433&lt;105),0.23,0)+IF(AND(V433&lt;20,W433&gt;=105),0.17,0)+IF(AND(V433&gt;=20,V433&lt;40,W433&lt;45),0.3,0)+IF(AND(V433&gt;=20,V433&lt;40,W433&gt;=45,W433&lt;95),0.23,0)+IF(AND(V433&gt;=20,V433&lt;40,W433&gt;=95,W433&lt;=250),0.17,0)+IF(AND(V433&gt;=20,V433&lt;40,W433&gt;=250),0.12,0)+IF(AND(V433&gt;=40,V433&lt;75,W433&lt;35),0.3,0)+IF(AND(V433&gt;=40,V433&lt;75,W433&gt;=35,W433&lt;75),0.23,0)+IF(AND(V433&gt;=40,V433&lt;75,W433&gt;=75,W433&lt;120),0.17,0)+IF(AND(V433&gt;=40,V433&lt;75,W433&gt;=120),0.12,0)+IF(AND(V433&gt;=75,V433&lt;175,W433&lt;35),0.3,0)+IF(AND(V433&gt;=75,V433&lt;=175,W433&gt;=35,W433&lt;65),0.23,0)+IF(AND(V433&gt;=75,V433&lt;=175,W433&gt;=65,W433&lt;110),0.17,0)+IF(AND(V433&gt;=75,V433&lt;=175,W433&gt;=110),0.12,0)+IF(AND(V433&gt;175,W433&lt;25),0.3,0)+IF(AND(V433&gt;175,W433&gt;=25,W433&lt;55),0.23,0)+IF(AND(V433&gt;175,W433&gt;=55,W433&lt;95),0.17,0)+IF(AND(V433&gt;175,W433&gt;=95),0.12,0),
IF(AF433="DoEVni",IF(AND(V433&lt;20,W433&lt;55),0.3,0)+IF(AND(V433&lt;20,W433&gt;=55,W433&lt;105),0.23,0)+IF(AND(V433&lt;20,W433&gt;=105),0.17,0)+IF(AND(V433&gt;=20,V433&lt;40,W433&lt;45),0.3,0)+IF(AND(V433&gt;=20,V433&lt;40,W433&gt;=45,W433&lt;95),0.23,0)+IF(AND(V433&gt;=20,V433&lt;40,W433&gt;=95,W433&lt;=200),0.17,0)+IF(AND(V433&gt;=20,V433&lt;40,W433&gt;=200),0.12,0)+IF(AND(V433&gt;=40,V433&lt;75,W433&lt;35),0.3,0)+IF(AND(V433&gt;=40,V433&lt;75,W433&gt;=35,W433&lt;75),0.23,0)+IF(AND(V433&gt;=40,V433&lt;75,W433&gt;=75,W433&lt;120),0.17,0)+IF(AND(V433&gt;=40,V433&lt;75,W433&gt;=120),0.12,0)+IF(AND(V433&gt;=75,V433&lt;175,W433&lt;35),0.3,0)+IF(AND(V433&gt;=75,V433&lt;=175,W433&gt;=35,W433&lt;65),0.23,0)+IF(AND(V433&gt;=75,V433&lt;=175,W433&gt;=65,W433&lt;110),0.17,0)+IF(AND(V433&gt;=75,V433&lt;=175,W433&gt;=110),0.12,0)+IF(AND(V433&gt;175,W433&lt;25),0.3,0)+IF(AND(V433&gt;175,W433&gt;=25,W433&lt;55),0.23,0)+IF(AND(V433&gt;175,W433&gt;=55,W433&lt;95),0.17,0)+IF(AND(V433&gt;175,W433&gt;=95),0.12,0),
IF(AF433="DoEVLo",IF(AND(V433&lt;20,W433&lt;55),0.25,0)+IF(AND(V433&lt;20,W433&gt;=55,W433&lt;105),0.2,0)+IF(AND(V433&lt;20,W433&gt;=105),0.15,0)+IF(AND(V433&gt;=20,V433&lt;40,W433&lt;45),0.25,0)+IF(AND(V433&gt;=20,V433&lt;40,W433&gt;=45,W433&lt;95),0.2,0)+IF(AND(V433&gt;=20,V433&lt;40,W433&gt;=95),0.15,0)+IF(AND(V433&gt;=40,V433&lt;75,W433&lt;35),0.25,0)+IF(AND(V433&gt;=40,V433&lt;75,W433&gt;=35,W433&lt;75),0.2,0)+IF(AND(V433&gt;=40,V433&lt;75,W433&gt;=75,W433&lt;120),0.15,0)+IF(AND(V433&gt;=40,V433&lt;75,W433&gt;=120),0.1,0)+IF(AND(V433&gt;=75,V433&lt;175,W433&lt;35),0.25,0)+IF(AND(V433&gt;=75,V433&lt;=175,W433&gt;=35,W433&lt;65),0.2,0)+IF(AND(V433&gt;=75,V433&lt;=175,W433&gt;=65,W433&lt;110),0.15,0)+IF(AND(V433&gt;=75,V433&lt;=175,W433&gt;=110),0.1,0)+IF(AND(V433&gt;175,W433&lt;25),0.25,0)+IF(AND(V433&gt;175,W433&gt;=25,W433&lt;55),0.2,0)+IF(AND(V433&gt;175,W433&gt;=55,W433&lt;95),0.15,0)+IF(AND(V433&gt;175,W433&gt;=95),0.1,0))))))))))))))))</f>
        <v>0.2</v>
      </c>
      <c r="Y433" s="35">
        <f t="shared" ref="Y433:Y435" si="69">if(AG433="None",0,if(AG433="Fix5",0.05,if(AG433="Fix3.75",0.0375,if(AG433="Fix10",0.1,if(AG433="Fix3",0.03,0)))))</f>
        <v>0</v>
      </c>
      <c r="Z433" s="40">
        <f t="shared" si="66"/>
        <v>1336.8</v>
      </c>
      <c r="AA433" s="34">
        <f t="shared" si="67"/>
        <v>334.2</v>
      </c>
      <c r="AB433" s="41">
        <f t="shared" si="49"/>
        <v>0</v>
      </c>
      <c r="AC433" s="42" t="b">
        <v>1</v>
      </c>
      <c r="AD433" s="42" t="s">
        <v>138</v>
      </c>
      <c r="AE433" s="42" t="s">
        <v>138</v>
      </c>
      <c r="AF433" s="42" t="str">
        <f t="array" ref="AF433">INDEX('Deal Info'!D:D, MATCH(A433,'Deal Info'!A:A, 0))</f>
        <v>DoEVLo</v>
      </c>
      <c r="AG433" s="43" t="str">
        <f t="array" ref="AG433">INDEX('Deal Info'!G:G, MATCH(A433,'Deal Info'!A:A, 0))</f>
        <v>None</v>
      </c>
    </row>
    <row r="434" hidden="1">
      <c r="A434" s="23" t="str">
        <f t="array" ref="A434">if(G434='Room Info'!$B$1, INDEX('Room Info'!$A$2:$A3446, MATCH(B434,'Room Info'!$B$2:$B3446, 0)),if(G434='Room Info'!$C$1, INDEX('Room Info'!$A$2:$A3446, MATCH(B434,'Room Info'!$C$2:$C3446, 0)),if(G434='Room Info'!$D$1, INDEX('Room Info'!$A$2:$A3446, MATCH(B434,'Room Info'!$D$2:$D3446, 0)),if(G434='Room Info'!$E$1, INDEX('Room Info'!$A$2:$A3446, MATCH(B434,'Room Info'!$E$2:$E3446, 0)),if(G434='Room Info'!$F$1, INDEX('Room Info'!$A$2:$A3446, MATCH(B434,'Room Info'!$F$2:$F3446, 0)),if(G434='Room Info'!$H$1, INDEX('Room Info'!$A$2:$A3446, MATCH(B434,'Room Info'!$H$2:$H3446, 0)),if(G434='Room Info'!$G$1, INDEX('Room Info'!$A$2:$A3446, MATCH(B434,'Room Info'!$G$2:$G3446, 0)))))))))</f>
        <v>Lo4io</v>
      </c>
      <c r="B434" s="59" t="s">
        <v>158</v>
      </c>
      <c r="C434" s="97">
        <v>44886.0</v>
      </c>
      <c r="D434" s="97">
        <v>44915.0</v>
      </c>
      <c r="E434" s="52">
        <v>44896.0</v>
      </c>
      <c r="F434" s="50" t="s">
        <v>4</v>
      </c>
      <c r="G434" s="59" t="s">
        <v>9</v>
      </c>
      <c r="H434" s="54" t="s">
        <v>77</v>
      </c>
      <c r="I434" s="54" t="s">
        <v>21</v>
      </c>
      <c r="J434" s="55">
        <v>50.0</v>
      </c>
      <c r="K434" s="56">
        <v>60.0</v>
      </c>
      <c r="L434" s="57">
        <v>2122.0</v>
      </c>
      <c r="M434" s="58">
        <v>0.0</v>
      </c>
      <c r="N434" s="33">
        <f t="shared" si="13"/>
        <v>3000</v>
      </c>
      <c r="O434" s="59">
        <v>8763.0</v>
      </c>
      <c r="P434" s="34">
        <f t="shared" si="14"/>
        <v>146.05</v>
      </c>
      <c r="Q434" s="60"/>
      <c r="R434" s="36">
        <f t="shared" si="45"/>
        <v>0</v>
      </c>
      <c r="S434" s="61">
        <v>538.0</v>
      </c>
      <c r="T434" s="37">
        <f t="shared" si="46"/>
        <v>538</v>
      </c>
      <c r="U434" s="62">
        <v>1.061</v>
      </c>
      <c r="V434" s="74">
        <v>59.40509231326173</v>
      </c>
      <c r="W434" s="74">
        <v>25.570198460257167</v>
      </c>
      <c r="X434" s="35">
        <f t="shared" si="68"/>
        <v>0.25</v>
      </c>
      <c r="Y434" s="35">
        <f t="shared" si="69"/>
        <v>0</v>
      </c>
      <c r="Z434" s="40">
        <f t="shared" si="66"/>
        <v>395.2955</v>
      </c>
      <c r="AA434" s="34">
        <f t="shared" si="67"/>
        <v>142.7045</v>
      </c>
      <c r="AB434" s="41">
        <f t="shared" si="49"/>
        <v>0</v>
      </c>
      <c r="AC434" s="42" t="b">
        <v>1</v>
      </c>
      <c r="AD434" s="66" t="s">
        <v>140</v>
      </c>
      <c r="AE434" s="66"/>
      <c r="AF434" s="42" t="str">
        <f t="array" ref="AF434">INDEX('Deal Info'!D:D, MATCH(A434,'Deal Info'!A:A, 0))</f>
        <v>DoEVLo</v>
      </c>
      <c r="AG434" s="43" t="str">
        <f t="array" ref="AG434">INDEX('Deal Info'!G:G, MATCH(A434,'Deal Info'!A:A, 0))</f>
        <v>None</v>
      </c>
    </row>
    <row r="435" hidden="1">
      <c r="A435" s="23" t="str">
        <f t="array" ref="A435">if(G435='Room Info'!$B$1, INDEX('Room Info'!$A$2:$A3446, MATCH(B435,'Room Info'!$B$2:$B3446, 0)),if(G435='Room Info'!$C$1, INDEX('Room Info'!$A$2:$A3446, MATCH(B435,'Room Info'!$C$2:$C3446, 0)),if(G435='Room Info'!$D$1, INDEX('Room Info'!$A$2:$A3446, MATCH(B435,'Room Info'!$D$2:$D3446, 0)),if(G435='Room Info'!$E$1, INDEX('Room Info'!$A$2:$A3446, MATCH(B435,'Room Info'!$E$2:$E3446, 0)),if(G435='Room Info'!$F$1, INDEX('Room Info'!$A$2:$A3446, MATCH(B435,'Room Info'!$F$2:$F3446, 0)),if(G435='Room Info'!$H$1, INDEX('Room Info'!$A$2:$A3446, MATCH(B435,'Room Info'!$H$2:$H3446, 0)),if(G435='Room Info'!$G$1, INDEX('Room Info'!$A$2:$A3446, MATCH(B435,'Room Info'!$G$2:$G3446, 0)))))))))</f>
        <v>Lo4io</v>
      </c>
      <c r="B435" s="59" t="s">
        <v>158</v>
      </c>
      <c r="C435" s="51">
        <v>44916.0</v>
      </c>
      <c r="D435" s="51">
        <v>44946.0</v>
      </c>
      <c r="E435" s="52">
        <v>44927.0</v>
      </c>
      <c r="F435" s="53" t="s">
        <v>4</v>
      </c>
      <c r="G435" s="50" t="s">
        <v>9</v>
      </c>
      <c r="H435" s="54" t="s">
        <v>77</v>
      </c>
      <c r="I435" s="54" t="s">
        <v>21</v>
      </c>
      <c r="J435" s="55">
        <v>50.0</v>
      </c>
      <c r="K435" s="56">
        <v>1818.0</v>
      </c>
      <c r="L435" s="57">
        <v>0.0</v>
      </c>
      <c r="M435" s="58">
        <v>2149.0</v>
      </c>
      <c r="N435" s="33">
        <f t="shared" si="13"/>
        <v>90900</v>
      </c>
      <c r="O435" s="59">
        <v>93881.0</v>
      </c>
      <c r="P435" s="34">
        <f t="shared" si="14"/>
        <v>51.63971397</v>
      </c>
      <c r="Q435" s="60"/>
      <c r="R435" s="36">
        <f t="shared" si="45"/>
        <v>2149</v>
      </c>
      <c r="S435" s="61">
        <v>887.0</v>
      </c>
      <c r="T435" s="37">
        <f t="shared" si="46"/>
        <v>3036</v>
      </c>
      <c r="U435" s="62">
        <v>1.086</v>
      </c>
      <c r="V435" s="74">
        <v>43.526543878656554</v>
      </c>
      <c r="W435" s="74">
        <v>93.73590541381456</v>
      </c>
      <c r="X435" s="35">
        <f t="shared" si="68"/>
        <v>0.15</v>
      </c>
      <c r="Y435" s="35">
        <f t="shared" si="69"/>
        <v>0</v>
      </c>
      <c r="Z435" s="40">
        <f t="shared" si="66"/>
        <v>2569.1577</v>
      </c>
      <c r="AA435" s="34">
        <f t="shared" si="67"/>
        <v>466.8423</v>
      </c>
      <c r="AB435" s="41">
        <f t="shared" si="49"/>
        <v>0</v>
      </c>
      <c r="AC435" s="42" t="b">
        <v>1</v>
      </c>
      <c r="AD435" s="66" t="s">
        <v>140</v>
      </c>
      <c r="AE435" s="66"/>
      <c r="AF435" s="42" t="str">
        <f t="array" ref="AF435">INDEX('Deal Info'!D:D, MATCH(A435,'Deal Info'!A:A, 0))</f>
        <v>DoEVLo</v>
      </c>
      <c r="AG435" s="43" t="str">
        <f t="array" ref="AG435">INDEX('Deal Info'!G:G, MATCH(A435,'Deal Info'!A:A, 0))</f>
        <v>None</v>
      </c>
    </row>
    <row r="436" hidden="1">
      <c r="A436" s="23" t="str">
        <f t="array" ref="A436">if(G436='Room Info'!$B$1, INDEX('Room Info'!$A$2:$A3446, MATCH(B436,'Room Info'!$B$2:$B3446, 0)),if(G436='Room Info'!$C$1, INDEX('Room Info'!$A$2:$A3446, MATCH(B436,'Room Info'!$C$2:$C3446, 0)),if(G436='Room Info'!$D$1, INDEX('Room Info'!$A$2:$A3446, MATCH(B436,'Room Info'!$D$2:$D3446, 0)),if(G436='Room Info'!$E$1, INDEX('Room Info'!$A$2:$A3446, MATCH(B436,'Room Info'!$E$2:$E3446, 0)),if(G436='Room Info'!$F$1, INDEX('Room Info'!$A$2:$A3446, MATCH(B436,'Room Info'!$F$2:$F3446, 0)),if(G436='Room Info'!$H$1, INDEX('Room Info'!$A$2:$A3446, MATCH(B436,'Room Info'!$H$2:$H3446, 0)),if(G436='Room Info'!$G$1, INDEX('Room Info'!$A$2:$A3446, MATCH(B436,'Room Info'!$G$2:$G3446, 0)))))))))</f>
        <v>Lo4io</v>
      </c>
      <c r="B436" s="50" t="s">
        <v>158</v>
      </c>
      <c r="C436" s="82">
        <v>44825.0</v>
      </c>
      <c r="D436" s="82">
        <v>44854.0</v>
      </c>
      <c r="E436" s="52">
        <v>44835.0</v>
      </c>
      <c r="F436" s="53" t="s">
        <v>4</v>
      </c>
      <c r="G436" s="50" t="s">
        <v>9</v>
      </c>
      <c r="H436" s="54" t="s">
        <v>77</v>
      </c>
      <c r="I436" s="54" t="s">
        <v>7</v>
      </c>
      <c r="J436" s="79">
        <v>50.0</v>
      </c>
      <c r="K436" s="80">
        <v>617.0</v>
      </c>
      <c r="L436" s="77">
        <v>-1856.0</v>
      </c>
      <c r="M436" s="81">
        <v>748.0</v>
      </c>
      <c r="N436" s="33">
        <f t="shared" si="13"/>
        <v>30850</v>
      </c>
      <c r="O436" s="50">
        <v>39358.0</v>
      </c>
      <c r="P436" s="34">
        <f t="shared" si="14"/>
        <v>63.78930308</v>
      </c>
      <c r="Q436" s="60"/>
      <c r="R436" s="36">
        <f t="shared" si="45"/>
        <v>748</v>
      </c>
      <c r="S436" s="78">
        <v>923.0</v>
      </c>
      <c r="T436" s="37">
        <f t="shared" si="46"/>
        <v>1671</v>
      </c>
      <c r="U436" s="62">
        <v>1.0</v>
      </c>
      <c r="V436" s="63"/>
      <c r="W436" s="63"/>
      <c r="X436" s="83">
        <v>0.2</v>
      </c>
      <c r="Y436" s="35">
        <f t="shared" ref="Y436:Y440" si="70">if(AG436="None",0,if(AG436="Fix5",0.05, if(AG436="Fix6.25",0.0625,if(AG436="Fix3.75",0.0375,if(AG436="Fix10",0.1,if(AG436="Fix3",0.03,0))))))</f>
        <v>0</v>
      </c>
      <c r="Z436" s="40">
        <f t="shared" si="66"/>
        <v>1336.8</v>
      </c>
      <c r="AA436" s="34">
        <f t="shared" si="67"/>
        <v>334.2</v>
      </c>
      <c r="AB436" s="41">
        <f t="shared" si="49"/>
        <v>0</v>
      </c>
      <c r="AC436" s="42" t="b">
        <v>1</v>
      </c>
      <c r="AD436" s="42" t="s">
        <v>138</v>
      </c>
      <c r="AE436" s="42" t="s">
        <v>138</v>
      </c>
      <c r="AF436" s="42" t="str">
        <f t="array" ref="AF436">INDEX('Deal Info'!D:D, MATCH(A436,'Deal Info'!A:A, 0))</f>
        <v>DoEVLo</v>
      </c>
      <c r="AG436" s="43" t="str">
        <f t="array" ref="AG436">INDEX('Deal Info'!G:G, MATCH(A436,'Deal Info'!A:A, 0))</f>
        <v>None</v>
      </c>
    </row>
    <row r="437" hidden="1">
      <c r="A437" s="23" t="str">
        <f t="array" ref="A437">if(G437='Room Info'!$B$1, INDEX('Room Info'!$A$2:$A3446, MATCH(B437,'Room Info'!$B$2:$B3446, 0)),if(G437='Room Info'!$C$1, INDEX('Room Info'!$A$2:$A3446, MATCH(B437,'Room Info'!$C$2:$C3446, 0)),if(G437='Room Info'!$D$1, INDEX('Room Info'!$A$2:$A3446, MATCH(B437,'Room Info'!$D$2:$D3446, 0)),if(G437='Room Info'!$E$1, INDEX('Room Info'!$A$2:$A3446, MATCH(B437,'Room Info'!$E$2:$E3446, 0)),if(G437='Room Info'!$F$1, INDEX('Room Info'!$A$2:$A3446, MATCH(B437,'Room Info'!$F$2:$F3446, 0)),if(G437='Room Info'!$H$1, INDEX('Room Info'!$A$2:$A3446, MATCH(B437,'Room Info'!$H$2:$H3446, 0)),if(G437='Room Info'!$G$1, INDEX('Room Info'!$A$2:$A3446, MATCH(B437,'Room Info'!$G$2:$G3446, 0)))))))))</f>
        <v>Lo4io</v>
      </c>
      <c r="B437" s="59" t="s">
        <v>158</v>
      </c>
      <c r="C437" s="51">
        <v>44886.0</v>
      </c>
      <c r="D437" s="51">
        <v>44915.0</v>
      </c>
      <c r="E437" s="52">
        <v>44896.0</v>
      </c>
      <c r="F437" s="50" t="s">
        <v>4</v>
      </c>
      <c r="G437" s="59" t="s">
        <v>9</v>
      </c>
      <c r="H437" s="54" t="s">
        <v>77</v>
      </c>
      <c r="I437" s="54" t="s">
        <v>21</v>
      </c>
      <c r="J437" s="79">
        <v>50.0</v>
      </c>
      <c r="K437" s="80">
        <v>60.0</v>
      </c>
      <c r="L437" s="77">
        <v>2122.0</v>
      </c>
      <c r="M437" s="58">
        <v>0.0</v>
      </c>
      <c r="N437" s="33">
        <f t="shared" si="13"/>
        <v>3000</v>
      </c>
      <c r="O437" s="50">
        <v>8763.0</v>
      </c>
      <c r="P437" s="34">
        <f t="shared" si="14"/>
        <v>146.05</v>
      </c>
      <c r="Q437" s="60"/>
      <c r="R437" s="36">
        <f t="shared" si="45"/>
        <v>0</v>
      </c>
      <c r="S437" s="78">
        <v>538.0</v>
      </c>
      <c r="T437" s="37">
        <f t="shared" si="46"/>
        <v>538</v>
      </c>
      <c r="U437" s="62">
        <v>1.061</v>
      </c>
      <c r="V437" s="63"/>
      <c r="W437" s="63"/>
      <c r="X437" s="83">
        <v>0.25</v>
      </c>
      <c r="Y437" s="35">
        <f t="shared" si="70"/>
        <v>0</v>
      </c>
      <c r="Z437" s="40">
        <f t="shared" si="66"/>
        <v>395.2955</v>
      </c>
      <c r="AA437" s="34">
        <f t="shared" si="67"/>
        <v>142.7045</v>
      </c>
      <c r="AB437" s="41">
        <f t="shared" si="49"/>
        <v>0</v>
      </c>
      <c r="AC437" s="42" t="b">
        <v>1</v>
      </c>
      <c r="AD437" s="50" t="s">
        <v>140</v>
      </c>
      <c r="AE437" s="50"/>
      <c r="AF437" s="42" t="str">
        <f t="array" ref="AF437">INDEX('Deal Info'!D:D, MATCH(A437,'Deal Info'!A:A, 0))</f>
        <v>DoEVLo</v>
      </c>
      <c r="AG437" s="43" t="str">
        <f t="array" ref="AG437">INDEX('Deal Info'!G:G, MATCH(A437,'Deal Info'!A:A, 0))</f>
        <v>None</v>
      </c>
    </row>
    <row r="438" hidden="1">
      <c r="A438" s="23" t="str">
        <f t="array" ref="A438">if(G438='Room Info'!$B$1, INDEX('Room Info'!$A$2:$A3446, MATCH(B438,'Room Info'!$B$2:$B3446, 0)),if(G438='Room Info'!$C$1, INDEX('Room Info'!$A$2:$A3446, MATCH(B438,'Room Info'!$C$2:$C3446, 0)),if(G438='Room Info'!$D$1, INDEX('Room Info'!$A$2:$A3446, MATCH(B438,'Room Info'!$D$2:$D3446, 0)),if(G438='Room Info'!$E$1, INDEX('Room Info'!$A$2:$A3446, MATCH(B438,'Room Info'!$E$2:$E3446, 0)),if(G438='Room Info'!$F$1, INDEX('Room Info'!$A$2:$A3446, MATCH(B438,'Room Info'!$F$2:$F3446, 0)),if(G438='Room Info'!$H$1, INDEX('Room Info'!$A$2:$A3446, MATCH(B438,'Room Info'!$H$2:$H3446, 0)),if(G438='Room Info'!$G$1, INDEX('Room Info'!$A$2:$A3446, MATCH(B438,'Room Info'!$G$2:$G3446, 0)))))))))</f>
        <v>Lo4io</v>
      </c>
      <c r="B438" s="50" t="s">
        <v>158</v>
      </c>
      <c r="C438" s="104">
        <v>44916.0</v>
      </c>
      <c r="D438" s="104">
        <v>44946.0</v>
      </c>
      <c r="E438" s="52">
        <v>44927.0</v>
      </c>
      <c r="F438" s="50" t="s">
        <v>4</v>
      </c>
      <c r="G438" s="50" t="s">
        <v>9</v>
      </c>
      <c r="H438" s="54" t="s">
        <v>77</v>
      </c>
      <c r="I438" s="54" t="s">
        <v>21</v>
      </c>
      <c r="J438" s="79">
        <v>50.0</v>
      </c>
      <c r="K438" s="80">
        <v>1818.0</v>
      </c>
      <c r="L438" s="77">
        <v>0.0</v>
      </c>
      <c r="M438" s="81">
        <v>2149.0</v>
      </c>
      <c r="N438" s="33">
        <f t="shared" si="13"/>
        <v>90900</v>
      </c>
      <c r="O438" s="50">
        <v>93881.0</v>
      </c>
      <c r="P438" s="34">
        <f t="shared" si="14"/>
        <v>51.63971397</v>
      </c>
      <c r="Q438" s="60"/>
      <c r="R438" s="36">
        <f t="shared" si="45"/>
        <v>2149</v>
      </c>
      <c r="S438" s="78">
        <v>887.0</v>
      </c>
      <c r="T438" s="37">
        <f t="shared" si="46"/>
        <v>3036</v>
      </c>
      <c r="U438" s="62">
        <v>1.086</v>
      </c>
      <c r="V438" s="63"/>
      <c r="W438" s="63"/>
      <c r="X438" s="83">
        <v>0.15</v>
      </c>
      <c r="Y438" s="35">
        <f t="shared" si="70"/>
        <v>0</v>
      </c>
      <c r="Z438" s="40">
        <f t="shared" si="66"/>
        <v>2569.1577</v>
      </c>
      <c r="AA438" s="34">
        <f t="shared" si="67"/>
        <v>466.8423</v>
      </c>
      <c r="AB438" s="41">
        <f t="shared" si="49"/>
        <v>0</v>
      </c>
      <c r="AC438" s="42" t="b">
        <v>1</v>
      </c>
      <c r="AD438" s="50" t="s">
        <v>140</v>
      </c>
      <c r="AE438" s="50"/>
      <c r="AF438" s="42" t="str">
        <f t="array" ref="AF438">INDEX('Deal Info'!D:D, MATCH(A438,'Deal Info'!A:A, 0))</f>
        <v>DoEVLo</v>
      </c>
      <c r="AG438" s="43" t="str">
        <f t="array" ref="AG438">INDEX('Deal Info'!G:G, MATCH(A438,'Deal Info'!A:A, 0))</f>
        <v>None</v>
      </c>
    </row>
    <row r="439" hidden="1">
      <c r="A439" s="23" t="str">
        <f t="array" ref="A439">if(G439='Room Info'!$B$1, INDEX('Room Info'!$A$2:$A3446, MATCH(B439,'Room Info'!$B$2:$B3446, 0)),if(G439='Room Info'!$C$1, INDEX('Room Info'!$A$2:$A3446, MATCH(B439,'Room Info'!$C$2:$C3446, 0)),if(G439='Room Info'!$D$1, INDEX('Room Info'!$A$2:$A3446, MATCH(B439,'Room Info'!$D$2:$D3446, 0)),if(G439='Room Info'!$E$1, INDEX('Room Info'!$A$2:$A3446, MATCH(B439,'Room Info'!$E$2:$E3446, 0)),if(G439='Room Info'!$F$1, INDEX('Room Info'!$A$2:$A3446, MATCH(B439,'Room Info'!$F$2:$F3446, 0)),if(G439='Room Info'!$H$1, INDEX('Room Info'!$A$2:$A3446, MATCH(B439,'Room Info'!$H$2:$H3446, 0)),if(G439='Room Info'!$G$1, INDEX('Room Info'!$A$2:$A3446, MATCH(B439,'Room Info'!$G$2:$G3446, 0)))))))))</f>
        <v>Mackevgen</v>
      </c>
      <c r="B439" s="50" t="s">
        <v>172</v>
      </c>
      <c r="C439" s="51">
        <v>44835.0</v>
      </c>
      <c r="D439" s="51">
        <v>44865.0</v>
      </c>
      <c r="E439" s="52">
        <v>44835.0</v>
      </c>
      <c r="F439" s="53" t="s">
        <v>8</v>
      </c>
      <c r="G439" s="59" t="s">
        <v>9</v>
      </c>
      <c r="H439" s="54" t="s">
        <v>77</v>
      </c>
      <c r="I439" s="54" t="s">
        <v>21</v>
      </c>
      <c r="J439" s="55">
        <v>50.0</v>
      </c>
      <c r="K439" s="56">
        <v>2612.0</v>
      </c>
      <c r="L439" s="57">
        <v>-3900.0</v>
      </c>
      <c r="M439" s="58">
        <v>0.0</v>
      </c>
      <c r="N439" s="33">
        <f t="shared" si="13"/>
        <v>130600</v>
      </c>
      <c r="O439" s="59">
        <v>100832.0</v>
      </c>
      <c r="P439" s="34">
        <f t="shared" si="14"/>
        <v>38.60336907</v>
      </c>
      <c r="Q439" s="60"/>
      <c r="R439" s="36">
        <f t="shared" si="45"/>
        <v>0</v>
      </c>
      <c r="S439" s="61">
        <v>-2750.0</v>
      </c>
      <c r="T439" s="37">
        <f t="shared" si="46"/>
        <v>-2750</v>
      </c>
      <c r="U439" s="62">
        <v>1.0</v>
      </c>
      <c r="V439" s="63"/>
      <c r="W439" s="63"/>
      <c r="X439" s="83">
        <v>0.23</v>
      </c>
      <c r="Y439" s="35">
        <f t="shared" si="70"/>
        <v>0.1</v>
      </c>
      <c r="Z439" s="40">
        <f t="shared" si="66"/>
        <v>-1842</v>
      </c>
      <c r="AA439" s="65">
        <v>-633.0</v>
      </c>
      <c r="AB439" s="41">
        <f t="shared" si="49"/>
        <v>-275</v>
      </c>
      <c r="AC439" s="42" t="b">
        <v>1</v>
      </c>
      <c r="AD439" s="42" t="s">
        <v>138</v>
      </c>
      <c r="AE439" s="42" t="s">
        <v>138</v>
      </c>
      <c r="AF439" s="42" t="str">
        <f t="array" ref="AF439">INDEX('Deal Info'!D:D, MATCH(A439,'Deal Info'!A:A, 0))</f>
        <v>DoEV</v>
      </c>
      <c r="AG439" s="43" t="str">
        <f t="array" ref="AG439">INDEX('Deal Info'!G:G, MATCH(A439,'Deal Info'!A:A, 0))</f>
        <v>Fix10</v>
      </c>
    </row>
    <row r="440" hidden="1">
      <c r="A440" s="23" t="str">
        <f t="array" ref="A440">if(G440='Room Info'!$B$1, INDEX('Room Info'!$A$2:$A3446, MATCH(B440,'Room Info'!$B$2:$B3446, 0)),if(G440='Room Info'!$C$1, INDEX('Room Info'!$A$2:$A3446, MATCH(B440,'Room Info'!$C$2:$C3446, 0)),if(G440='Room Info'!$D$1, INDEX('Room Info'!$A$2:$A3446, MATCH(B440,'Room Info'!$D$2:$D3446, 0)),if(G440='Room Info'!$E$1, INDEX('Room Info'!$A$2:$A3446, MATCH(B440,'Room Info'!$E$2:$E3446, 0)),if(G440='Room Info'!$F$1, INDEX('Room Info'!$A$2:$A3446, MATCH(B440,'Room Info'!$F$2:$F3446, 0)),if(G440='Room Info'!$H$1, INDEX('Room Info'!$A$2:$A3446, MATCH(B440,'Room Info'!$H$2:$H3446, 0)),if(G440='Room Info'!$G$1, INDEX('Room Info'!$A$2:$A3446, MATCH(B440,'Room Info'!$G$2:$G3446, 0)))))))))</f>
        <v>Mackevgen</v>
      </c>
      <c r="B440" s="50" t="s">
        <v>172</v>
      </c>
      <c r="C440" s="51">
        <v>44866.0</v>
      </c>
      <c r="D440" s="51">
        <v>44883.0</v>
      </c>
      <c r="E440" s="52">
        <v>44866.0</v>
      </c>
      <c r="F440" s="53" t="s">
        <v>8</v>
      </c>
      <c r="G440" s="59" t="s">
        <v>9</v>
      </c>
      <c r="H440" s="54" t="s">
        <v>77</v>
      </c>
      <c r="I440" s="54" t="s">
        <v>21</v>
      </c>
      <c r="J440" s="55">
        <v>50.0</v>
      </c>
      <c r="K440" s="56">
        <v>254.0</v>
      </c>
      <c r="L440" s="57">
        <v>900.0</v>
      </c>
      <c r="M440" s="58">
        <v>0.0</v>
      </c>
      <c r="N440" s="33">
        <f t="shared" si="13"/>
        <v>12700</v>
      </c>
      <c r="O440" s="59">
        <v>12230.0</v>
      </c>
      <c r="P440" s="34">
        <f t="shared" si="14"/>
        <v>48.1496063</v>
      </c>
      <c r="Q440" s="60"/>
      <c r="R440" s="36">
        <f t="shared" si="45"/>
        <v>0</v>
      </c>
      <c r="S440" s="61">
        <v>-21.0</v>
      </c>
      <c r="T440" s="37">
        <f t="shared" si="46"/>
        <v>-21</v>
      </c>
      <c r="U440" s="62">
        <v>1.0</v>
      </c>
      <c r="V440" s="63"/>
      <c r="W440" s="63"/>
      <c r="X440" s="83">
        <v>0.17</v>
      </c>
      <c r="Y440" s="35">
        <f t="shared" si="70"/>
        <v>0.1</v>
      </c>
      <c r="Z440" s="40">
        <f t="shared" si="66"/>
        <v>-14.9</v>
      </c>
      <c r="AA440" s="65">
        <v>-4.0</v>
      </c>
      <c r="AB440" s="41">
        <f t="shared" si="49"/>
        <v>-2.1</v>
      </c>
      <c r="AC440" s="42" t="b">
        <v>1</v>
      </c>
      <c r="AD440" s="42" t="s">
        <v>138</v>
      </c>
      <c r="AE440" s="42" t="s">
        <v>138</v>
      </c>
      <c r="AF440" s="42" t="str">
        <f t="array" ref="AF440">INDEX('Deal Info'!D:D, MATCH(A440,'Deal Info'!A:A, 0))</f>
        <v>DoEV</v>
      </c>
      <c r="AG440" s="43" t="str">
        <f t="array" ref="AG440">INDEX('Deal Info'!G:G, MATCH(A440,'Deal Info'!A:A, 0))</f>
        <v>Fix10</v>
      </c>
    </row>
    <row r="441" hidden="1">
      <c r="A441" s="23" t="str">
        <f t="array" ref="A441">if(G441='Room Info'!$B$1, INDEX('Room Info'!$A$2:$A3446, MATCH(B441,'Room Info'!$B$2:$B3446, 0)),if(G441='Room Info'!$C$1, INDEX('Room Info'!$A$2:$A3446, MATCH(B441,'Room Info'!$C$2:$C3446, 0)),if(G441='Room Info'!$D$1, INDEX('Room Info'!$A$2:$A3446, MATCH(B441,'Room Info'!$D$2:$D3446, 0)),if(G441='Room Info'!$E$1, INDEX('Room Info'!$A$2:$A3446, MATCH(B441,'Room Info'!$E$2:$E3446, 0)),if(G441='Room Info'!$F$1, INDEX('Room Info'!$A$2:$A3446, MATCH(B441,'Room Info'!$F$2:$F3446, 0)),if(G441='Room Info'!$H$1, INDEX('Room Info'!$A$2:$A3446, MATCH(B441,'Room Info'!$H$2:$H3446, 0)),if(G441='Room Info'!$G$1, INDEX('Room Info'!$A$2:$A3446, MATCH(B441,'Room Info'!$G$2:$G3446, 0)))))))))</f>
        <v>Mackevgen</v>
      </c>
      <c r="B441" s="101" t="s">
        <v>171</v>
      </c>
      <c r="C441" s="51">
        <v>44958.0</v>
      </c>
      <c r="D441" s="51">
        <v>44985.0</v>
      </c>
      <c r="E441" s="85">
        <v>44958.0</v>
      </c>
      <c r="F441" s="50" t="s">
        <v>8</v>
      </c>
      <c r="G441" s="70" t="s">
        <v>9</v>
      </c>
      <c r="H441" s="54" t="s">
        <v>77</v>
      </c>
      <c r="I441" s="105" t="s">
        <v>21</v>
      </c>
      <c r="J441" s="44">
        <f>iferror(if(H441="$0.25",0.25, 
if(H441="$0.25 Flash",0.25, 
if(H441 = "$1", 1, 
if(H441 = "$1 Flash", 1, 
if(H441 = "$2", 2, 
if( H441 = "$2 Flash" , 2, 
if( H441= "$3", 3, 
if( H441= "$3 Ultra", 3, 
if( H441= "$5", 5, 
if( H441= "$5 (1M)", 5, 
if( H441= "$5 (1M) Flash", 5, 
if( H441= "$5 Flash", 5, 
if( H441= "$5 Flash (1M)", 5,
if( H441= "$10", 10,
if( H441= "$10 (1M)", 10,
if( H441= "$10 (1M) (old)", 10,
if( H441= "$10 Flash", 10,
if( H441= "$10 Ultra", 10,
if( H441= "$20", 20,
if( H441= "$20 Ultra", 20,
if( H441= "$25", 25,
if( H441= "$25 Flash", 25,
if( H441= "$50", 50,
if( H441= "$50 Flash", 50,
if( H441= "$50 Ultra", 50,
if( H441= "$100", 100,
if( H441= "$100 Flash", 100,
if( H441= "$100 HUHT", 100,
if( H441= "$100 Ultra", 100,
if( H441= "$200", 200,
if( H441= "$200 HUHT", 200,
if( H441= "$250", 250,
if( H441= "$250 Flash", 250,
if( H441= "$300 HUHT", 300,
if( H441= "$500", 500,
if( H441= "$500 Flash", 500,
if( H441 = "$500 HUHT",500,
if( H441= "$1000", 1000,
if( H441= "€0.25 Flash", 0.25,
if( H441="€0.25(nitro) new",0.25,
if( H441= "€1", 1,
if( H441= "€2", 2,
if( H441= "€5", 5,
if( H441= "€5 (1M)", 5,
if( H441= "€5 (bf 01.08)", 5,
if( H441= "€5 (bf 05.05)", 5,
if( H441= "€5 Nitro", 5,
if( H441= "€5(wx) new", 5,
if( H441= "€10", 10,
if( H441= "€10 (1M)", 10,
if( H441= "€10 (bf 01.08)", 10,
if( H441= "€10 (bf 05.05)", 10,
if( H441= "€10 (MP)", 10,
if( H441= "€10 (old)", 10,
if( H441= "€10 Nitro (bf 05.05)", 10,
if( H441= "€10 Nitro (old)", 10,
if( H441= "€10(wx) new", 10,
if( H441= "€20", 20,
if( H441= "€25", 25, 
if( H441= "€25 (bf 01.08)", 25, 
if( H441= "€25 (bf 05.05)", 25, 
if( H441= "€25 (MP)", 25, 
if( H441= "€25 (old)", 25,
if( H441= "€25 Nitro", 25,
if( H441= "€25 Nitro (bf 01.08)", 25,
if( H441= "€25 Nitro (bf 05.05)", 25,
if( H441= "€25(nitro) new", 25,
if( H441= "€25(wx) new", 25,
if( H441= "€50", 50,
if( H441= "€50 (bf 01.08)", 50,
if( H441= "€50 (bf 05.05)", 50,
if( H441= "€50 (old)", 50,
if( H441= "€50 Nitro", 50,
if( H441= "€50 Nitro (bf 01.08)", 50,
if( H441= "€50 Nitro (bf 05.05)", 50,
if( H441= "€50(wx) new", 50,
if( H441= "€100", 100,
if( H441= "€100 (old)", 100,
if( H441= "€100 Nitro", 100,
if( H441= "€100 Nitro (old)", 100,
if( H441= "€200", 200,
if( H441= "€250", 250,
if( H441= "€250 Nitro", 250,
if( H441= "€500", 500,
if( H441= "€500 Nitro", 500,
if( H441= "1000 rub", 1000,
if( H441= "2500 rub", 2500,
if( H441= "5000 rub", 5000,"")))))))))))))))))))))))))))))))))))))))))))))))))))))))))))))))))))))))))))))))))))))))))</f>
        <v>50</v>
      </c>
      <c r="K441" s="56">
        <v>163.0</v>
      </c>
      <c r="L441" s="57">
        <v>969.0</v>
      </c>
      <c r="M441" s="67"/>
      <c r="N441" s="33">
        <f t="shared" si="13"/>
        <v>8150</v>
      </c>
      <c r="O441" s="59">
        <v>18736.0</v>
      </c>
      <c r="P441" s="34">
        <f t="shared" si="14"/>
        <v>114.9447853</v>
      </c>
      <c r="Q441" s="60"/>
      <c r="R441" s="36">
        <f>M441+Q441*J441*K441*0.07</f>
        <v>0</v>
      </c>
      <c r="S441" s="61">
        <v>1062.0</v>
      </c>
      <c r="T441" s="37">
        <f>IF(AND(AD441="EUR", F441="Without EV deal"), R441 + L441, 
IF(AND(AD441="USD", F441="Without EV deal"), R441 + L441, 
IF(AND(AD441="EUR", F441="Steel Phoenix"), R441 + S441/U441, 
R441 + S441)))</f>
        <v>1062</v>
      </c>
      <c r="U441" s="62">
        <v>1.0617</v>
      </c>
      <c r="V441" s="63">
        <v>12.92317708</v>
      </c>
      <c r="W441" s="63">
        <v>568.1497632</v>
      </c>
      <c r="X441" s="35">
        <f>IF(AF441="DoEV",IF(AND(V441&lt;20,W441&lt;55),0.3,0)+IF(AND(V441&lt;20,W441&gt;=55,W441&lt;105),0.23,0)+IF(AND(V441&lt;20,W441&gt;=105),0.17,0)+IF(AND(V441&gt;=20,V441&lt;40,W441&lt;45),0.3,0)+IF(AND(V441&gt;=20,V441&lt;40,W441&gt;=45,W441&lt;95),0.23,0)+IF(AND(V441&gt;=20,V441&lt;40,W441&gt;=95),0.17,0)+IF(AND(V441&gt;=40,V441&lt;75,W441&lt;35),0.3,0)+IF(AND(V441&gt;=40,V441&lt;75,W441&gt;=35,W441&lt;75),0.23,0)+IF(AND(V441&gt;=40,V441&lt;75,W441&gt;=75,W441&lt;120),0.17,0)+IF(AND(V441&gt;=40,V441&lt;75,W441&gt;=120),0.12,0)+IF(AND(V441&gt;=75,V441&lt;175,W441&lt;35),0.3,0)+IF(AND(V441&gt;=75,V441&lt;=175,W441&gt;=35,W441&lt;65),0.23,0)+IF(AND(V441&gt;=75,V441&lt;=175,W441&gt;=65,W441&lt;110),0.17,0)+IF(AND(V441&gt;=75,V441&lt;=175,W441&gt;=110),0.12,0)+IF(AND(V441&gt;175,W441&lt;25),0.3,0)+IF(AND(V441&gt;175,W441&gt;=25,W441&lt;55),0.23,0)+IF(AND(V441&gt;175,W441&gt;=55,W441&lt;95),0.17,0)+IF(AND(V441&gt;175,W441&gt;=95),0.12,0),
IF(AF441="Fix15",0.15,
IF(AF441="Fix5",0.05,
if(AF441="Fix18.75",0.1875,
IF(AF441="Fix11.25",0.1125,
IF(AF441="Fix10",0.1,
IF(AF441="Fix9",0.09,
IF(AF441="Fix12",0.12,
IF(AF441="Fix19",0.19,
IF(AF441="DoEV2017",IF(AND(W441&lt;74),0.2,0)+IF(AND(W441&gt;=74),0.17,0),
IF(AF441="SF",IF(AND(V441&lt;20,W441&lt;89),0.3,0)+IF(AND(V441&lt;20,W441&gt;=89),0.25,0)+IF(AND(V441&gt;=20,V441&lt;40,W441&lt;74),0.3,0)+IF(AND(V441&gt;=20,V441&lt;40,W441&gt;=75),0.22,0)+IF(AND(V441&gt;=40,V441&lt;75,W441&lt;75),0.26,0)+IF(AND(V441&gt;=40,V441&lt;75,W441&gt;=75),0.22,0)+IF(V441&gt;=75,0.22,0),
IF(AF441="DoEVold",IF(AND(V441&lt;40,W441&lt;35),0.35,0)+IF(AND(V441&lt;40,W441&gt;=35,W441&lt;75),0.25,0)+IF(AND(V441&lt;40,W441&gt;=75),0.17,0)+IF(AND(V441&gt;=40,V441&lt;75,W441&lt;25),0.35,0)+IF(AND(V441&gt;=40,V441&lt;75,W441&gt;=25,W441&lt;65),0.25,0)+IF(AND(V441&gt;=40,V441&lt;75,W441&gt;=65,W441&lt;100),0.17,0)+IF(AND(V441&gt;=40,V441&lt;75,W441&gt;=100),0.1,0)+IF(AND(V441&gt;=75,W441&lt;25),0.35,0)+IF(AND(V441&gt;=75,W441&gt;=25,W441&lt;60),0.25,0)+IF(AND(V441&gt;=75,W441&gt;=60,W441&lt;95),0.17,0)+IF(AND(V441&gt;=75,W441&gt;=95),0.1,0),
IF(AF441="DoEVold15",IF(AND(V441&lt;=40,W441&lt;35),0.35,0)+IF(AND(V441&lt;=40,W441&gt;=35,W441&lt;75),0.25,0)+IF(AND(V441&lt;=40,W441&gt;=75,W441&lt;120),0.17,0)+IF(AND(V441&lt;=40,W441&gt;=120),0.15,0)+IF(AND(V441&gt;40,V441&lt;75,W441&lt;25),0.35,0)+IF(AND(V441&gt;=40,V441&lt;75,W441&gt;=25,W441&lt;65),0.25,0)+IF(AND(V441&gt;=40,V441&lt;75,W441&gt;=65,W441&lt;100),0.17,0)+IF(AND(V441&gt;=40,V441&lt;75,W441&gt;=100),0.1,0)+IF(AND(V441&gt;=75,W441&lt;25),0.35,0)+IF(AND(V441&gt;=75,W441&gt;=25,W441&lt;60),0.25,0)+IF(AND(V441&gt;=75,W441&gt;=60,W441&lt;95),0.17,0)+IF(AND(V441&gt;=75,W441&gt;=95),0.1,0),
IF(AF441="DoEVba",IF(AND(V441&lt;20,W441&lt;105),0.2,0)+IF(AND(V441&lt;20,W441&gt;=105),0.15,0)+IF(AND(V441&gt;=20,V441&lt;40,W441&lt;95),0.2,0)+IF(AND(V441&gt;=20,V441&lt;40,W441&gt;=95,W441&lt;150),0.15,0)+IF(AND(V441&gt;=20,V441&lt;40,W441&gt;=150),0.12,0)+IF(AND(V441&gt;=40,V441&lt;75,W441&lt;75),0.2,0)+IF(AND(V441&gt;=40,V441&lt;75,W441&gt;=75,W441&lt;120),0.15,0)+IF(AND(V441&gt;=40,V441&lt;75,W441&gt;=120),0.12,0)+IF(AND(V441&gt;=75,V441&lt;175,W441&lt;65),0.2,0)+IF(AND(V441&gt;=75,V441&lt;175,W441&gt;=65,W441&lt;110),0.15,0)+IF(AND(V441&gt;=75,V441&lt;175,W441&gt;=110),0.12,0)+IF(AND(V441&gt;=175,W441&lt;55),0.2,0)+IF(AND(V441&gt;=175,W441&gt;=55,W441&lt;95),0.15,0)+IF(AND(V441&gt;=175,W441&gt;=95),0.12,0),
IF(AF441="DoEVku",IF(AND(V441&lt;20,W441&lt;55),0.23,0)+IF(AND(V441&lt;20,W441&gt;=55,W441&lt;105),0.2,0)+IF(AND(V441&lt;20,W441&gt;=105),0.17,0)+IF(AND(V441&gt;=20,V441&lt;40,W441&lt;45),0.23,0)+IF(AND(V441&gt;=20,V441&lt;40,W441&gt;=45,W441&lt;95),0.2,0)+IF(AND(V441&gt;=20,V441&lt;40,W441&gt;=95,W441&lt;=150),0.17,0)+IF(AND(V441&gt;=20,V441&lt;40,W441&gt;=150),0.12,0)+IF(AND(V441&gt;=40,V441&lt;75,W441&lt;35),0.23,0)+IF(AND(V441&gt;=40,V441&lt;75,W441&gt;=35,W441&lt;75),0.2,0)+IF(AND(V441&gt;=40,V441&lt;75,W441&gt;=75,W441&lt;120),0.17,0)+IF(AND(V441&gt;=40,V441&lt;75,W441&gt;=120),0.12,0)+IF(AND(V441&gt;=75,V441&lt;175,W441&lt;35),0.23,0)+IF(AND(V441&gt;=75,V441&lt;=175,W441&gt;=35,W441&lt;65),0.2,0)+IF(AND(V441&gt;=75,V441&lt;=175,W441&gt;=65,W441&lt;110),0.17,0)+IF(AND(V441&gt;=75,V441&lt;=175,W441&gt;=110),0.12,0)+IF(AND(V441&gt;175,W441&lt;25),0.23,0)+IF(AND(V441&gt;175,W441&gt;=25,W441&lt;55),0.2,0)+IF(AND(V441&gt;175,W441&gt;=55,W441&lt;95),0.17,0)+IF(AND(V441&gt;175,W441&gt;=95),0.12,0),
IF(AF441="DoEVs1",IF(AND(V441&lt;20,W441&lt;55),0.3,0)+IF(AND(V441&lt;20,W441&gt;=55,W441&lt;105),0.23,0)+IF(AND(V441&lt;20,W441&gt;=105),0.17,0)+IF(AND(V441&gt;=20,V441&lt;40,W441&lt;45),0.3,0)+IF(AND(V441&gt;=20,V441&lt;40,W441&gt;=45,W441&lt;95),0.23,0)+IF(AND(V441&gt;=20,V441&lt;40,W441&gt;=95,W441&lt;=150),0.17,0)+IF(AND(V441&gt;=20,V441&lt;40,W441&gt;=150),0.12,0)+IF(AND(V441&gt;=40,V441&lt;75,W441&lt;35),0.3,0)+IF(AND(V441&gt;=40,V441&lt;75,W441&gt;=35,W441&lt;75),0.23,0)+IF(AND(V441&gt;=40,V441&lt;75,W441&gt;=75,W441&lt;120),0.17,0)+IF(AND(V441&gt;=40,V441&lt;75,W441&gt;=120),0.12,0)+IF(AND(V441&gt;=75,V441&lt;175,W441&lt;35),0.3,0)+IF(AND(V441&gt;=75,V441&lt;=175,W441&gt;=35,W441&lt;65),0.23,0)+IF(AND(V441&gt;=75,V441&lt;=175,W441&gt;=65,W441&lt;110),0.17,0)+IF(AND(V441&gt;=75,V441&lt;=175,W441&gt;=110),0.12,0)+IF(AND(V441&gt;175,W441&lt;25),0.3,0)+IF(AND(V441&gt;175,W441&gt;=25,W441&lt;55),0.23,0)+IF(AND(V441&gt;175,W441&gt;=55,W441&lt;95),0.17,0)+IF(AND(V441&gt;175,W441&gt;=95),0.12,0),
IF(AF441="DoEVsu",IF(AND(V441&lt;20,W441&lt;55),0.3,0)+IF(AND(V441&lt;20,W441&gt;=55,W441&lt;105),0.23,0)+IF(AND(V441&lt;20,W441&gt;=105),0.17,0)+IF(AND(V441&gt;=20,V441&lt;40,W441&lt;45),0.3,0)+IF(AND(V441&gt;=20,V441&lt;40,W441&gt;=45,W441&lt;95),0.23,0)+IF(AND(V441&gt;=20,V441&lt;40,W441&gt;=95,W441&lt;=250),0.17,0)+IF(AND(V441&gt;=20,V441&lt;40,W441&gt;=250),0.12,0)+IF(AND(V441&gt;=40,V441&lt;75,W441&lt;35),0.3,0)+IF(AND(V441&gt;=40,V441&lt;75,W441&gt;=35,W441&lt;75),0.23,0)+IF(AND(V441&gt;=40,V441&lt;75,W441&gt;=75,W441&lt;120),0.17,0)+IF(AND(V441&gt;=40,V441&lt;75,W441&gt;=120),0.12,0)+IF(AND(V441&gt;=75,V441&lt;175,W441&lt;35),0.3,0)+IF(AND(V441&gt;=75,V441&lt;=175,W441&gt;=35,W441&lt;65),0.23,0)+IF(AND(V441&gt;=75,V441&lt;=175,W441&gt;=65,W441&lt;110),0.17,0)+IF(AND(V441&gt;=75,V441&lt;=175,W441&gt;=110),0.12,0)+IF(AND(V441&gt;175,W441&lt;25),0.3,0)+IF(AND(V441&gt;175,W441&gt;=25,W441&lt;55),0.23,0)+IF(AND(V441&gt;175,W441&gt;=55,W441&lt;95),0.17,0)+IF(AND(V441&gt;175,W441&gt;=95),0.12,0),
IF(AF441="DoEVni",IF(AND(V441&lt;20,W441&lt;55),0.3,0)+IF(AND(V441&lt;20,W441&gt;=55,W441&lt;105),0.23,0)+IF(AND(V441&lt;20,W441&gt;=105),0.17,0)+IF(AND(V441&gt;=20,V441&lt;40,W441&lt;45),0.3,0)+IF(AND(V441&gt;=20,V441&lt;40,W441&gt;=45,W441&lt;95),0.23,0)+IF(AND(V441&gt;=20,V441&lt;40,W441&gt;=95,W441&lt;=200),0.17,0)+IF(AND(V441&gt;=20,V441&lt;40,W441&gt;=200),0.12,0)+IF(AND(V441&gt;=40,V441&lt;75,W441&lt;35),0.3,0)+IF(AND(V441&gt;=40,V441&lt;75,W441&gt;=35,W441&lt;75),0.23,0)+IF(AND(V441&gt;=40,V441&lt;75,W441&gt;=75,W441&lt;120),0.17,0)+IF(AND(V441&gt;=40,V441&lt;75,W441&gt;=120),0.12,0)+IF(AND(V441&gt;=75,V441&lt;175,W441&lt;35),0.3,0)+IF(AND(V441&gt;=75,V441&lt;=175,W441&gt;=35,W441&lt;65),0.23,0)+IF(AND(V441&gt;=75,V441&lt;=175,W441&gt;=65,W441&lt;110),0.17,0)+IF(AND(V441&gt;=75,V441&lt;=175,W441&gt;=110),0.12,0)+IF(AND(V441&gt;175,W441&lt;25),0.3,0)+IF(AND(V441&gt;175,W441&gt;=25,W441&lt;55),0.23,0)+IF(AND(V441&gt;175,W441&gt;=55,W441&lt;95),0.17,0)+IF(AND(V441&gt;175,W441&gt;=95),0.12,0),
IF(AF441="DoEVLo",IF(AND(V441&lt;20,W441&lt;55),0.25,0)+IF(AND(V441&lt;20,W441&gt;=55,W441&lt;105),0.2,0)+IF(AND(V441&lt;20,W441&gt;=105),0.15,0)+IF(AND(V441&gt;=20,V441&lt;40,W441&lt;45),0.25,0)+IF(AND(V441&gt;=20,V441&lt;40,W441&gt;=45,W441&lt;95),0.2,0)+IF(AND(V441&gt;=20,V441&lt;40,W441&gt;=95),0.15,0)+IF(AND(V441&gt;=40,V441&lt;75,W441&lt;35),0.25,0)+IF(AND(V441&gt;=40,V441&lt;75,W441&gt;=35,W441&lt;75),0.2,0)+IF(AND(V441&gt;=40,V441&lt;75,W441&gt;=75,W441&lt;120),0.15,0)+IF(AND(V441&gt;=40,V441&lt;75,W441&gt;=120),0.1,0)+IF(AND(V441&gt;=75,V441&lt;175,W441&lt;35),0.25,0)+IF(AND(V441&gt;=75,V441&lt;=175,W441&gt;=35,W441&lt;65),0.2,0)+IF(AND(V441&gt;=75,V441&lt;=175,W441&gt;=65,W441&lt;110),0.15,0)+IF(AND(V441&gt;=75,V441&lt;=175,W441&gt;=110),0.1,0)+IF(AND(V441&gt;175,W441&lt;25),0.25,0)+IF(AND(V441&gt;175,W441&gt;=25,W441&lt;55),0.2,0)+IF(AND(V441&gt;175,W441&gt;=55,W441&lt;95),0.15,0)+IF(AND(V441&gt;175,W441&gt;=95),0.1,0))))))))))))))))))))</f>
        <v>0.17</v>
      </c>
      <c r="Y441" s="35">
        <f>if(AG441="None",0,if(AG441="Fix5",0.05, if(AG441="Fix6.25",0.0625,if(AG441="Fix3.75",0.0375, if(AG441="Fix11",0.11, if(AG441="Fix10",0.1,if(AG441="Fix3",0.03,0)))))))</f>
        <v>0.1</v>
      </c>
      <c r="Z441" s="40">
        <f>if(and(AD441="EUR", AE441 = "USD"), T441*U441-AA441-AB441, T441-AA441-AB441)</f>
        <v>775.26</v>
      </c>
      <c r="AA441" s="34">
        <f>IF(AND(AD441="EUR", F441="Without EV deal", AE441="USD"), (T441*X441)*U441, 
IF(AND(AD441="EUR", F441="Without EV deal", AE441="EUR"), (T441*X441), 
IF(AND(AD441="EUR",AE441="USD"), (T441*X441)*U441, 
T441*X441)))</f>
        <v>180.54</v>
      </c>
      <c r="AB441" s="41">
        <f>IF(AND(AD441="EUR", F441="Without EV deal", AE441="USD"), (T441*Y441)*U441, 
IF(AND(AD441="EUR", F441="Without EV deal", AE441="EUR"), (T441*Y441), 
IF(AND(AD441="EUR",AE441="USD"), (T441*Y441)*U441, 
T441*Y441)))</f>
        <v>106.2</v>
      </c>
      <c r="AC441" s="42" t="b">
        <v>1</v>
      </c>
      <c r="AD441" s="87" t="str">
        <f>IF(OR(H441="€0.25 Flash",
H441="€0.25(nitro) new",
H441="€1",
H441="€2",
H441="€2 (bf 01.08)",
H441="€5",
H441="€5 (1M)",
H441="€5 (bf 01.08)",
H441="€5 (bf 05.05)",
H441="€5 Nitro",
H441="€5(wx) new",
H441="€10",
H441="€10 (1M)",
H441="€10 (bf 01.08)",
H441="€10 (bf 05.05)",
H441="€10 (MP)",
H441="€10 (old)",
H441="€10 Nitro (bf 05.05)",
H441="€10 Nitro (old)",
H441="€10(wx) new",
H441="€20",
H441="€25",
H441="€25 (bf 01.08)",
H441="€25 (bf 05.05)",
H441="€25 (MP)",
H441="€25 (old)",
H441="€25 Nitro",
H441="€25 Nitro (bf 01.08)",
H441="€25 Nitro (bf 05.05)",
H441="€25(nitro) new",
H441="€25(wx) new",
H441="€50",
H441="€50 (bf 01.08)",
H441="€50 (bf 05.05)",
H441="€50 (old)",
H441="€50 Nitro",
H441="€50 Nitro (bf 01.08)",
H441="€50 Nitro (bf 05.05)",
H441="€50(wx) new",
H441="€100",
H441="€100 (old)",
H441="€100 Nitro",
H441="€100 Nitro (old)",
H441="€200",
H441="€250",
H441="€250 Nitro",
H441="€500",
H441="€500 Nitro"),"EUR", "USD")
</f>
        <v>EUR</v>
      </c>
      <c r="AE441" s="88" t="s">
        <v>140</v>
      </c>
      <c r="AF441" s="88" t="str">
        <f t="array" ref="AF441">INDEX('Deal Info'!D:D, MATCH(A441,'Deal Info'!A:A, 0))</f>
        <v>DoEV</v>
      </c>
      <c r="AG441" s="89" t="str">
        <f t="array" ref="AG441">INDEX('Deal Info'!G:G, MATCH(A441,'Deal Info'!A:A, 0))</f>
        <v>Fix10</v>
      </c>
    </row>
    <row r="442" hidden="1">
      <c r="A442" s="23" t="str">
        <f t="array" ref="A442">if(G442='Room Info'!$B$1, INDEX('Room Info'!$A$2:$A3446, MATCH(B442,'Room Info'!$B$2:$B3446, 0)),if(G442='Room Info'!$C$1, INDEX('Room Info'!$A$2:$A3446, MATCH(B442,'Room Info'!$C$2:$C3446, 0)),if(G442='Room Info'!$D$1, INDEX('Room Info'!$A$2:$A3446, MATCH(B442,'Room Info'!$D$2:$D3446, 0)),if(G442='Room Info'!$E$1, INDEX('Room Info'!$A$2:$A3446, MATCH(B442,'Room Info'!$E$2:$E3446, 0)),if(G442='Room Info'!$F$1, INDEX('Room Info'!$A$2:$A3446, MATCH(B442,'Room Info'!$F$2:$F3446, 0)),if(G442='Room Info'!$H$1, INDEX('Room Info'!$A$2:$A3446, MATCH(B442,'Room Info'!$H$2:$H3446, 0)),if(G442='Room Info'!$G$1, INDEX('Room Info'!$A$2:$A3446, MATCH(B442,'Room Info'!$G$2:$G3446, 0)))))))))</f>
        <v>Freedoom</v>
      </c>
      <c r="B442" s="50" t="s">
        <v>159</v>
      </c>
      <c r="C442" s="51">
        <v>44551.0</v>
      </c>
      <c r="D442" s="51">
        <v>44592.0</v>
      </c>
      <c r="E442" s="52">
        <v>44562.0</v>
      </c>
      <c r="F442" s="53" t="s">
        <v>8</v>
      </c>
      <c r="G442" s="59" t="s">
        <v>9</v>
      </c>
      <c r="H442" s="54" t="s">
        <v>66</v>
      </c>
      <c r="I442" s="54" t="s">
        <v>7</v>
      </c>
      <c r="J442" s="55">
        <v>25.0</v>
      </c>
      <c r="K442" s="56">
        <v>122.0</v>
      </c>
      <c r="L442" s="57">
        <v>-750.0</v>
      </c>
      <c r="M442" s="58">
        <v>1.0</v>
      </c>
      <c r="N442" s="33">
        <f t="shared" si="13"/>
        <v>3050</v>
      </c>
      <c r="O442" s="59">
        <v>9594.0</v>
      </c>
      <c r="P442" s="34">
        <f t="shared" si="14"/>
        <v>78.63934426</v>
      </c>
      <c r="Q442" s="60"/>
      <c r="R442" s="36">
        <f t="shared" ref="R442:R469" si="71">M442+Q442</f>
        <v>1</v>
      </c>
      <c r="S442" s="61">
        <v>156.0</v>
      </c>
      <c r="T442" s="37">
        <f t="shared" ref="T442:T469" si="72">R442+S442+if(F442="Without EV deal",L442,0)</f>
        <v>157</v>
      </c>
      <c r="U442" s="62">
        <v>1.0</v>
      </c>
      <c r="V442" s="63"/>
      <c r="W442" s="63"/>
      <c r="X442" s="35">
        <f t="shared" ref="X442:X449" si="73">IF(AF442="DoEV",IF(AND(V442&lt;20,W442&lt;55),0.3,0)+IF(AND(V442&lt;20,W442&gt;=55,W442&lt;105),0.23,0)+IF(AND(V442&lt;20,W442&gt;=105),0.17,0)+IF(AND(V442&gt;=20,V442&lt;40,W442&lt;45),0.3,0)+IF(AND(V442&gt;=20,V442&lt;40,W442&gt;=45,W442&lt;95),0.23,0)+IF(AND(V442&gt;=20,V442&lt;40,W442&gt;=95),0.17,0)+IF(AND(V442&gt;=40,V442&lt;75,W442&lt;35),0.3,0)+IF(AND(V442&gt;=40,V442&lt;75,W442&gt;=35,W442&lt;75),0.23,0)+IF(AND(V442&gt;=40,V442&lt;75,W442&gt;=75,W442&lt;120),0.17,0)+IF(AND(V442&gt;=40,V442&lt;75,W442&gt;=120),0.12,0)+IF(AND(V442&gt;=75,V442&lt;175,W442&lt;35),0.3,0)+IF(AND(V442&gt;=75,V442&lt;=175,W442&gt;=35,W442&lt;65),0.23,0)+IF(AND(V442&gt;=75,V442&lt;=175,W442&gt;=65,W442&lt;110),0.17,0)+IF(AND(V442&gt;=75,V442&lt;=175,W442&gt;=110),0.12,0)+IF(AND(V442&gt;175,W442&lt;25),0.3,0)+IF(AND(V442&gt;175,W442&gt;=25,W442&lt;55),0.23,0)+IF(AND(V442&gt;175,W442&gt;=55,W442&lt;95),0.17,0)+IF(AND(V442&gt;175,W442&gt;=95),0.12,0),
IF(AF442="Fix15",0.15,
IF(AF442="Fix11.25",0.1125,
IF(AF442="Fix10",0.1,
IF(AF442="Fix9",0.09,
IF(AF442="DoEV2017",IF(AND(W442&lt;74),0.2,0)+IF(AND(W442&gt;=74),0.17,0),
IF(AF442="SF",IF(AND(V442&lt;20,W442&lt;89),0.3,0)+IF(AND(V442&lt;20,W442&gt;=89),0.25,0)+IF(AND(V442&gt;=20,V442&lt;40,W442&lt;74),0.3,0)+IF(AND(V442&gt;=20,V442&lt;40,W442&gt;=75),0.22,0)+IF(AND(V442&gt;=40,V442&lt;75,W442&lt;75),0.26,0)+IF(AND(V442&gt;=40,V442&lt;75,W442&gt;=75),0.22,0)+IF(V442&gt;=75,0.22,0),
IF(AF442="DoEVold",IF(AND(V442&lt;40,W442&lt;35),0.35,0)+IF(AND(V442&lt;40,W442&gt;=35,W442&lt;75),0.25,0)+IF(AND(V442&lt;40,W442&gt;=75),0.17,0)+IF(AND(V442&gt;=40,V442&lt;75,W442&lt;25),0.35,0)+IF(AND(V442&gt;=40,V442&lt;75,W442&gt;=25,W442&lt;65),0.25,0)+IF(AND(V442&gt;=40,V442&lt;75,W442&gt;=65,W442&lt;100),0.17,0)+IF(AND(V442&gt;=40,V442&lt;75,W442&gt;=100),0.1,0)+IF(AND(V442&gt;=75,W442&lt;25),0.35,0)+IF(AND(V442&gt;=75,W442&gt;=25,W442&lt;60),0.25,0)+IF(AND(V442&gt;=75,W442&gt;=60,W442&lt;95),0.17,0)+IF(AND(V442&gt;=75,W442&gt;=95),0.1,0),
IF(AF442="DoEVold15",IF(AND(V442&lt;=40,W442&lt;35),0.35,0)+IF(AND(V442&lt;=40,W442&gt;=35,W442&lt;75),0.25,0)+IF(AND(V442&lt;=40,W442&gt;=75,W442&lt;120),0.17,0)+IF(AND(V442&lt;=40,W442&gt;=120),0.15,0)+IF(AND(V442&gt;40,V442&lt;75,W442&lt;25),0.35,0)+IF(AND(V442&gt;=40,V442&lt;75,W442&gt;=25,W442&lt;65),0.25,0)+IF(AND(V442&gt;=40,V442&lt;75,W442&gt;=65,W442&lt;100),0.17,0)+IF(AND(V442&gt;=40,V442&lt;75,W442&gt;=100),0.1,0)+IF(AND(V442&gt;=75,W442&lt;25),0.35,0)+IF(AND(V442&gt;=75,W442&gt;=25,W442&lt;60),0.25,0)+IF(AND(V442&gt;=75,W442&gt;=60,W442&lt;95),0.17,0)+IF(AND(V442&gt;=75,W442&gt;=95),0.1,0),
IF(AF442="DoEVba",IF(AND(V442&lt;20,W442&lt;105),0.2,0)+IF(AND(V442&lt;20,W442&gt;=105),0.15,0)+IF(AND(V442&gt;=20,V442&lt;40,W442&lt;95),0.2,0)+IF(AND(V442&gt;=20,V442&lt;40,W442&gt;=95,W442&lt;150),0.15,0)+IF(AND(V442&gt;=20,V442&lt;40,W442&gt;=150),0.12,0)+IF(AND(V442&gt;=40,V442&lt;75,W442&lt;75),0.2,0)+IF(AND(V442&gt;=40,V442&lt;75,W442&gt;=75,W442&lt;120),0.15,0)+IF(AND(V442&gt;=40,V442&lt;75,W442&gt;=120),0.12,0)+IF(AND(V442&gt;=75,V442&lt;175,W442&lt;65),0.2,0)+IF(AND(V442&gt;=75,V442&lt;175,W442&gt;=65,W442&lt;110),0.15,0)+IF(AND(V442&gt;=75,V442&lt;175,W442&gt;=110),0.12,0)+IF(AND(V442&gt;=175,W442&lt;55),0.2,0)+IF(AND(V442&gt;=175,W442&gt;=55,W442&lt;95),0.15,0)+IF(AND(V442&gt;=175,W442&gt;=95),0.12,0),
IF(AF442="DoEVku",IF(AND(V442&lt;20,W442&lt;55),0.23,0)+IF(AND(V442&lt;20,W442&gt;=55,W442&lt;105),0.2,0)+IF(AND(V442&lt;20,W442&gt;=105),0.17,0)+IF(AND(V442&gt;=20,V442&lt;40,W442&lt;45),0.23,0)+IF(AND(V442&gt;=20,V442&lt;40,W442&gt;=45,W442&lt;95),0.2,0)+IF(AND(V442&gt;=20,V442&lt;40,W442&gt;=95,W442&lt;=150),0.17,0)+IF(AND(V442&gt;=20,V442&lt;40,W442&gt;=150),0.12,0)+IF(AND(V442&gt;=40,V442&lt;75,W442&lt;35),0.23,0)+IF(AND(V442&gt;=40,V442&lt;75,W442&gt;=35,W442&lt;75),0.2,0)+IF(AND(V442&gt;=40,V442&lt;75,W442&gt;=75,W442&lt;120),0.17,0)+IF(AND(V442&gt;=40,V442&lt;75,W442&gt;=120),0.12,0)+IF(AND(V442&gt;=75,V442&lt;175,W442&lt;35),0.23,0)+IF(AND(V442&gt;=75,V442&lt;=175,W442&gt;=35,W442&lt;65),0.2,0)+IF(AND(V442&gt;=75,V442&lt;=175,W442&gt;=65,W442&lt;110),0.17,0)+IF(AND(V442&gt;=75,V442&lt;=175,W442&gt;=110),0.12,0)+IF(AND(V442&gt;175,W442&lt;25),0.23,0)+IF(AND(V442&gt;175,W442&gt;=25,W442&lt;55),0.2,0)+IF(AND(V442&gt;175,W442&gt;=55,W442&lt;95),0.17,0)+IF(AND(V442&gt;175,W442&gt;=95),0.12,0),
IF(AF442="DoEVs1",IF(AND(V442&lt;20,W442&lt;55),0.3,0)+IF(AND(V442&lt;20,W442&gt;=55,W442&lt;105),0.23,0)+IF(AND(V442&lt;20,W442&gt;=105),0.17,0)+IF(AND(V442&gt;=20,V442&lt;40,W442&lt;45),0.3,0)+IF(AND(V442&gt;=20,V442&lt;40,W442&gt;=45,W442&lt;95),0.23,0)+IF(AND(V442&gt;=20,V442&lt;40,W442&gt;=95,W442&lt;=150),0.17,0)+IF(AND(V442&gt;=20,V442&lt;40,W442&gt;=150),0.12,0)+IF(AND(V442&gt;=40,V442&lt;75,W442&lt;35),0.3,0)+IF(AND(V442&gt;=40,V442&lt;75,W442&gt;=35,W442&lt;75),0.23,0)+IF(AND(V442&gt;=40,V442&lt;75,W442&gt;=75,W442&lt;120),0.17,0)+IF(AND(V442&gt;=40,V442&lt;75,W442&gt;=120),0.12,0)+IF(AND(V442&gt;=75,V442&lt;175,W442&lt;35),0.3,0)+IF(AND(V442&gt;=75,V442&lt;=175,W442&gt;=35,W442&lt;65),0.23,0)+IF(AND(V442&gt;=75,V442&lt;=175,W442&gt;=65,W442&lt;110),0.17,0)+IF(AND(V442&gt;=75,V442&lt;=175,W442&gt;=110),0.12,0)+IF(AND(V442&gt;175,W442&lt;25),0.3,0)+IF(AND(V442&gt;175,W442&gt;=25,W442&lt;55),0.23,0)+IF(AND(V442&gt;175,W442&gt;=55,W442&lt;95),0.17,0)+IF(AND(V442&gt;175,W442&gt;=95),0.12,0),
IF(AF442="DoEVsu",IF(AND(V442&lt;20,W442&lt;55),0.3,0)+IF(AND(V442&lt;20,W442&gt;=55,W442&lt;105),0.23,0)+IF(AND(V442&lt;20,W442&gt;=105),0.17,0)+IF(AND(V442&gt;=20,V442&lt;40,W442&lt;45),0.3,0)+IF(AND(V442&gt;=20,V442&lt;40,W442&gt;=45,W442&lt;95),0.23,0)+IF(AND(V442&gt;=20,V442&lt;40,W442&gt;=95,W442&lt;=250),0.17,0)+IF(AND(V442&gt;=20,V442&lt;40,W442&gt;=250),0.12,0)+IF(AND(V442&gt;=40,V442&lt;75,W442&lt;35),0.3,0)+IF(AND(V442&gt;=40,V442&lt;75,W442&gt;=35,W442&lt;75),0.23,0)+IF(AND(V442&gt;=40,V442&lt;75,W442&gt;=75,W442&lt;120),0.17,0)+IF(AND(V442&gt;=40,V442&lt;75,W442&gt;=120),0.12,0)+IF(AND(V442&gt;=75,V442&lt;175,W442&lt;35),0.3,0)+IF(AND(V442&gt;=75,V442&lt;=175,W442&gt;=35,W442&lt;65),0.23,0)+IF(AND(V442&gt;=75,V442&lt;=175,W442&gt;=65,W442&lt;110),0.17,0)+IF(AND(V442&gt;=75,V442&lt;=175,W442&gt;=110),0.12,0)+IF(AND(V442&gt;175,W442&lt;25),0.3,0)+IF(AND(V442&gt;175,W442&gt;=25,W442&lt;55),0.23,0)+IF(AND(V442&gt;175,W442&gt;=55,W442&lt;95),0.17,0)+IF(AND(V442&gt;175,W442&gt;=95),0.12,0),
IF(AF442="DoEVni",IF(AND(V442&lt;20,W442&lt;55),0.3,0)+IF(AND(V442&lt;20,W442&gt;=55,W442&lt;105),0.23,0)+IF(AND(V442&lt;20,W442&gt;=105),0.17,0)+IF(AND(V442&gt;=20,V442&lt;40,W442&lt;45),0.3,0)+IF(AND(V442&gt;=20,V442&lt;40,W442&gt;=45,W442&lt;95),0.23,0)+IF(AND(V442&gt;=20,V442&lt;40,W442&gt;=95,W442&lt;=200),0.17,0)+IF(AND(V442&gt;=20,V442&lt;40,W442&gt;=200),0.12,0)+IF(AND(V442&gt;=40,V442&lt;75,W442&lt;35),0.3,0)+IF(AND(V442&gt;=40,V442&lt;75,W442&gt;=35,W442&lt;75),0.23,0)+IF(AND(V442&gt;=40,V442&lt;75,W442&gt;=75,W442&lt;120),0.17,0)+IF(AND(V442&gt;=40,V442&lt;75,W442&gt;=120),0.12,0)+IF(AND(V442&gt;=75,V442&lt;175,W442&lt;35),0.3,0)+IF(AND(V442&gt;=75,V442&lt;=175,W442&gt;=35,W442&lt;65),0.23,0)+IF(AND(V442&gt;=75,V442&lt;=175,W442&gt;=65,W442&lt;110),0.17,0)+IF(AND(V442&gt;=75,V442&lt;=175,W442&gt;=110),0.12,0)+IF(AND(V442&gt;175,W442&lt;25),0.3,0)+IF(AND(V442&gt;175,W442&gt;=25,W442&lt;55),0.23,0)+IF(AND(V442&gt;175,W442&gt;=55,W442&lt;95),0.17,0)+IF(AND(V442&gt;175,W442&gt;=95),0.12,0),
IF(AF442="DoEVLo",IF(AND(V442&lt;20,W442&lt;55),0.25,0)+IF(AND(V442&lt;20,W442&gt;=55,W442&lt;105),0.2,0)+IF(AND(V442&lt;20,W442&gt;=105),0.15,0)+IF(AND(V442&gt;=20,V442&lt;40,W442&lt;45),0.25,0)+IF(AND(V442&gt;=20,V442&lt;40,W442&gt;=45,W442&lt;95),0.2,0)+IF(AND(V442&gt;=20,V442&lt;40,W442&gt;=95),0.15,0)+IF(AND(V442&gt;=40,V442&lt;75,W442&lt;35),0.25,0)+IF(AND(V442&gt;=40,V442&lt;75,W442&gt;=35,W442&lt;75),0.2,0)+IF(AND(V442&gt;=40,V442&lt;75,W442&gt;=75,W442&lt;120),0.15,0)+IF(AND(V442&gt;=40,V442&lt;75,W442&gt;=120),0.1,0)+IF(AND(V442&gt;=75,V442&lt;175,W442&lt;35),0.25,0)+IF(AND(V442&gt;=75,V442&lt;=175,W442&gt;=35,W442&lt;65),0.2,0)+IF(AND(V442&gt;=75,V442&lt;=175,W442&gt;=65,W442&lt;110),0.15,0)+IF(AND(V442&gt;=75,V442&lt;=175,W442&gt;=110),0.1,0)+IF(AND(V442&gt;175,W442&lt;25),0.25,0)+IF(AND(V442&gt;175,W442&gt;=25,W442&lt;55),0.2,0)+IF(AND(V442&gt;175,W442&gt;=55,W442&lt;95),0.15,0)+IF(AND(V442&gt;175,W442&gt;=95),0.1,0))))))))))))))))</f>
        <v>0.35</v>
      </c>
      <c r="Y442" s="35">
        <f t="shared" ref="Y442:Y449" si="74">if(AG442="None",0,if(AG442="Fix5",0.05,if(AG442="Fix3.75",0.0375,if(AG442="Fix10",0.1,if(AG442="Fix3",0.03,0)))))</f>
        <v>0</v>
      </c>
      <c r="Z442" s="64">
        <v>131.0</v>
      </c>
      <c r="AA442" s="65">
        <v>27.0</v>
      </c>
      <c r="AB442" s="41">
        <f t="shared" ref="AB442:AB457" si="75">if(AD442="EUR",((T442-R442)*Y442)*U442+(R442*Y442),(T442*Y442))</f>
        <v>0</v>
      </c>
      <c r="AC442" s="42" t="b">
        <v>1</v>
      </c>
      <c r="AD442" s="42" t="s">
        <v>138</v>
      </c>
      <c r="AE442" s="42" t="s">
        <v>138</v>
      </c>
      <c r="AF442" s="42" t="str">
        <f t="array" ref="AF442">INDEX('Deal Info'!D:D, MATCH(A442,'Deal Info'!A:A, 0))</f>
        <v>DoEVold</v>
      </c>
      <c r="AG442" s="43" t="str">
        <f t="array" ref="AG442">INDEX('Deal Info'!G:G, MATCH(A442,'Deal Info'!A:A, 0))</f>
        <v>None</v>
      </c>
    </row>
    <row r="443" hidden="1">
      <c r="A443" s="23" t="str">
        <f t="array" ref="A443">if(G443='Room Info'!$B$1, INDEX('Room Info'!$A$2:$A3446, MATCH(B443,'Room Info'!$B$2:$B3446, 0)),if(G443='Room Info'!$C$1, INDEX('Room Info'!$A$2:$A3446, MATCH(B443,'Room Info'!$C$2:$C3446, 0)),if(G443='Room Info'!$D$1, INDEX('Room Info'!$A$2:$A3446, MATCH(B443,'Room Info'!$D$2:$D3446, 0)),if(G443='Room Info'!$E$1, INDEX('Room Info'!$A$2:$A3446, MATCH(B443,'Room Info'!$E$2:$E3446, 0)),if(G443='Room Info'!$F$1, INDEX('Room Info'!$A$2:$A3446, MATCH(B443,'Room Info'!$F$2:$F3446, 0)),if(G443='Room Info'!$H$1, INDEX('Room Info'!$A$2:$A3446, MATCH(B443,'Room Info'!$H$2:$H3446, 0)),if(G443='Room Info'!$G$1, INDEX('Room Info'!$A$2:$A3446, MATCH(B443,'Room Info'!$G$2:$G3446, 0)))))))))</f>
        <v>Freedoom</v>
      </c>
      <c r="B443" s="50" t="s">
        <v>159</v>
      </c>
      <c r="C443" s="51">
        <v>44551.0</v>
      </c>
      <c r="D443" s="51">
        <v>44592.0</v>
      </c>
      <c r="E443" s="52">
        <v>44562.0</v>
      </c>
      <c r="F443" s="53" t="s">
        <v>8</v>
      </c>
      <c r="G443" s="59" t="s">
        <v>9</v>
      </c>
      <c r="H443" s="54" t="s">
        <v>53</v>
      </c>
      <c r="I443" s="54" t="s">
        <v>7</v>
      </c>
      <c r="J443" s="55">
        <v>10.0</v>
      </c>
      <c r="K443" s="56">
        <v>1944.0</v>
      </c>
      <c r="L443" s="57">
        <v>-1260.0</v>
      </c>
      <c r="M443" s="58">
        <v>769.0</v>
      </c>
      <c r="N443" s="33">
        <f t="shared" si="13"/>
        <v>19440</v>
      </c>
      <c r="O443" s="59">
        <v>130093.0</v>
      </c>
      <c r="P443" s="34">
        <f t="shared" si="14"/>
        <v>66.92026749</v>
      </c>
      <c r="Q443" s="60"/>
      <c r="R443" s="36">
        <f t="shared" si="71"/>
        <v>769</v>
      </c>
      <c r="S443" s="61">
        <v>517.0</v>
      </c>
      <c r="T443" s="37">
        <f t="shared" si="72"/>
        <v>1286</v>
      </c>
      <c r="U443" s="62">
        <v>1.0</v>
      </c>
      <c r="V443" s="63"/>
      <c r="W443" s="63"/>
      <c r="X443" s="35">
        <f t="shared" si="73"/>
        <v>0.35</v>
      </c>
      <c r="Y443" s="35">
        <f t="shared" si="74"/>
        <v>0</v>
      </c>
      <c r="Z443" s="64">
        <v>1067.0</v>
      </c>
      <c r="AA443" s="65">
        <v>219.0</v>
      </c>
      <c r="AB443" s="41">
        <f t="shared" si="75"/>
        <v>0</v>
      </c>
      <c r="AC443" s="42" t="b">
        <v>1</v>
      </c>
      <c r="AD443" s="42" t="s">
        <v>138</v>
      </c>
      <c r="AE443" s="42" t="s">
        <v>138</v>
      </c>
      <c r="AF443" s="42" t="str">
        <f t="array" ref="AF443">INDEX('Deal Info'!D:D, MATCH(A443,'Deal Info'!A:A, 0))</f>
        <v>DoEVold</v>
      </c>
      <c r="AG443" s="43" t="str">
        <f t="array" ref="AG443">INDEX('Deal Info'!G:G, MATCH(A443,'Deal Info'!A:A, 0))</f>
        <v>None</v>
      </c>
    </row>
    <row r="444" hidden="1">
      <c r="A444" s="23" t="str">
        <f t="array" ref="A444">if(G444='Room Info'!$B$1, INDEX('Room Info'!$A$2:$A3446, MATCH(B444,'Room Info'!$B$2:$B3446, 0)),if(G444='Room Info'!$C$1, INDEX('Room Info'!$A$2:$A3446, MATCH(B444,'Room Info'!$C$2:$C3446, 0)),if(G444='Room Info'!$D$1, INDEX('Room Info'!$A$2:$A3446, MATCH(B444,'Room Info'!$D$2:$D3446, 0)),if(G444='Room Info'!$E$1, INDEX('Room Info'!$A$2:$A3446, MATCH(B444,'Room Info'!$E$2:$E3446, 0)),if(G444='Room Info'!$F$1, INDEX('Room Info'!$A$2:$A3446, MATCH(B444,'Room Info'!$F$2:$F3446, 0)),if(G444='Room Info'!$H$1, INDEX('Room Info'!$A$2:$A3446, MATCH(B444,'Room Info'!$H$2:$H3446, 0)),if(G444='Room Info'!$G$1, INDEX('Room Info'!$A$2:$A3446, MATCH(B444,'Room Info'!$G$2:$G3446, 0)))))))))</f>
        <v>Freedoom</v>
      </c>
      <c r="B444" s="50" t="s">
        <v>159</v>
      </c>
      <c r="C444" s="51">
        <v>44593.0</v>
      </c>
      <c r="D444" s="51">
        <v>44620.0</v>
      </c>
      <c r="E444" s="52" t="s">
        <v>173</v>
      </c>
      <c r="F444" s="53" t="s">
        <v>8</v>
      </c>
      <c r="G444" s="59" t="s">
        <v>9</v>
      </c>
      <c r="H444" s="54" t="s">
        <v>66</v>
      </c>
      <c r="I444" s="54" t="s">
        <v>7</v>
      </c>
      <c r="J444" s="55">
        <v>25.0</v>
      </c>
      <c r="K444" s="56">
        <v>129.0</v>
      </c>
      <c r="L444" s="57">
        <v>600.0</v>
      </c>
      <c r="M444" s="58">
        <v>159.0</v>
      </c>
      <c r="N444" s="33">
        <f t="shared" si="13"/>
        <v>3225</v>
      </c>
      <c r="O444" s="59">
        <v>13743.0</v>
      </c>
      <c r="P444" s="34">
        <f t="shared" si="14"/>
        <v>106.5348837</v>
      </c>
      <c r="Q444" s="60"/>
      <c r="R444" s="36">
        <f t="shared" si="71"/>
        <v>159</v>
      </c>
      <c r="S444" s="61">
        <v>337.0</v>
      </c>
      <c r="T444" s="37">
        <f t="shared" si="72"/>
        <v>496</v>
      </c>
      <c r="U444" s="62">
        <v>1.0</v>
      </c>
      <c r="V444" s="63"/>
      <c r="W444" s="63"/>
      <c r="X444" s="35">
        <f t="shared" si="73"/>
        <v>0.35</v>
      </c>
      <c r="Y444" s="35">
        <f t="shared" si="74"/>
        <v>0</v>
      </c>
      <c r="Z444" s="64">
        <v>372.0</v>
      </c>
      <c r="AA444" s="65">
        <v>124.0</v>
      </c>
      <c r="AB444" s="41">
        <f t="shared" si="75"/>
        <v>0</v>
      </c>
      <c r="AC444" s="42" t="b">
        <v>1</v>
      </c>
      <c r="AD444" s="42" t="s">
        <v>138</v>
      </c>
      <c r="AE444" s="42" t="s">
        <v>138</v>
      </c>
      <c r="AF444" s="42" t="str">
        <f t="array" ref="AF444">INDEX('Deal Info'!D:D, MATCH(A444,'Deal Info'!A:A, 0))</f>
        <v>DoEVold</v>
      </c>
      <c r="AG444" s="43" t="str">
        <f t="array" ref="AG444">INDEX('Deal Info'!G:G, MATCH(A444,'Deal Info'!A:A, 0))</f>
        <v>None</v>
      </c>
    </row>
    <row r="445" hidden="1">
      <c r="A445" s="23" t="str">
        <f t="array" ref="A445">if(G445='Room Info'!$B$1, INDEX('Room Info'!$A$2:$A3446, MATCH(B445,'Room Info'!$B$2:$B3446, 0)),if(G445='Room Info'!$C$1, INDEX('Room Info'!$A$2:$A3446, MATCH(B445,'Room Info'!$C$2:$C3446, 0)),if(G445='Room Info'!$D$1, INDEX('Room Info'!$A$2:$A3446, MATCH(B445,'Room Info'!$D$2:$D3446, 0)),if(G445='Room Info'!$E$1, INDEX('Room Info'!$A$2:$A3446, MATCH(B445,'Room Info'!$E$2:$E3446, 0)),if(G445='Room Info'!$F$1, INDEX('Room Info'!$A$2:$A3446, MATCH(B445,'Room Info'!$F$2:$F3446, 0)),if(G445='Room Info'!$H$1, INDEX('Room Info'!$A$2:$A3446, MATCH(B445,'Room Info'!$H$2:$H3446, 0)),if(G445='Room Info'!$G$1, INDEX('Room Info'!$A$2:$A3446, MATCH(B445,'Room Info'!$G$2:$G3446, 0)))))))))</f>
        <v>Freedoom</v>
      </c>
      <c r="B445" s="50" t="s">
        <v>159</v>
      </c>
      <c r="C445" s="51">
        <v>44593.0</v>
      </c>
      <c r="D445" s="51">
        <v>44620.0</v>
      </c>
      <c r="E445" s="52" t="s">
        <v>173</v>
      </c>
      <c r="F445" s="53" t="s">
        <v>8</v>
      </c>
      <c r="G445" s="50" t="s">
        <v>9</v>
      </c>
      <c r="H445" s="54" t="s">
        <v>53</v>
      </c>
      <c r="I445" s="54" t="s">
        <v>7</v>
      </c>
      <c r="J445" s="55">
        <v>10.0</v>
      </c>
      <c r="K445" s="56">
        <v>745.0</v>
      </c>
      <c r="L445" s="57">
        <v>-1170.0</v>
      </c>
      <c r="M445" s="58">
        <v>26.0</v>
      </c>
      <c r="N445" s="33">
        <f t="shared" si="13"/>
        <v>7450</v>
      </c>
      <c r="O445" s="59">
        <v>48749.0</v>
      </c>
      <c r="P445" s="34">
        <f t="shared" si="14"/>
        <v>65.43489933</v>
      </c>
      <c r="Q445" s="60"/>
      <c r="R445" s="36">
        <f t="shared" si="71"/>
        <v>26</v>
      </c>
      <c r="S445" s="61">
        <v>225.0</v>
      </c>
      <c r="T445" s="37">
        <f t="shared" si="72"/>
        <v>251</v>
      </c>
      <c r="U445" s="62">
        <v>1.0</v>
      </c>
      <c r="V445" s="63"/>
      <c r="W445" s="63"/>
      <c r="X445" s="35">
        <f t="shared" si="73"/>
        <v>0.35</v>
      </c>
      <c r="Y445" s="35">
        <f t="shared" si="74"/>
        <v>0</v>
      </c>
      <c r="Z445" s="64">
        <v>188.0</v>
      </c>
      <c r="AA445" s="65">
        <v>63.0</v>
      </c>
      <c r="AB445" s="41">
        <f t="shared" si="75"/>
        <v>0</v>
      </c>
      <c r="AC445" s="42" t="b">
        <v>1</v>
      </c>
      <c r="AD445" s="42" t="s">
        <v>138</v>
      </c>
      <c r="AE445" s="42" t="s">
        <v>138</v>
      </c>
      <c r="AF445" s="42" t="str">
        <f t="array" ref="AF445">INDEX('Deal Info'!D:D, MATCH(A445,'Deal Info'!A:A, 0))</f>
        <v>DoEVold</v>
      </c>
      <c r="AG445" s="43" t="str">
        <f t="array" ref="AG445">INDEX('Deal Info'!G:G, MATCH(A445,'Deal Info'!A:A, 0))</f>
        <v>None</v>
      </c>
    </row>
    <row r="446" hidden="1">
      <c r="A446" s="23" t="str">
        <f t="array" ref="A446">if(G446='Room Info'!$B$1, INDEX('Room Info'!$A$2:$A3446, MATCH(B446,'Room Info'!$B$2:$B3446, 0)),if(G446='Room Info'!$C$1, INDEX('Room Info'!$A$2:$A3446, MATCH(B446,'Room Info'!$C$2:$C3446, 0)),if(G446='Room Info'!$D$1, INDEX('Room Info'!$A$2:$A3446, MATCH(B446,'Room Info'!$D$2:$D3446, 0)),if(G446='Room Info'!$E$1, INDEX('Room Info'!$A$2:$A3446, MATCH(B446,'Room Info'!$E$2:$E3446, 0)),if(G446='Room Info'!$F$1, INDEX('Room Info'!$A$2:$A3446, MATCH(B446,'Room Info'!$F$2:$F3446, 0)),if(G446='Room Info'!$H$1, INDEX('Room Info'!$A$2:$A3446, MATCH(B446,'Room Info'!$H$2:$H3446, 0)),if(G446='Room Info'!$G$1, INDEX('Room Info'!$A$2:$A3446, MATCH(B446,'Room Info'!$G$2:$G3446, 0)))))))))</f>
        <v>Freedoom</v>
      </c>
      <c r="B446" s="50" t="s">
        <v>159</v>
      </c>
      <c r="C446" s="51">
        <v>44621.0</v>
      </c>
      <c r="D446" s="51">
        <v>44651.0</v>
      </c>
      <c r="E446" s="52">
        <v>44621.0</v>
      </c>
      <c r="F446" s="53" t="s">
        <v>8</v>
      </c>
      <c r="G446" s="50" t="s">
        <v>9</v>
      </c>
      <c r="H446" s="54" t="s">
        <v>66</v>
      </c>
      <c r="I446" s="54" t="s">
        <v>7</v>
      </c>
      <c r="J446" s="75">
        <v>25.0</v>
      </c>
      <c r="K446" s="76">
        <v>537.0</v>
      </c>
      <c r="L446" s="57">
        <v>-925.0</v>
      </c>
      <c r="M446" s="58">
        <v>8.0</v>
      </c>
      <c r="N446" s="33">
        <f t="shared" si="13"/>
        <v>13425</v>
      </c>
      <c r="O446" s="59">
        <v>37822.0</v>
      </c>
      <c r="P446" s="34">
        <f t="shared" si="14"/>
        <v>70.4320298</v>
      </c>
      <c r="Q446" s="60"/>
      <c r="R446" s="36">
        <f t="shared" si="71"/>
        <v>8</v>
      </c>
      <c r="S446" s="61">
        <v>516.0</v>
      </c>
      <c r="T446" s="37">
        <f t="shared" si="72"/>
        <v>524</v>
      </c>
      <c r="U446" s="62">
        <v>1.0</v>
      </c>
      <c r="V446" s="63"/>
      <c r="W446" s="63"/>
      <c r="X446" s="35">
        <f t="shared" si="73"/>
        <v>0.35</v>
      </c>
      <c r="Y446" s="35">
        <f t="shared" si="74"/>
        <v>0</v>
      </c>
      <c r="Z446" s="64">
        <v>435.0</v>
      </c>
      <c r="AA446" s="65">
        <v>89.0</v>
      </c>
      <c r="AB446" s="41">
        <f t="shared" si="75"/>
        <v>0</v>
      </c>
      <c r="AC446" s="42" t="b">
        <v>1</v>
      </c>
      <c r="AD446" s="42" t="s">
        <v>138</v>
      </c>
      <c r="AE446" s="42" t="s">
        <v>138</v>
      </c>
      <c r="AF446" s="42" t="str">
        <f t="array" ref="AF446">INDEX('Deal Info'!D:D, MATCH(A446,'Deal Info'!A:A, 0))</f>
        <v>DoEVold</v>
      </c>
      <c r="AG446" s="43" t="str">
        <f t="array" ref="AG446">INDEX('Deal Info'!G:G, MATCH(A446,'Deal Info'!A:A, 0))</f>
        <v>None</v>
      </c>
    </row>
    <row r="447" hidden="1">
      <c r="A447" s="23" t="str">
        <f t="array" ref="A447">if(G447='Room Info'!$B$1, INDEX('Room Info'!$A$2:$A3446, MATCH(B447,'Room Info'!$B$2:$B3446, 0)),if(G447='Room Info'!$C$1, INDEX('Room Info'!$A$2:$A3446, MATCH(B447,'Room Info'!$C$2:$C3446, 0)),if(G447='Room Info'!$D$1, INDEX('Room Info'!$A$2:$A3446, MATCH(B447,'Room Info'!$D$2:$D3446, 0)),if(G447='Room Info'!$E$1, INDEX('Room Info'!$A$2:$A3446, MATCH(B447,'Room Info'!$E$2:$E3446, 0)),if(G447='Room Info'!$F$1, INDEX('Room Info'!$A$2:$A3446, MATCH(B447,'Room Info'!$F$2:$F3446, 0)),if(G447='Room Info'!$H$1, INDEX('Room Info'!$A$2:$A3446, MATCH(B447,'Room Info'!$H$2:$H3446, 0)),if(G447='Room Info'!$G$1, INDEX('Room Info'!$A$2:$A3446, MATCH(B447,'Room Info'!$G$2:$G3446, 0)))))))))</f>
        <v>Freedoom</v>
      </c>
      <c r="B447" s="50" t="s">
        <v>159</v>
      </c>
      <c r="C447" s="51">
        <v>44621.0</v>
      </c>
      <c r="D447" s="51">
        <v>44651.0</v>
      </c>
      <c r="E447" s="52">
        <v>44621.0</v>
      </c>
      <c r="F447" s="53" t="s">
        <v>8</v>
      </c>
      <c r="G447" s="50" t="s">
        <v>9</v>
      </c>
      <c r="H447" s="54" t="s">
        <v>53</v>
      </c>
      <c r="I447" s="54" t="s">
        <v>7</v>
      </c>
      <c r="J447" s="55">
        <v>10.0</v>
      </c>
      <c r="K447" s="56">
        <v>588.0</v>
      </c>
      <c r="L447" s="57">
        <v>40.0</v>
      </c>
      <c r="M447" s="58">
        <v>317.0</v>
      </c>
      <c r="N447" s="33">
        <f t="shared" si="13"/>
        <v>5880</v>
      </c>
      <c r="O447" s="59">
        <v>50266.0</v>
      </c>
      <c r="P447" s="34">
        <f t="shared" si="14"/>
        <v>85.48639456</v>
      </c>
      <c r="Q447" s="60"/>
      <c r="R447" s="36">
        <f t="shared" si="71"/>
        <v>317</v>
      </c>
      <c r="S447" s="61">
        <v>386.0</v>
      </c>
      <c r="T447" s="37">
        <f t="shared" si="72"/>
        <v>703</v>
      </c>
      <c r="U447" s="62">
        <v>1.0</v>
      </c>
      <c r="V447" s="63"/>
      <c r="W447" s="63"/>
      <c r="X447" s="35">
        <f t="shared" si="73"/>
        <v>0.35</v>
      </c>
      <c r="Y447" s="35">
        <f t="shared" si="74"/>
        <v>0</v>
      </c>
      <c r="Z447" s="64">
        <v>583.0</v>
      </c>
      <c r="AA447" s="65">
        <v>120.0</v>
      </c>
      <c r="AB447" s="41">
        <f t="shared" si="75"/>
        <v>0</v>
      </c>
      <c r="AC447" s="42" t="b">
        <v>1</v>
      </c>
      <c r="AD447" s="42" t="s">
        <v>138</v>
      </c>
      <c r="AE447" s="42" t="s">
        <v>138</v>
      </c>
      <c r="AF447" s="42" t="str">
        <f t="array" ref="AF447">INDEX('Deal Info'!D:D, MATCH(A447,'Deal Info'!A:A, 0))</f>
        <v>DoEVold</v>
      </c>
      <c r="AG447" s="43" t="str">
        <f t="array" ref="AG447">INDEX('Deal Info'!G:G, MATCH(A447,'Deal Info'!A:A, 0))</f>
        <v>None</v>
      </c>
    </row>
    <row r="448" hidden="1">
      <c r="A448" s="23" t="str">
        <f t="array" ref="A448">if(G448='Room Info'!$B$1, INDEX('Room Info'!$A$2:$A3446, MATCH(B448,'Room Info'!$B$2:$B3446, 0)),if(G448='Room Info'!$C$1, INDEX('Room Info'!$A$2:$A3446, MATCH(B448,'Room Info'!$C$2:$C3446, 0)),if(G448='Room Info'!$D$1, INDEX('Room Info'!$A$2:$A3446, MATCH(B448,'Room Info'!$D$2:$D3446, 0)),if(G448='Room Info'!$E$1, INDEX('Room Info'!$A$2:$A3446, MATCH(B448,'Room Info'!$E$2:$E3446, 0)),if(G448='Room Info'!$F$1, INDEX('Room Info'!$A$2:$A3446, MATCH(B448,'Room Info'!$F$2:$F3446, 0)),if(G448='Room Info'!$H$1, INDEX('Room Info'!$A$2:$A3446, MATCH(B448,'Room Info'!$H$2:$H3446, 0)),if(G448='Room Info'!$G$1, INDEX('Room Info'!$A$2:$A3446, MATCH(B448,'Room Info'!$G$2:$G3446, 0)))))))))</f>
        <v>Freedoom</v>
      </c>
      <c r="B448" s="50" t="s">
        <v>159</v>
      </c>
      <c r="C448" s="51">
        <v>44652.0</v>
      </c>
      <c r="D448" s="51">
        <v>44681.0</v>
      </c>
      <c r="E448" s="52">
        <v>44652.0</v>
      </c>
      <c r="F448" s="53" t="s">
        <v>8</v>
      </c>
      <c r="G448" s="50" t="s">
        <v>9</v>
      </c>
      <c r="H448" s="54" t="s">
        <v>66</v>
      </c>
      <c r="I448" s="54" t="s">
        <v>7</v>
      </c>
      <c r="J448" s="75">
        <v>25.0</v>
      </c>
      <c r="K448" s="76">
        <v>805.0</v>
      </c>
      <c r="L448" s="57">
        <v>-1550.0</v>
      </c>
      <c r="M448" s="58">
        <v>65.0</v>
      </c>
      <c r="N448" s="33">
        <f t="shared" si="13"/>
        <v>20125</v>
      </c>
      <c r="O448" s="59">
        <v>57825.0</v>
      </c>
      <c r="P448" s="34">
        <f t="shared" si="14"/>
        <v>71.83229814</v>
      </c>
      <c r="Q448" s="60"/>
      <c r="R448" s="36">
        <f t="shared" si="71"/>
        <v>65</v>
      </c>
      <c r="S448" s="61">
        <v>806.0</v>
      </c>
      <c r="T448" s="37">
        <f t="shared" si="72"/>
        <v>871</v>
      </c>
      <c r="U448" s="62">
        <v>1.0</v>
      </c>
      <c r="V448" s="63"/>
      <c r="W448" s="63"/>
      <c r="X448" s="35">
        <f t="shared" si="73"/>
        <v>0.35</v>
      </c>
      <c r="Y448" s="35">
        <f t="shared" si="74"/>
        <v>0</v>
      </c>
      <c r="Z448" s="64">
        <v>653.0</v>
      </c>
      <c r="AA448" s="65">
        <v>218.0</v>
      </c>
      <c r="AB448" s="41">
        <f t="shared" si="75"/>
        <v>0</v>
      </c>
      <c r="AC448" s="42" t="b">
        <v>1</v>
      </c>
      <c r="AD448" s="42" t="s">
        <v>138</v>
      </c>
      <c r="AE448" s="42" t="s">
        <v>138</v>
      </c>
      <c r="AF448" s="42" t="str">
        <f t="array" ref="AF448">INDEX('Deal Info'!D:D, MATCH(A448,'Deal Info'!A:A, 0))</f>
        <v>DoEVold</v>
      </c>
      <c r="AG448" s="43" t="str">
        <f t="array" ref="AG448">INDEX('Deal Info'!G:G, MATCH(A448,'Deal Info'!A:A, 0))</f>
        <v>None</v>
      </c>
    </row>
    <row r="449" hidden="1">
      <c r="A449" s="23" t="str">
        <f t="array" ref="A449">if(G449='Room Info'!$B$1, INDEX('Room Info'!$A$2:$A3446, MATCH(B449,'Room Info'!$B$2:$B3446, 0)),if(G449='Room Info'!$C$1, INDEX('Room Info'!$A$2:$A3446, MATCH(B449,'Room Info'!$C$2:$C3446, 0)),if(G449='Room Info'!$D$1, INDEX('Room Info'!$A$2:$A3446, MATCH(B449,'Room Info'!$D$2:$D3446, 0)),if(G449='Room Info'!$E$1, INDEX('Room Info'!$A$2:$A3446, MATCH(B449,'Room Info'!$E$2:$E3446, 0)),if(G449='Room Info'!$F$1, INDEX('Room Info'!$A$2:$A3446, MATCH(B449,'Room Info'!$F$2:$F3446, 0)),if(G449='Room Info'!$H$1, INDEX('Room Info'!$A$2:$A3446, MATCH(B449,'Room Info'!$H$2:$H3446, 0)),if(G449='Room Info'!$G$1, INDEX('Room Info'!$A$2:$A3446, MATCH(B449,'Room Info'!$G$2:$G3446, 0)))))))))</f>
        <v>Freedoom</v>
      </c>
      <c r="B449" s="50" t="s">
        <v>159</v>
      </c>
      <c r="C449" s="51">
        <v>44652.0</v>
      </c>
      <c r="D449" s="51">
        <v>44681.0</v>
      </c>
      <c r="E449" s="52">
        <v>44652.0</v>
      </c>
      <c r="F449" s="53" t="s">
        <v>8</v>
      </c>
      <c r="G449" s="50" t="s">
        <v>9</v>
      </c>
      <c r="H449" s="54" t="s">
        <v>53</v>
      </c>
      <c r="I449" s="54" t="s">
        <v>7</v>
      </c>
      <c r="J449" s="75">
        <v>10.0</v>
      </c>
      <c r="K449" s="76">
        <v>133.0</v>
      </c>
      <c r="L449" s="57">
        <v>-170.0</v>
      </c>
      <c r="M449" s="58">
        <v>370.0</v>
      </c>
      <c r="N449" s="33">
        <f t="shared" si="13"/>
        <v>1330</v>
      </c>
      <c r="O449" s="59">
        <v>7749.0</v>
      </c>
      <c r="P449" s="34">
        <f t="shared" si="14"/>
        <v>58.26315789</v>
      </c>
      <c r="Q449" s="60"/>
      <c r="R449" s="36">
        <f t="shared" si="71"/>
        <v>370</v>
      </c>
      <c r="S449" s="61">
        <v>21.0</v>
      </c>
      <c r="T449" s="37">
        <f t="shared" si="72"/>
        <v>391</v>
      </c>
      <c r="U449" s="62">
        <v>1.0</v>
      </c>
      <c r="V449" s="63"/>
      <c r="W449" s="63"/>
      <c r="X449" s="35">
        <f t="shared" si="73"/>
        <v>0.35</v>
      </c>
      <c r="Y449" s="35">
        <f t="shared" si="74"/>
        <v>0</v>
      </c>
      <c r="Z449" s="64">
        <v>294.0</v>
      </c>
      <c r="AA449" s="65">
        <v>98.0</v>
      </c>
      <c r="AB449" s="41">
        <f t="shared" si="75"/>
        <v>0</v>
      </c>
      <c r="AC449" s="42" t="b">
        <v>1</v>
      </c>
      <c r="AD449" s="42" t="s">
        <v>138</v>
      </c>
      <c r="AE449" s="42" t="s">
        <v>138</v>
      </c>
      <c r="AF449" s="42" t="str">
        <f t="array" ref="AF449">INDEX('Deal Info'!D:D, MATCH(A449,'Deal Info'!A:A, 0))</f>
        <v>DoEVold</v>
      </c>
      <c r="AG449" s="43" t="str">
        <f t="array" ref="AG449">INDEX('Deal Info'!G:G, MATCH(A449,'Deal Info'!A:A, 0))</f>
        <v>None</v>
      </c>
    </row>
    <row r="450" hidden="1">
      <c r="A450" s="23" t="str">
        <f t="array" ref="A450">if(G450='Room Info'!$B$1, INDEX('Room Info'!$A$2:$A3446, MATCH(B450,'Room Info'!$B$2:$B3446, 0)),if(G450='Room Info'!$C$1, INDEX('Room Info'!$A$2:$A3446, MATCH(B450,'Room Info'!$C$2:$C3446, 0)),if(G450='Room Info'!$D$1, INDEX('Room Info'!$A$2:$A3446, MATCH(B450,'Room Info'!$D$2:$D3446, 0)),if(G450='Room Info'!$E$1, INDEX('Room Info'!$A$2:$A3446, MATCH(B450,'Room Info'!$E$2:$E3446, 0)),if(G450='Room Info'!$F$1, INDEX('Room Info'!$A$2:$A3446, MATCH(B450,'Room Info'!$F$2:$F3446, 0)),if(G450='Room Info'!$H$1, INDEX('Room Info'!$A$2:$A3446, MATCH(B450,'Room Info'!$H$2:$H3446, 0)),if(G450='Room Info'!$G$1, INDEX('Room Info'!$A$2:$A3446, MATCH(B450,'Room Info'!$G$2:$G3446, 0)))))))))</f>
        <v>vezuxa</v>
      </c>
      <c r="B450" s="50" t="s">
        <v>174</v>
      </c>
      <c r="C450" s="51">
        <v>44743.0</v>
      </c>
      <c r="D450" s="51">
        <v>44773.0</v>
      </c>
      <c r="E450" s="52">
        <v>44743.0</v>
      </c>
      <c r="F450" s="53" t="s">
        <v>12</v>
      </c>
      <c r="G450" s="50" t="s">
        <v>9</v>
      </c>
      <c r="H450" s="54" t="s">
        <v>41</v>
      </c>
      <c r="I450" s="54" t="s">
        <v>7</v>
      </c>
      <c r="J450" s="55">
        <v>5.0</v>
      </c>
      <c r="K450" s="56">
        <v>1174.0</v>
      </c>
      <c r="L450" s="57">
        <v>-255.0</v>
      </c>
      <c r="M450" s="58">
        <v>5.0</v>
      </c>
      <c r="N450" s="33">
        <f t="shared" si="13"/>
        <v>5870</v>
      </c>
      <c r="O450" s="70"/>
      <c r="P450" s="34">
        <f t="shared" si="14"/>
        <v>0</v>
      </c>
      <c r="Q450" s="60"/>
      <c r="R450" s="36">
        <f t="shared" si="71"/>
        <v>5</v>
      </c>
      <c r="S450" s="71"/>
      <c r="T450" s="37">
        <f t="shared" si="72"/>
        <v>-250</v>
      </c>
      <c r="U450" s="62">
        <v>1.0</v>
      </c>
      <c r="V450" s="63"/>
      <c r="W450" s="63"/>
      <c r="X450" s="83">
        <v>0.17</v>
      </c>
      <c r="Y450" s="35">
        <f t="shared" ref="Y450:Y452" si="76">if(AG450="None",0,if(AG450="Fix5",0.05, if(AG450="Fix6.25",0.0625,if(AG450="Fix3.75",0.0375,if(AG450="Fix10",0.1,if(AG450="Fix3",0.03,0))))))</f>
        <v>0</v>
      </c>
      <c r="Z450" s="40">
        <f t="shared" ref="Z450:Z452" si="77">T450-AA450-AB450</f>
        <v>-207.5</v>
      </c>
      <c r="AA450" s="34">
        <f t="shared" ref="AA450:AA452" si="78">if(AD450="EUR",((T450-R450)*X450)*U450+(R450*X450),(T450*X450))</f>
        <v>-42.5</v>
      </c>
      <c r="AB450" s="41">
        <f t="shared" si="75"/>
        <v>0</v>
      </c>
      <c r="AC450" s="42" t="b">
        <v>1</v>
      </c>
      <c r="AD450" s="66" t="s">
        <v>140</v>
      </c>
      <c r="AE450" s="66"/>
      <c r="AF450" s="42" t="str">
        <f t="array" ref="AF450">INDEX('Deal Info'!D:D, MATCH(A450,'Deal Info'!A:A, 0))</f>
        <v>DoEV</v>
      </c>
      <c r="AG450" s="43" t="str">
        <f t="array" ref="AG450">INDEX('Deal Info'!G:G, MATCH(A450,'Deal Info'!A:A, 0))</f>
        <v>None</v>
      </c>
    </row>
    <row r="451" hidden="1">
      <c r="A451" s="23" t="str">
        <f t="array" ref="A451">if(G451='Room Info'!$B$1, INDEX('Room Info'!$A$2:$A3446, MATCH(B451,'Room Info'!$B$2:$B3446, 0)),if(G451='Room Info'!$C$1, INDEX('Room Info'!$A$2:$A3446, MATCH(B451,'Room Info'!$C$2:$C3446, 0)),if(G451='Room Info'!$D$1, INDEX('Room Info'!$A$2:$A3446, MATCH(B451,'Room Info'!$D$2:$D3446, 0)),if(G451='Room Info'!$E$1, INDEX('Room Info'!$A$2:$A3446, MATCH(B451,'Room Info'!$E$2:$E3446, 0)),if(G451='Room Info'!$F$1, INDEX('Room Info'!$A$2:$A3446, MATCH(B451,'Room Info'!$F$2:$F3446, 0)),if(G451='Room Info'!$H$1, INDEX('Room Info'!$A$2:$A3446, MATCH(B451,'Room Info'!$H$2:$H3446, 0)),if(G451='Room Info'!$G$1, INDEX('Room Info'!$A$2:$A3446, MATCH(B451,'Room Info'!$G$2:$G3446, 0)))))))))</f>
        <v>vezuxa</v>
      </c>
      <c r="B451" s="50" t="s">
        <v>174</v>
      </c>
      <c r="C451" s="51">
        <v>44774.0</v>
      </c>
      <c r="D451" s="51">
        <v>44804.0</v>
      </c>
      <c r="E451" s="52">
        <v>44774.0</v>
      </c>
      <c r="F451" s="53" t="s">
        <v>12</v>
      </c>
      <c r="G451" s="50" t="s">
        <v>9</v>
      </c>
      <c r="H451" s="54" t="s">
        <v>41</v>
      </c>
      <c r="I451" s="54" t="s">
        <v>7</v>
      </c>
      <c r="J451" s="55">
        <v>5.0</v>
      </c>
      <c r="K451" s="56">
        <v>2856.0</v>
      </c>
      <c r="L451" s="57">
        <v>1070.0</v>
      </c>
      <c r="M451" s="58">
        <v>69.0</v>
      </c>
      <c r="N451" s="33">
        <f t="shared" si="13"/>
        <v>14280</v>
      </c>
      <c r="O451" s="59">
        <v>218773.0</v>
      </c>
      <c r="P451" s="34">
        <f t="shared" si="14"/>
        <v>76.60119048</v>
      </c>
      <c r="Q451" s="60"/>
      <c r="R451" s="36">
        <f t="shared" si="71"/>
        <v>69</v>
      </c>
      <c r="S451" s="71"/>
      <c r="T451" s="37">
        <f t="shared" si="72"/>
        <v>1139</v>
      </c>
      <c r="U451" s="62">
        <v>1.0</v>
      </c>
      <c r="V451" s="63"/>
      <c r="W451" s="63"/>
      <c r="X451" s="83">
        <v>0.17</v>
      </c>
      <c r="Y451" s="35">
        <f t="shared" si="76"/>
        <v>0</v>
      </c>
      <c r="Z451" s="40">
        <f t="shared" si="77"/>
        <v>945.37</v>
      </c>
      <c r="AA451" s="34">
        <f t="shared" si="78"/>
        <v>193.63</v>
      </c>
      <c r="AB451" s="41">
        <f t="shared" si="75"/>
        <v>0</v>
      </c>
      <c r="AC451" s="42" t="b">
        <v>1</v>
      </c>
      <c r="AD451" s="66" t="s">
        <v>140</v>
      </c>
      <c r="AE451" s="66"/>
      <c r="AF451" s="42" t="str">
        <f t="array" ref="AF451">INDEX('Deal Info'!D:D, MATCH(A451,'Deal Info'!A:A, 0))</f>
        <v>DoEV</v>
      </c>
      <c r="AG451" s="43" t="str">
        <f t="array" ref="AG451">INDEX('Deal Info'!G:G, MATCH(A451,'Deal Info'!A:A, 0))</f>
        <v>None</v>
      </c>
    </row>
    <row r="452" hidden="1">
      <c r="A452" s="23" t="str">
        <f t="array" ref="A452">if(G452='Room Info'!$B$1, INDEX('Room Info'!$A$2:$A3446, MATCH(B452,'Room Info'!$B$2:$B3446, 0)),if(G452='Room Info'!$C$1, INDEX('Room Info'!$A$2:$A3446, MATCH(B452,'Room Info'!$C$2:$C3446, 0)),if(G452='Room Info'!$D$1, INDEX('Room Info'!$A$2:$A3446, MATCH(B452,'Room Info'!$D$2:$D3446, 0)),if(G452='Room Info'!$E$1, INDEX('Room Info'!$A$2:$A3446, MATCH(B452,'Room Info'!$E$2:$E3446, 0)),if(G452='Room Info'!$F$1, INDEX('Room Info'!$A$2:$A3446, MATCH(B452,'Room Info'!$F$2:$F3446, 0)),if(G452='Room Info'!$H$1, INDEX('Room Info'!$A$2:$A3446, MATCH(B452,'Room Info'!$H$2:$H3446, 0)),if(G452='Room Info'!$G$1, INDEX('Room Info'!$A$2:$A3446, MATCH(B452,'Room Info'!$G$2:$G3446, 0)))))))))</f>
        <v>vezuxa</v>
      </c>
      <c r="B452" s="50" t="s">
        <v>174</v>
      </c>
      <c r="C452" s="51">
        <v>44805.0</v>
      </c>
      <c r="D452" s="51">
        <v>44834.0</v>
      </c>
      <c r="E452" s="52">
        <v>44805.0</v>
      </c>
      <c r="F452" s="53" t="s">
        <v>12</v>
      </c>
      <c r="G452" s="50" t="s">
        <v>9</v>
      </c>
      <c r="H452" s="54" t="s">
        <v>41</v>
      </c>
      <c r="I452" s="54" t="s">
        <v>7</v>
      </c>
      <c r="J452" s="55">
        <v>5.0</v>
      </c>
      <c r="K452" s="56">
        <v>1351.0</v>
      </c>
      <c r="L452" s="57">
        <v>5.0</v>
      </c>
      <c r="M452" s="58">
        <v>11.0</v>
      </c>
      <c r="N452" s="33">
        <f t="shared" si="13"/>
        <v>6755</v>
      </c>
      <c r="O452" s="59">
        <v>98474.0</v>
      </c>
      <c r="P452" s="34">
        <f t="shared" si="14"/>
        <v>72.88971132</v>
      </c>
      <c r="Q452" s="60"/>
      <c r="R452" s="36">
        <f t="shared" si="71"/>
        <v>11</v>
      </c>
      <c r="S452" s="71"/>
      <c r="T452" s="37">
        <f t="shared" si="72"/>
        <v>16</v>
      </c>
      <c r="U452" s="62">
        <v>1.0</v>
      </c>
      <c r="V452" s="63"/>
      <c r="W452" s="63"/>
      <c r="X452" s="83">
        <v>0.17</v>
      </c>
      <c r="Y452" s="35">
        <f t="shared" si="76"/>
        <v>0</v>
      </c>
      <c r="Z452" s="40">
        <f t="shared" si="77"/>
        <v>13.28</v>
      </c>
      <c r="AA452" s="34">
        <f t="shared" si="78"/>
        <v>2.72</v>
      </c>
      <c r="AB452" s="41">
        <f t="shared" si="75"/>
        <v>0</v>
      </c>
      <c r="AC452" s="42" t="b">
        <v>1</v>
      </c>
      <c r="AD452" s="66" t="s">
        <v>140</v>
      </c>
      <c r="AE452" s="66"/>
      <c r="AF452" s="42" t="str">
        <f t="array" ref="AF452">INDEX('Deal Info'!D:D, MATCH(A452,'Deal Info'!A:A, 0))</f>
        <v>DoEV</v>
      </c>
      <c r="AG452" s="43" t="str">
        <f t="array" ref="AG452">INDEX('Deal Info'!G:G, MATCH(A452,'Deal Info'!A:A, 0))</f>
        <v>None</v>
      </c>
    </row>
    <row r="453" hidden="1">
      <c r="A453" s="23" t="str">
        <f t="array" ref="A453">if(G453='Room Info'!$B$1, INDEX('Room Info'!$A$2:$A3446, MATCH(B453,'Room Info'!$B$2:$B3446, 0)),if(G453='Room Info'!$C$1, INDEX('Room Info'!$A$2:$A3446, MATCH(B453,'Room Info'!$C$2:$C3446, 0)),if(G453='Room Info'!$D$1, INDEX('Room Info'!$A$2:$A3446, MATCH(B453,'Room Info'!$D$2:$D3446, 0)),if(G453='Room Info'!$E$1, INDEX('Room Info'!$A$2:$A3446, MATCH(B453,'Room Info'!$E$2:$E3446, 0)),if(G453='Room Info'!$F$1, INDEX('Room Info'!$A$2:$A3446, MATCH(B453,'Room Info'!$F$2:$F3446, 0)),if(G453='Room Info'!$H$1, INDEX('Room Info'!$A$2:$A3446, MATCH(B453,'Room Info'!$H$2:$H3446, 0)),if(G453='Room Info'!$G$1, INDEX('Room Info'!$A$2:$A3446, MATCH(B453,'Room Info'!$G$2:$G3446, 0)))))))))</f>
        <v>Freedoom</v>
      </c>
      <c r="B453" s="50" t="s">
        <v>159</v>
      </c>
      <c r="C453" s="51">
        <v>44682.0</v>
      </c>
      <c r="D453" s="51">
        <v>44712.0</v>
      </c>
      <c r="E453" s="52">
        <v>44682.0</v>
      </c>
      <c r="F453" s="53" t="s">
        <v>8</v>
      </c>
      <c r="G453" s="50" t="s">
        <v>9</v>
      </c>
      <c r="H453" s="54" t="s">
        <v>66</v>
      </c>
      <c r="I453" s="54" t="s">
        <v>7</v>
      </c>
      <c r="J453" s="75">
        <v>25.0</v>
      </c>
      <c r="K453" s="76">
        <v>28.0</v>
      </c>
      <c r="L453" s="57">
        <v>275.0</v>
      </c>
      <c r="M453" s="58">
        <v>2.0</v>
      </c>
      <c r="N453" s="33">
        <f t="shared" si="13"/>
        <v>700</v>
      </c>
      <c r="O453" s="59">
        <v>3278.0</v>
      </c>
      <c r="P453" s="34">
        <f t="shared" si="14"/>
        <v>117.0714286</v>
      </c>
      <c r="Q453" s="60"/>
      <c r="R453" s="36">
        <f t="shared" si="71"/>
        <v>2</v>
      </c>
      <c r="S453" s="61">
        <v>87.0</v>
      </c>
      <c r="T453" s="37">
        <f t="shared" si="72"/>
        <v>89</v>
      </c>
      <c r="U453" s="62">
        <v>1.0</v>
      </c>
      <c r="V453" s="63"/>
      <c r="W453" s="63"/>
      <c r="X453" s="35">
        <f t="shared" ref="X453:X455" si="79">IF(AF453="DoEV",IF(AND(V453&lt;20,W453&lt;55),0.3,0)+IF(AND(V453&lt;20,W453&gt;=55,W453&lt;105),0.23,0)+IF(AND(V453&lt;20,W453&gt;=105),0.17,0)+IF(AND(V453&gt;=20,V453&lt;40,W453&lt;45),0.3,0)+IF(AND(V453&gt;=20,V453&lt;40,W453&gt;=45,W453&lt;95),0.23,0)+IF(AND(V453&gt;=20,V453&lt;40,W453&gt;=95),0.17,0)+IF(AND(V453&gt;=40,V453&lt;75,W453&lt;35),0.3,0)+IF(AND(V453&gt;=40,V453&lt;75,W453&gt;=35,W453&lt;75),0.23,0)+IF(AND(V453&gt;=40,V453&lt;75,W453&gt;=75,W453&lt;120),0.17,0)+IF(AND(V453&gt;=40,V453&lt;75,W453&gt;=120),0.12,0)+IF(AND(V453&gt;=75,V453&lt;175,W453&lt;35),0.3,0)+IF(AND(V453&gt;=75,V453&lt;=175,W453&gt;=35,W453&lt;65),0.23,0)+IF(AND(V453&gt;=75,V453&lt;=175,W453&gt;=65,W453&lt;110),0.17,0)+IF(AND(V453&gt;=75,V453&lt;=175,W453&gt;=110),0.12,0)+IF(AND(V453&gt;175,W453&lt;25),0.3,0)+IF(AND(V453&gt;175,W453&gt;=25,W453&lt;55),0.23,0)+IF(AND(V453&gt;175,W453&gt;=55,W453&lt;95),0.17,0)+IF(AND(V453&gt;175,W453&gt;=95),0.12,0),
IF(AF453="Fix15",0.15,
IF(AF453="Fix11.25",0.1125,
IF(AF453="Fix10",0.1,
IF(AF453="Fix9",0.09,
IF(AF453="DoEV2017",IF(AND(W453&lt;74),0.2,0)+IF(AND(W453&gt;=74),0.17,0),
IF(AF453="SF",IF(AND(V453&lt;20,W453&lt;89),0.3,0)+IF(AND(V453&lt;20,W453&gt;=89),0.25,0)+IF(AND(V453&gt;=20,V453&lt;40,W453&lt;74),0.3,0)+IF(AND(V453&gt;=20,V453&lt;40,W453&gt;=75),0.22,0)+IF(AND(V453&gt;=40,V453&lt;75,W453&lt;75),0.26,0)+IF(AND(V453&gt;=40,V453&lt;75,W453&gt;=75),0.22,0)+IF(V453&gt;=75,0.22,0),
IF(AF453="DoEVold",IF(AND(V453&lt;40,W453&lt;35),0.35,0)+IF(AND(V453&lt;40,W453&gt;=35,W453&lt;75),0.25,0)+IF(AND(V453&lt;40,W453&gt;=75),0.17,0)+IF(AND(V453&gt;=40,V453&lt;75,W453&lt;25),0.35,0)+IF(AND(V453&gt;=40,V453&lt;75,W453&gt;=25,W453&lt;65),0.25,0)+IF(AND(V453&gt;=40,V453&lt;75,W453&gt;=65,W453&lt;100),0.17,0)+IF(AND(V453&gt;=40,V453&lt;75,W453&gt;=100),0.1,0)+IF(AND(V453&gt;=75,W453&lt;25),0.35,0)+IF(AND(V453&gt;=75,W453&gt;=25,W453&lt;60),0.25,0)+IF(AND(V453&gt;=75,W453&gt;=60,W453&lt;95),0.17,0)+IF(AND(V453&gt;=75,W453&gt;=95),0.1,0),
IF(AF453="DoEVold15",IF(AND(V453&lt;=40,W453&lt;35),0.35,0)+IF(AND(V453&lt;=40,W453&gt;=35,W453&lt;75),0.25,0)+IF(AND(V453&lt;=40,W453&gt;=75,W453&lt;120),0.17,0)+IF(AND(V453&lt;=40,W453&gt;=120),0.15,0)+IF(AND(V453&gt;40,V453&lt;75,W453&lt;25),0.35,0)+IF(AND(V453&gt;=40,V453&lt;75,W453&gt;=25,W453&lt;65),0.25,0)+IF(AND(V453&gt;=40,V453&lt;75,W453&gt;=65,W453&lt;100),0.17,0)+IF(AND(V453&gt;=40,V453&lt;75,W453&gt;=100),0.1,0)+IF(AND(V453&gt;=75,W453&lt;25),0.35,0)+IF(AND(V453&gt;=75,W453&gt;=25,W453&lt;60),0.25,0)+IF(AND(V453&gt;=75,W453&gt;=60,W453&lt;95),0.17,0)+IF(AND(V453&gt;=75,W453&gt;=95),0.1,0),
IF(AF453="DoEVba",IF(AND(V453&lt;20,W453&lt;105),0.2,0)+IF(AND(V453&lt;20,W453&gt;=105),0.15,0)+IF(AND(V453&gt;=20,V453&lt;40,W453&lt;95),0.2,0)+IF(AND(V453&gt;=20,V453&lt;40,W453&gt;=95,W453&lt;150),0.15,0)+IF(AND(V453&gt;=20,V453&lt;40,W453&gt;=150),0.12,0)+IF(AND(V453&gt;=40,V453&lt;75,W453&lt;75),0.2,0)+IF(AND(V453&gt;=40,V453&lt;75,W453&gt;=75,W453&lt;120),0.15,0)+IF(AND(V453&gt;=40,V453&lt;75,W453&gt;=120),0.12,0)+IF(AND(V453&gt;=75,V453&lt;175,W453&lt;65),0.2,0)+IF(AND(V453&gt;=75,V453&lt;175,W453&gt;=65,W453&lt;110),0.15,0)+IF(AND(V453&gt;=75,V453&lt;175,W453&gt;=110),0.12,0)+IF(AND(V453&gt;=175,W453&lt;55),0.2,0)+IF(AND(V453&gt;=175,W453&gt;=55,W453&lt;95),0.15,0)+IF(AND(V453&gt;=175,W453&gt;=95),0.12,0),
IF(AF453="DoEVku",IF(AND(V453&lt;20,W453&lt;55),0.23,0)+IF(AND(V453&lt;20,W453&gt;=55,W453&lt;105),0.2,0)+IF(AND(V453&lt;20,W453&gt;=105),0.17,0)+IF(AND(V453&gt;=20,V453&lt;40,W453&lt;45),0.23,0)+IF(AND(V453&gt;=20,V453&lt;40,W453&gt;=45,W453&lt;95),0.2,0)+IF(AND(V453&gt;=20,V453&lt;40,W453&gt;=95,W453&lt;=150),0.17,0)+IF(AND(V453&gt;=20,V453&lt;40,W453&gt;=150),0.12,0)+IF(AND(V453&gt;=40,V453&lt;75,W453&lt;35),0.23,0)+IF(AND(V453&gt;=40,V453&lt;75,W453&gt;=35,W453&lt;75),0.2,0)+IF(AND(V453&gt;=40,V453&lt;75,W453&gt;=75,W453&lt;120),0.17,0)+IF(AND(V453&gt;=40,V453&lt;75,W453&gt;=120),0.12,0)+IF(AND(V453&gt;=75,V453&lt;175,W453&lt;35),0.23,0)+IF(AND(V453&gt;=75,V453&lt;=175,W453&gt;=35,W453&lt;65),0.2,0)+IF(AND(V453&gt;=75,V453&lt;=175,W453&gt;=65,W453&lt;110),0.17,0)+IF(AND(V453&gt;=75,V453&lt;=175,W453&gt;=110),0.12,0)+IF(AND(V453&gt;175,W453&lt;25),0.23,0)+IF(AND(V453&gt;175,W453&gt;=25,W453&lt;55),0.2,0)+IF(AND(V453&gt;175,W453&gt;=55,W453&lt;95),0.17,0)+IF(AND(V453&gt;175,W453&gt;=95),0.12,0),
IF(AF453="DoEVs1",IF(AND(V453&lt;20,W453&lt;55),0.3,0)+IF(AND(V453&lt;20,W453&gt;=55,W453&lt;105),0.23,0)+IF(AND(V453&lt;20,W453&gt;=105),0.17,0)+IF(AND(V453&gt;=20,V453&lt;40,W453&lt;45),0.3,0)+IF(AND(V453&gt;=20,V453&lt;40,W453&gt;=45,W453&lt;95),0.23,0)+IF(AND(V453&gt;=20,V453&lt;40,W453&gt;=95,W453&lt;=150),0.17,0)+IF(AND(V453&gt;=20,V453&lt;40,W453&gt;=150),0.12,0)+IF(AND(V453&gt;=40,V453&lt;75,W453&lt;35),0.3,0)+IF(AND(V453&gt;=40,V453&lt;75,W453&gt;=35,W453&lt;75),0.23,0)+IF(AND(V453&gt;=40,V453&lt;75,W453&gt;=75,W453&lt;120),0.17,0)+IF(AND(V453&gt;=40,V453&lt;75,W453&gt;=120),0.12,0)+IF(AND(V453&gt;=75,V453&lt;175,W453&lt;35),0.3,0)+IF(AND(V453&gt;=75,V453&lt;=175,W453&gt;=35,W453&lt;65),0.23,0)+IF(AND(V453&gt;=75,V453&lt;=175,W453&gt;=65,W453&lt;110),0.17,0)+IF(AND(V453&gt;=75,V453&lt;=175,W453&gt;=110),0.12,0)+IF(AND(V453&gt;175,W453&lt;25),0.3,0)+IF(AND(V453&gt;175,W453&gt;=25,W453&lt;55),0.23,0)+IF(AND(V453&gt;175,W453&gt;=55,W453&lt;95),0.17,0)+IF(AND(V453&gt;175,W453&gt;=95),0.12,0),
IF(AF453="DoEVsu",IF(AND(V453&lt;20,W453&lt;55),0.3,0)+IF(AND(V453&lt;20,W453&gt;=55,W453&lt;105),0.23,0)+IF(AND(V453&lt;20,W453&gt;=105),0.17,0)+IF(AND(V453&gt;=20,V453&lt;40,W453&lt;45),0.3,0)+IF(AND(V453&gt;=20,V453&lt;40,W453&gt;=45,W453&lt;95),0.23,0)+IF(AND(V453&gt;=20,V453&lt;40,W453&gt;=95,W453&lt;=250),0.17,0)+IF(AND(V453&gt;=20,V453&lt;40,W453&gt;=250),0.12,0)+IF(AND(V453&gt;=40,V453&lt;75,W453&lt;35),0.3,0)+IF(AND(V453&gt;=40,V453&lt;75,W453&gt;=35,W453&lt;75),0.23,0)+IF(AND(V453&gt;=40,V453&lt;75,W453&gt;=75,W453&lt;120),0.17,0)+IF(AND(V453&gt;=40,V453&lt;75,W453&gt;=120),0.12,0)+IF(AND(V453&gt;=75,V453&lt;175,W453&lt;35),0.3,0)+IF(AND(V453&gt;=75,V453&lt;=175,W453&gt;=35,W453&lt;65),0.23,0)+IF(AND(V453&gt;=75,V453&lt;=175,W453&gt;=65,W453&lt;110),0.17,0)+IF(AND(V453&gt;=75,V453&lt;=175,W453&gt;=110),0.12,0)+IF(AND(V453&gt;175,W453&lt;25),0.3,0)+IF(AND(V453&gt;175,W453&gt;=25,W453&lt;55),0.23,0)+IF(AND(V453&gt;175,W453&gt;=55,W453&lt;95),0.17,0)+IF(AND(V453&gt;175,W453&gt;=95),0.12,0),
IF(AF453="DoEVni",IF(AND(V453&lt;20,W453&lt;55),0.3,0)+IF(AND(V453&lt;20,W453&gt;=55,W453&lt;105),0.23,0)+IF(AND(V453&lt;20,W453&gt;=105),0.17,0)+IF(AND(V453&gt;=20,V453&lt;40,W453&lt;45),0.3,0)+IF(AND(V453&gt;=20,V453&lt;40,W453&gt;=45,W453&lt;95),0.23,0)+IF(AND(V453&gt;=20,V453&lt;40,W453&gt;=95,W453&lt;=200),0.17,0)+IF(AND(V453&gt;=20,V453&lt;40,W453&gt;=200),0.12,0)+IF(AND(V453&gt;=40,V453&lt;75,W453&lt;35),0.3,0)+IF(AND(V453&gt;=40,V453&lt;75,W453&gt;=35,W453&lt;75),0.23,0)+IF(AND(V453&gt;=40,V453&lt;75,W453&gt;=75,W453&lt;120),0.17,0)+IF(AND(V453&gt;=40,V453&lt;75,W453&gt;=120),0.12,0)+IF(AND(V453&gt;=75,V453&lt;175,W453&lt;35),0.3,0)+IF(AND(V453&gt;=75,V453&lt;=175,W453&gt;=35,W453&lt;65),0.23,0)+IF(AND(V453&gt;=75,V453&lt;=175,W453&gt;=65,W453&lt;110),0.17,0)+IF(AND(V453&gt;=75,V453&lt;=175,W453&gt;=110),0.12,0)+IF(AND(V453&gt;175,W453&lt;25),0.3,0)+IF(AND(V453&gt;175,W453&gt;=25,W453&lt;55),0.23,0)+IF(AND(V453&gt;175,W453&gt;=55,W453&lt;95),0.17,0)+IF(AND(V453&gt;175,W453&gt;=95),0.12,0),
IF(AF453="DoEVLo",IF(AND(V453&lt;20,W453&lt;55),0.25,0)+IF(AND(V453&lt;20,W453&gt;=55,W453&lt;105),0.2,0)+IF(AND(V453&lt;20,W453&gt;=105),0.15,0)+IF(AND(V453&gt;=20,V453&lt;40,W453&lt;45),0.25,0)+IF(AND(V453&gt;=20,V453&lt;40,W453&gt;=45,W453&lt;95),0.2,0)+IF(AND(V453&gt;=20,V453&lt;40,W453&gt;=95),0.15,0)+IF(AND(V453&gt;=40,V453&lt;75,W453&lt;35),0.25,0)+IF(AND(V453&gt;=40,V453&lt;75,W453&gt;=35,W453&lt;75),0.2,0)+IF(AND(V453&gt;=40,V453&lt;75,W453&gt;=75,W453&lt;120),0.15,0)+IF(AND(V453&gt;=40,V453&lt;75,W453&gt;=120),0.1,0)+IF(AND(V453&gt;=75,V453&lt;175,W453&lt;35),0.25,0)+IF(AND(V453&gt;=75,V453&lt;=175,W453&gt;=35,W453&lt;65),0.2,0)+IF(AND(V453&gt;=75,V453&lt;=175,W453&gt;=65,W453&lt;110),0.15,0)+IF(AND(V453&gt;=75,V453&lt;=175,W453&gt;=110),0.1,0)+IF(AND(V453&gt;175,W453&lt;25),0.25,0)+IF(AND(V453&gt;175,W453&gt;=25,W453&lt;55),0.2,0)+IF(AND(V453&gt;175,W453&gt;=55,W453&lt;95),0.15,0)+IF(AND(V453&gt;175,W453&gt;=95),0.1,0))))))))))))))))</f>
        <v>0.35</v>
      </c>
      <c r="Y453" s="35">
        <f t="shared" ref="Y453:Y455" si="80">if(AG453="None",0,if(AG453="Fix5",0.05,if(AG453="Fix3.75",0.0375,if(AG453="Fix10",0.1,if(AG453="Fix3",0.03,0)))))</f>
        <v>0</v>
      </c>
      <c r="Z453" s="64">
        <v>74.0</v>
      </c>
      <c r="AA453" s="65">
        <v>15.0</v>
      </c>
      <c r="AB453" s="41">
        <f t="shared" si="75"/>
        <v>0</v>
      </c>
      <c r="AC453" s="42" t="b">
        <v>1</v>
      </c>
      <c r="AD453" s="42" t="s">
        <v>138</v>
      </c>
      <c r="AE453" s="42" t="s">
        <v>138</v>
      </c>
      <c r="AF453" s="42" t="str">
        <f t="array" ref="AF453">INDEX('Deal Info'!D:D, MATCH(A453,'Deal Info'!A:A, 0))</f>
        <v>DoEVold</v>
      </c>
      <c r="AG453" s="43" t="str">
        <f t="array" ref="AG453">INDEX('Deal Info'!G:G, MATCH(A453,'Deal Info'!A:A, 0))</f>
        <v>None</v>
      </c>
    </row>
    <row r="454" hidden="1">
      <c r="A454" s="23" t="str">
        <f t="array" ref="A454">if(G454='Room Info'!$B$1, INDEX('Room Info'!$A$2:$A3446, MATCH(B454,'Room Info'!$B$2:$B3446, 0)),if(G454='Room Info'!$C$1, INDEX('Room Info'!$A$2:$A3446, MATCH(B454,'Room Info'!$C$2:$C3446, 0)),if(G454='Room Info'!$D$1, INDEX('Room Info'!$A$2:$A3446, MATCH(B454,'Room Info'!$D$2:$D3446, 0)),if(G454='Room Info'!$E$1, INDEX('Room Info'!$A$2:$A3446, MATCH(B454,'Room Info'!$E$2:$E3446, 0)),if(G454='Room Info'!$F$1, INDEX('Room Info'!$A$2:$A3446, MATCH(B454,'Room Info'!$F$2:$F3446, 0)),if(G454='Room Info'!$H$1, INDEX('Room Info'!$A$2:$A3446, MATCH(B454,'Room Info'!$H$2:$H3446, 0)),if(G454='Room Info'!$G$1, INDEX('Room Info'!$A$2:$A3446, MATCH(B454,'Room Info'!$G$2:$G3446, 0)))))))))</f>
        <v>Freedoom</v>
      </c>
      <c r="B454" s="50" t="s">
        <v>159</v>
      </c>
      <c r="C454" s="51">
        <v>44682.0</v>
      </c>
      <c r="D454" s="51">
        <v>44712.0</v>
      </c>
      <c r="E454" s="52">
        <v>44682.0</v>
      </c>
      <c r="F454" s="53" t="s">
        <v>8</v>
      </c>
      <c r="G454" s="50" t="s">
        <v>9</v>
      </c>
      <c r="H454" s="54" t="s">
        <v>65</v>
      </c>
      <c r="I454" s="54" t="s">
        <v>7</v>
      </c>
      <c r="J454" s="75">
        <v>25.0</v>
      </c>
      <c r="K454" s="76">
        <v>272.0</v>
      </c>
      <c r="L454" s="57">
        <v>525.0</v>
      </c>
      <c r="M454" s="58">
        <v>16.0</v>
      </c>
      <c r="N454" s="33">
        <f t="shared" si="13"/>
        <v>6800</v>
      </c>
      <c r="O454" s="59">
        <v>18289.0</v>
      </c>
      <c r="P454" s="34">
        <f t="shared" si="14"/>
        <v>67.23897059</v>
      </c>
      <c r="Q454" s="60"/>
      <c r="R454" s="36">
        <f t="shared" si="71"/>
        <v>16</v>
      </c>
      <c r="S454" s="61">
        <v>219.0</v>
      </c>
      <c r="T454" s="37">
        <f t="shared" si="72"/>
        <v>235</v>
      </c>
      <c r="U454" s="62">
        <v>1.0</v>
      </c>
      <c r="V454" s="63"/>
      <c r="W454" s="63"/>
      <c r="X454" s="35">
        <f t="shared" si="79"/>
        <v>0.35</v>
      </c>
      <c r="Y454" s="35">
        <f t="shared" si="80"/>
        <v>0</v>
      </c>
      <c r="Z454" s="64">
        <v>195.0</v>
      </c>
      <c r="AA454" s="65">
        <v>40.0</v>
      </c>
      <c r="AB454" s="41">
        <f t="shared" si="75"/>
        <v>0</v>
      </c>
      <c r="AC454" s="42" t="b">
        <v>1</v>
      </c>
      <c r="AD454" s="42" t="s">
        <v>138</v>
      </c>
      <c r="AE454" s="42" t="s">
        <v>138</v>
      </c>
      <c r="AF454" s="42" t="str">
        <f t="array" ref="AF454">INDEX('Deal Info'!D:D, MATCH(A454,'Deal Info'!A:A, 0))</f>
        <v>DoEVold</v>
      </c>
      <c r="AG454" s="43" t="str">
        <f t="array" ref="AG454">INDEX('Deal Info'!G:G, MATCH(A454,'Deal Info'!A:A, 0))</f>
        <v>None</v>
      </c>
    </row>
    <row r="455" hidden="1">
      <c r="A455" s="23" t="str">
        <f t="array" ref="A455">if(G455='Room Info'!$B$1, INDEX('Room Info'!$A$2:$A3446, MATCH(B455,'Room Info'!$B$2:$B3446, 0)),if(G455='Room Info'!$C$1, INDEX('Room Info'!$A$2:$A3446, MATCH(B455,'Room Info'!$C$2:$C3446, 0)),if(G455='Room Info'!$D$1, INDEX('Room Info'!$A$2:$A3446, MATCH(B455,'Room Info'!$D$2:$D3446, 0)),if(G455='Room Info'!$E$1, INDEX('Room Info'!$A$2:$A3446, MATCH(B455,'Room Info'!$E$2:$E3446, 0)),if(G455='Room Info'!$F$1, INDEX('Room Info'!$A$2:$A3446, MATCH(B455,'Room Info'!$F$2:$F3446, 0)),if(G455='Room Info'!$H$1, INDEX('Room Info'!$A$2:$A3446, MATCH(B455,'Room Info'!$H$2:$H3446, 0)),if(G455='Room Info'!$G$1, INDEX('Room Info'!$A$2:$A3446, MATCH(B455,'Room Info'!$G$2:$G3446, 0)))))))))</f>
        <v>Freedoom</v>
      </c>
      <c r="B455" s="50" t="s">
        <v>159</v>
      </c>
      <c r="C455" s="51">
        <v>44682.0</v>
      </c>
      <c r="D455" s="51">
        <v>44712.0</v>
      </c>
      <c r="E455" s="52">
        <v>44682.0</v>
      </c>
      <c r="F455" s="53" t="s">
        <v>8</v>
      </c>
      <c r="G455" s="50" t="s">
        <v>9</v>
      </c>
      <c r="H455" s="54" t="s">
        <v>53</v>
      </c>
      <c r="I455" s="54" t="s">
        <v>7</v>
      </c>
      <c r="J455" s="75">
        <v>10.0</v>
      </c>
      <c r="K455" s="76">
        <v>100.0</v>
      </c>
      <c r="L455" s="57">
        <v>-60.0</v>
      </c>
      <c r="M455" s="58">
        <v>238.0</v>
      </c>
      <c r="N455" s="33">
        <f t="shared" si="13"/>
        <v>1000</v>
      </c>
      <c r="O455" s="59">
        <v>5910.0</v>
      </c>
      <c r="P455" s="34">
        <f t="shared" si="14"/>
        <v>59.1</v>
      </c>
      <c r="Q455" s="60"/>
      <c r="R455" s="36">
        <f t="shared" si="71"/>
        <v>238</v>
      </c>
      <c r="S455" s="61">
        <v>20.0</v>
      </c>
      <c r="T455" s="37">
        <f t="shared" si="72"/>
        <v>258</v>
      </c>
      <c r="U455" s="62">
        <v>1.0</v>
      </c>
      <c r="V455" s="63"/>
      <c r="W455" s="63"/>
      <c r="X455" s="35">
        <f t="shared" si="79"/>
        <v>0.35</v>
      </c>
      <c r="Y455" s="35">
        <f t="shared" si="80"/>
        <v>0</v>
      </c>
      <c r="Z455" s="64">
        <v>214.0</v>
      </c>
      <c r="AA455" s="65">
        <v>44.0</v>
      </c>
      <c r="AB455" s="41">
        <f t="shared" si="75"/>
        <v>0</v>
      </c>
      <c r="AC455" s="42" t="b">
        <v>1</v>
      </c>
      <c r="AD455" s="42" t="s">
        <v>138</v>
      </c>
      <c r="AE455" s="42" t="s">
        <v>138</v>
      </c>
      <c r="AF455" s="42" t="str">
        <f t="array" ref="AF455">INDEX('Deal Info'!D:D, MATCH(A455,'Deal Info'!A:A, 0))</f>
        <v>DoEVold</v>
      </c>
      <c r="AG455" s="43" t="str">
        <f t="array" ref="AG455">INDEX('Deal Info'!G:G, MATCH(A455,'Deal Info'!A:A, 0))</f>
        <v>None</v>
      </c>
    </row>
    <row r="456" hidden="1">
      <c r="A456" s="23" t="str">
        <f t="array" ref="A456">if(G456='Room Info'!$B$1, INDEX('Room Info'!$A$2:$A3446, MATCH(B456,'Room Info'!$B$2:$B3446, 0)),if(G456='Room Info'!$C$1, INDEX('Room Info'!$A$2:$A3446, MATCH(B456,'Room Info'!$C$2:$C3446, 0)),if(G456='Room Info'!$D$1, INDEX('Room Info'!$A$2:$A3446, MATCH(B456,'Room Info'!$D$2:$D3446, 0)),if(G456='Room Info'!$E$1, INDEX('Room Info'!$A$2:$A3446, MATCH(B456,'Room Info'!$E$2:$E3446, 0)),if(G456='Room Info'!$F$1, INDEX('Room Info'!$A$2:$A3446, MATCH(B456,'Room Info'!$F$2:$F3446, 0)),if(G456='Room Info'!$H$1, INDEX('Room Info'!$A$2:$A3446, MATCH(B456,'Room Info'!$H$2:$H3446, 0)),if(G456='Room Info'!$G$1, INDEX('Room Info'!$A$2:$A3446, MATCH(B456,'Room Info'!$G$2:$G3446, 0)))))))))</f>
        <v>vezuxa</v>
      </c>
      <c r="B456" s="50" t="s">
        <v>174</v>
      </c>
      <c r="C456" s="51">
        <v>44835.0</v>
      </c>
      <c r="D456" s="51">
        <v>44865.0</v>
      </c>
      <c r="E456" s="52">
        <v>44835.0</v>
      </c>
      <c r="F456" s="53" t="s">
        <v>12</v>
      </c>
      <c r="G456" s="50" t="s">
        <v>9</v>
      </c>
      <c r="H456" s="54" t="s">
        <v>39</v>
      </c>
      <c r="I456" s="54" t="s">
        <v>21</v>
      </c>
      <c r="J456" s="55">
        <v>5.0</v>
      </c>
      <c r="K456" s="56">
        <v>529.0</v>
      </c>
      <c r="L456" s="57">
        <v>60.0</v>
      </c>
      <c r="M456" s="58">
        <v>1.0</v>
      </c>
      <c r="N456" s="33">
        <f t="shared" si="13"/>
        <v>2645</v>
      </c>
      <c r="O456" s="59">
        <v>31307.0</v>
      </c>
      <c r="P456" s="34">
        <f t="shared" si="14"/>
        <v>59.18147448</v>
      </c>
      <c r="Q456" s="60"/>
      <c r="R456" s="36">
        <f t="shared" si="71"/>
        <v>1</v>
      </c>
      <c r="S456" s="71"/>
      <c r="T456" s="37">
        <f t="shared" si="72"/>
        <v>61</v>
      </c>
      <c r="U456" s="62">
        <v>1.0</v>
      </c>
      <c r="V456" s="63"/>
      <c r="W456" s="63"/>
      <c r="X456" s="83">
        <v>0.17</v>
      </c>
      <c r="Y456" s="35">
        <f t="shared" ref="Y456:Y457" si="81">if(AG456="None",0,if(AG456="Fix5",0.05, if(AG456="Fix6.25",0.0625,if(AG456="Fix3.75",0.0375,if(AG456="Fix10",0.1,if(AG456="Fix3",0.03,0))))))</f>
        <v>0</v>
      </c>
      <c r="Z456" s="40">
        <f t="shared" ref="Z456:Z457" si="82">T456-AA456-AB456</f>
        <v>50.63</v>
      </c>
      <c r="AA456" s="34">
        <f t="shared" ref="AA456:AA457" si="83">if(AD456="EUR",((T456-R456)*X456)*U456+(R456*X456),(T456*X456))</f>
        <v>10.37</v>
      </c>
      <c r="AB456" s="41">
        <f t="shared" si="75"/>
        <v>0</v>
      </c>
      <c r="AC456" s="42" t="b">
        <v>1</v>
      </c>
      <c r="AD456" s="66" t="s">
        <v>140</v>
      </c>
      <c r="AE456" s="66"/>
      <c r="AF456" s="42" t="str">
        <f t="array" ref="AF456">INDEX('Deal Info'!D:D, MATCH(A456,'Deal Info'!A:A, 0))</f>
        <v>DoEV</v>
      </c>
      <c r="AG456" s="43" t="str">
        <f t="array" ref="AG456">INDEX('Deal Info'!G:G, MATCH(A456,'Deal Info'!A:A, 0))</f>
        <v>None</v>
      </c>
    </row>
    <row r="457" hidden="1">
      <c r="A457" s="23" t="str">
        <f t="array" ref="A457">if(G457='Room Info'!$B$1, INDEX('Room Info'!$A$2:$A3446, MATCH(B457,'Room Info'!$B$2:$B3446, 0)),if(G457='Room Info'!$C$1, INDEX('Room Info'!$A$2:$A3446, MATCH(B457,'Room Info'!$C$2:$C3446, 0)),if(G457='Room Info'!$D$1, INDEX('Room Info'!$A$2:$A3446, MATCH(B457,'Room Info'!$D$2:$D3446, 0)),if(G457='Room Info'!$E$1, INDEX('Room Info'!$A$2:$A3446, MATCH(B457,'Room Info'!$E$2:$E3446, 0)),if(G457='Room Info'!$F$1, INDEX('Room Info'!$A$2:$A3446, MATCH(B457,'Room Info'!$F$2:$F3446, 0)),if(G457='Room Info'!$H$1, INDEX('Room Info'!$A$2:$A3446, MATCH(B457,'Room Info'!$H$2:$H3446, 0)),if(G457='Room Info'!$G$1, INDEX('Room Info'!$A$2:$A3446, MATCH(B457,'Room Info'!$G$2:$G3446, 0)))))))))</f>
        <v>vezuxa</v>
      </c>
      <c r="B457" s="50" t="s">
        <v>174</v>
      </c>
      <c r="C457" s="97">
        <v>44866.0</v>
      </c>
      <c r="D457" s="51">
        <v>44895.0</v>
      </c>
      <c r="E457" s="52">
        <v>44866.0</v>
      </c>
      <c r="F457" s="53" t="s">
        <v>12</v>
      </c>
      <c r="G457" s="50" t="s">
        <v>9</v>
      </c>
      <c r="H457" s="54" t="s">
        <v>39</v>
      </c>
      <c r="I457" s="54" t="s">
        <v>21</v>
      </c>
      <c r="J457" s="75">
        <v>5.0</v>
      </c>
      <c r="K457" s="76">
        <v>16.0</v>
      </c>
      <c r="L457" s="57">
        <v>-25.0</v>
      </c>
      <c r="M457" s="58">
        <v>0.0</v>
      </c>
      <c r="N457" s="33">
        <f t="shared" si="13"/>
        <v>80</v>
      </c>
      <c r="O457" s="59">
        <v>1070.0</v>
      </c>
      <c r="P457" s="34">
        <f t="shared" si="14"/>
        <v>66.875</v>
      </c>
      <c r="Q457" s="60"/>
      <c r="R457" s="36">
        <f t="shared" si="71"/>
        <v>0</v>
      </c>
      <c r="S457" s="71"/>
      <c r="T457" s="37">
        <f t="shared" si="72"/>
        <v>-25</v>
      </c>
      <c r="U457" s="62">
        <v>1.0</v>
      </c>
      <c r="V457" s="63"/>
      <c r="W457" s="63"/>
      <c r="X457" s="83">
        <v>0.17</v>
      </c>
      <c r="Y457" s="35">
        <f t="shared" si="81"/>
        <v>0</v>
      </c>
      <c r="Z457" s="40">
        <f t="shared" si="82"/>
        <v>-20.75</v>
      </c>
      <c r="AA457" s="34">
        <f t="shared" si="83"/>
        <v>-4.25</v>
      </c>
      <c r="AB457" s="41">
        <f t="shared" si="75"/>
        <v>0</v>
      </c>
      <c r="AC457" s="42" t="b">
        <v>1</v>
      </c>
      <c r="AD457" s="66" t="s">
        <v>140</v>
      </c>
      <c r="AE457" s="66"/>
      <c r="AF457" s="42" t="str">
        <f t="array" ref="AF457">INDEX('Deal Info'!D:D, MATCH(A457,'Deal Info'!A:A, 0))</f>
        <v>DoEV</v>
      </c>
      <c r="AG457" s="43" t="str">
        <f t="array" ref="AG457">INDEX('Deal Info'!G:G, MATCH(A457,'Deal Info'!A:A, 0))</f>
        <v>None</v>
      </c>
    </row>
    <row r="458" hidden="1">
      <c r="A458" s="23" t="str">
        <f t="array" ref="A458">if(G458='Room Info'!$B$1, INDEX('Room Info'!$A$2:$A3446, MATCH(B458,'Room Info'!$B$2:$B3446, 0)),if(G458='Room Info'!$C$1, INDEX('Room Info'!$A$2:$A3446, MATCH(B458,'Room Info'!$C$2:$C3446, 0)),if(G458='Room Info'!$D$1, INDEX('Room Info'!$A$2:$A3446, MATCH(B458,'Room Info'!$D$2:$D3446, 0)),if(G458='Room Info'!$E$1, INDEX('Room Info'!$A$2:$A3446, MATCH(B458,'Room Info'!$E$2:$E3446, 0)),if(G458='Room Info'!$F$1, INDEX('Room Info'!$A$2:$A3446, MATCH(B458,'Room Info'!$F$2:$F3446, 0)),if(G458='Room Info'!$H$1, INDEX('Room Info'!$A$2:$A3446, MATCH(B458,'Room Info'!$H$2:$H3446, 0)),if(G458='Room Info'!$G$1, INDEX('Room Info'!$A$2:$A3446, MATCH(B458,'Room Info'!$G$2:$G3446, 0)))))))))</f>
        <v>fortunate773</v>
      </c>
      <c r="B458" s="50" t="s">
        <v>145</v>
      </c>
      <c r="C458" s="51">
        <v>44774.0</v>
      </c>
      <c r="D458" s="51">
        <v>44804.0</v>
      </c>
      <c r="E458" s="52">
        <v>44774.0</v>
      </c>
      <c r="F458" s="53" t="s">
        <v>8</v>
      </c>
      <c r="G458" s="59" t="s">
        <v>9</v>
      </c>
      <c r="H458" s="54" t="s">
        <v>99</v>
      </c>
      <c r="I458" s="54" t="s">
        <v>24</v>
      </c>
      <c r="J458" s="55">
        <v>250.0</v>
      </c>
      <c r="K458" s="56">
        <v>1.0</v>
      </c>
      <c r="L458" s="57">
        <v>500.0</v>
      </c>
      <c r="M458" s="58">
        <v>7.0</v>
      </c>
      <c r="N458" s="33">
        <f t="shared" si="13"/>
        <v>250</v>
      </c>
      <c r="O458" s="59">
        <v>378.0</v>
      </c>
      <c r="P458" s="34">
        <f t="shared" si="14"/>
        <v>378</v>
      </c>
      <c r="Q458" s="60"/>
      <c r="R458" s="36">
        <f t="shared" si="71"/>
        <v>7</v>
      </c>
      <c r="S458" s="61">
        <v>268.0</v>
      </c>
      <c r="T458" s="37">
        <f t="shared" si="72"/>
        <v>275</v>
      </c>
      <c r="U458" s="62">
        <v>1.0</v>
      </c>
      <c r="V458" s="63"/>
      <c r="W458" s="63"/>
      <c r="X458" s="35">
        <f t="shared" ref="X458:X460" si="84">IF(AF458="DoEV",IF(AND(V458&lt;20,W458&lt;55),0.3,0)+IF(AND(V458&lt;20,W458&gt;=55,W458&lt;105),0.23,0)+IF(AND(V458&lt;20,W458&gt;=105),0.17,0)+IF(AND(V458&gt;=20,V458&lt;40,W458&lt;45),0.3,0)+IF(AND(V458&gt;=20,V458&lt;40,W458&gt;=45,W458&lt;95),0.23,0)+IF(AND(V458&gt;=20,V458&lt;40,W458&gt;=95),0.17,0)+IF(AND(V458&gt;=40,V458&lt;75,W458&lt;35),0.3,0)+IF(AND(V458&gt;=40,V458&lt;75,W458&gt;=35,W458&lt;75),0.23,0)+IF(AND(V458&gt;=40,V458&lt;75,W458&gt;=75,W458&lt;120),0.17,0)+IF(AND(V458&gt;=40,V458&lt;75,W458&gt;=120),0.12,0)+IF(AND(V458&gt;=75,V458&lt;175,W458&lt;35),0.3,0)+IF(AND(V458&gt;=75,V458&lt;=175,W458&gt;=35,W458&lt;65),0.23,0)+IF(AND(V458&gt;=75,V458&lt;=175,W458&gt;=65,W458&lt;110),0.17,0)+IF(AND(V458&gt;=75,V458&lt;=175,W458&gt;=110),0.12,0)+IF(AND(V458&gt;175,W458&lt;25),0.3,0)+IF(AND(V458&gt;175,W458&gt;=25,W458&lt;55),0.23,0)+IF(AND(V458&gt;175,W458&gt;=55,W458&lt;95),0.17,0)+IF(AND(V458&gt;175,W458&gt;=95),0.12,0),
IF(AF458="Fix15",0.15,
IF(AF458="Fix11.25",0.1125,
IF(AF458="Fix10",0.1,
IF(AF458="Fix9",0.09,
IF(AF458="DoEV2017",IF(AND(W458&lt;74),0.2,0)+IF(AND(W458&gt;=74),0.17,0),
IF(AF458="SF",IF(AND(V458&lt;20,W458&lt;89),0.3,0)+IF(AND(V458&lt;20,W458&gt;=89),0.25,0)+IF(AND(V458&gt;=20,V458&lt;40,W458&lt;74),0.3,0)+IF(AND(V458&gt;=20,V458&lt;40,W458&gt;=75),0.22,0)+IF(AND(V458&gt;=40,V458&lt;75,W458&lt;75),0.26,0)+IF(AND(V458&gt;=40,V458&lt;75,W458&gt;=75),0.22,0)+IF(V458&gt;=75,0.22,0),
IF(AF458="DoEVold",IF(AND(V458&lt;40,W458&lt;35),0.35,0)+IF(AND(V458&lt;40,W458&gt;=35,W458&lt;75),0.25,0)+IF(AND(V458&lt;40,W458&gt;=75),0.17,0)+IF(AND(V458&gt;=40,V458&lt;75,W458&lt;25),0.35,0)+IF(AND(V458&gt;=40,V458&lt;75,W458&gt;=25,W458&lt;65),0.25,0)+IF(AND(V458&gt;=40,V458&lt;75,W458&gt;=65,W458&lt;100),0.17,0)+IF(AND(V458&gt;=40,V458&lt;75,W458&gt;=100),0.1,0)+IF(AND(V458&gt;=75,W458&lt;25),0.35,0)+IF(AND(V458&gt;=75,W458&gt;=25,W458&lt;60),0.25,0)+IF(AND(V458&gt;=75,W458&gt;=60,W458&lt;95),0.17,0)+IF(AND(V458&gt;=75,W458&gt;=95),0.1,0),
IF(AF458="DoEVold15",IF(AND(V458&lt;=40,W458&lt;35),0.35,0)+IF(AND(V458&lt;=40,W458&gt;=35,W458&lt;75),0.25,0)+IF(AND(V458&lt;=40,W458&gt;=75,W458&lt;120),0.17,0)+IF(AND(V458&lt;=40,W458&gt;=120),0.15,0)+IF(AND(V458&gt;40,V458&lt;75,W458&lt;25),0.35,0)+IF(AND(V458&gt;=40,V458&lt;75,W458&gt;=25,W458&lt;65),0.25,0)+IF(AND(V458&gt;=40,V458&lt;75,W458&gt;=65,W458&lt;100),0.17,0)+IF(AND(V458&gt;=40,V458&lt;75,W458&gt;=100),0.1,0)+IF(AND(V458&gt;=75,W458&lt;25),0.35,0)+IF(AND(V458&gt;=75,W458&gt;=25,W458&lt;60),0.25,0)+IF(AND(V458&gt;=75,W458&gt;=60,W458&lt;95),0.17,0)+IF(AND(V458&gt;=75,W458&gt;=95),0.1,0),
IF(AF458="DoEVba",IF(AND(V458&lt;20,W458&lt;105),0.2,0)+IF(AND(V458&lt;20,W458&gt;=105),0.15,0)+IF(AND(V458&gt;=20,V458&lt;40,W458&lt;95),0.2,0)+IF(AND(V458&gt;=20,V458&lt;40,W458&gt;=95,W458&lt;150),0.15,0)+IF(AND(V458&gt;=20,V458&lt;40,W458&gt;=150),0.12,0)+IF(AND(V458&gt;=40,V458&lt;75,W458&lt;75),0.2,0)+IF(AND(V458&gt;=40,V458&lt;75,W458&gt;=75,W458&lt;120),0.15,0)+IF(AND(V458&gt;=40,V458&lt;75,W458&gt;=120),0.12,0)+IF(AND(V458&gt;=75,V458&lt;175,W458&lt;65),0.2,0)+IF(AND(V458&gt;=75,V458&lt;175,W458&gt;=65,W458&lt;110),0.15,0)+IF(AND(V458&gt;=75,V458&lt;175,W458&gt;=110),0.12,0)+IF(AND(V458&gt;=175,W458&lt;55),0.2,0)+IF(AND(V458&gt;=175,W458&gt;=55,W458&lt;95),0.15,0)+IF(AND(V458&gt;=175,W458&gt;=95),0.12,0),
IF(AF458="DoEVku",IF(AND(V458&lt;20,W458&lt;55),0.23,0)+IF(AND(V458&lt;20,W458&gt;=55,W458&lt;105),0.2,0)+IF(AND(V458&lt;20,W458&gt;=105),0.17,0)+IF(AND(V458&gt;=20,V458&lt;40,W458&lt;45),0.23,0)+IF(AND(V458&gt;=20,V458&lt;40,W458&gt;=45,W458&lt;95),0.2,0)+IF(AND(V458&gt;=20,V458&lt;40,W458&gt;=95,W458&lt;=150),0.17,0)+IF(AND(V458&gt;=20,V458&lt;40,W458&gt;=150),0.12,0)+IF(AND(V458&gt;=40,V458&lt;75,W458&lt;35),0.23,0)+IF(AND(V458&gt;=40,V458&lt;75,W458&gt;=35,W458&lt;75),0.2,0)+IF(AND(V458&gt;=40,V458&lt;75,W458&gt;=75,W458&lt;120),0.17,0)+IF(AND(V458&gt;=40,V458&lt;75,W458&gt;=120),0.12,0)+IF(AND(V458&gt;=75,V458&lt;175,W458&lt;35),0.23,0)+IF(AND(V458&gt;=75,V458&lt;=175,W458&gt;=35,W458&lt;65),0.2,0)+IF(AND(V458&gt;=75,V458&lt;=175,W458&gt;=65,W458&lt;110),0.17,0)+IF(AND(V458&gt;=75,V458&lt;=175,W458&gt;=110),0.12,0)+IF(AND(V458&gt;175,W458&lt;25),0.23,0)+IF(AND(V458&gt;175,W458&gt;=25,W458&lt;55),0.2,0)+IF(AND(V458&gt;175,W458&gt;=55,W458&lt;95),0.17,0)+IF(AND(V458&gt;175,W458&gt;=95),0.12,0),
IF(AF458="DoEVs1",IF(AND(V458&lt;20,W458&lt;55),0.3,0)+IF(AND(V458&lt;20,W458&gt;=55,W458&lt;105),0.23,0)+IF(AND(V458&lt;20,W458&gt;=105),0.17,0)+IF(AND(V458&gt;=20,V458&lt;40,W458&lt;45),0.3,0)+IF(AND(V458&gt;=20,V458&lt;40,W458&gt;=45,W458&lt;95),0.23,0)+IF(AND(V458&gt;=20,V458&lt;40,W458&gt;=95,W458&lt;=150),0.17,0)+IF(AND(V458&gt;=20,V458&lt;40,W458&gt;=150),0.12,0)+IF(AND(V458&gt;=40,V458&lt;75,W458&lt;35),0.3,0)+IF(AND(V458&gt;=40,V458&lt;75,W458&gt;=35,W458&lt;75),0.23,0)+IF(AND(V458&gt;=40,V458&lt;75,W458&gt;=75,W458&lt;120),0.17,0)+IF(AND(V458&gt;=40,V458&lt;75,W458&gt;=120),0.12,0)+IF(AND(V458&gt;=75,V458&lt;175,W458&lt;35),0.3,0)+IF(AND(V458&gt;=75,V458&lt;=175,W458&gt;=35,W458&lt;65),0.23,0)+IF(AND(V458&gt;=75,V458&lt;=175,W458&gt;=65,W458&lt;110),0.17,0)+IF(AND(V458&gt;=75,V458&lt;=175,W458&gt;=110),0.12,0)+IF(AND(V458&gt;175,W458&lt;25),0.3,0)+IF(AND(V458&gt;175,W458&gt;=25,W458&lt;55),0.23,0)+IF(AND(V458&gt;175,W458&gt;=55,W458&lt;95),0.17,0)+IF(AND(V458&gt;175,W458&gt;=95),0.12,0),
IF(AF458="DoEVsu",IF(AND(V458&lt;20,W458&lt;55),0.3,0)+IF(AND(V458&lt;20,W458&gt;=55,W458&lt;105),0.23,0)+IF(AND(V458&lt;20,W458&gt;=105),0.17,0)+IF(AND(V458&gt;=20,V458&lt;40,W458&lt;45),0.3,0)+IF(AND(V458&gt;=20,V458&lt;40,W458&gt;=45,W458&lt;95),0.23,0)+IF(AND(V458&gt;=20,V458&lt;40,W458&gt;=95,W458&lt;=250),0.17,0)+IF(AND(V458&gt;=20,V458&lt;40,W458&gt;=250),0.12,0)+IF(AND(V458&gt;=40,V458&lt;75,W458&lt;35),0.3,0)+IF(AND(V458&gt;=40,V458&lt;75,W458&gt;=35,W458&lt;75),0.23,0)+IF(AND(V458&gt;=40,V458&lt;75,W458&gt;=75,W458&lt;120),0.17,0)+IF(AND(V458&gt;=40,V458&lt;75,W458&gt;=120),0.12,0)+IF(AND(V458&gt;=75,V458&lt;175,W458&lt;35),0.3,0)+IF(AND(V458&gt;=75,V458&lt;=175,W458&gt;=35,W458&lt;65),0.23,0)+IF(AND(V458&gt;=75,V458&lt;=175,W458&gt;=65,W458&lt;110),0.17,0)+IF(AND(V458&gt;=75,V458&lt;=175,W458&gt;=110),0.12,0)+IF(AND(V458&gt;175,W458&lt;25),0.3,0)+IF(AND(V458&gt;175,W458&gt;=25,W458&lt;55),0.23,0)+IF(AND(V458&gt;175,W458&gt;=55,W458&lt;95),0.17,0)+IF(AND(V458&gt;175,W458&gt;=95),0.12,0),
IF(AF458="DoEVni",IF(AND(V458&lt;20,W458&lt;55),0.3,0)+IF(AND(V458&lt;20,W458&gt;=55,W458&lt;105),0.23,0)+IF(AND(V458&lt;20,W458&gt;=105),0.17,0)+IF(AND(V458&gt;=20,V458&lt;40,W458&lt;45),0.3,0)+IF(AND(V458&gt;=20,V458&lt;40,W458&gt;=45,W458&lt;95),0.23,0)+IF(AND(V458&gt;=20,V458&lt;40,W458&gt;=95,W458&lt;=200),0.17,0)+IF(AND(V458&gt;=20,V458&lt;40,W458&gt;=200),0.12,0)+IF(AND(V458&gt;=40,V458&lt;75,W458&lt;35),0.3,0)+IF(AND(V458&gt;=40,V458&lt;75,W458&gt;=35,W458&lt;75),0.23,0)+IF(AND(V458&gt;=40,V458&lt;75,W458&gt;=75,W458&lt;120),0.17,0)+IF(AND(V458&gt;=40,V458&lt;75,W458&gt;=120),0.12,0)+IF(AND(V458&gt;=75,V458&lt;175,W458&lt;35),0.3,0)+IF(AND(V458&gt;=75,V458&lt;=175,W458&gt;=35,W458&lt;65),0.23,0)+IF(AND(V458&gt;=75,V458&lt;=175,W458&gt;=65,W458&lt;110),0.17,0)+IF(AND(V458&gt;=75,V458&lt;=175,W458&gt;=110),0.12,0)+IF(AND(V458&gt;175,W458&lt;25),0.3,0)+IF(AND(V458&gt;175,W458&gt;=25,W458&lt;55),0.23,0)+IF(AND(V458&gt;175,W458&gt;=55,W458&lt;95),0.17,0)+IF(AND(V458&gt;175,W458&gt;=95),0.12,0),
IF(AF458="DoEVLo",IF(AND(V458&lt;20,W458&lt;55),0.25,0)+IF(AND(V458&lt;20,W458&gt;=55,W458&lt;105),0.2,0)+IF(AND(V458&lt;20,W458&gt;=105),0.15,0)+IF(AND(V458&gt;=20,V458&lt;40,W458&lt;45),0.25,0)+IF(AND(V458&gt;=20,V458&lt;40,W458&gt;=45,W458&lt;95),0.2,0)+IF(AND(V458&gt;=20,V458&lt;40,W458&gt;=95),0.15,0)+IF(AND(V458&gt;=40,V458&lt;75,W458&lt;35),0.25,0)+IF(AND(V458&gt;=40,V458&lt;75,W458&gt;=35,W458&lt;75),0.2,0)+IF(AND(V458&gt;=40,V458&lt;75,W458&gt;=75,W458&lt;120),0.15,0)+IF(AND(V458&gt;=40,V458&lt;75,W458&gt;=120),0.1,0)+IF(AND(V458&gt;=75,V458&lt;175,W458&lt;35),0.25,0)+IF(AND(V458&gt;=75,V458&lt;=175,W458&gt;=35,W458&lt;65),0.2,0)+IF(AND(V458&gt;=75,V458&lt;=175,W458&gt;=65,W458&lt;110),0.15,0)+IF(AND(V458&gt;=75,V458&lt;=175,W458&gt;=110),0.1,0)+IF(AND(V458&gt;175,W458&lt;25),0.25,0)+IF(AND(V458&gt;175,W458&gt;=25,W458&lt;55),0.2,0)+IF(AND(V458&gt;175,W458&gt;=55,W458&lt;95),0.15,0)+IF(AND(V458&gt;175,W458&gt;=95),0.1,0))))))))))))))))</f>
        <v>0.15</v>
      </c>
      <c r="Y458" s="35">
        <f t="shared" ref="Y458:Y460" si="85">if(AG458="None",0,if(AG458="Fix5",0.05,if(AG458="Fix3.75",0.0375,if(AG458="Fix10",0.1,if(AG458="Fix3",0.03,0)))))</f>
        <v>0.05</v>
      </c>
      <c r="Z458" s="64">
        <v>220.0</v>
      </c>
      <c r="AA458" s="65">
        <v>55.0</v>
      </c>
      <c r="AB458" s="41"/>
      <c r="AC458" s="42" t="b">
        <v>1</v>
      </c>
      <c r="AD458" s="66" t="s">
        <v>140</v>
      </c>
      <c r="AE458" s="66"/>
      <c r="AF458" s="42" t="str">
        <f t="array" ref="AF458">INDEX('Deal Info'!D:D, MATCH(A458,'Deal Info'!A:A, 0))</f>
        <v>Fix15</v>
      </c>
      <c r="AG458" s="43" t="str">
        <f t="array" ref="AG458">INDEX('Deal Info'!G:G, MATCH(A458,'Deal Info'!A:A, 0))</f>
        <v>Fix5</v>
      </c>
    </row>
    <row r="459" hidden="1">
      <c r="A459" s="23" t="str">
        <f t="array" ref="A459">if(G459='Room Info'!$B$1, INDEX('Room Info'!$A$2:$A3446, MATCH(B459,'Room Info'!$B$2:$B3446, 0)),if(G459='Room Info'!$C$1, INDEX('Room Info'!$A$2:$A3446, MATCH(B459,'Room Info'!$C$2:$C3446, 0)),if(G459='Room Info'!$D$1, INDEX('Room Info'!$A$2:$A3446, MATCH(B459,'Room Info'!$D$2:$D3446, 0)),if(G459='Room Info'!$E$1, INDEX('Room Info'!$A$2:$A3446, MATCH(B459,'Room Info'!$E$2:$E3446, 0)),if(G459='Room Info'!$F$1, INDEX('Room Info'!$A$2:$A3446, MATCH(B459,'Room Info'!$F$2:$F3446, 0)),if(G459='Room Info'!$H$1, INDEX('Room Info'!$A$2:$A3446, MATCH(B459,'Room Info'!$H$2:$H3446, 0)),if(G459='Room Info'!$G$1, INDEX('Room Info'!$A$2:$A3446, MATCH(B459,'Room Info'!$G$2:$G3446, 0)))))))))</f>
        <v>fortunate773</v>
      </c>
      <c r="B459" s="50" t="s">
        <v>151</v>
      </c>
      <c r="C459" s="51">
        <v>44916.0</v>
      </c>
      <c r="D459" s="51">
        <v>44957.0</v>
      </c>
      <c r="E459" s="52">
        <v>44927.0</v>
      </c>
      <c r="F459" s="53" t="s">
        <v>8</v>
      </c>
      <c r="G459" s="59" t="s">
        <v>9</v>
      </c>
      <c r="H459" s="54" t="s">
        <v>99</v>
      </c>
      <c r="I459" s="54" t="s">
        <v>24</v>
      </c>
      <c r="J459" s="55">
        <v>250.0</v>
      </c>
      <c r="K459" s="56">
        <v>1.0</v>
      </c>
      <c r="L459" s="57">
        <v>250.0</v>
      </c>
      <c r="M459" s="58">
        <v>3.0</v>
      </c>
      <c r="N459" s="33">
        <f t="shared" si="13"/>
        <v>250</v>
      </c>
      <c r="O459" s="59">
        <v>51.0</v>
      </c>
      <c r="P459" s="34">
        <f t="shared" si="14"/>
        <v>51</v>
      </c>
      <c r="Q459" s="60"/>
      <c r="R459" s="36">
        <f t="shared" si="71"/>
        <v>3</v>
      </c>
      <c r="S459" s="61">
        <v>20.0</v>
      </c>
      <c r="T459" s="37">
        <f t="shared" si="72"/>
        <v>23</v>
      </c>
      <c r="U459" s="62">
        <v>1.0</v>
      </c>
      <c r="V459" s="63"/>
      <c r="W459" s="63"/>
      <c r="X459" s="35">
        <f t="shared" si="84"/>
        <v>0.15</v>
      </c>
      <c r="Y459" s="35">
        <f t="shared" si="85"/>
        <v>0.05</v>
      </c>
      <c r="Z459" s="64">
        <v>18.0</v>
      </c>
      <c r="AA459" s="65">
        <v>5.0</v>
      </c>
      <c r="AB459" s="41"/>
      <c r="AC459" s="42" t="b">
        <v>0</v>
      </c>
      <c r="AD459" s="66" t="s">
        <v>140</v>
      </c>
      <c r="AE459" s="66"/>
      <c r="AF459" s="42" t="str">
        <f t="array" ref="AF459">INDEX('Deal Info'!D:D, MATCH(A459,'Deal Info'!A:A, 0))</f>
        <v>Fix15</v>
      </c>
      <c r="AG459" s="43" t="str">
        <f t="array" ref="AG459">INDEX('Deal Info'!G:G, MATCH(A459,'Deal Info'!A:A, 0))</f>
        <v>Fix5</v>
      </c>
    </row>
    <row r="460" hidden="1">
      <c r="A460" s="23" t="str">
        <f t="array" ref="A460">if(G460='Room Info'!$B$1, INDEX('Room Info'!$A$2:$A3446, MATCH(B460,'Room Info'!$B$2:$B3446, 0)),if(G460='Room Info'!$C$1, INDEX('Room Info'!$A$2:$A3446, MATCH(B460,'Room Info'!$C$2:$C3446, 0)),if(G460='Room Info'!$D$1, INDEX('Room Info'!$A$2:$A3446, MATCH(B460,'Room Info'!$D$2:$D3446, 0)),if(G460='Room Info'!$E$1, INDEX('Room Info'!$A$2:$A3446, MATCH(B460,'Room Info'!$E$2:$E3446, 0)),if(G460='Room Info'!$F$1, INDEX('Room Info'!$A$2:$A3446, MATCH(B460,'Room Info'!$F$2:$F3446, 0)),if(G460='Room Info'!$H$1, INDEX('Room Info'!$A$2:$A3446, MATCH(B460,'Room Info'!$H$2:$H3446, 0)),if(G460='Room Info'!$G$1, INDEX('Room Info'!$A$2:$A3446, MATCH(B460,'Room Info'!$G$2:$G3446, 0)))))))))</f>
        <v>fortunate773</v>
      </c>
      <c r="B460" s="50" t="s">
        <v>151</v>
      </c>
      <c r="C460" s="51">
        <v>44916.0</v>
      </c>
      <c r="D460" s="51">
        <v>44957.0</v>
      </c>
      <c r="E460" s="52">
        <v>44927.0</v>
      </c>
      <c r="F460" s="50" t="s">
        <v>12</v>
      </c>
      <c r="G460" s="59" t="s">
        <v>9</v>
      </c>
      <c r="H460" s="54" t="s">
        <v>99</v>
      </c>
      <c r="I460" s="54" t="s">
        <v>24</v>
      </c>
      <c r="J460" s="55">
        <v>250.0</v>
      </c>
      <c r="K460" s="56">
        <v>0.0</v>
      </c>
      <c r="L460" s="57">
        <v>0.0</v>
      </c>
      <c r="M460" s="58">
        <v>750.0</v>
      </c>
      <c r="N460" s="33">
        <f t="shared" si="13"/>
        <v>0</v>
      </c>
      <c r="O460" s="59">
        <v>0.0</v>
      </c>
      <c r="P460" s="34" t="str">
        <f t="shared" si="14"/>
        <v/>
      </c>
      <c r="Q460" s="60"/>
      <c r="R460" s="36">
        <f t="shared" si="71"/>
        <v>750</v>
      </c>
      <c r="S460" s="71"/>
      <c r="T460" s="37">
        <f t="shared" si="72"/>
        <v>750</v>
      </c>
      <c r="U460" s="62">
        <v>1.0</v>
      </c>
      <c r="V460" s="63"/>
      <c r="W460" s="63"/>
      <c r="X460" s="35">
        <f t="shared" si="84"/>
        <v>0.15</v>
      </c>
      <c r="Y460" s="35">
        <f t="shared" si="85"/>
        <v>0.05</v>
      </c>
      <c r="Z460" s="64">
        <v>600.0</v>
      </c>
      <c r="AA460" s="65">
        <v>150.0</v>
      </c>
      <c r="AB460" s="41"/>
      <c r="AC460" s="42" t="b">
        <v>0</v>
      </c>
      <c r="AD460" s="66" t="s">
        <v>140</v>
      </c>
      <c r="AE460" s="66"/>
      <c r="AF460" s="42" t="str">
        <f t="array" ref="AF460">INDEX('Deal Info'!D:D, MATCH(A460,'Deal Info'!A:A, 0))</f>
        <v>Fix15</v>
      </c>
      <c r="AG460" s="43" t="str">
        <f t="array" ref="AG460">INDEX('Deal Info'!G:G, MATCH(A460,'Deal Info'!A:A, 0))</f>
        <v>Fix5</v>
      </c>
    </row>
    <row r="461" hidden="1">
      <c r="A461" s="23" t="s">
        <v>154</v>
      </c>
      <c r="B461" s="50" t="s">
        <v>155</v>
      </c>
      <c r="C461" s="82">
        <v>44682.0</v>
      </c>
      <c r="D461" s="82">
        <v>44697.0</v>
      </c>
      <c r="E461" s="52">
        <v>44682.0</v>
      </c>
      <c r="F461" s="53" t="s">
        <v>12</v>
      </c>
      <c r="G461" s="50" t="s">
        <v>9</v>
      </c>
      <c r="H461" s="54" t="s">
        <v>99</v>
      </c>
      <c r="I461" s="54" t="s">
        <v>7</v>
      </c>
      <c r="J461" s="79">
        <v>250.0</v>
      </c>
      <c r="K461" s="80">
        <v>3.0</v>
      </c>
      <c r="L461" s="77">
        <v>250.0</v>
      </c>
      <c r="M461" s="81">
        <v>14.0</v>
      </c>
      <c r="N461" s="33">
        <f t="shared" si="13"/>
        <v>750</v>
      </c>
      <c r="O461" s="50">
        <v>-495.0</v>
      </c>
      <c r="P461" s="34">
        <f t="shared" si="14"/>
        <v>-165</v>
      </c>
      <c r="Q461" s="60"/>
      <c r="R461" s="36">
        <f t="shared" si="71"/>
        <v>14</v>
      </c>
      <c r="S461" s="78"/>
      <c r="T461" s="37">
        <f t="shared" si="72"/>
        <v>264</v>
      </c>
      <c r="U461" s="62">
        <v>1.07</v>
      </c>
      <c r="V461" s="63"/>
      <c r="W461" s="63"/>
      <c r="X461" s="83">
        <v>0.25</v>
      </c>
      <c r="Y461" s="35">
        <f>if(AG461="None",0,if(AG461="Fix5",0.05, if(AG461="Fix6.25",0.0625,if(AG461="Fix3.75",0.0375,if(AG461="Fix10",0.1,if(AG461="Fix3",0.03,0))))))</f>
        <v>0</v>
      </c>
      <c r="Z461" s="40">
        <f>T461-AA461-AB461</f>
        <v>193.625</v>
      </c>
      <c r="AA461" s="34">
        <f>if(AD461="EUR",((T461-R461)*X461)*U461+(R461*X461),(T461*X461))</f>
        <v>70.375</v>
      </c>
      <c r="AB461" s="41">
        <f>if(AD461="EUR",((T461-R461)*Y461)*U461+(R461*Y461),(T461*Y461))</f>
        <v>0</v>
      </c>
      <c r="AC461" s="42" t="b">
        <v>1</v>
      </c>
      <c r="AD461" s="66" t="s">
        <v>140</v>
      </c>
      <c r="AE461" s="66"/>
      <c r="AF461" s="42" t="str">
        <f t="array" ref="AF461">INDEX('Deal Info'!D:D, MATCH(A461,'Deal Info'!A:A, 0))</f>
        <v>DoEVold</v>
      </c>
      <c r="AG461" s="43" t="str">
        <f t="array" ref="AG461">INDEX('Deal Info'!G:G, MATCH(A461,'Deal Info'!A:A, 0))</f>
        <v>None</v>
      </c>
    </row>
    <row r="462" hidden="1">
      <c r="A462" s="23" t="str">
        <f t="array" ref="A462">if(G462='Room Info'!$B$1, INDEX('Room Info'!$A$2:$A3446, MATCH(B462,'Room Info'!$B$2:$B3446, 0)),if(G462='Room Info'!$C$1, INDEX('Room Info'!$A$2:$A3446, MATCH(B462,'Room Info'!$C$2:$C3446, 0)),if(G462='Room Info'!$D$1, INDEX('Room Info'!$A$2:$A3446, MATCH(B462,'Room Info'!$D$2:$D3446, 0)),if(G462='Room Info'!$E$1, INDEX('Room Info'!$A$2:$A3446, MATCH(B462,'Room Info'!$E$2:$E3446, 0)),if(G462='Room Info'!$F$1, INDEX('Room Info'!$A$2:$A3446, MATCH(B462,'Room Info'!$F$2:$F3446, 0)),if(G462='Room Info'!$H$1, INDEX('Room Info'!$A$2:$A3446, MATCH(B462,'Room Info'!$H$2:$H3446, 0)),if(G462='Room Info'!$G$1, INDEX('Room Info'!$A$2:$A3446, MATCH(B462,'Room Info'!$G$2:$G3446, 0)))))))))</f>
        <v>fortunate773</v>
      </c>
      <c r="B462" s="50" t="s">
        <v>145</v>
      </c>
      <c r="C462" s="51">
        <v>44713.0</v>
      </c>
      <c r="D462" s="51">
        <v>44742.0</v>
      </c>
      <c r="E462" s="52">
        <v>44713.0</v>
      </c>
      <c r="F462" s="50" t="s">
        <v>8</v>
      </c>
      <c r="G462" s="50" t="s">
        <v>9</v>
      </c>
      <c r="H462" s="54" t="s">
        <v>98</v>
      </c>
      <c r="I462" s="54" t="s">
        <v>21</v>
      </c>
      <c r="J462" s="75">
        <v>250.0</v>
      </c>
      <c r="K462" s="76">
        <v>1507.0</v>
      </c>
      <c r="L462" s="57">
        <v>7500.0</v>
      </c>
      <c r="M462" s="58">
        <v>2550.0</v>
      </c>
      <c r="N462" s="33">
        <f t="shared" si="13"/>
        <v>376750</v>
      </c>
      <c r="O462" s="59">
        <v>66203.0</v>
      </c>
      <c r="P462" s="34">
        <f t="shared" si="14"/>
        <v>43.93032515</v>
      </c>
      <c r="Q462" s="60"/>
      <c r="R462" s="36">
        <f t="shared" si="71"/>
        <v>2550</v>
      </c>
      <c r="S462" s="61">
        <v>-945.0</v>
      </c>
      <c r="T462" s="37">
        <f t="shared" si="72"/>
        <v>1605</v>
      </c>
      <c r="U462" s="62">
        <v>1.0</v>
      </c>
      <c r="V462" s="63"/>
      <c r="W462" s="63"/>
      <c r="X462" s="83">
        <v>0.17</v>
      </c>
      <c r="Y462" s="83">
        <v>0.06</v>
      </c>
      <c r="Z462" s="64">
        <v>1252.0</v>
      </c>
      <c r="AA462" s="65">
        <v>353.0</v>
      </c>
      <c r="AB462" s="41"/>
      <c r="AC462" s="42" t="b">
        <v>1</v>
      </c>
      <c r="AD462" s="66" t="s">
        <v>140</v>
      </c>
      <c r="AE462" s="66"/>
      <c r="AF462" s="42" t="str">
        <f t="array" ref="AF462">INDEX('Deal Info'!D:D, MATCH(A462,'Deal Info'!A:A, 0))</f>
        <v>Fix15</v>
      </c>
      <c r="AG462" s="43" t="str">
        <f t="array" ref="AG462">INDEX('Deal Info'!G:G, MATCH(A462,'Deal Info'!A:A, 0))</f>
        <v>Fix5</v>
      </c>
    </row>
    <row r="463" hidden="1">
      <c r="A463" s="23" t="str">
        <f t="array" ref="A463">if(G463='Room Info'!$B$1, INDEX('Room Info'!$A$2:$A3446, MATCH(B463,'Room Info'!$B$2:$B3446, 0)),if(G463='Room Info'!$C$1, INDEX('Room Info'!$A$2:$A3446, MATCH(B463,'Room Info'!$C$2:$C3446, 0)),if(G463='Room Info'!$D$1, INDEX('Room Info'!$A$2:$A3446, MATCH(B463,'Room Info'!$D$2:$D3446, 0)),if(G463='Room Info'!$E$1, INDEX('Room Info'!$A$2:$A3446, MATCH(B463,'Room Info'!$E$2:$E3446, 0)),if(G463='Room Info'!$F$1, INDEX('Room Info'!$A$2:$A3446, MATCH(B463,'Room Info'!$F$2:$F3446, 0)),if(G463='Room Info'!$H$1, INDEX('Room Info'!$A$2:$A3446, MATCH(B463,'Room Info'!$H$2:$H3446, 0)),if(G463='Room Info'!$G$1, INDEX('Room Info'!$A$2:$A3446, MATCH(B463,'Room Info'!$G$2:$G3446, 0)))))))))</f>
        <v>fortunate773</v>
      </c>
      <c r="B463" s="50" t="s">
        <v>145</v>
      </c>
      <c r="C463" s="51">
        <v>44743.0</v>
      </c>
      <c r="D463" s="51">
        <v>44773.0</v>
      </c>
      <c r="E463" s="52">
        <v>44743.0</v>
      </c>
      <c r="F463" s="53" t="s">
        <v>8</v>
      </c>
      <c r="G463" s="50" t="s">
        <v>9</v>
      </c>
      <c r="H463" s="54" t="s">
        <v>98</v>
      </c>
      <c r="I463" s="54" t="s">
        <v>21</v>
      </c>
      <c r="J463" s="75">
        <v>250.0</v>
      </c>
      <c r="K463" s="76">
        <v>1032.0</v>
      </c>
      <c r="L463" s="57">
        <v>-8250.0</v>
      </c>
      <c r="M463" s="58">
        <v>0.0</v>
      </c>
      <c r="N463" s="33">
        <f t="shared" si="13"/>
        <v>258000</v>
      </c>
      <c r="O463" s="59">
        <v>24336.0</v>
      </c>
      <c r="P463" s="34">
        <f t="shared" si="14"/>
        <v>23.58139535</v>
      </c>
      <c r="Q463" s="60"/>
      <c r="R463" s="36">
        <f t="shared" si="71"/>
        <v>0</v>
      </c>
      <c r="S463" s="61">
        <v>-8422.0</v>
      </c>
      <c r="T463" s="37">
        <f t="shared" si="72"/>
        <v>-8422</v>
      </c>
      <c r="U463" s="62">
        <v>1.0</v>
      </c>
      <c r="V463" s="63"/>
      <c r="W463" s="63"/>
      <c r="X463" s="83">
        <v>0.17</v>
      </c>
      <c r="Y463" s="83">
        <v>0.06</v>
      </c>
      <c r="Z463" s="64">
        <v>-6569.0</v>
      </c>
      <c r="AA463" s="65">
        <v>-1853.0</v>
      </c>
      <c r="AB463" s="41"/>
      <c r="AC463" s="42" t="b">
        <v>1</v>
      </c>
      <c r="AD463" s="66" t="s">
        <v>140</v>
      </c>
      <c r="AE463" s="66"/>
      <c r="AF463" s="42" t="str">
        <f t="array" ref="AF463">INDEX('Deal Info'!D:D, MATCH(A463,'Deal Info'!A:A, 0))</f>
        <v>Fix15</v>
      </c>
      <c r="AG463" s="43" t="str">
        <f t="array" ref="AG463">INDEX('Deal Info'!G:G, MATCH(A463,'Deal Info'!A:A, 0))</f>
        <v>Fix5</v>
      </c>
    </row>
    <row r="464" hidden="1">
      <c r="A464" s="23" t="str">
        <f t="array" ref="A464">if(G464='Room Info'!$B$1, INDEX('Room Info'!$A$2:$A3446, MATCH(B464,'Room Info'!$B$2:$B3446, 0)),if(G464='Room Info'!$C$1, INDEX('Room Info'!$A$2:$A3446, MATCH(B464,'Room Info'!$C$2:$C3446, 0)),if(G464='Room Info'!$D$1, INDEX('Room Info'!$A$2:$A3446, MATCH(B464,'Room Info'!$D$2:$D3446, 0)),if(G464='Room Info'!$E$1, INDEX('Room Info'!$A$2:$A3446, MATCH(B464,'Room Info'!$E$2:$E3446, 0)),if(G464='Room Info'!$F$1, INDEX('Room Info'!$A$2:$A3446, MATCH(B464,'Room Info'!$F$2:$F3446, 0)),if(G464='Room Info'!$H$1, INDEX('Room Info'!$A$2:$A3446, MATCH(B464,'Room Info'!$H$2:$H3446, 0)),if(G464='Room Info'!$G$1, INDEX('Room Info'!$A$2:$A3446, MATCH(B464,'Room Info'!$G$2:$G3446, 0)))))))))</f>
        <v>fortunate773</v>
      </c>
      <c r="B464" s="50" t="s">
        <v>145</v>
      </c>
      <c r="C464" s="51">
        <v>44774.0</v>
      </c>
      <c r="D464" s="51">
        <v>44804.0</v>
      </c>
      <c r="E464" s="52">
        <v>44774.0</v>
      </c>
      <c r="F464" s="53" t="s">
        <v>8</v>
      </c>
      <c r="G464" s="59" t="s">
        <v>9</v>
      </c>
      <c r="H464" s="54" t="s">
        <v>98</v>
      </c>
      <c r="I464" s="54" t="s">
        <v>21</v>
      </c>
      <c r="J464" s="55">
        <v>250.0</v>
      </c>
      <c r="K464" s="56">
        <v>1121.0</v>
      </c>
      <c r="L464" s="57">
        <v>-27175.0</v>
      </c>
      <c r="M464" s="58">
        <v>8120.0</v>
      </c>
      <c r="N464" s="33">
        <f t="shared" si="13"/>
        <v>280250</v>
      </c>
      <c r="O464" s="59">
        <v>13309.0</v>
      </c>
      <c r="P464" s="34">
        <f t="shared" si="14"/>
        <v>11.87243533</v>
      </c>
      <c r="Q464" s="60"/>
      <c r="R464" s="36">
        <f t="shared" si="71"/>
        <v>8120</v>
      </c>
      <c r="S464" s="61">
        <v>-15888.0</v>
      </c>
      <c r="T464" s="37">
        <f t="shared" si="72"/>
        <v>-7768</v>
      </c>
      <c r="U464" s="62">
        <v>1.0</v>
      </c>
      <c r="V464" s="63"/>
      <c r="W464" s="63"/>
      <c r="X464" s="35">
        <f t="shared" ref="X464:X469" si="86">IF(AF464="DoEV",IF(AND(V464&lt;20,W464&lt;55),0.3,0)+IF(AND(V464&lt;20,W464&gt;=55,W464&lt;105),0.23,0)+IF(AND(V464&lt;20,W464&gt;=105),0.17,0)+IF(AND(V464&gt;=20,V464&lt;40,W464&lt;45),0.3,0)+IF(AND(V464&gt;=20,V464&lt;40,W464&gt;=45,W464&lt;95),0.23,0)+IF(AND(V464&gt;=20,V464&lt;40,W464&gt;=95),0.17,0)+IF(AND(V464&gt;=40,V464&lt;75,W464&lt;35),0.3,0)+IF(AND(V464&gt;=40,V464&lt;75,W464&gt;=35,W464&lt;75),0.23,0)+IF(AND(V464&gt;=40,V464&lt;75,W464&gt;=75,W464&lt;120),0.17,0)+IF(AND(V464&gt;=40,V464&lt;75,W464&gt;=120),0.12,0)+IF(AND(V464&gt;=75,V464&lt;175,W464&lt;35),0.3,0)+IF(AND(V464&gt;=75,V464&lt;=175,W464&gt;=35,W464&lt;65),0.23,0)+IF(AND(V464&gt;=75,V464&lt;=175,W464&gt;=65,W464&lt;110),0.17,0)+IF(AND(V464&gt;=75,V464&lt;=175,W464&gt;=110),0.12,0)+IF(AND(V464&gt;175,W464&lt;25),0.3,0)+IF(AND(V464&gt;175,W464&gt;=25,W464&lt;55),0.23,0)+IF(AND(V464&gt;175,W464&gt;=55,W464&lt;95),0.17,0)+IF(AND(V464&gt;175,W464&gt;=95),0.12,0),
IF(AF464="Fix15",0.15,
IF(AF464="Fix11.25",0.1125,
IF(AF464="Fix10",0.1,
IF(AF464="Fix9",0.09,
IF(AF464="DoEV2017",IF(AND(W464&lt;74),0.2,0)+IF(AND(W464&gt;=74),0.17,0),
IF(AF464="SF",IF(AND(V464&lt;20,W464&lt;89),0.3,0)+IF(AND(V464&lt;20,W464&gt;=89),0.25,0)+IF(AND(V464&gt;=20,V464&lt;40,W464&lt;74),0.3,0)+IF(AND(V464&gt;=20,V464&lt;40,W464&gt;=75),0.22,0)+IF(AND(V464&gt;=40,V464&lt;75,W464&lt;75),0.26,0)+IF(AND(V464&gt;=40,V464&lt;75,W464&gt;=75),0.22,0)+IF(V464&gt;=75,0.22,0),
IF(AF464="DoEVold",IF(AND(V464&lt;40,W464&lt;35),0.35,0)+IF(AND(V464&lt;40,W464&gt;=35,W464&lt;75),0.25,0)+IF(AND(V464&lt;40,W464&gt;=75),0.17,0)+IF(AND(V464&gt;=40,V464&lt;75,W464&lt;25),0.35,0)+IF(AND(V464&gt;=40,V464&lt;75,W464&gt;=25,W464&lt;65),0.25,0)+IF(AND(V464&gt;=40,V464&lt;75,W464&gt;=65,W464&lt;100),0.17,0)+IF(AND(V464&gt;=40,V464&lt;75,W464&gt;=100),0.1,0)+IF(AND(V464&gt;=75,W464&lt;25),0.35,0)+IF(AND(V464&gt;=75,W464&gt;=25,W464&lt;60),0.25,0)+IF(AND(V464&gt;=75,W464&gt;=60,W464&lt;95),0.17,0)+IF(AND(V464&gt;=75,W464&gt;=95),0.1,0),
IF(AF464="DoEVold15",IF(AND(V464&lt;=40,W464&lt;35),0.35,0)+IF(AND(V464&lt;=40,W464&gt;=35,W464&lt;75),0.25,0)+IF(AND(V464&lt;=40,W464&gt;=75,W464&lt;120),0.17,0)+IF(AND(V464&lt;=40,W464&gt;=120),0.15,0)+IF(AND(V464&gt;40,V464&lt;75,W464&lt;25),0.35,0)+IF(AND(V464&gt;=40,V464&lt;75,W464&gt;=25,W464&lt;65),0.25,0)+IF(AND(V464&gt;=40,V464&lt;75,W464&gt;=65,W464&lt;100),0.17,0)+IF(AND(V464&gt;=40,V464&lt;75,W464&gt;=100),0.1,0)+IF(AND(V464&gt;=75,W464&lt;25),0.35,0)+IF(AND(V464&gt;=75,W464&gt;=25,W464&lt;60),0.25,0)+IF(AND(V464&gt;=75,W464&gt;=60,W464&lt;95),0.17,0)+IF(AND(V464&gt;=75,W464&gt;=95),0.1,0),
IF(AF464="DoEVba",IF(AND(V464&lt;20,W464&lt;105),0.2,0)+IF(AND(V464&lt;20,W464&gt;=105),0.15,0)+IF(AND(V464&gt;=20,V464&lt;40,W464&lt;95),0.2,0)+IF(AND(V464&gt;=20,V464&lt;40,W464&gt;=95,W464&lt;150),0.15,0)+IF(AND(V464&gt;=20,V464&lt;40,W464&gt;=150),0.12,0)+IF(AND(V464&gt;=40,V464&lt;75,W464&lt;75),0.2,0)+IF(AND(V464&gt;=40,V464&lt;75,W464&gt;=75,W464&lt;120),0.15,0)+IF(AND(V464&gt;=40,V464&lt;75,W464&gt;=120),0.12,0)+IF(AND(V464&gt;=75,V464&lt;175,W464&lt;65),0.2,0)+IF(AND(V464&gt;=75,V464&lt;175,W464&gt;=65,W464&lt;110),0.15,0)+IF(AND(V464&gt;=75,V464&lt;175,W464&gt;=110),0.12,0)+IF(AND(V464&gt;=175,W464&lt;55),0.2,0)+IF(AND(V464&gt;=175,W464&gt;=55,W464&lt;95),0.15,0)+IF(AND(V464&gt;=175,W464&gt;=95),0.12,0),
IF(AF464="DoEVku",IF(AND(V464&lt;20,W464&lt;55),0.23,0)+IF(AND(V464&lt;20,W464&gt;=55,W464&lt;105),0.2,0)+IF(AND(V464&lt;20,W464&gt;=105),0.17,0)+IF(AND(V464&gt;=20,V464&lt;40,W464&lt;45),0.23,0)+IF(AND(V464&gt;=20,V464&lt;40,W464&gt;=45,W464&lt;95),0.2,0)+IF(AND(V464&gt;=20,V464&lt;40,W464&gt;=95,W464&lt;=150),0.17,0)+IF(AND(V464&gt;=20,V464&lt;40,W464&gt;=150),0.12,0)+IF(AND(V464&gt;=40,V464&lt;75,W464&lt;35),0.23,0)+IF(AND(V464&gt;=40,V464&lt;75,W464&gt;=35,W464&lt;75),0.2,0)+IF(AND(V464&gt;=40,V464&lt;75,W464&gt;=75,W464&lt;120),0.17,0)+IF(AND(V464&gt;=40,V464&lt;75,W464&gt;=120),0.12,0)+IF(AND(V464&gt;=75,V464&lt;175,W464&lt;35),0.23,0)+IF(AND(V464&gt;=75,V464&lt;=175,W464&gt;=35,W464&lt;65),0.2,0)+IF(AND(V464&gt;=75,V464&lt;=175,W464&gt;=65,W464&lt;110),0.17,0)+IF(AND(V464&gt;=75,V464&lt;=175,W464&gt;=110),0.12,0)+IF(AND(V464&gt;175,W464&lt;25),0.23,0)+IF(AND(V464&gt;175,W464&gt;=25,W464&lt;55),0.2,0)+IF(AND(V464&gt;175,W464&gt;=55,W464&lt;95),0.17,0)+IF(AND(V464&gt;175,W464&gt;=95),0.12,0),
IF(AF464="DoEVs1",IF(AND(V464&lt;20,W464&lt;55),0.3,0)+IF(AND(V464&lt;20,W464&gt;=55,W464&lt;105),0.23,0)+IF(AND(V464&lt;20,W464&gt;=105),0.17,0)+IF(AND(V464&gt;=20,V464&lt;40,W464&lt;45),0.3,0)+IF(AND(V464&gt;=20,V464&lt;40,W464&gt;=45,W464&lt;95),0.23,0)+IF(AND(V464&gt;=20,V464&lt;40,W464&gt;=95,W464&lt;=150),0.17,0)+IF(AND(V464&gt;=20,V464&lt;40,W464&gt;=150),0.12,0)+IF(AND(V464&gt;=40,V464&lt;75,W464&lt;35),0.3,0)+IF(AND(V464&gt;=40,V464&lt;75,W464&gt;=35,W464&lt;75),0.23,0)+IF(AND(V464&gt;=40,V464&lt;75,W464&gt;=75,W464&lt;120),0.17,0)+IF(AND(V464&gt;=40,V464&lt;75,W464&gt;=120),0.12,0)+IF(AND(V464&gt;=75,V464&lt;175,W464&lt;35),0.3,0)+IF(AND(V464&gt;=75,V464&lt;=175,W464&gt;=35,W464&lt;65),0.23,0)+IF(AND(V464&gt;=75,V464&lt;=175,W464&gt;=65,W464&lt;110),0.17,0)+IF(AND(V464&gt;=75,V464&lt;=175,W464&gt;=110),0.12,0)+IF(AND(V464&gt;175,W464&lt;25),0.3,0)+IF(AND(V464&gt;175,W464&gt;=25,W464&lt;55),0.23,0)+IF(AND(V464&gt;175,W464&gt;=55,W464&lt;95),0.17,0)+IF(AND(V464&gt;175,W464&gt;=95),0.12,0),
IF(AF464="DoEVsu",IF(AND(V464&lt;20,W464&lt;55),0.3,0)+IF(AND(V464&lt;20,W464&gt;=55,W464&lt;105),0.23,0)+IF(AND(V464&lt;20,W464&gt;=105),0.17,0)+IF(AND(V464&gt;=20,V464&lt;40,W464&lt;45),0.3,0)+IF(AND(V464&gt;=20,V464&lt;40,W464&gt;=45,W464&lt;95),0.23,0)+IF(AND(V464&gt;=20,V464&lt;40,W464&gt;=95,W464&lt;=250),0.17,0)+IF(AND(V464&gt;=20,V464&lt;40,W464&gt;=250),0.12,0)+IF(AND(V464&gt;=40,V464&lt;75,W464&lt;35),0.3,0)+IF(AND(V464&gt;=40,V464&lt;75,W464&gt;=35,W464&lt;75),0.23,0)+IF(AND(V464&gt;=40,V464&lt;75,W464&gt;=75,W464&lt;120),0.17,0)+IF(AND(V464&gt;=40,V464&lt;75,W464&gt;=120),0.12,0)+IF(AND(V464&gt;=75,V464&lt;175,W464&lt;35),0.3,0)+IF(AND(V464&gt;=75,V464&lt;=175,W464&gt;=35,W464&lt;65),0.23,0)+IF(AND(V464&gt;=75,V464&lt;=175,W464&gt;=65,W464&lt;110),0.17,0)+IF(AND(V464&gt;=75,V464&lt;=175,W464&gt;=110),0.12,0)+IF(AND(V464&gt;175,W464&lt;25),0.3,0)+IF(AND(V464&gt;175,W464&gt;=25,W464&lt;55),0.23,0)+IF(AND(V464&gt;175,W464&gt;=55,W464&lt;95),0.17,0)+IF(AND(V464&gt;175,W464&gt;=95),0.12,0),
IF(AF464="DoEVni",IF(AND(V464&lt;20,W464&lt;55),0.3,0)+IF(AND(V464&lt;20,W464&gt;=55,W464&lt;105),0.23,0)+IF(AND(V464&lt;20,W464&gt;=105),0.17,0)+IF(AND(V464&gt;=20,V464&lt;40,W464&lt;45),0.3,0)+IF(AND(V464&gt;=20,V464&lt;40,W464&gt;=45,W464&lt;95),0.23,0)+IF(AND(V464&gt;=20,V464&lt;40,W464&gt;=95,W464&lt;=200),0.17,0)+IF(AND(V464&gt;=20,V464&lt;40,W464&gt;=200),0.12,0)+IF(AND(V464&gt;=40,V464&lt;75,W464&lt;35),0.3,0)+IF(AND(V464&gt;=40,V464&lt;75,W464&gt;=35,W464&lt;75),0.23,0)+IF(AND(V464&gt;=40,V464&lt;75,W464&gt;=75,W464&lt;120),0.17,0)+IF(AND(V464&gt;=40,V464&lt;75,W464&gt;=120),0.12,0)+IF(AND(V464&gt;=75,V464&lt;175,W464&lt;35),0.3,0)+IF(AND(V464&gt;=75,V464&lt;=175,W464&gt;=35,W464&lt;65),0.23,0)+IF(AND(V464&gt;=75,V464&lt;=175,W464&gt;=65,W464&lt;110),0.17,0)+IF(AND(V464&gt;=75,V464&lt;=175,W464&gt;=110),0.12,0)+IF(AND(V464&gt;175,W464&lt;25),0.3,0)+IF(AND(V464&gt;175,W464&gt;=25,W464&lt;55),0.23,0)+IF(AND(V464&gt;175,W464&gt;=55,W464&lt;95),0.17,0)+IF(AND(V464&gt;175,W464&gt;=95),0.12,0),
IF(AF464="DoEVLo",IF(AND(V464&lt;20,W464&lt;55),0.25,0)+IF(AND(V464&lt;20,W464&gt;=55,W464&lt;105),0.2,0)+IF(AND(V464&lt;20,W464&gt;=105),0.15,0)+IF(AND(V464&gt;=20,V464&lt;40,W464&lt;45),0.25,0)+IF(AND(V464&gt;=20,V464&lt;40,W464&gt;=45,W464&lt;95),0.2,0)+IF(AND(V464&gt;=20,V464&lt;40,W464&gt;=95),0.15,0)+IF(AND(V464&gt;=40,V464&lt;75,W464&lt;35),0.25,0)+IF(AND(V464&gt;=40,V464&lt;75,W464&gt;=35,W464&lt;75),0.2,0)+IF(AND(V464&gt;=40,V464&lt;75,W464&gt;=75,W464&lt;120),0.15,0)+IF(AND(V464&gt;=40,V464&lt;75,W464&gt;=120),0.1,0)+IF(AND(V464&gt;=75,V464&lt;175,W464&lt;35),0.25,0)+IF(AND(V464&gt;=75,V464&lt;=175,W464&gt;=35,W464&lt;65),0.2,0)+IF(AND(V464&gt;=75,V464&lt;=175,W464&gt;=65,W464&lt;110),0.15,0)+IF(AND(V464&gt;=75,V464&lt;=175,W464&gt;=110),0.1,0)+IF(AND(V464&gt;175,W464&lt;25),0.25,0)+IF(AND(V464&gt;175,W464&gt;=25,W464&lt;55),0.2,0)+IF(AND(V464&gt;175,W464&gt;=55,W464&lt;95),0.15,0)+IF(AND(V464&gt;175,W464&gt;=95),0.1,0))))))))))))))))</f>
        <v>0.15</v>
      </c>
      <c r="Y464" s="35">
        <f t="shared" ref="Y464:Y469" si="87">if(AG464="None",0,if(AG464="Fix5",0.05,if(AG464="Fix3.75",0.0375,if(AG464="Fix10",0.1,if(AG464="Fix3",0.03,0)))))</f>
        <v>0.05</v>
      </c>
      <c r="Z464" s="64">
        <v>-6215.0</v>
      </c>
      <c r="AA464" s="65">
        <v>-1554.0</v>
      </c>
      <c r="AB464" s="41"/>
      <c r="AC464" s="42" t="b">
        <v>1</v>
      </c>
      <c r="AD464" s="66" t="s">
        <v>140</v>
      </c>
      <c r="AE464" s="66"/>
      <c r="AF464" s="42" t="str">
        <f t="array" ref="AF464">INDEX('Deal Info'!D:D, MATCH(A464,'Deal Info'!A:A, 0))</f>
        <v>Fix15</v>
      </c>
      <c r="AG464" s="43" t="str">
        <f t="array" ref="AG464">INDEX('Deal Info'!G:G, MATCH(A464,'Deal Info'!A:A, 0))</f>
        <v>Fix5</v>
      </c>
    </row>
    <row r="465" hidden="1">
      <c r="A465" s="23" t="str">
        <f t="array" ref="A465">if(G465='Room Info'!$B$1, INDEX('Room Info'!$A$2:$A3446, MATCH(B465,'Room Info'!$B$2:$B3446, 0)),if(G465='Room Info'!$C$1, INDEX('Room Info'!$A$2:$A3446, MATCH(B465,'Room Info'!$C$2:$C3446, 0)),if(G465='Room Info'!$D$1, INDEX('Room Info'!$A$2:$A3446, MATCH(B465,'Room Info'!$D$2:$D3446, 0)),if(G465='Room Info'!$E$1, INDEX('Room Info'!$A$2:$A3446, MATCH(B465,'Room Info'!$E$2:$E3446, 0)),if(G465='Room Info'!$F$1, INDEX('Room Info'!$A$2:$A3446, MATCH(B465,'Room Info'!$F$2:$F3446, 0)),if(G465='Room Info'!$H$1, INDEX('Room Info'!$A$2:$A3446, MATCH(B465,'Room Info'!$H$2:$H3446, 0)),if(G465='Room Info'!$G$1, INDEX('Room Info'!$A$2:$A3446, MATCH(B465,'Room Info'!$G$2:$G3446, 0)))))))))</f>
        <v>fortunate773</v>
      </c>
      <c r="B465" s="50" t="s">
        <v>145</v>
      </c>
      <c r="C465" s="51">
        <v>44805.0</v>
      </c>
      <c r="D465" s="51">
        <v>44834.0</v>
      </c>
      <c r="E465" s="52">
        <v>44805.0</v>
      </c>
      <c r="F465" s="53" t="s">
        <v>8</v>
      </c>
      <c r="G465" s="59" t="s">
        <v>9</v>
      </c>
      <c r="H465" s="54" t="s">
        <v>98</v>
      </c>
      <c r="I465" s="54" t="s">
        <v>21</v>
      </c>
      <c r="J465" s="55">
        <v>250.0</v>
      </c>
      <c r="K465" s="56">
        <v>983.0</v>
      </c>
      <c r="L465" s="57">
        <v>15000.0</v>
      </c>
      <c r="M465" s="58">
        <v>1297.0</v>
      </c>
      <c r="N465" s="33">
        <f t="shared" si="13"/>
        <v>245750</v>
      </c>
      <c r="O465" s="59">
        <v>46249.0</v>
      </c>
      <c r="P465" s="34">
        <f t="shared" si="14"/>
        <v>47.04883011</v>
      </c>
      <c r="Q465" s="60"/>
      <c r="R465" s="36">
        <f t="shared" si="71"/>
        <v>1297</v>
      </c>
      <c r="S465" s="61">
        <v>2518.0</v>
      </c>
      <c r="T465" s="37">
        <f t="shared" si="72"/>
        <v>3815</v>
      </c>
      <c r="U465" s="62">
        <v>1.0</v>
      </c>
      <c r="V465" s="63"/>
      <c r="W465" s="63"/>
      <c r="X465" s="35">
        <f t="shared" si="86"/>
        <v>0.15</v>
      </c>
      <c r="Y465" s="35">
        <f t="shared" si="87"/>
        <v>0.05</v>
      </c>
      <c r="Z465" s="64">
        <v>3052.0</v>
      </c>
      <c r="AA465" s="65">
        <v>763.0</v>
      </c>
      <c r="AB465" s="41"/>
      <c r="AC465" s="42" t="b">
        <v>1</v>
      </c>
      <c r="AD465" s="66" t="s">
        <v>140</v>
      </c>
      <c r="AE465" s="66"/>
      <c r="AF465" s="42" t="str">
        <f t="array" ref="AF465">INDEX('Deal Info'!D:D, MATCH(A465,'Deal Info'!A:A, 0))</f>
        <v>Fix15</v>
      </c>
      <c r="AG465" s="43" t="str">
        <f t="array" ref="AG465">INDEX('Deal Info'!G:G, MATCH(A465,'Deal Info'!A:A, 0))</f>
        <v>Fix5</v>
      </c>
    </row>
    <row r="466" hidden="1">
      <c r="A466" s="23" t="str">
        <f t="array" ref="A466">if(G466='Room Info'!$B$1, INDEX('Room Info'!$A$2:$A3446, MATCH(B466,'Room Info'!$B$2:$B3446, 0)),if(G466='Room Info'!$C$1, INDEX('Room Info'!$A$2:$A3446, MATCH(B466,'Room Info'!$C$2:$C3446, 0)),if(G466='Room Info'!$D$1, INDEX('Room Info'!$A$2:$A3446, MATCH(B466,'Room Info'!$D$2:$D3446, 0)),if(G466='Room Info'!$E$1, INDEX('Room Info'!$A$2:$A3446, MATCH(B466,'Room Info'!$E$2:$E3446, 0)),if(G466='Room Info'!$F$1, INDEX('Room Info'!$A$2:$A3446, MATCH(B466,'Room Info'!$F$2:$F3446, 0)),if(G466='Room Info'!$H$1, INDEX('Room Info'!$A$2:$A3446, MATCH(B466,'Room Info'!$H$2:$H3446, 0)),if(G466='Room Info'!$G$1, INDEX('Room Info'!$A$2:$A3446, MATCH(B466,'Room Info'!$G$2:$G3446, 0)))))))))</f>
        <v>fortunate773</v>
      </c>
      <c r="B466" s="50" t="s">
        <v>151</v>
      </c>
      <c r="C466" s="51">
        <v>44835.0</v>
      </c>
      <c r="D466" s="51">
        <v>44865.0</v>
      </c>
      <c r="E466" s="52">
        <v>44835.0</v>
      </c>
      <c r="F466" s="53" t="s">
        <v>8</v>
      </c>
      <c r="G466" s="50" t="s">
        <v>9</v>
      </c>
      <c r="H466" s="54" t="s">
        <v>98</v>
      </c>
      <c r="I466" s="54" t="s">
        <v>21</v>
      </c>
      <c r="J466" s="55">
        <v>250.0</v>
      </c>
      <c r="K466" s="56">
        <v>1761.0</v>
      </c>
      <c r="L466" s="57">
        <v>-8750.0</v>
      </c>
      <c r="M466" s="58">
        <v>26766.0</v>
      </c>
      <c r="N466" s="33">
        <f t="shared" si="13"/>
        <v>440250</v>
      </c>
      <c r="O466" s="59">
        <v>30594.0</v>
      </c>
      <c r="P466" s="34">
        <f t="shared" si="14"/>
        <v>17.37308348</v>
      </c>
      <c r="Q466" s="60"/>
      <c r="R466" s="36">
        <f t="shared" si="71"/>
        <v>26766</v>
      </c>
      <c r="S466" s="61">
        <v>-22720.0</v>
      </c>
      <c r="T466" s="37">
        <f t="shared" si="72"/>
        <v>4046</v>
      </c>
      <c r="U466" s="62">
        <v>1.0</v>
      </c>
      <c r="V466" s="63"/>
      <c r="W466" s="63"/>
      <c r="X466" s="35">
        <f t="shared" si="86"/>
        <v>0.15</v>
      </c>
      <c r="Y466" s="35">
        <f t="shared" si="87"/>
        <v>0.05</v>
      </c>
      <c r="Z466" s="64">
        <v>3237.0</v>
      </c>
      <c r="AA466" s="65">
        <v>809.0</v>
      </c>
      <c r="AB466" s="41"/>
      <c r="AC466" s="42" t="b">
        <v>0</v>
      </c>
      <c r="AD466" s="66" t="s">
        <v>140</v>
      </c>
      <c r="AE466" s="66"/>
      <c r="AF466" s="42" t="str">
        <f t="array" ref="AF466">INDEX('Deal Info'!D:D, MATCH(A466,'Deal Info'!A:A, 0))</f>
        <v>Fix15</v>
      </c>
      <c r="AG466" s="43" t="str">
        <f t="array" ref="AG466">INDEX('Deal Info'!G:G, MATCH(A466,'Deal Info'!A:A, 0))</f>
        <v>Fix5</v>
      </c>
    </row>
    <row r="467" hidden="1">
      <c r="A467" s="23" t="str">
        <f t="array" ref="A467">if(G467='Room Info'!$B$1, INDEX('Room Info'!$A$2:$A3446, MATCH(B467,'Room Info'!$B$2:$B3446, 0)),if(G467='Room Info'!$C$1, INDEX('Room Info'!$A$2:$A3446, MATCH(B467,'Room Info'!$C$2:$C3446, 0)),if(G467='Room Info'!$D$1, INDEX('Room Info'!$A$2:$A3446, MATCH(B467,'Room Info'!$D$2:$D3446, 0)),if(G467='Room Info'!$E$1, INDEX('Room Info'!$A$2:$A3446, MATCH(B467,'Room Info'!$E$2:$E3446, 0)),if(G467='Room Info'!$F$1, INDEX('Room Info'!$A$2:$A3446, MATCH(B467,'Room Info'!$F$2:$F3446, 0)),if(G467='Room Info'!$H$1, INDEX('Room Info'!$A$2:$A3446, MATCH(B467,'Room Info'!$H$2:$H3446, 0)),if(G467='Room Info'!$G$1, INDEX('Room Info'!$A$2:$A3446, MATCH(B467,'Room Info'!$G$2:$G3446, 0)))))))))</f>
        <v>fortunate773</v>
      </c>
      <c r="B467" s="50" t="s">
        <v>151</v>
      </c>
      <c r="C467" s="51">
        <v>44866.0</v>
      </c>
      <c r="D467" s="51">
        <v>44885.0</v>
      </c>
      <c r="E467" s="52">
        <v>44866.0</v>
      </c>
      <c r="F467" s="53" t="s">
        <v>4</v>
      </c>
      <c r="G467" s="50" t="s">
        <v>9</v>
      </c>
      <c r="H467" s="54" t="s">
        <v>98</v>
      </c>
      <c r="I467" s="54" t="s">
        <v>21</v>
      </c>
      <c r="J467" s="75">
        <v>250.0</v>
      </c>
      <c r="K467" s="76">
        <v>871.0</v>
      </c>
      <c r="L467" s="57">
        <v>-11308.0</v>
      </c>
      <c r="M467" s="58">
        <v>10220.0</v>
      </c>
      <c r="N467" s="33">
        <f t="shared" si="13"/>
        <v>217750</v>
      </c>
      <c r="O467" s="59">
        <v>28036.0</v>
      </c>
      <c r="P467" s="34">
        <f t="shared" si="14"/>
        <v>32.18828932</v>
      </c>
      <c r="Q467" s="60"/>
      <c r="R467" s="36">
        <f t="shared" si="71"/>
        <v>10220</v>
      </c>
      <c r="S467" s="61">
        <v>-4640.0</v>
      </c>
      <c r="T467" s="37">
        <f t="shared" si="72"/>
        <v>5580</v>
      </c>
      <c r="U467" s="62">
        <v>1.0</v>
      </c>
      <c r="V467" s="63"/>
      <c r="W467" s="63"/>
      <c r="X467" s="35">
        <f t="shared" si="86"/>
        <v>0.15</v>
      </c>
      <c r="Y467" s="35">
        <f t="shared" si="87"/>
        <v>0.05</v>
      </c>
      <c r="Z467" s="64">
        <v>4464.0</v>
      </c>
      <c r="AA467" s="65">
        <v>1116.0</v>
      </c>
      <c r="AB467" s="41"/>
      <c r="AC467" s="42" t="b">
        <v>0</v>
      </c>
      <c r="AD467" s="66" t="s">
        <v>140</v>
      </c>
      <c r="AE467" s="66"/>
      <c r="AF467" s="42" t="str">
        <f t="array" ref="AF467">INDEX('Deal Info'!D:D, MATCH(A467,'Deal Info'!A:A, 0))</f>
        <v>Fix15</v>
      </c>
      <c r="AG467" s="43" t="str">
        <f t="array" ref="AG467">INDEX('Deal Info'!G:G, MATCH(A467,'Deal Info'!A:A, 0))</f>
        <v>Fix5</v>
      </c>
    </row>
    <row r="468" hidden="1">
      <c r="A468" s="23" t="str">
        <f t="array" ref="A468">if(G468='Room Info'!$B$1, INDEX('Room Info'!$A$2:$A3446, MATCH(B468,'Room Info'!$B$2:$B3446, 0)),if(G468='Room Info'!$C$1, INDEX('Room Info'!$A$2:$A3446, MATCH(B468,'Room Info'!$C$2:$C3446, 0)),if(G468='Room Info'!$D$1, INDEX('Room Info'!$A$2:$A3446, MATCH(B468,'Room Info'!$D$2:$D3446, 0)),if(G468='Room Info'!$E$1, INDEX('Room Info'!$A$2:$A3446, MATCH(B468,'Room Info'!$E$2:$E3446, 0)),if(G468='Room Info'!$F$1, INDEX('Room Info'!$A$2:$A3446, MATCH(B468,'Room Info'!$F$2:$F3446, 0)),if(G468='Room Info'!$H$1, INDEX('Room Info'!$A$2:$A3446, MATCH(B468,'Room Info'!$H$2:$H3446, 0)),if(G468='Room Info'!$G$1, INDEX('Room Info'!$A$2:$A3446, MATCH(B468,'Room Info'!$G$2:$G3446, 0)))))))))</f>
        <v>fortunate773</v>
      </c>
      <c r="B468" s="50" t="s">
        <v>151</v>
      </c>
      <c r="C468" s="51">
        <v>44886.0</v>
      </c>
      <c r="D468" s="51">
        <v>44915.0</v>
      </c>
      <c r="E468" s="52">
        <v>44896.0</v>
      </c>
      <c r="F468" s="53" t="s">
        <v>8</v>
      </c>
      <c r="G468" s="50" t="s">
        <v>9</v>
      </c>
      <c r="H468" s="54" t="s">
        <v>98</v>
      </c>
      <c r="I468" s="54" t="s">
        <v>21</v>
      </c>
      <c r="J468" s="75">
        <v>250.0</v>
      </c>
      <c r="K468" s="76">
        <v>81.0</v>
      </c>
      <c r="L468" s="57">
        <v>-250.0</v>
      </c>
      <c r="M468" s="58">
        <v>2089.0</v>
      </c>
      <c r="N468" s="33">
        <f t="shared" si="13"/>
        <v>20250</v>
      </c>
      <c r="O468" s="59">
        <v>-11.0</v>
      </c>
      <c r="P468" s="34">
        <f t="shared" si="14"/>
        <v>-0.1358024691</v>
      </c>
      <c r="Q468" s="60"/>
      <c r="R468" s="36">
        <f t="shared" si="71"/>
        <v>2089</v>
      </c>
      <c r="S468" s="61">
        <v>-1615.0</v>
      </c>
      <c r="T468" s="37">
        <f t="shared" si="72"/>
        <v>474</v>
      </c>
      <c r="U468" s="62">
        <v>1.0</v>
      </c>
      <c r="V468" s="63"/>
      <c r="W468" s="63"/>
      <c r="X468" s="35">
        <f t="shared" si="86"/>
        <v>0.15</v>
      </c>
      <c r="Y468" s="35">
        <f t="shared" si="87"/>
        <v>0.05</v>
      </c>
      <c r="Z468" s="64">
        <v>379.0</v>
      </c>
      <c r="AA468" s="65">
        <v>95.0</v>
      </c>
      <c r="AB468" s="41"/>
      <c r="AC468" s="42" t="b">
        <v>0</v>
      </c>
      <c r="AD468" s="66" t="s">
        <v>140</v>
      </c>
      <c r="AE468" s="66"/>
      <c r="AF468" s="42" t="str">
        <f t="array" ref="AF468">INDEX('Deal Info'!D:D, MATCH(A468,'Deal Info'!A:A, 0))</f>
        <v>Fix15</v>
      </c>
      <c r="AG468" s="43" t="str">
        <f t="array" ref="AG468">INDEX('Deal Info'!G:G, MATCH(A468,'Deal Info'!A:A, 0))</f>
        <v>Fix5</v>
      </c>
    </row>
    <row r="469" hidden="1">
      <c r="A469" s="23" t="str">
        <f t="array" ref="A469">if(G469='Room Info'!$B$1, INDEX('Room Info'!$A$2:$A3446, MATCH(B469,'Room Info'!$B$2:$B3446, 0)),if(G469='Room Info'!$C$1, INDEX('Room Info'!$A$2:$A3446, MATCH(B469,'Room Info'!$C$2:$C3446, 0)),if(G469='Room Info'!$D$1, INDEX('Room Info'!$A$2:$A3446, MATCH(B469,'Room Info'!$D$2:$D3446, 0)),if(G469='Room Info'!$E$1, INDEX('Room Info'!$A$2:$A3446, MATCH(B469,'Room Info'!$E$2:$E3446, 0)),if(G469='Room Info'!$F$1, INDEX('Room Info'!$A$2:$A3446, MATCH(B469,'Room Info'!$F$2:$F3446, 0)),if(G469='Room Info'!$H$1, INDEX('Room Info'!$A$2:$A3446, MATCH(B469,'Room Info'!$H$2:$H3446, 0)),if(G469='Room Info'!$G$1, INDEX('Room Info'!$A$2:$A3446, MATCH(B469,'Room Info'!$G$2:$G3446, 0)))))))))</f>
        <v>fortunate773</v>
      </c>
      <c r="B469" s="50" t="s">
        <v>151</v>
      </c>
      <c r="C469" s="51">
        <v>44916.0</v>
      </c>
      <c r="D469" s="51">
        <v>44957.0</v>
      </c>
      <c r="E469" s="52">
        <v>44927.0</v>
      </c>
      <c r="F469" s="53" t="s">
        <v>8</v>
      </c>
      <c r="G469" s="50" t="s">
        <v>9</v>
      </c>
      <c r="H469" s="54" t="s">
        <v>98</v>
      </c>
      <c r="I469" s="54" t="s">
        <v>21</v>
      </c>
      <c r="J469" s="75">
        <v>250.0</v>
      </c>
      <c r="K469" s="76">
        <v>2168.0</v>
      </c>
      <c r="L469" s="57">
        <v>-750.0</v>
      </c>
      <c r="M469" s="58">
        <v>26599.0</v>
      </c>
      <c r="N469" s="33">
        <f t="shared" si="13"/>
        <v>542000</v>
      </c>
      <c r="O469" s="59">
        <v>17698.0</v>
      </c>
      <c r="P469" s="34">
        <f t="shared" si="14"/>
        <v>8.163284133</v>
      </c>
      <c r="Q469" s="60"/>
      <c r="R469" s="36">
        <f t="shared" si="71"/>
        <v>26599</v>
      </c>
      <c r="S469" s="61">
        <v>-33107.0</v>
      </c>
      <c r="T469" s="37">
        <f t="shared" si="72"/>
        <v>-6508</v>
      </c>
      <c r="U469" s="62">
        <v>1.0</v>
      </c>
      <c r="V469" s="63"/>
      <c r="W469" s="63"/>
      <c r="X469" s="35">
        <f t="shared" si="86"/>
        <v>0.15</v>
      </c>
      <c r="Y469" s="35">
        <f t="shared" si="87"/>
        <v>0.05</v>
      </c>
      <c r="Z469" s="64">
        <v>-5206.0</v>
      </c>
      <c r="AA469" s="65">
        <v>-1302.0</v>
      </c>
      <c r="AB469" s="41"/>
      <c r="AC469" s="42" t="b">
        <v>0</v>
      </c>
      <c r="AD469" s="66" t="s">
        <v>140</v>
      </c>
      <c r="AE469" s="66"/>
      <c r="AF469" s="42" t="str">
        <f t="array" ref="AF469">INDEX('Deal Info'!D:D, MATCH(A469,'Deal Info'!A:A, 0))</f>
        <v>Fix15</v>
      </c>
      <c r="AG469" s="43" t="str">
        <f t="array" ref="AG469">INDEX('Deal Info'!G:G, MATCH(A469,'Deal Info'!A:A, 0))</f>
        <v>Fix5</v>
      </c>
    </row>
    <row r="470" hidden="1">
      <c r="A470" s="23" t="str">
        <f t="array" ref="A470">if(G470='Room Info'!$B$1, INDEX('Room Info'!$A$2:$A3446, MATCH(B470,'Room Info'!$B$2:$B3446, 0)),if(G470='Room Info'!$C$1, INDEX('Room Info'!$A$2:$A3446, MATCH(B470,'Room Info'!$C$2:$C3446, 0)),if(G470='Room Info'!$D$1, INDEX('Room Info'!$A$2:$A3446, MATCH(B470,'Room Info'!$D$2:$D3446, 0)),if(G470='Room Info'!$E$1, INDEX('Room Info'!$A$2:$A3446, MATCH(B470,'Room Info'!$E$2:$E3446, 0)),if(G470='Room Info'!$F$1, INDEX('Room Info'!$A$2:$A3446, MATCH(B470,'Room Info'!$F$2:$F3446, 0)),if(G470='Room Info'!$H$1, INDEX('Room Info'!$A$2:$A3446, MATCH(B470,'Room Info'!$H$2:$H3446, 0)),if(G470='Room Info'!$G$1, INDEX('Room Info'!$A$2:$A3446, MATCH(B470,'Room Info'!$G$2:$G3446, 0)))))))))</f>
        <v>fortunate773</v>
      </c>
      <c r="B470" s="50" t="s">
        <v>151</v>
      </c>
      <c r="C470" s="51">
        <v>44958.0</v>
      </c>
      <c r="D470" s="51">
        <v>44985.0</v>
      </c>
      <c r="E470" s="85">
        <v>44958.0</v>
      </c>
      <c r="F470" s="50" t="s">
        <v>8</v>
      </c>
      <c r="G470" s="50" t="s">
        <v>9</v>
      </c>
      <c r="H470" s="86" t="s">
        <v>98</v>
      </c>
      <c r="I470" s="54" t="s">
        <v>21</v>
      </c>
      <c r="J470" s="44">
        <f t="shared" ref="J470:J471" si="88">iferror(if(H470="$0.25",0.25, 
if(H470="$0.25 Flash",0.25, 
if(H470 = "$1", 1, 
if(H470 = "$1 Flash", 1, 
if(H470 = "$2", 2, 
if( H470 = "$2 Flash" , 2, 
if( H470= "$3", 3, 
if( H470= "$3 Ultra", 3, 
if( H470= "$5", 5, 
if( H470= "$5 (1M)", 5, 
if( H470= "$5 (1M) Flash", 5, 
if( H470= "$5 Flash", 5, 
if( H470= "$5 Flash (1M)", 5,
if( H470= "$10", 10,
if( H470= "$10 (1M)", 10,
if( H470= "$10 (1M) (old)", 10,
if( H470= "$10 Flash", 10,
if( H470= "$10 Ultra", 10,
if( H470= "$20", 20,
if( H470= "$20 Ultra", 20,
if( H470= "$25", 25,
if( H470= "$25 Flash", 25,
if( H470= "$50", 50,
if( H470= "$50 Flash", 50,
if( H470= "$50 Ultra", 50,
if( H470= "$100", 100,
if( H470= "$100 Flash", 100,
if( H470= "$100 HUHT", 100,
if( H470= "$100 Ultra", 100,
if( H470= "$200", 200,
if( H470= "$200 HUHT", 200,
if( H470= "$250", 250,
if( H470= "$250 Flash", 250,
if( H470= "$300 HUHT", 300,
if( H470= "$500", 500,
if( H470= "$500 Flash", 500,
if( H470 = "$500 HUHT",500,
if( H470= "$1000", 1000,
if( H470= "€0.25 Flash", 0.25,
if( H470="€0.25(nitro) new",0.25,
if( H470= "€1", 1,
if( H470= "€2", 2,
if( H470= "€5", 5,
if( H470= "€5 (1M)", 5,
if( H470= "€5 (bf 01.08)", 5,
if( H470= "€5 (bf 05.05)", 5,
if( H470= "€5 Nitro", 5,
if( H470= "€5(wx) new", 5,
if( H470= "€10", 10,
if( H470= "€10 (1M)", 10,
if( H470= "€10 (bf 01.08)", 10,
if( H470= "€10 (bf 05.05)", 10,
if( H470= "€10 (MP)", 10,
if( H470= "€10 (old)", 10,
if( H470= "€10 Nitro (bf 05.05)", 10,
if( H470= "€10 Nitro (old)", 10,
if( H470= "€10(wx) new", 10,
if( H470= "€20", 20,
if( H470= "€25", 25, 
if( H470= "€25 (bf 01.08)", 25, 
if( H470= "€25 (bf 05.05)", 25, 
if( H470= "€25 (MP)", 25, 
if( H470= "€25 (old)", 25,
if( H470= "€25 Nitro", 25,
if( H470= "€25 Nitro (bf 01.08)", 25,
if( H470= "€25 Nitro (bf 05.05)", 25,
if( H470= "€25(nitro) new", 25,
if( H470= "€25(wx) new", 25,
if( H470= "€50", 50,
if( H470= "€50 (bf 01.08)", 50,
if( H470= "€50 (bf 05.05)", 50,
if( H470= "€50 (old)", 50,
if( H470= "€50 Nitro", 50,
if( H470= "€50 Nitro (bf 01.08)", 50,
if( H470= "€50 Nitro (bf 05.05)", 50,
if( H470= "€50(wx) new", 50,
if( H470= "€100", 100,
if( H470= "€100 (old)", 100,
if( H470= "€100 Nitro", 100,
if( H470= "€100 Nitro (old)", 100,
if( H470= "€200", 200,
if( H470= "€250", 250,
if( H470= "€250 Nitro", 250,
if( H470= "€500", 500,
if( H470= "€500 Nitro", 500,
if( H470= "1000 rub", 1000,
if( H470= "2500 rub", 2500,
if( H470= "5000 rub", 5000,"")))))))))))))))))))))))))))))))))))))))))))))))))))))))))))))))))))))))))))))))))))))))))</f>
        <v>250</v>
      </c>
      <c r="K470" s="56">
        <v>971.0</v>
      </c>
      <c r="L470" s="57">
        <v>-20000.0</v>
      </c>
      <c r="M470" s="58"/>
      <c r="N470" s="33">
        <f t="shared" si="13"/>
        <v>242750</v>
      </c>
      <c r="O470" s="59">
        <v>29200.0</v>
      </c>
      <c r="P470" s="34">
        <f t="shared" si="14"/>
        <v>30.07209063</v>
      </c>
      <c r="Q470" s="60"/>
      <c r="R470" s="36">
        <f>M470+Q470*J470*K470*0.07</f>
        <v>0</v>
      </c>
      <c r="S470" s="61">
        <f>-3655</f>
        <v>-3655</v>
      </c>
      <c r="T470" s="37">
        <f t="shared" ref="T470:T474" si="89">IF(AND(AD470="EUR", F470="Without EV deal"), R470 + L470, 
IF(AND(AD470="USD", F470="Without EV deal"), R470 + L470, 
IF(AND(AD470="EUR", F470="Steel Phoenix"), R470 + S470/U470, 
R470 + S470)))</f>
        <v>-3655</v>
      </c>
      <c r="U470" s="62">
        <v>1.062</v>
      </c>
      <c r="V470" s="63"/>
      <c r="W470" s="63"/>
      <c r="X470" s="35">
        <f t="shared" ref="X470:X474" si="90">IF(AF470="DoEV",IF(AND(V470&lt;20,W470&lt;55),0.3,0)+IF(AND(V470&lt;20,W470&gt;=55,W470&lt;105),0.23,0)+IF(AND(V470&lt;20,W470&gt;=105),0.17,0)+IF(AND(V470&gt;=20,V470&lt;40,W470&lt;45),0.3,0)+IF(AND(V470&gt;=20,V470&lt;40,W470&gt;=45,W470&lt;95),0.23,0)+IF(AND(V470&gt;=20,V470&lt;40,W470&gt;=95),0.17,0)+IF(AND(V470&gt;=40,V470&lt;75,W470&lt;35),0.3,0)+IF(AND(V470&gt;=40,V470&lt;75,W470&gt;=35,W470&lt;75),0.23,0)+IF(AND(V470&gt;=40,V470&lt;75,W470&gt;=75,W470&lt;120),0.17,0)+IF(AND(V470&gt;=40,V470&lt;75,W470&gt;=120),0.12,0)+IF(AND(V470&gt;=75,V470&lt;175,W470&lt;35),0.3,0)+IF(AND(V470&gt;=75,V470&lt;=175,W470&gt;=35,W470&lt;65),0.23,0)+IF(AND(V470&gt;=75,V470&lt;=175,W470&gt;=65,W470&lt;110),0.17,0)+IF(AND(V470&gt;=75,V470&lt;=175,W470&gt;=110),0.12,0)+IF(AND(V470&gt;175,W470&lt;25),0.3,0)+IF(AND(V470&gt;175,W470&gt;=25,W470&lt;55),0.23,0)+IF(AND(V470&gt;175,W470&gt;=55,W470&lt;95),0.17,0)+IF(AND(V470&gt;175,W470&gt;=95),0.12,0),
IF(AF470="Fix15",0.15,
IF(AF470="Fix5",0.05,
if(AF470="Fix18.75",0.1875,
IF(AF470="Fix11.25",0.1125,
IF(AF470="Fix10",0.1,
IF(AF470="Fix9",0.09,
IF(AF470="Fix12",0.12,
IF(AF470="Fix19",0.19,
IF(AF470="DoEV2017",IF(AND(W470&lt;74),0.2,0)+IF(AND(W470&gt;=74),0.17,0),
IF(AF470="SF",IF(AND(V470&lt;20,W470&lt;89),0.3,0)+IF(AND(V470&lt;20,W470&gt;=89),0.25,0)+IF(AND(V470&gt;=20,V470&lt;40,W470&lt;74),0.3,0)+IF(AND(V470&gt;=20,V470&lt;40,W470&gt;=75),0.22,0)+IF(AND(V470&gt;=40,V470&lt;75,W470&lt;75),0.26,0)+IF(AND(V470&gt;=40,V470&lt;75,W470&gt;=75),0.22,0)+IF(V470&gt;=75,0.22,0),
IF(AF470="DoEVold",IF(AND(V470&lt;40,W470&lt;35),0.35,0)+IF(AND(V470&lt;40,W470&gt;=35,W470&lt;75),0.25,0)+IF(AND(V470&lt;40,W470&gt;=75),0.17,0)+IF(AND(V470&gt;=40,V470&lt;75,W470&lt;25),0.35,0)+IF(AND(V470&gt;=40,V470&lt;75,W470&gt;=25,W470&lt;65),0.25,0)+IF(AND(V470&gt;=40,V470&lt;75,W470&gt;=65,W470&lt;100),0.17,0)+IF(AND(V470&gt;=40,V470&lt;75,W470&gt;=100),0.1,0)+IF(AND(V470&gt;=75,W470&lt;25),0.35,0)+IF(AND(V470&gt;=75,W470&gt;=25,W470&lt;60),0.25,0)+IF(AND(V470&gt;=75,W470&gt;=60,W470&lt;95),0.17,0)+IF(AND(V470&gt;=75,W470&gt;=95),0.1,0),
IF(AF470="DoEVold15",IF(AND(V470&lt;=40,W470&lt;35),0.35,0)+IF(AND(V470&lt;=40,W470&gt;=35,W470&lt;75),0.25,0)+IF(AND(V470&lt;=40,W470&gt;=75,W470&lt;120),0.17,0)+IF(AND(V470&lt;=40,W470&gt;=120),0.15,0)+IF(AND(V470&gt;40,V470&lt;75,W470&lt;25),0.35,0)+IF(AND(V470&gt;=40,V470&lt;75,W470&gt;=25,W470&lt;65),0.25,0)+IF(AND(V470&gt;=40,V470&lt;75,W470&gt;=65,W470&lt;100),0.17,0)+IF(AND(V470&gt;=40,V470&lt;75,W470&gt;=100),0.1,0)+IF(AND(V470&gt;=75,W470&lt;25),0.35,0)+IF(AND(V470&gt;=75,W470&gt;=25,W470&lt;60),0.25,0)+IF(AND(V470&gt;=75,W470&gt;=60,W470&lt;95),0.17,0)+IF(AND(V470&gt;=75,W470&gt;=95),0.1,0),
IF(AF470="DoEVba",IF(AND(V470&lt;20,W470&lt;105),0.2,0)+IF(AND(V470&lt;20,W470&gt;=105),0.15,0)+IF(AND(V470&gt;=20,V470&lt;40,W470&lt;95),0.2,0)+IF(AND(V470&gt;=20,V470&lt;40,W470&gt;=95,W470&lt;150),0.15,0)+IF(AND(V470&gt;=20,V470&lt;40,W470&gt;=150),0.12,0)+IF(AND(V470&gt;=40,V470&lt;75,W470&lt;75),0.2,0)+IF(AND(V470&gt;=40,V470&lt;75,W470&gt;=75,W470&lt;120),0.15,0)+IF(AND(V470&gt;=40,V470&lt;75,W470&gt;=120),0.12,0)+IF(AND(V470&gt;=75,V470&lt;175,W470&lt;65),0.2,0)+IF(AND(V470&gt;=75,V470&lt;175,W470&gt;=65,W470&lt;110),0.15,0)+IF(AND(V470&gt;=75,V470&lt;175,W470&gt;=110),0.12,0)+IF(AND(V470&gt;=175,W470&lt;55),0.2,0)+IF(AND(V470&gt;=175,W470&gt;=55,W470&lt;95),0.15,0)+IF(AND(V470&gt;=175,W470&gt;=95),0.12,0),
IF(AF470="DoEVku",IF(AND(V470&lt;20,W470&lt;55),0.23,0)+IF(AND(V470&lt;20,W470&gt;=55,W470&lt;105),0.2,0)+IF(AND(V470&lt;20,W470&gt;=105),0.17,0)+IF(AND(V470&gt;=20,V470&lt;40,W470&lt;45),0.23,0)+IF(AND(V470&gt;=20,V470&lt;40,W470&gt;=45,W470&lt;95),0.2,0)+IF(AND(V470&gt;=20,V470&lt;40,W470&gt;=95,W470&lt;=150),0.17,0)+IF(AND(V470&gt;=20,V470&lt;40,W470&gt;=150),0.12,0)+IF(AND(V470&gt;=40,V470&lt;75,W470&lt;35),0.23,0)+IF(AND(V470&gt;=40,V470&lt;75,W470&gt;=35,W470&lt;75),0.2,0)+IF(AND(V470&gt;=40,V470&lt;75,W470&gt;=75,W470&lt;120),0.17,0)+IF(AND(V470&gt;=40,V470&lt;75,W470&gt;=120),0.12,0)+IF(AND(V470&gt;=75,V470&lt;175,W470&lt;35),0.23,0)+IF(AND(V470&gt;=75,V470&lt;=175,W470&gt;=35,W470&lt;65),0.2,0)+IF(AND(V470&gt;=75,V470&lt;=175,W470&gt;=65,W470&lt;110),0.17,0)+IF(AND(V470&gt;=75,V470&lt;=175,W470&gt;=110),0.12,0)+IF(AND(V470&gt;175,W470&lt;25),0.23,0)+IF(AND(V470&gt;175,W470&gt;=25,W470&lt;55),0.2,0)+IF(AND(V470&gt;175,W470&gt;=55,W470&lt;95),0.17,0)+IF(AND(V470&gt;175,W470&gt;=95),0.12,0),
IF(AF470="DoEVs1",IF(AND(V470&lt;20,W470&lt;55),0.3,0)+IF(AND(V470&lt;20,W470&gt;=55,W470&lt;105),0.23,0)+IF(AND(V470&lt;20,W470&gt;=105),0.17,0)+IF(AND(V470&gt;=20,V470&lt;40,W470&lt;45),0.3,0)+IF(AND(V470&gt;=20,V470&lt;40,W470&gt;=45,W470&lt;95),0.23,0)+IF(AND(V470&gt;=20,V470&lt;40,W470&gt;=95,W470&lt;=150),0.17,0)+IF(AND(V470&gt;=20,V470&lt;40,W470&gt;=150),0.12,0)+IF(AND(V470&gt;=40,V470&lt;75,W470&lt;35),0.3,0)+IF(AND(V470&gt;=40,V470&lt;75,W470&gt;=35,W470&lt;75),0.23,0)+IF(AND(V470&gt;=40,V470&lt;75,W470&gt;=75,W470&lt;120),0.17,0)+IF(AND(V470&gt;=40,V470&lt;75,W470&gt;=120),0.12,0)+IF(AND(V470&gt;=75,V470&lt;175,W470&lt;35),0.3,0)+IF(AND(V470&gt;=75,V470&lt;=175,W470&gt;=35,W470&lt;65),0.23,0)+IF(AND(V470&gt;=75,V470&lt;=175,W470&gt;=65,W470&lt;110),0.17,0)+IF(AND(V470&gt;=75,V470&lt;=175,W470&gt;=110),0.12,0)+IF(AND(V470&gt;175,W470&lt;25),0.3,0)+IF(AND(V470&gt;175,W470&gt;=25,W470&lt;55),0.23,0)+IF(AND(V470&gt;175,W470&gt;=55,W470&lt;95),0.17,0)+IF(AND(V470&gt;175,W470&gt;=95),0.12,0),
IF(AF470="DoEVsu",IF(AND(V470&lt;20,W470&lt;55),0.3,0)+IF(AND(V470&lt;20,W470&gt;=55,W470&lt;105),0.23,0)+IF(AND(V470&lt;20,W470&gt;=105),0.17,0)+IF(AND(V470&gt;=20,V470&lt;40,W470&lt;45),0.3,0)+IF(AND(V470&gt;=20,V470&lt;40,W470&gt;=45,W470&lt;95),0.23,0)+IF(AND(V470&gt;=20,V470&lt;40,W470&gt;=95,W470&lt;=250),0.17,0)+IF(AND(V470&gt;=20,V470&lt;40,W470&gt;=250),0.12,0)+IF(AND(V470&gt;=40,V470&lt;75,W470&lt;35),0.3,0)+IF(AND(V470&gt;=40,V470&lt;75,W470&gt;=35,W470&lt;75),0.23,0)+IF(AND(V470&gt;=40,V470&lt;75,W470&gt;=75,W470&lt;120),0.17,0)+IF(AND(V470&gt;=40,V470&lt;75,W470&gt;=120),0.12,0)+IF(AND(V470&gt;=75,V470&lt;175,W470&lt;35),0.3,0)+IF(AND(V470&gt;=75,V470&lt;=175,W470&gt;=35,W470&lt;65),0.23,0)+IF(AND(V470&gt;=75,V470&lt;=175,W470&gt;=65,W470&lt;110),0.17,0)+IF(AND(V470&gt;=75,V470&lt;=175,W470&gt;=110),0.12,0)+IF(AND(V470&gt;175,W470&lt;25),0.3,0)+IF(AND(V470&gt;175,W470&gt;=25,W470&lt;55),0.23,0)+IF(AND(V470&gt;175,W470&gt;=55,W470&lt;95),0.17,0)+IF(AND(V470&gt;175,W470&gt;=95),0.12,0),
IF(AF470="DoEVni",IF(AND(V470&lt;20,W470&lt;55),0.3,0)+IF(AND(V470&lt;20,W470&gt;=55,W470&lt;105),0.23,0)+IF(AND(V470&lt;20,W470&gt;=105),0.17,0)+IF(AND(V470&gt;=20,V470&lt;40,W470&lt;45),0.3,0)+IF(AND(V470&gt;=20,V470&lt;40,W470&gt;=45,W470&lt;95),0.23,0)+IF(AND(V470&gt;=20,V470&lt;40,W470&gt;=95,W470&lt;=200),0.17,0)+IF(AND(V470&gt;=20,V470&lt;40,W470&gt;=200),0.12,0)+IF(AND(V470&gt;=40,V470&lt;75,W470&lt;35),0.3,0)+IF(AND(V470&gt;=40,V470&lt;75,W470&gt;=35,W470&lt;75),0.23,0)+IF(AND(V470&gt;=40,V470&lt;75,W470&gt;=75,W470&lt;120),0.17,0)+IF(AND(V470&gt;=40,V470&lt;75,W470&gt;=120),0.12,0)+IF(AND(V470&gt;=75,V470&lt;175,W470&lt;35),0.3,0)+IF(AND(V470&gt;=75,V470&lt;=175,W470&gt;=35,W470&lt;65),0.23,0)+IF(AND(V470&gt;=75,V470&lt;=175,W470&gt;=65,W470&lt;110),0.17,0)+IF(AND(V470&gt;=75,V470&lt;=175,W470&gt;=110),0.12,0)+IF(AND(V470&gt;175,W470&lt;25),0.3,0)+IF(AND(V470&gt;175,W470&gt;=25,W470&lt;55),0.23,0)+IF(AND(V470&gt;175,W470&gt;=55,W470&lt;95),0.17,0)+IF(AND(V470&gt;175,W470&gt;=95),0.12,0),
IF(AF470="DoEVLo",IF(AND(V470&lt;20,W470&lt;55),0.25,0)+IF(AND(V470&lt;20,W470&gt;=55,W470&lt;105),0.2,0)+IF(AND(V470&lt;20,W470&gt;=105),0.15,0)+IF(AND(V470&gt;=20,V470&lt;40,W470&lt;45),0.25,0)+IF(AND(V470&gt;=20,V470&lt;40,W470&gt;=45,W470&lt;95),0.2,0)+IF(AND(V470&gt;=20,V470&lt;40,W470&gt;=95),0.15,0)+IF(AND(V470&gt;=40,V470&lt;75,W470&lt;35),0.25,0)+IF(AND(V470&gt;=40,V470&lt;75,W470&gt;=35,W470&lt;75),0.2,0)+IF(AND(V470&gt;=40,V470&lt;75,W470&gt;=75,W470&lt;120),0.15,0)+IF(AND(V470&gt;=40,V470&lt;75,W470&gt;=120),0.1,0)+IF(AND(V470&gt;=75,V470&lt;175,W470&lt;35),0.25,0)+IF(AND(V470&gt;=75,V470&lt;=175,W470&gt;=35,W470&lt;65),0.2,0)+IF(AND(V470&gt;=75,V470&lt;=175,W470&gt;=65,W470&lt;110),0.15,0)+IF(AND(V470&gt;=75,V470&lt;=175,W470&gt;=110),0.1,0)+IF(AND(V470&gt;175,W470&lt;25),0.25,0)+IF(AND(V470&gt;175,W470&gt;=25,W470&lt;55),0.2,0)+IF(AND(V470&gt;175,W470&gt;=55,W470&lt;95),0.15,0)+IF(AND(V470&gt;175,W470&gt;=95),0.1,0))))))))))))))))))))</f>
        <v>0.15</v>
      </c>
      <c r="Y470" s="35">
        <f t="shared" ref="Y470:Y474" si="91">if(AG470="None",0,if(AG470="Fix5",0.05, if(AG470="Fix6.25",0.0625,if(AG470="Fix3.75",0.0375, if(AG470="Fix11",0.11, if(AG470="Fix10",0.1,if(AG470="Fix3",0.03,0)))))))</f>
        <v>0.05</v>
      </c>
      <c r="Z470" s="40">
        <f t="shared" ref="Z470:Z474" si="92">if(and(AD470="EUR", AE470 = "USD"), T470*U470-AA470-AB470, T470-AA470-AB470)</f>
        <v>-2924</v>
      </c>
      <c r="AA470" s="34">
        <f t="shared" ref="AA470:AA474" si="93">IF(AND(AD470="EUR", F470="Without EV deal", AE470="USD"), (T470*X470)*U470, 
IF(AND(AD470="EUR", F470="Without EV deal", AE470="EUR"), (T470*X470), 
IF(AND(AD470="EUR",AE470="USD"), (T470*X470)*U470, 
T470*X470)))</f>
        <v>-548.25</v>
      </c>
      <c r="AB470" s="41">
        <f t="shared" ref="AB470:AB474" si="94">IF(AND(AD470="EUR", F470="Without EV deal", AE470="USD"), (T470*Y470)*U470, 
IF(AND(AD470="EUR", F470="Without EV deal", AE470="EUR"), (T470*Y470), 
IF(AND(AD470="EUR",AE470="USD"), (T470*Y470)*U470, 
T470*Y470)))</f>
        <v>-182.75</v>
      </c>
      <c r="AC470" s="42" t="b">
        <v>0</v>
      </c>
      <c r="AD470" s="87" t="str">
        <f t="shared" ref="AD470:AD474" si="95">IF(OR(H470="€0.25 Flash",
H470="€0.25(nitro) new",
H470="€1",
H470="€2",
H470="€2 (bf 01.08)",
H470="€5",
H470="€5 (1M)",
H470="€5 (bf 01.08)",
H470="€5 (bf 05.05)",
H470="€5 Nitro",
H470="€5(wx) new",
H470="€10",
H470="€10 (1M)",
H470="€10 (bf 01.08)",
H470="€10 (bf 05.05)",
H470="€10 (MP)",
H470="€10 (old)",
H470="€10 Nitro (bf 05.05)",
H470="€10 Nitro (old)",
H470="€10(wx) new",
H470="€20",
H470="€25",
H470="€25 (bf 01.08)",
H470="€25 (bf 05.05)",
H470="€25 (MP)",
H470="€25 (old)",
H470="€25 Nitro",
H470="€25 Nitro (bf 01.08)",
H470="€25 Nitro (bf 05.05)",
H470="€25(nitro) new",
H470="€25(wx) new",
H470="€50",
H470="€50 (bf 01.08)",
H470="€50 (bf 05.05)",
H470="€50 (old)",
H470="€50 Nitro",
H470="€50 Nitro (bf 01.08)",
H470="€50 Nitro (bf 05.05)",
H470="€50(wx) new",
H470="€100",
H470="€100 (old)",
H470="€100 Nitro",
H470="€100 Nitro (old)",
H470="€200",
H470="€250",
H470="€250 Nitro",
H470="€500",
H470="€500 Nitro"),"EUR", "USD")
</f>
        <v>EUR</v>
      </c>
      <c r="AE470" s="88" t="s">
        <v>140</v>
      </c>
      <c r="AF470" s="88" t="str">
        <f t="array" ref="AF470">INDEX('Deal Info'!D:D, MATCH(A470,'Deal Info'!A:A, 0))</f>
        <v>Fix15</v>
      </c>
      <c r="AG470" s="89" t="str">
        <f t="array" ref="AG470">INDEX('Deal Info'!G:G, MATCH(A470,'Deal Info'!A:A, 0))</f>
        <v>Fix5</v>
      </c>
    </row>
    <row r="471">
      <c r="A471" s="23" t="str">
        <f t="array" ref="A471">if(G471='Room Info'!$B$1, INDEX('Room Info'!$A$2:$A3446, MATCH(B471,'Room Info'!$B$2:$B3446, 0)),if(G471='Room Info'!$C$1, INDEX('Room Info'!$A$2:$A3446, MATCH(B471,'Room Info'!$C$2:$C3446, 0)),if(G471='Room Info'!$D$1, INDEX('Room Info'!$A$2:$A3446, MATCH(B471,'Room Info'!$D$2:$D3446, 0)),if(G471='Room Info'!$E$1, INDEX('Room Info'!$A$2:$A3446, MATCH(B471,'Room Info'!$E$2:$E3446, 0)),if(G471='Room Info'!$F$1, INDEX('Room Info'!$A$2:$A3446, MATCH(B471,'Room Info'!$F$2:$F3446, 0)),if(G471='Room Info'!$H$1, INDEX('Room Info'!$A$2:$A3446, MATCH(B471,'Room Info'!$H$2:$H3446, 0)),if(G471='Room Info'!$G$1, INDEX('Room Info'!$A$2:$A3446, MATCH(B471,'Room Info'!$G$2:$G3446, 0)))))))))</f>
        <v>Lo4io</v>
      </c>
      <c r="B471" s="90" t="s">
        <v>157</v>
      </c>
      <c r="C471" s="91">
        <v>44947.0</v>
      </c>
      <c r="D471" s="92">
        <v>44977.0</v>
      </c>
      <c r="E471" s="26">
        <v>44958.0</v>
      </c>
      <c r="F471" s="27" t="s">
        <v>4</v>
      </c>
      <c r="G471" s="23" t="s">
        <v>9</v>
      </c>
      <c r="H471" s="28" t="s">
        <v>73</v>
      </c>
      <c r="I471" s="28" t="s">
        <v>21</v>
      </c>
      <c r="J471" s="44">
        <f t="shared" si="88"/>
        <v>25</v>
      </c>
      <c r="K471" s="93">
        <v>2412.0</v>
      </c>
      <c r="L471" s="94">
        <v>-50.0</v>
      </c>
      <c r="M471" s="32"/>
      <c r="N471" s="33">
        <f t="shared" si="13"/>
        <v>60300</v>
      </c>
      <c r="O471" s="90">
        <v>100650.0</v>
      </c>
      <c r="P471" s="34">
        <f t="shared" si="14"/>
        <v>41.72885572</v>
      </c>
      <c r="Q471" s="35"/>
      <c r="R471" s="36">
        <f>M471+Q471</f>
        <v>0</v>
      </c>
      <c r="S471" s="33"/>
      <c r="T471" s="37">
        <f t="shared" si="89"/>
        <v>0</v>
      </c>
      <c r="U471" s="38">
        <v>1.067</v>
      </c>
      <c r="V471" s="74">
        <v>37.32526141992295</v>
      </c>
      <c r="W471" s="69">
        <v>65.0</v>
      </c>
      <c r="X471" s="35">
        <f t="shared" si="90"/>
        <v>0.2</v>
      </c>
      <c r="Y471" s="35">
        <f t="shared" si="91"/>
        <v>0</v>
      </c>
      <c r="Z471" s="40">
        <f t="shared" si="92"/>
        <v>0</v>
      </c>
      <c r="AA471" s="34">
        <f t="shared" si="93"/>
        <v>0</v>
      </c>
      <c r="AB471" s="41">
        <f t="shared" si="94"/>
        <v>0</v>
      </c>
      <c r="AC471" s="66" t="b">
        <v>1</v>
      </c>
      <c r="AD471" s="87" t="str">
        <f t="shared" si="95"/>
        <v>EUR</v>
      </c>
      <c r="AE471" s="88" t="s">
        <v>138</v>
      </c>
      <c r="AF471" s="88" t="str">
        <f t="array" ref="AF471">INDEX('Deal Info'!D:D, MATCH(A471,'Deal Info'!A:A, 0))</f>
        <v>DoEVLo</v>
      </c>
      <c r="AG471" s="89" t="str">
        <f t="array" ref="AG471">INDEX('Deal Info'!G:G, MATCH(A471,'Deal Info'!A:A, 0))</f>
        <v>None</v>
      </c>
    </row>
    <row r="472" hidden="1">
      <c r="A472" s="23" t="str">
        <f t="array" ref="A472">if(G472='Room Info'!$B$1, INDEX('Room Info'!$A$2:$A3446, MATCH(B472,'Room Info'!$B$2:$B3446, 0)),if(G472='Room Info'!$C$1, INDEX('Room Info'!$A$2:$A3446, MATCH(B472,'Room Info'!$C$2:$C3446, 0)),if(G472='Room Info'!$D$1, INDEX('Room Info'!$A$2:$A3446, MATCH(B472,'Room Info'!$D$2:$D3446, 0)),if(G472='Room Info'!$E$1, INDEX('Room Info'!$A$2:$A3446, MATCH(B472,'Room Info'!$E$2:$E3446, 0)),if(G472='Room Info'!$F$1, INDEX('Room Info'!$A$2:$A3446, MATCH(B472,'Room Info'!$F$2:$F3446, 0)),if(G472='Room Info'!$H$1, INDEX('Room Info'!$A$2:$A3446, MATCH(B472,'Room Info'!$H$2:$H3446, 0)),if(G472='Room Info'!$G$1, INDEX('Room Info'!$A$2:$A3446, MATCH(B472,'Room Info'!$G$2:$G3446, 0)))))))))</f>
        <v>Lo4io</v>
      </c>
      <c r="B472" s="50" t="s">
        <v>157</v>
      </c>
      <c r="C472" s="51">
        <v>44978.0</v>
      </c>
      <c r="D472" s="51">
        <v>45005.0</v>
      </c>
      <c r="E472" s="95">
        <v>44986.0</v>
      </c>
      <c r="F472" s="53" t="s">
        <v>4</v>
      </c>
      <c r="G472" s="50" t="s">
        <v>9</v>
      </c>
      <c r="H472" s="86" t="s">
        <v>73</v>
      </c>
      <c r="I472" s="96" t="s">
        <v>21</v>
      </c>
      <c r="J472" s="44">
        <f t="shared" ref="J472:J473" si="96">iferror(if(H472="$0.25",0.25, 
if(H472="$0.25 Flash",0.25, 
if(H472 = "$1", 1, 
if(H472 = "$1 Flash", 1, 
if(H472 = "$2", 2, 
if( H472 = "$2 Flash" , 2, 
if( H472= "$3", 3, 
if( H472= "$3 Ultra", 3, 
if( H472= "$5", 5, 
if( H472= "$5 (1M)", 5, 
if( H472= "$5 (1M) Flash", 5, 
if( H472= "$5 Flash", 5, 
if( H472= "$5 Flash (1M)", 5,
if( H472= "$10", 10,
if( H472= "$10 (1M)", 10,
if( H472= "$10 (1M) (old)", 10,
if( H472= "$10 Flash", 10,
if( H472= "$10 Ultra", 10,
if( H472= "$20", 20,
if( H472= "$20 Ultra", 20,
if( H472= "$25", 25,
if( H472= "$25 Flash", 25,
if( H472= "$50", 50,
if( H472= "$50 Flash", 50,
if( H472= "$50 Ultra", 50,
if( H472= "$100", 100,
if( H472= "$100 Flash", 100,
if( H472= "$100 HUHT", 100,
if( H472= "$100 Ultra", 100,
if( H472= "$200", 200,
if( H472= "$200 HUHT", 200,
if( H472= "$250", 250,
if( H472= "$250 Flash", 250,
if( H472= "$300 HUHT", 300,
if( H472= "$500", 500,
if( H472= "$500 Flash", 500,
if( H472 = "$500 HUHT",500,
if( H472= "$1000", 1000,
if( H472= "$1000 HUHT", 1000,
if( H472= "€0.25 Flash", 0.25,
if( H472="€0.25(nitro) new",0.25,
if( H472= "€1", 1,
if( H472= "€2", 2,
if( H472= "€5", 5,
if( H472= "€5 (1M)", 5,
if( H472= "€5 (bf 01.08)", 5,
if( H472= "€5 (bf 05.05)", 5,
if( H472= "€5 Nitro", 5,
if( H472= "€5(wx) new", 5,
if( H472= "€10", 10,
if( H472= "€10 (1M)", 10,
if( H472= "€10 (bf 01.08)", 10,
if( H472= "€10 (bf 05.05)", 10,
if( H472= "€10 (MP)", 10,
if( H472= "€10 (old)", 10,
if( H472= "€10 Nitro (bf 05.05)", 10,
if( H472= "€10 Nitro (old)", 10,
if( H472= "€10(wx) new", 10,
if( H472= "€20", 20,
if( H472= "€25", 25, 
if( H472= "€25 (bf 01.08)", 25, 
if( H472= "€25 (bf 05.05)", 25, 
if( H472= "€25 (MP)", 25, 
if( H472= "€25 (old)", 25,
if( H472= "€25 Nitro", 25,
if( H472= "€25 Nitro (bf 01.08)", 25,
if( H472= "€25 Nitro (bf 05.05)", 25,
if( H472= "€25(nitro) new", 25,
if( H472= "€25(wx) new", 25,
if( H472= "€50", 50,
if( H472= "€50 (bf 01.08)", 50,
if( H472= "€50 (bf 05.05)", 50,
if( H472= "€50 (old)", 50,
if( H472= "€50 Nitro", 50,
if( H472= "€50 Nitro (bf 01.08)", 50,
if( H472= "€50 Nitro (bf 05.05)", 50,
if( H472= "€50(wx) new", 50,
if( H472= "€100", 100,
if( H472= "€100 (old)", 100,
if( H472= "€100 Nitro", 100,
if( H472= "€100 Nitro (old)", 100,
if( H472= "€200", 200,
if( H472= "€250", 250,
if( H472= "€250 Nitro", 250,
if( H472= "€500", 500,
if( H472= "€500 Nitro", 500,
if( H472= "1000 rub", 1000,
if( H472= "2500 rub", 2500,
if( H472= "5000 rub", 5000,""))))))))))))))))))))))))))))))))))))))))))))))))))))))))))))))))))))))))))))))))))))))))))</f>
        <v>25</v>
      </c>
      <c r="K472" s="56">
        <v>573.0</v>
      </c>
      <c r="L472" s="57">
        <v>27.0</v>
      </c>
      <c r="M472" s="58">
        <v>6090.0</v>
      </c>
      <c r="N472" s="33">
        <f t="shared" si="13"/>
        <v>14325</v>
      </c>
      <c r="O472" s="59">
        <v>40347.0</v>
      </c>
      <c r="P472" s="34">
        <f t="shared" si="14"/>
        <v>70.41361257</v>
      </c>
      <c r="Q472" s="60"/>
      <c r="R472" s="36">
        <f t="shared" ref="R472:R473" si="97">M472+Q472*J472*K472*0.07</f>
        <v>6090</v>
      </c>
      <c r="S472" s="61">
        <v>-371.0</v>
      </c>
      <c r="T472" s="37">
        <f t="shared" si="89"/>
        <v>5743.594771</v>
      </c>
      <c r="U472" s="62">
        <v>1.071</v>
      </c>
      <c r="V472" s="74">
        <v>37.32526141992295</v>
      </c>
      <c r="W472" s="69">
        <v>65.0</v>
      </c>
      <c r="X472" s="35">
        <f t="shared" si="90"/>
        <v>0.2</v>
      </c>
      <c r="Y472" s="35">
        <f t="shared" si="91"/>
        <v>0</v>
      </c>
      <c r="Z472" s="40">
        <f t="shared" si="92"/>
        <v>4921.112</v>
      </c>
      <c r="AA472" s="34">
        <f t="shared" si="93"/>
        <v>1230.278</v>
      </c>
      <c r="AB472" s="41">
        <f t="shared" si="94"/>
        <v>0</v>
      </c>
      <c r="AC472" s="66" t="b">
        <v>1</v>
      </c>
      <c r="AD472" s="87" t="str">
        <f t="shared" si="95"/>
        <v>EUR</v>
      </c>
      <c r="AE472" s="88" t="s">
        <v>138</v>
      </c>
      <c r="AF472" s="88" t="str">
        <f t="array" ref="AF472">INDEX('Deal Info'!D:D, MATCH(A472,'Deal Info'!A:A, 0))</f>
        <v>DoEVLo</v>
      </c>
      <c r="AG472" s="89" t="str">
        <f t="array" ref="AG472">INDEX('Deal Info'!G:G, MATCH(A472,'Deal Info'!A:A, 0))</f>
        <v>None</v>
      </c>
    </row>
    <row r="473" hidden="1">
      <c r="A473" s="23" t="str">
        <f t="array" ref="A473">if(G473='Room Info'!$B$1, INDEX('Room Info'!$A$2:$A3446, MATCH(B473,'Room Info'!$B$2:$B3446, 0)),if(G473='Room Info'!$C$1, INDEX('Room Info'!$A$2:$A3446, MATCH(B473,'Room Info'!$C$2:$C3446, 0)),if(G473='Room Info'!$D$1, INDEX('Room Info'!$A$2:$A3446, MATCH(B473,'Room Info'!$D$2:$D3446, 0)),if(G473='Room Info'!$E$1, INDEX('Room Info'!$A$2:$A3446, MATCH(B473,'Room Info'!$E$2:$E3446, 0)),if(G473='Room Info'!$F$1, INDEX('Room Info'!$A$2:$A3446, MATCH(B473,'Room Info'!$F$2:$F3446, 0)),if(G473='Room Info'!$H$1, INDEX('Room Info'!$A$2:$A3446, MATCH(B473,'Room Info'!$H$2:$H3446, 0)),if(G473='Room Info'!$G$1, INDEX('Room Info'!$A$2:$A3446, MATCH(B473,'Room Info'!$G$2:$G3446, 0)))))))))</f>
        <v>Immelstoran</v>
      </c>
      <c r="B473" s="50" t="s">
        <v>175</v>
      </c>
      <c r="C473" s="51">
        <v>44963.0</v>
      </c>
      <c r="D473" s="51">
        <v>45005.0</v>
      </c>
      <c r="E473" s="95">
        <v>44986.0</v>
      </c>
      <c r="F473" s="53" t="s">
        <v>4</v>
      </c>
      <c r="G473" s="50" t="s">
        <v>9</v>
      </c>
      <c r="H473" s="86" t="s">
        <v>73</v>
      </c>
      <c r="I473" s="96" t="s">
        <v>21</v>
      </c>
      <c r="J473" s="44">
        <f t="shared" si="96"/>
        <v>25</v>
      </c>
      <c r="K473" s="80">
        <v>2203.0</v>
      </c>
      <c r="L473" s="77">
        <v>3525.0</v>
      </c>
      <c r="M473" s="67">
        <f>2390-150+117.21-2000+617</f>
        <v>974.21</v>
      </c>
      <c r="N473" s="33">
        <f t="shared" si="13"/>
        <v>55075</v>
      </c>
      <c r="O473" s="50">
        <v>106076.0</v>
      </c>
      <c r="P473" s="34">
        <f t="shared" si="14"/>
        <v>48.15070359</v>
      </c>
      <c r="Q473" s="60"/>
      <c r="R473" s="36">
        <f t="shared" si="97"/>
        <v>974.21</v>
      </c>
      <c r="S473" s="100">
        <f>1090</f>
        <v>1090</v>
      </c>
      <c r="T473" s="37">
        <f t="shared" si="89"/>
        <v>1991.95043</v>
      </c>
      <c r="U473" s="62">
        <v>1.071</v>
      </c>
      <c r="V473" s="74">
        <v>25.0</v>
      </c>
      <c r="W473" s="74">
        <v>79.67801718020543</v>
      </c>
      <c r="X473" s="35">
        <f t="shared" si="90"/>
        <v>0.23</v>
      </c>
      <c r="Y473" s="35">
        <f t="shared" si="91"/>
        <v>0</v>
      </c>
      <c r="Z473" s="40">
        <f t="shared" si="92"/>
        <v>1533.801831</v>
      </c>
      <c r="AA473" s="34">
        <f t="shared" si="93"/>
        <v>458.1485988</v>
      </c>
      <c r="AB473" s="41">
        <f t="shared" si="94"/>
        <v>0</v>
      </c>
      <c r="AC473" s="66" t="b">
        <v>1</v>
      </c>
      <c r="AD473" s="87" t="str">
        <f t="shared" si="95"/>
        <v>EUR</v>
      </c>
      <c r="AE473" s="88" t="s">
        <v>140</v>
      </c>
      <c r="AF473" s="88" t="str">
        <f t="array" ref="AF473">INDEX('Deal Info'!D:D, MATCH(A473,'Deal Info'!A:A, 0))</f>
        <v>DoEV</v>
      </c>
      <c r="AG473" s="89" t="str">
        <f t="array" ref="AG473">INDEX('Deal Info'!G:G, MATCH(A473,'Deal Info'!A:A, 0))</f>
        <v>None</v>
      </c>
    </row>
    <row r="474">
      <c r="A474" s="23" t="str">
        <f t="array" ref="A474">if(G474='Room Info'!$B$1, INDEX('Room Info'!$A$2:$A3446, MATCH(B474,'Room Info'!$B$2:$B3446, 0)),if(G474='Room Info'!$C$1, INDEX('Room Info'!$A$2:$A3446, MATCH(B474,'Room Info'!$C$2:$C3446, 0)),if(G474='Room Info'!$D$1, INDEX('Room Info'!$A$2:$A3446, MATCH(B474,'Room Info'!$D$2:$D3446, 0)),if(G474='Room Info'!$E$1, INDEX('Room Info'!$A$2:$A3446, MATCH(B474,'Room Info'!$E$2:$E3446, 0)),if(G474='Room Info'!$F$1, INDEX('Room Info'!$A$2:$A3446, MATCH(B474,'Room Info'!$F$2:$F3446, 0)),if(G474='Room Info'!$H$1, INDEX('Room Info'!$A$2:$A3446, MATCH(B474,'Room Info'!$H$2:$H3446, 0)),if(G474='Room Info'!$G$1, INDEX('Room Info'!$A$2:$A3446, MATCH(B474,'Room Info'!$G$2:$G3446, 0)))))))))</f>
        <v>Lo4io</v>
      </c>
      <c r="B474" s="90" t="s">
        <v>157</v>
      </c>
      <c r="C474" s="91">
        <v>44947.0</v>
      </c>
      <c r="D474" s="92">
        <v>44977.0</v>
      </c>
      <c r="E474" s="26">
        <v>44958.0</v>
      </c>
      <c r="F474" s="27" t="s">
        <v>4</v>
      </c>
      <c r="G474" s="23" t="s">
        <v>9</v>
      </c>
      <c r="H474" s="28" t="s">
        <v>72</v>
      </c>
      <c r="I474" s="28" t="s">
        <v>24</v>
      </c>
      <c r="J474" s="44">
        <f>iferror(if(H474="$0.25",0.25, 
if(H474="$0.25 Flash",0.25, 
if(H474 = "$1", 1, 
if(H474 = "$1 Flash", 1, 
if(H474 = "$2", 2, 
if( H474 = "$2 Flash" , 2, 
if( H474= "$3", 3, 
if( H474= "$3 Ultra", 3, 
if( H474= "$5", 5, 
if( H474= "$5 (1M)", 5, 
if( H474= "$5 (1M) Flash", 5, 
if( H474= "$5 Flash", 5, 
if( H474= "$5 Flash (1M)", 5,
if( H474= "$10", 10,
if( H474= "$10 (1M)", 10,
if( H474= "$10 (1M) (old)", 10,
if( H474= "$10 Flash", 10,
if( H474= "$10 Ultra", 10,
if( H474= "$20", 20,
if( H474= "$20 Ultra", 20,
if( H474= "$25", 25,
if( H474= "$25 Flash", 25,
if( H474= "$50", 50,
if( H474= "$50 Flash", 50,
if( H474= "$50 Ultra", 50,
if( H474= "$100", 100,
if( H474= "$100 Flash", 100,
if( H474= "$100 HUHT", 100,
if( H474= "$100 Ultra", 100,
if( H474= "$200", 200,
if( H474= "$200 HUHT", 200,
if( H474= "$250", 250,
if( H474= "$250 Flash", 250,
if( H474= "$300 HUHT", 300,
if( H474= "$500", 500,
if( H474= "$500 Flash", 500,
if( H474 = "$500 HUHT",500,
if( H474= "$1000", 1000,
if( H474= "€0.25 Flash", 0.25,
if( H474="€0.25(nitro) new",0.25,
if( H474= "€1", 1,
if( H474= "€2", 2,
if( H474= "€5", 5,
if( H474= "€5 (1M)", 5,
if( H474= "€5 (bf 01.08)", 5,
if( H474= "€5 (bf 05.05)", 5,
if( H474= "€5 Nitro", 5,
if( H474= "€5(wx) new", 5,
if( H474= "€10", 10,
if( H474= "€10 (1M)", 10,
if( H474= "€10 (bf 01.08)", 10,
if( H474= "€10 (bf 05.05)", 10,
if( H474= "€10 (MP)", 10,
if( H474= "€10 (old)", 10,
if( H474= "€10 Nitro (bf 05.05)", 10,
if( H474= "€10 Nitro (old)", 10,
if( H474= "€10(wx) new", 10,
if( H474= "€20", 20,
if( H474= "€25", 25, 
if( H474= "€25 (bf 01.08)", 25, 
if( H474= "€25 (bf 05.05)", 25, 
if( H474= "€25 (MP)", 25, 
if( H474= "€25 (old)", 25,
if( H474= "€25 Nitro", 25,
if( H474= "€25 Nitro (bf 01.08)", 25,
if( H474= "€25 Nitro (bf 05.05)", 25,
if( H474= "€25(nitro) new", 25,
if( H474= "€25(wx) new", 25,
if( H474= "€50", 50,
if( H474= "€50 (bf 01.08)", 50,
if( H474= "€50 (bf 05.05)", 50,
if( H474= "€50 (old)", 50,
if( H474= "€50 Nitro", 50,
if( H474= "€50 Nitro (bf 01.08)", 50,
if( H474= "€50 Nitro (bf 05.05)", 50,
if( H474= "€50(wx) new", 50,
if( H474= "€100", 100,
if( H474= "€100 (old)", 100,
if( H474= "€100 Nitro", 100,
if( H474= "€100 Nitro (old)", 100,
if( H474= "€200", 200,
if( H474= "€250", 250,
if( H474= "€250 Nitro", 250,
if( H474= "€500", 500,
if( H474= "€500 Nitro", 500,
if( H474= "1000 rub", 1000,
if( H474= "2500 rub", 2500,
if( H474= "5000 rub", 5000,"")))))))))))))))))))))))))))))))))))))))))))))))))))))))))))))))))))))))))))))))))))))))))</f>
        <v>25</v>
      </c>
      <c r="K474" s="93">
        <v>1602.0</v>
      </c>
      <c r="L474" s="94">
        <v>-1400.0</v>
      </c>
      <c r="M474" s="106">
        <v>696.25</v>
      </c>
      <c r="N474" s="33">
        <f t="shared" si="13"/>
        <v>40050</v>
      </c>
      <c r="O474" s="90">
        <v>34756.0</v>
      </c>
      <c r="P474" s="34">
        <f t="shared" si="14"/>
        <v>21.69538077</v>
      </c>
      <c r="Q474" s="35"/>
      <c r="R474" s="36">
        <f t="shared" ref="R474:R475" si="98">M474+Q474</f>
        <v>696.25</v>
      </c>
      <c r="S474" s="33"/>
      <c r="T474" s="37">
        <f t="shared" si="89"/>
        <v>696.25</v>
      </c>
      <c r="U474" s="38">
        <v>1.067</v>
      </c>
      <c r="V474" s="74">
        <v>37.32526141992295</v>
      </c>
      <c r="W474" s="69">
        <v>65.0</v>
      </c>
      <c r="X474" s="35">
        <f t="shared" si="90"/>
        <v>0.2</v>
      </c>
      <c r="Y474" s="35">
        <f t="shared" si="91"/>
        <v>0</v>
      </c>
      <c r="Z474" s="40">
        <f t="shared" si="92"/>
        <v>557</v>
      </c>
      <c r="AA474" s="34">
        <f t="shared" si="93"/>
        <v>139.25</v>
      </c>
      <c r="AB474" s="41">
        <f t="shared" si="94"/>
        <v>0</v>
      </c>
      <c r="AC474" s="66" t="b">
        <v>1</v>
      </c>
      <c r="AD474" s="87" t="str">
        <f t="shared" si="95"/>
        <v>EUR</v>
      </c>
      <c r="AE474" s="88"/>
      <c r="AF474" s="88" t="str">
        <f t="array" ref="AF474">INDEX('Deal Info'!D:D, MATCH(A474,'Deal Info'!A:A, 0))</f>
        <v>DoEVLo</v>
      </c>
      <c r="AG474" s="89" t="str">
        <f t="array" ref="AG474">INDEX('Deal Info'!G:G, MATCH(A474,'Deal Info'!A:A, 0))</f>
        <v>None</v>
      </c>
    </row>
    <row r="475" hidden="1">
      <c r="A475" s="23" t="str">
        <f t="array" ref="A475">if(G475='Room Info'!$B$1, INDEX('Room Info'!$A$2:$A3446, MATCH(B475,'Room Info'!$B$2:$B3446, 0)),if(G475='Room Info'!$C$1, INDEX('Room Info'!$A$2:$A3446, MATCH(B475,'Room Info'!$C$2:$C3446, 0)),if(G475='Room Info'!$D$1, INDEX('Room Info'!$A$2:$A3446, MATCH(B475,'Room Info'!$D$2:$D3446, 0)),if(G475='Room Info'!$E$1, INDEX('Room Info'!$A$2:$A3446, MATCH(B475,'Room Info'!$E$2:$E3446, 0)),if(G475='Room Info'!$F$1, INDEX('Room Info'!$A$2:$A3446, MATCH(B475,'Room Info'!$F$2:$F3446, 0)),if(G475='Room Info'!$H$1, INDEX('Room Info'!$A$2:$A3446, MATCH(B475,'Room Info'!$H$2:$H3446, 0)),if(G475='Room Info'!$G$1, INDEX('Room Info'!$A$2:$A3446, MATCH(B475,'Room Info'!$G$2:$G3446, 0)))))))))</f>
        <v>fortunate773</v>
      </c>
      <c r="B475" s="50" t="s">
        <v>145</v>
      </c>
      <c r="C475" s="51">
        <v>44886.0</v>
      </c>
      <c r="D475" s="51">
        <v>44915.0</v>
      </c>
      <c r="E475" s="52">
        <v>44896.0</v>
      </c>
      <c r="F475" s="53" t="s">
        <v>8</v>
      </c>
      <c r="G475" s="50" t="s">
        <v>5</v>
      </c>
      <c r="H475" s="54" t="s">
        <v>85</v>
      </c>
      <c r="I475" s="54" t="s">
        <v>7</v>
      </c>
      <c r="J475" s="75">
        <v>100.0</v>
      </c>
      <c r="K475" s="76">
        <v>456.0</v>
      </c>
      <c r="L475" s="57">
        <v>-4800.0</v>
      </c>
      <c r="M475" s="58">
        <v>709.0</v>
      </c>
      <c r="N475" s="33">
        <f t="shared" si="13"/>
        <v>45600</v>
      </c>
      <c r="O475" s="59">
        <v>8473.0</v>
      </c>
      <c r="P475" s="34">
        <f t="shared" si="14"/>
        <v>18.58114035</v>
      </c>
      <c r="Q475" s="60"/>
      <c r="R475" s="36">
        <f t="shared" si="98"/>
        <v>709</v>
      </c>
      <c r="S475" s="61">
        <v>-1013.0</v>
      </c>
      <c r="T475" s="37">
        <f>R475+S475+if(F475="Without EV deal",L475,0)</f>
        <v>-304</v>
      </c>
      <c r="U475" s="62">
        <v>1.0</v>
      </c>
      <c r="V475" s="63"/>
      <c r="W475" s="63"/>
      <c r="X475" s="35">
        <f>IF(AF475="DoEV",IF(AND(V475&lt;20,W475&lt;55),0.3,0)+IF(AND(V475&lt;20,W475&gt;=55,W475&lt;105),0.23,0)+IF(AND(V475&lt;20,W475&gt;=105),0.17,0)+IF(AND(V475&gt;=20,V475&lt;40,W475&lt;45),0.3,0)+IF(AND(V475&gt;=20,V475&lt;40,W475&gt;=45,W475&lt;95),0.23,0)+IF(AND(V475&gt;=20,V475&lt;40,W475&gt;=95),0.17,0)+IF(AND(V475&gt;=40,V475&lt;75,W475&lt;35),0.3,0)+IF(AND(V475&gt;=40,V475&lt;75,W475&gt;=35,W475&lt;75),0.23,0)+IF(AND(V475&gt;=40,V475&lt;75,W475&gt;=75,W475&lt;120),0.17,0)+IF(AND(V475&gt;=40,V475&lt;75,W475&gt;=120),0.12,0)+IF(AND(V475&gt;=75,V475&lt;175,W475&lt;35),0.3,0)+IF(AND(V475&gt;=75,V475&lt;=175,W475&gt;=35,W475&lt;65),0.23,0)+IF(AND(V475&gt;=75,V475&lt;=175,W475&gt;=65,W475&lt;110),0.17,0)+IF(AND(V475&gt;=75,V475&lt;=175,W475&gt;=110),0.12,0)+IF(AND(V475&gt;175,W475&lt;25),0.3,0)+IF(AND(V475&gt;175,W475&gt;=25,W475&lt;55),0.23,0)+IF(AND(V475&gt;175,W475&gt;=55,W475&lt;95),0.17,0)+IF(AND(V475&gt;175,W475&gt;=95),0.12,0),
IF(AF475="Fix15",0.15,
IF(AF475="Fix11.25",0.1125,
IF(AF475="Fix10",0.1,
IF(AF475="Fix9",0.09,
IF(AF475="DoEV2017",IF(AND(W475&lt;74),0.2,0)+IF(AND(W475&gt;=74),0.17,0),
IF(AF475="SF",IF(AND(V475&lt;20,W475&lt;89),0.3,0)+IF(AND(V475&lt;20,W475&gt;=89),0.25,0)+IF(AND(V475&gt;=20,V475&lt;40,W475&lt;74),0.3,0)+IF(AND(V475&gt;=20,V475&lt;40,W475&gt;=75),0.22,0)+IF(AND(V475&gt;=40,V475&lt;75,W475&lt;75),0.26,0)+IF(AND(V475&gt;=40,V475&lt;75,W475&gt;=75),0.22,0)+IF(V475&gt;=75,0.22,0),
IF(AF475="DoEVold",IF(AND(V475&lt;40,W475&lt;35),0.35,0)+IF(AND(V475&lt;40,W475&gt;=35,W475&lt;75),0.25,0)+IF(AND(V475&lt;40,W475&gt;=75),0.17,0)+IF(AND(V475&gt;=40,V475&lt;75,W475&lt;25),0.35,0)+IF(AND(V475&gt;=40,V475&lt;75,W475&gt;=25,W475&lt;65),0.25,0)+IF(AND(V475&gt;=40,V475&lt;75,W475&gt;=65,W475&lt;100),0.17,0)+IF(AND(V475&gt;=40,V475&lt;75,W475&gt;=100),0.1,0)+IF(AND(V475&gt;=75,W475&lt;25),0.35,0)+IF(AND(V475&gt;=75,W475&gt;=25,W475&lt;60),0.25,0)+IF(AND(V475&gt;=75,W475&gt;=60,W475&lt;95),0.17,0)+IF(AND(V475&gt;=75,W475&gt;=95),0.1,0),
IF(AF475="DoEVold15",IF(AND(V475&lt;=40,W475&lt;35),0.35,0)+IF(AND(V475&lt;=40,W475&gt;=35,W475&lt;75),0.25,0)+IF(AND(V475&lt;=40,W475&gt;=75,W475&lt;120),0.17,0)+IF(AND(V475&lt;=40,W475&gt;=120),0.15,0)+IF(AND(V475&gt;40,V475&lt;75,W475&lt;25),0.35,0)+IF(AND(V475&gt;=40,V475&lt;75,W475&gt;=25,W475&lt;65),0.25,0)+IF(AND(V475&gt;=40,V475&lt;75,W475&gt;=65,W475&lt;100),0.17,0)+IF(AND(V475&gt;=40,V475&lt;75,W475&gt;=100),0.1,0)+IF(AND(V475&gt;=75,W475&lt;25),0.35,0)+IF(AND(V475&gt;=75,W475&gt;=25,W475&lt;60),0.25,0)+IF(AND(V475&gt;=75,W475&gt;=60,W475&lt;95),0.17,0)+IF(AND(V475&gt;=75,W475&gt;=95),0.1,0),
IF(AF475="DoEVba",IF(AND(V475&lt;20,W475&lt;105),0.2,0)+IF(AND(V475&lt;20,W475&gt;=105),0.15,0)+IF(AND(V475&gt;=20,V475&lt;40,W475&lt;95),0.2,0)+IF(AND(V475&gt;=20,V475&lt;40,W475&gt;=95,W475&lt;150),0.15,0)+IF(AND(V475&gt;=20,V475&lt;40,W475&gt;=150),0.12,0)+IF(AND(V475&gt;=40,V475&lt;75,W475&lt;75),0.2,0)+IF(AND(V475&gt;=40,V475&lt;75,W475&gt;=75,W475&lt;120),0.15,0)+IF(AND(V475&gt;=40,V475&lt;75,W475&gt;=120),0.12,0)+IF(AND(V475&gt;=75,V475&lt;175,W475&lt;65),0.2,0)+IF(AND(V475&gt;=75,V475&lt;175,W475&gt;=65,W475&lt;110),0.15,0)+IF(AND(V475&gt;=75,V475&lt;175,W475&gt;=110),0.12,0)+IF(AND(V475&gt;=175,W475&lt;55),0.2,0)+IF(AND(V475&gt;=175,W475&gt;=55,W475&lt;95),0.15,0)+IF(AND(V475&gt;=175,W475&gt;=95),0.12,0),
IF(AF475="DoEVku",IF(AND(V475&lt;20,W475&lt;55),0.23,0)+IF(AND(V475&lt;20,W475&gt;=55,W475&lt;105),0.2,0)+IF(AND(V475&lt;20,W475&gt;=105),0.17,0)+IF(AND(V475&gt;=20,V475&lt;40,W475&lt;45),0.23,0)+IF(AND(V475&gt;=20,V475&lt;40,W475&gt;=45,W475&lt;95),0.2,0)+IF(AND(V475&gt;=20,V475&lt;40,W475&gt;=95,W475&lt;=150),0.17,0)+IF(AND(V475&gt;=20,V475&lt;40,W475&gt;=150),0.12,0)+IF(AND(V475&gt;=40,V475&lt;75,W475&lt;35),0.23,0)+IF(AND(V475&gt;=40,V475&lt;75,W475&gt;=35,W475&lt;75),0.2,0)+IF(AND(V475&gt;=40,V475&lt;75,W475&gt;=75,W475&lt;120),0.17,0)+IF(AND(V475&gt;=40,V475&lt;75,W475&gt;=120),0.12,0)+IF(AND(V475&gt;=75,V475&lt;175,W475&lt;35),0.23,0)+IF(AND(V475&gt;=75,V475&lt;=175,W475&gt;=35,W475&lt;65),0.2,0)+IF(AND(V475&gt;=75,V475&lt;=175,W475&gt;=65,W475&lt;110),0.17,0)+IF(AND(V475&gt;=75,V475&lt;=175,W475&gt;=110),0.12,0)+IF(AND(V475&gt;175,W475&lt;25),0.23,0)+IF(AND(V475&gt;175,W475&gt;=25,W475&lt;55),0.2,0)+IF(AND(V475&gt;175,W475&gt;=55,W475&lt;95),0.17,0)+IF(AND(V475&gt;175,W475&gt;=95),0.12,0),
IF(AF475="DoEVs1",IF(AND(V475&lt;20,W475&lt;55),0.3,0)+IF(AND(V475&lt;20,W475&gt;=55,W475&lt;105),0.23,0)+IF(AND(V475&lt;20,W475&gt;=105),0.17,0)+IF(AND(V475&gt;=20,V475&lt;40,W475&lt;45),0.3,0)+IF(AND(V475&gt;=20,V475&lt;40,W475&gt;=45,W475&lt;95),0.23,0)+IF(AND(V475&gt;=20,V475&lt;40,W475&gt;=95,W475&lt;=150),0.17,0)+IF(AND(V475&gt;=20,V475&lt;40,W475&gt;=150),0.12,0)+IF(AND(V475&gt;=40,V475&lt;75,W475&lt;35),0.3,0)+IF(AND(V475&gt;=40,V475&lt;75,W475&gt;=35,W475&lt;75),0.23,0)+IF(AND(V475&gt;=40,V475&lt;75,W475&gt;=75,W475&lt;120),0.17,0)+IF(AND(V475&gt;=40,V475&lt;75,W475&gt;=120),0.12,0)+IF(AND(V475&gt;=75,V475&lt;175,W475&lt;35),0.3,0)+IF(AND(V475&gt;=75,V475&lt;=175,W475&gt;=35,W475&lt;65),0.23,0)+IF(AND(V475&gt;=75,V475&lt;=175,W475&gt;=65,W475&lt;110),0.17,0)+IF(AND(V475&gt;=75,V475&lt;=175,W475&gt;=110),0.12,0)+IF(AND(V475&gt;175,W475&lt;25),0.3,0)+IF(AND(V475&gt;175,W475&gt;=25,W475&lt;55),0.23,0)+IF(AND(V475&gt;175,W475&gt;=55,W475&lt;95),0.17,0)+IF(AND(V475&gt;175,W475&gt;=95),0.12,0),
IF(AF475="DoEVsu",IF(AND(V475&lt;20,W475&lt;55),0.3,0)+IF(AND(V475&lt;20,W475&gt;=55,W475&lt;105),0.23,0)+IF(AND(V475&lt;20,W475&gt;=105),0.17,0)+IF(AND(V475&gt;=20,V475&lt;40,W475&lt;45),0.3,0)+IF(AND(V475&gt;=20,V475&lt;40,W475&gt;=45,W475&lt;95),0.23,0)+IF(AND(V475&gt;=20,V475&lt;40,W475&gt;=95,W475&lt;=250),0.17,0)+IF(AND(V475&gt;=20,V475&lt;40,W475&gt;=250),0.12,0)+IF(AND(V475&gt;=40,V475&lt;75,W475&lt;35),0.3,0)+IF(AND(V475&gt;=40,V475&lt;75,W475&gt;=35,W475&lt;75),0.23,0)+IF(AND(V475&gt;=40,V475&lt;75,W475&gt;=75,W475&lt;120),0.17,0)+IF(AND(V475&gt;=40,V475&lt;75,W475&gt;=120),0.12,0)+IF(AND(V475&gt;=75,V475&lt;175,W475&lt;35),0.3,0)+IF(AND(V475&gt;=75,V475&lt;=175,W475&gt;=35,W475&lt;65),0.23,0)+IF(AND(V475&gt;=75,V475&lt;=175,W475&gt;=65,W475&lt;110),0.17,0)+IF(AND(V475&gt;=75,V475&lt;=175,W475&gt;=110),0.12,0)+IF(AND(V475&gt;175,W475&lt;25),0.3,0)+IF(AND(V475&gt;175,W475&gt;=25,W475&lt;55),0.23,0)+IF(AND(V475&gt;175,W475&gt;=55,W475&lt;95),0.17,0)+IF(AND(V475&gt;175,W475&gt;=95),0.12,0),
IF(AF475="DoEVni",IF(AND(V475&lt;20,W475&lt;55),0.3,0)+IF(AND(V475&lt;20,W475&gt;=55,W475&lt;105),0.23,0)+IF(AND(V475&lt;20,W475&gt;=105),0.17,0)+IF(AND(V475&gt;=20,V475&lt;40,W475&lt;45),0.3,0)+IF(AND(V475&gt;=20,V475&lt;40,W475&gt;=45,W475&lt;95),0.23,0)+IF(AND(V475&gt;=20,V475&lt;40,W475&gt;=95,W475&lt;=200),0.17,0)+IF(AND(V475&gt;=20,V475&lt;40,W475&gt;=200),0.12,0)+IF(AND(V475&gt;=40,V475&lt;75,W475&lt;35),0.3,0)+IF(AND(V475&gt;=40,V475&lt;75,W475&gt;=35,W475&lt;75),0.23,0)+IF(AND(V475&gt;=40,V475&lt;75,W475&gt;=75,W475&lt;120),0.17,0)+IF(AND(V475&gt;=40,V475&lt;75,W475&gt;=120),0.12,0)+IF(AND(V475&gt;=75,V475&lt;175,W475&lt;35),0.3,0)+IF(AND(V475&gt;=75,V475&lt;=175,W475&gt;=35,W475&lt;65),0.23,0)+IF(AND(V475&gt;=75,V475&lt;=175,W475&gt;=65,W475&lt;110),0.17,0)+IF(AND(V475&gt;=75,V475&lt;=175,W475&gt;=110),0.12,0)+IF(AND(V475&gt;175,W475&lt;25),0.3,0)+IF(AND(V475&gt;175,W475&gt;=25,W475&lt;55),0.23,0)+IF(AND(V475&gt;175,W475&gt;=55,W475&lt;95),0.17,0)+IF(AND(V475&gt;175,W475&gt;=95),0.12,0),
IF(AF475="DoEVLo",IF(AND(V475&lt;20,W475&lt;55),0.25,0)+IF(AND(V475&lt;20,W475&gt;=55,W475&lt;105),0.2,0)+IF(AND(V475&lt;20,W475&gt;=105),0.15,0)+IF(AND(V475&gt;=20,V475&lt;40,W475&lt;45),0.25,0)+IF(AND(V475&gt;=20,V475&lt;40,W475&gt;=45,W475&lt;95),0.2,0)+IF(AND(V475&gt;=20,V475&lt;40,W475&gt;=95),0.15,0)+IF(AND(V475&gt;=40,V475&lt;75,W475&lt;35),0.25,0)+IF(AND(V475&gt;=40,V475&lt;75,W475&gt;=35,W475&lt;75),0.2,0)+IF(AND(V475&gt;=40,V475&lt;75,W475&gt;=75,W475&lt;120),0.15,0)+IF(AND(V475&gt;=40,V475&lt;75,W475&gt;=120),0.1,0)+IF(AND(V475&gt;=75,V475&lt;175,W475&lt;35),0.25,0)+IF(AND(V475&gt;=75,V475&lt;=175,W475&gt;=35,W475&lt;65),0.2,0)+IF(AND(V475&gt;=75,V475&lt;=175,W475&gt;=65,W475&lt;110),0.15,0)+IF(AND(V475&gt;=75,V475&lt;=175,W475&gt;=110),0.1,0)+IF(AND(V475&gt;175,W475&lt;25),0.25,0)+IF(AND(V475&gt;175,W475&gt;=25,W475&lt;55),0.2,0)+IF(AND(V475&gt;175,W475&gt;=55,W475&lt;95),0.15,0)+IF(AND(V475&gt;175,W475&gt;=95),0.1,0))))))))))))))))</f>
        <v>0.15</v>
      </c>
      <c r="Y475" s="35">
        <f>if(AG475="None",0,if(AG475="Fix5",0.05,if(AG475="Fix3.75",0.0375,if(AG475="Fix10",0.1,if(AG475="Fix3",0.03,0)))))</f>
        <v>0.05</v>
      </c>
      <c r="Z475" s="64">
        <v>-243.0</v>
      </c>
      <c r="AA475" s="65">
        <v>-61.0</v>
      </c>
      <c r="AB475" s="41"/>
      <c r="AC475" s="42" t="b">
        <v>0</v>
      </c>
      <c r="AD475" s="66" t="s">
        <v>138</v>
      </c>
      <c r="AE475" s="88" t="s">
        <v>138</v>
      </c>
      <c r="AF475" s="42" t="str">
        <f t="array" ref="AF475">INDEX('Deal Info'!D:D, MATCH(A475,'Deal Info'!A:A, 0))</f>
        <v>Fix15</v>
      </c>
      <c r="AG475" s="43" t="str">
        <f t="array" ref="AG475">INDEX('Deal Info'!G:G, MATCH(A475,'Deal Info'!A:A, 0))</f>
        <v>Fix5</v>
      </c>
    </row>
    <row r="476" hidden="1">
      <c r="A476" s="23" t="str">
        <f t="array" ref="A476">if(G476='Room Info'!$B$1, INDEX('Room Info'!$A$2:$A3446, MATCH(B476,'Room Info'!$B$2:$B3446, 0)),if(G476='Room Info'!$C$1, INDEX('Room Info'!$A$2:$A3446, MATCH(B476,'Room Info'!$C$2:$C3446, 0)),if(G476='Room Info'!$D$1, INDEX('Room Info'!$A$2:$A3446, MATCH(B476,'Room Info'!$D$2:$D3446, 0)),if(G476='Room Info'!$E$1, INDEX('Room Info'!$A$2:$A3446, MATCH(B476,'Room Info'!$E$2:$E3446, 0)),if(G476='Room Info'!$F$1, INDEX('Room Info'!$A$2:$A3446, MATCH(B476,'Room Info'!$F$2:$F3446, 0)),if(G476='Room Info'!$H$1, INDEX('Room Info'!$A$2:$A3446, MATCH(B476,'Room Info'!$H$2:$H3446, 0)),if(G476='Room Info'!$G$1, INDEX('Room Info'!$A$2:$A3446, MATCH(B476,'Room Info'!$G$2:$G3446, 0)))))))))</f>
        <v>Lo4io</v>
      </c>
      <c r="B476" s="50" t="s">
        <v>157</v>
      </c>
      <c r="C476" s="51">
        <v>44978.0</v>
      </c>
      <c r="D476" s="51">
        <v>45005.0</v>
      </c>
      <c r="E476" s="95">
        <v>44986.0</v>
      </c>
      <c r="F476" s="53" t="s">
        <v>4</v>
      </c>
      <c r="G476" s="50" t="s">
        <v>9</v>
      </c>
      <c r="H476" s="28" t="s">
        <v>72</v>
      </c>
      <c r="I476" s="96" t="s">
        <v>24</v>
      </c>
      <c r="J476" s="44">
        <f>iferror(if(H476="$0.25",0.25, 
if(H476="$0.25 Flash",0.25, 
if(H476 = "$1", 1, 
if(H476 = "$1 Flash", 1, 
if(H476 = "$2", 2, 
if( H476 = "$2 Flash" , 2, 
if( H476= "$3", 3, 
if( H476= "$3 Ultra", 3, 
if( H476= "$5", 5, 
if( H476= "$5 (1M)", 5, 
if( H476= "$5 (1M) Flash", 5, 
if( H476= "$5 Flash", 5, 
if( H476= "$5 Flash (1M)", 5,
if( H476= "$10", 10,
if( H476= "$10 (1M)", 10,
if( H476= "$10 (1M) (old)", 10,
if( H476= "$10 Flash", 10,
if( H476= "$10 Ultra", 10,
if( H476= "$20", 20,
if( H476= "$20 Ultra", 20,
if( H476= "$25", 25,
if( H476= "$25 Flash", 25,
if( H476= "$50", 50,
if( H476= "$50 Flash", 50,
if( H476= "$50 Ultra", 50,
if( H476= "$100", 100,
if( H476= "$100 Flash", 100,
if( H476= "$100 HUHT", 100,
if( H476= "$100 Ultra", 100,
if( H476= "$200", 200,
if( H476= "$200 HUHT", 200,
if( H476= "$250", 250,
if( H476= "$250 Flash", 250,
if( H476= "$300 HUHT", 300,
if( H476= "$500", 500,
if( H476= "$500 Flash", 500,
if( H476 = "$500 HUHT",500,
if( H476= "$1000", 1000,
if( H476= "$1000 HUHT", 1000,
if( H476= "€0.25 Flash", 0.25,
if( H476="€0.25(nitro) new",0.25,
if( H476= "€1", 1,
if( H476= "€2", 2,
if( H476= "€5", 5,
if( H476= "€5 (1M)", 5,
if( H476= "€5 (bf 01.08)", 5,
if( H476= "€5 (bf 05.05)", 5,
if( H476= "€5 Nitro", 5,
if( H476= "€5(wx) new", 5,
if( H476= "€10", 10,
if( H476= "€10 (1M)", 10,
if( H476= "€10 (bf 01.08)", 10,
if( H476= "€10 (bf 05.05)", 10,
if( H476= "€10 (MP)", 10,
if( H476= "€10 (old)", 10,
if( H476= "€10 Nitro (bf 05.05)", 10,
if( H476= "€10 Nitro (old)", 10,
if( H476= "€10(wx) new", 10,
if( H476= "€20", 20,
if( H476= "€25", 25, 
if( H476= "€25 (bf 01.08)", 25, 
if( H476= "€25 (bf 05.05)", 25, 
if( H476= "€25 (MP)", 25, 
if( H476= "€25 (old)", 25,
if( H476= "€25 Nitro", 25,
if( H476= "€25 Nitro (bf 01.08)", 25,
if( H476= "€25 Nitro (bf 05.05)", 25,
if( H476= "€25(nitro) new", 25,
if( H476= "€25(wx) new", 25,
if( H476= "€50", 50,
if( H476= "€50 (bf 01.08)", 50,
if( H476= "€50 (bf 05.05)", 50,
if( H476= "€50 (old)", 50,
if( H476= "€50 Nitro", 50,
if( H476= "€50 Nitro (bf 01.08)", 50,
if( H476= "€50 Nitro (bf 05.05)", 50,
if( H476= "€50(wx) new", 50,
if( H476= "€100", 100,
if( H476= "€100 (old)", 100,
if( H476= "€100 Nitro", 100,
if( H476= "€100 Nitro (old)", 100,
if( H476= "€200", 200,
if( H476= "€250", 250,
if( H476= "€250 Nitro", 250,
if( H476= "€500", 500,
if( H476= "€500 Nitro", 500,
if( H476= "1000 rub", 1000,
if( H476= "2500 rub", 2500,
if( H476= "5000 rub", 5000,""))))))))))))))))))))))))))))))))))))))))))))))))))))))))))))))))))))))))))))))))))))))))))</f>
        <v>25</v>
      </c>
      <c r="K476" s="56">
        <v>27.0</v>
      </c>
      <c r="L476" s="57">
        <v>241.0</v>
      </c>
      <c r="M476" s="67"/>
      <c r="N476" s="33">
        <f t="shared" si="13"/>
        <v>675</v>
      </c>
      <c r="O476" s="59">
        <v>2402.0</v>
      </c>
      <c r="P476" s="34">
        <f t="shared" si="14"/>
        <v>88.96296296</v>
      </c>
      <c r="Q476" s="60"/>
      <c r="R476" s="36">
        <f>M476+Q476*J476*K476*0.07</f>
        <v>0</v>
      </c>
      <c r="S476" s="71"/>
      <c r="T476" s="37">
        <f>IF(AND(AD476="EUR", F476="Without EV deal"), R476 + L476, 
IF(AND(AD476="USD", F476="Without EV deal"), R476 + L476, 
IF(AND(AD476="EUR", F476="Steel Phoenix"), R476 + S476/U476, 
R476 + S476)))</f>
        <v>0</v>
      </c>
      <c r="U476" s="62">
        <v>1.071</v>
      </c>
      <c r="V476" s="74">
        <v>37.32526141992295</v>
      </c>
      <c r="W476" s="69">
        <v>65.0</v>
      </c>
      <c r="X476" s="35">
        <f>IF(AF476="DoEV",IF(AND(V476&lt;20,W476&lt;55),0.3,0)+IF(AND(V476&lt;20,W476&gt;=55,W476&lt;105),0.23,0)+IF(AND(V476&lt;20,W476&gt;=105),0.17,0)+IF(AND(V476&gt;=20,V476&lt;40,W476&lt;45),0.3,0)+IF(AND(V476&gt;=20,V476&lt;40,W476&gt;=45,W476&lt;95),0.23,0)+IF(AND(V476&gt;=20,V476&lt;40,W476&gt;=95),0.17,0)+IF(AND(V476&gt;=40,V476&lt;75,W476&lt;35),0.3,0)+IF(AND(V476&gt;=40,V476&lt;75,W476&gt;=35,W476&lt;75),0.23,0)+IF(AND(V476&gt;=40,V476&lt;75,W476&gt;=75,W476&lt;120),0.17,0)+IF(AND(V476&gt;=40,V476&lt;75,W476&gt;=120),0.12,0)+IF(AND(V476&gt;=75,V476&lt;175,W476&lt;35),0.3,0)+IF(AND(V476&gt;=75,V476&lt;=175,W476&gt;=35,W476&lt;65),0.23,0)+IF(AND(V476&gt;=75,V476&lt;=175,W476&gt;=65,W476&lt;110),0.17,0)+IF(AND(V476&gt;=75,V476&lt;=175,W476&gt;=110),0.12,0)+IF(AND(V476&gt;175,W476&lt;25),0.3,0)+IF(AND(V476&gt;175,W476&gt;=25,W476&lt;55),0.23,0)+IF(AND(V476&gt;175,W476&gt;=55,W476&lt;95),0.17,0)+IF(AND(V476&gt;175,W476&gt;=95),0.12,0),
IF(AF476="Fix15",0.15,
IF(AF476="Fix5",0.05,
if(AF476="Fix18.75",0.1875,
IF(AF476="Fix11.25",0.1125,
IF(AF476="Fix10",0.1,
IF(AF476="Fix9",0.09,
IF(AF476="Fix12",0.12,
IF(AF476="Fix19",0.19,
IF(AF476="DoEV2017",IF(AND(W476&lt;74),0.2,0)+IF(AND(W476&gt;=74),0.17,0),
IF(AF476="SF",IF(AND(V476&lt;20,W476&lt;89),0.3,0)+IF(AND(V476&lt;20,W476&gt;=89),0.25,0)+IF(AND(V476&gt;=20,V476&lt;40,W476&lt;74),0.3,0)+IF(AND(V476&gt;=20,V476&lt;40,W476&gt;=75),0.22,0)+IF(AND(V476&gt;=40,V476&lt;75,W476&lt;75),0.26,0)+IF(AND(V476&gt;=40,V476&lt;75,W476&gt;=75),0.22,0)+IF(V476&gt;=75,0.22,0),
IF(AF476="DoEVold",IF(AND(V476&lt;40,W476&lt;35),0.35,0)+IF(AND(V476&lt;40,W476&gt;=35,W476&lt;75),0.25,0)+IF(AND(V476&lt;40,W476&gt;=75),0.17,0)+IF(AND(V476&gt;=40,V476&lt;75,W476&lt;25),0.35,0)+IF(AND(V476&gt;=40,V476&lt;75,W476&gt;=25,W476&lt;65),0.25,0)+IF(AND(V476&gt;=40,V476&lt;75,W476&gt;=65,W476&lt;100),0.17,0)+IF(AND(V476&gt;=40,V476&lt;75,W476&gt;=100),0.1,0)+IF(AND(V476&gt;=75,W476&lt;25),0.35,0)+IF(AND(V476&gt;=75,W476&gt;=25,W476&lt;60),0.25,0)+IF(AND(V476&gt;=75,W476&gt;=60,W476&lt;95),0.17,0)+IF(AND(V476&gt;=75,W476&gt;=95),0.1,0),
IF(AF476="DoEVold15",IF(AND(V476&lt;=40,W476&lt;35),0.35,0)+IF(AND(V476&lt;=40,W476&gt;=35,W476&lt;75),0.25,0)+IF(AND(V476&lt;=40,W476&gt;=75,W476&lt;120),0.17,0)+IF(AND(V476&lt;=40,W476&gt;=120),0.15,0)+IF(AND(V476&gt;40,V476&lt;75,W476&lt;25),0.35,0)+IF(AND(V476&gt;=40,V476&lt;75,W476&gt;=25,W476&lt;65),0.25,0)+IF(AND(V476&gt;=40,V476&lt;75,W476&gt;=65,W476&lt;100),0.17,0)+IF(AND(V476&gt;=40,V476&lt;75,W476&gt;=100),0.1,0)+IF(AND(V476&gt;=75,W476&lt;25),0.35,0)+IF(AND(V476&gt;=75,W476&gt;=25,W476&lt;60),0.25,0)+IF(AND(V476&gt;=75,W476&gt;=60,W476&lt;95),0.17,0)+IF(AND(V476&gt;=75,W476&gt;=95),0.1,0),
IF(AF476="DoEVba",IF(AND(V476&lt;20,W476&lt;105),0.2,0)+IF(AND(V476&lt;20,W476&gt;=105),0.15,0)+IF(AND(V476&gt;=20,V476&lt;40,W476&lt;95),0.2,0)+IF(AND(V476&gt;=20,V476&lt;40,W476&gt;=95,W476&lt;150),0.15,0)+IF(AND(V476&gt;=20,V476&lt;40,W476&gt;=150),0.12,0)+IF(AND(V476&gt;=40,V476&lt;75,W476&lt;75),0.2,0)+IF(AND(V476&gt;=40,V476&lt;75,W476&gt;=75,W476&lt;120),0.15,0)+IF(AND(V476&gt;=40,V476&lt;75,W476&gt;=120),0.12,0)+IF(AND(V476&gt;=75,V476&lt;175,W476&lt;65),0.2,0)+IF(AND(V476&gt;=75,V476&lt;175,W476&gt;=65,W476&lt;110),0.15,0)+IF(AND(V476&gt;=75,V476&lt;175,W476&gt;=110),0.12,0)+IF(AND(V476&gt;=175,W476&lt;55),0.2,0)+IF(AND(V476&gt;=175,W476&gt;=55,W476&lt;95),0.15,0)+IF(AND(V476&gt;=175,W476&gt;=95),0.12,0),
IF(AF476="DoEVku",IF(AND(V476&lt;20,W476&lt;55),0.23,0)+IF(AND(V476&lt;20,W476&gt;=55,W476&lt;105),0.2,0)+IF(AND(V476&lt;20,W476&gt;=105),0.17,0)+IF(AND(V476&gt;=20,V476&lt;40,W476&lt;45),0.23,0)+IF(AND(V476&gt;=20,V476&lt;40,W476&gt;=45,W476&lt;95),0.2,0)+IF(AND(V476&gt;=20,V476&lt;40,W476&gt;=95,W476&lt;=150),0.17,0)+IF(AND(V476&gt;=20,V476&lt;40,W476&gt;=150),0.12,0)+IF(AND(V476&gt;=40,V476&lt;75,W476&lt;35),0.23,0)+IF(AND(V476&gt;=40,V476&lt;75,W476&gt;=35,W476&lt;75),0.2,0)+IF(AND(V476&gt;=40,V476&lt;75,W476&gt;=75,W476&lt;120),0.17,0)+IF(AND(V476&gt;=40,V476&lt;75,W476&gt;=120),0.12,0)+IF(AND(V476&gt;=75,V476&lt;175,W476&lt;35),0.23,0)+IF(AND(V476&gt;=75,V476&lt;=175,W476&gt;=35,W476&lt;65),0.2,0)+IF(AND(V476&gt;=75,V476&lt;=175,W476&gt;=65,W476&lt;110),0.17,0)+IF(AND(V476&gt;=75,V476&lt;=175,W476&gt;=110),0.12,0)+IF(AND(V476&gt;175,W476&lt;25),0.23,0)+IF(AND(V476&gt;175,W476&gt;=25,W476&lt;55),0.2,0)+IF(AND(V476&gt;175,W476&gt;=55,W476&lt;95),0.17,0)+IF(AND(V476&gt;175,W476&gt;=95),0.12,0),
IF(AF476="DoEVs1",IF(AND(V476&lt;20,W476&lt;55),0.3,0)+IF(AND(V476&lt;20,W476&gt;=55,W476&lt;105),0.23,0)+IF(AND(V476&lt;20,W476&gt;=105),0.17,0)+IF(AND(V476&gt;=20,V476&lt;40,W476&lt;45),0.3,0)+IF(AND(V476&gt;=20,V476&lt;40,W476&gt;=45,W476&lt;95),0.23,0)+IF(AND(V476&gt;=20,V476&lt;40,W476&gt;=95,W476&lt;=150),0.17,0)+IF(AND(V476&gt;=20,V476&lt;40,W476&gt;=150),0.12,0)+IF(AND(V476&gt;=40,V476&lt;75,W476&lt;35),0.3,0)+IF(AND(V476&gt;=40,V476&lt;75,W476&gt;=35,W476&lt;75),0.23,0)+IF(AND(V476&gt;=40,V476&lt;75,W476&gt;=75,W476&lt;120),0.17,0)+IF(AND(V476&gt;=40,V476&lt;75,W476&gt;=120),0.12,0)+IF(AND(V476&gt;=75,V476&lt;175,W476&lt;35),0.3,0)+IF(AND(V476&gt;=75,V476&lt;=175,W476&gt;=35,W476&lt;65),0.23,0)+IF(AND(V476&gt;=75,V476&lt;=175,W476&gt;=65,W476&lt;110),0.17,0)+IF(AND(V476&gt;=75,V476&lt;=175,W476&gt;=110),0.12,0)+IF(AND(V476&gt;175,W476&lt;25),0.3,0)+IF(AND(V476&gt;175,W476&gt;=25,W476&lt;55),0.23,0)+IF(AND(V476&gt;175,W476&gt;=55,W476&lt;95),0.17,0)+IF(AND(V476&gt;175,W476&gt;=95),0.12,0),
IF(AF476="DoEVsu",IF(AND(V476&lt;20,W476&lt;55),0.3,0)+IF(AND(V476&lt;20,W476&gt;=55,W476&lt;105),0.23,0)+IF(AND(V476&lt;20,W476&gt;=105),0.17,0)+IF(AND(V476&gt;=20,V476&lt;40,W476&lt;45),0.3,0)+IF(AND(V476&gt;=20,V476&lt;40,W476&gt;=45,W476&lt;95),0.23,0)+IF(AND(V476&gt;=20,V476&lt;40,W476&gt;=95,W476&lt;=250),0.17,0)+IF(AND(V476&gt;=20,V476&lt;40,W476&gt;=250),0.12,0)+IF(AND(V476&gt;=40,V476&lt;75,W476&lt;35),0.3,0)+IF(AND(V476&gt;=40,V476&lt;75,W476&gt;=35,W476&lt;75),0.23,0)+IF(AND(V476&gt;=40,V476&lt;75,W476&gt;=75,W476&lt;120),0.17,0)+IF(AND(V476&gt;=40,V476&lt;75,W476&gt;=120),0.12,0)+IF(AND(V476&gt;=75,V476&lt;175,W476&lt;35),0.3,0)+IF(AND(V476&gt;=75,V476&lt;=175,W476&gt;=35,W476&lt;65),0.23,0)+IF(AND(V476&gt;=75,V476&lt;=175,W476&gt;=65,W476&lt;110),0.17,0)+IF(AND(V476&gt;=75,V476&lt;=175,W476&gt;=110),0.12,0)+IF(AND(V476&gt;175,W476&lt;25),0.3,0)+IF(AND(V476&gt;175,W476&gt;=25,W476&lt;55),0.23,0)+IF(AND(V476&gt;175,W476&gt;=55,W476&lt;95),0.17,0)+IF(AND(V476&gt;175,W476&gt;=95),0.12,0),
IF(AF476="DoEVni",IF(AND(V476&lt;20,W476&lt;55),0.3,0)+IF(AND(V476&lt;20,W476&gt;=55,W476&lt;105),0.23,0)+IF(AND(V476&lt;20,W476&gt;=105),0.17,0)+IF(AND(V476&gt;=20,V476&lt;40,W476&lt;45),0.3,0)+IF(AND(V476&gt;=20,V476&lt;40,W476&gt;=45,W476&lt;95),0.23,0)+IF(AND(V476&gt;=20,V476&lt;40,W476&gt;=95,W476&lt;=200),0.17,0)+IF(AND(V476&gt;=20,V476&lt;40,W476&gt;=200),0.12,0)+IF(AND(V476&gt;=40,V476&lt;75,W476&lt;35),0.3,0)+IF(AND(V476&gt;=40,V476&lt;75,W476&gt;=35,W476&lt;75),0.23,0)+IF(AND(V476&gt;=40,V476&lt;75,W476&gt;=75,W476&lt;120),0.17,0)+IF(AND(V476&gt;=40,V476&lt;75,W476&gt;=120),0.12,0)+IF(AND(V476&gt;=75,V476&lt;175,W476&lt;35),0.3,0)+IF(AND(V476&gt;=75,V476&lt;=175,W476&gt;=35,W476&lt;65),0.23,0)+IF(AND(V476&gt;=75,V476&lt;=175,W476&gt;=65,W476&lt;110),0.17,0)+IF(AND(V476&gt;=75,V476&lt;=175,W476&gt;=110),0.12,0)+IF(AND(V476&gt;175,W476&lt;25),0.3,0)+IF(AND(V476&gt;175,W476&gt;=25,W476&lt;55),0.23,0)+IF(AND(V476&gt;175,W476&gt;=55,W476&lt;95),0.17,0)+IF(AND(V476&gt;175,W476&gt;=95),0.12,0),
IF(AF476="DoEVLo",IF(AND(V476&lt;20,W476&lt;55),0.25,0)+IF(AND(V476&lt;20,W476&gt;=55,W476&lt;105),0.2,0)+IF(AND(V476&lt;20,W476&gt;=105),0.15,0)+IF(AND(V476&gt;=20,V476&lt;40,W476&lt;45),0.25,0)+IF(AND(V476&gt;=20,V476&lt;40,W476&gt;=45,W476&lt;95),0.2,0)+IF(AND(V476&gt;=20,V476&lt;40,W476&gt;=95),0.15,0)+IF(AND(V476&gt;=40,V476&lt;75,W476&lt;35),0.25,0)+IF(AND(V476&gt;=40,V476&lt;75,W476&gt;=35,W476&lt;75),0.2,0)+IF(AND(V476&gt;=40,V476&lt;75,W476&gt;=75,W476&lt;120),0.15,0)+IF(AND(V476&gt;=40,V476&lt;75,W476&gt;=120),0.1,0)+IF(AND(V476&gt;=75,V476&lt;175,W476&lt;35),0.25,0)+IF(AND(V476&gt;=75,V476&lt;=175,W476&gt;=35,W476&lt;65),0.2,0)+IF(AND(V476&gt;=75,V476&lt;=175,W476&gt;=65,W476&lt;110),0.15,0)+IF(AND(V476&gt;=75,V476&lt;=175,W476&gt;=110),0.1,0)+IF(AND(V476&gt;175,W476&lt;25),0.25,0)+IF(AND(V476&gt;175,W476&gt;=25,W476&lt;55),0.2,0)+IF(AND(V476&gt;175,W476&gt;=55,W476&lt;95),0.15,0)+IF(AND(V476&gt;175,W476&gt;=95),0.1,0))))))))))))))))))))</f>
        <v>0.2</v>
      </c>
      <c r="Y476" s="35">
        <f>if(AG476="None",0,if(AG476="Fix5",0.05, if(AG476="Fix6.25",0.0625,if(AG476="Fix3.75",0.0375, if(AG476="Fix11",0.11, if(AG476="Fix10",0.1,if(AG476="Fix3",0.03,0)))))))</f>
        <v>0</v>
      </c>
      <c r="Z476" s="40">
        <f>if(and(AD476="EUR", AE476 = "USD"), T476*U476-AA476-AB476, T476-AA476-AB476)</f>
        <v>0</v>
      </c>
      <c r="AA476" s="34">
        <f>IF(AND(AD476="EUR", F476="Without EV deal", AE476="USD"), (T476*X476)*U476, 
IF(AND(AD476="EUR", F476="Without EV deal", AE476="EUR"), (T476*X476), 
IF(AND(AD476="EUR",AE476="USD"), (T476*X476)*U476, 
T476*X476)))</f>
        <v>0</v>
      </c>
      <c r="AB476" s="41">
        <f>IF(AND(AD476="EUR", F476="Without EV deal", AE476="USD"), (T476*Y476)*U476, 
IF(AND(AD476="EUR", F476="Without EV deal", AE476="EUR"), (T476*Y476), 
IF(AND(AD476="EUR",AE476="USD"), (T476*Y476)*U476, 
T476*Y476)))</f>
        <v>0</v>
      </c>
      <c r="AC476" s="66" t="b">
        <v>1</v>
      </c>
      <c r="AD476" s="87" t="str">
        <f>IF(OR(H476="€0.25 Flash",
H476="€0.25(nitro) new",
H476="€1",
H476="€2",
H476="€2 (bf 01.08)",
H476="€5",
H476="€5 (1M)",
H476="€5 (bf 01.08)",
H476="€5 (bf 05.05)",
H476="€5 Nitro",
H476="€5(wx) new",
H476="€10",
H476="€10 (1M)",
H476="€10 (bf 01.08)",
H476="€10 (bf 05.05)",
H476="€10 (MP)",
H476="€10 (old)",
H476="€10 Nitro (bf 05.05)",
H476="€10 Nitro (old)",
H476="€10(wx) new",
H476="€20",
H476="€25",
H476="€25 (bf 01.08)",
H476="€25 (bf 05.05)",
H476="€25 (MP)",
H476="€25 (old)",
H476="€25 Nitro",
H476="€25 Nitro (bf 01.08)",
H476="€25 Nitro (bf 05.05)",
H476="€25(nitro) new",
H476="€25(wx) new",
H476="€50",
H476="€50 (bf 01.08)",
H476="€50 (bf 05.05)",
H476="€50 (old)",
H476="€50 Nitro",
H476="€50 Nitro (bf 01.08)",
H476="€50 Nitro (bf 05.05)",
H476="€50(wx) new",
H476="€100",
H476="€100 (old)",
H476="€100 Nitro",
H476="€100 Nitro (old)",
H476="€200",
H476="€250",
H476="€250 Nitro",
H476="€500",
H476="€500 Nitro"),"EUR", "USD")
</f>
        <v>EUR</v>
      </c>
      <c r="AE476" s="88" t="s">
        <v>138</v>
      </c>
      <c r="AF476" s="88" t="str">
        <f t="array" ref="AF476">INDEX('Deal Info'!D:D, MATCH(A476,'Deal Info'!A:A, 0))</f>
        <v>DoEVLo</v>
      </c>
      <c r="AG476" s="89" t="str">
        <f t="array" ref="AG476">INDEX('Deal Info'!G:G, MATCH(A476,'Deal Info'!A:A, 0))</f>
        <v>None</v>
      </c>
    </row>
    <row r="477" hidden="1">
      <c r="A477" s="23" t="s">
        <v>154</v>
      </c>
      <c r="B477" s="50" t="s">
        <v>155</v>
      </c>
      <c r="C477" s="51">
        <v>44652.0</v>
      </c>
      <c r="D477" s="51">
        <v>44681.0</v>
      </c>
      <c r="E477" s="52">
        <v>44652.0</v>
      </c>
      <c r="F477" s="53" t="s">
        <v>12</v>
      </c>
      <c r="G477" s="50" t="s">
        <v>9</v>
      </c>
      <c r="H477" s="54" t="s">
        <v>71</v>
      </c>
      <c r="I477" s="54" t="s">
        <v>7</v>
      </c>
      <c r="J477" s="55">
        <v>25.0</v>
      </c>
      <c r="K477" s="56">
        <v>687.0</v>
      </c>
      <c r="L477" s="57">
        <v>-1350.0</v>
      </c>
      <c r="M477" s="58">
        <v>817.0</v>
      </c>
      <c r="N477" s="33">
        <f t="shared" si="13"/>
        <v>17175</v>
      </c>
      <c r="O477" s="59">
        <v>16976.0</v>
      </c>
      <c r="P477" s="34">
        <f t="shared" si="14"/>
        <v>24.71033479</v>
      </c>
      <c r="Q477" s="60"/>
      <c r="R477" s="36">
        <f t="shared" ref="R477:R943" si="99">M477+Q477</f>
        <v>817</v>
      </c>
      <c r="S477" s="61"/>
      <c r="T477" s="37">
        <f t="shared" ref="T477:T943" si="100">R477+S477+if(F477="Without EV deal",L477,0)</f>
        <v>-533</v>
      </c>
      <c r="U477" s="62">
        <v>1.055</v>
      </c>
      <c r="V477" s="63"/>
      <c r="W477" s="63"/>
      <c r="X477" s="83">
        <v>0.25</v>
      </c>
      <c r="Y477" s="35">
        <f t="shared" ref="Y477:Y479" si="101">if(AG477="None",0,if(AG477="Fix5",0.05, if(AG477="Fix6.25",0.0625,if(AG477="Fix3.75",0.0375,if(AG477="Fix10",0.1,if(AG477="Fix3",0.03,0))))))</f>
        <v>0</v>
      </c>
      <c r="Z477" s="40">
        <f t="shared" ref="Z477:Z480" si="102">T477-AA477-AB477</f>
        <v>-381.1875</v>
      </c>
      <c r="AA477" s="34">
        <f t="shared" ref="AA477:AA480" si="103">if(AD477="EUR",((T477-R477)*X477)*U477+(R477*X477),(T477*X477))</f>
        <v>-151.8125</v>
      </c>
      <c r="AB477" s="41">
        <f t="shared" ref="AB477:AB480" si="104">if(AD477="EUR",((T477-R477)*Y477)*U477+(R477*Y477),(T477*Y477))</f>
        <v>0</v>
      </c>
      <c r="AC477" s="42" t="b">
        <v>1</v>
      </c>
      <c r="AD477" s="66" t="s">
        <v>140</v>
      </c>
      <c r="AE477" s="66"/>
      <c r="AF477" s="42" t="str">
        <f t="array" ref="AF477">INDEX('Deal Info'!D:D, MATCH(A477,'Deal Info'!A:A, 0))</f>
        <v>DoEVold</v>
      </c>
      <c r="AG477" s="43" t="str">
        <f t="array" ref="AG477">INDEX('Deal Info'!G:G, MATCH(A477,'Deal Info'!A:A, 0))</f>
        <v>None</v>
      </c>
    </row>
    <row r="478" hidden="1">
      <c r="A478" s="23" t="s">
        <v>154</v>
      </c>
      <c r="B478" s="50" t="s">
        <v>155</v>
      </c>
      <c r="C478" s="82">
        <v>44682.0</v>
      </c>
      <c r="D478" s="82">
        <v>44697.0</v>
      </c>
      <c r="E478" s="52">
        <v>44682.0</v>
      </c>
      <c r="F478" s="53" t="s">
        <v>12</v>
      </c>
      <c r="G478" s="50" t="s">
        <v>9</v>
      </c>
      <c r="H478" s="96" t="s">
        <v>71</v>
      </c>
      <c r="I478" s="54" t="s">
        <v>7</v>
      </c>
      <c r="J478" s="79">
        <v>25.0</v>
      </c>
      <c r="K478" s="80">
        <v>915.0</v>
      </c>
      <c r="L478" s="77">
        <v>1000.0</v>
      </c>
      <c r="M478" s="81">
        <v>496.0</v>
      </c>
      <c r="N478" s="33">
        <f t="shared" si="13"/>
        <v>22875</v>
      </c>
      <c r="O478" s="50">
        <v>26164.0</v>
      </c>
      <c r="P478" s="34">
        <f t="shared" si="14"/>
        <v>28.59453552</v>
      </c>
      <c r="Q478" s="60"/>
      <c r="R478" s="36">
        <f t="shared" si="99"/>
        <v>496</v>
      </c>
      <c r="S478" s="78"/>
      <c r="T478" s="37">
        <f t="shared" si="100"/>
        <v>1496</v>
      </c>
      <c r="U478" s="62">
        <v>1.07</v>
      </c>
      <c r="V478" s="63"/>
      <c r="W478" s="63"/>
      <c r="X478" s="83">
        <v>0.25</v>
      </c>
      <c r="Y478" s="35">
        <f t="shared" si="101"/>
        <v>0</v>
      </c>
      <c r="Z478" s="40">
        <f t="shared" si="102"/>
        <v>1104.5</v>
      </c>
      <c r="AA478" s="34">
        <f t="shared" si="103"/>
        <v>391.5</v>
      </c>
      <c r="AB478" s="41">
        <f t="shared" si="104"/>
        <v>0</v>
      </c>
      <c r="AC478" s="42" t="b">
        <v>1</v>
      </c>
      <c r="AD478" s="66" t="s">
        <v>140</v>
      </c>
      <c r="AE478" s="66"/>
      <c r="AF478" s="42" t="str">
        <f t="array" ref="AF478">INDEX('Deal Info'!D:D, MATCH(A478,'Deal Info'!A:A, 0))</f>
        <v>DoEVold</v>
      </c>
      <c r="AG478" s="43" t="str">
        <f t="array" ref="AG478">INDEX('Deal Info'!G:G, MATCH(A478,'Deal Info'!A:A, 0))</f>
        <v>None</v>
      </c>
    </row>
    <row r="479" hidden="1">
      <c r="A479" s="23" t="s">
        <v>154</v>
      </c>
      <c r="B479" s="50" t="s">
        <v>155</v>
      </c>
      <c r="C479" s="51">
        <v>44682.0</v>
      </c>
      <c r="D479" s="51">
        <v>44697.0</v>
      </c>
      <c r="E479" s="52">
        <v>44682.0</v>
      </c>
      <c r="F479" s="50" t="s">
        <v>12</v>
      </c>
      <c r="G479" s="59" t="s">
        <v>9</v>
      </c>
      <c r="H479" s="54" t="s">
        <v>70</v>
      </c>
      <c r="I479" s="54" t="s">
        <v>7</v>
      </c>
      <c r="J479" s="55">
        <v>25.0</v>
      </c>
      <c r="K479" s="56">
        <v>1932.0</v>
      </c>
      <c r="L479" s="57">
        <v>-2550.0</v>
      </c>
      <c r="M479" s="58">
        <v>1242.0</v>
      </c>
      <c r="N479" s="33">
        <f t="shared" si="13"/>
        <v>48300</v>
      </c>
      <c r="O479" s="59">
        <v>39207.0</v>
      </c>
      <c r="P479" s="34">
        <f t="shared" si="14"/>
        <v>20.29347826</v>
      </c>
      <c r="Q479" s="60"/>
      <c r="R479" s="36">
        <f t="shared" si="99"/>
        <v>1242</v>
      </c>
      <c r="S479" s="61"/>
      <c r="T479" s="37">
        <f t="shared" si="100"/>
        <v>-1308</v>
      </c>
      <c r="U479" s="62">
        <v>1.07</v>
      </c>
      <c r="V479" s="63"/>
      <c r="W479" s="63"/>
      <c r="X479" s="83">
        <v>0.25</v>
      </c>
      <c r="Y479" s="35">
        <f t="shared" si="101"/>
        <v>0</v>
      </c>
      <c r="Z479" s="40">
        <f t="shared" si="102"/>
        <v>-936.375</v>
      </c>
      <c r="AA479" s="34">
        <f t="shared" si="103"/>
        <v>-371.625</v>
      </c>
      <c r="AB479" s="41">
        <f t="shared" si="104"/>
        <v>0</v>
      </c>
      <c r="AC479" s="42" t="b">
        <v>1</v>
      </c>
      <c r="AD479" s="66" t="s">
        <v>140</v>
      </c>
      <c r="AE479" s="66"/>
      <c r="AF479" s="42" t="str">
        <f t="array" ref="AF479">INDEX('Deal Info'!D:D, MATCH(A479,'Deal Info'!A:A, 0))</f>
        <v>DoEVold</v>
      </c>
      <c r="AG479" s="43" t="str">
        <f t="array" ref="AG479">INDEX('Deal Info'!G:G, MATCH(A479,'Deal Info'!A:A, 0))</f>
        <v>None</v>
      </c>
    </row>
    <row r="480" hidden="1">
      <c r="A480" s="23" t="str">
        <f t="array" ref="A480">if(G480='Room Info'!$B$1, INDEX('Room Info'!$A$2:$A3446, MATCH(B480,'Room Info'!$B$2:$B3446, 0)),if(G480='Room Info'!$C$1, INDEX('Room Info'!$A$2:$A3446, MATCH(B480,'Room Info'!$C$2:$C3446, 0)),if(G480='Room Info'!$D$1, INDEX('Room Info'!$A$2:$A3446, MATCH(B480,'Room Info'!$D$2:$D3446, 0)),if(G480='Room Info'!$E$1, INDEX('Room Info'!$A$2:$A3446, MATCH(B480,'Room Info'!$E$2:$E3446, 0)),if(G480='Room Info'!$F$1, INDEX('Room Info'!$A$2:$A3446, MATCH(B480,'Room Info'!$F$2:$F3446, 0)),if(G480='Room Info'!$H$1, INDEX('Room Info'!$A$2:$A3446, MATCH(B480,'Room Info'!$H$2:$H3446, 0)),if(G480='Room Info'!$G$1, INDEX('Room Info'!$A$2:$A3446, MATCH(B480,'Room Info'!$G$2:$G3446, 0)))))))))</f>
        <v>Lo4io</v>
      </c>
      <c r="B480" s="50" t="s">
        <v>158</v>
      </c>
      <c r="C480" s="97">
        <v>44886.0</v>
      </c>
      <c r="D480" s="97">
        <v>44915.0</v>
      </c>
      <c r="E480" s="52">
        <v>44896.0</v>
      </c>
      <c r="F480" s="53" t="s">
        <v>4</v>
      </c>
      <c r="G480" s="50" t="s">
        <v>9</v>
      </c>
      <c r="H480" s="54" t="s">
        <v>69</v>
      </c>
      <c r="I480" s="54" t="s">
        <v>24</v>
      </c>
      <c r="J480" s="75">
        <v>25.0</v>
      </c>
      <c r="K480" s="76">
        <v>614.0</v>
      </c>
      <c r="L480" s="77">
        <v>-133.0</v>
      </c>
      <c r="M480" s="81">
        <v>126.0</v>
      </c>
      <c r="N480" s="33">
        <f t="shared" si="13"/>
        <v>15350</v>
      </c>
      <c r="O480" s="50">
        <v>9997.0</v>
      </c>
      <c r="P480" s="34">
        <f t="shared" si="14"/>
        <v>16.28175896</v>
      </c>
      <c r="Q480" s="60"/>
      <c r="R480" s="36">
        <f t="shared" si="99"/>
        <v>126</v>
      </c>
      <c r="S480" s="78">
        <v>-559.0</v>
      </c>
      <c r="T480" s="37">
        <f t="shared" si="100"/>
        <v>-433</v>
      </c>
      <c r="U480" s="62">
        <v>1.061</v>
      </c>
      <c r="V480" s="74">
        <v>59.40509231326173</v>
      </c>
      <c r="W480" s="74">
        <v>25.570198460257167</v>
      </c>
      <c r="X480" s="35">
        <f t="shared" ref="X480:X485" si="105">IF(AF480="DoEV",IF(AND(V480&lt;20,W480&lt;55),0.3,0)+IF(AND(V480&lt;20,W480&gt;=55,W480&lt;105),0.23,0)+IF(AND(V480&lt;20,W480&gt;=105),0.17,0)+IF(AND(V480&gt;=20,V480&lt;40,W480&lt;45),0.3,0)+IF(AND(V480&gt;=20,V480&lt;40,W480&gt;=45,W480&lt;95),0.23,0)+IF(AND(V480&gt;=20,V480&lt;40,W480&gt;=95),0.17,0)+IF(AND(V480&gt;=40,V480&lt;75,W480&lt;35),0.3,0)+IF(AND(V480&gt;=40,V480&lt;75,W480&gt;=35,W480&lt;75),0.23,0)+IF(AND(V480&gt;=40,V480&lt;75,W480&gt;=75,W480&lt;120),0.17,0)+IF(AND(V480&gt;=40,V480&lt;75,W480&gt;=120),0.12,0)+IF(AND(V480&gt;=75,V480&lt;175,W480&lt;35),0.3,0)+IF(AND(V480&gt;=75,V480&lt;=175,W480&gt;=35,W480&lt;65),0.23,0)+IF(AND(V480&gt;=75,V480&lt;=175,W480&gt;=65,W480&lt;110),0.17,0)+IF(AND(V480&gt;=75,V480&lt;=175,W480&gt;=110),0.12,0)+IF(AND(V480&gt;175,W480&lt;25),0.3,0)+IF(AND(V480&gt;175,W480&gt;=25,W480&lt;55),0.23,0)+IF(AND(V480&gt;175,W480&gt;=55,W480&lt;95),0.17,0)+IF(AND(V480&gt;175,W480&gt;=95),0.12,0),
IF(AF480="Fix15",0.15,
IF(AF480="Fix11.25",0.1125,
IF(AF480="Fix10",0.1,
IF(AF480="Fix9",0.09,
IF(AF480="DoEV2017",IF(AND(W480&lt;74),0.2,0)+IF(AND(W480&gt;=74),0.17,0),
IF(AF480="SF",IF(AND(V480&lt;20,W480&lt;89),0.3,0)+IF(AND(V480&lt;20,W480&gt;=89),0.25,0)+IF(AND(V480&gt;=20,V480&lt;40,W480&lt;74),0.3,0)+IF(AND(V480&gt;=20,V480&lt;40,W480&gt;=75),0.22,0)+IF(AND(V480&gt;=40,V480&lt;75,W480&lt;75),0.26,0)+IF(AND(V480&gt;=40,V480&lt;75,W480&gt;=75),0.22,0)+IF(V480&gt;=75,0.22,0),
IF(AF480="DoEVold",IF(AND(V480&lt;40,W480&lt;35),0.35,0)+IF(AND(V480&lt;40,W480&gt;=35,W480&lt;75),0.25,0)+IF(AND(V480&lt;40,W480&gt;=75),0.17,0)+IF(AND(V480&gt;=40,V480&lt;75,W480&lt;25),0.35,0)+IF(AND(V480&gt;=40,V480&lt;75,W480&gt;=25,W480&lt;65),0.25,0)+IF(AND(V480&gt;=40,V480&lt;75,W480&gt;=65,W480&lt;100),0.17,0)+IF(AND(V480&gt;=40,V480&lt;75,W480&gt;=100),0.1,0)+IF(AND(V480&gt;=75,W480&lt;25),0.35,0)+IF(AND(V480&gt;=75,W480&gt;=25,W480&lt;60),0.25,0)+IF(AND(V480&gt;=75,W480&gt;=60,W480&lt;95),0.17,0)+IF(AND(V480&gt;=75,W480&gt;=95),0.1,0),
IF(AF480="DoEVold15",IF(AND(V480&lt;=40,W480&lt;35),0.35,0)+IF(AND(V480&lt;=40,W480&gt;=35,W480&lt;75),0.25,0)+IF(AND(V480&lt;=40,W480&gt;=75,W480&lt;120),0.17,0)+IF(AND(V480&lt;=40,W480&gt;=120),0.15,0)+IF(AND(V480&gt;40,V480&lt;75,W480&lt;25),0.35,0)+IF(AND(V480&gt;=40,V480&lt;75,W480&gt;=25,W480&lt;65),0.25,0)+IF(AND(V480&gt;=40,V480&lt;75,W480&gt;=65,W480&lt;100),0.17,0)+IF(AND(V480&gt;=40,V480&lt;75,W480&gt;=100),0.1,0)+IF(AND(V480&gt;=75,W480&lt;25),0.35,0)+IF(AND(V480&gt;=75,W480&gt;=25,W480&lt;60),0.25,0)+IF(AND(V480&gt;=75,W480&gt;=60,W480&lt;95),0.17,0)+IF(AND(V480&gt;=75,W480&gt;=95),0.1,0),
IF(AF480="DoEVba",IF(AND(V480&lt;20,W480&lt;105),0.2,0)+IF(AND(V480&lt;20,W480&gt;=105),0.15,0)+IF(AND(V480&gt;=20,V480&lt;40,W480&lt;95),0.2,0)+IF(AND(V480&gt;=20,V480&lt;40,W480&gt;=95,W480&lt;150),0.15,0)+IF(AND(V480&gt;=20,V480&lt;40,W480&gt;=150),0.12,0)+IF(AND(V480&gt;=40,V480&lt;75,W480&lt;75),0.2,0)+IF(AND(V480&gt;=40,V480&lt;75,W480&gt;=75,W480&lt;120),0.15,0)+IF(AND(V480&gt;=40,V480&lt;75,W480&gt;=120),0.12,0)+IF(AND(V480&gt;=75,V480&lt;175,W480&lt;65),0.2,0)+IF(AND(V480&gt;=75,V480&lt;175,W480&gt;=65,W480&lt;110),0.15,0)+IF(AND(V480&gt;=75,V480&lt;175,W480&gt;=110),0.12,0)+IF(AND(V480&gt;=175,W480&lt;55),0.2,0)+IF(AND(V480&gt;=175,W480&gt;=55,W480&lt;95),0.15,0)+IF(AND(V480&gt;=175,W480&gt;=95),0.12,0),
IF(AF480="DoEVku",IF(AND(V480&lt;20,W480&lt;55),0.23,0)+IF(AND(V480&lt;20,W480&gt;=55,W480&lt;105),0.2,0)+IF(AND(V480&lt;20,W480&gt;=105),0.17,0)+IF(AND(V480&gt;=20,V480&lt;40,W480&lt;45),0.23,0)+IF(AND(V480&gt;=20,V480&lt;40,W480&gt;=45,W480&lt;95),0.2,0)+IF(AND(V480&gt;=20,V480&lt;40,W480&gt;=95,W480&lt;=150),0.17,0)+IF(AND(V480&gt;=20,V480&lt;40,W480&gt;=150),0.12,0)+IF(AND(V480&gt;=40,V480&lt;75,W480&lt;35),0.23,0)+IF(AND(V480&gt;=40,V480&lt;75,W480&gt;=35,W480&lt;75),0.2,0)+IF(AND(V480&gt;=40,V480&lt;75,W480&gt;=75,W480&lt;120),0.17,0)+IF(AND(V480&gt;=40,V480&lt;75,W480&gt;=120),0.12,0)+IF(AND(V480&gt;=75,V480&lt;175,W480&lt;35),0.23,0)+IF(AND(V480&gt;=75,V480&lt;=175,W480&gt;=35,W480&lt;65),0.2,0)+IF(AND(V480&gt;=75,V480&lt;=175,W480&gt;=65,W480&lt;110),0.17,0)+IF(AND(V480&gt;=75,V480&lt;=175,W480&gt;=110),0.12,0)+IF(AND(V480&gt;175,W480&lt;25),0.23,0)+IF(AND(V480&gt;175,W480&gt;=25,W480&lt;55),0.2,0)+IF(AND(V480&gt;175,W480&gt;=55,W480&lt;95),0.17,0)+IF(AND(V480&gt;175,W480&gt;=95),0.12,0),
IF(AF480="DoEVs1",IF(AND(V480&lt;20,W480&lt;55),0.3,0)+IF(AND(V480&lt;20,W480&gt;=55,W480&lt;105),0.23,0)+IF(AND(V480&lt;20,W480&gt;=105),0.17,0)+IF(AND(V480&gt;=20,V480&lt;40,W480&lt;45),0.3,0)+IF(AND(V480&gt;=20,V480&lt;40,W480&gt;=45,W480&lt;95),0.23,0)+IF(AND(V480&gt;=20,V480&lt;40,W480&gt;=95,W480&lt;=150),0.17,0)+IF(AND(V480&gt;=20,V480&lt;40,W480&gt;=150),0.12,0)+IF(AND(V480&gt;=40,V480&lt;75,W480&lt;35),0.3,0)+IF(AND(V480&gt;=40,V480&lt;75,W480&gt;=35,W480&lt;75),0.23,0)+IF(AND(V480&gt;=40,V480&lt;75,W480&gt;=75,W480&lt;120),0.17,0)+IF(AND(V480&gt;=40,V480&lt;75,W480&gt;=120),0.12,0)+IF(AND(V480&gt;=75,V480&lt;175,W480&lt;35),0.3,0)+IF(AND(V480&gt;=75,V480&lt;=175,W480&gt;=35,W480&lt;65),0.23,0)+IF(AND(V480&gt;=75,V480&lt;=175,W480&gt;=65,W480&lt;110),0.17,0)+IF(AND(V480&gt;=75,V480&lt;=175,W480&gt;=110),0.12,0)+IF(AND(V480&gt;175,W480&lt;25),0.3,0)+IF(AND(V480&gt;175,W480&gt;=25,W480&lt;55),0.23,0)+IF(AND(V480&gt;175,W480&gt;=55,W480&lt;95),0.17,0)+IF(AND(V480&gt;175,W480&gt;=95),0.12,0),
IF(AF480="DoEVsu",IF(AND(V480&lt;20,W480&lt;55),0.3,0)+IF(AND(V480&lt;20,W480&gt;=55,W480&lt;105),0.23,0)+IF(AND(V480&lt;20,W480&gt;=105),0.17,0)+IF(AND(V480&gt;=20,V480&lt;40,W480&lt;45),0.3,0)+IF(AND(V480&gt;=20,V480&lt;40,W480&gt;=45,W480&lt;95),0.23,0)+IF(AND(V480&gt;=20,V480&lt;40,W480&gt;=95,W480&lt;=250),0.17,0)+IF(AND(V480&gt;=20,V480&lt;40,W480&gt;=250),0.12,0)+IF(AND(V480&gt;=40,V480&lt;75,W480&lt;35),0.3,0)+IF(AND(V480&gt;=40,V480&lt;75,W480&gt;=35,W480&lt;75),0.23,0)+IF(AND(V480&gt;=40,V480&lt;75,W480&gt;=75,W480&lt;120),0.17,0)+IF(AND(V480&gt;=40,V480&lt;75,W480&gt;=120),0.12,0)+IF(AND(V480&gt;=75,V480&lt;175,W480&lt;35),0.3,0)+IF(AND(V480&gt;=75,V480&lt;=175,W480&gt;=35,W480&lt;65),0.23,0)+IF(AND(V480&gt;=75,V480&lt;=175,W480&gt;=65,W480&lt;110),0.17,0)+IF(AND(V480&gt;=75,V480&lt;=175,W480&gt;=110),0.12,0)+IF(AND(V480&gt;175,W480&lt;25),0.3,0)+IF(AND(V480&gt;175,W480&gt;=25,W480&lt;55),0.23,0)+IF(AND(V480&gt;175,W480&gt;=55,W480&lt;95),0.17,0)+IF(AND(V480&gt;175,W480&gt;=95),0.12,0),
IF(AF480="DoEVni",IF(AND(V480&lt;20,W480&lt;55),0.3,0)+IF(AND(V480&lt;20,W480&gt;=55,W480&lt;105),0.23,0)+IF(AND(V480&lt;20,W480&gt;=105),0.17,0)+IF(AND(V480&gt;=20,V480&lt;40,W480&lt;45),0.3,0)+IF(AND(V480&gt;=20,V480&lt;40,W480&gt;=45,W480&lt;95),0.23,0)+IF(AND(V480&gt;=20,V480&lt;40,W480&gt;=95,W480&lt;=200),0.17,0)+IF(AND(V480&gt;=20,V480&lt;40,W480&gt;=200),0.12,0)+IF(AND(V480&gt;=40,V480&lt;75,W480&lt;35),0.3,0)+IF(AND(V480&gt;=40,V480&lt;75,W480&gt;=35,W480&lt;75),0.23,0)+IF(AND(V480&gt;=40,V480&lt;75,W480&gt;=75,W480&lt;120),0.17,0)+IF(AND(V480&gt;=40,V480&lt;75,W480&gt;=120),0.12,0)+IF(AND(V480&gt;=75,V480&lt;175,W480&lt;35),0.3,0)+IF(AND(V480&gt;=75,V480&lt;=175,W480&gt;=35,W480&lt;65),0.23,0)+IF(AND(V480&gt;=75,V480&lt;=175,W480&gt;=65,W480&lt;110),0.17,0)+IF(AND(V480&gt;=75,V480&lt;=175,W480&gt;=110),0.12,0)+IF(AND(V480&gt;175,W480&lt;25),0.3,0)+IF(AND(V480&gt;175,W480&gt;=25,W480&lt;55),0.23,0)+IF(AND(V480&gt;175,W480&gt;=55,W480&lt;95),0.17,0)+IF(AND(V480&gt;175,W480&gt;=95),0.12,0),
IF(AF480="DoEVLo",IF(AND(V480&lt;20,W480&lt;55),0.25,0)+IF(AND(V480&lt;20,W480&gt;=55,W480&lt;105),0.2,0)+IF(AND(V480&lt;20,W480&gt;=105),0.15,0)+IF(AND(V480&gt;=20,V480&lt;40,W480&lt;45),0.25,0)+IF(AND(V480&gt;=20,V480&lt;40,W480&gt;=45,W480&lt;95),0.2,0)+IF(AND(V480&gt;=20,V480&lt;40,W480&gt;=95),0.15,0)+IF(AND(V480&gt;=40,V480&lt;75,W480&lt;35),0.25,0)+IF(AND(V480&gt;=40,V480&lt;75,W480&gt;=35,W480&lt;75),0.2,0)+IF(AND(V480&gt;=40,V480&lt;75,W480&gt;=75,W480&lt;120),0.15,0)+IF(AND(V480&gt;=40,V480&lt;75,W480&gt;=120),0.1,0)+IF(AND(V480&gt;=75,V480&lt;175,W480&lt;35),0.25,0)+IF(AND(V480&gt;=75,V480&lt;=175,W480&gt;=35,W480&lt;65),0.2,0)+IF(AND(V480&gt;=75,V480&lt;=175,W480&gt;=65,W480&lt;110),0.15,0)+IF(AND(V480&gt;=75,V480&lt;=175,W480&gt;=110),0.1,0)+IF(AND(V480&gt;175,W480&lt;25),0.25,0)+IF(AND(V480&gt;175,W480&gt;=25,W480&lt;55),0.2,0)+IF(AND(V480&gt;175,W480&gt;=55,W480&lt;95),0.15,0)+IF(AND(V480&gt;175,W480&gt;=95),0.1,0))))))))))))))))</f>
        <v>0.25</v>
      </c>
      <c r="Y480" s="35">
        <f t="shared" ref="Y480:Y499" si="106">if(AG480="None",0,if(AG480="Fix5",0.05,if(AG480="Fix3.75",0.0375,if(AG480="Fix10",0.1,if(AG480="Fix3",0.03,0)))))</f>
        <v>0</v>
      </c>
      <c r="Z480" s="40">
        <f t="shared" si="102"/>
        <v>-316.22525</v>
      </c>
      <c r="AA480" s="34">
        <f t="shared" si="103"/>
        <v>-116.77475</v>
      </c>
      <c r="AB480" s="41">
        <f t="shared" si="104"/>
        <v>0</v>
      </c>
      <c r="AC480" s="42" t="b">
        <v>1</v>
      </c>
      <c r="AD480" s="66" t="s">
        <v>140</v>
      </c>
      <c r="AE480" s="66"/>
      <c r="AF480" s="42" t="str">
        <f t="array" ref="AF480">INDEX('Deal Info'!D:D, MATCH(A480,'Deal Info'!A:A, 0))</f>
        <v>DoEVLo</v>
      </c>
      <c r="AG480" s="43" t="str">
        <f t="array" ref="AG480">INDEX('Deal Info'!G:G, MATCH(A480,'Deal Info'!A:A, 0))</f>
        <v>None</v>
      </c>
    </row>
    <row r="481" hidden="1">
      <c r="A481" s="23" t="str">
        <f t="array" ref="A481">if(G481='Room Info'!$B$1, INDEX('Room Info'!$A$2:$A3446, MATCH(B481,'Room Info'!$B$2:$B3446, 0)),if(G481='Room Info'!$C$1, INDEX('Room Info'!$A$2:$A3446, MATCH(B481,'Room Info'!$C$2:$C3446, 0)),if(G481='Room Info'!$D$1, INDEX('Room Info'!$A$2:$A3446, MATCH(B481,'Room Info'!$D$2:$D3446, 0)),if(G481='Room Info'!$E$1, INDEX('Room Info'!$A$2:$A3446, MATCH(B481,'Room Info'!$E$2:$E3446, 0)),if(G481='Room Info'!$F$1, INDEX('Room Info'!$A$2:$A3446, MATCH(B481,'Room Info'!$F$2:$F3446, 0)),if(G481='Room Info'!$H$1, INDEX('Room Info'!$A$2:$A3446, MATCH(B481,'Room Info'!$H$2:$H3446, 0)),if(G481='Room Info'!$G$1, INDEX('Room Info'!$A$2:$A3446, MATCH(B481,'Room Info'!$G$2:$G3446, 0)))))))))</f>
        <v>fortunate773</v>
      </c>
      <c r="B481" s="50" t="s">
        <v>145</v>
      </c>
      <c r="C481" s="51">
        <v>44916.0</v>
      </c>
      <c r="D481" s="51">
        <v>44957.0</v>
      </c>
      <c r="E481" s="52">
        <v>44927.0</v>
      </c>
      <c r="F481" s="53" t="s">
        <v>8</v>
      </c>
      <c r="G481" s="50" t="s">
        <v>5</v>
      </c>
      <c r="H481" s="54" t="s">
        <v>85</v>
      </c>
      <c r="I481" s="54" t="s">
        <v>7</v>
      </c>
      <c r="J481" s="75">
        <v>100.0</v>
      </c>
      <c r="K481" s="76">
        <v>43.0</v>
      </c>
      <c r="L481" s="77">
        <v>0.0</v>
      </c>
      <c r="M481" s="58">
        <v>50.0</v>
      </c>
      <c r="N481" s="33">
        <f t="shared" si="13"/>
        <v>4300</v>
      </c>
      <c r="O481" s="50">
        <v>-1703.0</v>
      </c>
      <c r="P481" s="34">
        <f t="shared" si="14"/>
        <v>-39.60465116</v>
      </c>
      <c r="Q481" s="60"/>
      <c r="R481" s="36">
        <f t="shared" si="99"/>
        <v>50</v>
      </c>
      <c r="S481" s="78">
        <v>-540.0</v>
      </c>
      <c r="T481" s="37">
        <f t="shared" si="100"/>
        <v>-490</v>
      </c>
      <c r="U481" s="62">
        <v>1.0</v>
      </c>
      <c r="V481" s="63"/>
      <c r="W481" s="63"/>
      <c r="X481" s="35">
        <f t="shared" si="105"/>
        <v>0.15</v>
      </c>
      <c r="Y481" s="35">
        <f t="shared" si="106"/>
        <v>0.05</v>
      </c>
      <c r="Z481" s="64">
        <v>-392.0</v>
      </c>
      <c r="AA481" s="65">
        <v>-98.0</v>
      </c>
      <c r="AB481" s="41"/>
      <c r="AC481" s="42" t="b">
        <v>0</v>
      </c>
      <c r="AD481" s="66" t="s">
        <v>138</v>
      </c>
      <c r="AE481" s="88" t="s">
        <v>138</v>
      </c>
      <c r="AF481" s="42" t="str">
        <f t="array" ref="AF481">INDEX('Deal Info'!D:D, MATCH(A481,'Deal Info'!A:A, 0))</f>
        <v>Fix15</v>
      </c>
      <c r="AG481" s="43" t="str">
        <f t="array" ref="AG481">INDEX('Deal Info'!G:G, MATCH(A481,'Deal Info'!A:A, 0))</f>
        <v>Fix5</v>
      </c>
    </row>
    <row r="482" hidden="1">
      <c r="A482" s="23" t="str">
        <f t="array" ref="A482">if(G482='Room Info'!$B$1, INDEX('Room Info'!$A$2:$A3446, MATCH(B482,'Room Info'!$B$2:$B3446, 0)),if(G482='Room Info'!$C$1, INDEX('Room Info'!$A$2:$A3446, MATCH(B482,'Room Info'!$C$2:$C3446, 0)),if(G482='Room Info'!$D$1, INDEX('Room Info'!$A$2:$A3446, MATCH(B482,'Room Info'!$D$2:$D3446, 0)),if(G482='Room Info'!$E$1, INDEX('Room Info'!$A$2:$A3446, MATCH(B482,'Room Info'!$E$2:$E3446, 0)),if(G482='Room Info'!$F$1, INDEX('Room Info'!$A$2:$A3446, MATCH(B482,'Room Info'!$F$2:$F3446, 0)),if(G482='Room Info'!$H$1, INDEX('Room Info'!$A$2:$A3446, MATCH(B482,'Room Info'!$H$2:$H3446, 0)),if(G482='Room Info'!$G$1, INDEX('Room Info'!$A$2:$A3446, MATCH(B482,'Room Info'!$G$2:$G3446, 0)))))))))</f>
        <v>fortunate773</v>
      </c>
      <c r="B482" s="50" t="s">
        <v>145</v>
      </c>
      <c r="C482" s="51">
        <v>44916.0</v>
      </c>
      <c r="D482" s="51">
        <v>44957.0</v>
      </c>
      <c r="E482" s="52">
        <v>44927.0</v>
      </c>
      <c r="F482" s="53" t="s">
        <v>8</v>
      </c>
      <c r="G482" s="50" t="s">
        <v>5</v>
      </c>
      <c r="H482" s="54" t="s">
        <v>101</v>
      </c>
      <c r="I482" s="54" t="s">
        <v>7</v>
      </c>
      <c r="J482" s="75">
        <v>500.0</v>
      </c>
      <c r="K482" s="76">
        <v>6.0</v>
      </c>
      <c r="L482" s="77">
        <v>500.0</v>
      </c>
      <c r="M482" s="58">
        <v>35.0</v>
      </c>
      <c r="N482" s="33">
        <f t="shared" si="13"/>
        <v>3000</v>
      </c>
      <c r="O482" s="50">
        <v>215.0</v>
      </c>
      <c r="P482" s="34">
        <f t="shared" si="14"/>
        <v>35.83333333</v>
      </c>
      <c r="Q482" s="60"/>
      <c r="R482" s="36">
        <f t="shared" si="99"/>
        <v>35</v>
      </c>
      <c r="S482" s="78">
        <v>59.0</v>
      </c>
      <c r="T482" s="37">
        <f t="shared" si="100"/>
        <v>94</v>
      </c>
      <c r="U482" s="62">
        <v>1.0</v>
      </c>
      <c r="V482" s="63"/>
      <c r="W482" s="63"/>
      <c r="X482" s="35">
        <f t="shared" si="105"/>
        <v>0.15</v>
      </c>
      <c r="Y482" s="35">
        <f t="shared" si="106"/>
        <v>0.05</v>
      </c>
      <c r="Z482" s="64">
        <v>75.0</v>
      </c>
      <c r="AA482" s="65">
        <v>19.0</v>
      </c>
      <c r="AB482" s="41"/>
      <c r="AC482" s="42" t="b">
        <v>0</v>
      </c>
      <c r="AD482" s="66" t="s">
        <v>138</v>
      </c>
      <c r="AE482" s="88" t="s">
        <v>138</v>
      </c>
      <c r="AF482" s="42" t="str">
        <f t="array" ref="AF482">INDEX('Deal Info'!D:D, MATCH(A482,'Deal Info'!A:A, 0))</f>
        <v>Fix15</v>
      </c>
      <c r="AG482" s="43" t="str">
        <f t="array" ref="AG482">INDEX('Deal Info'!G:G, MATCH(A482,'Deal Info'!A:A, 0))</f>
        <v>Fix5</v>
      </c>
    </row>
    <row r="483" hidden="1">
      <c r="A483" s="23" t="str">
        <f t="array" ref="A483">if(G483='Room Info'!$B$1, INDEX('Room Info'!$A$2:$A3446, MATCH(B483,'Room Info'!$B$2:$B3446, 0)),if(G483='Room Info'!$C$1, INDEX('Room Info'!$A$2:$A3446, MATCH(B483,'Room Info'!$C$2:$C3446, 0)),if(G483='Room Info'!$D$1, INDEX('Room Info'!$A$2:$A3446, MATCH(B483,'Room Info'!$D$2:$D3446, 0)),if(G483='Room Info'!$E$1, INDEX('Room Info'!$A$2:$A3446, MATCH(B483,'Room Info'!$E$2:$E3446, 0)),if(G483='Room Info'!$F$1, INDEX('Room Info'!$A$2:$A3446, MATCH(B483,'Room Info'!$F$2:$F3446, 0)),if(G483='Room Info'!$H$1, INDEX('Room Info'!$A$2:$A3446, MATCH(B483,'Room Info'!$H$2:$H3446, 0)),if(G483='Room Info'!$G$1, INDEX('Room Info'!$A$2:$A3446, MATCH(B483,'Room Info'!$G$2:$G3446, 0)))))))))</f>
        <v>fortunate773</v>
      </c>
      <c r="B483" s="50" t="s">
        <v>145</v>
      </c>
      <c r="C483" s="51">
        <v>44916.0</v>
      </c>
      <c r="D483" s="51">
        <v>44957.0</v>
      </c>
      <c r="E483" s="52">
        <v>44927.0</v>
      </c>
      <c r="F483" s="53" t="s">
        <v>8</v>
      </c>
      <c r="G483" s="50" t="s">
        <v>5</v>
      </c>
      <c r="H483" s="54" t="s">
        <v>96</v>
      </c>
      <c r="I483" s="54" t="s">
        <v>7</v>
      </c>
      <c r="J483" s="55">
        <v>250.0</v>
      </c>
      <c r="K483" s="56">
        <v>68.0</v>
      </c>
      <c r="L483" s="57">
        <v>-7250.0</v>
      </c>
      <c r="M483" s="58">
        <v>198.0</v>
      </c>
      <c r="N483" s="33">
        <f t="shared" si="13"/>
        <v>17000</v>
      </c>
      <c r="O483" s="59">
        <v>-4822.0</v>
      </c>
      <c r="P483" s="34">
        <f t="shared" si="14"/>
        <v>-70.91176471</v>
      </c>
      <c r="Q483" s="60"/>
      <c r="R483" s="36">
        <f t="shared" si="99"/>
        <v>198</v>
      </c>
      <c r="S483" s="61">
        <v>-3095.0</v>
      </c>
      <c r="T483" s="37">
        <f t="shared" si="100"/>
        <v>-2897</v>
      </c>
      <c r="U483" s="62">
        <v>1.0</v>
      </c>
      <c r="V483" s="63"/>
      <c r="W483" s="63"/>
      <c r="X483" s="35">
        <f t="shared" si="105"/>
        <v>0.15</v>
      </c>
      <c r="Y483" s="35">
        <f t="shared" si="106"/>
        <v>0.05</v>
      </c>
      <c r="Z483" s="64">
        <v>-2317.0</v>
      </c>
      <c r="AA483" s="65">
        <v>-579.0</v>
      </c>
      <c r="AB483" s="41"/>
      <c r="AC483" s="42" t="b">
        <v>0</v>
      </c>
      <c r="AD483" s="66" t="s">
        <v>138</v>
      </c>
      <c r="AE483" s="88" t="s">
        <v>138</v>
      </c>
      <c r="AF483" s="42" t="str">
        <f t="array" ref="AF483">INDEX('Deal Info'!D:D, MATCH(A483,'Deal Info'!A:A, 0))</f>
        <v>Fix15</v>
      </c>
      <c r="AG483" s="43" t="str">
        <f t="array" ref="AG483">INDEX('Deal Info'!G:G, MATCH(A483,'Deal Info'!A:A, 0))</f>
        <v>Fix5</v>
      </c>
    </row>
    <row r="484" hidden="1">
      <c r="A484" s="23" t="str">
        <f t="array" ref="A484">if(G484='Room Info'!$B$1, INDEX('Room Info'!$A$2:$A3446, MATCH(B484,'Room Info'!$B$2:$B3446, 0)),if(G484='Room Info'!$C$1, INDEX('Room Info'!$A$2:$A3446, MATCH(B484,'Room Info'!$C$2:$C3446, 0)),if(G484='Room Info'!$D$1, INDEX('Room Info'!$A$2:$A3446, MATCH(B484,'Room Info'!$D$2:$D3446, 0)),if(G484='Room Info'!$E$1, INDEX('Room Info'!$A$2:$A3446, MATCH(B484,'Room Info'!$E$2:$E3446, 0)),if(G484='Room Info'!$F$1, INDEX('Room Info'!$A$2:$A3446, MATCH(B484,'Room Info'!$F$2:$F3446, 0)),if(G484='Room Info'!$H$1, INDEX('Room Info'!$A$2:$A3446, MATCH(B484,'Room Info'!$H$2:$H3446, 0)),if(G484='Room Info'!$G$1, INDEX('Room Info'!$A$2:$A3446, MATCH(B484,'Room Info'!$G$2:$G3446, 0)))))))))</f>
        <v>fortunate773</v>
      </c>
      <c r="B484" s="50" t="s">
        <v>145</v>
      </c>
      <c r="C484" s="51">
        <v>44916.0</v>
      </c>
      <c r="D484" s="51">
        <v>44957.0</v>
      </c>
      <c r="E484" s="52">
        <v>44927.0</v>
      </c>
      <c r="F484" s="50" t="s">
        <v>8</v>
      </c>
      <c r="G484" s="59" t="s">
        <v>5</v>
      </c>
      <c r="H484" s="54" t="s">
        <v>106</v>
      </c>
      <c r="I484" s="54" t="s">
        <v>7</v>
      </c>
      <c r="J484" s="55">
        <v>1000.0</v>
      </c>
      <c r="K484" s="56">
        <v>1.0</v>
      </c>
      <c r="L484" s="57">
        <v>1000.0</v>
      </c>
      <c r="M484" s="58">
        <v>12.0</v>
      </c>
      <c r="N484" s="33">
        <f t="shared" si="13"/>
        <v>1000</v>
      </c>
      <c r="O484" s="59">
        <v>609.0</v>
      </c>
      <c r="P484" s="34">
        <f t="shared" si="14"/>
        <v>609</v>
      </c>
      <c r="Q484" s="60"/>
      <c r="R484" s="36">
        <f t="shared" si="99"/>
        <v>12</v>
      </c>
      <c r="S484" s="61">
        <v>1098.0</v>
      </c>
      <c r="T484" s="37">
        <f t="shared" si="100"/>
        <v>1110</v>
      </c>
      <c r="U484" s="62">
        <v>1.0</v>
      </c>
      <c r="V484" s="63"/>
      <c r="W484" s="63"/>
      <c r="X484" s="35">
        <f t="shared" si="105"/>
        <v>0.15</v>
      </c>
      <c r="Y484" s="35">
        <f t="shared" si="106"/>
        <v>0.05</v>
      </c>
      <c r="Z484" s="64">
        <v>888.0</v>
      </c>
      <c r="AA484" s="65">
        <v>222.0</v>
      </c>
      <c r="AB484" s="41"/>
      <c r="AC484" s="42" t="b">
        <v>0</v>
      </c>
      <c r="AD484" s="66" t="s">
        <v>138</v>
      </c>
      <c r="AE484" s="88" t="s">
        <v>138</v>
      </c>
      <c r="AF484" s="42" t="str">
        <f t="array" ref="AF484">INDEX('Deal Info'!D:D, MATCH(A484,'Deal Info'!A:A, 0))</f>
        <v>Fix15</v>
      </c>
      <c r="AG484" s="43" t="str">
        <f t="array" ref="AG484">INDEX('Deal Info'!G:G, MATCH(A484,'Deal Info'!A:A, 0))</f>
        <v>Fix5</v>
      </c>
    </row>
    <row r="485" hidden="1">
      <c r="A485" s="23" t="str">
        <f t="array" ref="A485">if(G485='Room Info'!$B$1, INDEX('Room Info'!$A$2:$A3446, MATCH(B485,'Room Info'!$B$2:$B3446, 0)),if(G485='Room Info'!$C$1, INDEX('Room Info'!$A$2:$A3446, MATCH(B485,'Room Info'!$C$2:$C3446, 0)),if(G485='Room Info'!$D$1, INDEX('Room Info'!$A$2:$A3446, MATCH(B485,'Room Info'!$D$2:$D3446, 0)),if(G485='Room Info'!$E$1, INDEX('Room Info'!$A$2:$A3446, MATCH(B485,'Room Info'!$E$2:$E3446, 0)),if(G485='Room Info'!$F$1, INDEX('Room Info'!$A$2:$A3446, MATCH(B485,'Room Info'!$F$2:$F3446, 0)),if(G485='Room Info'!$H$1, INDEX('Room Info'!$A$2:$A3446, MATCH(B485,'Room Info'!$H$2:$H3446, 0)),if(G485='Room Info'!$G$1, INDEX('Room Info'!$A$2:$A3446, MATCH(B485,'Room Info'!$G$2:$G3446, 0)))))))))</f>
        <v>Lo4io</v>
      </c>
      <c r="B485" s="50" t="s">
        <v>158</v>
      </c>
      <c r="C485" s="97">
        <v>44916.0</v>
      </c>
      <c r="D485" s="97">
        <v>44946.0</v>
      </c>
      <c r="E485" s="52">
        <v>44927.0</v>
      </c>
      <c r="F485" s="53" t="s">
        <v>4</v>
      </c>
      <c r="G485" s="50" t="s">
        <v>9</v>
      </c>
      <c r="H485" s="54" t="s">
        <v>69</v>
      </c>
      <c r="I485" s="54" t="s">
        <v>24</v>
      </c>
      <c r="J485" s="79">
        <v>25.0</v>
      </c>
      <c r="K485" s="80">
        <v>1.0</v>
      </c>
      <c r="L485" s="77">
        <v>-27.0</v>
      </c>
      <c r="M485" s="58">
        <v>25.0</v>
      </c>
      <c r="N485" s="33">
        <f t="shared" si="13"/>
        <v>25</v>
      </c>
      <c r="O485" s="50">
        <v>-88.0</v>
      </c>
      <c r="P485" s="34">
        <f t="shared" si="14"/>
        <v>-88</v>
      </c>
      <c r="Q485" s="60"/>
      <c r="R485" s="36">
        <f t="shared" si="99"/>
        <v>25</v>
      </c>
      <c r="S485" s="78">
        <v>-9.0</v>
      </c>
      <c r="T485" s="37">
        <f t="shared" si="100"/>
        <v>16</v>
      </c>
      <c r="U485" s="62">
        <v>1.086</v>
      </c>
      <c r="V485" s="74">
        <v>43.526543878656554</v>
      </c>
      <c r="W485" s="74">
        <v>93.73590541381456</v>
      </c>
      <c r="X485" s="35">
        <f t="shared" si="105"/>
        <v>0.15</v>
      </c>
      <c r="Y485" s="35">
        <f t="shared" si="106"/>
        <v>0</v>
      </c>
      <c r="Z485" s="40">
        <f t="shared" ref="Z485:Z576" si="107">T485-AA485-AB485</f>
        <v>13.7161</v>
      </c>
      <c r="AA485" s="34">
        <f t="shared" ref="AA485:AA527" si="108">if(AD485="EUR",((T485-R485)*X485)*U485+(R485*X485),(T485*X485))</f>
        <v>2.2839</v>
      </c>
      <c r="AB485" s="41">
        <f t="shared" ref="AB485:AB772" si="109">if(AD485="EUR",((T485-R485)*Y485)*U485+(R485*Y485),(T485*Y485))</f>
        <v>0</v>
      </c>
      <c r="AC485" s="42" t="b">
        <v>1</v>
      </c>
      <c r="AD485" s="66" t="s">
        <v>140</v>
      </c>
      <c r="AE485" s="66"/>
      <c r="AF485" s="42" t="str">
        <f t="array" ref="AF485">INDEX('Deal Info'!D:D, MATCH(A485,'Deal Info'!A:A, 0))</f>
        <v>DoEVLo</v>
      </c>
      <c r="AG485" s="43" t="str">
        <f t="array" ref="AG485">INDEX('Deal Info'!G:G, MATCH(A485,'Deal Info'!A:A, 0))</f>
        <v>None</v>
      </c>
    </row>
    <row r="486" hidden="1">
      <c r="A486" s="23" t="str">
        <f t="array" ref="A486">if(G486='Room Info'!$B$1, INDEX('Room Info'!$A$2:$A3446, MATCH(B486,'Room Info'!$B$2:$B3446, 0)),if(G486='Room Info'!$C$1, INDEX('Room Info'!$A$2:$A3446, MATCH(B486,'Room Info'!$C$2:$C3446, 0)),if(G486='Room Info'!$D$1, INDEX('Room Info'!$A$2:$A3446, MATCH(B486,'Room Info'!$D$2:$D3446, 0)),if(G486='Room Info'!$E$1, INDEX('Room Info'!$A$2:$A3446, MATCH(B486,'Room Info'!$E$2:$E3446, 0)),if(G486='Room Info'!$F$1, INDEX('Room Info'!$A$2:$A3446, MATCH(B486,'Room Info'!$F$2:$F3446, 0)),if(G486='Room Info'!$H$1, INDEX('Room Info'!$A$2:$A3446, MATCH(B486,'Room Info'!$H$2:$H3446, 0)),if(G486='Room Info'!$G$1, INDEX('Room Info'!$A$2:$A3446, MATCH(B486,'Room Info'!$G$2:$G3446, 0)))))))))</f>
        <v>mr_al3x</v>
      </c>
      <c r="B486" s="50" t="s">
        <v>176</v>
      </c>
      <c r="C486" s="51">
        <v>44687.0</v>
      </c>
      <c r="D486" s="51">
        <v>44712.0</v>
      </c>
      <c r="E486" s="52">
        <v>44682.0</v>
      </c>
      <c r="F486" s="53" t="s">
        <v>8</v>
      </c>
      <c r="G486" s="50" t="s">
        <v>5</v>
      </c>
      <c r="H486" s="54" t="s">
        <v>74</v>
      </c>
      <c r="I486" s="54" t="s">
        <v>7</v>
      </c>
      <c r="J486" s="55">
        <v>50.0</v>
      </c>
      <c r="K486" s="56">
        <v>7.0</v>
      </c>
      <c r="L486" s="57">
        <v>-100.0</v>
      </c>
      <c r="M486" s="58">
        <v>17.0</v>
      </c>
      <c r="N486" s="33">
        <f t="shared" si="13"/>
        <v>350</v>
      </c>
      <c r="O486" s="59">
        <v>-1417.0</v>
      </c>
      <c r="P486" s="34">
        <f t="shared" si="14"/>
        <v>-202.4285714</v>
      </c>
      <c r="Q486" s="60"/>
      <c r="R486" s="36">
        <f t="shared" si="99"/>
        <v>17</v>
      </c>
      <c r="S486" s="61">
        <v>-154.0</v>
      </c>
      <c r="T486" s="37">
        <f t="shared" si="100"/>
        <v>-137</v>
      </c>
      <c r="U486" s="62">
        <v>1.0</v>
      </c>
      <c r="V486" s="63"/>
      <c r="W486" s="63"/>
      <c r="X486" s="83">
        <v>0.17</v>
      </c>
      <c r="Y486" s="35">
        <f t="shared" si="106"/>
        <v>0</v>
      </c>
      <c r="Z486" s="40">
        <f t="shared" si="107"/>
        <v>-113.71</v>
      </c>
      <c r="AA486" s="34">
        <f t="shared" si="108"/>
        <v>-23.29</v>
      </c>
      <c r="AB486" s="41">
        <f t="shared" si="109"/>
        <v>0</v>
      </c>
      <c r="AC486" s="42" t="b">
        <v>1</v>
      </c>
      <c r="AD486" s="42" t="s">
        <v>138</v>
      </c>
      <c r="AE486" s="42" t="s">
        <v>138</v>
      </c>
      <c r="AF486" s="42" t="str">
        <f t="array" ref="AF486">INDEX('Deal Info'!D:D, MATCH(A486,'Deal Info'!A:A, 0))</f>
        <v>DoEVold15</v>
      </c>
      <c r="AG486" s="43" t="str">
        <f t="array" ref="AG486">INDEX('Deal Info'!G:G, MATCH(A486,'Deal Info'!A:A, 0))</f>
        <v>None</v>
      </c>
    </row>
    <row r="487" hidden="1">
      <c r="A487" s="23" t="str">
        <f t="array" ref="A487">if(G487='Room Info'!$B$1, INDEX('Room Info'!$A$2:$A3446, MATCH(B487,'Room Info'!$B$2:$B3446, 0)),if(G487='Room Info'!$C$1, INDEX('Room Info'!$A$2:$A3446, MATCH(B487,'Room Info'!$C$2:$C3446, 0)),if(G487='Room Info'!$D$1, INDEX('Room Info'!$A$2:$A3446, MATCH(B487,'Room Info'!$D$2:$D3446, 0)),if(G487='Room Info'!$E$1, INDEX('Room Info'!$A$2:$A3446, MATCH(B487,'Room Info'!$E$2:$E3446, 0)),if(G487='Room Info'!$F$1, INDEX('Room Info'!$A$2:$A3446, MATCH(B487,'Room Info'!$F$2:$F3446, 0)),if(G487='Room Info'!$H$1, INDEX('Room Info'!$A$2:$A3446, MATCH(B487,'Room Info'!$H$2:$H3446, 0)),if(G487='Room Info'!$G$1, INDEX('Room Info'!$A$2:$A3446, MATCH(B487,'Room Info'!$G$2:$G3446, 0)))))))))</f>
        <v>mr_al3x</v>
      </c>
      <c r="B487" s="50" t="s">
        <v>176</v>
      </c>
      <c r="C487" s="51">
        <v>44713.0</v>
      </c>
      <c r="D487" s="51">
        <v>44736.0</v>
      </c>
      <c r="E487" s="52">
        <v>44713.0</v>
      </c>
      <c r="F487" s="53" t="s">
        <v>12</v>
      </c>
      <c r="G487" s="50" t="s">
        <v>5</v>
      </c>
      <c r="H487" s="54" t="s">
        <v>74</v>
      </c>
      <c r="I487" s="54" t="s">
        <v>7</v>
      </c>
      <c r="J487" s="55">
        <v>50.0</v>
      </c>
      <c r="K487" s="56">
        <v>85.0</v>
      </c>
      <c r="L487" s="57">
        <v>-50.0</v>
      </c>
      <c r="M487" s="58">
        <v>44.0</v>
      </c>
      <c r="N487" s="33">
        <f t="shared" si="13"/>
        <v>4250</v>
      </c>
      <c r="O487" s="70"/>
      <c r="P487" s="34">
        <f t="shared" si="14"/>
        <v>0</v>
      </c>
      <c r="Q487" s="60"/>
      <c r="R487" s="36">
        <f t="shared" si="99"/>
        <v>44</v>
      </c>
      <c r="S487" s="71"/>
      <c r="T487" s="37">
        <f t="shared" si="100"/>
        <v>-6</v>
      </c>
      <c r="U487" s="62">
        <v>1.0</v>
      </c>
      <c r="V487" s="63"/>
      <c r="W487" s="63"/>
      <c r="X487" s="83">
        <v>0.15</v>
      </c>
      <c r="Y487" s="35">
        <f t="shared" si="106"/>
        <v>0</v>
      </c>
      <c r="Z487" s="40">
        <f t="shared" si="107"/>
        <v>-5.1</v>
      </c>
      <c r="AA487" s="34">
        <f t="shared" si="108"/>
        <v>-0.9</v>
      </c>
      <c r="AB487" s="41">
        <f t="shared" si="109"/>
        <v>0</v>
      </c>
      <c r="AC487" s="42" t="b">
        <v>1</v>
      </c>
      <c r="AD487" s="42" t="s">
        <v>138</v>
      </c>
      <c r="AE487" s="42" t="s">
        <v>138</v>
      </c>
      <c r="AF487" s="42" t="str">
        <f t="array" ref="AF487">INDEX('Deal Info'!D:D, MATCH(A487,'Deal Info'!A:A, 0))</f>
        <v>DoEVold15</v>
      </c>
      <c r="AG487" s="43" t="str">
        <f t="array" ref="AG487">INDEX('Deal Info'!G:G, MATCH(A487,'Deal Info'!A:A, 0))</f>
        <v>None</v>
      </c>
    </row>
    <row r="488" hidden="1">
      <c r="A488" s="23" t="str">
        <f t="array" ref="A488">if(G488='Room Info'!$B$1, INDEX('Room Info'!$A$2:$A3446, MATCH(B488,'Room Info'!$B$2:$B3446, 0)),if(G488='Room Info'!$C$1, INDEX('Room Info'!$A$2:$A3446, MATCH(B488,'Room Info'!$C$2:$C3446, 0)),if(G488='Room Info'!$D$1, INDEX('Room Info'!$A$2:$A3446, MATCH(B488,'Room Info'!$D$2:$D3446, 0)),if(G488='Room Info'!$E$1, INDEX('Room Info'!$A$2:$A3446, MATCH(B488,'Room Info'!$E$2:$E3446, 0)),if(G488='Room Info'!$F$1, INDEX('Room Info'!$A$2:$A3446, MATCH(B488,'Room Info'!$F$2:$F3446, 0)),if(G488='Room Info'!$H$1, INDEX('Room Info'!$A$2:$A3446, MATCH(B488,'Room Info'!$H$2:$H3446, 0)),if(G488='Room Info'!$G$1, INDEX('Room Info'!$A$2:$A3446, MATCH(B488,'Room Info'!$G$2:$G3446, 0)))))))))</f>
        <v>mr_al3x</v>
      </c>
      <c r="B488" s="50" t="s">
        <v>176</v>
      </c>
      <c r="C488" s="51">
        <v>44713.0</v>
      </c>
      <c r="D488" s="51">
        <v>44742.0</v>
      </c>
      <c r="E488" s="52">
        <v>44713.0</v>
      </c>
      <c r="F488" s="53" t="s">
        <v>8</v>
      </c>
      <c r="G488" s="50" t="s">
        <v>5</v>
      </c>
      <c r="H488" s="54" t="s">
        <v>62</v>
      </c>
      <c r="I488" s="54" t="s">
        <v>7</v>
      </c>
      <c r="J488" s="75">
        <v>25.0</v>
      </c>
      <c r="K488" s="76">
        <v>2074.0</v>
      </c>
      <c r="L488" s="77">
        <v>2575.0</v>
      </c>
      <c r="M488" s="58">
        <v>1763.0</v>
      </c>
      <c r="N488" s="33">
        <f t="shared" si="13"/>
        <v>51850</v>
      </c>
      <c r="O488" s="50">
        <v>77743.0</v>
      </c>
      <c r="P488" s="34">
        <f t="shared" si="14"/>
        <v>37.48457088</v>
      </c>
      <c r="Q488" s="60"/>
      <c r="R488" s="36">
        <f t="shared" si="99"/>
        <v>1763</v>
      </c>
      <c r="S488" s="78">
        <v>17.0</v>
      </c>
      <c r="T488" s="37">
        <f t="shared" si="100"/>
        <v>1780</v>
      </c>
      <c r="U488" s="62">
        <v>1.0</v>
      </c>
      <c r="V488" s="63"/>
      <c r="W488" s="63"/>
      <c r="X488" s="83">
        <v>0.15</v>
      </c>
      <c r="Y488" s="35">
        <f t="shared" si="106"/>
        <v>0</v>
      </c>
      <c r="Z488" s="40">
        <f t="shared" si="107"/>
        <v>1513</v>
      </c>
      <c r="AA488" s="34">
        <f t="shared" si="108"/>
        <v>267</v>
      </c>
      <c r="AB488" s="41">
        <f t="shared" si="109"/>
        <v>0</v>
      </c>
      <c r="AC488" s="42" t="b">
        <v>1</v>
      </c>
      <c r="AD488" s="42" t="s">
        <v>138</v>
      </c>
      <c r="AE488" s="42" t="s">
        <v>138</v>
      </c>
      <c r="AF488" s="42" t="str">
        <f t="array" ref="AF488">INDEX('Deal Info'!D:D, MATCH(A488,'Deal Info'!A:A, 0))</f>
        <v>DoEVold15</v>
      </c>
      <c r="AG488" s="43" t="str">
        <f t="array" ref="AG488">INDEX('Deal Info'!G:G, MATCH(A488,'Deal Info'!A:A, 0))</f>
        <v>None</v>
      </c>
    </row>
    <row r="489" hidden="1">
      <c r="A489" s="23" t="str">
        <f t="array" ref="A489">if(G489='Room Info'!$B$1, INDEX('Room Info'!$A$2:$A3446, MATCH(B489,'Room Info'!$B$2:$B3446, 0)),if(G489='Room Info'!$C$1, INDEX('Room Info'!$A$2:$A3446, MATCH(B489,'Room Info'!$C$2:$C3446, 0)),if(G489='Room Info'!$D$1, INDEX('Room Info'!$A$2:$A3446, MATCH(B489,'Room Info'!$D$2:$D3446, 0)),if(G489='Room Info'!$E$1, INDEX('Room Info'!$A$2:$A3446, MATCH(B489,'Room Info'!$E$2:$E3446, 0)),if(G489='Room Info'!$F$1, INDEX('Room Info'!$A$2:$A3446, MATCH(B489,'Room Info'!$F$2:$F3446, 0)),if(G489='Room Info'!$H$1, INDEX('Room Info'!$A$2:$A3446, MATCH(B489,'Room Info'!$H$2:$H3446, 0)),if(G489='Room Info'!$G$1, INDEX('Room Info'!$A$2:$A3446, MATCH(B489,'Room Info'!$G$2:$G3446, 0)))))))))</f>
        <v>mr_al3x</v>
      </c>
      <c r="B489" s="50" t="s">
        <v>176</v>
      </c>
      <c r="C489" s="51">
        <v>44737.0</v>
      </c>
      <c r="D489" s="51">
        <v>44742.0</v>
      </c>
      <c r="E489" s="52">
        <v>44713.0</v>
      </c>
      <c r="F489" s="53" t="s">
        <v>8</v>
      </c>
      <c r="G489" s="50" t="s">
        <v>5</v>
      </c>
      <c r="H489" s="54" t="s">
        <v>74</v>
      </c>
      <c r="I489" s="54" t="s">
        <v>7</v>
      </c>
      <c r="J489" s="75">
        <v>50.0</v>
      </c>
      <c r="K489" s="76">
        <v>378.0</v>
      </c>
      <c r="L489" s="77">
        <v>1750.0</v>
      </c>
      <c r="M489" s="58">
        <v>743.0</v>
      </c>
      <c r="N489" s="33">
        <f t="shared" si="13"/>
        <v>18900</v>
      </c>
      <c r="O489" s="50">
        <v>29319.0</v>
      </c>
      <c r="P489" s="34">
        <f t="shared" si="14"/>
        <v>77.56349206</v>
      </c>
      <c r="Q489" s="60"/>
      <c r="R489" s="36">
        <f t="shared" si="99"/>
        <v>743</v>
      </c>
      <c r="S489" s="78">
        <v>1404.0</v>
      </c>
      <c r="T489" s="37">
        <f t="shared" si="100"/>
        <v>2147</v>
      </c>
      <c r="U489" s="62">
        <v>1.0</v>
      </c>
      <c r="V489" s="63"/>
      <c r="W489" s="63"/>
      <c r="X489" s="83">
        <v>0.15</v>
      </c>
      <c r="Y489" s="35">
        <f t="shared" si="106"/>
        <v>0</v>
      </c>
      <c r="Z489" s="40">
        <f t="shared" si="107"/>
        <v>1824.95</v>
      </c>
      <c r="AA489" s="34">
        <f t="shared" si="108"/>
        <v>322.05</v>
      </c>
      <c r="AB489" s="41">
        <f t="shared" si="109"/>
        <v>0</v>
      </c>
      <c r="AC489" s="42" t="b">
        <v>1</v>
      </c>
      <c r="AD489" s="42" t="s">
        <v>138</v>
      </c>
      <c r="AE489" s="42" t="s">
        <v>138</v>
      </c>
      <c r="AF489" s="42" t="str">
        <f t="array" ref="AF489">INDEX('Deal Info'!D:D, MATCH(A489,'Deal Info'!A:A, 0))</f>
        <v>DoEVold15</v>
      </c>
      <c r="AG489" s="43" t="str">
        <f t="array" ref="AG489">INDEX('Deal Info'!G:G, MATCH(A489,'Deal Info'!A:A, 0))</f>
        <v>None</v>
      </c>
    </row>
    <row r="490" hidden="1">
      <c r="A490" s="23" t="str">
        <f t="array" ref="A490">if(G490='Room Info'!$B$1, INDEX('Room Info'!$A$2:$A3446, MATCH(B490,'Room Info'!$B$2:$B3446, 0)),if(G490='Room Info'!$C$1, INDEX('Room Info'!$A$2:$A3446, MATCH(B490,'Room Info'!$C$2:$C3446, 0)),if(G490='Room Info'!$D$1, INDEX('Room Info'!$A$2:$A3446, MATCH(B490,'Room Info'!$D$2:$D3446, 0)),if(G490='Room Info'!$E$1, INDEX('Room Info'!$A$2:$A3446, MATCH(B490,'Room Info'!$E$2:$E3446, 0)),if(G490='Room Info'!$F$1, INDEX('Room Info'!$A$2:$A3446, MATCH(B490,'Room Info'!$F$2:$F3446, 0)),if(G490='Room Info'!$H$1, INDEX('Room Info'!$A$2:$A3446, MATCH(B490,'Room Info'!$H$2:$H3446, 0)),if(G490='Room Info'!$G$1, INDEX('Room Info'!$A$2:$A3446, MATCH(B490,'Room Info'!$G$2:$G3446, 0)))))))))</f>
        <v>mr_al3x</v>
      </c>
      <c r="B490" s="50" t="s">
        <v>176</v>
      </c>
      <c r="C490" s="51">
        <v>44743.0</v>
      </c>
      <c r="D490" s="51">
        <v>44773.0</v>
      </c>
      <c r="E490" s="52">
        <v>44743.0</v>
      </c>
      <c r="F490" s="50" t="s">
        <v>8</v>
      </c>
      <c r="G490" s="50" t="s">
        <v>5</v>
      </c>
      <c r="H490" s="54" t="s">
        <v>34</v>
      </c>
      <c r="I490" s="54" t="s">
        <v>7</v>
      </c>
      <c r="J490" s="75">
        <v>5.0</v>
      </c>
      <c r="K490" s="76">
        <v>1.0</v>
      </c>
      <c r="L490" s="57">
        <v>-5.0</v>
      </c>
      <c r="M490" s="67"/>
      <c r="N490" s="33">
        <f t="shared" si="13"/>
        <v>5</v>
      </c>
      <c r="O490" s="59">
        <v>-635.0</v>
      </c>
      <c r="P490" s="34">
        <f t="shared" si="14"/>
        <v>-635</v>
      </c>
      <c r="Q490" s="60"/>
      <c r="R490" s="36">
        <f t="shared" si="99"/>
        <v>0</v>
      </c>
      <c r="S490" s="61">
        <v>-6.0</v>
      </c>
      <c r="T490" s="37">
        <f t="shared" si="100"/>
        <v>-6</v>
      </c>
      <c r="U490" s="62">
        <v>1.0</v>
      </c>
      <c r="V490" s="63"/>
      <c r="W490" s="63"/>
      <c r="X490" s="83">
        <v>0.1</v>
      </c>
      <c r="Y490" s="35">
        <f t="shared" si="106"/>
        <v>0</v>
      </c>
      <c r="Z490" s="40">
        <f t="shared" si="107"/>
        <v>-5.4</v>
      </c>
      <c r="AA490" s="34">
        <f t="shared" si="108"/>
        <v>-0.6</v>
      </c>
      <c r="AB490" s="41">
        <f t="shared" si="109"/>
        <v>0</v>
      </c>
      <c r="AC490" s="42" t="b">
        <v>1</v>
      </c>
      <c r="AD490" s="42" t="s">
        <v>138</v>
      </c>
      <c r="AE490" s="42" t="s">
        <v>138</v>
      </c>
      <c r="AF490" s="42" t="str">
        <f t="array" ref="AF490">INDEX('Deal Info'!D:D, MATCH(A490,'Deal Info'!A:A, 0))</f>
        <v>DoEVold15</v>
      </c>
      <c r="AG490" s="43" t="str">
        <f t="array" ref="AG490">INDEX('Deal Info'!G:G, MATCH(A490,'Deal Info'!A:A, 0))</f>
        <v>None</v>
      </c>
    </row>
    <row r="491" hidden="1">
      <c r="A491" s="23" t="str">
        <f t="array" ref="A491">if(G491='Room Info'!$B$1, INDEX('Room Info'!$A$2:$A3446, MATCH(B491,'Room Info'!$B$2:$B3446, 0)),if(G491='Room Info'!$C$1, INDEX('Room Info'!$A$2:$A3446, MATCH(B491,'Room Info'!$C$2:$C3446, 0)),if(G491='Room Info'!$D$1, INDEX('Room Info'!$A$2:$A3446, MATCH(B491,'Room Info'!$D$2:$D3446, 0)),if(G491='Room Info'!$E$1, INDEX('Room Info'!$A$2:$A3446, MATCH(B491,'Room Info'!$E$2:$E3446, 0)),if(G491='Room Info'!$F$1, INDEX('Room Info'!$A$2:$A3446, MATCH(B491,'Room Info'!$F$2:$F3446, 0)),if(G491='Room Info'!$H$1, INDEX('Room Info'!$A$2:$A3446, MATCH(B491,'Room Info'!$H$2:$H3446, 0)),if(G491='Room Info'!$G$1, INDEX('Room Info'!$A$2:$A3446, MATCH(B491,'Room Info'!$G$2:$G3446, 0)))))))))</f>
        <v>mr_al3x</v>
      </c>
      <c r="B491" s="50" t="s">
        <v>176</v>
      </c>
      <c r="C491" s="51">
        <v>44743.0</v>
      </c>
      <c r="D491" s="51">
        <v>44773.0</v>
      </c>
      <c r="E491" s="52">
        <v>44743.0</v>
      </c>
      <c r="F491" s="50" t="s">
        <v>8</v>
      </c>
      <c r="G491" s="59" t="s">
        <v>5</v>
      </c>
      <c r="H491" s="54" t="s">
        <v>62</v>
      </c>
      <c r="I491" s="54" t="s">
        <v>7</v>
      </c>
      <c r="J491" s="55">
        <v>25.0</v>
      </c>
      <c r="K491" s="56">
        <v>890.0</v>
      </c>
      <c r="L491" s="57">
        <v>2075.0</v>
      </c>
      <c r="M491" s="58">
        <v>1091.0</v>
      </c>
      <c r="N491" s="33">
        <f t="shared" si="13"/>
        <v>22250</v>
      </c>
      <c r="O491" s="59">
        <v>53221.0</v>
      </c>
      <c r="P491" s="34">
        <f t="shared" si="14"/>
        <v>59.7988764</v>
      </c>
      <c r="Q491" s="60"/>
      <c r="R491" s="36">
        <f t="shared" si="99"/>
        <v>1091</v>
      </c>
      <c r="S491" s="61">
        <v>1091.0</v>
      </c>
      <c r="T491" s="37">
        <f t="shared" si="100"/>
        <v>2182</v>
      </c>
      <c r="U491" s="62">
        <v>1.0</v>
      </c>
      <c r="V491" s="63"/>
      <c r="W491" s="63"/>
      <c r="X491" s="83">
        <v>0.1</v>
      </c>
      <c r="Y491" s="35">
        <f t="shared" si="106"/>
        <v>0</v>
      </c>
      <c r="Z491" s="40">
        <f t="shared" si="107"/>
        <v>1963.8</v>
      </c>
      <c r="AA491" s="34">
        <f t="shared" si="108"/>
        <v>218.2</v>
      </c>
      <c r="AB491" s="41">
        <f t="shared" si="109"/>
        <v>0</v>
      </c>
      <c r="AC491" s="42" t="b">
        <v>1</v>
      </c>
      <c r="AD491" s="42" t="s">
        <v>138</v>
      </c>
      <c r="AE491" s="42" t="s">
        <v>138</v>
      </c>
      <c r="AF491" s="42" t="str">
        <f t="array" ref="AF491">INDEX('Deal Info'!D:D, MATCH(A491,'Deal Info'!A:A, 0))</f>
        <v>DoEVold15</v>
      </c>
      <c r="AG491" s="43" t="str">
        <f t="array" ref="AG491">INDEX('Deal Info'!G:G, MATCH(A491,'Deal Info'!A:A, 0))</f>
        <v>None</v>
      </c>
    </row>
    <row r="492" hidden="1">
      <c r="A492" s="23" t="str">
        <f t="array" ref="A492">if(G492='Room Info'!$B$1, INDEX('Room Info'!$A$2:$A3446, MATCH(B492,'Room Info'!$B$2:$B3446, 0)),if(G492='Room Info'!$C$1, INDEX('Room Info'!$A$2:$A3446, MATCH(B492,'Room Info'!$C$2:$C3446, 0)),if(G492='Room Info'!$D$1, INDEX('Room Info'!$A$2:$A3446, MATCH(B492,'Room Info'!$D$2:$D3446, 0)),if(G492='Room Info'!$E$1, INDEX('Room Info'!$A$2:$A3446, MATCH(B492,'Room Info'!$E$2:$E3446, 0)),if(G492='Room Info'!$F$1, INDEX('Room Info'!$A$2:$A3446, MATCH(B492,'Room Info'!$F$2:$F3446, 0)),if(G492='Room Info'!$H$1, INDEX('Room Info'!$A$2:$A3446, MATCH(B492,'Room Info'!$H$2:$H3446, 0)),if(G492='Room Info'!$G$1, INDEX('Room Info'!$A$2:$A3446, MATCH(B492,'Room Info'!$G$2:$G3446, 0)))))))))</f>
        <v>mr_al3x</v>
      </c>
      <c r="B492" s="50" t="s">
        <v>176</v>
      </c>
      <c r="C492" s="51">
        <v>44743.0</v>
      </c>
      <c r="D492" s="51">
        <v>44773.0</v>
      </c>
      <c r="E492" s="52">
        <v>44743.0</v>
      </c>
      <c r="F492" s="50" t="s">
        <v>8</v>
      </c>
      <c r="G492" s="59" t="s">
        <v>5</v>
      </c>
      <c r="H492" s="54" t="s">
        <v>74</v>
      </c>
      <c r="I492" s="54" t="s">
        <v>7</v>
      </c>
      <c r="J492" s="55">
        <v>50.0</v>
      </c>
      <c r="K492" s="56">
        <v>1056.0</v>
      </c>
      <c r="L492" s="57">
        <v>-750.0</v>
      </c>
      <c r="M492" s="58">
        <v>2589.0</v>
      </c>
      <c r="N492" s="33">
        <f t="shared" si="13"/>
        <v>52800</v>
      </c>
      <c r="O492" s="59">
        <v>31760.0</v>
      </c>
      <c r="P492" s="34">
        <f t="shared" si="14"/>
        <v>30.07575758</v>
      </c>
      <c r="Q492" s="60"/>
      <c r="R492" s="36">
        <f t="shared" si="99"/>
        <v>2589</v>
      </c>
      <c r="S492" s="61">
        <v>-327.0</v>
      </c>
      <c r="T492" s="37">
        <f t="shared" si="100"/>
        <v>2262</v>
      </c>
      <c r="U492" s="62">
        <v>1.0</v>
      </c>
      <c r="V492" s="63"/>
      <c r="W492" s="63"/>
      <c r="X492" s="83">
        <v>0.1</v>
      </c>
      <c r="Y492" s="35">
        <f t="shared" si="106"/>
        <v>0</v>
      </c>
      <c r="Z492" s="40">
        <f t="shared" si="107"/>
        <v>2035.8</v>
      </c>
      <c r="AA492" s="34">
        <f t="shared" si="108"/>
        <v>226.2</v>
      </c>
      <c r="AB492" s="41">
        <f t="shared" si="109"/>
        <v>0</v>
      </c>
      <c r="AC492" s="42" t="b">
        <v>1</v>
      </c>
      <c r="AD492" s="42" t="s">
        <v>138</v>
      </c>
      <c r="AE492" s="42" t="s">
        <v>138</v>
      </c>
      <c r="AF492" s="42" t="str">
        <f t="array" ref="AF492">INDEX('Deal Info'!D:D, MATCH(A492,'Deal Info'!A:A, 0))</f>
        <v>DoEVold15</v>
      </c>
      <c r="AG492" s="43" t="str">
        <f t="array" ref="AG492">INDEX('Deal Info'!G:G, MATCH(A492,'Deal Info'!A:A, 0))</f>
        <v>None</v>
      </c>
    </row>
    <row r="493" hidden="1">
      <c r="A493" s="23" t="str">
        <f t="array" ref="A493">if(G493='Room Info'!$B$1, INDEX('Room Info'!$A$2:$A3446, MATCH(B493,'Room Info'!$B$2:$B3446, 0)),if(G493='Room Info'!$C$1, INDEX('Room Info'!$A$2:$A3446, MATCH(B493,'Room Info'!$C$2:$C3446, 0)),if(G493='Room Info'!$D$1, INDEX('Room Info'!$A$2:$A3446, MATCH(B493,'Room Info'!$D$2:$D3446, 0)),if(G493='Room Info'!$E$1, INDEX('Room Info'!$A$2:$A3446, MATCH(B493,'Room Info'!$E$2:$E3446, 0)),if(G493='Room Info'!$F$1, INDEX('Room Info'!$A$2:$A3446, MATCH(B493,'Room Info'!$F$2:$F3446, 0)),if(G493='Room Info'!$H$1, INDEX('Room Info'!$A$2:$A3446, MATCH(B493,'Room Info'!$H$2:$H3446, 0)),if(G493='Room Info'!$G$1, INDEX('Room Info'!$A$2:$A3446, MATCH(B493,'Room Info'!$G$2:$G3446, 0)))))))))</f>
        <v>mr_al3x</v>
      </c>
      <c r="B493" s="50" t="s">
        <v>176</v>
      </c>
      <c r="C493" s="51">
        <v>44743.0</v>
      </c>
      <c r="D493" s="51">
        <v>44773.0</v>
      </c>
      <c r="E493" s="52">
        <v>44743.0</v>
      </c>
      <c r="F493" s="53" t="s">
        <v>12</v>
      </c>
      <c r="G493" s="59" t="s">
        <v>5</v>
      </c>
      <c r="H493" s="54" t="s">
        <v>6</v>
      </c>
      <c r="I493" s="54" t="s">
        <v>7</v>
      </c>
      <c r="J493" s="55">
        <v>0.25</v>
      </c>
      <c r="K493" s="56">
        <v>2.0</v>
      </c>
      <c r="L493" s="57">
        <v>0.0</v>
      </c>
      <c r="M493" s="67"/>
      <c r="N493" s="33">
        <f t="shared" si="13"/>
        <v>0.5</v>
      </c>
      <c r="O493" s="70"/>
      <c r="P493" s="34">
        <f t="shared" si="14"/>
        <v>0</v>
      </c>
      <c r="Q493" s="60"/>
      <c r="R493" s="36">
        <f t="shared" si="99"/>
        <v>0</v>
      </c>
      <c r="S493" s="71"/>
      <c r="T493" s="37">
        <f t="shared" si="100"/>
        <v>0</v>
      </c>
      <c r="U493" s="62">
        <v>1.0</v>
      </c>
      <c r="V493" s="63"/>
      <c r="W493" s="63"/>
      <c r="X493" s="83">
        <v>0.1</v>
      </c>
      <c r="Y493" s="35">
        <f t="shared" si="106"/>
        <v>0</v>
      </c>
      <c r="Z493" s="40">
        <f t="shared" si="107"/>
        <v>0</v>
      </c>
      <c r="AA493" s="34">
        <f t="shared" si="108"/>
        <v>0</v>
      </c>
      <c r="AB493" s="41">
        <f t="shared" si="109"/>
        <v>0</v>
      </c>
      <c r="AC493" s="42" t="b">
        <v>1</v>
      </c>
      <c r="AD493" s="42" t="s">
        <v>138</v>
      </c>
      <c r="AE493" s="42" t="s">
        <v>138</v>
      </c>
      <c r="AF493" s="42" t="str">
        <f t="array" ref="AF493">INDEX('Deal Info'!D:D, MATCH(A493,'Deal Info'!A:A, 0))</f>
        <v>DoEVold15</v>
      </c>
      <c r="AG493" s="43" t="str">
        <f t="array" ref="AG493">INDEX('Deal Info'!G:G, MATCH(A493,'Deal Info'!A:A, 0))</f>
        <v>None</v>
      </c>
    </row>
    <row r="494" hidden="1">
      <c r="A494" s="23" t="str">
        <f t="array" ref="A494">if(G494='Room Info'!$B$1, INDEX('Room Info'!$A$2:$A3446, MATCH(B494,'Room Info'!$B$2:$B3446, 0)),if(G494='Room Info'!$C$1, INDEX('Room Info'!$A$2:$A3446, MATCH(B494,'Room Info'!$C$2:$C3446, 0)),if(G494='Room Info'!$D$1, INDEX('Room Info'!$A$2:$A3446, MATCH(B494,'Room Info'!$D$2:$D3446, 0)),if(G494='Room Info'!$E$1, INDEX('Room Info'!$A$2:$A3446, MATCH(B494,'Room Info'!$E$2:$E3446, 0)),if(G494='Room Info'!$F$1, INDEX('Room Info'!$A$2:$A3446, MATCH(B494,'Room Info'!$F$2:$F3446, 0)),if(G494='Room Info'!$H$1, INDEX('Room Info'!$A$2:$A3446, MATCH(B494,'Room Info'!$H$2:$H3446, 0)),if(G494='Room Info'!$G$1, INDEX('Room Info'!$A$2:$A3446, MATCH(B494,'Room Info'!$G$2:$G3446, 0)))))))))</f>
        <v>mr_al3x</v>
      </c>
      <c r="B494" s="50" t="s">
        <v>176</v>
      </c>
      <c r="C494" s="51">
        <v>44805.0</v>
      </c>
      <c r="D494" s="51">
        <v>44834.0</v>
      </c>
      <c r="E494" s="52">
        <v>44805.0</v>
      </c>
      <c r="F494" s="53" t="s">
        <v>8</v>
      </c>
      <c r="G494" s="59" t="s">
        <v>5</v>
      </c>
      <c r="H494" s="54" t="s">
        <v>62</v>
      </c>
      <c r="I494" s="54" t="s">
        <v>7</v>
      </c>
      <c r="J494" s="55">
        <v>25.0</v>
      </c>
      <c r="K494" s="56">
        <v>234.0</v>
      </c>
      <c r="L494" s="57">
        <v>725.0</v>
      </c>
      <c r="M494" s="58">
        <v>445.0</v>
      </c>
      <c r="N494" s="33">
        <f t="shared" si="13"/>
        <v>5850</v>
      </c>
      <c r="O494" s="59">
        <v>14126.0</v>
      </c>
      <c r="P494" s="34">
        <f t="shared" si="14"/>
        <v>60.36752137</v>
      </c>
      <c r="Q494" s="60"/>
      <c r="R494" s="36">
        <f t="shared" si="99"/>
        <v>445</v>
      </c>
      <c r="S494" s="61">
        <v>308.0</v>
      </c>
      <c r="T494" s="37">
        <f t="shared" si="100"/>
        <v>753</v>
      </c>
      <c r="U494" s="62">
        <v>1.0</v>
      </c>
      <c r="V494" s="63"/>
      <c r="W494" s="63"/>
      <c r="X494" s="83">
        <v>0.15</v>
      </c>
      <c r="Y494" s="35">
        <f t="shared" si="106"/>
        <v>0</v>
      </c>
      <c r="Z494" s="40">
        <f t="shared" si="107"/>
        <v>640.05</v>
      </c>
      <c r="AA494" s="34">
        <f t="shared" si="108"/>
        <v>112.95</v>
      </c>
      <c r="AB494" s="41">
        <f t="shared" si="109"/>
        <v>0</v>
      </c>
      <c r="AC494" s="42" t="b">
        <v>1</v>
      </c>
      <c r="AD494" s="42" t="s">
        <v>138</v>
      </c>
      <c r="AE494" s="42" t="s">
        <v>138</v>
      </c>
      <c r="AF494" s="42" t="str">
        <f t="array" ref="AF494">INDEX('Deal Info'!D:D, MATCH(A494,'Deal Info'!A:A, 0))</f>
        <v>DoEVold15</v>
      </c>
      <c r="AG494" s="43" t="str">
        <f t="array" ref="AG494">INDEX('Deal Info'!G:G, MATCH(A494,'Deal Info'!A:A, 0))</f>
        <v>None</v>
      </c>
    </row>
    <row r="495" hidden="1">
      <c r="A495" s="23" t="str">
        <f t="array" ref="A495">if(G495='Room Info'!$B$1, INDEX('Room Info'!$A$2:$A3446, MATCH(B495,'Room Info'!$B$2:$B3446, 0)),if(G495='Room Info'!$C$1, INDEX('Room Info'!$A$2:$A3446, MATCH(B495,'Room Info'!$C$2:$C3446, 0)),if(G495='Room Info'!$D$1, INDEX('Room Info'!$A$2:$A3446, MATCH(B495,'Room Info'!$D$2:$D3446, 0)),if(G495='Room Info'!$E$1, INDEX('Room Info'!$A$2:$A3446, MATCH(B495,'Room Info'!$E$2:$E3446, 0)),if(G495='Room Info'!$F$1, INDEX('Room Info'!$A$2:$A3446, MATCH(B495,'Room Info'!$F$2:$F3446, 0)),if(G495='Room Info'!$H$1, INDEX('Room Info'!$A$2:$A3446, MATCH(B495,'Room Info'!$H$2:$H3446, 0)),if(G495='Room Info'!$G$1, INDEX('Room Info'!$A$2:$A3446, MATCH(B495,'Room Info'!$G$2:$G3446, 0)))))))))</f>
        <v>mr_al3x</v>
      </c>
      <c r="B495" s="50" t="s">
        <v>176</v>
      </c>
      <c r="C495" s="51">
        <v>44835.0</v>
      </c>
      <c r="D495" s="51">
        <v>44865.0</v>
      </c>
      <c r="E495" s="52">
        <v>44835.0</v>
      </c>
      <c r="F495" s="53" t="s">
        <v>8</v>
      </c>
      <c r="G495" s="59" t="s">
        <v>5</v>
      </c>
      <c r="H495" s="54" t="s">
        <v>62</v>
      </c>
      <c r="I495" s="54" t="s">
        <v>7</v>
      </c>
      <c r="J495" s="55">
        <v>25.0</v>
      </c>
      <c r="K495" s="56">
        <v>3365.0</v>
      </c>
      <c r="L495" s="57">
        <v>1025.0</v>
      </c>
      <c r="M495" s="58">
        <v>2938.0</v>
      </c>
      <c r="N495" s="33">
        <f t="shared" si="13"/>
        <v>84125</v>
      </c>
      <c r="O495" s="59">
        <v>105694.0</v>
      </c>
      <c r="P495" s="34">
        <f t="shared" si="14"/>
        <v>31.40980684</v>
      </c>
      <c r="Q495" s="60"/>
      <c r="R495" s="36">
        <f t="shared" si="99"/>
        <v>2938</v>
      </c>
      <c r="S495" s="61">
        <v>-930.0</v>
      </c>
      <c r="T495" s="37">
        <f t="shared" si="100"/>
        <v>2008</v>
      </c>
      <c r="U495" s="62">
        <v>1.0</v>
      </c>
      <c r="V495" s="63"/>
      <c r="W495" s="63"/>
      <c r="X495" s="83">
        <v>0.15</v>
      </c>
      <c r="Y495" s="35">
        <f t="shared" si="106"/>
        <v>0</v>
      </c>
      <c r="Z495" s="40">
        <f t="shared" si="107"/>
        <v>1706.8</v>
      </c>
      <c r="AA495" s="34">
        <f t="shared" si="108"/>
        <v>301.2</v>
      </c>
      <c r="AB495" s="41">
        <f t="shared" si="109"/>
        <v>0</v>
      </c>
      <c r="AC495" s="42" t="b">
        <v>1</v>
      </c>
      <c r="AD495" s="42" t="s">
        <v>138</v>
      </c>
      <c r="AE495" s="42" t="s">
        <v>138</v>
      </c>
      <c r="AF495" s="42" t="str">
        <f t="array" ref="AF495">INDEX('Deal Info'!D:D, MATCH(A495,'Deal Info'!A:A, 0))</f>
        <v>DoEVold15</v>
      </c>
      <c r="AG495" s="43" t="str">
        <f t="array" ref="AG495">INDEX('Deal Info'!G:G, MATCH(A495,'Deal Info'!A:A, 0))</f>
        <v>None</v>
      </c>
    </row>
    <row r="496" hidden="1">
      <c r="A496" s="23" t="str">
        <f t="array" ref="A496">if(G496='Room Info'!$B$1, INDEX('Room Info'!$A$2:$A3446, MATCH(B496,'Room Info'!$B$2:$B3446, 0)),if(G496='Room Info'!$C$1, INDEX('Room Info'!$A$2:$A3446, MATCH(B496,'Room Info'!$C$2:$C3446, 0)),if(G496='Room Info'!$D$1, INDEX('Room Info'!$A$2:$A3446, MATCH(B496,'Room Info'!$D$2:$D3446, 0)),if(G496='Room Info'!$E$1, INDEX('Room Info'!$A$2:$A3446, MATCH(B496,'Room Info'!$E$2:$E3446, 0)),if(G496='Room Info'!$F$1, INDEX('Room Info'!$A$2:$A3446, MATCH(B496,'Room Info'!$F$2:$F3446, 0)),if(G496='Room Info'!$H$1, INDEX('Room Info'!$A$2:$A3446, MATCH(B496,'Room Info'!$H$2:$H3446, 0)),if(G496='Room Info'!$G$1, INDEX('Room Info'!$A$2:$A3446, MATCH(B496,'Room Info'!$G$2:$G3446, 0)))))))))</f>
        <v>mr_al3x</v>
      </c>
      <c r="B496" s="50" t="s">
        <v>176</v>
      </c>
      <c r="C496" s="51">
        <v>44835.0</v>
      </c>
      <c r="D496" s="51">
        <v>44865.0</v>
      </c>
      <c r="E496" s="52">
        <v>44835.0</v>
      </c>
      <c r="F496" s="53" t="s">
        <v>12</v>
      </c>
      <c r="G496" s="59" t="s">
        <v>5</v>
      </c>
      <c r="H496" s="54" t="s">
        <v>74</v>
      </c>
      <c r="I496" s="54" t="s">
        <v>7</v>
      </c>
      <c r="J496" s="55">
        <v>50.0</v>
      </c>
      <c r="K496" s="56">
        <v>1.0</v>
      </c>
      <c r="L496" s="57">
        <v>50.0</v>
      </c>
      <c r="M496" s="58">
        <v>2.0</v>
      </c>
      <c r="N496" s="33">
        <f t="shared" si="13"/>
        <v>50</v>
      </c>
      <c r="O496" s="70"/>
      <c r="P496" s="34">
        <f t="shared" si="14"/>
        <v>0</v>
      </c>
      <c r="Q496" s="60"/>
      <c r="R496" s="36">
        <f t="shared" si="99"/>
        <v>2</v>
      </c>
      <c r="S496" s="71"/>
      <c r="T496" s="37">
        <f t="shared" si="100"/>
        <v>52</v>
      </c>
      <c r="U496" s="62">
        <v>1.0</v>
      </c>
      <c r="V496" s="63"/>
      <c r="W496" s="63"/>
      <c r="X496" s="83">
        <v>0.15</v>
      </c>
      <c r="Y496" s="35">
        <f t="shared" si="106"/>
        <v>0</v>
      </c>
      <c r="Z496" s="40">
        <f t="shared" si="107"/>
        <v>44.2</v>
      </c>
      <c r="AA496" s="34">
        <f t="shared" si="108"/>
        <v>7.8</v>
      </c>
      <c r="AB496" s="41">
        <f t="shared" si="109"/>
        <v>0</v>
      </c>
      <c r="AC496" s="42" t="b">
        <v>1</v>
      </c>
      <c r="AD496" s="42" t="s">
        <v>138</v>
      </c>
      <c r="AE496" s="42" t="s">
        <v>138</v>
      </c>
      <c r="AF496" s="42" t="str">
        <f t="array" ref="AF496">INDEX('Deal Info'!D:D, MATCH(A496,'Deal Info'!A:A, 0))</f>
        <v>DoEVold15</v>
      </c>
      <c r="AG496" s="43" t="str">
        <f t="array" ref="AG496">INDEX('Deal Info'!G:G, MATCH(A496,'Deal Info'!A:A, 0))</f>
        <v>None</v>
      </c>
    </row>
    <row r="497" hidden="1">
      <c r="A497" s="23" t="str">
        <f t="array" ref="A497">if(G497='Room Info'!$B$1, INDEX('Room Info'!$A$2:$A3446, MATCH(B497,'Room Info'!$B$2:$B3446, 0)),if(G497='Room Info'!$C$1, INDEX('Room Info'!$A$2:$A3446, MATCH(B497,'Room Info'!$C$2:$C3446, 0)),if(G497='Room Info'!$D$1, INDEX('Room Info'!$A$2:$A3446, MATCH(B497,'Room Info'!$D$2:$D3446, 0)),if(G497='Room Info'!$E$1, INDEX('Room Info'!$A$2:$A3446, MATCH(B497,'Room Info'!$E$2:$E3446, 0)),if(G497='Room Info'!$F$1, INDEX('Room Info'!$A$2:$A3446, MATCH(B497,'Room Info'!$F$2:$F3446, 0)),if(G497='Room Info'!$H$1, INDEX('Room Info'!$A$2:$A3446, MATCH(B497,'Room Info'!$H$2:$H3446, 0)),if(G497='Room Info'!$G$1, INDEX('Room Info'!$A$2:$A3446, MATCH(B497,'Room Info'!$G$2:$G3446, 0)))))))))</f>
        <v>mr_al3x</v>
      </c>
      <c r="B497" s="50" t="s">
        <v>176</v>
      </c>
      <c r="C497" s="51">
        <v>44866.0</v>
      </c>
      <c r="D497" s="51">
        <v>44895.0</v>
      </c>
      <c r="E497" s="52">
        <v>44866.0</v>
      </c>
      <c r="F497" s="53" t="s">
        <v>8</v>
      </c>
      <c r="G497" s="59" t="s">
        <v>5</v>
      </c>
      <c r="H497" s="54" t="s">
        <v>62</v>
      </c>
      <c r="I497" s="54" t="s">
        <v>7</v>
      </c>
      <c r="J497" s="55">
        <v>25.0</v>
      </c>
      <c r="K497" s="56">
        <v>3234.0</v>
      </c>
      <c r="L497" s="57">
        <v>-2650.0</v>
      </c>
      <c r="M497" s="58">
        <v>3368.0</v>
      </c>
      <c r="N497" s="33">
        <f t="shared" si="13"/>
        <v>80850</v>
      </c>
      <c r="O497" s="59">
        <v>71661.0</v>
      </c>
      <c r="P497" s="34">
        <f t="shared" si="14"/>
        <v>22.15862709</v>
      </c>
      <c r="Q497" s="60"/>
      <c r="R497" s="36">
        <f t="shared" si="99"/>
        <v>3368</v>
      </c>
      <c r="S497" s="61">
        <v>-2101.0</v>
      </c>
      <c r="T497" s="37">
        <f t="shared" si="100"/>
        <v>1267</v>
      </c>
      <c r="U497" s="62">
        <v>1.0</v>
      </c>
      <c r="V497" s="74">
        <v>25.0</v>
      </c>
      <c r="W497" s="74">
        <v>50.68</v>
      </c>
      <c r="X497" s="35">
        <f t="shared" ref="X497:X499" si="110">IF(AF497="DoEV",IF(AND(V497&lt;20,W497&lt;55),0.3,0)+IF(AND(V497&lt;20,W497&gt;=55,W497&lt;105),0.23,0)+IF(AND(V497&lt;20,W497&gt;=105),0.17,0)+IF(AND(V497&gt;=20,V497&lt;40,W497&lt;45),0.3,0)+IF(AND(V497&gt;=20,V497&lt;40,W497&gt;=45,W497&lt;95),0.23,0)+IF(AND(V497&gt;=20,V497&lt;40,W497&gt;=95),0.17,0)+IF(AND(V497&gt;=40,V497&lt;75,W497&lt;35),0.3,0)+IF(AND(V497&gt;=40,V497&lt;75,W497&gt;=35,W497&lt;75),0.23,0)+IF(AND(V497&gt;=40,V497&lt;75,W497&gt;=75,W497&lt;120),0.17,0)+IF(AND(V497&gt;=40,V497&lt;75,W497&gt;=120),0.12,0)+IF(AND(V497&gt;=75,V497&lt;175,W497&lt;35),0.3,0)+IF(AND(V497&gt;=75,V497&lt;=175,W497&gt;=35,W497&lt;65),0.23,0)+IF(AND(V497&gt;=75,V497&lt;=175,W497&gt;=65,W497&lt;110),0.17,0)+IF(AND(V497&gt;=75,V497&lt;=175,W497&gt;=110),0.12,0)+IF(AND(V497&gt;175,W497&lt;25),0.3,0)+IF(AND(V497&gt;175,W497&gt;=25,W497&lt;55),0.23,0)+IF(AND(V497&gt;175,W497&gt;=55,W497&lt;95),0.17,0)+IF(AND(V497&gt;175,W497&gt;=95),0.12,0),
IF(AF497="Fix15",0.15,
IF(AF497="Fix11.25",0.1125,
IF(AF497="Fix10",0.1,
IF(AF497="Fix9",0.09,
IF(AF497="DoEV2017",IF(AND(W497&lt;74),0.2,0)+IF(AND(W497&gt;=74),0.17,0),
IF(AF497="SF",IF(AND(V497&lt;20,W497&lt;89),0.3,0)+IF(AND(V497&lt;20,W497&gt;=89),0.25,0)+IF(AND(V497&gt;=20,V497&lt;40,W497&lt;74),0.3,0)+IF(AND(V497&gt;=20,V497&lt;40,W497&gt;=75),0.22,0)+IF(AND(V497&gt;=40,V497&lt;75,W497&lt;75),0.26,0)+IF(AND(V497&gt;=40,V497&lt;75,W497&gt;=75),0.22,0)+IF(V497&gt;=75,0.22,0),
IF(AF497="DoEVold",IF(AND(V497&lt;40,W497&lt;35),0.35,0)+IF(AND(V497&lt;40,W497&gt;=35,W497&lt;75),0.25,0)+IF(AND(V497&lt;40,W497&gt;=75),0.17,0)+IF(AND(V497&gt;=40,V497&lt;75,W497&lt;25),0.35,0)+IF(AND(V497&gt;=40,V497&lt;75,W497&gt;=25,W497&lt;65),0.25,0)+IF(AND(V497&gt;=40,V497&lt;75,W497&gt;=65,W497&lt;100),0.17,0)+IF(AND(V497&gt;=40,V497&lt;75,W497&gt;=100),0.1,0)+IF(AND(V497&gt;=75,W497&lt;25),0.35,0)+IF(AND(V497&gt;=75,W497&gt;=25,W497&lt;60),0.25,0)+IF(AND(V497&gt;=75,W497&gt;=60,W497&lt;95),0.17,0)+IF(AND(V497&gt;=75,W497&gt;=95),0.1,0),
IF(AF497="DoEVold15",IF(AND(V497&lt;=40,W497&lt;35),0.35,0)+IF(AND(V497&lt;=40,W497&gt;=35,W497&lt;75),0.25,0)+IF(AND(V497&lt;=40,W497&gt;=75,W497&lt;120),0.17,0)+IF(AND(V497&lt;=40,W497&gt;=120),0.15,0)+IF(AND(V497&gt;40,V497&lt;75,W497&lt;25),0.35,0)+IF(AND(V497&gt;=40,V497&lt;75,W497&gt;=25,W497&lt;65),0.25,0)+IF(AND(V497&gt;=40,V497&lt;75,W497&gt;=65,W497&lt;100),0.17,0)+IF(AND(V497&gt;=40,V497&lt;75,W497&gt;=100),0.1,0)+IF(AND(V497&gt;=75,W497&lt;25),0.35,0)+IF(AND(V497&gt;=75,W497&gt;=25,W497&lt;60),0.25,0)+IF(AND(V497&gt;=75,W497&gt;=60,W497&lt;95),0.17,0)+IF(AND(V497&gt;=75,W497&gt;=95),0.1,0),
IF(AF497="DoEVba",IF(AND(V497&lt;20,W497&lt;105),0.2,0)+IF(AND(V497&lt;20,W497&gt;=105),0.15,0)+IF(AND(V497&gt;=20,V497&lt;40,W497&lt;95),0.2,0)+IF(AND(V497&gt;=20,V497&lt;40,W497&gt;=95,W497&lt;150),0.15,0)+IF(AND(V497&gt;=20,V497&lt;40,W497&gt;=150),0.12,0)+IF(AND(V497&gt;=40,V497&lt;75,W497&lt;75),0.2,0)+IF(AND(V497&gt;=40,V497&lt;75,W497&gt;=75,W497&lt;120),0.15,0)+IF(AND(V497&gt;=40,V497&lt;75,W497&gt;=120),0.12,0)+IF(AND(V497&gt;=75,V497&lt;175,W497&lt;65),0.2,0)+IF(AND(V497&gt;=75,V497&lt;175,W497&gt;=65,W497&lt;110),0.15,0)+IF(AND(V497&gt;=75,V497&lt;175,W497&gt;=110),0.12,0)+IF(AND(V497&gt;=175,W497&lt;55),0.2,0)+IF(AND(V497&gt;=175,W497&gt;=55,W497&lt;95),0.15,0)+IF(AND(V497&gt;=175,W497&gt;=95),0.12,0),
IF(AF497="DoEVku",IF(AND(V497&lt;20,W497&lt;55),0.23,0)+IF(AND(V497&lt;20,W497&gt;=55,W497&lt;105),0.2,0)+IF(AND(V497&lt;20,W497&gt;=105),0.17,0)+IF(AND(V497&gt;=20,V497&lt;40,W497&lt;45),0.23,0)+IF(AND(V497&gt;=20,V497&lt;40,W497&gt;=45,W497&lt;95),0.2,0)+IF(AND(V497&gt;=20,V497&lt;40,W497&gt;=95,W497&lt;=150),0.17,0)+IF(AND(V497&gt;=20,V497&lt;40,W497&gt;=150),0.12,0)+IF(AND(V497&gt;=40,V497&lt;75,W497&lt;35),0.23,0)+IF(AND(V497&gt;=40,V497&lt;75,W497&gt;=35,W497&lt;75),0.2,0)+IF(AND(V497&gt;=40,V497&lt;75,W497&gt;=75,W497&lt;120),0.17,0)+IF(AND(V497&gt;=40,V497&lt;75,W497&gt;=120),0.12,0)+IF(AND(V497&gt;=75,V497&lt;175,W497&lt;35),0.23,0)+IF(AND(V497&gt;=75,V497&lt;=175,W497&gt;=35,W497&lt;65),0.2,0)+IF(AND(V497&gt;=75,V497&lt;=175,W497&gt;=65,W497&lt;110),0.17,0)+IF(AND(V497&gt;=75,V497&lt;=175,W497&gt;=110),0.12,0)+IF(AND(V497&gt;175,W497&lt;25),0.23,0)+IF(AND(V497&gt;175,W497&gt;=25,W497&lt;55),0.2,0)+IF(AND(V497&gt;175,W497&gt;=55,W497&lt;95),0.17,0)+IF(AND(V497&gt;175,W497&gt;=95),0.12,0),
IF(AF497="DoEVs1",IF(AND(V497&lt;20,W497&lt;55),0.3,0)+IF(AND(V497&lt;20,W497&gt;=55,W497&lt;105),0.23,0)+IF(AND(V497&lt;20,W497&gt;=105),0.17,0)+IF(AND(V497&gt;=20,V497&lt;40,W497&lt;45),0.3,0)+IF(AND(V497&gt;=20,V497&lt;40,W497&gt;=45,W497&lt;95),0.23,0)+IF(AND(V497&gt;=20,V497&lt;40,W497&gt;=95,W497&lt;=150),0.17,0)+IF(AND(V497&gt;=20,V497&lt;40,W497&gt;=150),0.12,0)+IF(AND(V497&gt;=40,V497&lt;75,W497&lt;35),0.3,0)+IF(AND(V497&gt;=40,V497&lt;75,W497&gt;=35,W497&lt;75),0.23,0)+IF(AND(V497&gt;=40,V497&lt;75,W497&gt;=75,W497&lt;120),0.17,0)+IF(AND(V497&gt;=40,V497&lt;75,W497&gt;=120),0.12,0)+IF(AND(V497&gt;=75,V497&lt;175,W497&lt;35),0.3,0)+IF(AND(V497&gt;=75,V497&lt;=175,W497&gt;=35,W497&lt;65),0.23,0)+IF(AND(V497&gt;=75,V497&lt;=175,W497&gt;=65,W497&lt;110),0.17,0)+IF(AND(V497&gt;=75,V497&lt;=175,W497&gt;=110),0.12,0)+IF(AND(V497&gt;175,W497&lt;25),0.3,0)+IF(AND(V497&gt;175,W497&gt;=25,W497&lt;55),0.23,0)+IF(AND(V497&gt;175,W497&gt;=55,W497&lt;95),0.17,0)+IF(AND(V497&gt;175,W497&gt;=95),0.12,0),
IF(AF497="DoEVsu",IF(AND(V497&lt;20,W497&lt;55),0.3,0)+IF(AND(V497&lt;20,W497&gt;=55,W497&lt;105),0.23,0)+IF(AND(V497&lt;20,W497&gt;=105),0.17,0)+IF(AND(V497&gt;=20,V497&lt;40,W497&lt;45),0.3,0)+IF(AND(V497&gt;=20,V497&lt;40,W497&gt;=45,W497&lt;95),0.23,0)+IF(AND(V497&gt;=20,V497&lt;40,W497&gt;=95,W497&lt;=250),0.17,0)+IF(AND(V497&gt;=20,V497&lt;40,W497&gt;=250),0.12,0)+IF(AND(V497&gt;=40,V497&lt;75,W497&lt;35),0.3,0)+IF(AND(V497&gt;=40,V497&lt;75,W497&gt;=35,W497&lt;75),0.23,0)+IF(AND(V497&gt;=40,V497&lt;75,W497&gt;=75,W497&lt;120),0.17,0)+IF(AND(V497&gt;=40,V497&lt;75,W497&gt;=120),0.12,0)+IF(AND(V497&gt;=75,V497&lt;175,W497&lt;35),0.3,0)+IF(AND(V497&gt;=75,V497&lt;=175,W497&gt;=35,W497&lt;65),0.23,0)+IF(AND(V497&gt;=75,V497&lt;=175,W497&gt;=65,W497&lt;110),0.17,0)+IF(AND(V497&gt;=75,V497&lt;=175,W497&gt;=110),0.12,0)+IF(AND(V497&gt;175,W497&lt;25),0.3,0)+IF(AND(V497&gt;175,W497&gt;=25,W497&lt;55),0.23,0)+IF(AND(V497&gt;175,W497&gt;=55,W497&lt;95),0.17,0)+IF(AND(V497&gt;175,W497&gt;=95),0.12,0),
IF(AF497="DoEVni",IF(AND(V497&lt;20,W497&lt;55),0.3,0)+IF(AND(V497&lt;20,W497&gt;=55,W497&lt;105),0.23,0)+IF(AND(V497&lt;20,W497&gt;=105),0.17,0)+IF(AND(V497&gt;=20,V497&lt;40,W497&lt;45),0.3,0)+IF(AND(V497&gt;=20,V497&lt;40,W497&gt;=45,W497&lt;95),0.23,0)+IF(AND(V497&gt;=20,V497&lt;40,W497&gt;=95,W497&lt;=200),0.17,0)+IF(AND(V497&gt;=20,V497&lt;40,W497&gt;=200),0.12,0)+IF(AND(V497&gt;=40,V497&lt;75,W497&lt;35),0.3,0)+IF(AND(V497&gt;=40,V497&lt;75,W497&gt;=35,W497&lt;75),0.23,0)+IF(AND(V497&gt;=40,V497&lt;75,W497&gt;=75,W497&lt;120),0.17,0)+IF(AND(V497&gt;=40,V497&lt;75,W497&gt;=120),0.12,0)+IF(AND(V497&gt;=75,V497&lt;175,W497&lt;35),0.3,0)+IF(AND(V497&gt;=75,V497&lt;=175,W497&gt;=35,W497&lt;65),0.23,0)+IF(AND(V497&gt;=75,V497&lt;=175,W497&gt;=65,W497&lt;110),0.17,0)+IF(AND(V497&gt;=75,V497&lt;=175,W497&gt;=110),0.12,0)+IF(AND(V497&gt;175,W497&lt;25),0.3,0)+IF(AND(V497&gt;175,W497&gt;=25,W497&lt;55),0.23,0)+IF(AND(V497&gt;175,W497&gt;=55,W497&lt;95),0.17,0)+IF(AND(V497&gt;175,W497&gt;=95),0.12,0),
IF(AF497="DoEVLo",IF(AND(V497&lt;20,W497&lt;55),0.25,0)+IF(AND(V497&lt;20,W497&gt;=55,W497&lt;105),0.2,0)+IF(AND(V497&lt;20,W497&gt;=105),0.15,0)+IF(AND(V497&gt;=20,V497&lt;40,W497&lt;45),0.25,0)+IF(AND(V497&gt;=20,V497&lt;40,W497&gt;=45,W497&lt;95),0.2,0)+IF(AND(V497&gt;=20,V497&lt;40,W497&gt;=95),0.15,0)+IF(AND(V497&gt;=40,V497&lt;75,W497&lt;35),0.25,0)+IF(AND(V497&gt;=40,V497&lt;75,W497&gt;=35,W497&lt;75),0.2,0)+IF(AND(V497&gt;=40,V497&lt;75,W497&gt;=75,W497&lt;120),0.15,0)+IF(AND(V497&gt;=40,V497&lt;75,W497&gt;=120),0.1,0)+IF(AND(V497&gt;=75,V497&lt;175,W497&lt;35),0.25,0)+IF(AND(V497&gt;=75,V497&lt;=175,W497&gt;=35,W497&lt;65),0.2,0)+IF(AND(V497&gt;=75,V497&lt;=175,W497&gt;=65,W497&lt;110),0.15,0)+IF(AND(V497&gt;=75,V497&lt;=175,W497&gt;=110),0.1,0)+IF(AND(V497&gt;175,W497&lt;25),0.25,0)+IF(AND(V497&gt;175,W497&gt;=25,W497&lt;55),0.2,0)+IF(AND(V497&gt;175,W497&gt;=55,W497&lt;95),0.15,0)+IF(AND(V497&gt;175,W497&gt;=95),0.1,0))))))))))))))))</f>
        <v>0.25</v>
      </c>
      <c r="Y497" s="35">
        <f t="shared" si="106"/>
        <v>0</v>
      </c>
      <c r="Z497" s="40">
        <f t="shared" si="107"/>
        <v>950.25</v>
      </c>
      <c r="AA497" s="34">
        <f t="shared" si="108"/>
        <v>316.75</v>
      </c>
      <c r="AB497" s="41">
        <f t="shared" si="109"/>
        <v>0</v>
      </c>
      <c r="AC497" s="42" t="b">
        <v>0</v>
      </c>
      <c r="AD497" s="42" t="s">
        <v>138</v>
      </c>
      <c r="AE497" s="42" t="s">
        <v>138</v>
      </c>
      <c r="AF497" s="42" t="str">
        <f t="array" ref="AF497">INDEX('Deal Info'!D:D, MATCH(A497,'Deal Info'!A:A, 0))</f>
        <v>DoEVold15</v>
      </c>
      <c r="AG497" s="43" t="str">
        <f t="array" ref="AG497">INDEX('Deal Info'!G:G, MATCH(A497,'Deal Info'!A:A, 0))</f>
        <v>None</v>
      </c>
    </row>
    <row r="498" hidden="1">
      <c r="A498" s="23" t="str">
        <f t="array" ref="A498">if(G498='Room Info'!$B$1, INDEX('Room Info'!$A$2:$A3446, MATCH(B498,'Room Info'!$B$2:$B3446, 0)),if(G498='Room Info'!$C$1, INDEX('Room Info'!$A$2:$A3446, MATCH(B498,'Room Info'!$C$2:$C3446, 0)),if(G498='Room Info'!$D$1, INDEX('Room Info'!$A$2:$A3446, MATCH(B498,'Room Info'!$D$2:$D3446, 0)),if(G498='Room Info'!$E$1, INDEX('Room Info'!$A$2:$A3446, MATCH(B498,'Room Info'!$E$2:$E3446, 0)),if(G498='Room Info'!$F$1, INDEX('Room Info'!$A$2:$A3446, MATCH(B498,'Room Info'!$F$2:$F3446, 0)),if(G498='Room Info'!$H$1, INDEX('Room Info'!$A$2:$A3446, MATCH(B498,'Room Info'!$H$2:$H3446, 0)),if(G498='Room Info'!$G$1, INDEX('Room Info'!$A$2:$A3446, MATCH(B498,'Room Info'!$G$2:$G3446, 0)))))))))</f>
        <v>mr_al3x</v>
      </c>
      <c r="B498" s="50" t="s">
        <v>176</v>
      </c>
      <c r="C498" s="51">
        <v>44896.0</v>
      </c>
      <c r="D498" s="51">
        <v>44915.0</v>
      </c>
      <c r="E498" s="52">
        <v>44896.0</v>
      </c>
      <c r="F498" s="53" t="s">
        <v>8</v>
      </c>
      <c r="G498" s="50" t="s">
        <v>5</v>
      </c>
      <c r="H498" s="54" t="s">
        <v>62</v>
      </c>
      <c r="I498" s="54" t="s">
        <v>7</v>
      </c>
      <c r="J498" s="75">
        <v>25.0</v>
      </c>
      <c r="K498" s="76">
        <v>582.0</v>
      </c>
      <c r="L498" s="57">
        <v>-75.0</v>
      </c>
      <c r="M498" s="58">
        <v>210.0</v>
      </c>
      <c r="N498" s="33">
        <f t="shared" si="13"/>
        <v>14550</v>
      </c>
      <c r="O498" s="59">
        <v>14516.0</v>
      </c>
      <c r="P498" s="34">
        <f t="shared" si="14"/>
        <v>24.94158076</v>
      </c>
      <c r="Q498" s="60"/>
      <c r="R498" s="36">
        <f t="shared" si="99"/>
        <v>210</v>
      </c>
      <c r="S498" s="61">
        <v>-321.0</v>
      </c>
      <c r="T498" s="37">
        <f t="shared" si="100"/>
        <v>-111</v>
      </c>
      <c r="U498" s="62">
        <v>1.0</v>
      </c>
      <c r="V498" s="74">
        <v>13.449229553536151</v>
      </c>
      <c r="W498" s="74">
        <v>41.48936545240893</v>
      </c>
      <c r="X498" s="35">
        <f t="shared" si="110"/>
        <v>0.25</v>
      </c>
      <c r="Y498" s="35">
        <f t="shared" si="106"/>
        <v>0</v>
      </c>
      <c r="Z498" s="40">
        <f t="shared" si="107"/>
        <v>-83.25</v>
      </c>
      <c r="AA498" s="34">
        <f t="shared" si="108"/>
        <v>-27.75</v>
      </c>
      <c r="AB498" s="41">
        <f t="shared" si="109"/>
        <v>0</v>
      </c>
      <c r="AC498" s="42" t="b">
        <v>0</v>
      </c>
      <c r="AD498" s="42" t="s">
        <v>138</v>
      </c>
      <c r="AE498" s="42" t="s">
        <v>138</v>
      </c>
      <c r="AF498" s="42" t="str">
        <f t="array" ref="AF498">INDEX('Deal Info'!D:D, MATCH(A498,'Deal Info'!A:A, 0))</f>
        <v>DoEVold15</v>
      </c>
      <c r="AG498" s="43" t="str">
        <f t="array" ref="AG498">INDEX('Deal Info'!G:G, MATCH(A498,'Deal Info'!A:A, 0))</f>
        <v>None</v>
      </c>
    </row>
    <row r="499" hidden="1">
      <c r="A499" s="23" t="str">
        <f t="array" ref="A499">if(G499='Room Info'!$B$1, INDEX('Room Info'!$A$2:$A3446, MATCH(B499,'Room Info'!$B$2:$B3446, 0)),if(G499='Room Info'!$C$1, INDEX('Room Info'!$A$2:$A3446, MATCH(B499,'Room Info'!$C$2:$C3446, 0)),if(G499='Room Info'!$D$1, INDEX('Room Info'!$A$2:$A3446, MATCH(B499,'Room Info'!$D$2:$D3446, 0)),if(G499='Room Info'!$E$1, INDEX('Room Info'!$A$2:$A3446, MATCH(B499,'Room Info'!$E$2:$E3446, 0)),if(G499='Room Info'!$F$1, INDEX('Room Info'!$A$2:$A3446, MATCH(B499,'Room Info'!$F$2:$F3446, 0)),if(G499='Room Info'!$H$1, INDEX('Room Info'!$A$2:$A3446, MATCH(B499,'Room Info'!$H$2:$H3446, 0)),if(G499='Room Info'!$G$1, INDEX('Room Info'!$A$2:$A3446, MATCH(B499,'Room Info'!$G$2:$G3446, 0)))))))))</f>
        <v>mr_al3x</v>
      </c>
      <c r="B499" s="50" t="s">
        <v>176</v>
      </c>
      <c r="C499" s="51">
        <v>44896.0</v>
      </c>
      <c r="D499" s="51">
        <v>44915.0</v>
      </c>
      <c r="E499" s="52">
        <v>44896.0</v>
      </c>
      <c r="F499" s="53" t="s">
        <v>12</v>
      </c>
      <c r="G499" s="50" t="s">
        <v>5</v>
      </c>
      <c r="H499" s="54" t="s">
        <v>45</v>
      </c>
      <c r="I499" s="54" t="s">
        <v>7</v>
      </c>
      <c r="J499" s="75">
        <v>10.0</v>
      </c>
      <c r="K499" s="76">
        <v>1949.0</v>
      </c>
      <c r="L499" s="57">
        <v>340.0</v>
      </c>
      <c r="M499" s="58">
        <v>329.0</v>
      </c>
      <c r="N499" s="33">
        <f t="shared" si="13"/>
        <v>19490</v>
      </c>
      <c r="O499" s="59">
        <v>122260.77</v>
      </c>
      <c r="P499" s="34">
        <f t="shared" si="14"/>
        <v>62.73</v>
      </c>
      <c r="Q499" s="60"/>
      <c r="R499" s="36">
        <f t="shared" si="99"/>
        <v>329</v>
      </c>
      <c r="S499" s="61"/>
      <c r="T499" s="37">
        <f t="shared" si="100"/>
        <v>669</v>
      </c>
      <c r="U499" s="62">
        <v>1.0</v>
      </c>
      <c r="V499" s="74">
        <v>13.449229553536151</v>
      </c>
      <c r="W499" s="74">
        <v>41.48936545240893</v>
      </c>
      <c r="X499" s="35">
        <f t="shared" si="110"/>
        <v>0.25</v>
      </c>
      <c r="Y499" s="35">
        <f t="shared" si="106"/>
        <v>0</v>
      </c>
      <c r="Z499" s="40">
        <f t="shared" si="107"/>
        <v>501.75</v>
      </c>
      <c r="AA499" s="34">
        <f t="shared" si="108"/>
        <v>167.25</v>
      </c>
      <c r="AB499" s="41">
        <f t="shared" si="109"/>
        <v>0</v>
      </c>
      <c r="AC499" s="42" t="b">
        <v>0</v>
      </c>
      <c r="AD499" s="42" t="s">
        <v>138</v>
      </c>
      <c r="AE499" s="42" t="s">
        <v>138</v>
      </c>
      <c r="AF499" s="42" t="str">
        <f t="array" ref="AF499">INDEX('Deal Info'!D:D, MATCH(A499,'Deal Info'!A:A, 0))</f>
        <v>DoEVold15</v>
      </c>
      <c r="AG499" s="43" t="str">
        <f t="array" ref="AG499">INDEX('Deal Info'!G:G, MATCH(A499,'Deal Info'!A:A, 0))</f>
        <v>None</v>
      </c>
    </row>
    <row r="500" hidden="1">
      <c r="A500" s="23" t="str">
        <f t="array" ref="A500">if(G500='Room Info'!$B$1, INDEX('Room Info'!$A$2:$A3446, MATCH(B500,'Room Info'!$B$2:$B3446, 0)),if(G500='Room Info'!$C$1, INDEX('Room Info'!$A$2:$A3446, MATCH(B500,'Room Info'!$C$2:$C3446, 0)),if(G500='Room Info'!$D$1, INDEX('Room Info'!$A$2:$A3446, MATCH(B500,'Room Info'!$D$2:$D3446, 0)),if(G500='Room Info'!$E$1, INDEX('Room Info'!$A$2:$A3446, MATCH(B500,'Room Info'!$E$2:$E3446, 0)),if(G500='Room Info'!$F$1, INDEX('Room Info'!$A$2:$A3446, MATCH(B500,'Room Info'!$F$2:$F3446, 0)),if(G500='Room Info'!$H$1, INDEX('Room Info'!$A$2:$A3446, MATCH(B500,'Room Info'!$H$2:$H3446, 0)),if(G500='Room Info'!$G$1, INDEX('Room Info'!$A$2:$A3446, MATCH(B500,'Room Info'!$G$2:$G3446, 0)))))))))</f>
        <v>benyya</v>
      </c>
      <c r="B500" s="50" t="s">
        <v>177</v>
      </c>
      <c r="C500" s="51">
        <v>44700.0</v>
      </c>
      <c r="D500" s="51">
        <v>44712.0</v>
      </c>
      <c r="E500" s="52">
        <v>44682.0</v>
      </c>
      <c r="F500" s="53" t="s">
        <v>8</v>
      </c>
      <c r="G500" s="50" t="s">
        <v>5</v>
      </c>
      <c r="H500" s="54" t="s">
        <v>85</v>
      </c>
      <c r="I500" s="54" t="s">
        <v>7</v>
      </c>
      <c r="J500" s="75">
        <v>100.0</v>
      </c>
      <c r="K500" s="76">
        <v>3.0</v>
      </c>
      <c r="L500" s="57">
        <v>-300.0</v>
      </c>
      <c r="M500" s="58">
        <v>11.0</v>
      </c>
      <c r="N500" s="33">
        <f t="shared" si="13"/>
        <v>300</v>
      </c>
      <c r="O500" s="59">
        <v>-1236.0</v>
      </c>
      <c r="P500" s="34">
        <f t="shared" si="14"/>
        <v>-412</v>
      </c>
      <c r="Q500" s="60"/>
      <c r="R500" s="36">
        <f t="shared" si="99"/>
        <v>11</v>
      </c>
      <c r="S500" s="61">
        <v>-248.0</v>
      </c>
      <c r="T500" s="37">
        <f t="shared" si="100"/>
        <v>-237</v>
      </c>
      <c r="U500" s="62">
        <v>1.0</v>
      </c>
      <c r="V500" s="63"/>
      <c r="W500" s="63"/>
      <c r="X500" s="35">
        <f t="shared" ref="X500:X527" si="111">IF(AF500="DoEV",IF(AND(V500&lt;20,W500&lt;55),0.3,0)+IF(AND(V500&lt;20,W500&gt;=55,W500&lt;105),0.23,0)+IF(AND(V500&lt;20,W500&gt;=105),0.17,0)+IF(AND(V500&gt;=20,V500&lt;40,W500&lt;45),0.3,0)+IF(AND(V500&gt;=20,V500&lt;40,W500&gt;=45,W500&lt;95),0.23,0)+IF(AND(V500&gt;=20,V500&lt;40,W500&gt;=95),0.17,0)+IF(AND(V500&gt;=40,V500&lt;75,W500&lt;35),0.3,0)+IF(AND(V500&gt;=40,V500&lt;75,W500&gt;=35,W500&lt;75),0.23,0)+IF(AND(V500&gt;=40,V500&lt;75,W500&gt;=75,W500&lt;120),0.17,0)+IF(AND(V500&gt;=40,V500&lt;75,W500&gt;=120),0.12,0)+IF(AND(V500&gt;=75,V500&lt;175,W500&lt;35),0.3,0)+IF(AND(V500&gt;=75,V500&lt;=175,W500&gt;=35,W500&lt;65),0.23,0)+IF(AND(V500&gt;=75,V500&lt;=175,W500&gt;=65,W500&lt;110),0.17,0)+IF(AND(V500&gt;=75,V500&lt;=175,W500&gt;=110),0.12,0)+IF(AND(V500&gt;175,W500&lt;25),0.3,0)+IF(AND(V500&gt;175,W500&gt;=25,W500&lt;55),0.23,0)+IF(AND(V500&gt;175,W500&gt;=55,W500&lt;95),0.17,0)+IF(AND(V500&gt;175,W500&gt;=95),0.12,0),
IF(AF500="Fix15",0.15,
if(AF500="Fix18.75",0.1875,
IF(AF500="Fix11.25",0.1125,
IF(AF500="Fix10",0.1,
IF(AF500="Fix9",0.09,
IF(AF500="DoEV2017",IF(AND(W500&lt;74),0.2,0)+IF(AND(W500&gt;=74),0.17,0),
IF(AF500="SF",IF(AND(V500&lt;20,W500&lt;89),0.3,0)+IF(AND(V500&lt;20,W500&gt;=89),0.25,0)+IF(AND(V500&gt;=20,V500&lt;40,W500&lt;74),0.3,0)+IF(AND(V500&gt;=20,V500&lt;40,W500&gt;=75),0.22,0)+IF(AND(V500&gt;=40,V500&lt;75,W500&lt;75),0.26,0)+IF(AND(V500&gt;=40,V500&lt;75,W500&gt;=75),0.22,0)+IF(V500&gt;=75,0.22,0),
IF(AF500="DoEVold",IF(AND(V500&lt;40,W500&lt;35),0.35,0)+IF(AND(V500&lt;40,W500&gt;=35,W500&lt;75),0.25,0)+IF(AND(V500&lt;40,W500&gt;=75),0.17,0)+IF(AND(V500&gt;=40,V500&lt;75,W500&lt;25),0.35,0)+IF(AND(V500&gt;=40,V500&lt;75,W500&gt;=25,W500&lt;65),0.25,0)+IF(AND(V500&gt;=40,V500&lt;75,W500&gt;=65,W500&lt;100),0.17,0)+IF(AND(V500&gt;=40,V500&lt;75,W500&gt;=100),0.1,0)+IF(AND(V500&gt;=75,W500&lt;25),0.35,0)+IF(AND(V500&gt;=75,W500&gt;=25,W500&lt;60),0.25,0)+IF(AND(V500&gt;=75,W500&gt;=60,W500&lt;95),0.17,0)+IF(AND(V500&gt;=75,W500&gt;=95),0.1,0),
IF(AF500="DoEVold15",IF(AND(V500&lt;=40,W500&lt;35),0.35,0)+IF(AND(V500&lt;=40,W500&gt;=35,W500&lt;75),0.25,0)+IF(AND(V500&lt;=40,W500&gt;=75,W500&lt;120),0.17,0)+IF(AND(V500&lt;=40,W500&gt;=120),0.15,0)+IF(AND(V500&gt;40,V500&lt;75,W500&lt;25),0.35,0)+IF(AND(V500&gt;=40,V500&lt;75,W500&gt;=25,W500&lt;65),0.25,0)+IF(AND(V500&gt;=40,V500&lt;75,W500&gt;=65,W500&lt;100),0.17,0)+IF(AND(V500&gt;=40,V500&lt;75,W500&gt;=100),0.1,0)+IF(AND(V500&gt;=75,W500&lt;25),0.35,0)+IF(AND(V500&gt;=75,W500&gt;=25,W500&lt;60),0.25,0)+IF(AND(V500&gt;=75,W500&gt;=60,W500&lt;95),0.17,0)+IF(AND(V500&gt;=75,W500&gt;=95),0.1,0),
IF(AF500="DoEVba",IF(AND(V500&lt;20,W500&lt;105),0.2,0)+IF(AND(V500&lt;20,W500&gt;=105),0.15,0)+IF(AND(V500&gt;=20,V500&lt;40,W500&lt;95),0.2,0)+IF(AND(V500&gt;=20,V500&lt;40,W500&gt;=95,W500&lt;150),0.15,0)+IF(AND(V500&gt;=20,V500&lt;40,W500&gt;=150),0.12,0)+IF(AND(V500&gt;=40,V500&lt;75,W500&lt;75),0.2,0)+IF(AND(V500&gt;=40,V500&lt;75,W500&gt;=75,W500&lt;120),0.15,0)+IF(AND(V500&gt;=40,V500&lt;75,W500&gt;=120),0.12,0)+IF(AND(V500&gt;=75,V500&lt;175,W500&lt;65),0.2,0)+IF(AND(V500&gt;=75,V500&lt;175,W500&gt;=65,W500&lt;110),0.15,0)+IF(AND(V500&gt;=75,V500&lt;175,W500&gt;=110),0.12,0)+IF(AND(V500&gt;=175,W500&lt;55),0.2,0)+IF(AND(V500&gt;=175,W500&gt;=55,W500&lt;95),0.15,0)+IF(AND(V500&gt;=175,W500&gt;=95),0.12,0),
IF(AF500="DoEVku",IF(AND(V500&lt;20,W500&lt;55),0.23,0)+IF(AND(V500&lt;20,W500&gt;=55,W500&lt;105),0.2,0)+IF(AND(V500&lt;20,W500&gt;=105),0.17,0)+IF(AND(V500&gt;=20,V500&lt;40,W500&lt;45),0.23,0)+IF(AND(V500&gt;=20,V500&lt;40,W500&gt;=45,W500&lt;95),0.2,0)+IF(AND(V500&gt;=20,V500&lt;40,W500&gt;=95,W500&lt;=150),0.17,0)+IF(AND(V500&gt;=20,V500&lt;40,W500&gt;=150),0.12,0)+IF(AND(V500&gt;=40,V500&lt;75,W500&lt;35),0.23,0)+IF(AND(V500&gt;=40,V500&lt;75,W500&gt;=35,W500&lt;75),0.2,0)+IF(AND(V500&gt;=40,V500&lt;75,W500&gt;=75,W500&lt;120),0.17,0)+IF(AND(V500&gt;=40,V500&lt;75,W500&gt;=120),0.12,0)+IF(AND(V500&gt;=75,V500&lt;175,W500&lt;35),0.23,0)+IF(AND(V500&gt;=75,V500&lt;=175,W500&gt;=35,W500&lt;65),0.2,0)+IF(AND(V500&gt;=75,V500&lt;=175,W500&gt;=65,W500&lt;110),0.17,0)+IF(AND(V500&gt;=75,V500&lt;=175,W500&gt;=110),0.12,0)+IF(AND(V500&gt;175,W500&lt;25),0.23,0)+IF(AND(V500&gt;175,W500&gt;=25,W500&lt;55),0.2,0)+IF(AND(V500&gt;175,W500&gt;=55,W500&lt;95),0.17,0)+IF(AND(V500&gt;175,W500&gt;=95),0.12,0),
IF(AF500="DoEVs1",IF(AND(V500&lt;20,W500&lt;55),0.3,0)+IF(AND(V500&lt;20,W500&gt;=55,W500&lt;105),0.23,0)+IF(AND(V500&lt;20,W500&gt;=105),0.17,0)+IF(AND(V500&gt;=20,V500&lt;40,W500&lt;45),0.3,0)+IF(AND(V500&gt;=20,V500&lt;40,W500&gt;=45,W500&lt;95),0.23,0)+IF(AND(V500&gt;=20,V500&lt;40,W500&gt;=95,W500&lt;=150),0.17,0)+IF(AND(V500&gt;=20,V500&lt;40,W500&gt;=150),0.12,0)+IF(AND(V500&gt;=40,V500&lt;75,W500&lt;35),0.3,0)+IF(AND(V500&gt;=40,V500&lt;75,W500&gt;=35,W500&lt;75),0.23,0)+IF(AND(V500&gt;=40,V500&lt;75,W500&gt;=75,W500&lt;120),0.17,0)+IF(AND(V500&gt;=40,V500&lt;75,W500&gt;=120),0.12,0)+IF(AND(V500&gt;=75,V500&lt;175,W500&lt;35),0.3,0)+IF(AND(V500&gt;=75,V500&lt;=175,W500&gt;=35,W500&lt;65),0.23,0)+IF(AND(V500&gt;=75,V500&lt;=175,W500&gt;=65,W500&lt;110),0.17,0)+IF(AND(V500&gt;=75,V500&lt;=175,W500&gt;=110),0.12,0)+IF(AND(V500&gt;175,W500&lt;25),0.3,0)+IF(AND(V500&gt;175,W500&gt;=25,W500&lt;55),0.23,0)+IF(AND(V500&gt;175,W500&gt;=55,W500&lt;95),0.17,0)+IF(AND(V500&gt;175,W500&gt;=95),0.12,0),
IF(AF500="DoEVsu",IF(AND(V500&lt;20,W500&lt;55),0.3,0)+IF(AND(V500&lt;20,W500&gt;=55,W500&lt;105),0.23,0)+IF(AND(V500&lt;20,W500&gt;=105),0.17,0)+IF(AND(V500&gt;=20,V500&lt;40,W500&lt;45),0.3,0)+IF(AND(V500&gt;=20,V500&lt;40,W500&gt;=45,W500&lt;95),0.23,0)+IF(AND(V500&gt;=20,V500&lt;40,W500&gt;=95,W500&lt;=250),0.17,0)+IF(AND(V500&gt;=20,V500&lt;40,W500&gt;=250),0.12,0)+IF(AND(V500&gt;=40,V500&lt;75,W500&lt;35),0.3,0)+IF(AND(V500&gt;=40,V500&lt;75,W500&gt;=35,W500&lt;75),0.23,0)+IF(AND(V500&gt;=40,V500&lt;75,W500&gt;=75,W500&lt;120),0.17,0)+IF(AND(V500&gt;=40,V500&lt;75,W500&gt;=120),0.12,0)+IF(AND(V500&gt;=75,V500&lt;175,W500&lt;35),0.3,0)+IF(AND(V500&gt;=75,V500&lt;=175,W500&gt;=35,W500&lt;65),0.23,0)+IF(AND(V500&gt;=75,V500&lt;=175,W500&gt;=65,W500&lt;110),0.17,0)+IF(AND(V500&gt;=75,V500&lt;=175,W500&gt;=110),0.12,0)+IF(AND(V500&gt;175,W500&lt;25),0.3,0)+IF(AND(V500&gt;175,W500&gt;=25,W500&lt;55),0.23,0)+IF(AND(V500&gt;175,W500&gt;=55,W500&lt;95),0.17,0)+IF(AND(V500&gt;175,W500&gt;=95),0.12,0),
IF(AF500="DoEVni",IF(AND(V500&lt;20,W500&lt;55),0.3,0)+IF(AND(V500&lt;20,W500&gt;=55,W500&lt;105),0.23,0)+IF(AND(V500&lt;20,W500&gt;=105),0.17,0)+IF(AND(V500&gt;=20,V500&lt;40,W500&lt;45),0.3,0)+IF(AND(V500&gt;=20,V500&lt;40,W500&gt;=45,W500&lt;95),0.23,0)+IF(AND(V500&gt;=20,V500&lt;40,W500&gt;=95,W500&lt;=200),0.17,0)+IF(AND(V500&gt;=20,V500&lt;40,W500&gt;=200),0.12,0)+IF(AND(V500&gt;=40,V500&lt;75,W500&lt;35),0.3,0)+IF(AND(V500&gt;=40,V500&lt;75,W500&gt;=35,W500&lt;75),0.23,0)+IF(AND(V500&gt;=40,V500&lt;75,W500&gt;=75,W500&lt;120),0.17,0)+IF(AND(V500&gt;=40,V500&lt;75,W500&gt;=120),0.12,0)+IF(AND(V500&gt;=75,V500&lt;175,W500&lt;35),0.3,0)+IF(AND(V500&gt;=75,V500&lt;=175,W500&gt;=35,W500&lt;65),0.23,0)+IF(AND(V500&gt;=75,V500&lt;=175,W500&gt;=65,W500&lt;110),0.17,0)+IF(AND(V500&gt;=75,V500&lt;=175,W500&gt;=110),0.12,0)+IF(AND(V500&gt;175,W500&lt;25),0.3,0)+IF(AND(V500&gt;175,W500&gt;=25,W500&lt;55),0.23,0)+IF(AND(V500&gt;175,W500&gt;=55,W500&lt;95),0.17,0)+IF(AND(V500&gt;175,W500&gt;=95),0.12,0),
IF(AF500="DoEVLo",IF(AND(V500&lt;20,W500&lt;55),0.25,0)+IF(AND(V500&lt;20,W500&gt;=55,W500&lt;105),0.2,0)+IF(AND(V500&lt;20,W500&gt;=105),0.15,0)+IF(AND(V500&gt;=20,V500&lt;40,W500&lt;45),0.25,0)+IF(AND(V500&gt;=20,V500&lt;40,W500&gt;=45,W500&lt;95),0.2,0)+IF(AND(V500&gt;=20,V500&lt;40,W500&gt;=95),0.15,0)+IF(AND(V500&gt;=40,V500&lt;75,W500&lt;35),0.25,0)+IF(AND(V500&gt;=40,V500&lt;75,W500&gt;=35,W500&lt;75),0.2,0)+IF(AND(V500&gt;=40,V500&lt;75,W500&gt;=75,W500&lt;120),0.15,0)+IF(AND(V500&gt;=40,V500&lt;75,W500&gt;=120),0.1,0)+IF(AND(V500&gt;=75,V500&lt;175,W500&lt;35),0.25,0)+IF(AND(V500&gt;=75,V500&lt;=175,W500&gt;=35,W500&lt;65),0.2,0)+IF(AND(V500&gt;=75,V500&lt;=175,W500&gt;=65,W500&lt;110),0.15,0)+IF(AND(V500&gt;=75,V500&lt;=175,W500&gt;=110),0.1,0)+IF(AND(V500&gt;175,W500&lt;25),0.25,0)+IF(AND(V500&gt;175,W500&gt;=25,W500&lt;55),0.2,0)+IF(AND(V500&gt;175,W500&gt;=55,W500&lt;95),0.15,0)+IF(AND(V500&gt;175,W500&gt;=95),0.1,0)))))))))))))))))</f>
        <v>0.1875</v>
      </c>
      <c r="Y500" s="35">
        <f t="shared" ref="Y500:Y527" si="112">if(AG500="None",0,if(AG500="Fix5",0.05, if(AG500="Fix6.25",0.0625,if(AG500="Fix3.75",0.0375,if(AG500="Fix10",0.1,if(AG500="Fix3",0.03,0))))))</f>
        <v>0.0625</v>
      </c>
      <c r="Z500" s="40">
        <f t="shared" si="107"/>
        <v>-177.75</v>
      </c>
      <c r="AA500" s="34">
        <f t="shared" si="108"/>
        <v>-44.4375</v>
      </c>
      <c r="AB500" s="41">
        <f t="shared" si="109"/>
        <v>-14.8125</v>
      </c>
      <c r="AC500" s="42" t="b">
        <v>1</v>
      </c>
      <c r="AD500" s="42" t="s">
        <v>138</v>
      </c>
      <c r="AE500" s="42" t="s">
        <v>138</v>
      </c>
      <c r="AF500" s="42" t="s">
        <v>178</v>
      </c>
      <c r="AG500" s="43" t="s">
        <v>179</v>
      </c>
    </row>
    <row r="501" hidden="1">
      <c r="A501" s="23" t="str">
        <f t="array" ref="A501">if(G501='Room Info'!$B$1, INDEX('Room Info'!$A$2:$A3446, MATCH(B501,'Room Info'!$B$2:$B3446, 0)),if(G501='Room Info'!$C$1, INDEX('Room Info'!$A$2:$A3446, MATCH(B501,'Room Info'!$C$2:$C3446, 0)),if(G501='Room Info'!$D$1, INDEX('Room Info'!$A$2:$A3446, MATCH(B501,'Room Info'!$D$2:$D3446, 0)),if(G501='Room Info'!$E$1, INDEX('Room Info'!$A$2:$A3446, MATCH(B501,'Room Info'!$E$2:$E3446, 0)),if(G501='Room Info'!$F$1, INDEX('Room Info'!$A$2:$A3446, MATCH(B501,'Room Info'!$F$2:$F3446, 0)),if(G501='Room Info'!$H$1, INDEX('Room Info'!$A$2:$A3446, MATCH(B501,'Room Info'!$H$2:$H3446, 0)),if(G501='Room Info'!$G$1, INDEX('Room Info'!$A$2:$A3446, MATCH(B501,'Room Info'!$G$2:$G3446, 0)))))))))</f>
        <v>benyya</v>
      </c>
      <c r="B501" s="50" t="s">
        <v>177</v>
      </c>
      <c r="C501" s="51">
        <v>44700.0</v>
      </c>
      <c r="D501" s="51">
        <v>44712.0</v>
      </c>
      <c r="E501" s="52">
        <v>44682.0</v>
      </c>
      <c r="F501" s="53" t="s">
        <v>8</v>
      </c>
      <c r="G501" s="50" t="s">
        <v>5</v>
      </c>
      <c r="H501" s="54" t="s">
        <v>86</v>
      </c>
      <c r="I501" s="54" t="s">
        <v>11</v>
      </c>
      <c r="J501" s="75">
        <v>100.0</v>
      </c>
      <c r="K501" s="76">
        <v>1009.0</v>
      </c>
      <c r="L501" s="57">
        <v>-4500.0</v>
      </c>
      <c r="M501" s="58">
        <v>3800.0</v>
      </c>
      <c r="N501" s="33">
        <f t="shared" si="13"/>
        <v>100900</v>
      </c>
      <c r="O501" s="59">
        <v>7063.0</v>
      </c>
      <c r="P501" s="34">
        <f t="shared" si="14"/>
        <v>7</v>
      </c>
      <c r="Q501" s="60"/>
      <c r="R501" s="36">
        <f t="shared" si="99"/>
        <v>3800</v>
      </c>
      <c r="S501" s="61">
        <v>-3429.0</v>
      </c>
      <c r="T501" s="37">
        <f t="shared" si="100"/>
        <v>371</v>
      </c>
      <c r="U501" s="62">
        <v>1.0</v>
      </c>
      <c r="V501" s="63"/>
      <c r="W501" s="63"/>
      <c r="X501" s="35">
        <f t="shared" si="111"/>
        <v>0.1875</v>
      </c>
      <c r="Y501" s="35">
        <f t="shared" si="112"/>
        <v>0.0625</v>
      </c>
      <c r="Z501" s="40">
        <f t="shared" si="107"/>
        <v>278.25</v>
      </c>
      <c r="AA501" s="34">
        <f t="shared" si="108"/>
        <v>69.5625</v>
      </c>
      <c r="AB501" s="41">
        <f t="shared" si="109"/>
        <v>23.1875</v>
      </c>
      <c r="AC501" s="42" t="b">
        <v>1</v>
      </c>
      <c r="AD501" s="42" t="s">
        <v>138</v>
      </c>
      <c r="AE501" s="42" t="s">
        <v>138</v>
      </c>
      <c r="AF501" s="42" t="s">
        <v>178</v>
      </c>
      <c r="AG501" s="43" t="s">
        <v>179</v>
      </c>
    </row>
    <row r="502" hidden="1">
      <c r="A502" s="23" t="str">
        <f t="array" ref="A502">if(G502='Room Info'!$B$1, INDEX('Room Info'!$A$2:$A3446, MATCH(B502,'Room Info'!$B$2:$B3446, 0)),if(G502='Room Info'!$C$1, INDEX('Room Info'!$A$2:$A3446, MATCH(B502,'Room Info'!$C$2:$C3446, 0)),if(G502='Room Info'!$D$1, INDEX('Room Info'!$A$2:$A3446, MATCH(B502,'Room Info'!$D$2:$D3446, 0)),if(G502='Room Info'!$E$1, INDEX('Room Info'!$A$2:$A3446, MATCH(B502,'Room Info'!$E$2:$E3446, 0)),if(G502='Room Info'!$F$1, INDEX('Room Info'!$A$2:$A3446, MATCH(B502,'Room Info'!$F$2:$F3446, 0)),if(G502='Room Info'!$H$1, INDEX('Room Info'!$A$2:$A3446, MATCH(B502,'Room Info'!$H$2:$H3446, 0)),if(G502='Room Info'!$G$1, INDEX('Room Info'!$A$2:$A3446, MATCH(B502,'Room Info'!$G$2:$G3446, 0)))))))))</f>
        <v>benyya</v>
      </c>
      <c r="B502" s="50" t="s">
        <v>177</v>
      </c>
      <c r="C502" s="51">
        <v>44700.0</v>
      </c>
      <c r="D502" s="51">
        <v>44712.0</v>
      </c>
      <c r="E502" s="52">
        <v>44682.0</v>
      </c>
      <c r="F502" s="53" t="s">
        <v>8</v>
      </c>
      <c r="G502" s="50" t="s">
        <v>5</v>
      </c>
      <c r="H502" s="54" t="s">
        <v>97</v>
      </c>
      <c r="I502" s="54" t="s">
        <v>11</v>
      </c>
      <c r="J502" s="75">
        <v>250.0</v>
      </c>
      <c r="K502" s="76">
        <v>327.0</v>
      </c>
      <c r="L502" s="57">
        <v>-500.0</v>
      </c>
      <c r="M502" s="58">
        <v>3079.0</v>
      </c>
      <c r="N502" s="33">
        <f t="shared" si="13"/>
        <v>81750</v>
      </c>
      <c r="O502" s="59">
        <v>4905.0</v>
      </c>
      <c r="P502" s="34">
        <f t="shared" si="14"/>
        <v>15</v>
      </c>
      <c r="Q502" s="60"/>
      <c r="R502" s="36">
        <f t="shared" si="99"/>
        <v>3079</v>
      </c>
      <c r="S502" s="61">
        <v>-529.0</v>
      </c>
      <c r="T502" s="37">
        <f t="shared" si="100"/>
        <v>2550</v>
      </c>
      <c r="U502" s="62">
        <v>1.0</v>
      </c>
      <c r="V502" s="63"/>
      <c r="W502" s="63"/>
      <c r="X502" s="35">
        <f t="shared" si="111"/>
        <v>0.1875</v>
      </c>
      <c r="Y502" s="35">
        <f t="shared" si="112"/>
        <v>0.0625</v>
      </c>
      <c r="Z502" s="40">
        <f t="shared" si="107"/>
        <v>1912.5</v>
      </c>
      <c r="AA502" s="34">
        <f t="shared" si="108"/>
        <v>478.125</v>
      </c>
      <c r="AB502" s="41">
        <f t="shared" si="109"/>
        <v>159.375</v>
      </c>
      <c r="AC502" s="42" t="b">
        <v>1</v>
      </c>
      <c r="AD502" s="42" t="s">
        <v>138</v>
      </c>
      <c r="AE502" s="42" t="s">
        <v>138</v>
      </c>
      <c r="AF502" s="42" t="s">
        <v>178</v>
      </c>
      <c r="AG502" s="43" t="s">
        <v>179</v>
      </c>
    </row>
    <row r="503" hidden="1">
      <c r="A503" s="23" t="str">
        <f t="array" ref="A503">if(G503='Room Info'!$B$1, INDEX('Room Info'!$A$2:$A3446, MATCH(B503,'Room Info'!$B$2:$B3446, 0)),if(G503='Room Info'!$C$1, INDEX('Room Info'!$A$2:$A3446, MATCH(B503,'Room Info'!$C$2:$C3446, 0)),if(G503='Room Info'!$D$1, INDEX('Room Info'!$A$2:$A3446, MATCH(B503,'Room Info'!$D$2:$D3446, 0)),if(G503='Room Info'!$E$1, INDEX('Room Info'!$A$2:$A3446, MATCH(B503,'Room Info'!$E$2:$E3446, 0)),if(G503='Room Info'!$F$1, INDEX('Room Info'!$A$2:$A3446, MATCH(B503,'Room Info'!$F$2:$F3446, 0)),if(G503='Room Info'!$H$1, INDEX('Room Info'!$A$2:$A3446, MATCH(B503,'Room Info'!$H$2:$H3446, 0)),if(G503='Room Info'!$G$1, INDEX('Room Info'!$A$2:$A3446, MATCH(B503,'Room Info'!$G$2:$G3446, 0)))))))))</f>
        <v>benyya</v>
      </c>
      <c r="B503" s="50" t="s">
        <v>177</v>
      </c>
      <c r="C503" s="51">
        <v>44700.0</v>
      </c>
      <c r="D503" s="51">
        <v>44712.0</v>
      </c>
      <c r="E503" s="52">
        <v>44682.0</v>
      </c>
      <c r="F503" s="53" t="s">
        <v>8</v>
      </c>
      <c r="G503" s="50" t="s">
        <v>5</v>
      </c>
      <c r="H503" s="54" t="s">
        <v>96</v>
      </c>
      <c r="I503" s="54" t="s">
        <v>7</v>
      </c>
      <c r="J503" s="75">
        <v>250.0</v>
      </c>
      <c r="K503" s="76">
        <v>435.0</v>
      </c>
      <c r="L503" s="57">
        <v>4750.0</v>
      </c>
      <c r="M503" s="58">
        <v>4095.0</v>
      </c>
      <c r="N503" s="33">
        <f t="shared" si="13"/>
        <v>108750</v>
      </c>
      <c r="O503" s="59">
        <v>20445.0</v>
      </c>
      <c r="P503" s="34">
        <f t="shared" si="14"/>
        <v>47</v>
      </c>
      <c r="Q503" s="60"/>
      <c r="R503" s="36">
        <f t="shared" si="99"/>
        <v>4095</v>
      </c>
      <c r="S503" s="61">
        <v>3792.0</v>
      </c>
      <c r="T503" s="37">
        <f t="shared" si="100"/>
        <v>7887</v>
      </c>
      <c r="U503" s="62">
        <v>1.0</v>
      </c>
      <c r="V503" s="63"/>
      <c r="W503" s="63"/>
      <c r="X503" s="35">
        <f t="shared" si="111"/>
        <v>0.1875</v>
      </c>
      <c r="Y503" s="35">
        <f t="shared" si="112"/>
        <v>0.0625</v>
      </c>
      <c r="Z503" s="40">
        <f t="shared" si="107"/>
        <v>5915.25</v>
      </c>
      <c r="AA503" s="34">
        <f t="shared" si="108"/>
        <v>1478.8125</v>
      </c>
      <c r="AB503" s="41">
        <f t="shared" si="109"/>
        <v>492.9375</v>
      </c>
      <c r="AC503" s="42" t="b">
        <v>1</v>
      </c>
      <c r="AD503" s="42" t="s">
        <v>138</v>
      </c>
      <c r="AE503" s="42" t="s">
        <v>138</v>
      </c>
      <c r="AF503" s="42" t="s">
        <v>178</v>
      </c>
      <c r="AG503" s="43" t="s">
        <v>179</v>
      </c>
    </row>
    <row r="504" hidden="1">
      <c r="A504" s="23" t="str">
        <f t="array" ref="A504">if(G504='Room Info'!$B$1, INDEX('Room Info'!$A$2:$A3446, MATCH(B504,'Room Info'!$B$2:$B3446, 0)),if(G504='Room Info'!$C$1, INDEX('Room Info'!$A$2:$A3446, MATCH(B504,'Room Info'!$C$2:$C3446, 0)),if(G504='Room Info'!$D$1, INDEX('Room Info'!$A$2:$A3446, MATCH(B504,'Room Info'!$D$2:$D3446, 0)),if(G504='Room Info'!$E$1, INDEX('Room Info'!$A$2:$A3446, MATCH(B504,'Room Info'!$E$2:$E3446, 0)),if(G504='Room Info'!$F$1, INDEX('Room Info'!$A$2:$A3446, MATCH(B504,'Room Info'!$F$2:$F3446, 0)),if(G504='Room Info'!$H$1, INDEX('Room Info'!$A$2:$A3446, MATCH(B504,'Room Info'!$H$2:$H3446, 0)),if(G504='Room Info'!$G$1, INDEX('Room Info'!$A$2:$A3446, MATCH(B504,'Room Info'!$G$2:$G3446, 0)))))))))</f>
        <v>benyya</v>
      </c>
      <c r="B504" s="50" t="s">
        <v>177</v>
      </c>
      <c r="C504" s="51">
        <v>44713.0</v>
      </c>
      <c r="D504" s="51">
        <v>44742.0</v>
      </c>
      <c r="E504" s="52">
        <v>44713.0</v>
      </c>
      <c r="F504" s="53" t="s">
        <v>12</v>
      </c>
      <c r="G504" s="50" t="s">
        <v>5</v>
      </c>
      <c r="H504" s="54" t="s">
        <v>96</v>
      </c>
      <c r="I504" s="54" t="s">
        <v>7</v>
      </c>
      <c r="J504" s="75">
        <v>250.0</v>
      </c>
      <c r="K504" s="76">
        <v>0.0</v>
      </c>
      <c r="L504" s="57">
        <v>0.0</v>
      </c>
      <c r="M504" s="67"/>
      <c r="N504" s="33">
        <f t="shared" si="13"/>
        <v>0</v>
      </c>
      <c r="O504" s="59">
        <v>0.0</v>
      </c>
      <c r="P504" s="34" t="str">
        <f t="shared" si="14"/>
        <v/>
      </c>
      <c r="Q504" s="60"/>
      <c r="R504" s="36">
        <f t="shared" si="99"/>
        <v>0</v>
      </c>
      <c r="S504" s="71"/>
      <c r="T504" s="37">
        <f t="shared" si="100"/>
        <v>0</v>
      </c>
      <c r="U504" s="62">
        <v>1.0</v>
      </c>
      <c r="V504" s="63"/>
      <c r="W504" s="63"/>
      <c r="X504" s="35">
        <f t="shared" si="111"/>
        <v>0.1875</v>
      </c>
      <c r="Y504" s="35">
        <f t="shared" si="112"/>
        <v>0.0625</v>
      </c>
      <c r="Z504" s="40">
        <f t="shared" si="107"/>
        <v>0</v>
      </c>
      <c r="AA504" s="34">
        <f t="shared" si="108"/>
        <v>0</v>
      </c>
      <c r="AB504" s="41">
        <f t="shared" si="109"/>
        <v>0</v>
      </c>
      <c r="AC504" s="42" t="b">
        <v>1</v>
      </c>
      <c r="AD504" s="42" t="s">
        <v>138</v>
      </c>
      <c r="AE504" s="42" t="s">
        <v>138</v>
      </c>
      <c r="AF504" s="42" t="s">
        <v>178</v>
      </c>
      <c r="AG504" s="43" t="s">
        <v>179</v>
      </c>
    </row>
    <row r="505" hidden="1">
      <c r="A505" s="23" t="str">
        <f t="array" ref="A505">if(G505='Room Info'!$B$1, INDEX('Room Info'!$A$2:$A3446, MATCH(B505,'Room Info'!$B$2:$B3446, 0)),if(G505='Room Info'!$C$1, INDEX('Room Info'!$A$2:$A3446, MATCH(B505,'Room Info'!$C$2:$C3446, 0)),if(G505='Room Info'!$D$1, INDEX('Room Info'!$A$2:$A3446, MATCH(B505,'Room Info'!$D$2:$D3446, 0)),if(G505='Room Info'!$E$1, INDEX('Room Info'!$A$2:$A3446, MATCH(B505,'Room Info'!$E$2:$E3446, 0)),if(G505='Room Info'!$F$1, INDEX('Room Info'!$A$2:$A3446, MATCH(B505,'Room Info'!$F$2:$F3446, 0)),if(G505='Room Info'!$H$1, INDEX('Room Info'!$A$2:$A3446, MATCH(B505,'Room Info'!$H$2:$H3446, 0)),if(G505='Room Info'!$G$1, INDEX('Room Info'!$A$2:$A3446, MATCH(B505,'Room Info'!$G$2:$G3446, 0)))))))))</f>
        <v>benyya</v>
      </c>
      <c r="B505" s="50" t="s">
        <v>177</v>
      </c>
      <c r="C505" s="51">
        <v>44743.0</v>
      </c>
      <c r="D505" s="51">
        <v>44773.0</v>
      </c>
      <c r="E505" s="52">
        <v>44743.0</v>
      </c>
      <c r="F505" s="53" t="s">
        <v>8</v>
      </c>
      <c r="G505" s="50" t="s">
        <v>5</v>
      </c>
      <c r="H505" s="54" t="s">
        <v>85</v>
      </c>
      <c r="I505" s="54" t="s">
        <v>7</v>
      </c>
      <c r="J505" s="75">
        <v>100.0</v>
      </c>
      <c r="K505" s="76">
        <v>119.0</v>
      </c>
      <c r="L505" s="57">
        <v>-800.0</v>
      </c>
      <c r="M505" s="58">
        <v>442.0</v>
      </c>
      <c r="N505" s="33">
        <f t="shared" si="13"/>
        <v>11900</v>
      </c>
      <c r="O505" s="59">
        <v>220.0</v>
      </c>
      <c r="P505" s="34">
        <f t="shared" si="14"/>
        <v>1.848739496</v>
      </c>
      <c r="Q505" s="60"/>
      <c r="R505" s="36">
        <f t="shared" si="99"/>
        <v>442</v>
      </c>
      <c r="S505" s="61">
        <v>-578.0</v>
      </c>
      <c r="T505" s="37">
        <f t="shared" si="100"/>
        <v>-136</v>
      </c>
      <c r="U505" s="62">
        <v>1.0</v>
      </c>
      <c r="V505" s="63"/>
      <c r="W505" s="63"/>
      <c r="X505" s="35">
        <f t="shared" si="111"/>
        <v>0.1875</v>
      </c>
      <c r="Y505" s="35">
        <f t="shared" si="112"/>
        <v>0.0625</v>
      </c>
      <c r="Z505" s="40">
        <f t="shared" si="107"/>
        <v>-102</v>
      </c>
      <c r="AA505" s="34">
        <f t="shared" si="108"/>
        <v>-25.5</v>
      </c>
      <c r="AB505" s="41">
        <f t="shared" si="109"/>
        <v>-8.5</v>
      </c>
      <c r="AC505" s="42" t="b">
        <v>1</v>
      </c>
      <c r="AD505" s="42" t="s">
        <v>138</v>
      </c>
      <c r="AE505" s="42" t="s">
        <v>138</v>
      </c>
      <c r="AF505" s="42" t="s">
        <v>178</v>
      </c>
      <c r="AG505" s="43" t="s">
        <v>179</v>
      </c>
    </row>
    <row r="506" hidden="1">
      <c r="A506" s="23" t="str">
        <f t="array" ref="A506">if(G506='Room Info'!$B$1, INDEX('Room Info'!$A$2:$A3446, MATCH(B506,'Room Info'!$B$2:$B3446, 0)),if(G506='Room Info'!$C$1, INDEX('Room Info'!$A$2:$A3446, MATCH(B506,'Room Info'!$C$2:$C3446, 0)),if(G506='Room Info'!$D$1, INDEX('Room Info'!$A$2:$A3446, MATCH(B506,'Room Info'!$D$2:$D3446, 0)),if(G506='Room Info'!$E$1, INDEX('Room Info'!$A$2:$A3446, MATCH(B506,'Room Info'!$E$2:$E3446, 0)),if(G506='Room Info'!$F$1, INDEX('Room Info'!$A$2:$A3446, MATCH(B506,'Room Info'!$F$2:$F3446, 0)),if(G506='Room Info'!$H$1, INDEX('Room Info'!$A$2:$A3446, MATCH(B506,'Room Info'!$H$2:$H3446, 0)),if(G506='Room Info'!$G$1, INDEX('Room Info'!$A$2:$A3446, MATCH(B506,'Room Info'!$G$2:$G3446, 0)))))))))</f>
        <v>benyya</v>
      </c>
      <c r="B506" s="50" t="s">
        <v>177</v>
      </c>
      <c r="C506" s="51">
        <v>44743.0</v>
      </c>
      <c r="D506" s="51">
        <v>44773.0</v>
      </c>
      <c r="E506" s="52">
        <v>44743.0</v>
      </c>
      <c r="F506" s="53" t="s">
        <v>8</v>
      </c>
      <c r="G506" s="59" t="s">
        <v>5</v>
      </c>
      <c r="H506" s="54" t="s">
        <v>86</v>
      </c>
      <c r="I506" s="54" t="s">
        <v>11</v>
      </c>
      <c r="J506" s="55">
        <v>100.0</v>
      </c>
      <c r="K506" s="56">
        <v>4229.0</v>
      </c>
      <c r="L506" s="57">
        <v>-15300.0</v>
      </c>
      <c r="M506" s="58">
        <v>15716.0</v>
      </c>
      <c r="N506" s="33">
        <f t="shared" si="13"/>
        <v>422900</v>
      </c>
      <c r="O506" s="59">
        <v>44264.0</v>
      </c>
      <c r="P506" s="34">
        <f t="shared" si="14"/>
        <v>10.46677702</v>
      </c>
      <c r="Q506" s="60"/>
      <c r="R506" s="36">
        <f t="shared" si="99"/>
        <v>15716</v>
      </c>
      <c r="S506" s="61">
        <v>-8156.0</v>
      </c>
      <c r="T506" s="37">
        <f t="shared" si="100"/>
        <v>7560</v>
      </c>
      <c r="U506" s="62">
        <v>1.0</v>
      </c>
      <c r="V506" s="63"/>
      <c r="W506" s="63"/>
      <c r="X506" s="35">
        <f t="shared" si="111"/>
        <v>0.1875</v>
      </c>
      <c r="Y506" s="35">
        <f t="shared" si="112"/>
        <v>0.0625</v>
      </c>
      <c r="Z506" s="40">
        <f t="shared" si="107"/>
        <v>5670</v>
      </c>
      <c r="AA506" s="34">
        <f t="shared" si="108"/>
        <v>1417.5</v>
      </c>
      <c r="AB506" s="41">
        <f t="shared" si="109"/>
        <v>472.5</v>
      </c>
      <c r="AC506" s="42" t="b">
        <v>1</v>
      </c>
      <c r="AD506" s="42" t="s">
        <v>138</v>
      </c>
      <c r="AE506" s="42" t="s">
        <v>138</v>
      </c>
      <c r="AF506" s="42" t="s">
        <v>178</v>
      </c>
      <c r="AG506" s="43" t="s">
        <v>179</v>
      </c>
    </row>
    <row r="507" hidden="1">
      <c r="A507" s="23" t="str">
        <f t="array" ref="A507">if(G507='Room Info'!$B$1, INDEX('Room Info'!$A$2:$A3446, MATCH(B507,'Room Info'!$B$2:$B3446, 0)),if(G507='Room Info'!$C$1, INDEX('Room Info'!$A$2:$A3446, MATCH(B507,'Room Info'!$C$2:$C3446, 0)),if(G507='Room Info'!$D$1, INDEX('Room Info'!$A$2:$A3446, MATCH(B507,'Room Info'!$D$2:$D3446, 0)),if(G507='Room Info'!$E$1, INDEX('Room Info'!$A$2:$A3446, MATCH(B507,'Room Info'!$E$2:$E3446, 0)),if(G507='Room Info'!$F$1, INDEX('Room Info'!$A$2:$A3446, MATCH(B507,'Room Info'!$F$2:$F3446, 0)),if(G507='Room Info'!$H$1, INDEX('Room Info'!$A$2:$A3446, MATCH(B507,'Room Info'!$H$2:$H3446, 0)),if(G507='Room Info'!$G$1, INDEX('Room Info'!$A$2:$A3446, MATCH(B507,'Room Info'!$G$2:$G3446, 0)))))))))</f>
        <v>benyya</v>
      </c>
      <c r="B507" s="50" t="s">
        <v>177</v>
      </c>
      <c r="C507" s="51">
        <v>44743.0</v>
      </c>
      <c r="D507" s="51">
        <v>44773.0</v>
      </c>
      <c r="E507" s="52">
        <v>44743.0</v>
      </c>
      <c r="F507" s="53" t="s">
        <v>8</v>
      </c>
      <c r="G507" s="59" t="s">
        <v>5</v>
      </c>
      <c r="H507" s="54" t="s">
        <v>96</v>
      </c>
      <c r="I507" s="54" t="s">
        <v>7</v>
      </c>
      <c r="J507" s="55">
        <v>250.0</v>
      </c>
      <c r="K507" s="56">
        <v>938.0</v>
      </c>
      <c r="L507" s="57">
        <v>-8750.0</v>
      </c>
      <c r="M507" s="58">
        <v>8715.0</v>
      </c>
      <c r="N507" s="33">
        <f t="shared" si="13"/>
        <v>234500</v>
      </c>
      <c r="O507" s="59">
        <v>18783.0</v>
      </c>
      <c r="P507" s="34">
        <f t="shared" si="14"/>
        <v>20.02452026</v>
      </c>
      <c r="Q507" s="60"/>
      <c r="R507" s="36">
        <f t="shared" si="99"/>
        <v>8715</v>
      </c>
      <c r="S507" s="61">
        <v>-2800.0</v>
      </c>
      <c r="T507" s="37">
        <f t="shared" si="100"/>
        <v>5915</v>
      </c>
      <c r="U507" s="62">
        <v>1.0</v>
      </c>
      <c r="V507" s="63"/>
      <c r="W507" s="63"/>
      <c r="X507" s="35">
        <f t="shared" si="111"/>
        <v>0.1875</v>
      </c>
      <c r="Y507" s="35">
        <f t="shared" si="112"/>
        <v>0.0625</v>
      </c>
      <c r="Z507" s="40">
        <f t="shared" si="107"/>
        <v>4436.25</v>
      </c>
      <c r="AA507" s="34">
        <f t="shared" si="108"/>
        <v>1109.0625</v>
      </c>
      <c r="AB507" s="41">
        <f t="shared" si="109"/>
        <v>369.6875</v>
      </c>
      <c r="AC507" s="42" t="b">
        <v>1</v>
      </c>
      <c r="AD507" s="42" t="s">
        <v>138</v>
      </c>
      <c r="AE507" s="42" t="s">
        <v>138</v>
      </c>
      <c r="AF507" s="42" t="s">
        <v>178</v>
      </c>
      <c r="AG507" s="43" t="s">
        <v>179</v>
      </c>
    </row>
    <row r="508" hidden="1">
      <c r="A508" s="23" t="str">
        <f t="array" ref="A508">if(G508='Room Info'!$B$1, INDEX('Room Info'!$A$2:$A3446, MATCH(B508,'Room Info'!$B$2:$B3446, 0)),if(G508='Room Info'!$C$1, INDEX('Room Info'!$A$2:$A3446, MATCH(B508,'Room Info'!$C$2:$C3446, 0)),if(G508='Room Info'!$D$1, INDEX('Room Info'!$A$2:$A3446, MATCH(B508,'Room Info'!$D$2:$D3446, 0)),if(G508='Room Info'!$E$1, INDEX('Room Info'!$A$2:$A3446, MATCH(B508,'Room Info'!$E$2:$E3446, 0)),if(G508='Room Info'!$F$1, INDEX('Room Info'!$A$2:$A3446, MATCH(B508,'Room Info'!$F$2:$F3446, 0)),if(G508='Room Info'!$H$1, INDEX('Room Info'!$A$2:$A3446, MATCH(B508,'Room Info'!$H$2:$H3446, 0)),if(G508='Room Info'!$G$1, INDEX('Room Info'!$A$2:$A3446, MATCH(B508,'Room Info'!$G$2:$G3446, 0)))))))))</f>
        <v>benyya</v>
      </c>
      <c r="B508" s="50" t="s">
        <v>177</v>
      </c>
      <c r="C508" s="51">
        <v>44743.0</v>
      </c>
      <c r="D508" s="51">
        <v>44773.0</v>
      </c>
      <c r="E508" s="52">
        <v>44743.0</v>
      </c>
      <c r="F508" s="53" t="s">
        <v>8</v>
      </c>
      <c r="G508" s="50" t="s">
        <v>5</v>
      </c>
      <c r="H508" s="54" t="s">
        <v>97</v>
      </c>
      <c r="I508" s="54" t="s">
        <v>11</v>
      </c>
      <c r="J508" s="75">
        <v>250.0</v>
      </c>
      <c r="K508" s="76">
        <v>837.0</v>
      </c>
      <c r="L508" s="77">
        <v>-26750.0</v>
      </c>
      <c r="M508" s="58">
        <v>7776.0</v>
      </c>
      <c r="N508" s="33">
        <f t="shared" si="13"/>
        <v>209250</v>
      </c>
      <c r="O508" s="50">
        <v>5659.0</v>
      </c>
      <c r="P508" s="34">
        <f t="shared" si="14"/>
        <v>6.761051374</v>
      </c>
      <c r="Q508" s="60"/>
      <c r="R508" s="36">
        <f t="shared" si="99"/>
        <v>7776</v>
      </c>
      <c r="S508" s="78">
        <v>-5948.0</v>
      </c>
      <c r="T508" s="37">
        <f t="shared" si="100"/>
        <v>1828</v>
      </c>
      <c r="U508" s="62">
        <v>1.0</v>
      </c>
      <c r="V508" s="63"/>
      <c r="W508" s="63"/>
      <c r="X508" s="35">
        <f t="shared" si="111"/>
        <v>0.1875</v>
      </c>
      <c r="Y508" s="35">
        <f t="shared" si="112"/>
        <v>0.0625</v>
      </c>
      <c r="Z508" s="40">
        <f t="shared" si="107"/>
        <v>1371</v>
      </c>
      <c r="AA508" s="34">
        <f t="shared" si="108"/>
        <v>342.75</v>
      </c>
      <c r="AB508" s="41">
        <f t="shared" si="109"/>
        <v>114.25</v>
      </c>
      <c r="AC508" s="42" t="b">
        <v>1</v>
      </c>
      <c r="AD508" s="42" t="s">
        <v>138</v>
      </c>
      <c r="AE508" s="42" t="s">
        <v>138</v>
      </c>
      <c r="AF508" s="42" t="s">
        <v>178</v>
      </c>
      <c r="AG508" s="43" t="s">
        <v>179</v>
      </c>
    </row>
    <row r="509" hidden="1">
      <c r="A509" s="23" t="str">
        <f t="array" ref="A509">if(G509='Room Info'!$B$1, INDEX('Room Info'!$A$2:$A3446, MATCH(B509,'Room Info'!$B$2:$B3446, 0)),if(G509='Room Info'!$C$1, INDEX('Room Info'!$A$2:$A3446, MATCH(B509,'Room Info'!$C$2:$C3446, 0)),if(G509='Room Info'!$D$1, INDEX('Room Info'!$A$2:$A3446, MATCH(B509,'Room Info'!$D$2:$D3446, 0)),if(G509='Room Info'!$E$1, INDEX('Room Info'!$A$2:$A3446, MATCH(B509,'Room Info'!$E$2:$E3446, 0)),if(G509='Room Info'!$F$1, INDEX('Room Info'!$A$2:$A3446, MATCH(B509,'Room Info'!$F$2:$F3446, 0)),if(G509='Room Info'!$H$1, INDEX('Room Info'!$A$2:$A3446, MATCH(B509,'Room Info'!$H$2:$H3446, 0)),if(G509='Room Info'!$G$1, INDEX('Room Info'!$A$2:$A3446, MATCH(B509,'Room Info'!$G$2:$G3446, 0)))))))))</f>
        <v>benyya</v>
      </c>
      <c r="B509" s="50" t="s">
        <v>177</v>
      </c>
      <c r="C509" s="51">
        <v>44774.0</v>
      </c>
      <c r="D509" s="51">
        <v>44804.0</v>
      </c>
      <c r="E509" s="52">
        <v>44774.0</v>
      </c>
      <c r="F509" s="53" t="s">
        <v>8</v>
      </c>
      <c r="G509" s="50" t="s">
        <v>5</v>
      </c>
      <c r="H509" s="54" t="s">
        <v>75</v>
      </c>
      <c r="I509" s="54" t="s">
        <v>11</v>
      </c>
      <c r="J509" s="75">
        <v>50.0</v>
      </c>
      <c r="K509" s="76">
        <v>1.0</v>
      </c>
      <c r="L509" s="77">
        <v>-50.0</v>
      </c>
      <c r="M509" s="58">
        <v>2.0</v>
      </c>
      <c r="N509" s="33">
        <f t="shared" si="13"/>
        <v>50</v>
      </c>
      <c r="O509" s="50">
        <v>27.0</v>
      </c>
      <c r="P509" s="34">
        <f t="shared" si="14"/>
        <v>27</v>
      </c>
      <c r="Q509" s="60"/>
      <c r="R509" s="36">
        <f t="shared" si="99"/>
        <v>2</v>
      </c>
      <c r="S509" s="78">
        <v>1.0</v>
      </c>
      <c r="T509" s="37">
        <f t="shared" si="100"/>
        <v>3</v>
      </c>
      <c r="U509" s="62">
        <v>1.0</v>
      </c>
      <c r="V509" s="63"/>
      <c r="W509" s="63"/>
      <c r="X509" s="35">
        <f t="shared" si="111"/>
        <v>0.1875</v>
      </c>
      <c r="Y509" s="35">
        <f t="shared" si="112"/>
        <v>0.0625</v>
      </c>
      <c r="Z509" s="40">
        <f t="shared" si="107"/>
        <v>2.25</v>
      </c>
      <c r="AA509" s="34">
        <f t="shared" si="108"/>
        <v>0.5625</v>
      </c>
      <c r="AB509" s="41">
        <f t="shared" si="109"/>
        <v>0.1875</v>
      </c>
      <c r="AC509" s="42" t="b">
        <v>1</v>
      </c>
      <c r="AD509" s="42" t="s">
        <v>138</v>
      </c>
      <c r="AE509" s="42" t="s">
        <v>138</v>
      </c>
      <c r="AF509" s="42" t="s">
        <v>178</v>
      </c>
      <c r="AG509" s="43" t="s">
        <v>179</v>
      </c>
    </row>
    <row r="510" hidden="1">
      <c r="A510" s="23" t="str">
        <f t="array" ref="A510">if(G510='Room Info'!$B$1, INDEX('Room Info'!$A$2:$A3446, MATCH(B510,'Room Info'!$B$2:$B3446, 0)),if(G510='Room Info'!$C$1, INDEX('Room Info'!$A$2:$A3446, MATCH(B510,'Room Info'!$C$2:$C3446, 0)),if(G510='Room Info'!$D$1, INDEX('Room Info'!$A$2:$A3446, MATCH(B510,'Room Info'!$D$2:$D3446, 0)),if(G510='Room Info'!$E$1, INDEX('Room Info'!$A$2:$A3446, MATCH(B510,'Room Info'!$E$2:$E3446, 0)),if(G510='Room Info'!$F$1, INDEX('Room Info'!$A$2:$A3446, MATCH(B510,'Room Info'!$F$2:$F3446, 0)),if(G510='Room Info'!$H$1, INDEX('Room Info'!$A$2:$A3446, MATCH(B510,'Room Info'!$H$2:$H3446, 0)),if(G510='Room Info'!$G$1, INDEX('Room Info'!$A$2:$A3446, MATCH(B510,'Room Info'!$G$2:$G3446, 0)))))))))</f>
        <v>benyya</v>
      </c>
      <c r="B510" s="50" t="s">
        <v>177</v>
      </c>
      <c r="C510" s="51">
        <v>44774.0</v>
      </c>
      <c r="D510" s="51">
        <v>44804.0</v>
      </c>
      <c r="E510" s="52">
        <v>44774.0</v>
      </c>
      <c r="F510" s="53" t="s">
        <v>8</v>
      </c>
      <c r="G510" s="50" t="s">
        <v>5</v>
      </c>
      <c r="H510" s="54" t="s">
        <v>85</v>
      </c>
      <c r="I510" s="54" t="s">
        <v>7</v>
      </c>
      <c r="J510" s="55">
        <v>100.0</v>
      </c>
      <c r="K510" s="56">
        <v>106.0</v>
      </c>
      <c r="L510" s="57">
        <v>900.0</v>
      </c>
      <c r="M510" s="58">
        <v>409.0</v>
      </c>
      <c r="N510" s="33">
        <f t="shared" si="13"/>
        <v>10600</v>
      </c>
      <c r="O510" s="59">
        <v>2047.0</v>
      </c>
      <c r="P510" s="34">
        <f t="shared" si="14"/>
        <v>19.31132075</v>
      </c>
      <c r="Q510" s="60"/>
      <c r="R510" s="36">
        <f t="shared" si="99"/>
        <v>409</v>
      </c>
      <c r="S510" s="61">
        <v>-196.0</v>
      </c>
      <c r="T510" s="37">
        <f t="shared" si="100"/>
        <v>213</v>
      </c>
      <c r="U510" s="62">
        <v>1.0</v>
      </c>
      <c r="V510" s="63"/>
      <c r="W510" s="63"/>
      <c r="X510" s="35">
        <f t="shared" si="111"/>
        <v>0.1875</v>
      </c>
      <c r="Y510" s="35">
        <f t="shared" si="112"/>
        <v>0.0625</v>
      </c>
      <c r="Z510" s="40">
        <f t="shared" si="107"/>
        <v>159.75</v>
      </c>
      <c r="AA510" s="34">
        <f t="shared" si="108"/>
        <v>39.9375</v>
      </c>
      <c r="AB510" s="41">
        <f t="shared" si="109"/>
        <v>13.3125</v>
      </c>
      <c r="AC510" s="42" t="b">
        <v>1</v>
      </c>
      <c r="AD510" s="42" t="s">
        <v>138</v>
      </c>
      <c r="AE510" s="42" t="s">
        <v>138</v>
      </c>
      <c r="AF510" s="42" t="s">
        <v>178</v>
      </c>
      <c r="AG510" s="43" t="s">
        <v>179</v>
      </c>
    </row>
    <row r="511" hidden="1">
      <c r="A511" s="23" t="str">
        <f t="array" ref="A511">if(G511='Room Info'!$B$1, INDEX('Room Info'!$A$2:$A3446, MATCH(B511,'Room Info'!$B$2:$B3446, 0)),if(G511='Room Info'!$C$1, INDEX('Room Info'!$A$2:$A3446, MATCH(B511,'Room Info'!$C$2:$C3446, 0)),if(G511='Room Info'!$D$1, INDEX('Room Info'!$A$2:$A3446, MATCH(B511,'Room Info'!$D$2:$D3446, 0)),if(G511='Room Info'!$E$1, INDEX('Room Info'!$A$2:$A3446, MATCH(B511,'Room Info'!$E$2:$E3446, 0)),if(G511='Room Info'!$F$1, INDEX('Room Info'!$A$2:$A3446, MATCH(B511,'Room Info'!$F$2:$F3446, 0)),if(G511='Room Info'!$H$1, INDEX('Room Info'!$A$2:$A3446, MATCH(B511,'Room Info'!$H$2:$H3446, 0)),if(G511='Room Info'!$G$1, INDEX('Room Info'!$A$2:$A3446, MATCH(B511,'Room Info'!$G$2:$G3446, 0)))))))))</f>
        <v>benyya</v>
      </c>
      <c r="B511" s="50" t="s">
        <v>177</v>
      </c>
      <c r="C511" s="51">
        <v>44774.0</v>
      </c>
      <c r="D511" s="51">
        <v>44804.0</v>
      </c>
      <c r="E511" s="52">
        <v>44774.0</v>
      </c>
      <c r="F511" s="53" t="s">
        <v>8</v>
      </c>
      <c r="G511" s="50" t="s">
        <v>5</v>
      </c>
      <c r="H511" s="54" t="s">
        <v>86</v>
      </c>
      <c r="I511" s="54" t="s">
        <v>11</v>
      </c>
      <c r="J511" s="55">
        <v>100.0</v>
      </c>
      <c r="K511" s="56">
        <v>2365.0</v>
      </c>
      <c r="L511" s="57">
        <v>29700.0</v>
      </c>
      <c r="M511" s="58">
        <v>9147.0</v>
      </c>
      <c r="N511" s="33">
        <f t="shared" si="13"/>
        <v>236500</v>
      </c>
      <c r="O511" s="59">
        <v>14527.0</v>
      </c>
      <c r="P511" s="34">
        <f t="shared" si="14"/>
        <v>6.142494715</v>
      </c>
      <c r="Q511" s="60"/>
      <c r="R511" s="36">
        <f t="shared" si="99"/>
        <v>9147</v>
      </c>
      <c r="S511" s="61">
        <v>-8391.0</v>
      </c>
      <c r="T511" s="37">
        <f t="shared" si="100"/>
        <v>756</v>
      </c>
      <c r="U511" s="62">
        <v>1.0</v>
      </c>
      <c r="V511" s="63"/>
      <c r="W511" s="63"/>
      <c r="X511" s="35">
        <f t="shared" si="111"/>
        <v>0.1875</v>
      </c>
      <c r="Y511" s="35">
        <f t="shared" si="112"/>
        <v>0.0625</v>
      </c>
      <c r="Z511" s="40">
        <f t="shared" si="107"/>
        <v>567</v>
      </c>
      <c r="AA511" s="34">
        <f t="shared" si="108"/>
        <v>141.75</v>
      </c>
      <c r="AB511" s="41">
        <f t="shared" si="109"/>
        <v>47.25</v>
      </c>
      <c r="AC511" s="42" t="b">
        <v>1</v>
      </c>
      <c r="AD511" s="42" t="s">
        <v>138</v>
      </c>
      <c r="AE511" s="42" t="s">
        <v>138</v>
      </c>
      <c r="AF511" s="42" t="s">
        <v>178</v>
      </c>
      <c r="AG511" s="43" t="s">
        <v>179</v>
      </c>
    </row>
    <row r="512" hidden="1">
      <c r="A512" s="23" t="str">
        <f t="array" ref="A512">if(G512='Room Info'!$B$1, INDEX('Room Info'!$A$2:$A3446, MATCH(B512,'Room Info'!$B$2:$B3446, 0)),if(G512='Room Info'!$C$1, INDEX('Room Info'!$A$2:$A3446, MATCH(B512,'Room Info'!$C$2:$C3446, 0)),if(G512='Room Info'!$D$1, INDEX('Room Info'!$A$2:$A3446, MATCH(B512,'Room Info'!$D$2:$D3446, 0)),if(G512='Room Info'!$E$1, INDEX('Room Info'!$A$2:$A3446, MATCH(B512,'Room Info'!$E$2:$E3446, 0)),if(G512='Room Info'!$F$1, INDEX('Room Info'!$A$2:$A3446, MATCH(B512,'Room Info'!$F$2:$F3446, 0)),if(G512='Room Info'!$H$1, INDEX('Room Info'!$A$2:$A3446, MATCH(B512,'Room Info'!$H$2:$H3446, 0)),if(G512='Room Info'!$G$1, INDEX('Room Info'!$A$2:$A3446, MATCH(B512,'Room Info'!$G$2:$G3446, 0)))))))))</f>
        <v>benyya</v>
      </c>
      <c r="B512" s="50" t="s">
        <v>177</v>
      </c>
      <c r="C512" s="51">
        <v>44774.0</v>
      </c>
      <c r="D512" s="51">
        <v>44804.0</v>
      </c>
      <c r="E512" s="52">
        <v>44774.0</v>
      </c>
      <c r="F512" s="50" t="s">
        <v>8</v>
      </c>
      <c r="G512" s="59" t="s">
        <v>5</v>
      </c>
      <c r="H512" s="54" t="s">
        <v>96</v>
      </c>
      <c r="I512" s="54" t="s">
        <v>7</v>
      </c>
      <c r="J512" s="55">
        <v>250.0</v>
      </c>
      <c r="K512" s="56">
        <v>1242.0</v>
      </c>
      <c r="L512" s="57">
        <v>-7000.0</v>
      </c>
      <c r="M512" s="58">
        <v>11979.0</v>
      </c>
      <c r="N512" s="33">
        <f t="shared" si="13"/>
        <v>310500</v>
      </c>
      <c r="O512" s="59">
        <v>18013.0</v>
      </c>
      <c r="P512" s="34">
        <f t="shared" si="14"/>
        <v>14.50322061</v>
      </c>
      <c r="Q512" s="60"/>
      <c r="R512" s="36">
        <f t="shared" si="99"/>
        <v>11979</v>
      </c>
      <c r="S512" s="61">
        <v>-7738.0</v>
      </c>
      <c r="T512" s="37">
        <f t="shared" si="100"/>
        <v>4241</v>
      </c>
      <c r="U512" s="62">
        <v>1.0</v>
      </c>
      <c r="V512" s="63"/>
      <c r="W512" s="63"/>
      <c r="X512" s="35">
        <f t="shared" si="111"/>
        <v>0.1875</v>
      </c>
      <c r="Y512" s="35">
        <f t="shared" si="112"/>
        <v>0.0625</v>
      </c>
      <c r="Z512" s="40">
        <f t="shared" si="107"/>
        <v>3180.75</v>
      </c>
      <c r="AA512" s="34">
        <f t="shared" si="108"/>
        <v>795.1875</v>
      </c>
      <c r="AB512" s="41">
        <f t="shared" si="109"/>
        <v>265.0625</v>
      </c>
      <c r="AC512" s="42" t="b">
        <v>1</v>
      </c>
      <c r="AD512" s="42" t="s">
        <v>138</v>
      </c>
      <c r="AE512" s="42" t="s">
        <v>138</v>
      </c>
      <c r="AF512" s="42" t="s">
        <v>178</v>
      </c>
      <c r="AG512" s="43" t="s">
        <v>179</v>
      </c>
    </row>
    <row r="513" hidden="1">
      <c r="A513" s="23" t="str">
        <f t="array" ref="A513">if(G513='Room Info'!$B$1, INDEX('Room Info'!$A$2:$A3446, MATCH(B513,'Room Info'!$B$2:$B3446, 0)),if(G513='Room Info'!$C$1, INDEX('Room Info'!$A$2:$A3446, MATCH(B513,'Room Info'!$C$2:$C3446, 0)),if(G513='Room Info'!$D$1, INDEX('Room Info'!$A$2:$A3446, MATCH(B513,'Room Info'!$D$2:$D3446, 0)),if(G513='Room Info'!$E$1, INDEX('Room Info'!$A$2:$A3446, MATCH(B513,'Room Info'!$E$2:$E3446, 0)),if(G513='Room Info'!$F$1, INDEX('Room Info'!$A$2:$A3446, MATCH(B513,'Room Info'!$F$2:$F3446, 0)),if(G513='Room Info'!$H$1, INDEX('Room Info'!$A$2:$A3446, MATCH(B513,'Room Info'!$H$2:$H3446, 0)),if(G513='Room Info'!$G$1, INDEX('Room Info'!$A$2:$A3446, MATCH(B513,'Room Info'!$G$2:$G3446, 0)))))))))</f>
        <v>benyya</v>
      </c>
      <c r="B513" s="50" t="s">
        <v>177</v>
      </c>
      <c r="C513" s="51">
        <v>44774.0</v>
      </c>
      <c r="D513" s="51">
        <v>44804.0</v>
      </c>
      <c r="E513" s="52">
        <v>44774.0</v>
      </c>
      <c r="F513" s="53" t="s">
        <v>8</v>
      </c>
      <c r="G513" s="50" t="s">
        <v>5</v>
      </c>
      <c r="H513" s="54" t="s">
        <v>97</v>
      </c>
      <c r="I513" s="54" t="s">
        <v>11</v>
      </c>
      <c r="J513" s="75">
        <v>250.0</v>
      </c>
      <c r="K513" s="76">
        <v>797.0</v>
      </c>
      <c r="L513" s="77">
        <v>1750.0</v>
      </c>
      <c r="M513" s="58">
        <v>7687.0</v>
      </c>
      <c r="N513" s="33">
        <f t="shared" si="13"/>
        <v>199250</v>
      </c>
      <c r="O513" s="50">
        <v>18559.0</v>
      </c>
      <c r="P513" s="34">
        <f t="shared" si="14"/>
        <v>23.28607277</v>
      </c>
      <c r="Q513" s="60"/>
      <c r="R513" s="36">
        <f t="shared" si="99"/>
        <v>7687</v>
      </c>
      <c r="S513" s="78">
        <v>4117.0</v>
      </c>
      <c r="T513" s="37">
        <f t="shared" si="100"/>
        <v>11804</v>
      </c>
      <c r="U513" s="62">
        <v>1.0</v>
      </c>
      <c r="V513" s="63"/>
      <c r="W513" s="63"/>
      <c r="X513" s="35">
        <f t="shared" si="111"/>
        <v>0.1875</v>
      </c>
      <c r="Y513" s="35">
        <f t="shared" si="112"/>
        <v>0.0625</v>
      </c>
      <c r="Z513" s="40">
        <f t="shared" si="107"/>
        <v>8853</v>
      </c>
      <c r="AA513" s="34">
        <f t="shared" si="108"/>
        <v>2213.25</v>
      </c>
      <c r="AB513" s="41">
        <f t="shared" si="109"/>
        <v>737.75</v>
      </c>
      <c r="AC513" s="42" t="b">
        <v>1</v>
      </c>
      <c r="AD513" s="42" t="s">
        <v>138</v>
      </c>
      <c r="AE513" s="42" t="s">
        <v>138</v>
      </c>
      <c r="AF513" s="42" t="s">
        <v>178</v>
      </c>
      <c r="AG513" s="43" t="s">
        <v>179</v>
      </c>
    </row>
    <row r="514" hidden="1">
      <c r="A514" s="23" t="str">
        <f t="array" ref="A514">if(G514='Room Info'!$B$1, INDEX('Room Info'!$A$2:$A3446, MATCH(B514,'Room Info'!$B$2:$B3446, 0)),if(G514='Room Info'!$C$1, INDEX('Room Info'!$A$2:$A3446, MATCH(B514,'Room Info'!$C$2:$C3446, 0)),if(G514='Room Info'!$D$1, INDEX('Room Info'!$A$2:$A3446, MATCH(B514,'Room Info'!$D$2:$D3446, 0)),if(G514='Room Info'!$E$1, INDEX('Room Info'!$A$2:$A3446, MATCH(B514,'Room Info'!$E$2:$E3446, 0)),if(G514='Room Info'!$F$1, INDEX('Room Info'!$A$2:$A3446, MATCH(B514,'Room Info'!$F$2:$F3446, 0)),if(G514='Room Info'!$H$1, INDEX('Room Info'!$A$2:$A3446, MATCH(B514,'Room Info'!$H$2:$H3446, 0)),if(G514='Room Info'!$G$1, INDEX('Room Info'!$A$2:$A3446, MATCH(B514,'Room Info'!$G$2:$G3446, 0)))))))))</f>
        <v>benyya</v>
      </c>
      <c r="B514" s="50" t="s">
        <v>177</v>
      </c>
      <c r="C514" s="51">
        <v>44774.0</v>
      </c>
      <c r="D514" s="51">
        <v>44804.0</v>
      </c>
      <c r="E514" s="52">
        <v>44774.0</v>
      </c>
      <c r="F514" s="50" t="s">
        <v>8</v>
      </c>
      <c r="G514" s="50" t="s">
        <v>5</v>
      </c>
      <c r="H514" s="54" t="s">
        <v>101</v>
      </c>
      <c r="I514" s="54" t="s">
        <v>7</v>
      </c>
      <c r="J514" s="75">
        <v>500.0</v>
      </c>
      <c r="K514" s="76">
        <v>124.0</v>
      </c>
      <c r="L514" s="57">
        <v>5500.0</v>
      </c>
      <c r="M514" s="58">
        <v>2392.0</v>
      </c>
      <c r="N514" s="33">
        <f t="shared" si="13"/>
        <v>62000</v>
      </c>
      <c r="O514" s="59">
        <v>4597.0</v>
      </c>
      <c r="P514" s="34">
        <f t="shared" si="14"/>
        <v>37.07258065</v>
      </c>
      <c r="Q514" s="60"/>
      <c r="R514" s="36">
        <f t="shared" si="99"/>
        <v>2392</v>
      </c>
      <c r="S514" s="61">
        <v>1128.0</v>
      </c>
      <c r="T514" s="37">
        <f t="shared" si="100"/>
        <v>3520</v>
      </c>
      <c r="U514" s="62">
        <v>1.0</v>
      </c>
      <c r="V514" s="63"/>
      <c r="W514" s="63"/>
      <c r="X514" s="35">
        <f t="shared" si="111"/>
        <v>0.1875</v>
      </c>
      <c r="Y514" s="35">
        <f t="shared" si="112"/>
        <v>0.0625</v>
      </c>
      <c r="Z514" s="40">
        <f t="shared" si="107"/>
        <v>2640</v>
      </c>
      <c r="AA514" s="34">
        <f t="shared" si="108"/>
        <v>660</v>
      </c>
      <c r="AB514" s="41">
        <f t="shared" si="109"/>
        <v>220</v>
      </c>
      <c r="AC514" s="42" t="b">
        <v>1</v>
      </c>
      <c r="AD514" s="42" t="s">
        <v>138</v>
      </c>
      <c r="AE514" s="42" t="s">
        <v>138</v>
      </c>
      <c r="AF514" s="42" t="s">
        <v>178</v>
      </c>
      <c r="AG514" s="43" t="s">
        <v>179</v>
      </c>
    </row>
    <row r="515" hidden="1">
      <c r="A515" s="23" t="str">
        <f t="array" ref="A515">if(G515='Room Info'!$B$1, INDEX('Room Info'!$A$2:$A3446, MATCH(B515,'Room Info'!$B$2:$B3446, 0)),if(G515='Room Info'!$C$1, INDEX('Room Info'!$A$2:$A3446, MATCH(B515,'Room Info'!$C$2:$C3446, 0)),if(G515='Room Info'!$D$1, INDEX('Room Info'!$A$2:$A3446, MATCH(B515,'Room Info'!$D$2:$D3446, 0)),if(G515='Room Info'!$E$1, INDEX('Room Info'!$A$2:$A3446, MATCH(B515,'Room Info'!$E$2:$E3446, 0)),if(G515='Room Info'!$F$1, INDEX('Room Info'!$A$2:$A3446, MATCH(B515,'Room Info'!$F$2:$F3446, 0)),if(G515='Room Info'!$H$1, INDEX('Room Info'!$A$2:$A3446, MATCH(B515,'Room Info'!$H$2:$H3446, 0)),if(G515='Room Info'!$G$1, INDEX('Room Info'!$A$2:$A3446, MATCH(B515,'Room Info'!$G$2:$G3446, 0)))))))))</f>
        <v>benyya</v>
      </c>
      <c r="B515" s="50" t="s">
        <v>177</v>
      </c>
      <c r="C515" s="51">
        <v>44774.0</v>
      </c>
      <c r="D515" s="51">
        <v>44804.0</v>
      </c>
      <c r="E515" s="52">
        <v>44774.0</v>
      </c>
      <c r="F515" s="50" t="s">
        <v>8</v>
      </c>
      <c r="G515" s="59" t="s">
        <v>5</v>
      </c>
      <c r="H515" s="54" t="s">
        <v>102</v>
      </c>
      <c r="I515" s="54" t="s">
        <v>11</v>
      </c>
      <c r="J515" s="55">
        <v>500.0</v>
      </c>
      <c r="K515" s="56">
        <v>121.0</v>
      </c>
      <c r="L515" s="57">
        <v>-5500.0</v>
      </c>
      <c r="M515" s="58">
        <v>2334.0</v>
      </c>
      <c r="N515" s="33">
        <f t="shared" si="13"/>
        <v>60500</v>
      </c>
      <c r="O515" s="59">
        <v>1306.0</v>
      </c>
      <c r="P515" s="34">
        <f t="shared" si="14"/>
        <v>10.79338843</v>
      </c>
      <c r="Q515" s="60"/>
      <c r="R515" s="36">
        <f t="shared" si="99"/>
        <v>2334</v>
      </c>
      <c r="S515" s="61">
        <v>-1070.0</v>
      </c>
      <c r="T515" s="37">
        <f t="shared" si="100"/>
        <v>1264</v>
      </c>
      <c r="U515" s="62">
        <v>1.0</v>
      </c>
      <c r="V515" s="63"/>
      <c r="W515" s="63"/>
      <c r="X515" s="35">
        <f t="shared" si="111"/>
        <v>0.1875</v>
      </c>
      <c r="Y515" s="35">
        <f t="shared" si="112"/>
        <v>0.0625</v>
      </c>
      <c r="Z515" s="40">
        <f t="shared" si="107"/>
        <v>948</v>
      </c>
      <c r="AA515" s="34">
        <f t="shared" si="108"/>
        <v>237</v>
      </c>
      <c r="AB515" s="41">
        <f t="shared" si="109"/>
        <v>79</v>
      </c>
      <c r="AC515" s="42" t="b">
        <v>1</v>
      </c>
      <c r="AD515" s="42" t="s">
        <v>138</v>
      </c>
      <c r="AE515" s="42" t="s">
        <v>138</v>
      </c>
      <c r="AF515" s="42" t="s">
        <v>178</v>
      </c>
      <c r="AG515" s="43" t="s">
        <v>179</v>
      </c>
    </row>
    <row r="516" hidden="1">
      <c r="A516" s="23" t="str">
        <f t="array" ref="A516">if(G516='Room Info'!$B$1, INDEX('Room Info'!$A$2:$A3446, MATCH(B516,'Room Info'!$B$2:$B3446, 0)),if(G516='Room Info'!$C$1, INDEX('Room Info'!$A$2:$A3446, MATCH(B516,'Room Info'!$C$2:$C3446, 0)),if(G516='Room Info'!$D$1, INDEX('Room Info'!$A$2:$A3446, MATCH(B516,'Room Info'!$D$2:$D3446, 0)),if(G516='Room Info'!$E$1, INDEX('Room Info'!$A$2:$A3446, MATCH(B516,'Room Info'!$E$2:$E3446, 0)),if(G516='Room Info'!$F$1, INDEX('Room Info'!$A$2:$A3446, MATCH(B516,'Room Info'!$F$2:$F3446, 0)),if(G516='Room Info'!$H$1, INDEX('Room Info'!$A$2:$A3446, MATCH(B516,'Room Info'!$H$2:$H3446, 0)),if(G516='Room Info'!$G$1, INDEX('Room Info'!$A$2:$A3446, MATCH(B516,'Room Info'!$G$2:$G3446, 0)))))))))</f>
        <v>benyya</v>
      </c>
      <c r="B516" s="50" t="s">
        <v>177</v>
      </c>
      <c r="C516" s="51">
        <v>44805.0</v>
      </c>
      <c r="D516" s="51">
        <v>44834.0</v>
      </c>
      <c r="E516" s="52">
        <v>44805.0</v>
      </c>
      <c r="F516" s="50" t="s">
        <v>8</v>
      </c>
      <c r="G516" s="59" t="s">
        <v>5</v>
      </c>
      <c r="H516" s="54" t="s">
        <v>85</v>
      </c>
      <c r="I516" s="54" t="s">
        <v>7</v>
      </c>
      <c r="J516" s="55">
        <v>100.0</v>
      </c>
      <c r="K516" s="56">
        <v>296.0</v>
      </c>
      <c r="L516" s="57">
        <v>-600.0</v>
      </c>
      <c r="M516" s="58">
        <v>1034.0</v>
      </c>
      <c r="N516" s="33">
        <f t="shared" si="13"/>
        <v>29600</v>
      </c>
      <c r="O516" s="59">
        <v>3761.0</v>
      </c>
      <c r="P516" s="34">
        <f t="shared" si="14"/>
        <v>12.70608108</v>
      </c>
      <c r="Q516" s="60"/>
      <c r="R516" s="36">
        <f t="shared" si="99"/>
        <v>1034</v>
      </c>
      <c r="S516" s="61">
        <v>-732.0</v>
      </c>
      <c r="T516" s="37">
        <f t="shared" si="100"/>
        <v>302</v>
      </c>
      <c r="U516" s="62">
        <v>1.0</v>
      </c>
      <c r="V516" s="63"/>
      <c r="W516" s="63"/>
      <c r="X516" s="35">
        <f t="shared" si="111"/>
        <v>0.1875</v>
      </c>
      <c r="Y516" s="35">
        <f t="shared" si="112"/>
        <v>0.0625</v>
      </c>
      <c r="Z516" s="40">
        <f t="shared" si="107"/>
        <v>226.5</v>
      </c>
      <c r="AA516" s="34">
        <f t="shared" si="108"/>
        <v>56.625</v>
      </c>
      <c r="AB516" s="41">
        <f t="shared" si="109"/>
        <v>18.875</v>
      </c>
      <c r="AC516" s="42" t="b">
        <v>1</v>
      </c>
      <c r="AD516" s="42" t="s">
        <v>138</v>
      </c>
      <c r="AE516" s="42" t="s">
        <v>138</v>
      </c>
      <c r="AF516" s="42" t="s">
        <v>178</v>
      </c>
      <c r="AG516" s="43" t="s">
        <v>179</v>
      </c>
    </row>
    <row r="517" hidden="1">
      <c r="A517" s="23" t="str">
        <f t="array" ref="A517">if(G517='Room Info'!$B$1, INDEX('Room Info'!$A$2:$A3446, MATCH(B517,'Room Info'!$B$2:$B3446, 0)),if(G517='Room Info'!$C$1, INDEX('Room Info'!$A$2:$A3446, MATCH(B517,'Room Info'!$C$2:$C3446, 0)),if(G517='Room Info'!$D$1, INDEX('Room Info'!$A$2:$A3446, MATCH(B517,'Room Info'!$D$2:$D3446, 0)),if(G517='Room Info'!$E$1, INDEX('Room Info'!$A$2:$A3446, MATCH(B517,'Room Info'!$E$2:$E3446, 0)),if(G517='Room Info'!$F$1, INDEX('Room Info'!$A$2:$A3446, MATCH(B517,'Room Info'!$F$2:$F3446, 0)),if(G517='Room Info'!$H$1, INDEX('Room Info'!$A$2:$A3446, MATCH(B517,'Room Info'!$H$2:$H3446, 0)),if(G517='Room Info'!$G$1, INDEX('Room Info'!$A$2:$A3446, MATCH(B517,'Room Info'!$G$2:$G3446, 0)))))))))</f>
        <v>benyya</v>
      </c>
      <c r="B517" s="50" t="s">
        <v>177</v>
      </c>
      <c r="C517" s="51">
        <v>44805.0</v>
      </c>
      <c r="D517" s="51">
        <v>44834.0</v>
      </c>
      <c r="E517" s="52">
        <v>44805.0</v>
      </c>
      <c r="F517" s="53" t="s">
        <v>8</v>
      </c>
      <c r="G517" s="50" t="s">
        <v>5</v>
      </c>
      <c r="H517" s="54" t="s">
        <v>86</v>
      </c>
      <c r="I517" s="54" t="s">
        <v>11</v>
      </c>
      <c r="J517" s="55">
        <v>100.0</v>
      </c>
      <c r="K517" s="56">
        <v>4259.0</v>
      </c>
      <c r="L517" s="57">
        <v>18700.0</v>
      </c>
      <c r="M517" s="58">
        <v>14889.0</v>
      </c>
      <c r="N517" s="33">
        <f t="shared" si="13"/>
        <v>425900</v>
      </c>
      <c r="O517" s="59">
        <v>56823.0</v>
      </c>
      <c r="P517" s="34">
        <f t="shared" si="14"/>
        <v>13.34186429</v>
      </c>
      <c r="Q517" s="60"/>
      <c r="R517" s="36">
        <f t="shared" si="99"/>
        <v>14889</v>
      </c>
      <c r="S517" s="61">
        <v>-2898.0</v>
      </c>
      <c r="T517" s="37">
        <f t="shared" si="100"/>
        <v>11991</v>
      </c>
      <c r="U517" s="62">
        <v>1.0</v>
      </c>
      <c r="V517" s="63"/>
      <c r="W517" s="63"/>
      <c r="X517" s="35">
        <f t="shared" si="111"/>
        <v>0.1875</v>
      </c>
      <c r="Y517" s="35">
        <f t="shared" si="112"/>
        <v>0.0625</v>
      </c>
      <c r="Z517" s="40">
        <f t="shared" si="107"/>
        <v>8993.25</v>
      </c>
      <c r="AA517" s="34">
        <f t="shared" si="108"/>
        <v>2248.3125</v>
      </c>
      <c r="AB517" s="41">
        <f t="shared" si="109"/>
        <v>749.4375</v>
      </c>
      <c r="AC517" s="42" t="b">
        <v>1</v>
      </c>
      <c r="AD517" s="42" t="s">
        <v>138</v>
      </c>
      <c r="AE517" s="42" t="s">
        <v>138</v>
      </c>
      <c r="AF517" s="42" t="s">
        <v>178</v>
      </c>
      <c r="AG517" s="43" t="s">
        <v>179</v>
      </c>
    </row>
    <row r="518" hidden="1">
      <c r="A518" s="23" t="str">
        <f t="array" ref="A518">if(G518='Room Info'!$B$1, INDEX('Room Info'!$A$2:$A3446, MATCH(B518,'Room Info'!$B$2:$B3446, 0)),if(G518='Room Info'!$C$1, INDEX('Room Info'!$A$2:$A3446, MATCH(B518,'Room Info'!$C$2:$C3446, 0)),if(G518='Room Info'!$D$1, INDEX('Room Info'!$A$2:$A3446, MATCH(B518,'Room Info'!$D$2:$D3446, 0)),if(G518='Room Info'!$E$1, INDEX('Room Info'!$A$2:$A3446, MATCH(B518,'Room Info'!$E$2:$E3446, 0)),if(G518='Room Info'!$F$1, INDEX('Room Info'!$A$2:$A3446, MATCH(B518,'Room Info'!$F$2:$F3446, 0)),if(G518='Room Info'!$H$1, INDEX('Room Info'!$A$2:$A3446, MATCH(B518,'Room Info'!$H$2:$H3446, 0)),if(G518='Room Info'!$G$1, INDEX('Room Info'!$A$2:$A3446, MATCH(B518,'Room Info'!$G$2:$G3446, 0)))))))))</f>
        <v>benyya</v>
      </c>
      <c r="B518" s="50" t="s">
        <v>177</v>
      </c>
      <c r="C518" s="51">
        <v>44805.0</v>
      </c>
      <c r="D518" s="51">
        <v>44834.0</v>
      </c>
      <c r="E518" s="52">
        <v>44805.0</v>
      </c>
      <c r="F518" s="53" t="s">
        <v>8</v>
      </c>
      <c r="G518" s="59" t="s">
        <v>5</v>
      </c>
      <c r="H518" s="54" t="s">
        <v>97</v>
      </c>
      <c r="I518" s="54" t="s">
        <v>11</v>
      </c>
      <c r="J518" s="55">
        <v>250.0</v>
      </c>
      <c r="K518" s="56">
        <v>751.0</v>
      </c>
      <c r="L518" s="57">
        <v>-5000.0</v>
      </c>
      <c r="M518" s="58">
        <v>6558.0</v>
      </c>
      <c r="N518" s="33">
        <f t="shared" si="13"/>
        <v>187750</v>
      </c>
      <c r="O518" s="59">
        <v>10192.0</v>
      </c>
      <c r="P518" s="34">
        <f t="shared" si="14"/>
        <v>13.57123835</v>
      </c>
      <c r="Q518" s="60"/>
      <c r="R518" s="36">
        <f t="shared" si="99"/>
        <v>6558</v>
      </c>
      <c r="S518" s="61">
        <v>-669.0</v>
      </c>
      <c r="T518" s="37">
        <f t="shared" si="100"/>
        <v>5889</v>
      </c>
      <c r="U518" s="62">
        <v>1.0</v>
      </c>
      <c r="V518" s="63"/>
      <c r="W518" s="63"/>
      <c r="X518" s="35">
        <f t="shared" si="111"/>
        <v>0.1875</v>
      </c>
      <c r="Y518" s="35">
        <f t="shared" si="112"/>
        <v>0.0625</v>
      </c>
      <c r="Z518" s="40">
        <f t="shared" si="107"/>
        <v>4416.75</v>
      </c>
      <c r="AA518" s="34">
        <f t="shared" si="108"/>
        <v>1104.1875</v>
      </c>
      <c r="AB518" s="41">
        <f t="shared" si="109"/>
        <v>368.0625</v>
      </c>
      <c r="AC518" s="42" t="b">
        <v>1</v>
      </c>
      <c r="AD518" s="42" t="s">
        <v>138</v>
      </c>
      <c r="AE518" s="42" t="s">
        <v>138</v>
      </c>
      <c r="AF518" s="42" t="s">
        <v>178</v>
      </c>
      <c r="AG518" s="43" t="s">
        <v>179</v>
      </c>
    </row>
    <row r="519" hidden="1">
      <c r="A519" s="23" t="str">
        <f t="array" ref="A519">if(G519='Room Info'!$B$1, INDEX('Room Info'!$A$2:$A3446, MATCH(B519,'Room Info'!$B$2:$B3446, 0)),if(G519='Room Info'!$C$1, INDEX('Room Info'!$A$2:$A3446, MATCH(B519,'Room Info'!$C$2:$C3446, 0)),if(G519='Room Info'!$D$1, INDEX('Room Info'!$A$2:$A3446, MATCH(B519,'Room Info'!$D$2:$D3446, 0)),if(G519='Room Info'!$E$1, INDEX('Room Info'!$A$2:$A3446, MATCH(B519,'Room Info'!$E$2:$E3446, 0)),if(G519='Room Info'!$F$1, INDEX('Room Info'!$A$2:$A3446, MATCH(B519,'Room Info'!$F$2:$F3446, 0)),if(G519='Room Info'!$H$1, INDEX('Room Info'!$A$2:$A3446, MATCH(B519,'Room Info'!$H$2:$H3446, 0)),if(G519='Room Info'!$G$1, INDEX('Room Info'!$A$2:$A3446, MATCH(B519,'Room Info'!$G$2:$G3446, 0)))))))))</f>
        <v>benyya</v>
      </c>
      <c r="B519" s="50" t="s">
        <v>177</v>
      </c>
      <c r="C519" s="51">
        <v>44805.0</v>
      </c>
      <c r="D519" s="51">
        <v>44834.0</v>
      </c>
      <c r="E519" s="52">
        <v>44805.0</v>
      </c>
      <c r="F519" s="53" t="s">
        <v>8</v>
      </c>
      <c r="G519" s="59" t="s">
        <v>5</v>
      </c>
      <c r="H519" s="54" t="s">
        <v>96</v>
      </c>
      <c r="I519" s="54" t="s">
        <v>7</v>
      </c>
      <c r="J519" s="55">
        <v>250.0</v>
      </c>
      <c r="K519" s="56">
        <v>938.0</v>
      </c>
      <c r="L519" s="57">
        <v>-7250.0</v>
      </c>
      <c r="M519" s="58">
        <v>8199.0</v>
      </c>
      <c r="N519" s="33">
        <f t="shared" si="13"/>
        <v>234500</v>
      </c>
      <c r="O519" s="59">
        <v>14111.0</v>
      </c>
      <c r="P519" s="34">
        <f t="shared" si="14"/>
        <v>15.04371002</v>
      </c>
      <c r="Q519" s="60"/>
      <c r="R519" s="36">
        <f t="shared" si="99"/>
        <v>8199</v>
      </c>
      <c r="S519" s="61">
        <v>-4189.0</v>
      </c>
      <c r="T519" s="37">
        <f t="shared" si="100"/>
        <v>4010</v>
      </c>
      <c r="U519" s="62">
        <v>1.0</v>
      </c>
      <c r="V519" s="63"/>
      <c r="W519" s="63"/>
      <c r="X519" s="35">
        <f t="shared" si="111"/>
        <v>0.1875</v>
      </c>
      <c r="Y519" s="35">
        <f t="shared" si="112"/>
        <v>0.0625</v>
      </c>
      <c r="Z519" s="40">
        <f t="shared" si="107"/>
        <v>3007.5</v>
      </c>
      <c r="AA519" s="34">
        <f t="shared" si="108"/>
        <v>751.875</v>
      </c>
      <c r="AB519" s="41">
        <f t="shared" si="109"/>
        <v>250.625</v>
      </c>
      <c r="AC519" s="42" t="b">
        <v>1</v>
      </c>
      <c r="AD519" s="42" t="s">
        <v>138</v>
      </c>
      <c r="AE519" s="42" t="s">
        <v>138</v>
      </c>
      <c r="AF519" s="42" t="s">
        <v>178</v>
      </c>
      <c r="AG519" s="43" t="s">
        <v>179</v>
      </c>
    </row>
    <row r="520" hidden="1">
      <c r="A520" s="23" t="str">
        <f t="array" ref="A520">if(G520='Room Info'!$B$1, INDEX('Room Info'!$A$2:$A3446, MATCH(B520,'Room Info'!$B$2:$B3446, 0)),if(G520='Room Info'!$C$1, INDEX('Room Info'!$A$2:$A3446, MATCH(B520,'Room Info'!$C$2:$C3446, 0)),if(G520='Room Info'!$D$1, INDEX('Room Info'!$A$2:$A3446, MATCH(B520,'Room Info'!$D$2:$D3446, 0)),if(G520='Room Info'!$E$1, INDEX('Room Info'!$A$2:$A3446, MATCH(B520,'Room Info'!$E$2:$E3446, 0)),if(G520='Room Info'!$F$1, INDEX('Room Info'!$A$2:$A3446, MATCH(B520,'Room Info'!$F$2:$F3446, 0)),if(G520='Room Info'!$H$1, INDEX('Room Info'!$A$2:$A3446, MATCH(B520,'Room Info'!$H$2:$H3446, 0)),if(G520='Room Info'!$G$1, INDEX('Room Info'!$A$2:$A3446, MATCH(B520,'Room Info'!$G$2:$G3446, 0)))))))))</f>
        <v>benyya</v>
      </c>
      <c r="B520" s="50" t="s">
        <v>177</v>
      </c>
      <c r="C520" s="51">
        <v>44805.0</v>
      </c>
      <c r="D520" s="51">
        <v>44834.0</v>
      </c>
      <c r="E520" s="52">
        <v>44805.0</v>
      </c>
      <c r="F520" s="53" t="s">
        <v>8</v>
      </c>
      <c r="G520" s="59" t="s">
        <v>5</v>
      </c>
      <c r="H520" s="54" t="s">
        <v>102</v>
      </c>
      <c r="I520" s="54" t="s">
        <v>11</v>
      </c>
      <c r="J520" s="55">
        <v>500.0</v>
      </c>
      <c r="K520" s="56">
        <v>4.0</v>
      </c>
      <c r="L520" s="57">
        <v>500.0</v>
      </c>
      <c r="M520" s="58">
        <v>70.0</v>
      </c>
      <c r="N520" s="33">
        <f t="shared" si="13"/>
        <v>2000</v>
      </c>
      <c r="O520" s="59">
        <v>142.0</v>
      </c>
      <c r="P520" s="34">
        <f t="shared" si="14"/>
        <v>35.5</v>
      </c>
      <c r="Q520" s="60"/>
      <c r="R520" s="36">
        <f t="shared" si="99"/>
        <v>70</v>
      </c>
      <c r="S520" s="61">
        <v>132.0</v>
      </c>
      <c r="T520" s="37">
        <f t="shared" si="100"/>
        <v>202</v>
      </c>
      <c r="U520" s="62">
        <v>1.0</v>
      </c>
      <c r="V520" s="63"/>
      <c r="W520" s="63"/>
      <c r="X520" s="35">
        <f t="shared" si="111"/>
        <v>0.1875</v>
      </c>
      <c r="Y520" s="35">
        <f t="shared" si="112"/>
        <v>0.0625</v>
      </c>
      <c r="Z520" s="40">
        <f t="shared" si="107"/>
        <v>151.5</v>
      </c>
      <c r="AA520" s="34">
        <f t="shared" si="108"/>
        <v>37.875</v>
      </c>
      <c r="AB520" s="41">
        <f t="shared" si="109"/>
        <v>12.625</v>
      </c>
      <c r="AC520" s="42" t="b">
        <v>1</v>
      </c>
      <c r="AD520" s="42" t="s">
        <v>138</v>
      </c>
      <c r="AE520" s="42" t="s">
        <v>138</v>
      </c>
      <c r="AF520" s="42" t="s">
        <v>178</v>
      </c>
      <c r="AG520" s="43" t="s">
        <v>179</v>
      </c>
    </row>
    <row r="521" hidden="1">
      <c r="A521" s="23" t="str">
        <f t="array" ref="A521">if(G521='Room Info'!$B$1, INDEX('Room Info'!$A$2:$A3446, MATCH(B521,'Room Info'!$B$2:$B3446, 0)),if(G521='Room Info'!$C$1, INDEX('Room Info'!$A$2:$A3446, MATCH(B521,'Room Info'!$C$2:$C3446, 0)),if(G521='Room Info'!$D$1, INDEX('Room Info'!$A$2:$A3446, MATCH(B521,'Room Info'!$D$2:$D3446, 0)),if(G521='Room Info'!$E$1, INDEX('Room Info'!$A$2:$A3446, MATCH(B521,'Room Info'!$E$2:$E3446, 0)),if(G521='Room Info'!$F$1, INDEX('Room Info'!$A$2:$A3446, MATCH(B521,'Room Info'!$F$2:$F3446, 0)),if(G521='Room Info'!$H$1, INDEX('Room Info'!$A$2:$A3446, MATCH(B521,'Room Info'!$H$2:$H3446, 0)),if(G521='Room Info'!$G$1, INDEX('Room Info'!$A$2:$A3446, MATCH(B521,'Room Info'!$G$2:$G3446, 0)))))))))</f>
        <v>benyya</v>
      </c>
      <c r="B521" s="50" t="s">
        <v>177</v>
      </c>
      <c r="C521" s="51">
        <v>44835.0</v>
      </c>
      <c r="D521" s="51">
        <v>44865.0</v>
      </c>
      <c r="E521" s="52">
        <v>44835.0</v>
      </c>
      <c r="F521" s="53" t="s">
        <v>8</v>
      </c>
      <c r="G521" s="59" t="s">
        <v>5</v>
      </c>
      <c r="H521" s="54" t="s">
        <v>75</v>
      </c>
      <c r="I521" s="54" t="s">
        <v>11</v>
      </c>
      <c r="J521" s="55">
        <v>50.0</v>
      </c>
      <c r="K521" s="56">
        <v>13.0</v>
      </c>
      <c r="L521" s="57">
        <v>-400.0</v>
      </c>
      <c r="M521" s="58">
        <v>27.0</v>
      </c>
      <c r="N521" s="33">
        <f t="shared" si="13"/>
        <v>650</v>
      </c>
      <c r="O521" s="59">
        <v>-1154.0</v>
      </c>
      <c r="P521" s="34">
        <f t="shared" si="14"/>
        <v>-88.76923077</v>
      </c>
      <c r="Q521" s="60"/>
      <c r="R521" s="36">
        <f t="shared" si="99"/>
        <v>27</v>
      </c>
      <c r="S521" s="61">
        <v>-222.0</v>
      </c>
      <c r="T521" s="37">
        <f t="shared" si="100"/>
        <v>-195</v>
      </c>
      <c r="U521" s="62">
        <v>1.0</v>
      </c>
      <c r="V521" s="63"/>
      <c r="W521" s="63"/>
      <c r="X521" s="35">
        <f t="shared" si="111"/>
        <v>0.1875</v>
      </c>
      <c r="Y521" s="35">
        <f t="shared" si="112"/>
        <v>0.0625</v>
      </c>
      <c r="Z521" s="40">
        <f t="shared" si="107"/>
        <v>-146.25</v>
      </c>
      <c r="AA521" s="34">
        <f t="shared" si="108"/>
        <v>-36.5625</v>
      </c>
      <c r="AB521" s="41">
        <f t="shared" si="109"/>
        <v>-12.1875</v>
      </c>
      <c r="AC521" s="42" t="b">
        <v>1</v>
      </c>
      <c r="AD521" s="42" t="s">
        <v>138</v>
      </c>
      <c r="AE521" s="42" t="s">
        <v>138</v>
      </c>
      <c r="AF521" s="42" t="s">
        <v>178</v>
      </c>
      <c r="AG521" s="43" t="s">
        <v>179</v>
      </c>
    </row>
    <row r="522" hidden="1">
      <c r="A522" s="23" t="str">
        <f t="array" ref="A522">if(G522='Room Info'!$B$1, INDEX('Room Info'!$A$2:$A3446, MATCH(B522,'Room Info'!$B$2:$B3446, 0)),if(G522='Room Info'!$C$1, INDEX('Room Info'!$A$2:$A3446, MATCH(B522,'Room Info'!$C$2:$C3446, 0)),if(G522='Room Info'!$D$1, INDEX('Room Info'!$A$2:$A3446, MATCH(B522,'Room Info'!$D$2:$D3446, 0)),if(G522='Room Info'!$E$1, INDEX('Room Info'!$A$2:$A3446, MATCH(B522,'Room Info'!$E$2:$E3446, 0)),if(G522='Room Info'!$F$1, INDEX('Room Info'!$A$2:$A3446, MATCH(B522,'Room Info'!$F$2:$F3446, 0)),if(G522='Room Info'!$H$1, INDEX('Room Info'!$A$2:$A3446, MATCH(B522,'Room Info'!$H$2:$H3446, 0)),if(G522='Room Info'!$G$1, INDEX('Room Info'!$A$2:$A3446, MATCH(B522,'Room Info'!$G$2:$G3446, 0)))))))))</f>
        <v>benyya</v>
      </c>
      <c r="B522" s="50" t="s">
        <v>177</v>
      </c>
      <c r="C522" s="51">
        <v>44835.0</v>
      </c>
      <c r="D522" s="51">
        <v>44865.0</v>
      </c>
      <c r="E522" s="52">
        <v>44835.0</v>
      </c>
      <c r="F522" s="53" t="s">
        <v>8</v>
      </c>
      <c r="G522" s="59" t="s">
        <v>5</v>
      </c>
      <c r="H522" s="54" t="s">
        <v>85</v>
      </c>
      <c r="I522" s="54" t="s">
        <v>7</v>
      </c>
      <c r="J522" s="55">
        <v>100.0</v>
      </c>
      <c r="K522" s="56">
        <v>23.0</v>
      </c>
      <c r="L522" s="57">
        <v>-9.0</v>
      </c>
      <c r="M522" s="58">
        <v>80.0</v>
      </c>
      <c r="N522" s="33">
        <f t="shared" si="13"/>
        <v>2300</v>
      </c>
      <c r="O522" s="59">
        <v>6.0</v>
      </c>
      <c r="P522" s="34">
        <f t="shared" si="14"/>
        <v>0.2608695652</v>
      </c>
      <c r="Q522" s="60"/>
      <c r="R522" s="36">
        <f t="shared" si="99"/>
        <v>80</v>
      </c>
      <c r="S522" s="61">
        <v>-135.0</v>
      </c>
      <c r="T522" s="37">
        <f t="shared" si="100"/>
        <v>-55</v>
      </c>
      <c r="U522" s="62">
        <v>1.0</v>
      </c>
      <c r="V522" s="63"/>
      <c r="W522" s="63"/>
      <c r="X522" s="35">
        <f t="shared" si="111"/>
        <v>0.1875</v>
      </c>
      <c r="Y522" s="35">
        <f t="shared" si="112"/>
        <v>0.0625</v>
      </c>
      <c r="Z522" s="40">
        <f t="shared" si="107"/>
        <v>-41.25</v>
      </c>
      <c r="AA522" s="34">
        <f t="shared" si="108"/>
        <v>-10.3125</v>
      </c>
      <c r="AB522" s="41">
        <f t="shared" si="109"/>
        <v>-3.4375</v>
      </c>
      <c r="AC522" s="42" t="b">
        <v>1</v>
      </c>
      <c r="AD522" s="42" t="s">
        <v>138</v>
      </c>
      <c r="AE522" s="42" t="s">
        <v>138</v>
      </c>
      <c r="AF522" s="42" t="s">
        <v>178</v>
      </c>
      <c r="AG522" s="43" t="s">
        <v>179</v>
      </c>
    </row>
    <row r="523" hidden="1">
      <c r="A523" s="23" t="str">
        <f t="array" ref="A523">if(G523='Room Info'!$B$1, INDEX('Room Info'!$A$2:$A3446, MATCH(B523,'Room Info'!$B$2:$B3446, 0)),if(G523='Room Info'!$C$1, INDEX('Room Info'!$A$2:$A3446, MATCH(B523,'Room Info'!$C$2:$C3446, 0)),if(G523='Room Info'!$D$1, INDEX('Room Info'!$A$2:$A3446, MATCH(B523,'Room Info'!$D$2:$D3446, 0)),if(G523='Room Info'!$E$1, INDEX('Room Info'!$A$2:$A3446, MATCH(B523,'Room Info'!$E$2:$E3446, 0)),if(G523='Room Info'!$F$1, INDEX('Room Info'!$A$2:$A3446, MATCH(B523,'Room Info'!$F$2:$F3446, 0)),if(G523='Room Info'!$H$1, INDEX('Room Info'!$A$2:$A3446, MATCH(B523,'Room Info'!$H$2:$H3446, 0)),if(G523='Room Info'!$G$1, INDEX('Room Info'!$A$2:$A3446, MATCH(B523,'Room Info'!$G$2:$G3446, 0)))))))))</f>
        <v>benyya</v>
      </c>
      <c r="B523" s="50" t="s">
        <v>177</v>
      </c>
      <c r="C523" s="51">
        <v>44835.0</v>
      </c>
      <c r="D523" s="51">
        <v>44865.0</v>
      </c>
      <c r="E523" s="52">
        <v>44835.0</v>
      </c>
      <c r="F523" s="53" t="s">
        <v>8</v>
      </c>
      <c r="G523" s="59" t="s">
        <v>5</v>
      </c>
      <c r="H523" s="54" t="s">
        <v>101</v>
      </c>
      <c r="I523" s="54" t="s">
        <v>7</v>
      </c>
      <c r="J523" s="55">
        <v>500.0</v>
      </c>
      <c r="K523" s="56">
        <v>106.0</v>
      </c>
      <c r="L523" s="57">
        <v>2500.0</v>
      </c>
      <c r="M523" s="58">
        <v>1852.0</v>
      </c>
      <c r="N523" s="33">
        <f t="shared" si="13"/>
        <v>53000</v>
      </c>
      <c r="O523" s="59">
        <v>2993.0</v>
      </c>
      <c r="P523" s="34">
        <f t="shared" si="14"/>
        <v>28.23584906</v>
      </c>
      <c r="Q523" s="60"/>
      <c r="R523" s="36">
        <f t="shared" si="99"/>
        <v>1852</v>
      </c>
      <c r="S523" s="61">
        <v>-161.0</v>
      </c>
      <c r="T523" s="37">
        <f t="shared" si="100"/>
        <v>1691</v>
      </c>
      <c r="U523" s="62">
        <v>1.0</v>
      </c>
      <c r="V523" s="63"/>
      <c r="W523" s="63"/>
      <c r="X523" s="35">
        <f t="shared" si="111"/>
        <v>0.1875</v>
      </c>
      <c r="Y523" s="35">
        <f t="shared" si="112"/>
        <v>0.0625</v>
      </c>
      <c r="Z523" s="40">
        <f t="shared" si="107"/>
        <v>1268.25</v>
      </c>
      <c r="AA523" s="34">
        <f t="shared" si="108"/>
        <v>317.0625</v>
      </c>
      <c r="AB523" s="41">
        <f t="shared" si="109"/>
        <v>105.6875</v>
      </c>
      <c r="AC523" s="42" t="b">
        <v>1</v>
      </c>
      <c r="AD523" s="42" t="s">
        <v>138</v>
      </c>
      <c r="AE523" s="42" t="s">
        <v>138</v>
      </c>
      <c r="AF523" s="42" t="s">
        <v>178</v>
      </c>
      <c r="AG523" s="43" t="s">
        <v>179</v>
      </c>
    </row>
    <row r="524" hidden="1">
      <c r="A524" s="23" t="str">
        <f t="array" ref="A524">if(G524='Room Info'!$B$1, INDEX('Room Info'!$A$2:$A3446, MATCH(B524,'Room Info'!$B$2:$B3446, 0)),if(G524='Room Info'!$C$1, INDEX('Room Info'!$A$2:$A3446, MATCH(B524,'Room Info'!$C$2:$C3446, 0)),if(G524='Room Info'!$D$1, INDEX('Room Info'!$A$2:$A3446, MATCH(B524,'Room Info'!$D$2:$D3446, 0)),if(G524='Room Info'!$E$1, INDEX('Room Info'!$A$2:$A3446, MATCH(B524,'Room Info'!$E$2:$E3446, 0)),if(G524='Room Info'!$F$1, INDEX('Room Info'!$A$2:$A3446, MATCH(B524,'Room Info'!$F$2:$F3446, 0)),if(G524='Room Info'!$H$1, INDEX('Room Info'!$A$2:$A3446, MATCH(B524,'Room Info'!$H$2:$H3446, 0)),if(G524='Room Info'!$G$1, INDEX('Room Info'!$A$2:$A3446, MATCH(B524,'Room Info'!$G$2:$G3446, 0)))))))))</f>
        <v>benyya</v>
      </c>
      <c r="B524" s="50" t="s">
        <v>177</v>
      </c>
      <c r="C524" s="51">
        <v>44835.0</v>
      </c>
      <c r="D524" s="51">
        <v>44865.0</v>
      </c>
      <c r="E524" s="52">
        <v>44835.0</v>
      </c>
      <c r="F524" s="53" t="s">
        <v>8</v>
      </c>
      <c r="G524" s="59" t="s">
        <v>5</v>
      </c>
      <c r="H524" s="54" t="s">
        <v>102</v>
      </c>
      <c r="I524" s="54" t="s">
        <v>11</v>
      </c>
      <c r="J524" s="55">
        <v>500.0</v>
      </c>
      <c r="K524" s="56">
        <v>115.0</v>
      </c>
      <c r="L524" s="57">
        <v>1500.0</v>
      </c>
      <c r="M524" s="58">
        <v>2009.0</v>
      </c>
      <c r="N524" s="33">
        <f t="shared" si="13"/>
        <v>57500</v>
      </c>
      <c r="O524" s="59">
        <v>-1241.0</v>
      </c>
      <c r="P524" s="34">
        <f t="shared" si="14"/>
        <v>-10.79130435</v>
      </c>
      <c r="Q524" s="60"/>
      <c r="R524" s="36">
        <f t="shared" si="99"/>
        <v>2009</v>
      </c>
      <c r="S524" s="61">
        <v>-5147.0</v>
      </c>
      <c r="T524" s="37">
        <f t="shared" si="100"/>
        <v>-3138</v>
      </c>
      <c r="U524" s="62">
        <v>1.0</v>
      </c>
      <c r="V524" s="63"/>
      <c r="W524" s="63"/>
      <c r="X524" s="35">
        <f t="shared" si="111"/>
        <v>0.1875</v>
      </c>
      <c r="Y524" s="35">
        <f t="shared" si="112"/>
        <v>0.0625</v>
      </c>
      <c r="Z524" s="40">
        <f t="shared" si="107"/>
        <v>-2353.5</v>
      </c>
      <c r="AA524" s="34">
        <f t="shared" si="108"/>
        <v>-588.375</v>
      </c>
      <c r="AB524" s="41">
        <f t="shared" si="109"/>
        <v>-196.125</v>
      </c>
      <c r="AC524" s="42" t="b">
        <v>1</v>
      </c>
      <c r="AD524" s="42" t="s">
        <v>138</v>
      </c>
      <c r="AE524" s="42" t="s">
        <v>138</v>
      </c>
      <c r="AF524" s="42" t="s">
        <v>178</v>
      </c>
      <c r="AG524" s="43" t="s">
        <v>179</v>
      </c>
    </row>
    <row r="525" hidden="1">
      <c r="A525" s="23" t="str">
        <f t="array" ref="A525">if(G525='Room Info'!$B$1, INDEX('Room Info'!$A$2:$A3446, MATCH(B525,'Room Info'!$B$2:$B3446, 0)),if(G525='Room Info'!$C$1, INDEX('Room Info'!$A$2:$A3446, MATCH(B525,'Room Info'!$C$2:$C3446, 0)),if(G525='Room Info'!$D$1, INDEX('Room Info'!$A$2:$A3446, MATCH(B525,'Room Info'!$D$2:$D3446, 0)),if(G525='Room Info'!$E$1, INDEX('Room Info'!$A$2:$A3446, MATCH(B525,'Room Info'!$E$2:$E3446, 0)),if(G525='Room Info'!$F$1, INDEX('Room Info'!$A$2:$A3446, MATCH(B525,'Room Info'!$F$2:$F3446, 0)),if(G525='Room Info'!$H$1, INDEX('Room Info'!$A$2:$A3446, MATCH(B525,'Room Info'!$H$2:$H3446, 0)),if(G525='Room Info'!$G$1, INDEX('Room Info'!$A$2:$A3446, MATCH(B525,'Room Info'!$G$2:$G3446, 0)))))))))</f>
        <v>benyya</v>
      </c>
      <c r="B525" s="50" t="s">
        <v>177</v>
      </c>
      <c r="C525" s="51">
        <v>44835.0</v>
      </c>
      <c r="D525" s="51">
        <v>44865.0</v>
      </c>
      <c r="E525" s="52">
        <v>44835.0</v>
      </c>
      <c r="F525" s="53" t="s">
        <v>8</v>
      </c>
      <c r="G525" s="50" t="s">
        <v>5</v>
      </c>
      <c r="H525" s="54" t="s">
        <v>97</v>
      </c>
      <c r="I525" s="54" t="s">
        <v>11</v>
      </c>
      <c r="J525" s="55">
        <v>250.0</v>
      </c>
      <c r="K525" s="56">
        <v>760.0</v>
      </c>
      <c r="L525" s="57">
        <v>-1750.0</v>
      </c>
      <c r="M525" s="58">
        <v>6639.0</v>
      </c>
      <c r="N525" s="33">
        <f t="shared" si="13"/>
        <v>190000</v>
      </c>
      <c r="O525" s="59">
        <v>14712.0</v>
      </c>
      <c r="P525" s="34">
        <f t="shared" si="14"/>
        <v>19.35789474</v>
      </c>
      <c r="Q525" s="60"/>
      <c r="R525" s="36">
        <f t="shared" si="99"/>
        <v>6639</v>
      </c>
      <c r="S525" s="61">
        <v>694.0</v>
      </c>
      <c r="T525" s="37">
        <f t="shared" si="100"/>
        <v>7333</v>
      </c>
      <c r="U525" s="62">
        <v>1.0</v>
      </c>
      <c r="V525" s="63"/>
      <c r="W525" s="63"/>
      <c r="X525" s="35">
        <f t="shared" si="111"/>
        <v>0.1875</v>
      </c>
      <c r="Y525" s="35">
        <f t="shared" si="112"/>
        <v>0.0625</v>
      </c>
      <c r="Z525" s="40">
        <f t="shared" si="107"/>
        <v>5499.75</v>
      </c>
      <c r="AA525" s="34">
        <f t="shared" si="108"/>
        <v>1374.9375</v>
      </c>
      <c r="AB525" s="41">
        <f t="shared" si="109"/>
        <v>458.3125</v>
      </c>
      <c r="AC525" s="42" t="b">
        <v>1</v>
      </c>
      <c r="AD525" s="42" t="s">
        <v>138</v>
      </c>
      <c r="AE525" s="42" t="s">
        <v>138</v>
      </c>
      <c r="AF525" s="42" t="s">
        <v>178</v>
      </c>
      <c r="AG525" s="43" t="s">
        <v>179</v>
      </c>
    </row>
    <row r="526" hidden="1">
      <c r="A526" s="23" t="str">
        <f t="array" ref="A526">if(G526='Room Info'!$B$1, INDEX('Room Info'!$A$2:$A3446, MATCH(B526,'Room Info'!$B$2:$B3446, 0)),if(G526='Room Info'!$C$1, INDEX('Room Info'!$A$2:$A3446, MATCH(B526,'Room Info'!$C$2:$C3446, 0)),if(G526='Room Info'!$D$1, INDEX('Room Info'!$A$2:$A3446, MATCH(B526,'Room Info'!$D$2:$D3446, 0)),if(G526='Room Info'!$E$1, INDEX('Room Info'!$A$2:$A3446, MATCH(B526,'Room Info'!$E$2:$E3446, 0)),if(G526='Room Info'!$F$1, INDEX('Room Info'!$A$2:$A3446, MATCH(B526,'Room Info'!$F$2:$F3446, 0)),if(G526='Room Info'!$H$1, INDEX('Room Info'!$A$2:$A3446, MATCH(B526,'Room Info'!$H$2:$H3446, 0)),if(G526='Room Info'!$G$1, INDEX('Room Info'!$A$2:$A3446, MATCH(B526,'Room Info'!$G$2:$G3446, 0)))))))))</f>
        <v>benyya</v>
      </c>
      <c r="B526" s="59" t="s">
        <v>177</v>
      </c>
      <c r="C526" s="51">
        <v>44835.0</v>
      </c>
      <c r="D526" s="51">
        <v>44865.0</v>
      </c>
      <c r="E526" s="52">
        <v>44835.0</v>
      </c>
      <c r="F526" s="50" t="s">
        <v>8</v>
      </c>
      <c r="G526" s="59" t="s">
        <v>5</v>
      </c>
      <c r="H526" s="54" t="s">
        <v>96</v>
      </c>
      <c r="I526" s="54" t="s">
        <v>7</v>
      </c>
      <c r="J526" s="55">
        <v>250.0</v>
      </c>
      <c r="K526" s="56">
        <v>906.0</v>
      </c>
      <c r="L526" s="57">
        <v>-3500.0</v>
      </c>
      <c r="M526" s="58">
        <v>7914.0</v>
      </c>
      <c r="N526" s="33">
        <f t="shared" si="13"/>
        <v>226500</v>
      </c>
      <c r="O526" s="59">
        <v>17957.0</v>
      </c>
      <c r="P526" s="34">
        <f t="shared" si="14"/>
        <v>19.8200883</v>
      </c>
      <c r="Q526" s="60"/>
      <c r="R526" s="36">
        <f t="shared" si="99"/>
        <v>7914</v>
      </c>
      <c r="S526" s="61">
        <v>-4441.0</v>
      </c>
      <c r="T526" s="37">
        <f t="shared" si="100"/>
        <v>3473</v>
      </c>
      <c r="U526" s="62">
        <v>1.0</v>
      </c>
      <c r="V526" s="63"/>
      <c r="W526" s="63"/>
      <c r="X526" s="35">
        <f t="shared" si="111"/>
        <v>0.1875</v>
      </c>
      <c r="Y526" s="35">
        <f t="shared" si="112"/>
        <v>0.0625</v>
      </c>
      <c r="Z526" s="40">
        <f t="shared" si="107"/>
        <v>2604.75</v>
      </c>
      <c r="AA526" s="34">
        <f t="shared" si="108"/>
        <v>651.1875</v>
      </c>
      <c r="AB526" s="41">
        <f t="shared" si="109"/>
        <v>217.0625</v>
      </c>
      <c r="AC526" s="42" t="b">
        <v>1</v>
      </c>
      <c r="AD526" s="42" t="s">
        <v>138</v>
      </c>
      <c r="AE526" s="42" t="s">
        <v>138</v>
      </c>
      <c r="AF526" s="42" t="s">
        <v>178</v>
      </c>
      <c r="AG526" s="43" t="s">
        <v>179</v>
      </c>
    </row>
    <row r="527" hidden="1">
      <c r="A527" s="23" t="str">
        <f t="array" ref="A527">if(G527='Room Info'!$B$1, INDEX('Room Info'!$A$2:$A3446, MATCH(B527,'Room Info'!$B$2:$B3446, 0)),if(G527='Room Info'!$C$1, INDEX('Room Info'!$A$2:$A3446, MATCH(B527,'Room Info'!$C$2:$C3446, 0)),if(G527='Room Info'!$D$1, INDEX('Room Info'!$A$2:$A3446, MATCH(B527,'Room Info'!$D$2:$D3446, 0)),if(G527='Room Info'!$E$1, INDEX('Room Info'!$A$2:$A3446, MATCH(B527,'Room Info'!$E$2:$E3446, 0)),if(G527='Room Info'!$F$1, INDEX('Room Info'!$A$2:$A3446, MATCH(B527,'Room Info'!$F$2:$F3446, 0)),if(G527='Room Info'!$H$1, INDEX('Room Info'!$A$2:$A3446, MATCH(B527,'Room Info'!$H$2:$H3446, 0)),if(G527='Room Info'!$G$1, INDEX('Room Info'!$A$2:$A3446, MATCH(B527,'Room Info'!$G$2:$G3446, 0)))))))))</f>
        <v>benyya</v>
      </c>
      <c r="B527" s="50" t="s">
        <v>177</v>
      </c>
      <c r="C527" s="51">
        <v>44835.0</v>
      </c>
      <c r="D527" s="51">
        <v>44865.0</v>
      </c>
      <c r="E527" s="52">
        <v>44835.0</v>
      </c>
      <c r="F527" s="53" t="s">
        <v>8</v>
      </c>
      <c r="G527" s="50" t="s">
        <v>5</v>
      </c>
      <c r="H527" s="54" t="s">
        <v>86</v>
      </c>
      <c r="I527" s="54" t="s">
        <v>11</v>
      </c>
      <c r="J527" s="75">
        <v>100.0</v>
      </c>
      <c r="K527" s="76">
        <v>3494.0</v>
      </c>
      <c r="L527" s="57">
        <v>1900.0</v>
      </c>
      <c r="M527" s="58">
        <v>12229.0</v>
      </c>
      <c r="N527" s="33">
        <f t="shared" si="13"/>
        <v>349400</v>
      </c>
      <c r="O527" s="59">
        <v>33585.0</v>
      </c>
      <c r="P527" s="34">
        <f t="shared" si="14"/>
        <v>9.61219233</v>
      </c>
      <c r="Q527" s="60"/>
      <c r="R527" s="36">
        <f t="shared" si="99"/>
        <v>12229</v>
      </c>
      <c r="S527" s="61">
        <v>-10193.0</v>
      </c>
      <c r="T527" s="37">
        <f t="shared" si="100"/>
        <v>2036</v>
      </c>
      <c r="U527" s="62">
        <v>1.0</v>
      </c>
      <c r="V527" s="63"/>
      <c r="W527" s="63"/>
      <c r="X527" s="35">
        <f t="shared" si="111"/>
        <v>0.1875</v>
      </c>
      <c r="Y527" s="35">
        <f t="shared" si="112"/>
        <v>0.0625</v>
      </c>
      <c r="Z527" s="40">
        <f t="shared" si="107"/>
        <v>1527</v>
      </c>
      <c r="AA527" s="34">
        <f t="shared" si="108"/>
        <v>381.75</v>
      </c>
      <c r="AB527" s="41">
        <f t="shared" si="109"/>
        <v>127.25</v>
      </c>
      <c r="AC527" s="42" t="b">
        <v>1</v>
      </c>
      <c r="AD527" s="42" t="s">
        <v>138</v>
      </c>
      <c r="AE527" s="42" t="s">
        <v>138</v>
      </c>
      <c r="AF527" s="42" t="s">
        <v>178</v>
      </c>
      <c r="AG527" s="43" t="s">
        <v>179</v>
      </c>
    </row>
    <row r="528" hidden="1">
      <c r="A528" s="23" t="str">
        <f t="array" ref="A528">if(G528='Room Info'!$B$1, INDEX('Room Info'!$A$2:$A3446, MATCH(B528,'Room Info'!$B$2:$B3446, 0)),if(G528='Room Info'!$C$1, INDEX('Room Info'!$A$2:$A3446, MATCH(B528,'Room Info'!$C$2:$C3446, 0)),if(G528='Room Info'!$D$1, INDEX('Room Info'!$A$2:$A3446, MATCH(B528,'Room Info'!$D$2:$D3446, 0)),if(G528='Room Info'!$E$1, INDEX('Room Info'!$A$2:$A3446, MATCH(B528,'Room Info'!$E$2:$E3446, 0)),if(G528='Room Info'!$F$1, INDEX('Room Info'!$A$2:$A3446, MATCH(B528,'Room Info'!$F$2:$F3446, 0)),if(G528='Room Info'!$H$1, INDEX('Room Info'!$A$2:$A3446, MATCH(B528,'Room Info'!$H$2:$H3446, 0)),if(G528='Room Info'!$G$1, INDEX('Room Info'!$A$2:$A3446, MATCH(B528,'Room Info'!$G$2:$G3446, 0)))))))))</f>
        <v>benyya</v>
      </c>
      <c r="B528" s="50" t="s">
        <v>177</v>
      </c>
      <c r="C528" s="51">
        <v>44866.0</v>
      </c>
      <c r="D528" s="51">
        <v>44895.0</v>
      </c>
      <c r="E528" s="52">
        <v>44866.0</v>
      </c>
      <c r="F528" s="53" t="s">
        <v>12</v>
      </c>
      <c r="G528" s="50" t="s">
        <v>16</v>
      </c>
      <c r="H528" s="54" t="s">
        <v>85</v>
      </c>
      <c r="I528" s="54" t="s">
        <v>7</v>
      </c>
      <c r="J528" s="75">
        <v>100.0</v>
      </c>
      <c r="K528" s="76">
        <v>1.0</v>
      </c>
      <c r="L528" s="57">
        <v>0.0</v>
      </c>
      <c r="M528" s="58">
        <v>6586.0</v>
      </c>
      <c r="N528" s="33">
        <f t="shared" si="13"/>
        <v>100</v>
      </c>
      <c r="O528" s="59">
        <v>0.0</v>
      </c>
      <c r="P528" s="34">
        <f t="shared" si="14"/>
        <v>0</v>
      </c>
      <c r="Q528" s="60"/>
      <c r="R528" s="36">
        <f t="shared" si="99"/>
        <v>6586</v>
      </c>
      <c r="S528" s="61"/>
      <c r="T528" s="37">
        <f t="shared" si="100"/>
        <v>6586</v>
      </c>
      <c r="U528" s="62">
        <v>1.0</v>
      </c>
      <c r="V528" s="63">
        <v>147.51</v>
      </c>
      <c r="W528" s="63">
        <v>85.0</v>
      </c>
      <c r="X528" s="83">
        <v>0.17</v>
      </c>
      <c r="Y528" s="83">
        <v>0.0</v>
      </c>
      <c r="Z528" s="40">
        <f t="shared" si="107"/>
        <v>5486</v>
      </c>
      <c r="AA528" s="65">
        <v>1100.0</v>
      </c>
      <c r="AB528" s="41">
        <f t="shared" si="109"/>
        <v>0</v>
      </c>
      <c r="AC528" s="42" t="b">
        <v>1</v>
      </c>
      <c r="AD528" s="42" t="s">
        <v>138</v>
      </c>
      <c r="AE528" s="42" t="s">
        <v>138</v>
      </c>
      <c r="AF528" s="42" t="s">
        <v>178</v>
      </c>
      <c r="AG528" s="43" t="s">
        <v>179</v>
      </c>
    </row>
    <row r="529" hidden="1">
      <c r="A529" s="23" t="str">
        <f t="array" ref="A529">if(G529='Room Info'!$B$1, INDEX('Room Info'!$A$2:$A3446, MATCH(B529,'Room Info'!$B$2:$B3446, 0)),if(G529='Room Info'!$C$1, INDEX('Room Info'!$A$2:$A3446, MATCH(B529,'Room Info'!$C$2:$C3446, 0)),if(G529='Room Info'!$D$1, INDEX('Room Info'!$A$2:$A3446, MATCH(B529,'Room Info'!$D$2:$D3446, 0)),if(G529='Room Info'!$E$1, INDEX('Room Info'!$A$2:$A3446, MATCH(B529,'Room Info'!$E$2:$E3446, 0)),if(G529='Room Info'!$F$1, INDEX('Room Info'!$A$2:$A3446, MATCH(B529,'Room Info'!$F$2:$F3446, 0)),if(G529='Room Info'!$H$1, INDEX('Room Info'!$A$2:$A3446, MATCH(B529,'Room Info'!$H$2:$H3446, 0)),if(G529='Room Info'!$G$1, INDEX('Room Info'!$A$2:$A3446, MATCH(B529,'Room Info'!$G$2:$G3446, 0)))))))))</f>
        <v>benyya</v>
      </c>
      <c r="B529" s="50" t="s">
        <v>177</v>
      </c>
      <c r="C529" s="51">
        <v>44866.0</v>
      </c>
      <c r="D529" s="51">
        <v>44895.0</v>
      </c>
      <c r="E529" s="52">
        <v>44866.0</v>
      </c>
      <c r="F529" s="53" t="s">
        <v>8</v>
      </c>
      <c r="G529" s="50" t="s">
        <v>5</v>
      </c>
      <c r="H529" s="54" t="s">
        <v>85</v>
      </c>
      <c r="I529" s="54" t="s">
        <v>7</v>
      </c>
      <c r="J529" s="75">
        <v>100.0</v>
      </c>
      <c r="K529" s="76">
        <v>3.0</v>
      </c>
      <c r="L529" s="57">
        <v>-300.0</v>
      </c>
      <c r="M529" s="58">
        <v>7.0</v>
      </c>
      <c r="N529" s="33">
        <f t="shared" si="13"/>
        <v>300</v>
      </c>
      <c r="O529" s="59">
        <v>69.0</v>
      </c>
      <c r="P529" s="34">
        <f t="shared" si="14"/>
        <v>23</v>
      </c>
      <c r="Q529" s="60"/>
      <c r="R529" s="36">
        <f t="shared" si="99"/>
        <v>7</v>
      </c>
      <c r="S529" s="61">
        <v>-4.0</v>
      </c>
      <c r="T529" s="37">
        <f t="shared" si="100"/>
        <v>3</v>
      </c>
      <c r="U529" s="62">
        <v>1.0</v>
      </c>
      <c r="V529" s="63">
        <v>147.51</v>
      </c>
      <c r="W529" s="63">
        <v>85.0</v>
      </c>
      <c r="X529" s="35">
        <f t="shared" ref="X529:X549" si="113">IF(AF529="DoEV",IF(AND(V529&lt;20,W529&lt;55),0.3,0)+IF(AND(V529&lt;20,W529&gt;=55,W529&lt;105),0.23,0)+IF(AND(V529&lt;20,W529&gt;=105),0.17,0)+IF(AND(V529&gt;=20,V529&lt;40,W529&lt;45),0.3,0)+IF(AND(V529&gt;=20,V529&lt;40,W529&gt;=45,W529&lt;95),0.23,0)+IF(AND(V529&gt;=20,V529&lt;40,W529&gt;=95),0.17,0)+IF(AND(V529&gt;=40,V529&lt;75,W529&lt;35),0.3,0)+IF(AND(V529&gt;=40,V529&lt;75,W529&gt;=35,W529&lt;75),0.23,0)+IF(AND(V529&gt;=40,V529&lt;75,W529&gt;=75,W529&lt;120),0.17,0)+IF(AND(V529&gt;=40,V529&lt;75,W529&gt;=120),0.12,0)+IF(AND(V529&gt;=75,V529&lt;175,W529&lt;35),0.3,0)+IF(AND(V529&gt;=75,V529&lt;=175,W529&gt;=35,W529&lt;65),0.23,0)+IF(AND(V529&gt;=75,V529&lt;=175,W529&gt;=65,W529&lt;110),0.17,0)+IF(AND(V529&gt;=75,V529&lt;=175,W529&gt;=110),0.12,0)+IF(AND(V529&gt;175,W529&lt;25),0.3,0)+IF(AND(V529&gt;175,W529&gt;=25,W529&lt;55),0.23,0)+IF(AND(V529&gt;175,W529&gt;=55,W529&lt;95),0.17,0)+IF(AND(V529&gt;175,W529&gt;=95),0.12,0),
IF(AF529="Fix15",0.15,
if(AF529="Fix18.75",0.1875,
IF(AF529="Fix11.25",0.1125,
IF(AF529="Fix10",0.1,
IF(AF529="Fix9",0.09,
IF(AF529="DoEV2017",IF(AND(W529&lt;74),0.2,0)+IF(AND(W529&gt;=74),0.17,0),
IF(AF529="SF",IF(AND(V529&lt;20,W529&lt;89),0.3,0)+IF(AND(V529&lt;20,W529&gt;=89),0.25,0)+IF(AND(V529&gt;=20,V529&lt;40,W529&lt;74),0.3,0)+IF(AND(V529&gt;=20,V529&lt;40,W529&gt;=75),0.22,0)+IF(AND(V529&gt;=40,V529&lt;75,W529&lt;75),0.26,0)+IF(AND(V529&gt;=40,V529&lt;75,W529&gt;=75),0.22,0)+IF(V529&gt;=75,0.22,0),
IF(AF529="DoEVold",IF(AND(V529&lt;40,W529&lt;35),0.35,0)+IF(AND(V529&lt;40,W529&gt;=35,W529&lt;75),0.25,0)+IF(AND(V529&lt;40,W529&gt;=75),0.17,0)+IF(AND(V529&gt;=40,V529&lt;75,W529&lt;25),0.35,0)+IF(AND(V529&gt;=40,V529&lt;75,W529&gt;=25,W529&lt;65),0.25,0)+IF(AND(V529&gt;=40,V529&lt;75,W529&gt;=65,W529&lt;100),0.17,0)+IF(AND(V529&gt;=40,V529&lt;75,W529&gt;=100),0.1,0)+IF(AND(V529&gt;=75,W529&lt;25),0.35,0)+IF(AND(V529&gt;=75,W529&gt;=25,W529&lt;60),0.25,0)+IF(AND(V529&gt;=75,W529&gt;=60,W529&lt;95),0.17,0)+IF(AND(V529&gt;=75,W529&gt;=95),0.1,0),
IF(AF529="DoEVold15",IF(AND(V529&lt;=40,W529&lt;35),0.35,0)+IF(AND(V529&lt;=40,W529&gt;=35,W529&lt;75),0.25,0)+IF(AND(V529&lt;=40,W529&gt;=75,W529&lt;120),0.17,0)+IF(AND(V529&lt;=40,W529&gt;=120),0.15,0)+IF(AND(V529&gt;40,V529&lt;75,W529&lt;25),0.35,0)+IF(AND(V529&gt;=40,V529&lt;75,W529&gt;=25,W529&lt;65),0.25,0)+IF(AND(V529&gt;=40,V529&lt;75,W529&gt;=65,W529&lt;100),0.17,0)+IF(AND(V529&gt;=40,V529&lt;75,W529&gt;=100),0.1,0)+IF(AND(V529&gt;=75,W529&lt;25),0.35,0)+IF(AND(V529&gt;=75,W529&gt;=25,W529&lt;60),0.25,0)+IF(AND(V529&gt;=75,W529&gt;=60,W529&lt;95),0.17,0)+IF(AND(V529&gt;=75,W529&gt;=95),0.1,0),
IF(AF529="DoEVba",IF(AND(V529&lt;20,W529&lt;105),0.2,0)+IF(AND(V529&lt;20,W529&gt;=105),0.15,0)+IF(AND(V529&gt;=20,V529&lt;40,W529&lt;95),0.2,0)+IF(AND(V529&gt;=20,V529&lt;40,W529&gt;=95,W529&lt;150),0.15,0)+IF(AND(V529&gt;=20,V529&lt;40,W529&gt;=150),0.12,0)+IF(AND(V529&gt;=40,V529&lt;75,W529&lt;75),0.2,0)+IF(AND(V529&gt;=40,V529&lt;75,W529&gt;=75,W529&lt;120),0.15,0)+IF(AND(V529&gt;=40,V529&lt;75,W529&gt;=120),0.12,0)+IF(AND(V529&gt;=75,V529&lt;175,W529&lt;65),0.2,0)+IF(AND(V529&gt;=75,V529&lt;175,W529&gt;=65,W529&lt;110),0.15,0)+IF(AND(V529&gt;=75,V529&lt;175,W529&gt;=110),0.12,0)+IF(AND(V529&gt;=175,W529&lt;55),0.2,0)+IF(AND(V529&gt;=175,W529&gt;=55,W529&lt;95),0.15,0)+IF(AND(V529&gt;=175,W529&gt;=95),0.12,0),
IF(AF529="DoEVku",IF(AND(V529&lt;20,W529&lt;55),0.23,0)+IF(AND(V529&lt;20,W529&gt;=55,W529&lt;105),0.2,0)+IF(AND(V529&lt;20,W529&gt;=105),0.17,0)+IF(AND(V529&gt;=20,V529&lt;40,W529&lt;45),0.23,0)+IF(AND(V529&gt;=20,V529&lt;40,W529&gt;=45,W529&lt;95),0.2,0)+IF(AND(V529&gt;=20,V529&lt;40,W529&gt;=95,W529&lt;=150),0.17,0)+IF(AND(V529&gt;=20,V529&lt;40,W529&gt;=150),0.12,0)+IF(AND(V529&gt;=40,V529&lt;75,W529&lt;35),0.23,0)+IF(AND(V529&gt;=40,V529&lt;75,W529&gt;=35,W529&lt;75),0.2,0)+IF(AND(V529&gt;=40,V529&lt;75,W529&gt;=75,W529&lt;120),0.17,0)+IF(AND(V529&gt;=40,V529&lt;75,W529&gt;=120),0.12,0)+IF(AND(V529&gt;=75,V529&lt;175,W529&lt;35),0.23,0)+IF(AND(V529&gt;=75,V529&lt;=175,W529&gt;=35,W529&lt;65),0.2,0)+IF(AND(V529&gt;=75,V529&lt;=175,W529&gt;=65,W529&lt;110),0.17,0)+IF(AND(V529&gt;=75,V529&lt;=175,W529&gt;=110),0.12,0)+IF(AND(V529&gt;175,W529&lt;25),0.23,0)+IF(AND(V529&gt;175,W529&gt;=25,W529&lt;55),0.2,0)+IF(AND(V529&gt;175,W529&gt;=55,W529&lt;95),0.17,0)+IF(AND(V529&gt;175,W529&gt;=95),0.12,0),
IF(AF529="DoEVs1",IF(AND(V529&lt;20,W529&lt;55),0.3,0)+IF(AND(V529&lt;20,W529&gt;=55,W529&lt;105),0.23,0)+IF(AND(V529&lt;20,W529&gt;=105),0.17,0)+IF(AND(V529&gt;=20,V529&lt;40,W529&lt;45),0.3,0)+IF(AND(V529&gt;=20,V529&lt;40,W529&gt;=45,W529&lt;95),0.23,0)+IF(AND(V529&gt;=20,V529&lt;40,W529&gt;=95,W529&lt;=150),0.17,0)+IF(AND(V529&gt;=20,V529&lt;40,W529&gt;=150),0.12,0)+IF(AND(V529&gt;=40,V529&lt;75,W529&lt;35),0.3,0)+IF(AND(V529&gt;=40,V529&lt;75,W529&gt;=35,W529&lt;75),0.23,0)+IF(AND(V529&gt;=40,V529&lt;75,W529&gt;=75,W529&lt;120),0.17,0)+IF(AND(V529&gt;=40,V529&lt;75,W529&gt;=120),0.12,0)+IF(AND(V529&gt;=75,V529&lt;175,W529&lt;35),0.3,0)+IF(AND(V529&gt;=75,V529&lt;=175,W529&gt;=35,W529&lt;65),0.23,0)+IF(AND(V529&gt;=75,V529&lt;=175,W529&gt;=65,W529&lt;110),0.17,0)+IF(AND(V529&gt;=75,V529&lt;=175,W529&gt;=110),0.12,0)+IF(AND(V529&gt;175,W529&lt;25),0.3,0)+IF(AND(V529&gt;175,W529&gt;=25,W529&lt;55),0.23,0)+IF(AND(V529&gt;175,W529&gt;=55,W529&lt;95),0.17,0)+IF(AND(V529&gt;175,W529&gt;=95),0.12,0),
IF(AF529="DoEVsu",IF(AND(V529&lt;20,W529&lt;55),0.3,0)+IF(AND(V529&lt;20,W529&gt;=55,W529&lt;105),0.23,0)+IF(AND(V529&lt;20,W529&gt;=105),0.17,0)+IF(AND(V529&gt;=20,V529&lt;40,W529&lt;45),0.3,0)+IF(AND(V529&gt;=20,V529&lt;40,W529&gt;=45,W529&lt;95),0.23,0)+IF(AND(V529&gt;=20,V529&lt;40,W529&gt;=95,W529&lt;=250),0.17,0)+IF(AND(V529&gt;=20,V529&lt;40,W529&gt;=250),0.12,0)+IF(AND(V529&gt;=40,V529&lt;75,W529&lt;35),0.3,0)+IF(AND(V529&gt;=40,V529&lt;75,W529&gt;=35,W529&lt;75),0.23,0)+IF(AND(V529&gt;=40,V529&lt;75,W529&gt;=75,W529&lt;120),0.17,0)+IF(AND(V529&gt;=40,V529&lt;75,W529&gt;=120),0.12,0)+IF(AND(V529&gt;=75,V529&lt;175,W529&lt;35),0.3,0)+IF(AND(V529&gt;=75,V529&lt;=175,W529&gt;=35,W529&lt;65),0.23,0)+IF(AND(V529&gt;=75,V529&lt;=175,W529&gt;=65,W529&lt;110),0.17,0)+IF(AND(V529&gt;=75,V529&lt;=175,W529&gt;=110),0.12,0)+IF(AND(V529&gt;175,W529&lt;25),0.3,0)+IF(AND(V529&gt;175,W529&gt;=25,W529&lt;55),0.23,0)+IF(AND(V529&gt;175,W529&gt;=55,W529&lt;95),0.17,0)+IF(AND(V529&gt;175,W529&gt;=95),0.12,0),
IF(AF529="DoEVni",IF(AND(V529&lt;20,W529&lt;55),0.3,0)+IF(AND(V529&lt;20,W529&gt;=55,W529&lt;105),0.23,0)+IF(AND(V529&lt;20,W529&gt;=105),0.17,0)+IF(AND(V529&gt;=20,V529&lt;40,W529&lt;45),0.3,0)+IF(AND(V529&gt;=20,V529&lt;40,W529&gt;=45,W529&lt;95),0.23,0)+IF(AND(V529&gt;=20,V529&lt;40,W529&gt;=95,W529&lt;=200),0.17,0)+IF(AND(V529&gt;=20,V529&lt;40,W529&gt;=200),0.12,0)+IF(AND(V529&gt;=40,V529&lt;75,W529&lt;35),0.3,0)+IF(AND(V529&gt;=40,V529&lt;75,W529&gt;=35,W529&lt;75),0.23,0)+IF(AND(V529&gt;=40,V529&lt;75,W529&gt;=75,W529&lt;120),0.17,0)+IF(AND(V529&gt;=40,V529&lt;75,W529&gt;=120),0.12,0)+IF(AND(V529&gt;=75,V529&lt;175,W529&lt;35),0.3,0)+IF(AND(V529&gt;=75,V529&lt;=175,W529&gt;=35,W529&lt;65),0.23,0)+IF(AND(V529&gt;=75,V529&lt;=175,W529&gt;=65,W529&lt;110),0.17,0)+IF(AND(V529&gt;=75,V529&lt;=175,W529&gt;=110),0.12,0)+IF(AND(V529&gt;175,W529&lt;25),0.3,0)+IF(AND(V529&gt;175,W529&gt;=25,W529&lt;55),0.23,0)+IF(AND(V529&gt;175,W529&gt;=55,W529&lt;95),0.17,0)+IF(AND(V529&gt;175,W529&gt;=95),0.12,0),
IF(AF529="DoEVLo",IF(AND(V529&lt;20,W529&lt;55),0.25,0)+IF(AND(V529&lt;20,W529&gt;=55,W529&lt;105),0.2,0)+IF(AND(V529&lt;20,W529&gt;=105),0.15,0)+IF(AND(V529&gt;=20,V529&lt;40,W529&lt;45),0.25,0)+IF(AND(V529&gt;=20,V529&lt;40,W529&gt;=45,W529&lt;95),0.2,0)+IF(AND(V529&gt;=20,V529&lt;40,W529&gt;=95),0.15,0)+IF(AND(V529&gt;=40,V529&lt;75,W529&lt;35),0.25,0)+IF(AND(V529&gt;=40,V529&lt;75,W529&gt;=35,W529&lt;75),0.2,0)+IF(AND(V529&gt;=40,V529&lt;75,W529&gt;=75,W529&lt;120),0.15,0)+IF(AND(V529&gt;=40,V529&lt;75,W529&gt;=120),0.1,0)+IF(AND(V529&gt;=75,V529&lt;175,W529&lt;35),0.25,0)+IF(AND(V529&gt;=75,V529&lt;=175,W529&gt;=35,W529&lt;65),0.2,0)+IF(AND(V529&gt;=75,V529&lt;=175,W529&gt;=65,W529&lt;110),0.15,0)+IF(AND(V529&gt;=75,V529&lt;=175,W529&gt;=110),0.1,0)+IF(AND(V529&gt;175,W529&lt;25),0.25,0)+IF(AND(V529&gt;175,W529&gt;=25,W529&lt;55),0.2,0)+IF(AND(V529&gt;175,W529&gt;=55,W529&lt;95),0.15,0)+IF(AND(V529&gt;175,W529&gt;=95),0.1,0)))))))))))))))))</f>
        <v>0.1875</v>
      </c>
      <c r="Y529" s="35">
        <f t="shared" ref="Y529:Y574" si="114">if(AG529="None",0,if(AG529="Fix5",0.05, if(AG529="Fix6.25",0.0625,if(AG529="Fix3.75",0.0375,if(AG529="Fix10",0.1,if(AG529="Fix3",0.03,0))))))</f>
        <v>0.0625</v>
      </c>
      <c r="Z529" s="40">
        <f t="shared" si="107"/>
        <v>2.25</v>
      </c>
      <c r="AA529" s="34">
        <f t="shared" ref="AA529:AA571" si="115">if(AD529="EUR",((T529-R529)*X529)*U529+(R529*X529),(T529*X529))</f>
        <v>0.5625</v>
      </c>
      <c r="AB529" s="41">
        <f t="shared" si="109"/>
        <v>0.1875</v>
      </c>
      <c r="AC529" s="42" t="b">
        <v>1</v>
      </c>
      <c r="AD529" s="42" t="s">
        <v>138</v>
      </c>
      <c r="AE529" s="42" t="s">
        <v>138</v>
      </c>
      <c r="AF529" s="42" t="s">
        <v>178</v>
      </c>
      <c r="AG529" s="43" t="s">
        <v>179</v>
      </c>
    </row>
    <row r="530" hidden="1">
      <c r="A530" s="23" t="str">
        <f t="array" ref="A530">if(G530='Room Info'!$B$1, INDEX('Room Info'!$A$2:$A3446, MATCH(B530,'Room Info'!$B$2:$B3446, 0)),if(G530='Room Info'!$C$1, INDEX('Room Info'!$A$2:$A3446, MATCH(B530,'Room Info'!$C$2:$C3446, 0)),if(G530='Room Info'!$D$1, INDEX('Room Info'!$A$2:$A3446, MATCH(B530,'Room Info'!$D$2:$D3446, 0)),if(G530='Room Info'!$E$1, INDEX('Room Info'!$A$2:$A3446, MATCH(B530,'Room Info'!$E$2:$E3446, 0)),if(G530='Room Info'!$F$1, INDEX('Room Info'!$A$2:$A3446, MATCH(B530,'Room Info'!$F$2:$F3446, 0)),if(G530='Room Info'!$H$1, INDEX('Room Info'!$A$2:$A3446, MATCH(B530,'Room Info'!$H$2:$H3446, 0)),if(G530='Room Info'!$G$1, INDEX('Room Info'!$A$2:$A3446, MATCH(B530,'Room Info'!$G$2:$G3446, 0)))))))))</f>
        <v>benyya</v>
      </c>
      <c r="B530" s="50" t="s">
        <v>177</v>
      </c>
      <c r="C530" s="51">
        <v>44866.0</v>
      </c>
      <c r="D530" s="51">
        <v>44895.0</v>
      </c>
      <c r="E530" s="52">
        <v>44866.0</v>
      </c>
      <c r="F530" s="53" t="s">
        <v>8</v>
      </c>
      <c r="G530" s="50" t="s">
        <v>5</v>
      </c>
      <c r="H530" s="54" t="s">
        <v>102</v>
      </c>
      <c r="I530" s="54" t="s">
        <v>11</v>
      </c>
      <c r="J530" s="75">
        <v>500.0</v>
      </c>
      <c r="K530" s="76">
        <v>56.0</v>
      </c>
      <c r="L530" s="57">
        <v>1000.0</v>
      </c>
      <c r="M530" s="58">
        <v>638.0</v>
      </c>
      <c r="N530" s="33">
        <f t="shared" si="13"/>
        <v>28000</v>
      </c>
      <c r="O530" s="59">
        <v>953.0</v>
      </c>
      <c r="P530" s="34">
        <f t="shared" si="14"/>
        <v>17.01785714</v>
      </c>
      <c r="Q530" s="60"/>
      <c r="R530" s="36">
        <f t="shared" si="99"/>
        <v>638</v>
      </c>
      <c r="S530" s="61">
        <v>-18.0</v>
      </c>
      <c r="T530" s="37">
        <f t="shared" si="100"/>
        <v>620</v>
      </c>
      <c r="U530" s="62">
        <v>1.0</v>
      </c>
      <c r="V530" s="63">
        <v>147.51</v>
      </c>
      <c r="W530" s="63">
        <v>85.0</v>
      </c>
      <c r="X530" s="35">
        <f t="shared" si="113"/>
        <v>0.1875</v>
      </c>
      <c r="Y530" s="35">
        <f t="shared" si="114"/>
        <v>0.0625</v>
      </c>
      <c r="Z530" s="40">
        <f t="shared" si="107"/>
        <v>465</v>
      </c>
      <c r="AA530" s="34">
        <f t="shared" si="115"/>
        <v>116.25</v>
      </c>
      <c r="AB530" s="41">
        <f t="shared" si="109"/>
        <v>38.75</v>
      </c>
      <c r="AC530" s="42" t="b">
        <v>1</v>
      </c>
      <c r="AD530" s="42" t="s">
        <v>138</v>
      </c>
      <c r="AE530" s="42" t="s">
        <v>138</v>
      </c>
      <c r="AF530" s="42" t="s">
        <v>178</v>
      </c>
      <c r="AG530" s="43" t="s">
        <v>179</v>
      </c>
    </row>
    <row r="531" hidden="1">
      <c r="A531" s="23" t="str">
        <f t="array" ref="A531">if(G531='Room Info'!$B$1, INDEX('Room Info'!$A$2:$A3446, MATCH(B531,'Room Info'!$B$2:$B3446, 0)),if(G531='Room Info'!$C$1, INDEX('Room Info'!$A$2:$A3446, MATCH(B531,'Room Info'!$C$2:$C3446, 0)),if(G531='Room Info'!$D$1, INDEX('Room Info'!$A$2:$A3446, MATCH(B531,'Room Info'!$D$2:$D3446, 0)),if(G531='Room Info'!$E$1, INDEX('Room Info'!$A$2:$A3446, MATCH(B531,'Room Info'!$E$2:$E3446, 0)),if(G531='Room Info'!$F$1, INDEX('Room Info'!$A$2:$A3446, MATCH(B531,'Room Info'!$F$2:$F3446, 0)),if(G531='Room Info'!$H$1, INDEX('Room Info'!$A$2:$A3446, MATCH(B531,'Room Info'!$H$2:$H3446, 0)),if(G531='Room Info'!$G$1, INDEX('Room Info'!$A$2:$A3446, MATCH(B531,'Room Info'!$G$2:$G3446, 0)))))))))</f>
        <v>benyya</v>
      </c>
      <c r="B531" s="50" t="s">
        <v>177</v>
      </c>
      <c r="C531" s="51">
        <v>44866.0</v>
      </c>
      <c r="D531" s="51">
        <v>44895.0</v>
      </c>
      <c r="E531" s="52">
        <v>44866.0</v>
      </c>
      <c r="F531" s="53" t="s">
        <v>8</v>
      </c>
      <c r="G531" s="50" t="s">
        <v>5</v>
      </c>
      <c r="H531" s="54" t="s">
        <v>75</v>
      </c>
      <c r="I531" s="54" t="s">
        <v>11</v>
      </c>
      <c r="J531" s="75">
        <v>50.0</v>
      </c>
      <c r="K531" s="76">
        <v>112.0</v>
      </c>
      <c r="L531" s="57">
        <v>1500.0</v>
      </c>
      <c r="M531" s="58">
        <v>153.0</v>
      </c>
      <c r="N531" s="33">
        <f t="shared" si="13"/>
        <v>5600</v>
      </c>
      <c r="O531" s="59">
        <v>1363.0</v>
      </c>
      <c r="P531" s="34">
        <f t="shared" si="14"/>
        <v>12.16964286</v>
      </c>
      <c r="Q531" s="60"/>
      <c r="R531" s="36">
        <f t="shared" si="99"/>
        <v>153</v>
      </c>
      <c r="S531" s="61">
        <v>-165.0</v>
      </c>
      <c r="T531" s="37">
        <f t="shared" si="100"/>
        <v>-12</v>
      </c>
      <c r="U531" s="62">
        <v>1.0</v>
      </c>
      <c r="V531" s="63">
        <v>147.51</v>
      </c>
      <c r="W531" s="63">
        <v>85.0</v>
      </c>
      <c r="X531" s="35">
        <f t="shared" si="113"/>
        <v>0.1875</v>
      </c>
      <c r="Y531" s="35">
        <f t="shared" si="114"/>
        <v>0.0625</v>
      </c>
      <c r="Z531" s="40">
        <f t="shared" si="107"/>
        <v>-9</v>
      </c>
      <c r="AA531" s="34">
        <f t="shared" si="115"/>
        <v>-2.25</v>
      </c>
      <c r="AB531" s="41">
        <f t="shared" si="109"/>
        <v>-0.75</v>
      </c>
      <c r="AC531" s="42" t="b">
        <v>1</v>
      </c>
      <c r="AD531" s="42" t="s">
        <v>138</v>
      </c>
      <c r="AE531" s="42" t="s">
        <v>138</v>
      </c>
      <c r="AF531" s="42" t="s">
        <v>178</v>
      </c>
      <c r="AG531" s="43" t="s">
        <v>179</v>
      </c>
    </row>
    <row r="532" hidden="1">
      <c r="A532" s="23" t="str">
        <f t="array" ref="A532">if(G532='Room Info'!$B$1, INDEX('Room Info'!$A$2:$A3446, MATCH(B532,'Room Info'!$B$2:$B3446, 0)),if(G532='Room Info'!$C$1, INDEX('Room Info'!$A$2:$A3446, MATCH(B532,'Room Info'!$C$2:$C3446, 0)),if(G532='Room Info'!$D$1, INDEX('Room Info'!$A$2:$A3446, MATCH(B532,'Room Info'!$D$2:$D3446, 0)),if(G532='Room Info'!$E$1, INDEX('Room Info'!$A$2:$A3446, MATCH(B532,'Room Info'!$E$2:$E3446, 0)),if(G532='Room Info'!$F$1, INDEX('Room Info'!$A$2:$A3446, MATCH(B532,'Room Info'!$F$2:$F3446, 0)),if(G532='Room Info'!$H$1, INDEX('Room Info'!$A$2:$A3446, MATCH(B532,'Room Info'!$H$2:$H3446, 0)),if(G532='Room Info'!$G$1, INDEX('Room Info'!$A$2:$A3446, MATCH(B532,'Room Info'!$G$2:$G3446, 0)))))))))</f>
        <v>benyya</v>
      </c>
      <c r="B532" s="50" t="s">
        <v>177</v>
      </c>
      <c r="C532" s="51">
        <v>44866.0</v>
      </c>
      <c r="D532" s="51">
        <v>44895.0</v>
      </c>
      <c r="E532" s="52">
        <v>44866.0</v>
      </c>
      <c r="F532" s="53" t="s">
        <v>8</v>
      </c>
      <c r="G532" s="50" t="s">
        <v>5</v>
      </c>
      <c r="H532" s="54" t="s">
        <v>101</v>
      </c>
      <c r="I532" s="54" t="s">
        <v>7</v>
      </c>
      <c r="J532" s="75">
        <v>500.0</v>
      </c>
      <c r="K532" s="76">
        <v>131.0</v>
      </c>
      <c r="L532" s="57">
        <v>6500.0</v>
      </c>
      <c r="M532" s="58">
        <v>1492.0</v>
      </c>
      <c r="N532" s="33">
        <f t="shared" si="13"/>
        <v>65500</v>
      </c>
      <c r="O532" s="59">
        <v>-1755.0</v>
      </c>
      <c r="P532" s="34">
        <f t="shared" si="14"/>
        <v>-13.39694656</v>
      </c>
      <c r="Q532" s="60"/>
      <c r="R532" s="36">
        <f t="shared" si="99"/>
        <v>1492</v>
      </c>
      <c r="S532" s="61">
        <v>-5168.0</v>
      </c>
      <c r="T532" s="37">
        <f t="shared" si="100"/>
        <v>-3676</v>
      </c>
      <c r="U532" s="62">
        <v>1.0</v>
      </c>
      <c r="V532" s="63">
        <v>147.51</v>
      </c>
      <c r="W532" s="63">
        <v>85.0</v>
      </c>
      <c r="X532" s="35">
        <f t="shared" si="113"/>
        <v>0.1875</v>
      </c>
      <c r="Y532" s="35">
        <f t="shared" si="114"/>
        <v>0.0625</v>
      </c>
      <c r="Z532" s="40">
        <f t="shared" si="107"/>
        <v>-2757</v>
      </c>
      <c r="AA532" s="34">
        <f t="shared" si="115"/>
        <v>-689.25</v>
      </c>
      <c r="AB532" s="41">
        <f t="shared" si="109"/>
        <v>-229.75</v>
      </c>
      <c r="AC532" s="42" t="b">
        <v>1</v>
      </c>
      <c r="AD532" s="42" t="s">
        <v>138</v>
      </c>
      <c r="AE532" s="42" t="s">
        <v>138</v>
      </c>
      <c r="AF532" s="42" t="s">
        <v>178</v>
      </c>
      <c r="AG532" s="43" t="s">
        <v>179</v>
      </c>
    </row>
    <row r="533" hidden="1">
      <c r="A533" s="23" t="str">
        <f t="array" ref="A533">if(G533='Room Info'!$B$1, INDEX('Room Info'!$A$2:$A3446, MATCH(B533,'Room Info'!$B$2:$B3446, 0)),if(G533='Room Info'!$C$1, INDEX('Room Info'!$A$2:$A3446, MATCH(B533,'Room Info'!$C$2:$C3446, 0)),if(G533='Room Info'!$D$1, INDEX('Room Info'!$A$2:$A3446, MATCH(B533,'Room Info'!$D$2:$D3446, 0)),if(G533='Room Info'!$E$1, INDEX('Room Info'!$A$2:$A3446, MATCH(B533,'Room Info'!$E$2:$E3446, 0)),if(G533='Room Info'!$F$1, INDEX('Room Info'!$A$2:$A3446, MATCH(B533,'Room Info'!$F$2:$F3446, 0)),if(G533='Room Info'!$H$1, INDEX('Room Info'!$A$2:$A3446, MATCH(B533,'Room Info'!$H$2:$H3446, 0)),if(G533='Room Info'!$G$1, INDEX('Room Info'!$A$2:$A3446, MATCH(B533,'Room Info'!$G$2:$G3446, 0)))))))))</f>
        <v>benyya</v>
      </c>
      <c r="B533" s="50" t="s">
        <v>177</v>
      </c>
      <c r="C533" s="51">
        <v>44866.0</v>
      </c>
      <c r="D533" s="51">
        <v>44895.0</v>
      </c>
      <c r="E533" s="52">
        <v>44866.0</v>
      </c>
      <c r="F533" s="53" t="s">
        <v>8</v>
      </c>
      <c r="G533" s="50" t="s">
        <v>5</v>
      </c>
      <c r="H533" s="54" t="s">
        <v>96</v>
      </c>
      <c r="I533" s="54" t="s">
        <v>7</v>
      </c>
      <c r="J533" s="75">
        <v>250.0</v>
      </c>
      <c r="K533" s="76">
        <v>709.0</v>
      </c>
      <c r="L533" s="57">
        <v>-1750.0</v>
      </c>
      <c r="M533" s="58">
        <v>4037.0</v>
      </c>
      <c r="N533" s="33">
        <f t="shared" si="13"/>
        <v>177250</v>
      </c>
      <c r="O533" s="59">
        <v>23177.0</v>
      </c>
      <c r="P533" s="34">
        <f t="shared" si="14"/>
        <v>32.68970381</v>
      </c>
      <c r="Q533" s="60"/>
      <c r="R533" s="36">
        <f t="shared" si="99"/>
        <v>4037</v>
      </c>
      <c r="S533" s="61">
        <v>1179.0</v>
      </c>
      <c r="T533" s="37">
        <f t="shared" si="100"/>
        <v>5216</v>
      </c>
      <c r="U533" s="62">
        <v>1.0</v>
      </c>
      <c r="V533" s="63">
        <v>147.51</v>
      </c>
      <c r="W533" s="63">
        <v>85.0</v>
      </c>
      <c r="X533" s="35">
        <f t="shared" si="113"/>
        <v>0.1875</v>
      </c>
      <c r="Y533" s="35">
        <f t="shared" si="114"/>
        <v>0.0625</v>
      </c>
      <c r="Z533" s="40">
        <f t="shared" si="107"/>
        <v>3912</v>
      </c>
      <c r="AA533" s="34">
        <f t="shared" si="115"/>
        <v>978</v>
      </c>
      <c r="AB533" s="41">
        <f t="shared" si="109"/>
        <v>326</v>
      </c>
      <c r="AC533" s="42" t="b">
        <v>1</v>
      </c>
      <c r="AD533" s="42" t="s">
        <v>138</v>
      </c>
      <c r="AE533" s="42" t="s">
        <v>138</v>
      </c>
      <c r="AF533" s="42" t="s">
        <v>178</v>
      </c>
      <c r="AG533" s="43" t="s">
        <v>179</v>
      </c>
    </row>
    <row r="534" hidden="1">
      <c r="A534" s="23" t="str">
        <f t="array" ref="A534">if(G534='Room Info'!$B$1, INDEX('Room Info'!$A$2:$A3446, MATCH(B534,'Room Info'!$B$2:$B3446, 0)),if(G534='Room Info'!$C$1, INDEX('Room Info'!$A$2:$A3446, MATCH(B534,'Room Info'!$C$2:$C3446, 0)),if(G534='Room Info'!$D$1, INDEX('Room Info'!$A$2:$A3446, MATCH(B534,'Room Info'!$D$2:$D3446, 0)),if(G534='Room Info'!$E$1, INDEX('Room Info'!$A$2:$A3446, MATCH(B534,'Room Info'!$E$2:$E3446, 0)),if(G534='Room Info'!$F$1, INDEX('Room Info'!$A$2:$A3446, MATCH(B534,'Room Info'!$F$2:$F3446, 0)),if(G534='Room Info'!$H$1, INDEX('Room Info'!$A$2:$A3446, MATCH(B534,'Room Info'!$H$2:$H3446, 0)),if(G534='Room Info'!$G$1, INDEX('Room Info'!$A$2:$A3446, MATCH(B534,'Room Info'!$G$2:$G3446, 0)))))))))</f>
        <v>benyya</v>
      </c>
      <c r="B534" s="50" t="s">
        <v>177</v>
      </c>
      <c r="C534" s="51">
        <v>44866.0</v>
      </c>
      <c r="D534" s="51">
        <v>44895.0</v>
      </c>
      <c r="E534" s="52">
        <v>44866.0</v>
      </c>
      <c r="F534" s="53" t="s">
        <v>8</v>
      </c>
      <c r="G534" s="50" t="s">
        <v>5</v>
      </c>
      <c r="H534" s="54" t="s">
        <v>86</v>
      </c>
      <c r="I534" s="54" t="s">
        <v>11</v>
      </c>
      <c r="J534" s="75">
        <v>100.0</v>
      </c>
      <c r="K534" s="76">
        <v>1604.0</v>
      </c>
      <c r="L534" s="57">
        <v>-12800.0</v>
      </c>
      <c r="M534" s="58">
        <v>3653.0</v>
      </c>
      <c r="N534" s="33">
        <f t="shared" si="13"/>
        <v>160400</v>
      </c>
      <c r="O534" s="59">
        <v>12310.0</v>
      </c>
      <c r="P534" s="34">
        <f t="shared" si="14"/>
        <v>7.674563591</v>
      </c>
      <c r="Q534" s="60"/>
      <c r="R534" s="36">
        <f t="shared" si="99"/>
        <v>3653</v>
      </c>
      <c r="S534" s="61">
        <v>-5273.0</v>
      </c>
      <c r="T534" s="37">
        <f t="shared" si="100"/>
        <v>-1620</v>
      </c>
      <c r="U534" s="62">
        <v>1.0</v>
      </c>
      <c r="V534" s="63">
        <v>147.51</v>
      </c>
      <c r="W534" s="63">
        <v>85.0</v>
      </c>
      <c r="X534" s="35">
        <f t="shared" si="113"/>
        <v>0.1875</v>
      </c>
      <c r="Y534" s="35">
        <f t="shared" si="114"/>
        <v>0.0625</v>
      </c>
      <c r="Z534" s="40">
        <f t="shared" si="107"/>
        <v>-1215</v>
      </c>
      <c r="AA534" s="34">
        <f t="shared" si="115"/>
        <v>-303.75</v>
      </c>
      <c r="AB534" s="41">
        <f t="shared" si="109"/>
        <v>-101.25</v>
      </c>
      <c r="AC534" s="42" t="b">
        <v>1</v>
      </c>
      <c r="AD534" s="42" t="s">
        <v>138</v>
      </c>
      <c r="AE534" s="42" t="s">
        <v>138</v>
      </c>
      <c r="AF534" s="42" t="s">
        <v>178</v>
      </c>
      <c r="AG534" s="43" t="s">
        <v>179</v>
      </c>
    </row>
    <row r="535" hidden="1">
      <c r="A535" s="23" t="str">
        <f t="array" ref="A535">if(G535='Room Info'!$B$1, INDEX('Room Info'!$A$2:$A3446, MATCH(B535,'Room Info'!$B$2:$B3446, 0)),if(G535='Room Info'!$C$1, INDEX('Room Info'!$A$2:$A3446, MATCH(B535,'Room Info'!$C$2:$C3446, 0)),if(G535='Room Info'!$D$1, INDEX('Room Info'!$A$2:$A3446, MATCH(B535,'Room Info'!$D$2:$D3446, 0)),if(G535='Room Info'!$E$1, INDEX('Room Info'!$A$2:$A3446, MATCH(B535,'Room Info'!$E$2:$E3446, 0)),if(G535='Room Info'!$F$1, INDEX('Room Info'!$A$2:$A3446, MATCH(B535,'Room Info'!$F$2:$F3446, 0)),if(G535='Room Info'!$H$1, INDEX('Room Info'!$A$2:$A3446, MATCH(B535,'Room Info'!$H$2:$H3446, 0)),if(G535='Room Info'!$G$1, INDEX('Room Info'!$A$2:$A3446, MATCH(B535,'Room Info'!$G$2:$G3446, 0)))))))))</f>
        <v>benyya</v>
      </c>
      <c r="B535" s="50" t="s">
        <v>177</v>
      </c>
      <c r="C535" s="51">
        <v>44866.0</v>
      </c>
      <c r="D535" s="51">
        <v>44895.0</v>
      </c>
      <c r="E535" s="52">
        <v>44866.0</v>
      </c>
      <c r="F535" s="53" t="s">
        <v>8</v>
      </c>
      <c r="G535" s="50" t="s">
        <v>5</v>
      </c>
      <c r="H535" s="54" t="s">
        <v>97</v>
      </c>
      <c r="I535" s="54" t="s">
        <v>11</v>
      </c>
      <c r="J535" s="75">
        <v>250.0</v>
      </c>
      <c r="K535" s="76">
        <v>1766.0</v>
      </c>
      <c r="L535" s="57">
        <v>-16500.0</v>
      </c>
      <c r="M535" s="58">
        <v>10056.0</v>
      </c>
      <c r="N535" s="33">
        <f t="shared" si="13"/>
        <v>441500</v>
      </c>
      <c r="O535" s="59">
        <v>7436.0</v>
      </c>
      <c r="P535" s="34">
        <f t="shared" si="14"/>
        <v>4.210645527</v>
      </c>
      <c r="Q535" s="60"/>
      <c r="R535" s="36">
        <f t="shared" si="99"/>
        <v>10056</v>
      </c>
      <c r="S535" s="61">
        <v>-18037.0</v>
      </c>
      <c r="T535" s="37">
        <f t="shared" si="100"/>
        <v>-7981</v>
      </c>
      <c r="U535" s="62">
        <v>1.0</v>
      </c>
      <c r="V535" s="63">
        <v>147.51</v>
      </c>
      <c r="W535" s="63">
        <v>85.0</v>
      </c>
      <c r="X535" s="35">
        <f t="shared" si="113"/>
        <v>0.1875</v>
      </c>
      <c r="Y535" s="35">
        <f t="shared" si="114"/>
        <v>0.0625</v>
      </c>
      <c r="Z535" s="40">
        <f t="shared" si="107"/>
        <v>-5985.75</v>
      </c>
      <c r="AA535" s="34">
        <f t="shared" si="115"/>
        <v>-1496.4375</v>
      </c>
      <c r="AB535" s="41">
        <f t="shared" si="109"/>
        <v>-498.8125</v>
      </c>
      <c r="AC535" s="42" t="b">
        <v>1</v>
      </c>
      <c r="AD535" s="42" t="s">
        <v>138</v>
      </c>
      <c r="AE535" s="42" t="s">
        <v>138</v>
      </c>
      <c r="AF535" s="42" t="s">
        <v>178</v>
      </c>
      <c r="AG535" s="43" t="s">
        <v>179</v>
      </c>
    </row>
    <row r="536" hidden="1">
      <c r="A536" s="23" t="str">
        <f t="array" ref="A536">if(G536='Room Info'!$B$1, INDEX('Room Info'!$A$2:$A3446, MATCH(B536,'Room Info'!$B$2:$B3446, 0)),if(G536='Room Info'!$C$1, INDEX('Room Info'!$A$2:$A3446, MATCH(B536,'Room Info'!$C$2:$C3446, 0)),if(G536='Room Info'!$D$1, INDEX('Room Info'!$A$2:$A3446, MATCH(B536,'Room Info'!$D$2:$D3446, 0)),if(G536='Room Info'!$E$1, INDEX('Room Info'!$A$2:$A3446, MATCH(B536,'Room Info'!$E$2:$E3446, 0)),if(G536='Room Info'!$F$1, INDEX('Room Info'!$A$2:$A3446, MATCH(B536,'Room Info'!$F$2:$F3446, 0)),if(G536='Room Info'!$H$1, INDEX('Room Info'!$A$2:$A3446, MATCH(B536,'Room Info'!$H$2:$H3446, 0)),if(G536='Room Info'!$G$1, INDEX('Room Info'!$A$2:$A3446, MATCH(B536,'Room Info'!$G$2:$G3446, 0)))))))))</f>
        <v>benyya</v>
      </c>
      <c r="B536" s="50" t="s">
        <v>177</v>
      </c>
      <c r="C536" s="51">
        <v>44866.0</v>
      </c>
      <c r="D536" s="51">
        <v>44895.0</v>
      </c>
      <c r="E536" s="52">
        <v>44866.0</v>
      </c>
      <c r="F536" s="53" t="s">
        <v>12</v>
      </c>
      <c r="G536" s="50" t="s">
        <v>5</v>
      </c>
      <c r="H536" s="54" t="s">
        <v>63</v>
      </c>
      <c r="I536" s="54" t="s">
        <v>11</v>
      </c>
      <c r="J536" s="75">
        <v>25.0</v>
      </c>
      <c r="K536" s="76">
        <v>14.0</v>
      </c>
      <c r="L536" s="57">
        <v>75.0</v>
      </c>
      <c r="M536" s="58">
        <v>10.0</v>
      </c>
      <c r="N536" s="33">
        <f t="shared" si="13"/>
        <v>350</v>
      </c>
      <c r="O536" s="70"/>
      <c r="P536" s="34">
        <f t="shared" si="14"/>
        <v>0</v>
      </c>
      <c r="Q536" s="60"/>
      <c r="R536" s="36">
        <f t="shared" si="99"/>
        <v>10</v>
      </c>
      <c r="S536" s="71"/>
      <c r="T536" s="37">
        <f t="shared" si="100"/>
        <v>85</v>
      </c>
      <c r="U536" s="62">
        <v>1.0</v>
      </c>
      <c r="V536" s="63">
        <v>147.51</v>
      </c>
      <c r="W536" s="63">
        <v>85.0</v>
      </c>
      <c r="X536" s="35">
        <f t="shared" si="113"/>
        <v>0.1875</v>
      </c>
      <c r="Y536" s="35">
        <f t="shared" si="114"/>
        <v>0.0625</v>
      </c>
      <c r="Z536" s="40">
        <f t="shared" si="107"/>
        <v>63.75</v>
      </c>
      <c r="AA536" s="34">
        <f t="shared" si="115"/>
        <v>15.9375</v>
      </c>
      <c r="AB536" s="41">
        <f t="shared" si="109"/>
        <v>5.3125</v>
      </c>
      <c r="AC536" s="42" t="b">
        <v>1</v>
      </c>
      <c r="AD536" s="42" t="s">
        <v>138</v>
      </c>
      <c r="AE536" s="42" t="s">
        <v>138</v>
      </c>
      <c r="AF536" s="42" t="s">
        <v>178</v>
      </c>
      <c r="AG536" s="43" t="s">
        <v>179</v>
      </c>
    </row>
    <row r="537" hidden="1">
      <c r="A537" s="23" t="str">
        <f t="array" ref="A537">if(G537='Room Info'!$B$1, INDEX('Room Info'!$A$2:$A3446, MATCH(B537,'Room Info'!$B$2:$B3446, 0)),if(G537='Room Info'!$C$1, INDEX('Room Info'!$A$2:$A3446, MATCH(B537,'Room Info'!$C$2:$C3446, 0)),if(G537='Room Info'!$D$1, INDEX('Room Info'!$A$2:$A3446, MATCH(B537,'Room Info'!$D$2:$D3446, 0)),if(G537='Room Info'!$E$1, INDEX('Room Info'!$A$2:$A3446, MATCH(B537,'Room Info'!$E$2:$E3446, 0)),if(G537='Room Info'!$F$1, INDEX('Room Info'!$A$2:$A3446, MATCH(B537,'Room Info'!$F$2:$F3446, 0)),if(G537='Room Info'!$H$1, INDEX('Room Info'!$A$2:$A3446, MATCH(B537,'Room Info'!$H$2:$H3446, 0)),if(G537='Room Info'!$G$1, INDEX('Room Info'!$A$2:$A3446, MATCH(B537,'Room Info'!$G$2:$G3446, 0)))))))))</f>
        <v>benyya</v>
      </c>
      <c r="B537" s="50" t="s">
        <v>177</v>
      </c>
      <c r="C537" s="51">
        <v>44896.0</v>
      </c>
      <c r="D537" s="51">
        <v>44915.0</v>
      </c>
      <c r="E537" s="52">
        <v>44896.0</v>
      </c>
      <c r="F537" s="53" t="s">
        <v>8</v>
      </c>
      <c r="G537" s="59" t="s">
        <v>5</v>
      </c>
      <c r="H537" s="54" t="s">
        <v>85</v>
      </c>
      <c r="I537" s="54" t="s">
        <v>7</v>
      </c>
      <c r="J537" s="55">
        <v>100.0</v>
      </c>
      <c r="K537" s="56">
        <v>4.0</v>
      </c>
      <c r="L537" s="57">
        <v>300.0</v>
      </c>
      <c r="M537" s="58">
        <v>12.0</v>
      </c>
      <c r="N537" s="33">
        <f t="shared" si="13"/>
        <v>400</v>
      </c>
      <c r="O537" s="59">
        <v>898.0</v>
      </c>
      <c r="P537" s="34">
        <f t="shared" si="14"/>
        <v>224.5</v>
      </c>
      <c r="Q537" s="60"/>
      <c r="R537" s="36">
        <f t="shared" si="99"/>
        <v>12</v>
      </c>
      <c r="S537" s="61">
        <v>145.0</v>
      </c>
      <c r="T537" s="37">
        <f t="shared" si="100"/>
        <v>157</v>
      </c>
      <c r="U537" s="62">
        <v>1.0</v>
      </c>
      <c r="V537" s="63">
        <v>147.51</v>
      </c>
      <c r="W537" s="63">
        <v>85.0</v>
      </c>
      <c r="X537" s="35">
        <f t="shared" si="113"/>
        <v>0.1875</v>
      </c>
      <c r="Y537" s="35">
        <f t="shared" si="114"/>
        <v>0.0625</v>
      </c>
      <c r="Z537" s="40">
        <f t="shared" si="107"/>
        <v>117.75</v>
      </c>
      <c r="AA537" s="34">
        <f t="shared" si="115"/>
        <v>29.4375</v>
      </c>
      <c r="AB537" s="41">
        <f t="shared" si="109"/>
        <v>9.8125</v>
      </c>
      <c r="AC537" s="42" t="b">
        <v>1</v>
      </c>
      <c r="AD537" s="42" t="s">
        <v>138</v>
      </c>
      <c r="AE537" s="42" t="s">
        <v>138</v>
      </c>
      <c r="AF537" s="42" t="s">
        <v>178</v>
      </c>
      <c r="AG537" s="43" t="s">
        <v>179</v>
      </c>
    </row>
    <row r="538" hidden="1">
      <c r="A538" s="23" t="str">
        <f t="array" ref="A538">if(G538='Room Info'!$B$1, INDEX('Room Info'!$A$2:$A3446, MATCH(B538,'Room Info'!$B$2:$B3446, 0)),if(G538='Room Info'!$C$1, INDEX('Room Info'!$A$2:$A3446, MATCH(B538,'Room Info'!$C$2:$C3446, 0)),if(G538='Room Info'!$D$1, INDEX('Room Info'!$A$2:$A3446, MATCH(B538,'Room Info'!$D$2:$D3446, 0)),if(G538='Room Info'!$E$1, INDEX('Room Info'!$A$2:$A3446, MATCH(B538,'Room Info'!$E$2:$E3446, 0)),if(G538='Room Info'!$F$1, INDEX('Room Info'!$A$2:$A3446, MATCH(B538,'Room Info'!$F$2:$F3446, 0)),if(G538='Room Info'!$H$1, INDEX('Room Info'!$A$2:$A3446, MATCH(B538,'Room Info'!$H$2:$H3446, 0)),if(G538='Room Info'!$G$1, INDEX('Room Info'!$A$2:$A3446, MATCH(B538,'Room Info'!$G$2:$G3446, 0)))))))))</f>
        <v>benyya</v>
      </c>
      <c r="B538" s="50" t="s">
        <v>177</v>
      </c>
      <c r="C538" s="51">
        <v>44896.0</v>
      </c>
      <c r="D538" s="51">
        <v>44915.0</v>
      </c>
      <c r="E538" s="52">
        <v>44896.0</v>
      </c>
      <c r="F538" s="53" t="s">
        <v>8</v>
      </c>
      <c r="G538" s="50" t="s">
        <v>5</v>
      </c>
      <c r="H538" s="54" t="s">
        <v>86</v>
      </c>
      <c r="I538" s="54" t="s">
        <v>11</v>
      </c>
      <c r="J538" s="75">
        <v>100.0</v>
      </c>
      <c r="K538" s="76">
        <v>2336.0</v>
      </c>
      <c r="L538" s="77">
        <v>-1200.0</v>
      </c>
      <c r="M538" s="58">
        <v>6979.0</v>
      </c>
      <c r="N538" s="33">
        <f t="shared" si="13"/>
        <v>233600</v>
      </c>
      <c r="O538" s="50">
        <v>24492.0</v>
      </c>
      <c r="P538" s="34">
        <f t="shared" si="14"/>
        <v>10.48458904</v>
      </c>
      <c r="Q538" s="60"/>
      <c r="R538" s="36">
        <f t="shared" si="99"/>
        <v>6979</v>
      </c>
      <c r="S538" s="78">
        <v>-5195.0</v>
      </c>
      <c r="T538" s="37">
        <f t="shared" si="100"/>
        <v>1784</v>
      </c>
      <c r="U538" s="62">
        <v>1.0</v>
      </c>
      <c r="V538" s="63">
        <v>147.51</v>
      </c>
      <c r="W538" s="63">
        <v>85.0</v>
      </c>
      <c r="X538" s="35">
        <f t="shared" si="113"/>
        <v>0.1875</v>
      </c>
      <c r="Y538" s="35">
        <f t="shared" si="114"/>
        <v>0.0625</v>
      </c>
      <c r="Z538" s="40">
        <f t="shared" si="107"/>
        <v>1338</v>
      </c>
      <c r="AA538" s="34">
        <f t="shared" si="115"/>
        <v>334.5</v>
      </c>
      <c r="AB538" s="41">
        <f t="shared" si="109"/>
        <v>111.5</v>
      </c>
      <c r="AC538" s="42" t="b">
        <v>1</v>
      </c>
      <c r="AD538" s="42" t="s">
        <v>138</v>
      </c>
      <c r="AE538" s="42" t="s">
        <v>138</v>
      </c>
      <c r="AF538" s="42" t="s">
        <v>178</v>
      </c>
      <c r="AG538" s="43" t="s">
        <v>179</v>
      </c>
    </row>
    <row r="539" hidden="1">
      <c r="A539" s="23" t="str">
        <f t="array" ref="A539">if(G539='Room Info'!$B$1, INDEX('Room Info'!$A$2:$A3446, MATCH(B539,'Room Info'!$B$2:$B3446, 0)),if(G539='Room Info'!$C$1, INDEX('Room Info'!$A$2:$A3446, MATCH(B539,'Room Info'!$C$2:$C3446, 0)),if(G539='Room Info'!$D$1, INDEX('Room Info'!$A$2:$A3446, MATCH(B539,'Room Info'!$D$2:$D3446, 0)),if(G539='Room Info'!$E$1, INDEX('Room Info'!$A$2:$A3446, MATCH(B539,'Room Info'!$E$2:$E3446, 0)),if(G539='Room Info'!$F$1, INDEX('Room Info'!$A$2:$A3446, MATCH(B539,'Room Info'!$F$2:$F3446, 0)),if(G539='Room Info'!$H$1, INDEX('Room Info'!$A$2:$A3446, MATCH(B539,'Room Info'!$H$2:$H3446, 0)),if(G539='Room Info'!$G$1, INDEX('Room Info'!$A$2:$A3446, MATCH(B539,'Room Info'!$G$2:$G3446, 0)))))))))</f>
        <v>benyya</v>
      </c>
      <c r="B539" s="50" t="s">
        <v>177</v>
      </c>
      <c r="C539" s="51">
        <v>44896.0</v>
      </c>
      <c r="D539" s="51">
        <v>44915.0</v>
      </c>
      <c r="E539" s="52">
        <v>44896.0</v>
      </c>
      <c r="F539" s="53" t="s">
        <v>8</v>
      </c>
      <c r="G539" s="50" t="s">
        <v>5</v>
      </c>
      <c r="H539" s="54" t="s">
        <v>96</v>
      </c>
      <c r="I539" s="54" t="s">
        <v>7</v>
      </c>
      <c r="J539" s="75">
        <v>250.0</v>
      </c>
      <c r="K539" s="76">
        <v>794.0</v>
      </c>
      <c r="L539" s="77">
        <v>-8750.0</v>
      </c>
      <c r="M539" s="58">
        <v>5931.0</v>
      </c>
      <c r="N539" s="33">
        <f t="shared" si="13"/>
        <v>198500</v>
      </c>
      <c r="O539" s="50">
        <v>10366.0</v>
      </c>
      <c r="P539" s="34">
        <f t="shared" si="14"/>
        <v>13.05541562</v>
      </c>
      <c r="Q539" s="60"/>
      <c r="R539" s="36">
        <f t="shared" si="99"/>
        <v>5931</v>
      </c>
      <c r="S539" s="78">
        <v>-5569.0</v>
      </c>
      <c r="T539" s="37">
        <f t="shared" si="100"/>
        <v>362</v>
      </c>
      <c r="U539" s="62">
        <v>1.0</v>
      </c>
      <c r="V539" s="63">
        <v>147.51</v>
      </c>
      <c r="W539" s="63">
        <v>85.0</v>
      </c>
      <c r="X539" s="35">
        <f t="shared" si="113"/>
        <v>0.1875</v>
      </c>
      <c r="Y539" s="35">
        <f t="shared" si="114"/>
        <v>0.0625</v>
      </c>
      <c r="Z539" s="40">
        <f t="shared" si="107"/>
        <v>271.5</v>
      </c>
      <c r="AA539" s="34">
        <f t="shared" si="115"/>
        <v>67.875</v>
      </c>
      <c r="AB539" s="41">
        <f t="shared" si="109"/>
        <v>22.625</v>
      </c>
      <c r="AC539" s="42" t="b">
        <v>1</v>
      </c>
      <c r="AD539" s="42" t="s">
        <v>138</v>
      </c>
      <c r="AE539" s="42" t="s">
        <v>138</v>
      </c>
      <c r="AF539" s="42" t="s">
        <v>178</v>
      </c>
      <c r="AG539" s="43" t="s">
        <v>179</v>
      </c>
    </row>
    <row r="540" hidden="1">
      <c r="A540" s="23" t="str">
        <f t="array" ref="A540">if(G540='Room Info'!$B$1, INDEX('Room Info'!$A$2:$A3446, MATCH(B540,'Room Info'!$B$2:$B3446, 0)),if(G540='Room Info'!$C$1, INDEX('Room Info'!$A$2:$A3446, MATCH(B540,'Room Info'!$C$2:$C3446, 0)),if(G540='Room Info'!$D$1, INDEX('Room Info'!$A$2:$A3446, MATCH(B540,'Room Info'!$D$2:$D3446, 0)),if(G540='Room Info'!$E$1, INDEX('Room Info'!$A$2:$A3446, MATCH(B540,'Room Info'!$E$2:$E3446, 0)),if(G540='Room Info'!$F$1, INDEX('Room Info'!$A$2:$A3446, MATCH(B540,'Room Info'!$F$2:$F3446, 0)),if(G540='Room Info'!$H$1, INDEX('Room Info'!$A$2:$A3446, MATCH(B540,'Room Info'!$H$2:$H3446, 0)),if(G540='Room Info'!$G$1, INDEX('Room Info'!$A$2:$A3446, MATCH(B540,'Room Info'!$G$2:$G3446, 0)))))))))</f>
        <v>benyya</v>
      </c>
      <c r="B540" s="50" t="s">
        <v>177</v>
      </c>
      <c r="C540" s="51">
        <v>44896.0</v>
      </c>
      <c r="D540" s="51">
        <v>44915.0</v>
      </c>
      <c r="E540" s="52">
        <v>44896.0</v>
      </c>
      <c r="F540" s="53" t="s">
        <v>8</v>
      </c>
      <c r="G540" s="50" t="s">
        <v>5</v>
      </c>
      <c r="H540" s="54" t="s">
        <v>97</v>
      </c>
      <c r="I540" s="54" t="s">
        <v>11</v>
      </c>
      <c r="J540" s="75">
        <v>250.0</v>
      </c>
      <c r="K540" s="76">
        <v>1506.0</v>
      </c>
      <c r="L540" s="77">
        <v>-7500.0</v>
      </c>
      <c r="M540" s="58">
        <v>11449.0</v>
      </c>
      <c r="N540" s="33">
        <f t="shared" si="13"/>
        <v>376500</v>
      </c>
      <c r="O540" s="50">
        <v>5426.0</v>
      </c>
      <c r="P540" s="34">
        <f t="shared" si="14"/>
        <v>3.602921647</v>
      </c>
      <c r="Q540" s="60"/>
      <c r="R540" s="36">
        <f t="shared" si="99"/>
        <v>11449</v>
      </c>
      <c r="S540" s="78">
        <v>-15551.0</v>
      </c>
      <c r="T540" s="37">
        <f t="shared" si="100"/>
        <v>-4102</v>
      </c>
      <c r="U540" s="62">
        <v>1.0</v>
      </c>
      <c r="V540" s="63">
        <v>147.51</v>
      </c>
      <c r="W540" s="63">
        <v>85.0</v>
      </c>
      <c r="X540" s="35">
        <f t="shared" si="113"/>
        <v>0.1875</v>
      </c>
      <c r="Y540" s="35">
        <f t="shared" si="114"/>
        <v>0.0625</v>
      </c>
      <c r="Z540" s="40">
        <f t="shared" si="107"/>
        <v>-3076.5</v>
      </c>
      <c r="AA540" s="34">
        <f t="shared" si="115"/>
        <v>-769.125</v>
      </c>
      <c r="AB540" s="41">
        <f t="shared" si="109"/>
        <v>-256.375</v>
      </c>
      <c r="AC540" s="42" t="b">
        <v>1</v>
      </c>
      <c r="AD540" s="42" t="s">
        <v>138</v>
      </c>
      <c r="AE540" s="42" t="s">
        <v>138</v>
      </c>
      <c r="AF540" s="42" t="s">
        <v>178</v>
      </c>
      <c r="AG540" s="43" t="s">
        <v>179</v>
      </c>
    </row>
    <row r="541" hidden="1">
      <c r="A541" s="23" t="str">
        <f t="array" ref="A541">if(G541='Room Info'!$B$1, INDEX('Room Info'!$A$2:$A3446, MATCH(B541,'Room Info'!$B$2:$B3446, 0)),if(G541='Room Info'!$C$1, INDEX('Room Info'!$A$2:$A3446, MATCH(B541,'Room Info'!$C$2:$C3446, 0)),if(G541='Room Info'!$D$1, INDEX('Room Info'!$A$2:$A3446, MATCH(B541,'Room Info'!$D$2:$D3446, 0)),if(G541='Room Info'!$E$1, INDEX('Room Info'!$A$2:$A3446, MATCH(B541,'Room Info'!$E$2:$E3446, 0)),if(G541='Room Info'!$F$1, INDEX('Room Info'!$A$2:$A3446, MATCH(B541,'Room Info'!$F$2:$F3446, 0)),if(G541='Room Info'!$H$1, INDEX('Room Info'!$A$2:$A3446, MATCH(B541,'Room Info'!$H$2:$H3446, 0)),if(G541='Room Info'!$G$1, INDEX('Room Info'!$A$2:$A3446, MATCH(B541,'Room Info'!$G$2:$G3446, 0)))))))))</f>
        <v>benyya</v>
      </c>
      <c r="B541" s="50" t="s">
        <v>177</v>
      </c>
      <c r="C541" s="51">
        <v>44896.0</v>
      </c>
      <c r="D541" s="51">
        <v>44915.0</v>
      </c>
      <c r="E541" s="52">
        <v>44896.0</v>
      </c>
      <c r="F541" s="53" t="s">
        <v>8</v>
      </c>
      <c r="G541" s="50" t="s">
        <v>5</v>
      </c>
      <c r="H541" s="54" t="s">
        <v>101</v>
      </c>
      <c r="I541" s="54" t="s">
        <v>7</v>
      </c>
      <c r="J541" s="55">
        <v>500.0</v>
      </c>
      <c r="K541" s="56">
        <v>301.0</v>
      </c>
      <c r="L541" s="57">
        <v>-35500.0</v>
      </c>
      <c r="M541" s="58">
        <v>4497.0</v>
      </c>
      <c r="N541" s="33">
        <f t="shared" si="13"/>
        <v>150500</v>
      </c>
      <c r="O541" s="59">
        <v>-13783.0</v>
      </c>
      <c r="P541" s="34">
        <f t="shared" si="14"/>
        <v>-45.79069767</v>
      </c>
      <c r="Q541" s="60"/>
      <c r="R541" s="36">
        <f t="shared" si="99"/>
        <v>4497</v>
      </c>
      <c r="S541" s="61">
        <v>-20754.0</v>
      </c>
      <c r="T541" s="37">
        <f t="shared" si="100"/>
        <v>-16257</v>
      </c>
      <c r="U541" s="62">
        <v>1.0</v>
      </c>
      <c r="V541" s="63">
        <v>147.51</v>
      </c>
      <c r="W541" s="63">
        <v>85.0</v>
      </c>
      <c r="X541" s="35">
        <f t="shared" si="113"/>
        <v>0.1875</v>
      </c>
      <c r="Y541" s="35">
        <f t="shared" si="114"/>
        <v>0.0625</v>
      </c>
      <c r="Z541" s="40">
        <f t="shared" si="107"/>
        <v>-12192.75</v>
      </c>
      <c r="AA541" s="34">
        <f t="shared" si="115"/>
        <v>-3048.1875</v>
      </c>
      <c r="AB541" s="41">
        <f t="shared" si="109"/>
        <v>-1016.0625</v>
      </c>
      <c r="AC541" s="42" t="b">
        <v>1</v>
      </c>
      <c r="AD541" s="42" t="s">
        <v>138</v>
      </c>
      <c r="AE541" s="42" t="s">
        <v>138</v>
      </c>
      <c r="AF541" s="42" t="s">
        <v>178</v>
      </c>
      <c r="AG541" s="43" t="s">
        <v>179</v>
      </c>
    </row>
    <row r="542" hidden="1">
      <c r="A542" s="23" t="str">
        <f t="array" ref="A542">if(G542='Room Info'!$B$1, INDEX('Room Info'!$A$2:$A3446, MATCH(B542,'Room Info'!$B$2:$B3446, 0)),if(G542='Room Info'!$C$1, INDEX('Room Info'!$A$2:$A3446, MATCH(B542,'Room Info'!$C$2:$C3446, 0)),if(G542='Room Info'!$D$1, INDEX('Room Info'!$A$2:$A3446, MATCH(B542,'Room Info'!$D$2:$D3446, 0)),if(G542='Room Info'!$E$1, INDEX('Room Info'!$A$2:$A3446, MATCH(B542,'Room Info'!$E$2:$E3446, 0)),if(G542='Room Info'!$F$1, INDEX('Room Info'!$A$2:$A3446, MATCH(B542,'Room Info'!$F$2:$F3446, 0)),if(G542='Room Info'!$H$1, INDEX('Room Info'!$A$2:$A3446, MATCH(B542,'Room Info'!$H$2:$H3446, 0)),if(G542='Room Info'!$G$1, INDEX('Room Info'!$A$2:$A3446, MATCH(B542,'Room Info'!$G$2:$G3446, 0)))))))))</f>
        <v>benyya</v>
      </c>
      <c r="B542" s="50" t="s">
        <v>177</v>
      </c>
      <c r="C542" s="51">
        <v>44896.0</v>
      </c>
      <c r="D542" s="51">
        <v>44915.0</v>
      </c>
      <c r="E542" s="52">
        <v>44896.0</v>
      </c>
      <c r="F542" s="53" t="s">
        <v>8</v>
      </c>
      <c r="G542" s="50" t="s">
        <v>5</v>
      </c>
      <c r="H542" s="54" t="s">
        <v>102</v>
      </c>
      <c r="I542" s="54" t="s">
        <v>11</v>
      </c>
      <c r="J542" s="55">
        <v>500.0</v>
      </c>
      <c r="K542" s="56">
        <v>126.0</v>
      </c>
      <c r="L542" s="57">
        <v>-5000.0</v>
      </c>
      <c r="M542" s="58">
        <v>1882.0</v>
      </c>
      <c r="N542" s="33">
        <f t="shared" si="13"/>
        <v>63000</v>
      </c>
      <c r="O542" s="59">
        <v>-974.0</v>
      </c>
      <c r="P542" s="34">
        <f t="shared" si="14"/>
        <v>-7.73015873</v>
      </c>
      <c r="Q542" s="60"/>
      <c r="R542" s="36">
        <f t="shared" si="99"/>
        <v>1882</v>
      </c>
      <c r="S542" s="61">
        <v>-4790.0</v>
      </c>
      <c r="T542" s="37">
        <f t="shared" si="100"/>
        <v>-2908</v>
      </c>
      <c r="U542" s="62">
        <v>1.0</v>
      </c>
      <c r="V542" s="63">
        <v>147.51</v>
      </c>
      <c r="W542" s="63">
        <v>85.0</v>
      </c>
      <c r="X542" s="35">
        <f t="shared" si="113"/>
        <v>0.1875</v>
      </c>
      <c r="Y542" s="35">
        <f t="shared" si="114"/>
        <v>0.0625</v>
      </c>
      <c r="Z542" s="40">
        <f t="shared" si="107"/>
        <v>-2181</v>
      </c>
      <c r="AA542" s="34">
        <f t="shared" si="115"/>
        <v>-545.25</v>
      </c>
      <c r="AB542" s="41">
        <f t="shared" si="109"/>
        <v>-181.75</v>
      </c>
      <c r="AC542" s="42" t="b">
        <v>1</v>
      </c>
      <c r="AD542" s="42" t="s">
        <v>138</v>
      </c>
      <c r="AE542" s="42" t="s">
        <v>138</v>
      </c>
      <c r="AF542" s="42" t="s">
        <v>178</v>
      </c>
      <c r="AG542" s="43" t="s">
        <v>179</v>
      </c>
    </row>
    <row r="543" hidden="1">
      <c r="A543" s="23" t="str">
        <f t="array" ref="A543">if(G543='Room Info'!$B$1, INDEX('Room Info'!$A$2:$A3446, MATCH(B543,'Room Info'!$B$2:$B3446, 0)),if(G543='Room Info'!$C$1, INDEX('Room Info'!$A$2:$A3446, MATCH(B543,'Room Info'!$C$2:$C3446, 0)),if(G543='Room Info'!$D$1, INDEX('Room Info'!$A$2:$A3446, MATCH(B543,'Room Info'!$D$2:$D3446, 0)),if(G543='Room Info'!$E$1, INDEX('Room Info'!$A$2:$A3446, MATCH(B543,'Room Info'!$E$2:$E3446, 0)),if(G543='Room Info'!$F$1, INDEX('Room Info'!$A$2:$A3446, MATCH(B543,'Room Info'!$F$2:$F3446, 0)),if(G543='Room Info'!$H$1, INDEX('Room Info'!$A$2:$A3446, MATCH(B543,'Room Info'!$H$2:$H3446, 0)),if(G543='Room Info'!$G$1, INDEX('Room Info'!$A$2:$A3446, MATCH(B543,'Room Info'!$G$2:$G3446, 0)))))))))</f>
        <v>benyya</v>
      </c>
      <c r="B543" s="50" t="s">
        <v>177</v>
      </c>
      <c r="C543" s="51">
        <v>44916.0</v>
      </c>
      <c r="D543" s="51">
        <v>44957.0</v>
      </c>
      <c r="E543" s="52">
        <v>44927.0</v>
      </c>
      <c r="F543" s="50" t="s">
        <v>8</v>
      </c>
      <c r="G543" s="59" t="s">
        <v>5</v>
      </c>
      <c r="H543" s="54" t="s">
        <v>75</v>
      </c>
      <c r="I543" s="54" t="s">
        <v>11</v>
      </c>
      <c r="J543" s="55">
        <v>50.0</v>
      </c>
      <c r="K543" s="56">
        <v>803.0</v>
      </c>
      <c r="L543" s="57">
        <v>850.0</v>
      </c>
      <c r="M543" s="58">
        <v>2329.0</v>
      </c>
      <c r="N543" s="33">
        <f t="shared" si="13"/>
        <v>40150</v>
      </c>
      <c r="O543" s="59">
        <v>9926.0</v>
      </c>
      <c r="P543" s="34">
        <f t="shared" si="14"/>
        <v>12.3611457</v>
      </c>
      <c r="Q543" s="60"/>
      <c r="R543" s="36">
        <f t="shared" si="99"/>
        <v>2329</v>
      </c>
      <c r="S543" s="61">
        <v>-964.0</v>
      </c>
      <c r="T543" s="37">
        <f t="shared" si="100"/>
        <v>1365</v>
      </c>
      <c r="U543" s="62">
        <v>1.0</v>
      </c>
      <c r="V543" s="63">
        <v>147.51</v>
      </c>
      <c r="W543" s="63">
        <v>85.0</v>
      </c>
      <c r="X543" s="35">
        <f t="shared" si="113"/>
        <v>0.1875</v>
      </c>
      <c r="Y543" s="35">
        <f t="shared" si="114"/>
        <v>0.0625</v>
      </c>
      <c r="Z543" s="40">
        <f t="shared" si="107"/>
        <v>1023.75</v>
      </c>
      <c r="AA543" s="34">
        <f t="shared" si="115"/>
        <v>255.9375</v>
      </c>
      <c r="AB543" s="41">
        <f t="shared" si="109"/>
        <v>85.3125</v>
      </c>
      <c r="AC543" s="42" t="b">
        <v>1</v>
      </c>
      <c r="AD543" s="42" t="s">
        <v>138</v>
      </c>
      <c r="AE543" s="42" t="s">
        <v>138</v>
      </c>
      <c r="AF543" s="42" t="s">
        <v>178</v>
      </c>
      <c r="AG543" s="43" t="s">
        <v>179</v>
      </c>
    </row>
    <row r="544" hidden="1">
      <c r="A544" s="23" t="str">
        <f t="array" ref="A544">if(G544='Room Info'!$B$1, INDEX('Room Info'!$A$2:$A3446, MATCH(B544,'Room Info'!$B$2:$B3446, 0)),if(G544='Room Info'!$C$1, INDEX('Room Info'!$A$2:$A3446, MATCH(B544,'Room Info'!$C$2:$C3446, 0)),if(G544='Room Info'!$D$1, INDEX('Room Info'!$A$2:$A3446, MATCH(B544,'Room Info'!$D$2:$D3446, 0)),if(G544='Room Info'!$E$1, INDEX('Room Info'!$A$2:$A3446, MATCH(B544,'Room Info'!$E$2:$E3446, 0)),if(G544='Room Info'!$F$1, INDEX('Room Info'!$A$2:$A3446, MATCH(B544,'Room Info'!$F$2:$F3446, 0)),if(G544='Room Info'!$H$1, INDEX('Room Info'!$A$2:$A3446, MATCH(B544,'Room Info'!$H$2:$H3446, 0)),if(G544='Room Info'!$G$1, INDEX('Room Info'!$A$2:$A3446, MATCH(B544,'Room Info'!$G$2:$G3446, 0)))))))))</f>
        <v>benyya</v>
      </c>
      <c r="B544" s="50" t="s">
        <v>177</v>
      </c>
      <c r="C544" s="51">
        <v>44916.0</v>
      </c>
      <c r="D544" s="51">
        <v>44957.0</v>
      </c>
      <c r="E544" s="52">
        <v>44927.0</v>
      </c>
      <c r="F544" s="53" t="s">
        <v>8</v>
      </c>
      <c r="G544" s="50" t="s">
        <v>5</v>
      </c>
      <c r="H544" s="54" t="s">
        <v>85</v>
      </c>
      <c r="I544" s="54" t="s">
        <v>7</v>
      </c>
      <c r="J544" s="75">
        <v>100.0</v>
      </c>
      <c r="K544" s="76">
        <v>7.0</v>
      </c>
      <c r="L544" s="77">
        <v>0.0</v>
      </c>
      <c r="M544" s="58">
        <v>34.0</v>
      </c>
      <c r="N544" s="33">
        <f t="shared" si="13"/>
        <v>700</v>
      </c>
      <c r="O544" s="50">
        <v>-1229.0</v>
      </c>
      <c r="P544" s="34">
        <f t="shared" si="14"/>
        <v>-175.5714286</v>
      </c>
      <c r="Q544" s="60"/>
      <c r="R544" s="36">
        <f t="shared" si="99"/>
        <v>34</v>
      </c>
      <c r="S544" s="78">
        <v>-267.0</v>
      </c>
      <c r="T544" s="37">
        <f t="shared" si="100"/>
        <v>-233</v>
      </c>
      <c r="U544" s="62">
        <v>1.0</v>
      </c>
      <c r="V544" s="63">
        <v>147.51</v>
      </c>
      <c r="W544" s="63">
        <v>85.0</v>
      </c>
      <c r="X544" s="35">
        <f t="shared" si="113"/>
        <v>0.1875</v>
      </c>
      <c r="Y544" s="35">
        <f t="shared" si="114"/>
        <v>0.0625</v>
      </c>
      <c r="Z544" s="40">
        <f t="shared" si="107"/>
        <v>-174.75</v>
      </c>
      <c r="AA544" s="34">
        <f t="shared" si="115"/>
        <v>-43.6875</v>
      </c>
      <c r="AB544" s="41">
        <f t="shared" si="109"/>
        <v>-14.5625</v>
      </c>
      <c r="AC544" s="42" t="b">
        <v>1</v>
      </c>
      <c r="AD544" s="42" t="s">
        <v>138</v>
      </c>
      <c r="AE544" s="42" t="s">
        <v>138</v>
      </c>
      <c r="AF544" s="42" t="s">
        <v>178</v>
      </c>
      <c r="AG544" s="43" t="s">
        <v>179</v>
      </c>
    </row>
    <row r="545" hidden="1">
      <c r="A545" s="23" t="str">
        <f t="array" ref="A545">if(G545='Room Info'!$B$1, INDEX('Room Info'!$A$2:$A3446, MATCH(B545,'Room Info'!$B$2:$B3446, 0)),if(G545='Room Info'!$C$1, INDEX('Room Info'!$A$2:$A3446, MATCH(B545,'Room Info'!$C$2:$C3446, 0)),if(G545='Room Info'!$D$1, INDEX('Room Info'!$A$2:$A3446, MATCH(B545,'Room Info'!$D$2:$D3446, 0)),if(G545='Room Info'!$E$1, INDEX('Room Info'!$A$2:$A3446, MATCH(B545,'Room Info'!$E$2:$E3446, 0)),if(G545='Room Info'!$F$1, INDEX('Room Info'!$A$2:$A3446, MATCH(B545,'Room Info'!$F$2:$F3446, 0)),if(G545='Room Info'!$H$1, INDEX('Room Info'!$A$2:$A3446, MATCH(B545,'Room Info'!$H$2:$H3446, 0)),if(G545='Room Info'!$G$1, INDEX('Room Info'!$A$2:$A3446, MATCH(B545,'Room Info'!$G$2:$G3446, 0)))))))))</f>
        <v>benyya</v>
      </c>
      <c r="B545" s="50" t="s">
        <v>177</v>
      </c>
      <c r="C545" s="51">
        <v>44916.0</v>
      </c>
      <c r="D545" s="51">
        <v>44957.0</v>
      </c>
      <c r="E545" s="52">
        <v>44927.0</v>
      </c>
      <c r="F545" s="50" t="s">
        <v>8</v>
      </c>
      <c r="G545" s="50" t="s">
        <v>5</v>
      </c>
      <c r="H545" s="54" t="s">
        <v>86</v>
      </c>
      <c r="I545" s="54" t="s">
        <v>11</v>
      </c>
      <c r="J545" s="75">
        <v>100.0</v>
      </c>
      <c r="K545" s="76">
        <v>7092.0</v>
      </c>
      <c r="L545" s="57">
        <v>-18800.0</v>
      </c>
      <c r="M545" s="58">
        <v>34284.0</v>
      </c>
      <c r="N545" s="33">
        <f t="shared" si="13"/>
        <v>709200</v>
      </c>
      <c r="O545" s="59">
        <v>67155.0</v>
      </c>
      <c r="P545" s="34">
        <f t="shared" si="14"/>
        <v>9.469120135</v>
      </c>
      <c r="Q545" s="60"/>
      <c r="R545" s="36">
        <f t="shared" si="99"/>
        <v>34284</v>
      </c>
      <c r="S545" s="61">
        <v>-15645.0</v>
      </c>
      <c r="T545" s="37">
        <f t="shared" si="100"/>
        <v>18639</v>
      </c>
      <c r="U545" s="62">
        <v>1.0</v>
      </c>
      <c r="V545" s="63">
        <v>147.51</v>
      </c>
      <c r="W545" s="63">
        <v>85.0</v>
      </c>
      <c r="X545" s="35">
        <f t="shared" si="113"/>
        <v>0.1875</v>
      </c>
      <c r="Y545" s="35">
        <f t="shared" si="114"/>
        <v>0.0625</v>
      </c>
      <c r="Z545" s="40">
        <f t="shared" si="107"/>
        <v>13979.25</v>
      </c>
      <c r="AA545" s="34">
        <f t="shared" si="115"/>
        <v>3494.8125</v>
      </c>
      <c r="AB545" s="41">
        <f t="shared" si="109"/>
        <v>1164.9375</v>
      </c>
      <c r="AC545" s="42" t="b">
        <v>1</v>
      </c>
      <c r="AD545" s="42" t="s">
        <v>138</v>
      </c>
      <c r="AE545" s="42" t="s">
        <v>138</v>
      </c>
      <c r="AF545" s="42" t="s">
        <v>178</v>
      </c>
      <c r="AG545" s="43" t="s">
        <v>179</v>
      </c>
    </row>
    <row r="546" hidden="1">
      <c r="A546" s="23" t="str">
        <f t="array" ref="A546">if(G546='Room Info'!$B$1, INDEX('Room Info'!$A$2:$A3446, MATCH(B546,'Room Info'!$B$2:$B3446, 0)),if(G546='Room Info'!$C$1, INDEX('Room Info'!$A$2:$A3446, MATCH(B546,'Room Info'!$C$2:$C3446, 0)),if(G546='Room Info'!$D$1, INDEX('Room Info'!$A$2:$A3446, MATCH(B546,'Room Info'!$D$2:$D3446, 0)),if(G546='Room Info'!$E$1, INDEX('Room Info'!$A$2:$A3446, MATCH(B546,'Room Info'!$E$2:$E3446, 0)),if(G546='Room Info'!$F$1, INDEX('Room Info'!$A$2:$A3446, MATCH(B546,'Room Info'!$F$2:$F3446, 0)),if(G546='Room Info'!$H$1, INDEX('Room Info'!$A$2:$A3446, MATCH(B546,'Room Info'!$H$2:$H3446, 0)),if(G546='Room Info'!$G$1, INDEX('Room Info'!$A$2:$A3446, MATCH(B546,'Room Info'!$G$2:$G3446, 0)))))))))</f>
        <v>benyya</v>
      </c>
      <c r="B546" s="50" t="s">
        <v>177</v>
      </c>
      <c r="C546" s="51">
        <v>44916.0</v>
      </c>
      <c r="D546" s="51">
        <v>44957.0</v>
      </c>
      <c r="E546" s="52">
        <v>44927.0</v>
      </c>
      <c r="F546" s="50" t="s">
        <v>8</v>
      </c>
      <c r="G546" s="50" t="s">
        <v>5</v>
      </c>
      <c r="H546" s="54" t="s">
        <v>96</v>
      </c>
      <c r="I546" s="54" t="s">
        <v>7</v>
      </c>
      <c r="J546" s="75">
        <v>250.0</v>
      </c>
      <c r="K546" s="76">
        <v>1732.0</v>
      </c>
      <c r="L546" s="57">
        <v>-6500.0</v>
      </c>
      <c r="M546" s="58">
        <v>20932.0</v>
      </c>
      <c r="N546" s="33">
        <f t="shared" si="13"/>
        <v>433000</v>
      </c>
      <c r="O546" s="59">
        <v>56397.0</v>
      </c>
      <c r="P546" s="34">
        <f t="shared" si="14"/>
        <v>32.56177829</v>
      </c>
      <c r="Q546" s="60"/>
      <c r="R546" s="36">
        <f t="shared" si="99"/>
        <v>20932</v>
      </c>
      <c r="S546" s="61">
        <v>4929.0</v>
      </c>
      <c r="T546" s="37">
        <f t="shared" si="100"/>
        <v>25861</v>
      </c>
      <c r="U546" s="62">
        <v>1.0</v>
      </c>
      <c r="V546" s="63">
        <v>147.51</v>
      </c>
      <c r="W546" s="63">
        <v>85.0</v>
      </c>
      <c r="X546" s="35">
        <f t="shared" si="113"/>
        <v>0.1875</v>
      </c>
      <c r="Y546" s="35">
        <f t="shared" si="114"/>
        <v>0.0625</v>
      </c>
      <c r="Z546" s="40">
        <f t="shared" si="107"/>
        <v>19395.75</v>
      </c>
      <c r="AA546" s="34">
        <f t="shared" si="115"/>
        <v>4848.9375</v>
      </c>
      <c r="AB546" s="41">
        <f t="shared" si="109"/>
        <v>1616.3125</v>
      </c>
      <c r="AC546" s="42" t="b">
        <v>1</v>
      </c>
      <c r="AD546" s="42" t="s">
        <v>138</v>
      </c>
      <c r="AE546" s="42" t="s">
        <v>138</v>
      </c>
      <c r="AF546" s="42" t="s">
        <v>178</v>
      </c>
      <c r="AG546" s="43" t="s">
        <v>179</v>
      </c>
    </row>
    <row r="547" hidden="1">
      <c r="A547" s="23" t="str">
        <f t="array" ref="A547">if(G547='Room Info'!$B$1, INDEX('Room Info'!$A$2:$A3446, MATCH(B547,'Room Info'!$B$2:$B3446, 0)),if(G547='Room Info'!$C$1, INDEX('Room Info'!$A$2:$A3446, MATCH(B547,'Room Info'!$C$2:$C3446, 0)),if(G547='Room Info'!$D$1, INDEX('Room Info'!$A$2:$A3446, MATCH(B547,'Room Info'!$D$2:$D3446, 0)),if(G547='Room Info'!$E$1, INDEX('Room Info'!$A$2:$A3446, MATCH(B547,'Room Info'!$E$2:$E3446, 0)),if(G547='Room Info'!$F$1, INDEX('Room Info'!$A$2:$A3446, MATCH(B547,'Room Info'!$F$2:$F3446, 0)),if(G547='Room Info'!$H$1, INDEX('Room Info'!$A$2:$A3446, MATCH(B547,'Room Info'!$H$2:$H3446, 0)),if(G547='Room Info'!$G$1, INDEX('Room Info'!$A$2:$A3446, MATCH(B547,'Room Info'!$G$2:$G3446, 0)))))))))</f>
        <v>benyya</v>
      </c>
      <c r="B547" s="50" t="s">
        <v>177</v>
      </c>
      <c r="C547" s="51">
        <v>44916.0</v>
      </c>
      <c r="D547" s="51">
        <v>44957.0</v>
      </c>
      <c r="E547" s="52">
        <v>44927.0</v>
      </c>
      <c r="F547" s="50" t="s">
        <v>8</v>
      </c>
      <c r="G547" s="50" t="s">
        <v>5</v>
      </c>
      <c r="H547" s="54" t="s">
        <v>97</v>
      </c>
      <c r="I547" s="54" t="s">
        <v>11</v>
      </c>
      <c r="J547" s="55">
        <v>250.0</v>
      </c>
      <c r="K547" s="56">
        <v>1682.0</v>
      </c>
      <c r="L547" s="57">
        <v>-22750.0</v>
      </c>
      <c r="M547" s="58">
        <v>20328.0</v>
      </c>
      <c r="N547" s="33">
        <f t="shared" si="13"/>
        <v>420500</v>
      </c>
      <c r="O547" s="59">
        <v>16267.0</v>
      </c>
      <c r="P547" s="34">
        <f t="shared" si="14"/>
        <v>9.671224732</v>
      </c>
      <c r="Q547" s="60"/>
      <c r="R547" s="36">
        <f t="shared" si="99"/>
        <v>20328</v>
      </c>
      <c r="S547" s="61">
        <v>-7883.0</v>
      </c>
      <c r="T547" s="37">
        <f t="shared" si="100"/>
        <v>12445</v>
      </c>
      <c r="U547" s="62">
        <v>1.0</v>
      </c>
      <c r="V547" s="63">
        <v>147.51</v>
      </c>
      <c r="W547" s="63">
        <v>85.0</v>
      </c>
      <c r="X547" s="35">
        <f t="shared" si="113"/>
        <v>0.1875</v>
      </c>
      <c r="Y547" s="35">
        <f t="shared" si="114"/>
        <v>0.0625</v>
      </c>
      <c r="Z547" s="40">
        <f t="shared" si="107"/>
        <v>9333.75</v>
      </c>
      <c r="AA547" s="34">
        <f t="shared" si="115"/>
        <v>2333.4375</v>
      </c>
      <c r="AB547" s="41">
        <f t="shared" si="109"/>
        <v>777.8125</v>
      </c>
      <c r="AC547" s="42" t="b">
        <v>1</v>
      </c>
      <c r="AD547" s="42" t="s">
        <v>138</v>
      </c>
      <c r="AE547" s="42" t="s">
        <v>138</v>
      </c>
      <c r="AF547" s="42" t="s">
        <v>178</v>
      </c>
      <c r="AG547" s="43" t="s">
        <v>179</v>
      </c>
    </row>
    <row r="548" hidden="1">
      <c r="A548" s="23" t="str">
        <f t="array" ref="A548">if(G548='Room Info'!$B$1, INDEX('Room Info'!$A$2:$A3446, MATCH(B548,'Room Info'!$B$2:$B3446, 0)),if(G548='Room Info'!$C$1, INDEX('Room Info'!$A$2:$A3446, MATCH(B548,'Room Info'!$C$2:$C3446, 0)),if(G548='Room Info'!$D$1, INDEX('Room Info'!$A$2:$A3446, MATCH(B548,'Room Info'!$D$2:$D3446, 0)),if(G548='Room Info'!$E$1, INDEX('Room Info'!$A$2:$A3446, MATCH(B548,'Room Info'!$E$2:$E3446, 0)),if(G548='Room Info'!$F$1, INDEX('Room Info'!$A$2:$A3446, MATCH(B548,'Room Info'!$F$2:$F3446, 0)),if(G548='Room Info'!$H$1, INDEX('Room Info'!$A$2:$A3446, MATCH(B548,'Room Info'!$H$2:$H3446, 0)),if(G548='Room Info'!$G$1, INDEX('Room Info'!$A$2:$A3446, MATCH(B548,'Room Info'!$G$2:$G3446, 0)))))))))</f>
        <v>benyya</v>
      </c>
      <c r="B548" s="50" t="s">
        <v>177</v>
      </c>
      <c r="C548" s="51">
        <v>44916.0</v>
      </c>
      <c r="D548" s="51">
        <v>44957.0</v>
      </c>
      <c r="E548" s="52">
        <v>44927.0</v>
      </c>
      <c r="F548" s="50" t="s">
        <v>8</v>
      </c>
      <c r="G548" s="59" t="s">
        <v>5</v>
      </c>
      <c r="H548" s="54" t="s">
        <v>101</v>
      </c>
      <c r="I548" s="54" t="s">
        <v>7</v>
      </c>
      <c r="J548" s="55">
        <v>500.0</v>
      </c>
      <c r="K548" s="56">
        <v>146.0</v>
      </c>
      <c r="L548" s="57">
        <v>36500.0</v>
      </c>
      <c r="M548" s="58">
        <v>3529.0</v>
      </c>
      <c r="N548" s="33">
        <f t="shared" si="13"/>
        <v>73000</v>
      </c>
      <c r="O548" s="59">
        <v>-3811.0</v>
      </c>
      <c r="P548" s="34">
        <f t="shared" si="14"/>
        <v>-26.10273973</v>
      </c>
      <c r="Q548" s="60"/>
      <c r="R548" s="36">
        <f t="shared" si="99"/>
        <v>3529</v>
      </c>
      <c r="S548" s="61">
        <v>-7171.0</v>
      </c>
      <c r="T548" s="37">
        <f t="shared" si="100"/>
        <v>-3642</v>
      </c>
      <c r="U548" s="62">
        <v>1.0</v>
      </c>
      <c r="V548" s="63">
        <v>147.51</v>
      </c>
      <c r="W548" s="63">
        <v>85.0</v>
      </c>
      <c r="X548" s="35">
        <f t="shared" si="113"/>
        <v>0.1875</v>
      </c>
      <c r="Y548" s="35">
        <f t="shared" si="114"/>
        <v>0.0625</v>
      </c>
      <c r="Z548" s="40">
        <f t="shared" si="107"/>
        <v>-2731.5</v>
      </c>
      <c r="AA548" s="34">
        <f t="shared" si="115"/>
        <v>-682.875</v>
      </c>
      <c r="AB548" s="41">
        <f t="shared" si="109"/>
        <v>-227.625</v>
      </c>
      <c r="AC548" s="42" t="b">
        <v>1</v>
      </c>
      <c r="AD548" s="42" t="s">
        <v>138</v>
      </c>
      <c r="AE548" s="42" t="s">
        <v>138</v>
      </c>
      <c r="AF548" s="42" t="s">
        <v>178</v>
      </c>
      <c r="AG548" s="43" t="s">
        <v>179</v>
      </c>
    </row>
    <row r="549" hidden="1">
      <c r="A549" s="23" t="str">
        <f t="array" ref="A549">if(G549='Room Info'!$B$1, INDEX('Room Info'!$A$2:$A3446, MATCH(B549,'Room Info'!$B$2:$B3446, 0)),if(G549='Room Info'!$C$1, INDEX('Room Info'!$A$2:$A3446, MATCH(B549,'Room Info'!$C$2:$C3446, 0)),if(G549='Room Info'!$D$1, INDEX('Room Info'!$A$2:$A3446, MATCH(B549,'Room Info'!$D$2:$D3446, 0)),if(G549='Room Info'!$E$1, INDEX('Room Info'!$A$2:$A3446, MATCH(B549,'Room Info'!$E$2:$E3446, 0)),if(G549='Room Info'!$F$1, INDEX('Room Info'!$A$2:$A3446, MATCH(B549,'Room Info'!$F$2:$F3446, 0)),if(G549='Room Info'!$H$1, INDEX('Room Info'!$A$2:$A3446, MATCH(B549,'Room Info'!$H$2:$H3446, 0)),if(G549='Room Info'!$G$1, INDEX('Room Info'!$A$2:$A3446, MATCH(B549,'Room Info'!$G$2:$G3446, 0)))))))))</f>
        <v>benyya</v>
      </c>
      <c r="B549" s="50" t="s">
        <v>177</v>
      </c>
      <c r="C549" s="51">
        <v>44916.0</v>
      </c>
      <c r="D549" s="51">
        <v>44957.0</v>
      </c>
      <c r="E549" s="52">
        <v>44927.0</v>
      </c>
      <c r="F549" s="50" t="s">
        <v>8</v>
      </c>
      <c r="G549" s="59" t="s">
        <v>5</v>
      </c>
      <c r="H549" s="54" t="s">
        <v>102</v>
      </c>
      <c r="I549" s="54" t="s">
        <v>11</v>
      </c>
      <c r="J549" s="55">
        <v>500.0</v>
      </c>
      <c r="K549" s="56">
        <v>42.0</v>
      </c>
      <c r="L549" s="57">
        <v>-4500.0</v>
      </c>
      <c r="M549" s="58">
        <v>1015.0</v>
      </c>
      <c r="N549" s="33">
        <f t="shared" si="13"/>
        <v>21000</v>
      </c>
      <c r="O549" s="59">
        <v>786.0</v>
      </c>
      <c r="P549" s="34">
        <f t="shared" si="14"/>
        <v>18.71428571</v>
      </c>
      <c r="Q549" s="60"/>
      <c r="R549" s="36">
        <f t="shared" si="99"/>
        <v>1015</v>
      </c>
      <c r="S549" s="61">
        <v>203.0</v>
      </c>
      <c r="T549" s="37">
        <f t="shared" si="100"/>
        <v>1218</v>
      </c>
      <c r="U549" s="62">
        <v>1.0</v>
      </c>
      <c r="V549" s="63">
        <v>147.51</v>
      </c>
      <c r="W549" s="63">
        <v>85.0</v>
      </c>
      <c r="X549" s="35">
        <f t="shared" si="113"/>
        <v>0.1875</v>
      </c>
      <c r="Y549" s="35">
        <f t="shared" si="114"/>
        <v>0.0625</v>
      </c>
      <c r="Z549" s="40">
        <f t="shared" si="107"/>
        <v>913.5</v>
      </c>
      <c r="AA549" s="34">
        <f t="shared" si="115"/>
        <v>228.375</v>
      </c>
      <c r="AB549" s="41">
        <f t="shared" si="109"/>
        <v>76.125</v>
      </c>
      <c r="AC549" s="42" t="b">
        <v>1</v>
      </c>
      <c r="AD549" s="42" t="s">
        <v>138</v>
      </c>
      <c r="AE549" s="42" t="s">
        <v>138</v>
      </c>
      <c r="AF549" s="42" t="s">
        <v>178</v>
      </c>
      <c r="AG549" s="43" t="s">
        <v>179</v>
      </c>
    </row>
    <row r="550" hidden="1">
      <c r="A550" s="23" t="b">
        <f t="array" ref="A550">if(G550='Room Info'!$B$1, INDEX('Room Info'!$A$2:$A3446, MATCH(B550,'Room Info'!$B$2:$B3446, 0)),if(G550='Room Info'!$C$1, INDEX('Room Info'!$A$2:$A3446, MATCH(B550,'Room Info'!$C$2:$C3446, 0)),if(G550='Room Info'!$D$1, INDEX('Room Info'!$A$2:$A3446, MATCH(B550,'Room Info'!$D$2:$D3446, 0)),if(G550='Room Info'!$E$1, INDEX('Room Info'!$A$2:$A3446, MATCH(B550,'Room Info'!$E$2:$E3446, 0)),if(G550='Room Info'!$F$1, INDEX('Room Info'!$A$2:$A3446, MATCH(B550,'Room Info'!$F$2:$F3446, 0)),if(G550='Room Info'!$H$1, INDEX('Room Info'!$A$2:$A3446, MATCH(B550,'Room Info'!$H$2:$H3446, 0)),if(G550='Room Info'!$G$1, INDEX('Room Info'!$A$2:$A3446, MATCH(B550,'Room Info'!$G$2:$G3446, 0)))))))))</f>
        <v>0</v>
      </c>
      <c r="B550" s="50" t="s">
        <v>180</v>
      </c>
      <c r="C550" s="51">
        <v>44715.0</v>
      </c>
      <c r="D550" s="51">
        <v>44742.0</v>
      </c>
      <c r="E550" s="52">
        <v>44713.0</v>
      </c>
      <c r="F550" s="50" t="s">
        <v>12</v>
      </c>
      <c r="G550" s="59" t="s">
        <v>142</v>
      </c>
      <c r="H550" s="54" t="s">
        <v>39</v>
      </c>
      <c r="I550" s="54" t="s">
        <v>7</v>
      </c>
      <c r="J550" s="55">
        <v>5.0</v>
      </c>
      <c r="K550" s="56">
        <v>231.0</v>
      </c>
      <c r="L550" s="57">
        <v>5.0</v>
      </c>
      <c r="M550" s="58">
        <v>40.0</v>
      </c>
      <c r="N550" s="33">
        <f t="shared" si="13"/>
        <v>1155</v>
      </c>
      <c r="O550" s="59">
        <v>20860.0</v>
      </c>
      <c r="P550" s="34">
        <f t="shared" si="14"/>
        <v>90.3030303</v>
      </c>
      <c r="Q550" s="107"/>
      <c r="R550" s="36">
        <f t="shared" si="99"/>
        <v>40</v>
      </c>
      <c r="S550" s="71"/>
      <c r="T550" s="37">
        <f t="shared" si="100"/>
        <v>45</v>
      </c>
      <c r="U550" s="62">
        <v>1.0</v>
      </c>
      <c r="V550" s="63"/>
      <c r="W550" s="63"/>
      <c r="X550" s="83">
        <v>0.23</v>
      </c>
      <c r="Y550" s="35" t="str">
        <f t="shared" si="114"/>
        <v>#N/A</v>
      </c>
      <c r="Z550" s="40" t="str">
        <f t="shared" si="107"/>
        <v>#N/A</v>
      </c>
      <c r="AA550" s="34">
        <f t="shared" si="115"/>
        <v>10.35</v>
      </c>
      <c r="AB550" s="41" t="str">
        <f t="shared" si="109"/>
        <v>#N/A</v>
      </c>
      <c r="AC550" s="42" t="b">
        <v>1</v>
      </c>
      <c r="AD550" s="42" t="s">
        <v>138</v>
      </c>
      <c r="AE550" s="42" t="s">
        <v>138</v>
      </c>
      <c r="AF550" s="42" t="str">
        <f t="array" ref="AF550">INDEX('Deal Info'!D:D, MATCH(A550,'Deal Info'!A:A, 0))</f>
        <v>#N/A</v>
      </c>
      <c r="AG550" s="43" t="str">
        <f t="array" ref="AG550">INDEX('Deal Info'!G:G, MATCH(A550,'Deal Info'!A:A, 0))</f>
        <v>#N/A</v>
      </c>
    </row>
    <row r="551" hidden="1">
      <c r="A551" s="23" t="b">
        <f t="array" ref="A551">if(G551='Room Info'!$B$1, INDEX('Room Info'!$A$2:$A3446, MATCH(B551,'Room Info'!$B$2:$B3446, 0)),if(G551='Room Info'!$C$1, INDEX('Room Info'!$A$2:$A3446, MATCH(B551,'Room Info'!$C$2:$C3446, 0)),if(G551='Room Info'!$D$1, INDEX('Room Info'!$A$2:$A3446, MATCH(B551,'Room Info'!$D$2:$D3446, 0)),if(G551='Room Info'!$E$1, INDEX('Room Info'!$A$2:$A3446, MATCH(B551,'Room Info'!$E$2:$E3446, 0)),if(G551='Room Info'!$F$1, INDEX('Room Info'!$A$2:$A3446, MATCH(B551,'Room Info'!$F$2:$F3446, 0)),if(G551='Room Info'!$H$1, INDEX('Room Info'!$A$2:$A3446, MATCH(B551,'Room Info'!$H$2:$H3446, 0)),if(G551='Room Info'!$G$1, INDEX('Room Info'!$A$2:$A3446, MATCH(B551,'Room Info'!$G$2:$G3446, 0)))))))))</f>
        <v>0</v>
      </c>
      <c r="B551" s="50" t="s">
        <v>180</v>
      </c>
      <c r="C551" s="51">
        <v>44715.0</v>
      </c>
      <c r="D551" s="51">
        <v>44742.0</v>
      </c>
      <c r="E551" s="52">
        <v>44713.0</v>
      </c>
      <c r="F551" s="53" t="s">
        <v>12</v>
      </c>
      <c r="G551" s="50" t="s">
        <v>142</v>
      </c>
      <c r="H551" s="54" t="s">
        <v>50</v>
      </c>
      <c r="I551" s="54" t="s">
        <v>7</v>
      </c>
      <c r="J551" s="55">
        <v>10.0</v>
      </c>
      <c r="K551" s="56">
        <v>1121.0</v>
      </c>
      <c r="L551" s="57">
        <v>137.0</v>
      </c>
      <c r="M551" s="58">
        <v>392.0</v>
      </c>
      <c r="N551" s="33">
        <f t="shared" si="13"/>
        <v>11210</v>
      </c>
      <c r="O551" s="59">
        <v>54452.0</v>
      </c>
      <c r="P551" s="34">
        <f t="shared" si="14"/>
        <v>48.57448707</v>
      </c>
      <c r="Q551" s="107"/>
      <c r="R551" s="36">
        <f t="shared" si="99"/>
        <v>392</v>
      </c>
      <c r="S551" s="71"/>
      <c r="T551" s="37">
        <f t="shared" si="100"/>
        <v>529</v>
      </c>
      <c r="U551" s="62">
        <v>1.0</v>
      </c>
      <c r="V551" s="63"/>
      <c r="W551" s="63"/>
      <c r="X551" s="83">
        <v>0.23</v>
      </c>
      <c r="Y551" s="35" t="str">
        <f t="shared" si="114"/>
        <v>#N/A</v>
      </c>
      <c r="Z551" s="40" t="str">
        <f t="shared" si="107"/>
        <v>#N/A</v>
      </c>
      <c r="AA551" s="34">
        <f t="shared" si="115"/>
        <v>121.67</v>
      </c>
      <c r="AB551" s="41" t="str">
        <f t="shared" si="109"/>
        <v>#N/A</v>
      </c>
      <c r="AC551" s="42" t="b">
        <v>1</v>
      </c>
      <c r="AD551" s="42" t="s">
        <v>138</v>
      </c>
      <c r="AE551" s="42" t="s">
        <v>138</v>
      </c>
      <c r="AF551" s="42" t="str">
        <f t="array" ref="AF551">INDEX('Deal Info'!D:D, MATCH(A551,'Deal Info'!A:A, 0))</f>
        <v>#N/A</v>
      </c>
      <c r="AG551" s="43" t="str">
        <f t="array" ref="AG551">INDEX('Deal Info'!G:G, MATCH(A551,'Deal Info'!A:A, 0))</f>
        <v>#N/A</v>
      </c>
    </row>
    <row r="552" hidden="1">
      <c r="A552" s="23" t="b">
        <f t="array" ref="A552">if(G552='Room Info'!$B$1, INDEX('Room Info'!$A$2:$A3446, MATCH(B552,'Room Info'!$B$2:$B3446, 0)),if(G552='Room Info'!$C$1, INDEX('Room Info'!$A$2:$A3446, MATCH(B552,'Room Info'!$C$2:$C3446, 0)),if(G552='Room Info'!$D$1, INDEX('Room Info'!$A$2:$A3446, MATCH(B552,'Room Info'!$D$2:$D3446, 0)),if(G552='Room Info'!$E$1, INDEX('Room Info'!$A$2:$A3446, MATCH(B552,'Room Info'!$E$2:$E3446, 0)),if(G552='Room Info'!$F$1, INDEX('Room Info'!$A$2:$A3446, MATCH(B552,'Room Info'!$F$2:$F3446, 0)),if(G552='Room Info'!$H$1, INDEX('Room Info'!$A$2:$A3446, MATCH(B552,'Room Info'!$H$2:$H3446, 0)),if(G552='Room Info'!$G$1, INDEX('Room Info'!$A$2:$A3446, MATCH(B552,'Room Info'!$G$2:$G3446, 0)))))))))</f>
        <v>0</v>
      </c>
      <c r="B552" s="50" t="s">
        <v>180</v>
      </c>
      <c r="C552" s="51">
        <v>44715.0</v>
      </c>
      <c r="D552" s="51">
        <v>44742.0</v>
      </c>
      <c r="E552" s="52">
        <v>44713.0</v>
      </c>
      <c r="F552" s="53" t="s">
        <v>12</v>
      </c>
      <c r="G552" s="59" t="s">
        <v>142</v>
      </c>
      <c r="H552" s="54" t="s">
        <v>61</v>
      </c>
      <c r="I552" s="54" t="s">
        <v>7</v>
      </c>
      <c r="J552" s="55">
        <v>20.0</v>
      </c>
      <c r="K552" s="56">
        <v>25.0</v>
      </c>
      <c r="L552" s="57">
        <v>0.0</v>
      </c>
      <c r="M552" s="58">
        <v>18.0</v>
      </c>
      <c r="N552" s="33">
        <f t="shared" si="13"/>
        <v>500</v>
      </c>
      <c r="O552" s="59">
        <v>4679.0</v>
      </c>
      <c r="P552" s="34">
        <f t="shared" si="14"/>
        <v>187.16</v>
      </c>
      <c r="Q552" s="107"/>
      <c r="R552" s="36">
        <f t="shared" si="99"/>
        <v>18</v>
      </c>
      <c r="S552" s="71"/>
      <c r="T552" s="37">
        <f t="shared" si="100"/>
        <v>18</v>
      </c>
      <c r="U552" s="62">
        <v>1.0</v>
      </c>
      <c r="V552" s="63"/>
      <c r="W552" s="63"/>
      <c r="X552" s="83">
        <v>0.23</v>
      </c>
      <c r="Y552" s="35" t="str">
        <f t="shared" si="114"/>
        <v>#N/A</v>
      </c>
      <c r="Z552" s="40" t="str">
        <f t="shared" si="107"/>
        <v>#N/A</v>
      </c>
      <c r="AA552" s="34">
        <f t="shared" si="115"/>
        <v>4.14</v>
      </c>
      <c r="AB552" s="41" t="str">
        <f t="shared" si="109"/>
        <v>#N/A</v>
      </c>
      <c r="AC552" s="42" t="b">
        <v>1</v>
      </c>
      <c r="AD552" s="42" t="s">
        <v>138</v>
      </c>
      <c r="AE552" s="42" t="s">
        <v>138</v>
      </c>
      <c r="AF552" s="42" t="str">
        <f t="array" ref="AF552">INDEX('Deal Info'!D:D, MATCH(A552,'Deal Info'!A:A, 0))</f>
        <v>#N/A</v>
      </c>
      <c r="AG552" s="43" t="str">
        <f t="array" ref="AG552">INDEX('Deal Info'!G:G, MATCH(A552,'Deal Info'!A:A, 0))</f>
        <v>#N/A</v>
      </c>
    </row>
    <row r="553" hidden="1">
      <c r="A553" s="23" t="b">
        <f t="array" ref="A553">if(G553='Room Info'!$B$1, INDEX('Room Info'!$A$2:$A3446, MATCH(B553,'Room Info'!$B$2:$B3446, 0)),if(G553='Room Info'!$C$1, INDEX('Room Info'!$A$2:$A3446, MATCH(B553,'Room Info'!$C$2:$C3446, 0)),if(G553='Room Info'!$D$1, INDEX('Room Info'!$A$2:$A3446, MATCH(B553,'Room Info'!$D$2:$D3446, 0)),if(G553='Room Info'!$E$1, INDEX('Room Info'!$A$2:$A3446, MATCH(B553,'Room Info'!$E$2:$E3446, 0)),if(G553='Room Info'!$F$1, INDEX('Room Info'!$A$2:$A3446, MATCH(B553,'Room Info'!$F$2:$F3446, 0)),if(G553='Room Info'!$H$1, INDEX('Room Info'!$A$2:$A3446, MATCH(B553,'Room Info'!$H$2:$H3446, 0)),if(G553='Room Info'!$G$1, INDEX('Room Info'!$A$2:$A3446, MATCH(B553,'Room Info'!$G$2:$G3446, 0)))))))))</f>
        <v>0</v>
      </c>
      <c r="B553" s="50" t="s">
        <v>180</v>
      </c>
      <c r="C553" s="51">
        <v>44743.0</v>
      </c>
      <c r="D553" s="51">
        <v>44773.0</v>
      </c>
      <c r="E553" s="52">
        <v>44743.0</v>
      </c>
      <c r="F553" s="53" t="s">
        <v>12</v>
      </c>
      <c r="G553" s="59" t="s">
        <v>142</v>
      </c>
      <c r="H553" s="54" t="s">
        <v>50</v>
      </c>
      <c r="I553" s="54" t="s">
        <v>7</v>
      </c>
      <c r="J553" s="55">
        <v>10.0</v>
      </c>
      <c r="K553" s="56">
        <v>1627.0</v>
      </c>
      <c r="L553" s="57">
        <v>-192.34</v>
      </c>
      <c r="M553" s="58">
        <v>569.0</v>
      </c>
      <c r="N553" s="33">
        <f t="shared" si="13"/>
        <v>16270</v>
      </c>
      <c r="O553" s="59">
        <v>64621.0</v>
      </c>
      <c r="P553" s="34">
        <f t="shared" si="14"/>
        <v>39.71788568</v>
      </c>
      <c r="Q553" s="107"/>
      <c r="R553" s="36">
        <f t="shared" si="99"/>
        <v>569</v>
      </c>
      <c r="S553" s="71"/>
      <c r="T553" s="37">
        <f t="shared" si="100"/>
        <v>376.66</v>
      </c>
      <c r="U553" s="62">
        <v>1.0</v>
      </c>
      <c r="V553" s="63"/>
      <c r="W553" s="63"/>
      <c r="X553" s="83">
        <v>0.23</v>
      </c>
      <c r="Y553" s="35" t="str">
        <f t="shared" si="114"/>
        <v>#N/A</v>
      </c>
      <c r="Z553" s="40" t="str">
        <f t="shared" si="107"/>
        <v>#N/A</v>
      </c>
      <c r="AA553" s="34">
        <f t="shared" si="115"/>
        <v>86.6318</v>
      </c>
      <c r="AB553" s="41" t="str">
        <f t="shared" si="109"/>
        <v>#N/A</v>
      </c>
      <c r="AC553" s="42" t="b">
        <v>1</v>
      </c>
      <c r="AD553" s="42" t="s">
        <v>138</v>
      </c>
      <c r="AE553" s="42" t="s">
        <v>138</v>
      </c>
      <c r="AF553" s="42" t="str">
        <f t="array" ref="AF553">INDEX('Deal Info'!D:D, MATCH(A553,'Deal Info'!A:A, 0))</f>
        <v>#N/A</v>
      </c>
      <c r="AG553" s="43" t="str">
        <f t="array" ref="AG553">INDEX('Deal Info'!G:G, MATCH(A553,'Deal Info'!A:A, 0))</f>
        <v>#N/A</v>
      </c>
    </row>
    <row r="554" hidden="1">
      <c r="A554" s="23" t="b">
        <f t="array" ref="A554">if(G554='Room Info'!$B$1, INDEX('Room Info'!$A$2:$A3446, MATCH(B554,'Room Info'!$B$2:$B3446, 0)),if(G554='Room Info'!$C$1, INDEX('Room Info'!$A$2:$A3446, MATCH(B554,'Room Info'!$C$2:$C3446, 0)),if(G554='Room Info'!$D$1, INDEX('Room Info'!$A$2:$A3446, MATCH(B554,'Room Info'!$D$2:$D3446, 0)),if(G554='Room Info'!$E$1, INDEX('Room Info'!$A$2:$A3446, MATCH(B554,'Room Info'!$E$2:$E3446, 0)),if(G554='Room Info'!$F$1, INDEX('Room Info'!$A$2:$A3446, MATCH(B554,'Room Info'!$F$2:$F3446, 0)),if(G554='Room Info'!$H$1, INDEX('Room Info'!$A$2:$A3446, MATCH(B554,'Room Info'!$H$2:$H3446, 0)),if(G554='Room Info'!$G$1, INDEX('Room Info'!$A$2:$A3446, MATCH(B554,'Room Info'!$G$2:$G3446, 0)))))))))</f>
        <v>0</v>
      </c>
      <c r="B554" s="50" t="s">
        <v>180</v>
      </c>
      <c r="C554" s="51">
        <v>44743.0</v>
      </c>
      <c r="D554" s="51">
        <v>44773.0</v>
      </c>
      <c r="E554" s="52">
        <v>44743.0</v>
      </c>
      <c r="F554" s="53" t="s">
        <v>12</v>
      </c>
      <c r="G554" s="59" t="s">
        <v>142</v>
      </c>
      <c r="H554" s="54" t="s">
        <v>61</v>
      </c>
      <c r="I554" s="54" t="s">
        <v>7</v>
      </c>
      <c r="J554" s="55">
        <v>20.0</v>
      </c>
      <c r="K554" s="56">
        <v>375.0</v>
      </c>
      <c r="L554" s="57">
        <v>-88.66</v>
      </c>
      <c r="M554" s="58">
        <v>263.0</v>
      </c>
      <c r="N554" s="33">
        <f t="shared" si="13"/>
        <v>7500</v>
      </c>
      <c r="O554" s="59">
        <v>13099.0</v>
      </c>
      <c r="P554" s="34">
        <f t="shared" si="14"/>
        <v>34.93066667</v>
      </c>
      <c r="Q554" s="107"/>
      <c r="R554" s="36">
        <f t="shared" si="99"/>
        <v>263</v>
      </c>
      <c r="S554" s="71"/>
      <c r="T554" s="37">
        <f t="shared" si="100"/>
        <v>174.34</v>
      </c>
      <c r="U554" s="62">
        <v>1.0</v>
      </c>
      <c r="V554" s="63"/>
      <c r="W554" s="63"/>
      <c r="X554" s="83">
        <v>0.23</v>
      </c>
      <c r="Y554" s="35" t="str">
        <f t="shared" si="114"/>
        <v>#N/A</v>
      </c>
      <c r="Z554" s="40" t="str">
        <f t="shared" si="107"/>
        <v>#N/A</v>
      </c>
      <c r="AA554" s="34">
        <f t="shared" si="115"/>
        <v>40.0982</v>
      </c>
      <c r="AB554" s="41" t="str">
        <f t="shared" si="109"/>
        <v>#N/A</v>
      </c>
      <c r="AC554" s="42" t="b">
        <v>1</v>
      </c>
      <c r="AD554" s="42" t="s">
        <v>138</v>
      </c>
      <c r="AE554" s="42" t="s">
        <v>138</v>
      </c>
      <c r="AF554" s="42" t="str">
        <f t="array" ref="AF554">INDEX('Deal Info'!D:D, MATCH(A554,'Deal Info'!A:A, 0))</f>
        <v>#N/A</v>
      </c>
      <c r="AG554" s="43" t="str">
        <f t="array" ref="AG554">INDEX('Deal Info'!G:G, MATCH(A554,'Deal Info'!A:A, 0))</f>
        <v>#N/A</v>
      </c>
    </row>
    <row r="555" hidden="1">
      <c r="A555" s="23" t="b">
        <f t="array" ref="A555">if(G555='Room Info'!$B$1, INDEX('Room Info'!$A$2:$A3446, MATCH(B555,'Room Info'!$B$2:$B3446, 0)),if(G555='Room Info'!$C$1, INDEX('Room Info'!$A$2:$A3446, MATCH(B555,'Room Info'!$C$2:$C3446, 0)),if(G555='Room Info'!$D$1, INDEX('Room Info'!$A$2:$A3446, MATCH(B555,'Room Info'!$D$2:$D3446, 0)),if(G555='Room Info'!$E$1, INDEX('Room Info'!$A$2:$A3446, MATCH(B555,'Room Info'!$E$2:$E3446, 0)),if(G555='Room Info'!$F$1, INDEX('Room Info'!$A$2:$A3446, MATCH(B555,'Room Info'!$F$2:$F3446, 0)),if(G555='Room Info'!$H$1, INDEX('Room Info'!$A$2:$A3446, MATCH(B555,'Room Info'!$H$2:$H3446, 0)),if(G555='Room Info'!$G$1, INDEX('Room Info'!$A$2:$A3446, MATCH(B555,'Room Info'!$G$2:$G3446, 0)))))))))</f>
        <v>0</v>
      </c>
      <c r="B555" s="50" t="s">
        <v>180</v>
      </c>
      <c r="C555" s="51">
        <v>44774.0</v>
      </c>
      <c r="D555" s="51">
        <v>44804.0</v>
      </c>
      <c r="E555" s="52">
        <v>44774.0</v>
      </c>
      <c r="F555" s="53" t="s">
        <v>12</v>
      </c>
      <c r="G555" s="59" t="s">
        <v>142</v>
      </c>
      <c r="H555" s="54" t="s">
        <v>50</v>
      </c>
      <c r="I555" s="54" t="s">
        <v>7</v>
      </c>
      <c r="J555" s="55">
        <v>10.0</v>
      </c>
      <c r="K555" s="56">
        <v>1099.0</v>
      </c>
      <c r="L555" s="57">
        <v>-90.72</v>
      </c>
      <c r="M555" s="58">
        <v>385.0</v>
      </c>
      <c r="N555" s="33">
        <f t="shared" si="13"/>
        <v>10990</v>
      </c>
      <c r="O555" s="59">
        <v>58247.0</v>
      </c>
      <c r="P555" s="34">
        <f t="shared" si="14"/>
        <v>53</v>
      </c>
      <c r="Q555" s="107"/>
      <c r="R555" s="36">
        <f t="shared" si="99"/>
        <v>385</v>
      </c>
      <c r="S555" s="71"/>
      <c r="T555" s="37">
        <f t="shared" si="100"/>
        <v>294.28</v>
      </c>
      <c r="U555" s="62">
        <v>1.0</v>
      </c>
      <c r="V555" s="63"/>
      <c r="W555" s="63"/>
      <c r="X555" s="83">
        <v>0.3</v>
      </c>
      <c r="Y555" s="35" t="str">
        <f t="shared" si="114"/>
        <v>#N/A</v>
      </c>
      <c r="Z555" s="40" t="str">
        <f t="shared" si="107"/>
        <v>#N/A</v>
      </c>
      <c r="AA555" s="34">
        <f t="shared" si="115"/>
        <v>88.284</v>
      </c>
      <c r="AB555" s="41" t="str">
        <f t="shared" si="109"/>
        <v>#N/A</v>
      </c>
      <c r="AC555" s="42" t="b">
        <v>1</v>
      </c>
      <c r="AD555" s="42" t="s">
        <v>138</v>
      </c>
      <c r="AE555" s="42" t="s">
        <v>138</v>
      </c>
      <c r="AF555" s="42" t="str">
        <f t="array" ref="AF555">INDEX('Deal Info'!D:D, MATCH(A555,'Deal Info'!A:A, 0))</f>
        <v>#N/A</v>
      </c>
      <c r="AG555" s="43" t="str">
        <f t="array" ref="AG555">INDEX('Deal Info'!G:G, MATCH(A555,'Deal Info'!A:A, 0))</f>
        <v>#N/A</v>
      </c>
    </row>
    <row r="556" hidden="1">
      <c r="A556" s="23" t="b">
        <f t="array" ref="A556">if(G556='Room Info'!$B$1, INDEX('Room Info'!$A$2:$A3446, MATCH(B556,'Room Info'!$B$2:$B3446, 0)),if(G556='Room Info'!$C$1, INDEX('Room Info'!$A$2:$A3446, MATCH(B556,'Room Info'!$C$2:$C3446, 0)),if(G556='Room Info'!$D$1, INDEX('Room Info'!$A$2:$A3446, MATCH(B556,'Room Info'!$D$2:$D3446, 0)),if(G556='Room Info'!$E$1, INDEX('Room Info'!$A$2:$A3446, MATCH(B556,'Room Info'!$E$2:$E3446, 0)),if(G556='Room Info'!$F$1, INDEX('Room Info'!$A$2:$A3446, MATCH(B556,'Room Info'!$F$2:$F3446, 0)),if(G556='Room Info'!$H$1, INDEX('Room Info'!$A$2:$A3446, MATCH(B556,'Room Info'!$H$2:$H3446, 0)),if(G556='Room Info'!$G$1, INDEX('Room Info'!$A$2:$A3446, MATCH(B556,'Room Info'!$G$2:$G3446, 0)))))))))</f>
        <v>0</v>
      </c>
      <c r="B556" s="50" t="s">
        <v>180</v>
      </c>
      <c r="C556" s="51">
        <v>44774.0</v>
      </c>
      <c r="D556" s="51">
        <v>44804.0</v>
      </c>
      <c r="E556" s="52">
        <v>44774.0</v>
      </c>
      <c r="F556" s="53" t="s">
        <v>12</v>
      </c>
      <c r="G556" s="59" t="s">
        <v>142</v>
      </c>
      <c r="H556" s="54" t="s">
        <v>61</v>
      </c>
      <c r="I556" s="54" t="s">
        <v>7</v>
      </c>
      <c r="J556" s="55">
        <v>20.0</v>
      </c>
      <c r="K556" s="56">
        <v>250.0</v>
      </c>
      <c r="L556" s="57">
        <v>-41.28</v>
      </c>
      <c r="M556" s="58">
        <v>175.0</v>
      </c>
      <c r="N556" s="33">
        <f t="shared" si="13"/>
        <v>5000</v>
      </c>
      <c r="O556" s="59">
        <v>5750.0</v>
      </c>
      <c r="P556" s="34">
        <f t="shared" si="14"/>
        <v>23</v>
      </c>
      <c r="Q556" s="107"/>
      <c r="R556" s="36">
        <f t="shared" si="99"/>
        <v>175</v>
      </c>
      <c r="S556" s="71"/>
      <c r="T556" s="37">
        <f t="shared" si="100"/>
        <v>133.72</v>
      </c>
      <c r="U556" s="62">
        <v>1.0</v>
      </c>
      <c r="V556" s="63"/>
      <c r="W556" s="63"/>
      <c r="X556" s="83">
        <v>0.3</v>
      </c>
      <c r="Y556" s="35" t="str">
        <f t="shared" si="114"/>
        <v>#N/A</v>
      </c>
      <c r="Z556" s="40" t="str">
        <f t="shared" si="107"/>
        <v>#N/A</v>
      </c>
      <c r="AA556" s="34">
        <f t="shared" si="115"/>
        <v>40.116</v>
      </c>
      <c r="AB556" s="41" t="str">
        <f t="shared" si="109"/>
        <v>#N/A</v>
      </c>
      <c r="AC556" s="42" t="b">
        <v>1</v>
      </c>
      <c r="AD556" s="42" t="s">
        <v>138</v>
      </c>
      <c r="AE556" s="42" t="s">
        <v>138</v>
      </c>
      <c r="AF556" s="42" t="str">
        <f t="array" ref="AF556">INDEX('Deal Info'!D:D, MATCH(A556,'Deal Info'!A:A, 0))</f>
        <v>#N/A</v>
      </c>
      <c r="AG556" s="43" t="str">
        <f t="array" ref="AG556">INDEX('Deal Info'!G:G, MATCH(A556,'Deal Info'!A:A, 0))</f>
        <v>#N/A</v>
      </c>
    </row>
    <row r="557" hidden="1">
      <c r="A557" s="23" t="b">
        <f t="array" ref="A557">if(G557='Room Info'!$B$1, INDEX('Room Info'!$A$2:$A3446, MATCH(B557,'Room Info'!$B$2:$B3446, 0)),if(G557='Room Info'!$C$1, INDEX('Room Info'!$A$2:$A3446, MATCH(B557,'Room Info'!$C$2:$C3446, 0)),if(G557='Room Info'!$D$1, INDEX('Room Info'!$A$2:$A3446, MATCH(B557,'Room Info'!$D$2:$D3446, 0)),if(G557='Room Info'!$E$1, INDEX('Room Info'!$A$2:$A3446, MATCH(B557,'Room Info'!$E$2:$E3446, 0)),if(G557='Room Info'!$F$1, INDEX('Room Info'!$A$2:$A3446, MATCH(B557,'Room Info'!$F$2:$F3446, 0)),if(G557='Room Info'!$H$1, INDEX('Room Info'!$A$2:$A3446, MATCH(B557,'Room Info'!$H$2:$H3446, 0)),if(G557='Room Info'!$G$1, INDEX('Room Info'!$A$2:$A3446, MATCH(B557,'Room Info'!$G$2:$G3446, 0)))))))))</f>
        <v>0</v>
      </c>
      <c r="B557" s="50" t="s">
        <v>180</v>
      </c>
      <c r="C557" s="51">
        <v>44805.0</v>
      </c>
      <c r="D557" s="51">
        <v>44834.0</v>
      </c>
      <c r="E557" s="52">
        <v>44805.0</v>
      </c>
      <c r="F557" s="53" t="s">
        <v>12</v>
      </c>
      <c r="G557" s="50" t="s">
        <v>142</v>
      </c>
      <c r="H557" s="54" t="s">
        <v>50</v>
      </c>
      <c r="I557" s="54" t="s">
        <v>7</v>
      </c>
      <c r="J557" s="55">
        <v>10.0</v>
      </c>
      <c r="K557" s="56">
        <v>2552.0</v>
      </c>
      <c r="L557" s="57">
        <v>-128.0</v>
      </c>
      <c r="M557" s="58">
        <v>893.0</v>
      </c>
      <c r="N557" s="33">
        <f t="shared" si="13"/>
        <v>25520</v>
      </c>
      <c r="O557" s="59">
        <v>132704.0</v>
      </c>
      <c r="P557" s="34">
        <f t="shared" si="14"/>
        <v>52</v>
      </c>
      <c r="Q557" s="107"/>
      <c r="R557" s="36">
        <f t="shared" si="99"/>
        <v>893</v>
      </c>
      <c r="S557" s="71"/>
      <c r="T557" s="37">
        <f t="shared" si="100"/>
        <v>765</v>
      </c>
      <c r="U557" s="62">
        <v>1.0</v>
      </c>
      <c r="V557" s="63"/>
      <c r="W557" s="63"/>
      <c r="X557" s="83">
        <v>0.17</v>
      </c>
      <c r="Y557" s="35" t="str">
        <f t="shared" si="114"/>
        <v>#N/A</v>
      </c>
      <c r="Z557" s="40" t="str">
        <f t="shared" si="107"/>
        <v>#N/A</v>
      </c>
      <c r="AA557" s="34">
        <f t="shared" si="115"/>
        <v>130.05</v>
      </c>
      <c r="AB557" s="41" t="str">
        <f t="shared" si="109"/>
        <v>#N/A</v>
      </c>
      <c r="AC557" s="42" t="b">
        <v>1</v>
      </c>
      <c r="AD557" s="42" t="s">
        <v>138</v>
      </c>
      <c r="AE557" s="42" t="s">
        <v>138</v>
      </c>
      <c r="AF557" s="42" t="str">
        <f t="array" ref="AF557">INDEX('Deal Info'!D:D, MATCH(A557,'Deal Info'!A:A, 0))</f>
        <v>#N/A</v>
      </c>
      <c r="AG557" s="43" t="str">
        <f t="array" ref="AG557">INDEX('Deal Info'!G:G, MATCH(A557,'Deal Info'!A:A, 0))</f>
        <v>#N/A</v>
      </c>
    </row>
    <row r="558" hidden="1">
      <c r="A558" s="23" t="b">
        <f t="array" ref="A558">if(G558='Room Info'!$B$1, INDEX('Room Info'!$A$2:$A3446, MATCH(B558,'Room Info'!$B$2:$B3446, 0)),if(G558='Room Info'!$C$1, INDEX('Room Info'!$A$2:$A3446, MATCH(B558,'Room Info'!$C$2:$C3446, 0)),if(G558='Room Info'!$D$1, INDEX('Room Info'!$A$2:$A3446, MATCH(B558,'Room Info'!$D$2:$D3446, 0)),if(G558='Room Info'!$E$1, INDEX('Room Info'!$A$2:$A3446, MATCH(B558,'Room Info'!$E$2:$E3446, 0)),if(G558='Room Info'!$F$1, INDEX('Room Info'!$A$2:$A3446, MATCH(B558,'Room Info'!$F$2:$F3446, 0)),if(G558='Room Info'!$H$1, INDEX('Room Info'!$A$2:$A3446, MATCH(B558,'Room Info'!$H$2:$H3446, 0)),if(G558='Room Info'!$G$1, INDEX('Room Info'!$A$2:$A3446, MATCH(B558,'Room Info'!$G$2:$G3446, 0)))))))))</f>
        <v>0</v>
      </c>
      <c r="B558" s="59" t="s">
        <v>180</v>
      </c>
      <c r="C558" s="51">
        <v>44805.0</v>
      </c>
      <c r="D558" s="51">
        <v>44834.0</v>
      </c>
      <c r="E558" s="52">
        <v>44805.0</v>
      </c>
      <c r="F558" s="50" t="s">
        <v>12</v>
      </c>
      <c r="G558" s="59" t="s">
        <v>142</v>
      </c>
      <c r="H558" s="54" t="s">
        <v>61</v>
      </c>
      <c r="I558" s="54" t="s">
        <v>7</v>
      </c>
      <c r="J558" s="55">
        <v>20.0</v>
      </c>
      <c r="K558" s="56">
        <v>961.0</v>
      </c>
      <c r="L558" s="57">
        <v>-97.0</v>
      </c>
      <c r="M558" s="58">
        <v>673.0</v>
      </c>
      <c r="N558" s="33">
        <f t="shared" si="13"/>
        <v>19220</v>
      </c>
      <c r="O558" s="59">
        <v>36518.0</v>
      </c>
      <c r="P558" s="34">
        <f t="shared" si="14"/>
        <v>38</v>
      </c>
      <c r="Q558" s="107"/>
      <c r="R558" s="36">
        <f t="shared" si="99"/>
        <v>673</v>
      </c>
      <c r="S558" s="71"/>
      <c r="T558" s="37">
        <f t="shared" si="100"/>
        <v>576</v>
      </c>
      <c r="U558" s="62">
        <v>1.0</v>
      </c>
      <c r="V558" s="63"/>
      <c r="W558" s="63"/>
      <c r="X558" s="83">
        <v>0.17</v>
      </c>
      <c r="Y558" s="35" t="str">
        <f t="shared" si="114"/>
        <v>#N/A</v>
      </c>
      <c r="Z558" s="40" t="str">
        <f t="shared" si="107"/>
        <v>#N/A</v>
      </c>
      <c r="AA558" s="34">
        <f t="shared" si="115"/>
        <v>97.92</v>
      </c>
      <c r="AB558" s="41" t="str">
        <f t="shared" si="109"/>
        <v>#N/A</v>
      </c>
      <c r="AC558" s="42" t="b">
        <v>1</v>
      </c>
      <c r="AD558" s="42" t="s">
        <v>138</v>
      </c>
      <c r="AE558" s="42" t="s">
        <v>138</v>
      </c>
      <c r="AF558" s="42" t="str">
        <f t="array" ref="AF558">INDEX('Deal Info'!D:D, MATCH(A558,'Deal Info'!A:A, 0))</f>
        <v>#N/A</v>
      </c>
      <c r="AG558" s="43" t="str">
        <f t="array" ref="AG558">INDEX('Deal Info'!G:G, MATCH(A558,'Deal Info'!A:A, 0))</f>
        <v>#N/A</v>
      </c>
    </row>
    <row r="559" hidden="1">
      <c r="A559" s="23" t="b">
        <f t="array" ref="A559">if(G559='Room Info'!$B$1, INDEX('Room Info'!$A$2:$A3446, MATCH(B559,'Room Info'!$B$2:$B3446, 0)),if(G559='Room Info'!$C$1, INDEX('Room Info'!$A$2:$A3446, MATCH(B559,'Room Info'!$C$2:$C3446, 0)),if(G559='Room Info'!$D$1, INDEX('Room Info'!$A$2:$A3446, MATCH(B559,'Room Info'!$D$2:$D3446, 0)),if(G559='Room Info'!$E$1, INDEX('Room Info'!$A$2:$A3446, MATCH(B559,'Room Info'!$E$2:$E3446, 0)),if(G559='Room Info'!$F$1, INDEX('Room Info'!$A$2:$A3446, MATCH(B559,'Room Info'!$F$2:$F3446, 0)),if(G559='Room Info'!$H$1, INDEX('Room Info'!$A$2:$A3446, MATCH(B559,'Room Info'!$H$2:$H3446, 0)),if(G559='Room Info'!$G$1, INDEX('Room Info'!$A$2:$A3446, MATCH(B559,'Room Info'!$G$2:$G3446, 0)))))))))</f>
        <v>0</v>
      </c>
      <c r="B559" s="50" t="s">
        <v>180</v>
      </c>
      <c r="C559" s="51">
        <v>44835.0</v>
      </c>
      <c r="D559" s="51">
        <v>44865.0</v>
      </c>
      <c r="E559" s="52">
        <v>44835.0</v>
      </c>
      <c r="F559" s="53" t="s">
        <v>12</v>
      </c>
      <c r="G559" s="50" t="s">
        <v>142</v>
      </c>
      <c r="H559" s="54" t="s">
        <v>39</v>
      </c>
      <c r="I559" s="54" t="s">
        <v>7</v>
      </c>
      <c r="J559" s="75">
        <v>5.0</v>
      </c>
      <c r="K559" s="76">
        <v>2332.0</v>
      </c>
      <c r="L559" s="57">
        <v>-751.33</v>
      </c>
      <c r="M559" s="58">
        <v>408.0</v>
      </c>
      <c r="N559" s="33">
        <f t="shared" si="13"/>
        <v>11660</v>
      </c>
      <c r="O559" s="59">
        <v>86284.0</v>
      </c>
      <c r="P559" s="34">
        <f t="shared" si="14"/>
        <v>37</v>
      </c>
      <c r="Q559" s="107"/>
      <c r="R559" s="36">
        <f t="shared" si="99"/>
        <v>408</v>
      </c>
      <c r="S559" s="71"/>
      <c r="T559" s="37">
        <f t="shared" si="100"/>
        <v>-343.33</v>
      </c>
      <c r="U559" s="62">
        <v>1.0</v>
      </c>
      <c r="V559" s="63">
        <v>13.0</v>
      </c>
      <c r="W559" s="63">
        <v>4.0</v>
      </c>
      <c r="X559" s="35" t="str">
        <f t="shared" ref="X559:X569" si="116">IF(AF559="DoEV",IF(AND(V559&lt;20,W559&lt;55),0.3,0)+IF(AND(V559&lt;20,W559&gt;=55,W559&lt;105),0.23,0)+IF(AND(V559&lt;20,W559&gt;=105),0.17,0)+IF(AND(V559&gt;=20,V559&lt;40,W559&lt;45),0.3,0)+IF(AND(V559&gt;=20,V559&lt;40,W559&gt;=45,W559&lt;95),0.23,0)+IF(AND(V559&gt;=20,V559&lt;40,W559&gt;=95),0.17,0)+IF(AND(V559&gt;=40,V559&lt;75,W559&lt;35),0.3,0)+IF(AND(V559&gt;=40,V559&lt;75,W559&gt;=35,W559&lt;75),0.23,0)+IF(AND(V559&gt;=40,V559&lt;75,W559&gt;=75,W559&lt;120),0.17,0)+IF(AND(V559&gt;=40,V559&lt;75,W559&gt;=120),0.12,0)+IF(AND(V559&gt;=75,V559&lt;175,W559&lt;35),0.3,0)+IF(AND(V559&gt;=75,V559&lt;=175,W559&gt;=35,W559&lt;65),0.23,0)+IF(AND(V559&gt;=75,V559&lt;=175,W559&gt;=65,W559&lt;110),0.17,0)+IF(AND(V559&gt;=75,V559&lt;=175,W559&gt;=110),0.12,0)+IF(AND(V559&gt;175,W559&lt;25),0.3,0)+IF(AND(V559&gt;175,W559&gt;=25,W559&lt;55),0.23,0)+IF(AND(V559&gt;175,W559&gt;=55,W559&lt;95),0.17,0)+IF(AND(V559&gt;175,W559&gt;=95),0.12,0),
IF(AF559="Fix15",0.15,
if(AF559="Fix18.75",0.1875,
IF(AF559="Fix11.25",0.1125,
IF(AF559="Fix10",0.1,
IF(AF559="Fix9",0.09,
IF(AF559="DoEV2017",IF(AND(W559&lt;74),0.2,0)+IF(AND(W559&gt;=74),0.17,0),
IF(AF559="SF",IF(AND(V559&lt;20,W559&lt;89),0.3,0)+IF(AND(V559&lt;20,W559&gt;=89),0.25,0)+IF(AND(V559&gt;=20,V559&lt;40,W559&lt;74),0.3,0)+IF(AND(V559&gt;=20,V559&lt;40,W559&gt;=75),0.22,0)+IF(AND(V559&gt;=40,V559&lt;75,W559&lt;75),0.26,0)+IF(AND(V559&gt;=40,V559&lt;75,W559&gt;=75),0.22,0)+IF(V559&gt;=75,0.22,0),
IF(AF559="DoEVold",IF(AND(V559&lt;40,W559&lt;35),0.35,0)+IF(AND(V559&lt;40,W559&gt;=35,W559&lt;75),0.25,0)+IF(AND(V559&lt;40,W559&gt;=75),0.17,0)+IF(AND(V559&gt;=40,V559&lt;75,W559&lt;25),0.35,0)+IF(AND(V559&gt;=40,V559&lt;75,W559&gt;=25,W559&lt;65),0.25,0)+IF(AND(V559&gt;=40,V559&lt;75,W559&gt;=65,W559&lt;100),0.17,0)+IF(AND(V559&gt;=40,V559&lt;75,W559&gt;=100),0.1,0)+IF(AND(V559&gt;=75,W559&lt;25),0.35,0)+IF(AND(V559&gt;=75,W559&gt;=25,W559&lt;60),0.25,0)+IF(AND(V559&gt;=75,W559&gt;=60,W559&lt;95),0.17,0)+IF(AND(V559&gt;=75,W559&gt;=95),0.1,0),
IF(AF559="DoEVold15",IF(AND(V559&lt;=40,W559&lt;35),0.35,0)+IF(AND(V559&lt;=40,W559&gt;=35,W559&lt;75),0.25,0)+IF(AND(V559&lt;=40,W559&gt;=75,W559&lt;120),0.17,0)+IF(AND(V559&lt;=40,W559&gt;=120),0.15,0)+IF(AND(V559&gt;40,V559&lt;75,W559&lt;25),0.35,0)+IF(AND(V559&gt;=40,V559&lt;75,W559&gt;=25,W559&lt;65),0.25,0)+IF(AND(V559&gt;=40,V559&lt;75,W559&gt;=65,W559&lt;100),0.17,0)+IF(AND(V559&gt;=40,V559&lt;75,W559&gt;=100),0.1,0)+IF(AND(V559&gt;=75,W559&lt;25),0.35,0)+IF(AND(V559&gt;=75,W559&gt;=25,W559&lt;60),0.25,0)+IF(AND(V559&gt;=75,W559&gt;=60,W559&lt;95),0.17,0)+IF(AND(V559&gt;=75,W559&gt;=95),0.1,0),
IF(AF559="DoEVba",IF(AND(V559&lt;20,W559&lt;105),0.2,0)+IF(AND(V559&lt;20,W559&gt;=105),0.15,0)+IF(AND(V559&gt;=20,V559&lt;40,W559&lt;95),0.2,0)+IF(AND(V559&gt;=20,V559&lt;40,W559&gt;=95,W559&lt;150),0.15,0)+IF(AND(V559&gt;=20,V559&lt;40,W559&gt;=150),0.12,0)+IF(AND(V559&gt;=40,V559&lt;75,W559&lt;75),0.2,0)+IF(AND(V559&gt;=40,V559&lt;75,W559&gt;=75,W559&lt;120),0.15,0)+IF(AND(V559&gt;=40,V559&lt;75,W559&gt;=120),0.12,0)+IF(AND(V559&gt;=75,V559&lt;175,W559&lt;65),0.2,0)+IF(AND(V559&gt;=75,V559&lt;175,W559&gt;=65,W559&lt;110),0.15,0)+IF(AND(V559&gt;=75,V559&lt;175,W559&gt;=110),0.12,0)+IF(AND(V559&gt;=175,W559&lt;55),0.2,0)+IF(AND(V559&gt;=175,W559&gt;=55,W559&lt;95),0.15,0)+IF(AND(V559&gt;=175,W559&gt;=95),0.12,0),
IF(AF559="DoEVku",IF(AND(V559&lt;20,W559&lt;55),0.23,0)+IF(AND(V559&lt;20,W559&gt;=55,W559&lt;105),0.2,0)+IF(AND(V559&lt;20,W559&gt;=105),0.17,0)+IF(AND(V559&gt;=20,V559&lt;40,W559&lt;45),0.23,0)+IF(AND(V559&gt;=20,V559&lt;40,W559&gt;=45,W559&lt;95),0.2,0)+IF(AND(V559&gt;=20,V559&lt;40,W559&gt;=95,W559&lt;=150),0.17,0)+IF(AND(V559&gt;=20,V559&lt;40,W559&gt;=150),0.12,0)+IF(AND(V559&gt;=40,V559&lt;75,W559&lt;35),0.23,0)+IF(AND(V559&gt;=40,V559&lt;75,W559&gt;=35,W559&lt;75),0.2,0)+IF(AND(V559&gt;=40,V559&lt;75,W559&gt;=75,W559&lt;120),0.17,0)+IF(AND(V559&gt;=40,V559&lt;75,W559&gt;=120),0.12,0)+IF(AND(V559&gt;=75,V559&lt;175,W559&lt;35),0.23,0)+IF(AND(V559&gt;=75,V559&lt;=175,W559&gt;=35,W559&lt;65),0.2,0)+IF(AND(V559&gt;=75,V559&lt;=175,W559&gt;=65,W559&lt;110),0.17,0)+IF(AND(V559&gt;=75,V559&lt;=175,W559&gt;=110),0.12,0)+IF(AND(V559&gt;175,W559&lt;25),0.23,0)+IF(AND(V559&gt;175,W559&gt;=25,W559&lt;55),0.2,0)+IF(AND(V559&gt;175,W559&gt;=55,W559&lt;95),0.17,0)+IF(AND(V559&gt;175,W559&gt;=95),0.12,0),
IF(AF559="DoEVs1",IF(AND(V559&lt;20,W559&lt;55),0.3,0)+IF(AND(V559&lt;20,W559&gt;=55,W559&lt;105),0.23,0)+IF(AND(V559&lt;20,W559&gt;=105),0.17,0)+IF(AND(V559&gt;=20,V559&lt;40,W559&lt;45),0.3,0)+IF(AND(V559&gt;=20,V559&lt;40,W559&gt;=45,W559&lt;95),0.23,0)+IF(AND(V559&gt;=20,V559&lt;40,W559&gt;=95,W559&lt;=150),0.17,0)+IF(AND(V559&gt;=20,V559&lt;40,W559&gt;=150),0.12,0)+IF(AND(V559&gt;=40,V559&lt;75,W559&lt;35),0.3,0)+IF(AND(V559&gt;=40,V559&lt;75,W559&gt;=35,W559&lt;75),0.23,0)+IF(AND(V559&gt;=40,V559&lt;75,W559&gt;=75,W559&lt;120),0.17,0)+IF(AND(V559&gt;=40,V559&lt;75,W559&gt;=120),0.12,0)+IF(AND(V559&gt;=75,V559&lt;175,W559&lt;35),0.3,0)+IF(AND(V559&gt;=75,V559&lt;=175,W559&gt;=35,W559&lt;65),0.23,0)+IF(AND(V559&gt;=75,V559&lt;=175,W559&gt;=65,W559&lt;110),0.17,0)+IF(AND(V559&gt;=75,V559&lt;=175,W559&gt;=110),0.12,0)+IF(AND(V559&gt;175,W559&lt;25),0.3,0)+IF(AND(V559&gt;175,W559&gt;=25,W559&lt;55),0.23,0)+IF(AND(V559&gt;175,W559&gt;=55,W559&lt;95),0.17,0)+IF(AND(V559&gt;175,W559&gt;=95),0.12,0),
IF(AF559="DoEVsu",IF(AND(V559&lt;20,W559&lt;55),0.3,0)+IF(AND(V559&lt;20,W559&gt;=55,W559&lt;105),0.23,0)+IF(AND(V559&lt;20,W559&gt;=105),0.17,0)+IF(AND(V559&gt;=20,V559&lt;40,W559&lt;45),0.3,0)+IF(AND(V559&gt;=20,V559&lt;40,W559&gt;=45,W559&lt;95),0.23,0)+IF(AND(V559&gt;=20,V559&lt;40,W559&gt;=95,W559&lt;=250),0.17,0)+IF(AND(V559&gt;=20,V559&lt;40,W559&gt;=250),0.12,0)+IF(AND(V559&gt;=40,V559&lt;75,W559&lt;35),0.3,0)+IF(AND(V559&gt;=40,V559&lt;75,W559&gt;=35,W559&lt;75),0.23,0)+IF(AND(V559&gt;=40,V559&lt;75,W559&gt;=75,W559&lt;120),0.17,0)+IF(AND(V559&gt;=40,V559&lt;75,W559&gt;=120),0.12,0)+IF(AND(V559&gt;=75,V559&lt;175,W559&lt;35),0.3,0)+IF(AND(V559&gt;=75,V559&lt;=175,W559&gt;=35,W559&lt;65),0.23,0)+IF(AND(V559&gt;=75,V559&lt;=175,W559&gt;=65,W559&lt;110),0.17,0)+IF(AND(V559&gt;=75,V559&lt;=175,W559&gt;=110),0.12,0)+IF(AND(V559&gt;175,W559&lt;25),0.3,0)+IF(AND(V559&gt;175,W559&gt;=25,W559&lt;55),0.23,0)+IF(AND(V559&gt;175,W559&gt;=55,W559&lt;95),0.17,0)+IF(AND(V559&gt;175,W559&gt;=95),0.12,0),
IF(AF559="DoEVni",IF(AND(V559&lt;20,W559&lt;55),0.3,0)+IF(AND(V559&lt;20,W559&gt;=55,W559&lt;105),0.23,0)+IF(AND(V559&lt;20,W559&gt;=105),0.17,0)+IF(AND(V559&gt;=20,V559&lt;40,W559&lt;45),0.3,0)+IF(AND(V559&gt;=20,V559&lt;40,W559&gt;=45,W559&lt;95),0.23,0)+IF(AND(V559&gt;=20,V559&lt;40,W559&gt;=95,W559&lt;=200),0.17,0)+IF(AND(V559&gt;=20,V559&lt;40,W559&gt;=200),0.12,0)+IF(AND(V559&gt;=40,V559&lt;75,W559&lt;35),0.3,0)+IF(AND(V559&gt;=40,V559&lt;75,W559&gt;=35,W559&lt;75),0.23,0)+IF(AND(V559&gt;=40,V559&lt;75,W559&gt;=75,W559&lt;120),0.17,0)+IF(AND(V559&gt;=40,V559&lt;75,W559&gt;=120),0.12,0)+IF(AND(V559&gt;=75,V559&lt;175,W559&lt;35),0.3,0)+IF(AND(V559&gt;=75,V559&lt;=175,W559&gt;=35,W559&lt;65),0.23,0)+IF(AND(V559&gt;=75,V559&lt;=175,W559&gt;=65,W559&lt;110),0.17,0)+IF(AND(V559&gt;=75,V559&lt;=175,W559&gt;=110),0.12,0)+IF(AND(V559&gt;175,W559&lt;25),0.3,0)+IF(AND(V559&gt;175,W559&gt;=25,W559&lt;55),0.23,0)+IF(AND(V559&gt;175,W559&gt;=55,W559&lt;95),0.17,0)+IF(AND(V559&gt;175,W559&gt;=95),0.12,0),
IF(AF559="DoEVLo",IF(AND(V559&lt;20,W559&lt;55),0.25,0)+IF(AND(V559&lt;20,W559&gt;=55,W559&lt;105),0.2,0)+IF(AND(V559&lt;20,W559&gt;=105),0.15,0)+IF(AND(V559&gt;=20,V559&lt;40,W559&lt;45),0.25,0)+IF(AND(V559&gt;=20,V559&lt;40,W559&gt;=45,W559&lt;95),0.2,0)+IF(AND(V559&gt;=20,V559&lt;40,W559&gt;=95),0.15,0)+IF(AND(V559&gt;=40,V559&lt;75,W559&lt;35),0.25,0)+IF(AND(V559&gt;=40,V559&lt;75,W559&gt;=35,W559&lt;75),0.2,0)+IF(AND(V559&gt;=40,V559&lt;75,W559&gt;=75,W559&lt;120),0.15,0)+IF(AND(V559&gt;=40,V559&lt;75,W559&gt;=120),0.1,0)+IF(AND(V559&gt;=75,V559&lt;175,W559&lt;35),0.25,0)+IF(AND(V559&gt;=75,V559&lt;=175,W559&gt;=35,W559&lt;65),0.2,0)+IF(AND(V559&gt;=75,V559&lt;=175,W559&gt;=65,W559&lt;110),0.15,0)+IF(AND(V559&gt;=75,V559&lt;=175,W559&gt;=110),0.1,0)+IF(AND(V559&gt;175,W559&lt;25),0.25,0)+IF(AND(V559&gt;175,W559&gt;=25,W559&lt;55),0.2,0)+IF(AND(V559&gt;175,W559&gt;=55,W559&lt;95),0.15,0)+IF(AND(V559&gt;175,W559&gt;=95),0.1,0)))))))))))))))))</f>
        <v>#N/A</v>
      </c>
      <c r="Y559" s="35" t="str">
        <f t="shared" si="114"/>
        <v>#N/A</v>
      </c>
      <c r="Z559" s="40" t="str">
        <f t="shared" si="107"/>
        <v>#N/A</v>
      </c>
      <c r="AA559" s="34" t="str">
        <f t="shared" si="115"/>
        <v>#N/A</v>
      </c>
      <c r="AB559" s="41" t="str">
        <f t="shared" si="109"/>
        <v>#N/A</v>
      </c>
      <c r="AC559" s="42" t="b">
        <v>1</v>
      </c>
      <c r="AD559" s="42" t="s">
        <v>138</v>
      </c>
      <c r="AE559" s="42" t="s">
        <v>138</v>
      </c>
      <c r="AF559" s="42" t="str">
        <f t="array" ref="AF559">INDEX('Deal Info'!D:D, MATCH(A559,'Deal Info'!A:A, 0))</f>
        <v>#N/A</v>
      </c>
      <c r="AG559" s="43" t="str">
        <f t="array" ref="AG559">INDEX('Deal Info'!G:G, MATCH(A559,'Deal Info'!A:A, 0))</f>
        <v>#N/A</v>
      </c>
    </row>
    <row r="560" hidden="1">
      <c r="A560" s="23" t="b">
        <f t="array" ref="A560">if(G560='Room Info'!$B$1, INDEX('Room Info'!$A$2:$A3446, MATCH(B560,'Room Info'!$B$2:$B3446, 0)),if(G560='Room Info'!$C$1, INDEX('Room Info'!$A$2:$A3446, MATCH(B560,'Room Info'!$C$2:$C3446, 0)),if(G560='Room Info'!$D$1, INDEX('Room Info'!$A$2:$A3446, MATCH(B560,'Room Info'!$D$2:$D3446, 0)),if(G560='Room Info'!$E$1, INDEX('Room Info'!$A$2:$A3446, MATCH(B560,'Room Info'!$E$2:$E3446, 0)),if(G560='Room Info'!$F$1, INDEX('Room Info'!$A$2:$A3446, MATCH(B560,'Room Info'!$F$2:$F3446, 0)),if(G560='Room Info'!$H$1, INDEX('Room Info'!$A$2:$A3446, MATCH(B560,'Room Info'!$H$2:$H3446, 0)),if(G560='Room Info'!$G$1, INDEX('Room Info'!$A$2:$A3446, MATCH(B560,'Room Info'!$G$2:$G3446, 0)))))))))</f>
        <v>0</v>
      </c>
      <c r="B560" s="50" t="s">
        <v>180</v>
      </c>
      <c r="C560" s="51">
        <v>44835.0</v>
      </c>
      <c r="D560" s="51">
        <v>44865.0</v>
      </c>
      <c r="E560" s="52">
        <v>44835.0</v>
      </c>
      <c r="F560" s="53" t="s">
        <v>12</v>
      </c>
      <c r="G560" s="50" t="s">
        <v>142</v>
      </c>
      <c r="H560" s="54" t="s">
        <v>50</v>
      </c>
      <c r="I560" s="54" t="s">
        <v>7</v>
      </c>
      <c r="J560" s="75">
        <v>10.0</v>
      </c>
      <c r="K560" s="76">
        <v>860.0</v>
      </c>
      <c r="L560" s="57">
        <v>-554.15</v>
      </c>
      <c r="M560" s="58">
        <v>301.0</v>
      </c>
      <c r="N560" s="33">
        <f t="shared" si="13"/>
        <v>8600</v>
      </c>
      <c r="O560" s="59">
        <v>29240.0</v>
      </c>
      <c r="P560" s="34">
        <f t="shared" si="14"/>
        <v>34</v>
      </c>
      <c r="Q560" s="107"/>
      <c r="R560" s="36">
        <f t="shared" si="99"/>
        <v>301</v>
      </c>
      <c r="S560" s="71"/>
      <c r="T560" s="37">
        <f t="shared" si="100"/>
        <v>-253.15</v>
      </c>
      <c r="U560" s="62">
        <v>1.0</v>
      </c>
      <c r="V560" s="63">
        <v>13.0</v>
      </c>
      <c r="W560" s="63">
        <v>4.0</v>
      </c>
      <c r="X560" s="35" t="str">
        <f t="shared" si="116"/>
        <v>#N/A</v>
      </c>
      <c r="Y560" s="35" t="str">
        <f t="shared" si="114"/>
        <v>#N/A</v>
      </c>
      <c r="Z560" s="40" t="str">
        <f t="shared" si="107"/>
        <v>#N/A</v>
      </c>
      <c r="AA560" s="34" t="str">
        <f t="shared" si="115"/>
        <v>#N/A</v>
      </c>
      <c r="AB560" s="41" t="str">
        <f t="shared" si="109"/>
        <v>#N/A</v>
      </c>
      <c r="AC560" s="42" t="b">
        <v>1</v>
      </c>
      <c r="AD560" s="42" t="s">
        <v>138</v>
      </c>
      <c r="AE560" s="42" t="s">
        <v>138</v>
      </c>
      <c r="AF560" s="42" t="str">
        <f t="array" ref="AF560">INDEX('Deal Info'!D:D, MATCH(A560,'Deal Info'!A:A, 0))</f>
        <v>#N/A</v>
      </c>
      <c r="AG560" s="43" t="str">
        <f t="array" ref="AG560">INDEX('Deal Info'!G:G, MATCH(A560,'Deal Info'!A:A, 0))</f>
        <v>#N/A</v>
      </c>
    </row>
    <row r="561" hidden="1">
      <c r="A561" s="23" t="b">
        <f t="array" ref="A561">if(G561='Room Info'!$B$1, INDEX('Room Info'!$A$2:$A3446, MATCH(B561,'Room Info'!$B$2:$B3446, 0)),if(G561='Room Info'!$C$1, INDEX('Room Info'!$A$2:$A3446, MATCH(B561,'Room Info'!$C$2:$C3446, 0)),if(G561='Room Info'!$D$1, INDEX('Room Info'!$A$2:$A3446, MATCH(B561,'Room Info'!$D$2:$D3446, 0)),if(G561='Room Info'!$E$1, INDEX('Room Info'!$A$2:$A3446, MATCH(B561,'Room Info'!$E$2:$E3446, 0)),if(G561='Room Info'!$F$1, INDEX('Room Info'!$A$2:$A3446, MATCH(B561,'Room Info'!$F$2:$F3446, 0)),if(G561='Room Info'!$H$1, INDEX('Room Info'!$A$2:$A3446, MATCH(B561,'Room Info'!$H$2:$H3446, 0)),if(G561='Room Info'!$G$1, INDEX('Room Info'!$A$2:$A3446, MATCH(B561,'Room Info'!$G$2:$G3446, 0)))))))))</f>
        <v>0</v>
      </c>
      <c r="B561" s="50" t="s">
        <v>180</v>
      </c>
      <c r="C561" s="51">
        <v>44835.0</v>
      </c>
      <c r="D561" s="51">
        <v>44865.0</v>
      </c>
      <c r="E561" s="52">
        <v>44835.0</v>
      </c>
      <c r="F561" s="53" t="s">
        <v>12</v>
      </c>
      <c r="G561" s="50" t="s">
        <v>142</v>
      </c>
      <c r="H561" s="54" t="s">
        <v>61</v>
      </c>
      <c r="I561" s="54" t="s">
        <v>7</v>
      </c>
      <c r="J561" s="75">
        <v>20.0</v>
      </c>
      <c r="K561" s="76">
        <v>577.0</v>
      </c>
      <c r="L561" s="57">
        <v>-743.59</v>
      </c>
      <c r="M561" s="58">
        <v>404.0</v>
      </c>
      <c r="N561" s="33">
        <f t="shared" si="13"/>
        <v>11540</v>
      </c>
      <c r="O561" s="59">
        <v>12694.0</v>
      </c>
      <c r="P561" s="34">
        <f t="shared" si="14"/>
        <v>22</v>
      </c>
      <c r="Q561" s="107"/>
      <c r="R561" s="36">
        <f t="shared" si="99"/>
        <v>404</v>
      </c>
      <c r="S561" s="71"/>
      <c r="T561" s="37">
        <f t="shared" si="100"/>
        <v>-339.59</v>
      </c>
      <c r="U561" s="62">
        <v>1.0</v>
      </c>
      <c r="V561" s="63">
        <v>13.0</v>
      </c>
      <c r="W561" s="63">
        <v>4.0</v>
      </c>
      <c r="X561" s="35" t="str">
        <f t="shared" si="116"/>
        <v>#N/A</v>
      </c>
      <c r="Y561" s="35" t="str">
        <f t="shared" si="114"/>
        <v>#N/A</v>
      </c>
      <c r="Z561" s="40" t="str">
        <f t="shared" si="107"/>
        <v>#N/A</v>
      </c>
      <c r="AA561" s="34" t="str">
        <f t="shared" si="115"/>
        <v>#N/A</v>
      </c>
      <c r="AB561" s="41" t="str">
        <f t="shared" si="109"/>
        <v>#N/A</v>
      </c>
      <c r="AC561" s="42" t="b">
        <v>1</v>
      </c>
      <c r="AD561" s="42" t="s">
        <v>138</v>
      </c>
      <c r="AE561" s="42" t="s">
        <v>138</v>
      </c>
      <c r="AF561" s="42" t="str">
        <f t="array" ref="AF561">INDEX('Deal Info'!D:D, MATCH(A561,'Deal Info'!A:A, 0))</f>
        <v>#N/A</v>
      </c>
      <c r="AG561" s="43" t="str">
        <f t="array" ref="AG561">INDEX('Deal Info'!G:G, MATCH(A561,'Deal Info'!A:A, 0))</f>
        <v>#N/A</v>
      </c>
    </row>
    <row r="562" hidden="1">
      <c r="A562" s="23" t="b">
        <f t="array" ref="A562">if(G562='Room Info'!$B$1, INDEX('Room Info'!$A$2:$A3446, MATCH(B562,'Room Info'!$B$2:$B3446, 0)),if(G562='Room Info'!$C$1, INDEX('Room Info'!$A$2:$A3446, MATCH(B562,'Room Info'!$C$2:$C3446, 0)),if(G562='Room Info'!$D$1, INDEX('Room Info'!$A$2:$A3446, MATCH(B562,'Room Info'!$D$2:$D3446, 0)),if(G562='Room Info'!$E$1, INDEX('Room Info'!$A$2:$A3446, MATCH(B562,'Room Info'!$E$2:$E3446, 0)),if(G562='Room Info'!$F$1, INDEX('Room Info'!$A$2:$A3446, MATCH(B562,'Room Info'!$F$2:$F3446, 0)),if(G562='Room Info'!$H$1, INDEX('Room Info'!$A$2:$A3446, MATCH(B562,'Room Info'!$H$2:$H3446, 0)),if(G562='Room Info'!$G$1, INDEX('Room Info'!$A$2:$A3446, MATCH(B562,'Room Info'!$G$2:$G3446, 0)))))))))</f>
        <v>0</v>
      </c>
      <c r="B562" s="59" t="s">
        <v>180</v>
      </c>
      <c r="C562" s="51">
        <v>44835.0</v>
      </c>
      <c r="D562" s="51">
        <v>44865.0</v>
      </c>
      <c r="E562" s="52">
        <v>44835.0</v>
      </c>
      <c r="F562" s="53" t="s">
        <v>12</v>
      </c>
      <c r="G562" s="59" t="s">
        <v>142</v>
      </c>
      <c r="H562" s="54" t="s">
        <v>77</v>
      </c>
      <c r="I562" s="54" t="s">
        <v>7</v>
      </c>
      <c r="J562" s="55">
        <v>50.0</v>
      </c>
      <c r="K562" s="56">
        <v>162.0</v>
      </c>
      <c r="L562" s="57">
        <v>-521.93</v>
      </c>
      <c r="M562" s="58">
        <v>284.0</v>
      </c>
      <c r="N562" s="33">
        <f t="shared" si="13"/>
        <v>8100</v>
      </c>
      <c r="O562" s="59">
        <v>4374.0</v>
      </c>
      <c r="P562" s="34">
        <f t="shared" si="14"/>
        <v>27</v>
      </c>
      <c r="Q562" s="107"/>
      <c r="R562" s="36">
        <f t="shared" si="99"/>
        <v>284</v>
      </c>
      <c r="S562" s="71"/>
      <c r="T562" s="37">
        <f t="shared" si="100"/>
        <v>-237.93</v>
      </c>
      <c r="U562" s="62">
        <v>1.0</v>
      </c>
      <c r="V562" s="63">
        <v>13.0</v>
      </c>
      <c r="W562" s="63">
        <v>4.0</v>
      </c>
      <c r="X562" s="35" t="str">
        <f t="shared" si="116"/>
        <v>#N/A</v>
      </c>
      <c r="Y562" s="35" t="str">
        <f t="shared" si="114"/>
        <v>#N/A</v>
      </c>
      <c r="Z562" s="40" t="str">
        <f t="shared" si="107"/>
        <v>#N/A</v>
      </c>
      <c r="AA562" s="34" t="str">
        <f t="shared" si="115"/>
        <v>#N/A</v>
      </c>
      <c r="AB562" s="41" t="str">
        <f t="shared" si="109"/>
        <v>#N/A</v>
      </c>
      <c r="AC562" s="42" t="b">
        <v>1</v>
      </c>
      <c r="AD562" s="42" t="s">
        <v>138</v>
      </c>
      <c r="AE562" s="42" t="s">
        <v>138</v>
      </c>
      <c r="AF562" s="42" t="str">
        <f t="array" ref="AF562">INDEX('Deal Info'!D:D, MATCH(A562,'Deal Info'!A:A, 0))</f>
        <v>#N/A</v>
      </c>
      <c r="AG562" s="43" t="str">
        <f t="array" ref="AG562">INDEX('Deal Info'!G:G, MATCH(A562,'Deal Info'!A:A, 0))</f>
        <v>#N/A</v>
      </c>
    </row>
    <row r="563" hidden="1">
      <c r="A563" s="23" t="b">
        <f t="array" ref="A563">if(G563='Room Info'!$B$1, INDEX('Room Info'!$A$2:$A3446, MATCH(B563,'Room Info'!$B$2:$B3446, 0)),if(G563='Room Info'!$C$1, INDEX('Room Info'!$A$2:$A3446, MATCH(B563,'Room Info'!$C$2:$C3446, 0)),if(G563='Room Info'!$D$1, INDEX('Room Info'!$A$2:$A3446, MATCH(B563,'Room Info'!$D$2:$D3446, 0)),if(G563='Room Info'!$E$1, INDEX('Room Info'!$A$2:$A3446, MATCH(B563,'Room Info'!$E$2:$E3446, 0)),if(G563='Room Info'!$F$1, INDEX('Room Info'!$A$2:$A3446, MATCH(B563,'Room Info'!$F$2:$F3446, 0)),if(G563='Room Info'!$H$1, INDEX('Room Info'!$A$2:$A3446, MATCH(B563,'Room Info'!$H$2:$H3446, 0)),if(G563='Room Info'!$G$1, INDEX('Room Info'!$A$2:$A3446, MATCH(B563,'Room Info'!$G$2:$G3446, 0)))))))))</f>
        <v>0</v>
      </c>
      <c r="B563" s="59" t="s">
        <v>180</v>
      </c>
      <c r="C563" s="51">
        <v>44835.0</v>
      </c>
      <c r="D563" s="51">
        <v>44865.0</v>
      </c>
      <c r="E563" s="52">
        <v>44835.0</v>
      </c>
      <c r="F563" s="53" t="s">
        <v>12</v>
      </c>
      <c r="G563" s="59" t="s">
        <v>142</v>
      </c>
      <c r="H563" s="54" t="s">
        <v>89</v>
      </c>
      <c r="I563" s="54" t="s">
        <v>7</v>
      </c>
      <c r="J563" s="55">
        <v>100.0</v>
      </c>
      <c r="K563" s="56">
        <v>9.0</v>
      </c>
      <c r="L563" s="57">
        <v>-57.99</v>
      </c>
      <c r="M563" s="58">
        <v>32.0</v>
      </c>
      <c r="N563" s="33">
        <f t="shared" si="13"/>
        <v>900</v>
      </c>
      <c r="O563" s="70"/>
      <c r="P563" s="34">
        <f t="shared" si="14"/>
        <v>0</v>
      </c>
      <c r="Q563" s="107"/>
      <c r="R563" s="36">
        <f t="shared" si="99"/>
        <v>32</v>
      </c>
      <c r="S563" s="71"/>
      <c r="T563" s="37">
        <f t="shared" si="100"/>
        <v>-25.99</v>
      </c>
      <c r="U563" s="62">
        <v>1.0</v>
      </c>
      <c r="V563" s="63">
        <v>13.0</v>
      </c>
      <c r="W563" s="63">
        <v>4.0</v>
      </c>
      <c r="X563" s="35" t="str">
        <f t="shared" si="116"/>
        <v>#N/A</v>
      </c>
      <c r="Y563" s="35" t="str">
        <f t="shared" si="114"/>
        <v>#N/A</v>
      </c>
      <c r="Z563" s="40" t="str">
        <f t="shared" si="107"/>
        <v>#N/A</v>
      </c>
      <c r="AA563" s="34" t="str">
        <f t="shared" si="115"/>
        <v>#N/A</v>
      </c>
      <c r="AB563" s="41" t="str">
        <f t="shared" si="109"/>
        <v>#N/A</v>
      </c>
      <c r="AC563" s="42" t="b">
        <v>1</v>
      </c>
      <c r="AD563" s="42" t="s">
        <v>138</v>
      </c>
      <c r="AE563" s="42" t="s">
        <v>138</v>
      </c>
      <c r="AF563" s="42" t="str">
        <f t="array" ref="AF563">INDEX('Deal Info'!D:D, MATCH(A563,'Deal Info'!A:A, 0))</f>
        <v>#N/A</v>
      </c>
      <c r="AG563" s="43" t="str">
        <f t="array" ref="AG563">INDEX('Deal Info'!G:G, MATCH(A563,'Deal Info'!A:A, 0))</f>
        <v>#N/A</v>
      </c>
    </row>
    <row r="564" hidden="1">
      <c r="A564" s="23" t="b">
        <f t="array" ref="A564">if(G564='Room Info'!$B$1, INDEX('Room Info'!$A$2:$A3446, MATCH(B564,'Room Info'!$B$2:$B3446, 0)),if(G564='Room Info'!$C$1, INDEX('Room Info'!$A$2:$A3446, MATCH(B564,'Room Info'!$C$2:$C3446, 0)),if(G564='Room Info'!$D$1, INDEX('Room Info'!$A$2:$A3446, MATCH(B564,'Room Info'!$D$2:$D3446, 0)),if(G564='Room Info'!$E$1, INDEX('Room Info'!$A$2:$A3446, MATCH(B564,'Room Info'!$E$2:$E3446, 0)),if(G564='Room Info'!$F$1, INDEX('Room Info'!$A$2:$A3446, MATCH(B564,'Room Info'!$F$2:$F3446, 0)),if(G564='Room Info'!$H$1, INDEX('Room Info'!$A$2:$A3446, MATCH(B564,'Room Info'!$H$2:$H3446, 0)),if(G564='Room Info'!$G$1, INDEX('Room Info'!$A$2:$A3446, MATCH(B564,'Room Info'!$G$2:$G3446, 0)))))))))</f>
        <v>0</v>
      </c>
      <c r="B564" s="59" t="s">
        <v>180</v>
      </c>
      <c r="C564" s="51">
        <v>44866.0</v>
      </c>
      <c r="D564" s="51">
        <v>44895.0</v>
      </c>
      <c r="E564" s="52">
        <v>44866.0</v>
      </c>
      <c r="F564" s="53" t="s">
        <v>12</v>
      </c>
      <c r="G564" s="59" t="s">
        <v>142</v>
      </c>
      <c r="H564" s="54" t="s">
        <v>39</v>
      </c>
      <c r="I564" s="54" t="s">
        <v>7</v>
      </c>
      <c r="J564" s="55">
        <v>5.0</v>
      </c>
      <c r="K564" s="56">
        <v>2302.0</v>
      </c>
      <c r="L564" s="57">
        <v>130.87</v>
      </c>
      <c r="M564" s="58">
        <v>403.0</v>
      </c>
      <c r="N564" s="33">
        <f t="shared" si="13"/>
        <v>11510</v>
      </c>
      <c r="O564" s="70"/>
      <c r="P564" s="34">
        <f t="shared" si="14"/>
        <v>0</v>
      </c>
      <c r="Q564" s="107"/>
      <c r="R564" s="36">
        <f t="shared" si="99"/>
        <v>403</v>
      </c>
      <c r="S564" s="71"/>
      <c r="T564" s="37">
        <f t="shared" si="100"/>
        <v>533.87</v>
      </c>
      <c r="U564" s="62">
        <v>1.0</v>
      </c>
      <c r="V564" s="63">
        <v>13.0</v>
      </c>
      <c r="W564" s="63">
        <v>4.0</v>
      </c>
      <c r="X564" s="35" t="str">
        <f t="shared" si="116"/>
        <v>#N/A</v>
      </c>
      <c r="Y564" s="35" t="str">
        <f t="shared" si="114"/>
        <v>#N/A</v>
      </c>
      <c r="Z564" s="40" t="str">
        <f t="shared" si="107"/>
        <v>#N/A</v>
      </c>
      <c r="AA564" s="34" t="str">
        <f t="shared" si="115"/>
        <v>#N/A</v>
      </c>
      <c r="AB564" s="41" t="str">
        <f t="shared" si="109"/>
        <v>#N/A</v>
      </c>
      <c r="AC564" s="42" t="b">
        <v>1</v>
      </c>
      <c r="AD564" s="42" t="s">
        <v>138</v>
      </c>
      <c r="AE564" s="42" t="s">
        <v>138</v>
      </c>
      <c r="AF564" s="42" t="str">
        <f t="array" ref="AF564">INDEX('Deal Info'!D:D, MATCH(A564,'Deal Info'!A:A, 0))</f>
        <v>#N/A</v>
      </c>
      <c r="AG564" s="43" t="str">
        <f t="array" ref="AG564">INDEX('Deal Info'!G:G, MATCH(A564,'Deal Info'!A:A, 0))</f>
        <v>#N/A</v>
      </c>
    </row>
    <row r="565" hidden="1">
      <c r="A565" s="23" t="b">
        <f t="array" ref="A565">if(G565='Room Info'!$B$1, INDEX('Room Info'!$A$2:$A3446, MATCH(B565,'Room Info'!$B$2:$B3446, 0)),if(G565='Room Info'!$C$1, INDEX('Room Info'!$A$2:$A3446, MATCH(B565,'Room Info'!$C$2:$C3446, 0)),if(G565='Room Info'!$D$1, INDEX('Room Info'!$A$2:$A3446, MATCH(B565,'Room Info'!$D$2:$D3446, 0)),if(G565='Room Info'!$E$1, INDEX('Room Info'!$A$2:$A3446, MATCH(B565,'Room Info'!$E$2:$E3446, 0)),if(G565='Room Info'!$F$1, INDEX('Room Info'!$A$2:$A3446, MATCH(B565,'Room Info'!$F$2:$F3446, 0)),if(G565='Room Info'!$H$1, INDEX('Room Info'!$A$2:$A3446, MATCH(B565,'Room Info'!$H$2:$H3446, 0)),if(G565='Room Info'!$G$1, INDEX('Room Info'!$A$2:$A3446, MATCH(B565,'Room Info'!$G$2:$G3446, 0)))))))))</f>
        <v>0</v>
      </c>
      <c r="B565" s="59" t="s">
        <v>180</v>
      </c>
      <c r="C565" s="51">
        <v>44866.0</v>
      </c>
      <c r="D565" s="51">
        <v>44895.0</v>
      </c>
      <c r="E565" s="52">
        <v>44866.0</v>
      </c>
      <c r="F565" s="53" t="s">
        <v>12</v>
      </c>
      <c r="G565" s="59" t="s">
        <v>142</v>
      </c>
      <c r="H565" s="54" t="s">
        <v>50</v>
      </c>
      <c r="I565" s="54" t="s">
        <v>7</v>
      </c>
      <c r="J565" s="55">
        <v>10.0</v>
      </c>
      <c r="K565" s="56">
        <v>177.0</v>
      </c>
      <c r="L565" s="57">
        <v>20.13</v>
      </c>
      <c r="M565" s="58">
        <v>62.0</v>
      </c>
      <c r="N565" s="33">
        <f t="shared" si="13"/>
        <v>1770</v>
      </c>
      <c r="O565" s="70"/>
      <c r="P565" s="34">
        <f t="shared" si="14"/>
        <v>0</v>
      </c>
      <c r="Q565" s="107"/>
      <c r="R565" s="36">
        <f t="shared" si="99"/>
        <v>62</v>
      </c>
      <c r="S565" s="71"/>
      <c r="T565" s="37">
        <f t="shared" si="100"/>
        <v>82.13</v>
      </c>
      <c r="U565" s="62">
        <v>1.0</v>
      </c>
      <c r="V565" s="63">
        <v>13.0</v>
      </c>
      <c r="W565" s="63">
        <v>4.0</v>
      </c>
      <c r="X565" s="35" t="str">
        <f t="shared" si="116"/>
        <v>#N/A</v>
      </c>
      <c r="Y565" s="35" t="str">
        <f t="shared" si="114"/>
        <v>#N/A</v>
      </c>
      <c r="Z565" s="40" t="str">
        <f t="shared" si="107"/>
        <v>#N/A</v>
      </c>
      <c r="AA565" s="34" t="str">
        <f t="shared" si="115"/>
        <v>#N/A</v>
      </c>
      <c r="AB565" s="41" t="str">
        <f t="shared" si="109"/>
        <v>#N/A</v>
      </c>
      <c r="AC565" s="42" t="b">
        <v>1</v>
      </c>
      <c r="AD565" s="42" t="s">
        <v>138</v>
      </c>
      <c r="AE565" s="42" t="s">
        <v>138</v>
      </c>
      <c r="AF565" s="42" t="str">
        <f t="array" ref="AF565">INDEX('Deal Info'!D:D, MATCH(A565,'Deal Info'!A:A, 0))</f>
        <v>#N/A</v>
      </c>
      <c r="AG565" s="43" t="str">
        <f t="array" ref="AG565">INDEX('Deal Info'!G:G, MATCH(A565,'Deal Info'!A:A, 0))</f>
        <v>#N/A</v>
      </c>
    </row>
    <row r="566" hidden="1">
      <c r="A566" s="23" t="b">
        <f t="array" ref="A566">if(G566='Room Info'!$B$1, INDEX('Room Info'!$A$2:$A3446, MATCH(B566,'Room Info'!$B$2:$B3446, 0)),if(G566='Room Info'!$C$1, INDEX('Room Info'!$A$2:$A3446, MATCH(B566,'Room Info'!$C$2:$C3446, 0)),if(G566='Room Info'!$D$1, INDEX('Room Info'!$A$2:$A3446, MATCH(B566,'Room Info'!$D$2:$D3446, 0)),if(G566='Room Info'!$E$1, INDEX('Room Info'!$A$2:$A3446, MATCH(B566,'Room Info'!$E$2:$E3446, 0)),if(G566='Room Info'!$F$1, INDEX('Room Info'!$A$2:$A3446, MATCH(B566,'Room Info'!$F$2:$F3446, 0)),if(G566='Room Info'!$H$1, INDEX('Room Info'!$A$2:$A3446, MATCH(B566,'Room Info'!$H$2:$H3446, 0)),if(G566='Room Info'!$G$1, INDEX('Room Info'!$A$2:$A3446, MATCH(B566,'Room Info'!$G$2:$G3446, 0)))))))))</f>
        <v>0</v>
      </c>
      <c r="B566" s="50" t="s">
        <v>180</v>
      </c>
      <c r="C566" s="51">
        <v>44896.0</v>
      </c>
      <c r="D566" s="51">
        <v>44922.0</v>
      </c>
      <c r="E566" s="52">
        <v>44896.0</v>
      </c>
      <c r="F566" s="53" t="s">
        <v>12</v>
      </c>
      <c r="G566" s="50" t="s">
        <v>142</v>
      </c>
      <c r="H566" s="54" t="s">
        <v>39</v>
      </c>
      <c r="I566" s="54" t="s">
        <v>7</v>
      </c>
      <c r="J566" s="55">
        <v>5.0</v>
      </c>
      <c r="K566" s="56">
        <v>1345.0</v>
      </c>
      <c r="L566" s="57">
        <v>264.78</v>
      </c>
      <c r="M566" s="58">
        <v>235.0</v>
      </c>
      <c r="N566" s="33">
        <f t="shared" si="13"/>
        <v>6725</v>
      </c>
      <c r="O566" s="70"/>
      <c r="P566" s="34">
        <f t="shared" si="14"/>
        <v>0</v>
      </c>
      <c r="Q566" s="107"/>
      <c r="R566" s="36">
        <f t="shared" si="99"/>
        <v>235</v>
      </c>
      <c r="S566" s="71"/>
      <c r="T566" s="37">
        <f t="shared" si="100"/>
        <v>499.78</v>
      </c>
      <c r="U566" s="62">
        <v>1.0</v>
      </c>
      <c r="V566" s="63">
        <v>13.0</v>
      </c>
      <c r="W566" s="63">
        <v>4.0</v>
      </c>
      <c r="X566" s="35" t="str">
        <f t="shared" si="116"/>
        <v>#N/A</v>
      </c>
      <c r="Y566" s="35" t="str">
        <f t="shared" si="114"/>
        <v>#N/A</v>
      </c>
      <c r="Z566" s="40" t="str">
        <f t="shared" si="107"/>
        <v>#N/A</v>
      </c>
      <c r="AA566" s="34" t="str">
        <f t="shared" si="115"/>
        <v>#N/A</v>
      </c>
      <c r="AB566" s="41" t="str">
        <f t="shared" si="109"/>
        <v>#N/A</v>
      </c>
      <c r="AC566" s="42" t="b">
        <v>1</v>
      </c>
      <c r="AD566" s="42" t="s">
        <v>138</v>
      </c>
      <c r="AE566" s="42" t="s">
        <v>138</v>
      </c>
      <c r="AF566" s="42" t="str">
        <f t="array" ref="AF566">INDEX('Deal Info'!D:D, MATCH(A566,'Deal Info'!A:A, 0))</f>
        <v>#N/A</v>
      </c>
      <c r="AG566" s="43" t="str">
        <f t="array" ref="AG566">INDEX('Deal Info'!G:G, MATCH(A566,'Deal Info'!A:A, 0))</f>
        <v>#N/A</v>
      </c>
    </row>
    <row r="567" hidden="1">
      <c r="A567" s="23" t="b">
        <f t="array" ref="A567">if(G567='Room Info'!$B$1, INDEX('Room Info'!$A$2:$A3446, MATCH(B567,'Room Info'!$B$2:$B3446, 0)),if(G567='Room Info'!$C$1, INDEX('Room Info'!$A$2:$A3446, MATCH(B567,'Room Info'!$C$2:$C3446, 0)),if(G567='Room Info'!$D$1, INDEX('Room Info'!$A$2:$A3446, MATCH(B567,'Room Info'!$D$2:$D3446, 0)),if(G567='Room Info'!$E$1, INDEX('Room Info'!$A$2:$A3446, MATCH(B567,'Room Info'!$E$2:$E3446, 0)),if(G567='Room Info'!$F$1, INDEX('Room Info'!$A$2:$A3446, MATCH(B567,'Room Info'!$F$2:$F3446, 0)),if(G567='Room Info'!$H$1, INDEX('Room Info'!$A$2:$A3446, MATCH(B567,'Room Info'!$H$2:$H3446, 0)),if(G567='Room Info'!$G$1, INDEX('Room Info'!$A$2:$A3446, MATCH(B567,'Room Info'!$G$2:$G3446, 0)))))))))</f>
        <v>0</v>
      </c>
      <c r="B567" s="50" t="s">
        <v>180</v>
      </c>
      <c r="C567" s="51">
        <v>44896.0</v>
      </c>
      <c r="D567" s="51">
        <v>44922.0</v>
      </c>
      <c r="E567" s="52">
        <v>44896.0</v>
      </c>
      <c r="F567" s="53" t="s">
        <v>12</v>
      </c>
      <c r="G567" s="50" t="s">
        <v>142</v>
      </c>
      <c r="H567" s="54" t="s">
        <v>50</v>
      </c>
      <c r="I567" s="54" t="s">
        <v>7</v>
      </c>
      <c r="J567" s="55">
        <v>10.0</v>
      </c>
      <c r="K567" s="56">
        <v>252.0</v>
      </c>
      <c r="L567" s="57">
        <v>99.22</v>
      </c>
      <c r="M567" s="58">
        <v>88.0</v>
      </c>
      <c r="N567" s="33">
        <f t="shared" si="13"/>
        <v>2520</v>
      </c>
      <c r="O567" s="70"/>
      <c r="P567" s="34">
        <f t="shared" si="14"/>
        <v>0</v>
      </c>
      <c r="Q567" s="107"/>
      <c r="R567" s="36">
        <f t="shared" si="99"/>
        <v>88</v>
      </c>
      <c r="S567" s="71"/>
      <c r="T567" s="37">
        <f t="shared" si="100"/>
        <v>187.22</v>
      </c>
      <c r="U567" s="62">
        <v>1.0</v>
      </c>
      <c r="V567" s="63">
        <v>13.0</v>
      </c>
      <c r="W567" s="63">
        <v>4.0</v>
      </c>
      <c r="X567" s="35" t="str">
        <f t="shared" si="116"/>
        <v>#N/A</v>
      </c>
      <c r="Y567" s="35" t="str">
        <f t="shared" si="114"/>
        <v>#N/A</v>
      </c>
      <c r="Z567" s="40" t="str">
        <f t="shared" si="107"/>
        <v>#N/A</v>
      </c>
      <c r="AA567" s="34" t="str">
        <f t="shared" si="115"/>
        <v>#N/A</v>
      </c>
      <c r="AB567" s="41" t="str">
        <f t="shared" si="109"/>
        <v>#N/A</v>
      </c>
      <c r="AC567" s="42" t="b">
        <v>1</v>
      </c>
      <c r="AD567" s="42" t="s">
        <v>138</v>
      </c>
      <c r="AE567" s="42" t="s">
        <v>138</v>
      </c>
      <c r="AF567" s="42" t="str">
        <f t="array" ref="AF567">INDEX('Deal Info'!D:D, MATCH(A567,'Deal Info'!A:A, 0))</f>
        <v>#N/A</v>
      </c>
      <c r="AG567" s="43" t="str">
        <f t="array" ref="AG567">INDEX('Deal Info'!G:G, MATCH(A567,'Deal Info'!A:A, 0))</f>
        <v>#N/A</v>
      </c>
    </row>
    <row r="568" hidden="1">
      <c r="A568" s="23" t="b">
        <f t="array" ref="A568">if(G568='Room Info'!$B$1, INDEX('Room Info'!$A$2:$A3446, MATCH(B568,'Room Info'!$B$2:$B3446, 0)),if(G568='Room Info'!$C$1, INDEX('Room Info'!$A$2:$A3446, MATCH(B568,'Room Info'!$C$2:$C3446, 0)),if(G568='Room Info'!$D$1, INDEX('Room Info'!$A$2:$A3446, MATCH(B568,'Room Info'!$D$2:$D3446, 0)),if(G568='Room Info'!$E$1, INDEX('Room Info'!$A$2:$A3446, MATCH(B568,'Room Info'!$E$2:$E3446, 0)),if(G568='Room Info'!$F$1, INDEX('Room Info'!$A$2:$A3446, MATCH(B568,'Room Info'!$F$2:$F3446, 0)),if(G568='Room Info'!$H$1, INDEX('Room Info'!$A$2:$A3446, MATCH(B568,'Room Info'!$H$2:$H3446, 0)),if(G568='Room Info'!$G$1, INDEX('Room Info'!$A$2:$A3446, MATCH(B568,'Room Info'!$G$2:$G3446, 0)))))))))</f>
        <v>0</v>
      </c>
      <c r="B568" s="50" t="s">
        <v>180</v>
      </c>
      <c r="C568" s="51">
        <v>44923.0</v>
      </c>
      <c r="D568" s="51">
        <v>44957.0</v>
      </c>
      <c r="E568" s="52">
        <v>44927.0</v>
      </c>
      <c r="F568" s="53" t="s">
        <v>12</v>
      </c>
      <c r="G568" s="50" t="s">
        <v>142</v>
      </c>
      <c r="H568" s="54" t="s">
        <v>39</v>
      </c>
      <c r="I568" s="54" t="s">
        <v>7</v>
      </c>
      <c r="J568" s="55">
        <v>5.0</v>
      </c>
      <c r="K568" s="56">
        <v>231.0</v>
      </c>
      <c r="L568" s="57">
        <v>-15.6</v>
      </c>
      <c r="M568" s="58">
        <v>40.0</v>
      </c>
      <c r="N568" s="33">
        <f t="shared" si="13"/>
        <v>1155</v>
      </c>
      <c r="O568" s="59">
        <v>27489.0</v>
      </c>
      <c r="P568" s="34">
        <f t="shared" si="14"/>
        <v>119</v>
      </c>
      <c r="Q568" s="107"/>
      <c r="R568" s="36">
        <f t="shared" si="99"/>
        <v>40</v>
      </c>
      <c r="S568" s="71"/>
      <c r="T568" s="37">
        <f t="shared" si="100"/>
        <v>24.4</v>
      </c>
      <c r="U568" s="62">
        <v>1.0</v>
      </c>
      <c r="V568" s="74">
        <v>9.679789298586083</v>
      </c>
      <c r="W568" s="74">
        <v>97.41947586996992</v>
      </c>
      <c r="X568" s="35" t="str">
        <f t="shared" si="116"/>
        <v>#N/A</v>
      </c>
      <c r="Y568" s="35" t="str">
        <f t="shared" si="114"/>
        <v>#N/A</v>
      </c>
      <c r="Z568" s="40" t="str">
        <f t="shared" si="107"/>
        <v>#N/A</v>
      </c>
      <c r="AA568" s="34" t="str">
        <f t="shared" si="115"/>
        <v>#N/A</v>
      </c>
      <c r="AB568" s="41" t="str">
        <f t="shared" si="109"/>
        <v>#N/A</v>
      </c>
      <c r="AC568" s="42" t="b">
        <v>1</v>
      </c>
      <c r="AD568" s="42" t="s">
        <v>138</v>
      </c>
      <c r="AE568" s="42" t="s">
        <v>138</v>
      </c>
      <c r="AF568" s="42" t="str">
        <f t="array" ref="AF568">INDEX('Deal Info'!D:D, MATCH(A568,'Deal Info'!A:A, 0))</f>
        <v>#N/A</v>
      </c>
      <c r="AG568" s="43" t="str">
        <f t="array" ref="AG568">INDEX('Deal Info'!G:G, MATCH(A568,'Deal Info'!A:A, 0))</f>
        <v>#N/A</v>
      </c>
    </row>
    <row r="569" hidden="1">
      <c r="A569" s="23" t="b">
        <f t="array" ref="A569">if(G569='Room Info'!$B$1, INDEX('Room Info'!$A$2:$A3446, MATCH(B569,'Room Info'!$B$2:$B3446, 0)),if(G569='Room Info'!$C$1, INDEX('Room Info'!$A$2:$A3446, MATCH(B569,'Room Info'!$C$2:$C3446, 0)),if(G569='Room Info'!$D$1, INDEX('Room Info'!$A$2:$A3446, MATCH(B569,'Room Info'!$D$2:$D3446, 0)),if(G569='Room Info'!$E$1, INDEX('Room Info'!$A$2:$A3446, MATCH(B569,'Room Info'!$E$2:$E3446, 0)),if(G569='Room Info'!$F$1, INDEX('Room Info'!$A$2:$A3446, MATCH(B569,'Room Info'!$F$2:$F3446, 0)),if(G569='Room Info'!$H$1, INDEX('Room Info'!$A$2:$A3446, MATCH(B569,'Room Info'!$H$2:$H3446, 0)),if(G569='Room Info'!$G$1, INDEX('Room Info'!$A$2:$A3446, MATCH(B569,'Room Info'!$G$2:$G3446, 0)))))))))</f>
        <v>0</v>
      </c>
      <c r="B569" s="50" t="s">
        <v>180</v>
      </c>
      <c r="C569" s="51">
        <v>44923.0</v>
      </c>
      <c r="D569" s="51">
        <v>44957.0</v>
      </c>
      <c r="E569" s="52">
        <v>44927.0</v>
      </c>
      <c r="F569" s="53" t="s">
        <v>12</v>
      </c>
      <c r="G569" s="50" t="s">
        <v>142</v>
      </c>
      <c r="H569" s="54" t="s">
        <v>50</v>
      </c>
      <c r="I569" s="54" t="s">
        <v>7</v>
      </c>
      <c r="J569" s="55">
        <v>10.0</v>
      </c>
      <c r="K569" s="56">
        <v>3376.0</v>
      </c>
      <c r="L569" s="57">
        <v>-263.4</v>
      </c>
      <c r="M569" s="58">
        <v>1182.0</v>
      </c>
      <c r="N569" s="33">
        <f t="shared" si="13"/>
        <v>33760</v>
      </c>
      <c r="O569" s="59">
        <v>131664.0</v>
      </c>
      <c r="P569" s="34">
        <f t="shared" si="14"/>
        <v>39</v>
      </c>
      <c r="Q569" s="107"/>
      <c r="R569" s="36">
        <f t="shared" si="99"/>
        <v>1182</v>
      </c>
      <c r="S569" s="71"/>
      <c r="T569" s="37">
        <f t="shared" si="100"/>
        <v>918.6</v>
      </c>
      <c r="U569" s="62">
        <v>1.0</v>
      </c>
      <c r="V569" s="74">
        <v>9.679789298586083</v>
      </c>
      <c r="W569" s="74">
        <v>97.41947586996992</v>
      </c>
      <c r="X569" s="35" t="str">
        <f t="shared" si="116"/>
        <v>#N/A</v>
      </c>
      <c r="Y569" s="35" t="str">
        <f t="shared" si="114"/>
        <v>#N/A</v>
      </c>
      <c r="Z569" s="40" t="str">
        <f t="shared" si="107"/>
        <v>#N/A</v>
      </c>
      <c r="AA569" s="34" t="str">
        <f t="shared" si="115"/>
        <v>#N/A</v>
      </c>
      <c r="AB569" s="41" t="str">
        <f t="shared" si="109"/>
        <v>#N/A</v>
      </c>
      <c r="AC569" s="42" t="b">
        <v>1</v>
      </c>
      <c r="AD569" s="42" t="s">
        <v>138</v>
      </c>
      <c r="AE569" s="42" t="s">
        <v>138</v>
      </c>
      <c r="AF569" s="42" t="str">
        <f t="array" ref="AF569">INDEX('Deal Info'!D:D, MATCH(A569,'Deal Info'!A:A, 0))</f>
        <v>#N/A</v>
      </c>
      <c r="AG569" s="43" t="str">
        <f t="array" ref="AG569">INDEX('Deal Info'!G:G, MATCH(A569,'Deal Info'!A:A, 0))</f>
        <v>#N/A</v>
      </c>
    </row>
    <row r="570" hidden="1">
      <c r="A570" s="23" t="str">
        <f t="array" ref="A570">if(G570='Room Info'!$B$1, INDEX('Room Info'!$A$2:$A3446, MATCH(B570,'Room Info'!$B$2:$B3446, 0)),if(G570='Room Info'!$C$1, INDEX('Room Info'!$A$2:$A3446, MATCH(B570,'Room Info'!$C$2:$C3446, 0)),if(G570='Room Info'!$D$1, INDEX('Room Info'!$A$2:$A3446, MATCH(B570,'Room Info'!$D$2:$D3446, 0)),if(G570='Room Info'!$E$1, INDEX('Room Info'!$A$2:$A3446, MATCH(B570,'Room Info'!$E$2:$E3446, 0)),if(G570='Room Info'!$F$1, INDEX('Room Info'!$A$2:$A3446, MATCH(B570,'Room Info'!$F$2:$F3446, 0)),if(G570='Room Info'!$H$1, INDEX('Room Info'!$A$2:$A3446, MATCH(B570,'Room Info'!$H$2:$H3446, 0)),if(G570='Room Info'!$G$1, INDEX('Room Info'!$A$2:$A3446, MATCH(B570,'Room Info'!$G$2:$G3446, 0)))))))))</f>
        <v>Lo4io</v>
      </c>
      <c r="B570" s="50" t="s">
        <v>158</v>
      </c>
      <c r="C570" s="82">
        <v>44886.0</v>
      </c>
      <c r="D570" s="82">
        <v>44915.0</v>
      </c>
      <c r="E570" s="52">
        <v>44896.0</v>
      </c>
      <c r="F570" s="53" t="s">
        <v>4</v>
      </c>
      <c r="G570" s="50" t="s">
        <v>9</v>
      </c>
      <c r="H570" s="54" t="s">
        <v>69</v>
      </c>
      <c r="I570" s="54" t="s">
        <v>24</v>
      </c>
      <c r="J570" s="79">
        <v>25.0</v>
      </c>
      <c r="K570" s="80">
        <v>614.0</v>
      </c>
      <c r="L570" s="77">
        <v>-133.0</v>
      </c>
      <c r="M570" s="81">
        <v>126.0</v>
      </c>
      <c r="N570" s="33">
        <f t="shared" si="13"/>
        <v>15350</v>
      </c>
      <c r="O570" s="50">
        <v>9997.0</v>
      </c>
      <c r="P570" s="34">
        <f t="shared" si="14"/>
        <v>16.28175896</v>
      </c>
      <c r="Q570" s="60"/>
      <c r="R570" s="36">
        <f t="shared" si="99"/>
        <v>126</v>
      </c>
      <c r="S570" s="78">
        <v>-559.0</v>
      </c>
      <c r="T570" s="37">
        <f t="shared" si="100"/>
        <v>-433</v>
      </c>
      <c r="U570" s="62">
        <v>1.061</v>
      </c>
      <c r="V570" s="63"/>
      <c r="W570" s="63"/>
      <c r="X570" s="83">
        <v>0.25</v>
      </c>
      <c r="Y570" s="35">
        <f t="shared" si="114"/>
        <v>0</v>
      </c>
      <c r="Z570" s="40">
        <f t="shared" si="107"/>
        <v>-316.22525</v>
      </c>
      <c r="AA570" s="34">
        <f t="shared" si="115"/>
        <v>-116.77475</v>
      </c>
      <c r="AB570" s="41">
        <f t="shared" si="109"/>
        <v>0</v>
      </c>
      <c r="AC570" s="42" t="b">
        <v>1</v>
      </c>
      <c r="AD570" s="50" t="s">
        <v>140</v>
      </c>
      <c r="AE570" s="50"/>
      <c r="AF570" s="42" t="str">
        <f t="array" ref="AF570">INDEX('Deal Info'!D:D, MATCH(A570,'Deal Info'!A:A, 0))</f>
        <v>DoEVLo</v>
      </c>
      <c r="AG570" s="43" t="str">
        <f t="array" ref="AG570">INDEX('Deal Info'!G:G, MATCH(A570,'Deal Info'!A:A, 0))</f>
        <v>None</v>
      </c>
    </row>
    <row r="571" hidden="1">
      <c r="A571" s="23" t="str">
        <f t="array" ref="A571">if(G571='Room Info'!$B$1, INDEX('Room Info'!$A$2:$A3446, MATCH(B571,'Room Info'!$B$2:$B3446, 0)),if(G571='Room Info'!$C$1, INDEX('Room Info'!$A$2:$A3446, MATCH(B571,'Room Info'!$C$2:$C3446, 0)),if(G571='Room Info'!$D$1, INDEX('Room Info'!$A$2:$A3446, MATCH(B571,'Room Info'!$D$2:$D3446, 0)),if(G571='Room Info'!$E$1, INDEX('Room Info'!$A$2:$A3446, MATCH(B571,'Room Info'!$E$2:$E3446, 0)),if(G571='Room Info'!$F$1, INDEX('Room Info'!$A$2:$A3446, MATCH(B571,'Room Info'!$F$2:$F3446, 0)),if(G571='Room Info'!$H$1, INDEX('Room Info'!$A$2:$A3446, MATCH(B571,'Room Info'!$H$2:$H3446, 0)),if(G571='Room Info'!$G$1, INDEX('Room Info'!$A$2:$A3446, MATCH(B571,'Room Info'!$G$2:$G3446, 0)))))))))</f>
        <v>Lo4io</v>
      </c>
      <c r="B571" s="50" t="s">
        <v>158</v>
      </c>
      <c r="C571" s="51">
        <v>44916.0</v>
      </c>
      <c r="D571" s="51">
        <v>44946.0</v>
      </c>
      <c r="E571" s="52">
        <v>44927.0</v>
      </c>
      <c r="F571" s="53" t="s">
        <v>4</v>
      </c>
      <c r="G571" s="50" t="s">
        <v>9</v>
      </c>
      <c r="H571" s="54" t="s">
        <v>69</v>
      </c>
      <c r="I571" s="54" t="s">
        <v>24</v>
      </c>
      <c r="J571" s="55">
        <v>25.0</v>
      </c>
      <c r="K571" s="56">
        <v>1.0</v>
      </c>
      <c r="L571" s="57">
        <v>-27.0</v>
      </c>
      <c r="M571" s="58">
        <v>25.0</v>
      </c>
      <c r="N571" s="33">
        <f t="shared" si="13"/>
        <v>25</v>
      </c>
      <c r="O571" s="59">
        <v>-88.0</v>
      </c>
      <c r="P571" s="34">
        <f t="shared" si="14"/>
        <v>-88</v>
      </c>
      <c r="Q571" s="60"/>
      <c r="R571" s="36">
        <f t="shared" si="99"/>
        <v>25</v>
      </c>
      <c r="S571" s="61">
        <v>-9.0</v>
      </c>
      <c r="T571" s="37">
        <f t="shared" si="100"/>
        <v>16</v>
      </c>
      <c r="U571" s="62">
        <v>1.086</v>
      </c>
      <c r="V571" s="63"/>
      <c r="W571" s="63"/>
      <c r="X571" s="83">
        <v>0.15</v>
      </c>
      <c r="Y571" s="35">
        <f t="shared" si="114"/>
        <v>0</v>
      </c>
      <c r="Z571" s="40">
        <f t="shared" si="107"/>
        <v>13.7161</v>
      </c>
      <c r="AA571" s="34">
        <f t="shared" si="115"/>
        <v>2.2839</v>
      </c>
      <c r="AB571" s="41">
        <f t="shared" si="109"/>
        <v>0</v>
      </c>
      <c r="AC571" s="42" t="b">
        <v>1</v>
      </c>
      <c r="AD571" s="50" t="s">
        <v>140</v>
      </c>
      <c r="AE571" s="50"/>
      <c r="AF571" s="42" t="str">
        <f t="array" ref="AF571">INDEX('Deal Info'!D:D, MATCH(A571,'Deal Info'!A:A, 0))</f>
        <v>DoEVLo</v>
      </c>
      <c r="AG571" s="43" t="str">
        <f t="array" ref="AG571">INDEX('Deal Info'!G:G, MATCH(A571,'Deal Info'!A:A, 0))</f>
        <v>None</v>
      </c>
    </row>
    <row r="572" hidden="1">
      <c r="A572" s="23" t="str">
        <f t="array" ref="A572">if(G572='Room Info'!$B$1, INDEX('Room Info'!$A$2:$A3446, MATCH(B572,'Room Info'!$B$2:$B3446, 0)),if(G572='Room Info'!$C$1, INDEX('Room Info'!$A$2:$A3446, MATCH(B572,'Room Info'!$C$2:$C3446, 0)),if(G572='Room Info'!$D$1, INDEX('Room Info'!$A$2:$A3446, MATCH(B572,'Room Info'!$D$2:$D3446, 0)),if(G572='Room Info'!$E$1, INDEX('Room Info'!$A$2:$A3446, MATCH(B572,'Room Info'!$E$2:$E3446, 0)),if(G572='Room Info'!$F$1, INDEX('Room Info'!$A$2:$A3446, MATCH(B572,'Room Info'!$F$2:$F3446, 0)),if(G572='Room Info'!$H$1, INDEX('Room Info'!$A$2:$A3446, MATCH(B572,'Room Info'!$H$2:$H3446, 0)),if(G572='Room Info'!$G$1, INDEX('Room Info'!$A$2:$A3446, MATCH(B572,'Room Info'!$G$2:$G3446, 0)))))))))</f>
        <v>Mackevgen</v>
      </c>
      <c r="B572" s="50" t="s">
        <v>172</v>
      </c>
      <c r="C572" s="51">
        <v>44835.0</v>
      </c>
      <c r="D572" s="51">
        <v>44865.0</v>
      </c>
      <c r="E572" s="52">
        <v>44835.0</v>
      </c>
      <c r="F572" s="53" t="s">
        <v>12</v>
      </c>
      <c r="G572" s="59" t="s">
        <v>9</v>
      </c>
      <c r="H572" s="54" t="s">
        <v>69</v>
      </c>
      <c r="I572" s="54" t="s">
        <v>24</v>
      </c>
      <c r="J572" s="55">
        <v>25.0</v>
      </c>
      <c r="K572" s="56">
        <v>1.0</v>
      </c>
      <c r="L572" s="57">
        <v>25.0</v>
      </c>
      <c r="M572" s="58">
        <v>1.0</v>
      </c>
      <c r="N572" s="33">
        <f t="shared" si="13"/>
        <v>25</v>
      </c>
      <c r="O572" s="59">
        <v>108.0</v>
      </c>
      <c r="P572" s="34">
        <f t="shared" si="14"/>
        <v>108</v>
      </c>
      <c r="Q572" s="60"/>
      <c r="R572" s="36">
        <f t="shared" si="99"/>
        <v>1</v>
      </c>
      <c r="S572" s="61">
        <v>6.0</v>
      </c>
      <c r="T572" s="37">
        <f t="shared" si="100"/>
        <v>32</v>
      </c>
      <c r="U572" s="62">
        <v>1.0</v>
      </c>
      <c r="V572" s="63"/>
      <c r="W572" s="63"/>
      <c r="X572" s="83">
        <v>0.23</v>
      </c>
      <c r="Y572" s="35">
        <f t="shared" si="114"/>
        <v>0.1</v>
      </c>
      <c r="Z572" s="40">
        <f t="shared" si="107"/>
        <v>22.8</v>
      </c>
      <c r="AA572" s="65">
        <v>6.0</v>
      </c>
      <c r="AB572" s="41">
        <f t="shared" si="109"/>
        <v>3.2</v>
      </c>
      <c r="AC572" s="42" t="b">
        <v>1</v>
      </c>
      <c r="AD572" s="42" t="s">
        <v>138</v>
      </c>
      <c r="AE572" s="42" t="s">
        <v>138</v>
      </c>
      <c r="AF572" s="42" t="str">
        <f t="array" ref="AF572">INDEX('Deal Info'!D:D, MATCH(A572,'Deal Info'!A:A, 0))</f>
        <v>DoEV</v>
      </c>
      <c r="AG572" s="43" t="str">
        <f t="array" ref="AG572">INDEX('Deal Info'!G:G, MATCH(A572,'Deal Info'!A:A, 0))</f>
        <v>Fix10</v>
      </c>
    </row>
    <row r="573" hidden="1">
      <c r="A573" s="23" t="str">
        <f t="array" ref="A573">if(G573='Room Info'!$B$1, INDEX('Room Info'!$A$2:$A3446, MATCH(B573,'Room Info'!$B$2:$B3446, 0)),if(G573='Room Info'!$C$1, INDEX('Room Info'!$A$2:$A3446, MATCH(B573,'Room Info'!$C$2:$C3446, 0)),if(G573='Room Info'!$D$1, INDEX('Room Info'!$A$2:$A3446, MATCH(B573,'Room Info'!$D$2:$D3446, 0)),if(G573='Room Info'!$E$1, INDEX('Room Info'!$A$2:$A3446, MATCH(B573,'Room Info'!$E$2:$E3446, 0)),if(G573='Room Info'!$F$1, INDEX('Room Info'!$A$2:$A3446, MATCH(B573,'Room Info'!$F$2:$F3446, 0)),if(G573='Room Info'!$H$1, INDEX('Room Info'!$A$2:$A3446, MATCH(B573,'Room Info'!$H$2:$H3446, 0)),if(G573='Room Info'!$G$1, INDEX('Room Info'!$A$2:$A3446, MATCH(B573,'Room Info'!$G$2:$G3446, 0)))))))))</f>
        <v>Mackevgen</v>
      </c>
      <c r="B573" s="59" t="s">
        <v>172</v>
      </c>
      <c r="C573" s="51">
        <v>44883.0</v>
      </c>
      <c r="D573" s="51">
        <v>44895.0</v>
      </c>
      <c r="E573" s="52">
        <v>44866.0</v>
      </c>
      <c r="F573" s="50" t="s">
        <v>8</v>
      </c>
      <c r="G573" s="59" t="s">
        <v>9</v>
      </c>
      <c r="H573" s="54" t="s">
        <v>69</v>
      </c>
      <c r="I573" s="54" t="s">
        <v>24</v>
      </c>
      <c r="J573" s="55">
        <v>25.0</v>
      </c>
      <c r="K573" s="56">
        <v>149.0</v>
      </c>
      <c r="L573" s="57">
        <v>-800.0</v>
      </c>
      <c r="M573" s="58">
        <v>46.0</v>
      </c>
      <c r="N573" s="33">
        <f t="shared" si="13"/>
        <v>3725</v>
      </c>
      <c r="O573" s="59">
        <v>-332.0</v>
      </c>
      <c r="P573" s="34">
        <f t="shared" si="14"/>
        <v>-2.228187919</v>
      </c>
      <c r="Q573" s="60"/>
      <c r="R573" s="36">
        <f t="shared" si="99"/>
        <v>46</v>
      </c>
      <c r="S573" s="61">
        <v>-355.0</v>
      </c>
      <c r="T573" s="37">
        <f t="shared" si="100"/>
        <v>-309</v>
      </c>
      <c r="U573" s="62">
        <v>1.0</v>
      </c>
      <c r="V573" s="63"/>
      <c r="W573" s="63"/>
      <c r="X573" s="83">
        <v>0.17</v>
      </c>
      <c r="Y573" s="35">
        <f t="shared" si="114"/>
        <v>0.1</v>
      </c>
      <c r="Z573" s="40">
        <f t="shared" si="107"/>
        <v>-226.1</v>
      </c>
      <c r="AA573" s="65">
        <v>-52.0</v>
      </c>
      <c r="AB573" s="41">
        <f t="shared" si="109"/>
        <v>-30.9</v>
      </c>
      <c r="AC573" s="42" t="b">
        <v>1</v>
      </c>
      <c r="AD573" s="42" t="s">
        <v>138</v>
      </c>
      <c r="AE573" s="42" t="s">
        <v>138</v>
      </c>
      <c r="AF573" s="42" t="str">
        <f t="array" ref="AF573">INDEX('Deal Info'!D:D, MATCH(A573,'Deal Info'!A:A, 0))</f>
        <v>DoEV</v>
      </c>
      <c r="AG573" s="43" t="str">
        <f t="array" ref="AG573">INDEX('Deal Info'!G:G, MATCH(A573,'Deal Info'!A:A, 0))</f>
        <v>Fix10</v>
      </c>
    </row>
    <row r="574" hidden="1">
      <c r="A574" s="23" t="str">
        <f t="array" ref="A574">if(G574='Room Info'!$B$1, INDEX('Room Info'!$A$2:$A3446, MATCH(B574,'Room Info'!$B$2:$B3446, 0)),if(G574='Room Info'!$C$1, INDEX('Room Info'!$A$2:$A3446, MATCH(B574,'Room Info'!$C$2:$C3446, 0)),if(G574='Room Info'!$D$1, INDEX('Room Info'!$A$2:$A3446, MATCH(B574,'Room Info'!$D$2:$D3446, 0)),if(G574='Room Info'!$E$1, INDEX('Room Info'!$A$2:$A3446, MATCH(B574,'Room Info'!$E$2:$E3446, 0)),if(G574='Room Info'!$F$1, INDEX('Room Info'!$A$2:$A3446, MATCH(B574,'Room Info'!$F$2:$F3446, 0)),if(G574='Room Info'!$H$1, INDEX('Room Info'!$A$2:$A3446, MATCH(B574,'Room Info'!$H$2:$H3446, 0)),if(G574='Room Info'!$G$1, INDEX('Room Info'!$A$2:$A3446, MATCH(B574,'Room Info'!$G$2:$G3446, 0)))))))))</f>
        <v>Sun_Set_pro8</v>
      </c>
      <c r="B574" s="50" t="s">
        <v>154</v>
      </c>
      <c r="C574" s="51">
        <v>44927.0</v>
      </c>
      <c r="D574" s="51">
        <v>44957.0</v>
      </c>
      <c r="E574" s="52">
        <v>44927.0</v>
      </c>
      <c r="F574" s="50" t="s">
        <v>12</v>
      </c>
      <c r="G574" s="59" t="s">
        <v>9</v>
      </c>
      <c r="H574" s="54" t="s">
        <v>69</v>
      </c>
      <c r="I574" s="54" t="s">
        <v>24</v>
      </c>
      <c r="J574" s="55">
        <v>25.0</v>
      </c>
      <c r="K574" s="56">
        <v>290.0</v>
      </c>
      <c r="L574" s="57">
        <v>-975.0</v>
      </c>
      <c r="M574" s="67"/>
      <c r="N574" s="33">
        <f t="shared" si="13"/>
        <v>7250</v>
      </c>
      <c r="O574" s="59">
        <v>12180.0</v>
      </c>
      <c r="P574" s="34">
        <f t="shared" si="14"/>
        <v>42</v>
      </c>
      <c r="Q574" s="60"/>
      <c r="R574" s="36">
        <f t="shared" si="99"/>
        <v>0</v>
      </c>
      <c r="S574" s="61"/>
      <c r="T574" s="37">
        <f t="shared" si="100"/>
        <v>-975</v>
      </c>
      <c r="U574" s="62">
        <v>1.08</v>
      </c>
      <c r="V574" s="63"/>
      <c r="W574" s="63"/>
      <c r="X574" s="83">
        <v>0.25</v>
      </c>
      <c r="Y574" s="35">
        <f t="shared" si="114"/>
        <v>0</v>
      </c>
      <c r="Z574" s="40">
        <f t="shared" si="107"/>
        <v>-711.75</v>
      </c>
      <c r="AA574" s="34">
        <f t="shared" ref="AA574:AA576" si="117">if(AD574="EUR",((T574-R574)*X574)*U574+(R574*X574),(T574*X574))</f>
        <v>-263.25</v>
      </c>
      <c r="AB574" s="41">
        <f t="shared" si="109"/>
        <v>0</v>
      </c>
      <c r="AC574" s="42" t="b">
        <v>1</v>
      </c>
      <c r="AD574" s="66" t="s">
        <v>140</v>
      </c>
      <c r="AE574" s="66"/>
      <c r="AF574" s="42" t="str">
        <f t="array" ref="AF574">INDEX('Deal Info'!D:D, MATCH(A574,'Deal Info'!A:A, 0))</f>
        <v>DoEVold</v>
      </c>
      <c r="AG574" s="43" t="str">
        <f t="array" ref="AG574">INDEX('Deal Info'!G:G, MATCH(A574,'Deal Info'!A:A, 0))</f>
        <v>None</v>
      </c>
    </row>
    <row r="575" hidden="1">
      <c r="A575" s="23" t="str">
        <f t="array" ref="A575">if(G575='Room Info'!$B$1, INDEX('Room Info'!$A$2:$A3446, MATCH(B575,'Room Info'!$B$2:$B3446, 0)),if(G575='Room Info'!$C$1, INDEX('Room Info'!$A$2:$A3446, MATCH(B575,'Room Info'!$C$2:$C3446, 0)),if(G575='Room Info'!$D$1, INDEX('Room Info'!$A$2:$A3446, MATCH(B575,'Room Info'!$D$2:$D3446, 0)),if(G575='Room Info'!$E$1, INDEX('Room Info'!$A$2:$A3446, MATCH(B575,'Room Info'!$E$2:$E3446, 0)),if(G575='Room Info'!$F$1, INDEX('Room Info'!$A$2:$A3446, MATCH(B575,'Room Info'!$F$2:$F3446, 0)),if(G575='Room Info'!$H$1, INDEX('Room Info'!$A$2:$A3446, MATCH(B575,'Room Info'!$H$2:$H3446, 0)),if(G575='Room Info'!$G$1, INDEX('Room Info'!$A$2:$A3446, MATCH(B575,'Room Info'!$G$2:$G3446, 0)))))))))</f>
        <v>Fedorovi4</v>
      </c>
      <c r="B575" s="59" t="s">
        <v>150</v>
      </c>
      <c r="C575" s="51">
        <v>44551.0</v>
      </c>
      <c r="D575" s="51">
        <v>44581.0</v>
      </c>
      <c r="E575" s="52">
        <v>44562.0</v>
      </c>
      <c r="F575" s="50" t="s">
        <v>4</v>
      </c>
      <c r="G575" s="59" t="s">
        <v>9</v>
      </c>
      <c r="H575" s="54" t="s">
        <v>66</v>
      </c>
      <c r="I575" s="54" t="s">
        <v>7</v>
      </c>
      <c r="J575" s="55">
        <v>25.0</v>
      </c>
      <c r="K575" s="56">
        <v>506.0</v>
      </c>
      <c r="L575" s="57">
        <v>-368.0</v>
      </c>
      <c r="M575" s="58">
        <v>240.0</v>
      </c>
      <c r="N575" s="33">
        <f t="shared" si="13"/>
        <v>12650</v>
      </c>
      <c r="O575" s="59">
        <v>22513.0</v>
      </c>
      <c r="P575" s="34">
        <f t="shared" si="14"/>
        <v>44.49209486</v>
      </c>
      <c r="Q575" s="60"/>
      <c r="R575" s="36">
        <f t="shared" si="99"/>
        <v>240</v>
      </c>
      <c r="S575" s="61">
        <v>-108.0</v>
      </c>
      <c r="T575" s="37">
        <f t="shared" si="100"/>
        <v>132</v>
      </c>
      <c r="U575" s="38">
        <v>1.0</v>
      </c>
      <c r="V575" s="74">
        <v>25.0</v>
      </c>
      <c r="W575" s="74">
        <v>5.28</v>
      </c>
      <c r="X575" s="35">
        <f t="shared" ref="X575:X581" si="118">IF(AF575="DoEV",IF(AND(V575&lt;20,W575&lt;55),0.3,0)+IF(AND(V575&lt;20,W575&gt;=55,W575&lt;105),0.23,0)+IF(AND(V575&lt;20,W575&gt;=105),0.17,0)+IF(AND(V575&gt;=20,V575&lt;40,W575&lt;45),0.3,0)+IF(AND(V575&gt;=20,V575&lt;40,W575&gt;=45,W575&lt;95),0.23,0)+IF(AND(V575&gt;=20,V575&lt;40,W575&gt;=95),0.17,0)+IF(AND(V575&gt;=40,V575&lt;75,W575&lt;35),0.3,0)+IF(AND(V575&gt;=40,V575&lt;75,W575&gt;=35,W575&lt;75),0.23,0)+IF(AND(V575&gt;=40,V575&lt;75,W575&gt;=75,W575&lt;120),0.17,0)+IF(AND(V575&gt;=40,V575&lt;75,W575&gt;=120),0.12,0)+IF(AND(V575&gt;=75,V575&lt;175,W575&lt;35),0.3,0)+IF(AND(V575&gt;=75,V575&lt;=175,W575&gt;=35,W575&lt;65),0.23,0)+IF(AND(V575&gt;=75,V575&lt;=175,W575&gt;=65,W575&lt;110),0.17,0)+IF(AND(V575&gt;=75,V575&lt;=175,W575&gt;=110),0.12,0)+IF(AND(V575&gt;175,W575&lt;25),0.3,0)+IF(AND(V575&gt;175,W575&gt;=25,W575&lt;55),0.23,0)+IF(AND(V575&gt;175,W575&gt;=55,W575&lt;95),0.17,0)+IF(AND(V575&gt;175,W575&gt;=95),0.12,0),
IF(AF575="Fix15",0.15,
IF(AF575="Fix11.25",0.1125,
IF(AF575="Fix10",0.1,
IF(AF575="Fix9",0.09,
IF(AF575="DoEV2017",IF(AND(W575&lt;74),0.2,0)+IF(AND(W575&gt;=74),0.17,0),
IF(AF575="SF",IF(AND(V575&lt;20,W575&lt;89),0.3,0)+IF(AND(V575&lt;20,W575&gt;=89),0.25,0)+IF(AND(V575&gt;=20,V575&lt;40,W575&lt;74),0.3,0)+IF(AND(V575&gt;=20,V575&lt;40,W575&gt;=75),0.22,0)+IF(AND(V575&gt;=40,V575&lt;75,W575&lt;75),0.26,0)+IF(AND(V575&gt;=40,V575&lt;75,W575&gt;=75),0.22,0)+IF(V575&gt;=75,0.22,0),
IF(AF575="DoEVold",IF(AND(V575&lt;40,W575&lt;35),0.35,0)+IF(AND(V575&lt;40,W575&gt;=35,W575&lt;75),0.25,0)+IF(AND(V575&lt;40,W575&gt;=75),0.17,0)+IF(AND(V575&gt;=40,V575&lt;75,W575&lt;25),0.35,0)+IF(AND(V575&gt;=40,V575&lt;75,W575&gt;=25,W575&lt;65),0.25,0)+IF(AND(V575&gt;=40,V575&lt;75,W575&gt;=65,W575&lt;100),0.17,0)+IF(AND(V575&gt;=40,V575&lt;75,W575&gt;=100),0.1,0)+IF(AND(V575&gt;=75,W575&lt;25),0.35,0)+IF(AND(V575&gt;=75,W575&gt;=25,W575&lt;60),0.25,0)+IF(AND(V575&gt;=75,W575&gt;=60,W575&lt;95),0.17,0)+IF(AND(V575&gt;=75,W575&gt;=95),0.1,0),
IF(AF575="DoEVold15",IF(AND(V575&lt;=40,W575&lt;35),0.35,0)+IF(AND(V575&lt;=40,W575&gt;=35,W575&lt;75),0.25,0)+IF(AND(V575&lt;=40,W575&gt;=75,W575&lt;120),0.17,0)+IF(AND(V575&lt;=40,W575&gt;=120),0.15,0)+IF(AND(V575&gt;40,V575&lt;75,W575&lt;25),0.35,0)+IF(AND(V575&gt;=40,V575&lt;75,W575&gt;=25,W575&lt;65),0.25,0)+IF(AND(V575&gt;=40,V575&lt;75,W575&gt;=65,W575&lt;100),0.17,0)+IF(AND(V575&gt;=40,V575&lt;75,W575&gt;=100),0.1,0)+IF(AND(V575&gt;=75,W575&lt;25),0.35,0)+IF(AND(V575&gt;=75,W575&gt;=25,W575&lt;60),0.25,0)+IF(AND(V575&gt;=75,W575&gt;=60,W575&lt;95),0.17,0)+IF(AND(V575&gt;=75,W575&gt;=95),0.1,0),
IF(AF575="DoEVba",IF(AND(V575&lt;20,W575&lt;105),0.2,0)+IF(AND(V575&lt;20,W575&gt;=105),0.15,0)+IF(AND(V575&gt;=20,V575&lt;40,W575&lt;95),0.2,0)+IF(AND(V575&gt;=20,V575&lt;40,W575&gt;=95,W575&lt;150),0.15,0)+IF(AND(V575&gt;=20,V575&lt;40,W575&gt;=150),0.12,0)+IF(AND(V575&gt;=40,V575&lt;75,W575&lt;75),0.2,0)+IF(AND(V575&gt;=40,V575&lt;75,W575&gt;=75,W575&lt;120),0.15,0)+IF(AND(V575&gt;=40,V575&lt;75,W575&gt;=120),0.12,0)+IF(AND(V575&gt;=75,V575&lt;175,W575&lt;65),0.2,0)+IF(AND(V575&gt;=75,V575&lt;175,W575&gt;=65,W575&lt;110),0.15,0)+IF(AND(V575&gt;=75,V575&lt;175,W575&gt;=110),0.12,0)+IF(AND(V575&gt;=175,W575&lt;55),0.2,0)+IF(AND(V575&gt;=175,W575&gt;=55,W575&lt;95),0.15,0)+IF(AND(V575&gt;=175,W575&gt;=95),0.12,0),
IF(AF575="DoEVku",IF(AND(V575&lt;20,W575&lt;55),0.23,0)+IF(AND(V575&lt;20,W575&gt;=55,W575&lt;105),0.2,0)+IF(AND(V575&lt;20,W575&gt;=105),0.17,0)+IF(AND(V575&gt;=20,V575&lt;40,W575&lt;45),0.23,0)+IF(AND(V575&gt;=20,V575&lt;40,W575&gt;=45,W575&lt;95),0.2,0)+IF(AND(V575&gt;=20,V575&lt;40,W575&gt;=95,W575&lt;=150),0.17,0)+IF(AND(V575&gt;=20,V575&lt;40,W575&gt;=150),0.12,0)+IF(AND(V575&gt;=40,V575&lt;75,W575&lt;35),0.23,0)+IF(AND(V575&gt;=40,V575&lt;75,W575&gt;=35,W575&lt;75),0.2,0)+IF(AND(V575&gt;=40,V575&lt;75,W575&gt;=75,W575&lt;120),0.17,0)+IF(AND(V575&gt;=40,V575&lt;75,W575&gt;=120),0.12,0)+IF(AND(V575&gt;=75,V575&lt;175,W575&lt;35),0.23,0)+IF(AND(V575&gt;=75,V575&lt;=175,W575&gt;=35,W575&lt;65),0.2,0)+IF(AND(V575&gt;=75,V575&lt;=175,W575&gt;=65,W575&lt;110),0.17,0)+IF(AND(V575&gt;=75,V575&lt;=175,W575&gt;=110),0.12,0)+IF(AND(V575&gt;175,W575&lt;25),0.23,0)+IF(AND(V575&gt;175,W575&gt;=25,W575&lt;55),0.2,0)+IF(AND(V575&gt;175,W575&gt;=55,W575&lt;95),0.17,0)+IF(AND(V575&gt;175,W575&gt;=95),0.12,0),
IF(AF575="DoEVs1",IF(AND(V575&lt;20,W575&lt;55),0.3,0)+IF(AND(V575&lt;20,W575&gt;=55,W575&lt;105),0.23,0)+IF(AND(V575&lt;20,W575&gt;=105),0.17,0)+IF(AND(V575&gt;=20,V575&lt;40,W575&lt;45),0.3,0)+IF(AND(V575&gt;=20,V575&lt;40,W575&gt;=45,W575&lt;95),0.23,0)+IF(AND(V575&gt;=20,V575&lt;40,W575&gt;=95,W575&lt;=150),0.17,0)+IF(AND(V575&gt;=20,V575&lt;40,W575&gt;=150),0.12,0)+IF(AND(V575&gt;=40,V575&lt;75,W575&lt;35),0.3,0)+IF(AND(V575&gt;=40,V575&lt;75,W575&gt;=35,W575&lt;75),0.23,0)+IF(AND(V575&gt;=40,V575&lt;75,W575&gt;=75,W575&lt;120),0.17,0)+IF(AND(V575&gt;=40,V575&lt;75,W575&gt;=120),0.12,0)+IF(AND(V575&gt;=75,V575&lt;175,W575&lt;35),0.3,0)+IF(AND(V575&gt;=75,V575&lt;=175,W575&gt;=35,W575&lt;65),0.23,0)+IF(AND(V575&gt;=75,V575&lt;=175,W575&gt;=65,W575&lt;110),0.17,0)+IF(AND(V575&gt;=75,V575&lt;=175,W575&gt;=110),0.12,0)+IF(AND(V575&gt;175,W575&lt;25),0.3,0)+IF(AND(V575&gt;175,W575&gt;=25,W575&lt;55),0.23,0)+IF(AND(V575&gt;175,W575&gt;=55,W575&lt;95),0.17,0)+IF(AND(V575&gt;175,W575&gt;=95),0.12,0),
IF(AF575="DoEVsu",IF(AND(V575&lt;20,W575&lt;55),0.3,0)+IF(AND(V575&lt;20,W575&gt;=55,W575&lt;105),0.23,0)+IF(AND(V575&lt;20,W575&gt;=105),0.17,0)+IF(AND(V575&gt;=20,V575&lt;40,W575&lt;45),0.3,0)+IF(AND(V575&gt;=20,V575&lt;40,W575&gt;=45,W575&lt;95),0.23,0)+IF(AND(V575&gt;=20,V575&lt;40,W575&gt;=95,W575&lt;=250),0.17,0)+IF(AND(V575&gt;=20,V575&lt;40,W575&gt;=250),0.12,0)+IF(AND(V575&gt;=40,V575&lt;75,W575&lt;35),0.3,0)+IF(AND(V575&gt;=40,V575&lt;75,W575&gt;=35,W575&lt;75),0.23,0)+IF(AND(V575&gt;=40,V575&lt;75,W575&gt;=75,W575&lt;120),0.17,0)+IF(AND(V575&gt;=40,V575&lt;75,W575&gt;=120),0.12,0)+IF(AND(V575&gt;=75,V575&lt;175,W575&lt;35),0.3,0)+IF(AND(V575&gt;=75,V575&lt;=175,W575&gt;=35,W575&lt;65),0.23,0)+IF(AND(V575&gt;=75,V575&lt;=175,W575&gt;=65,W575&lt;110),0.17,0)+IF(AND(V575&gt;=75,V575&lt;=175,W575&gt;=110),0.12,0)+IF(AND(V575&gt;175,W575&lt;25),0.3,0)+IF(AND(V575&gt;175,W575&gt;=25,W575&lt;55),0.23,0)+IF(AND(V575&gt;175,W575&gt;=55,W575&lt;95),0.17,0)+IF(AND(V575&gt;175,W575&gt;=95),0.12,0),
IF(AF575="DoEVni",IF(AND(V575&lt;20,W575&lt;55),0.3,0)+IF(AND(V575&lt;20,W575&gt;=55,W575&lt;105),0.23,0)+IF(AND(V575&lt;20,W575&gt;=105),0.17,0)+IF(AND(V575&gt;=20,V575&lt;40,W575&lt;45),0.3,0)+IF(AND(V575&gt;=20,V575&lt;40,W575&gt;=45,W575&lt;95),0.23,0)+IF(AND(V575&gt;=20,V575&lt;40,W575&gt;=95,W575&lt;=200),0.17,0)+IF(AND(V575&gt;=20,V575&lt;40,W575&gt;=200),0.12,0)+IF(AND(V575&gt;=40,V575&lt;75,W575&lt;35),0.3,0)+IF(AND(V575&gt;=40,V575&lt;75,W575&gt;=35,W575&lt;75),0.23,0)+IF(AND(V575&gt;=40,V575&lt;75,W575&gt;=75,W575&lt;120),0.17,0)+IF(AND(V575&gt;=40,V575&lt;75,W575&gt;=120),0.12,0)+IF(AND(V575&gt;=75,V575&lt;175,W575&lt;35),0.3,0)+IF(AND(V575&gt;=75,V575&lt;=175,W575&gt;=35,W575&lt;65),0.23,0)+IF(AND(V575&gt;=75,V575&lt;=175,W575&gt;=65,W575&lt;110),0.17,0)+IF(AND(V575&gt;=75,V575&lt;=175,W575&gt;=110),0.12,0)+IF(AND(V575&gt;175,W575&lt;25),0.3,0)+IF(AND(V575&gt;175,W575&gt;=25,W575&lt;55),0.23,0)+IF(AND(V575&gt;175,W575&gt;=55,W575&lt;95),0.17,0)+IF(AND(V575&gt;175,W575&gt;=95),0.12,0),
IF(AF575="DoEVLo",IF(AND(V575&lt;20,W575&lt;55),0.25,0)+IF(AND(V575&lt;20,W575&gt;=55,W575&lt;105),0.2,0)+IF(AND(V575&lt;20,W575&gt;=105),0.15,0)+IF(AND(V575&gt;=20,V575&lt;40,W575&lt;45),0.25,0)+IF(AND(V575&gt;=20,V575&lt;40,W575&gt;=45,W575&lt;95),0.2,0)+IF(AND(V575&gt;=20,V575&lt;40,W575&gt;=95),0.15,0)+IF(AND(V575&gt;=40,V575&lt;75,W575&lt;35),0.25,0)+IF(AND(V575&gt;=40,V575&lt;75,W575&gt;=35,W575&lt;75),0.2,0)+IF(AND(V575&gt;=40,V575&lt;75,W575&gt;=75,W575&lt;120),0.15,0)+IF(AND(V575&gt;=40,V575&lt;75,W575&gt;=120),0.1,0)+IF(AND(V575&gt;=75,V575&lt;175,W575&lt;35),0.25,0)+IF(AND(V575&gt;=75,V575&lt;=175,W575&gt;=35,W575&lt;65),0.2,0)+IF(AND(V575&gt;=75,V575&lt;=175,W575&gt;=65,W575&lt;110),0.15,0)+IF(AND(V575&gt;=75,V575&lt;=175,W575&gt;=110),0.1,0)+IF(AND(V575&gt;175,W575&lt;25),0.25,0)+IF(AND(V575&gt;175,W575&gt;=25,W575&lt;55),0.2,0)+IF(AND(V575&gt;175,W575&gt;=55,W575&lt;95),0.15,0)+IF(AND(V575&gt;175,W575&gt;=95),0.1,0))))))))))))))))</f>
        <v>0.3</v>
      </c>
      <c r="Y575" s="35">
        <f t="shared" ref="Y575:Y581" si="119">if(AG575="None",0,if(AG575="Fix5",0.05,if(AG575="Fix3.75",0.0375,if(AG575="Fix10",0.1,if(AG575="Fix3",0.03,0)))))</f>
        <v>0</v>
      </c>
      <c r="Z575" s="40">
        <f t="shared" si="107"/>
        <v>92.4</v>
      </c>
      <c r="AA575" s="34">
        <f t="shared" si="117"/>
        <v>39.6</v>
      </c>
      <c r="AB575" s="41">
        <f t="shared" si="109"/>
        <v>0</v>
      </c>
      <c r="AC575" s="42" t="b">
        <v>1</v>
      </c>
      <c r="AD575" s="42" t="s">
        <v>138</v>
      </c>
      <c r="AE575" s="42" t="s">
        <v>138</v>
      </c>
      <c r="AF575" s="42" t="str">
        <f t="array" ref="AF575">INDEX('Deal Info'!D:D, MATCH(A575,'Deal Info'!A:A, 0))</f>
        <v>SF</v>
      </c>
      <c r="AG575" s="43" t="str">
        <f t="array" ref="AG575">INDEX('Deal Info'!G:G, MATCH(A575,'Deal Info'!A:A, 0))</f>
        <v>None</v>
      </c>
    </row>
    <row r="576" hidden="1">
      <c r="A576" s="23" t="str">
        <f t="array" ref="A576">if(G576='Room Info'!$B$1, INDEX('Room Info'!$A$2:$A3446, MATCH(B576,'Room Info'!$B$2:$B3446, 0)),if(G576='Room Info'!$C$1, INDEX('Room Info'!$A$2:$A3446, MATCH(B576,'Room Info'!$C$2:$C3446, 0)),if(G576='Room Info'!$D$1, INDEX('Room Info'!$A$2:$A3446, MATCH(B576,'Room Info'!$D$2:$D3446, 0)),if(G576='Room Info'!$E$1, INDEX('Room Info'!$A$2:$A3446, MATCH(B576,'Room Info'!$E$2:$E3446, 0)),if(G576='Room Info'!$F$1, INDEX('Room Info'!$A$2:$A3446, MATCH(B576,'Room Info'!$F$2:$F3446, 0)),if(G576='Room Info'!$H$1, INDEX('Room Info'!$A$2:$A3446, MATCH(B576,'Room Info'!$H$2:$H3446, 0)),if(G576='Room Info'!$G$1, INDEX('Room Info'!$A$2:$A3446, MATCH(B576,'Room Info'!$G$2:$G3446, 0)))))))))</f>
        <v>Fedorovi4</v>
      </c>
      <c r="B576" s="59" t="s">
        <v>150</v>
      </c>
      <c r="C576" s="51">
        <v>44582.0</v>
      </c>
      <c r="D576" s="51">
        <v>44612.0</v>
      </c>
      <c r="E576" s="52">
        <v>44593.0</v>
      </c>
      <c r="F576" s="50" t="s">
        <v>4</v>
      </c>
      <c r="G576" s="59" t="s">
        <v>9</v>
      </c>
      <c r="H576" s="54" t="s">
        <v>66</v>
      </c>
      <c r="I576" s="54" t="s">
        <v>7</v>
      </c>
      <c r="J576" s="55">
        <v>25.0</v>
      </c>
      <c r="K576" s="56">
        <v>1190.0</v>
      </c>
      <c r="L576" s="57">
        <v>-312.0</v>
      </c>
      <c r="M576" s="58">
        <v>633.0</v>
      </c>
      <c r="N576" s="33">
        <f t="shared" si="13"/>
        <v>29750</v>
      </c>
      <c r="O576" s="59">
        <v>50318.0</v>
      </c>
      <c r="P576" s="34">
        <f t="shared" si="14"/>
        <v>42.28403361</v>
      </c>
      <c r="Q576" s="60"/>
      <c r="R576" s="36">
        <f t="shared" si="99"/>
        <v>633</v>
      </c>
      <c r="S576" s="61">
        <v>-346.0</v>
      </c>
      <c r="T576" s="37">
        <f t="shared" si="100"/>
        <v>287</v>
      </c>
      <c r="U576" s="38">
        <v>1.0</v>
      </c>
      <c r="V576" s="74">
        <v>25.0</v>
      </c>
      <c r="W576" s="74">
        <v>11.48</v>
      </c>
      <c r="X576" s="35">
        <f t="shared" si="118"/>
        <v>0.3</v>
      </c>
      <c r="Y576" s="35">
        <f t="shared" si="119"/>
        <v>0</v>
      </c>
      <c r="Z576" s="40">
        <f t="shared" si="107"/>
        <v>200.9</v>
      </c>
      <c r="AA576" s="34">
        <f t="shared" si="117"/>
        <v>86.1</v>
      </c>
      <c r="AB576" s="41">
        <f t="shared" si="109"/>
        <v>0</v>
      </c>
      <c r="AC576" s="42" t="b">
        <v>1</v>
      </c>
      <c r="AD576" s="42" t="s">
        <v>138</v>
      </c>
      <c r="AE576" s="42" t="s">
        <v>138</v>
      </c>
      <c r="AF576" s="42" t="str">
        <f t="array" ref="AF576">INDEX('Deal Info'!D:D, MATCH(A576,'Deal Info'!A:A, 0))</f>
        <v>SF</v>
      </c>
      <c r="AG576" s="43" t="str">
        <f t="array" ref="AG576">INDEX('Deal Info'!G:G, MATCH(A576,'Deal Info'!A:A, 0))</f>
        <v>None</v>
      </c>
    </row>
    <row r="577" hidden="1">
      <c r="A577" s="23" t="str">
        <f t="array" ref="A577">if(G577='Room Info'!$B$1, INDEX('Room Info'!$A$2:$A3446, MATCH(B577,'Room Info'!$B$2:$B3446, 0)),if(G577='Room Info'!$C$1, INDEX('Room Info'!$A$2:$A3446, MATCH(B577,'Room Info'!$C$2:$C3446, 0)),if(G577='Room Info'!$D$1, INDEX('Room Info'!$A$2:$A3446, MATCH(B577,'Room Info'!$D$2:$D3446, 0)),if(G577='Room Info'!$E$1, INDEX('Room Info'!$A$2:$A3446, MATCH(B577,'Room Info'!$E$2:$E3446, 0)),if(G577='Room Info'!$F$1, INDEX('Room Info'!$A$2:$A3446, MATCH(B577,'Room Info'!$F$2:$F3446, 0)),if(G577='Room Info'!$H$1, INDEX('Room Info'!$A$2:$A3446, MATCH(B577,'Room Info'!$H$2:$H3446, 0)),if(G577='Room Info'!$G$1, INDEX('Room Info'!$A$2:$A3446, MATCH(B577,'Room Info'!$G$2:$G3446, 0)))))))))</f>
        <v>Freedoom</v>
      </c>
      <c r="B577" s="50" t="s">
        <v>159</v>
      </c>
      <c r="C577" s="51">
        <v>44682.0</v>
      </c>
      <c r="D577" s="51">
        <v>44712.0</v>
      </c>
      <c r="E577" s="52">
        <v>44682.0</v>
      </c>
      <c r="F577" s="53" t="s">
        <v>8</v>
      </c>
      <c r="G577" s="50" t="s">
        <v>9</v>
      </c>
      <c r="H577" s="54" t="s">
        <v>52</v>
      </c>
      <c r="I577" s="54" t="s">
        <v>7</v>
      </c>
      <c r="J577" s="75">
        <v>10.0</v>
      </c>
      <c r="K577" s="76">
        <v>656.0</v>
      </c>
      <c r="L577" s="57">
        <v>320.0</v>
      </c>
      <c r="M577" s="58">
        <v>0.0</v>
      </c>
      <c r="N577" s="33">
        <f t="shared" si="13"/>
        <v>6560</v>
      </c>
      <c r="O577" s="59">
        <v>56231.0</v>
      </c>
      <c r="P577" s="34">
        <f t="shared" si="14"/>
        <v>85.7179878</v>
      </c>
      <c r="Q577" s="60"/>
      <c r="R577" s="36">
        <f t="shared" si="99"/>
        <v>0</v>
      </c>
      <c r="S577" s="61">
        <v>399.0</v>
      </c>
      <c r="T577" s="37">
        <f t="shared" si="100"/>
        <v>399</v>
      </c>
      <c r="U577" s="62">
        <v>1.0</v>
      </c>
      <c r="V577" s="63"/>
      <c r="W577" s="63"/>
      <c r="X577" s="35">
        <f t="shared" si="118"/>
        <v>0.35</v>
      </c>
      <c r="Y577" s="35">
        <f t="shared" si="119"/>
        <v>0</v>
      </c>
      <c r="Z577" s="64">
        <v>331.0</v>
      </c>
      <c r="AA577" s="65">
        <v>68.0</v>
      </c>
      <c r="AB577" s="41">
        <f t="shared" si="109"/>
        <v>0</v>
      </c>
      <c r="AC577" s="42" t="b">
        <v>1</v>
      </c>
      <c r="AD577" s="42" t="s">
        <v>138</v>
      </c>
      <c r="AE577" s="42" t="s">
        <v>138</v>
      </c>
      <c r="AF577" s="42" t="str">
        <f t="array" ref="AF577">INDEX('Deal Info'!D:D, MATCH(A577,'Deal Info'!A:A, 0))</f>
        <v>DoEVold</v>
      </c>
      <c r="AG577" s="43" t="str">
        <f t="array" ref="AG577">INDEX('Deal Info'!G:G, MATCH(A577,'Deal Info'!A:A, 0))</f>
        <v>None</v>
      </c>
    </row>
    <row r="578" hidden="1">
      <c r="A578" s="23" t="str">
        <f t="array" ref="A578">if(G578='Room Info'!$B$1, INDEX('Room Info'!$A$2:$A3446, MATCH(B578,'Room Info'!$B$2:$B3446, 0)),if(G578='Room Info'!$C$1, INDEX('Room Info'!$A$2:$A3446, MATCH(B578,'Room Info'!$C$2:$C3446, 0)),if(G578='Room Info'!$D$1, INDEX('Room Info'!$A$2:$A3446, MATCH(B578,'Room Info'!$D$2:$D3446, 0)),if(G578='Room Info'!$E$1, INDEX('Room Info'!$A$2:$A3446, MATCH(B578,'Room Info'!$E$2:$E3446, 0)),if(G578='Room Info'!$F$1, INDEX('Room Info'!$A$2:$A3446, MATCH(B578,'Room Info'!$F$2:$F3446, 0)),if(G578='Room Info'!$H$1, INDEX('Room Info'!$A$2:$A3446, MATCH(B578,'Room Info'!$H$2:$H3446, 0)),if(G578='Room Info'!$G$1, INDEX('Room Info'!$A$2:$A3446, MATCH(B578,'Room Info'!$G$2:$G3446, 0)))))))))</f>
        <v>Freedoom</v>
      </c>
      <c r="B578" s="50" t="s">
        <v>159</v>
      </c>
      <c r="C578" s="51">
        <v>44713.0</v>
      </c>
      <c r="D578" s="51">
        <v>44742.0</v>
      </c>
      <c r="E578" s="52">
        <v>44713.0</v>
      </c>
      <c r="F578" s="53" t="s">
        <v>12</v>
      </c>
      <c r="G578" s="50" t="s">
        <v>9</v>
      </c>
      <c r="H578" s="54" t="s">
        <v>41</v>
      </c>
      <c r="I578" s="54" t="s">
        <v>7</v>
      </c>
      <c r="J578" s="75">
        <v>5.0</v>
      </c>
      <c r="K578" s="76">
        <v>1119.0</v>
      </c>
      <c r="L578" s="57">
        <v>-300.0</v>
      </c>
      <c r="M578" s="58">
        <v>96.0</v>
      </c>
      <c r="N578" s="33">
        <f t="shared" si="13"/>
        <v>5595</v>
      </c>
      <c r="O578" s="59">
        <v>41150.0</v>
      </c>
      <c r="P578" s="34">
        <f t="shared" si="14"/>
        <v>36.77390527</v>
      </c>
      <c r="Q578" s="60"/>
      <c r="R578" s="36">
        <f t="shared" si="99"/>
        <v>96</v>
      </c>
      <c r="S578" s="61">
        <v>-132.0</v>
      </c>
      <c r="T578" s="37">
        <f t="shared" si="100"/>
        <v>-336</v>
      </c>
      <c r="U578" s="62">
        <v>1.0</v>
      </c>
      <c r="V578" s="63"/>
      <c r="W578" s="63"/>
      <c r="X578" s="35">
        <f t="shared" si="118"/>
        <v>0.35</v>
      </c>
      <c r="Y578" s="35">
        <f t="shared" si="119"/>
        <v>0</v>
      </c>
      <c r="Z578" s="64">
        <v>-153.0</v>
      </c>
      <c r="AA578" s="65">
        <v>-51.0</v>
      </c>
      <c r="AB578" s="41">
        <f t="shared" si="109"/>
        <v>0</v>
      </c>
      <c r="AC578" s="42" t="b">
        <v>1</v>
      </c>
      <c r="AD578" s="42" t="s">
        <v>138</v>
      </c>
      <c r="AE578" s="42" t="s">
        <v>138</v>
      </c>
      <c r="AF578" s="42" t="str">
        <f t="array" ref="AF578">INDEX('Deal Info'!D:D, MATCH(A578,'Deal Info'!A:A, 0))</f>
        <v>DoEVold</v>
      </c>
      <c r="AG578" s="43" t="str">
        <f t="array" ref="AG578">INDEX('Deal Info'!G:G, MATCH(A578,'Deal Info'!A:A, 0))</f>
        <v>None</v>
      </c>
    </row>
    <row r="579" hidden="1">
      <c r="A579" s="23" t="str">
        <f t="array" ref="A579">if(G579='Room Info'!$B$1, INDEX('Room Info'!$A$2:$A3446, MATCH(B579,'Room Info'!$B$2:$B3446, 0)),if(G579='Room Info'!$C$1, INDEX('Room Info'!$A$2:$A3446, MATCH(B579,'Room Info'!$C$2:$C3446, 0)),if(G579='Room Info'!$D$1, INDEX('Room Info'!$A$2:$A3446, MATCH(B579,'Room Info'!$D$2:$D3446, 0)),if(G579='Room Info'!$E$1, INDEX('Room Info'!$A$2:$A3446, MATCH(B579,'Room Info'!$E$2:$E3446, 0)),if(G579='Room Info'!$F$1, INDEX('Room Info'!$A$2:$A3446, MATCH(B579,'Room Info'!$F$2:$F3446, 0)),if(G579='Room Info'!$H$1, INDEX('Room Info'!$A$2:$A3446, MATCH(B579,'Room Info'!$H$2:$H3446, 0)),if(G579='Room Info'!$G$1, INDEX('Room Info'!$A$2:$A3446, MATCH(B579,'Room Info'!$G$2:$G3446, 0)))))))))</f>
        <v>Freedoom</v>
      </c>
      <c r="B579" s="50" t="s">
        <v>159</v>
      </c>
      <c r="C579" s="51">
        <v>44713.0</v>
      </c>
      <c r="D579" s="51">
        <v>44742.0</v>
      </c>
      <c r="E579" s="52">
        <v>44713.0</v>
      </c>
      <c r="F579" s="53" t="s">
        <v>12</v>
      </c>
      <c r="G579" s="59" t="s">
        <v>9</v>
      </c>
      <c r="H579" s="54" t="s">
        <v>52</v>
      </c>
      <c r="I579" s="54" t="s">
        <v>7</v>
      </c>
      <c r="J579" s="55">
        <v>10.0</v>
      </c>
      <c r="K579" s="56">
        <v>56.0</v>
      </c>
      <c r="L579" s="57">
        <v>50.0</v>
      </c>
      <c r="M579" s="58">
        <v>0.0</v>
      </c>
      <c r="N579" s="33">
        <f t="shared" si="13"/>
        <v>560</v>
      </c>
      <c r="O579" s="59">
        <v>1655.0</v>
      </c>
      <c r="P579" s="34">
        <f t="shared" si="14"/>
        <v>29.55357143</v>
      </c>
      <c r="Q579" s="60"/>
      <c r="R579" s="36">
        <f t="shared" si="99"/>
        <v>0</v>
      </c>
      <c r="S579" s="61">
        <v>-20.0</v>
      </c>
      <c r="T579" s="37">
        <f t="shared" si="100"/>
        <v>30</v>
      </c>
      <c r="U579" s="62">
        <v>1.0</v>
      </c>
      <c r="V579" s="63"/>
      <c r="W579" s="63"/>
      <c r="X579" s="35">
        <f t="shared" si="118"/>
        <v>0.35</v>
      </c>
      <c r="Y579" s="35">
        <f t="shared" si="119"/>
        <v>0</v>
      </c>
      <c r="Z579" s="64">
        <v>38.0</v>
      </c>
      <c r="AA579" s="65">
        <v>13.0</v>
      </c>
      <c r="AB579" s="41">
        <f t="shared" si="109"/>
        <v>0</v>
      </c>
      <c r="AC579" s="42" t="b">
        <v>1</v>
      </c>
      <c r="AD579" s="42" t="s">
        <v>138</v>
      </c>
      <c r="AE579" s="42" t="s">
        <v>138</v>
      </c>
      <c r="AF579" s="42" t="str">
        <f t="array" ref="AF579">INDEX('Deal Info'!D:D, MATCH(A579,'Deal Info'!A:A, 0))</f>
        <v>DoEVold</v>
      </c>
      <c r="AG579" s="43" t="str">
        <f t="array" ref="AG579">INDEX('Deal Info'!G:G, MATCH(A579,'Deal Info'!A:A, 0))</f>
        <v>None</v>
      </c>
    </row>
    <row r="580" hidden="1">
      <c r="A580" s="23" t="str">
        <f t="array" ref="A580">if(G580='Room Info'!$B$1, INDEX('Room Info'!$A$2:$A3446, MATCH(B580,'Room Info'!$B$2:$B3446, 0)),if(G580='Room Info'!$C$1, INDEX('Room Info'!$A$2:$A3446, MATCH(B580,'Room Info'!$C$2:$C3446, 0)),if(G580='Room Info'!$D$1, INDEX('Room Info'!$A$2:$A3446, MATCH(B580,'Room Info'!$D$2:$D3446, 0)),if(G580='Room Info'!$E$1, INDEX('Room Info'!$A$2:$A3446, MATCH(B580,'Room Info'!$E$2:$E3446, 0)),if(G580='Room Info'!$F$1, INDEX('Room Info'!$A$2:$A3446, MATCH(B580,'Room Info'!$F$2:$F3446, 0)),if(G580='Room Info'!$H$1, INDEX('Room Info'!$A$2:$A3446, MATCH(B580,'Room Info'!$H$2:$H3446, 0)),if(G580='Room Info'!$G$1, INDEX('Room Info'!$A$2:$A3446, MATCH(B580,'Room Info'!$G$2:$G3446, 0)))))))))</f>
        <v>Freedoom</v>
      </c>
      <c r="B580" s="50" t="s">
        <v>159</v>
      </c>
      <c r="C580" s="51">
        <v>44743.0</v>
      </c>
      <c r="D580" s="51">
        <v>44773.0</v>
      </c>
      <c r="E580" s="52">
        <v>44743.0</v>
      </c>
      <c r="F580" s="53" t="s">
        <v>12</v>
      </c>
      <c r="G580" s="59" t="s">
        <v>9</v>
      </c>
      <c r="H580" s="54" t="s">
        <v>41</v>
      </c>
      <c r="I580" s="54" t="s">
        <v>7</v>
      </c>
      <c r="J580" s="55">
        <v>5.0</v>
      </c>
      <c r="K580" s="56">
        <v>1025.0</v>
      </c>
      <c r="L580" s="57">
        <v>-525.0</v>
      </c>
      <c r="M580" s="58">
        <v>16.0</v>
      </c>
      <c r="N580" s="33">
        <f t="shared" si="13"/>
        <v>5125</v>
      </c>
      <c r="O580" s="59">
        <v>48868.0</v>
      </c>
      <c r="P580" s="34">
        <f t="shared" si="14"/>
        <v>47.67609756</v>
      </c>
      <c r="Q580" s="60"/>
      <c r="R580" s="36">
        <f t="shared" si="99"/>
        <v>16</v>
      </c>
      <c r="S580" s="61">
        <v>-20.0</v>
      </c>
      <c r="T580" s="37">
        <f t="shared" si="100"/>
        <v>-529</v>
      </c>
      <c r="U580" s="62">
        <v>1.0</v>
      </c>
      <c r="V580" s="63"/>
      <c r="W580" s="63"/>
      <c r="X580" s="35">
        <f t="shared" si="118"/>
        <v>0.35</v>
      </c>
      <c r="Y580" s="35">
        <f t="shared" si="119"/>
        <v>0</v>
      </c>
      <c r="Z580" s="64">
        <v>-382.0</v>
      </c>
      <c r="AA580" s="65">
        <v>-127.0</v>
      </c>
      <c r="AB580" s="41">
        <f t="shared" si="109"/>
        <v>0</v>
      </c>
      <c r="AC580" s="42" t="b">
        <v>1</v>
      </c>
      <c r="AD580" s="42" t="s">
        <v>138</v>
      </c>
      <c r="AE580" s="42" t="s">
        <v>138</v>
      </c>
      <c r="AF580" s="42" t="str">
        <f t="array" ref="AF580">INDEX('Deal Info'!D:D, MATCH(A580,'Deal Info'!A:A, 0))</f>
        <v>DoEVold</v>
      </c>
      <c r="AG580" s="43" t="str">
        <f t="array" ref="AG580">INDEX('Deal Info'!G:G, MATCH(A580,'Deal Info'!A:A, 0))</f>
        <v>None</v>
      </c>
    </row>
    <row r="581" hidden="1">
      <c r="A581" s="23" t="str">
        <f t="array" ref="A581">if(G581='Room Info'!$B$1, INDEX('Room Info'!$A$2:$A3446, MATCH(B581,'Room Info'!$B$2:$B3446, 0)),if(G581='Room Info'!$C$1, INDEX('Room Info'!$A$2:$A3446, MATCH(B581,'Room Info'!$C$2:$C3446, 0)),if(G581='Room Info'!$D$1, INDEX('Room Info'!$A$2:$A3446, MATCH(B581,'Room Info'!$D$2:$D3446, 0)),if(G581='Room Info'!$E$1, INDEX('Room Info'!$A$2:$A3446, MATCH(B581,'Room Info'!$E$2:$E3446, 0)),if(G581='Room Info'!$F$1, INDEX('Room Info'!$A$2:$A3446, MATCH(B581,'Room Info'!$F$2:$F3446, 0)),if(G581='Room Info'!$H$1, INDEX('Room Info'!$A$2:$A3446, MATCH(B581,'Room Info'!$H$2:$H3446, 0)),if(G581='Room Info'!$G$1, INDEX('Room Info'!$A$2:$A3446, MATCH(B581,'Room Info'!$G$2:$G3446, 0)))))))))</f>
        <v>Freedoom</v>
      </c>
      <c r="B581" s="50" t="s">
        <v>159</v>
      </c>
      <c r="C581" s="51">
        <v>44774.0</v>
      </c>
      <c r="D581" s="51">
        <v>44804.0</v>
      </c>
      <c r="E581" s="52">
        <v>44774.0</v>
      </c>
      <c r="F581" s="53" t="s">
        <v>12</v>
      </c>
      <c r="G581" s="50" t="s">
        <v>9</v>
      </c>
      <c r="H581" s="54" t="s">
        <v>41</v>
      </c>
      <c r="I581" s="54" t="s">
        <v>7</v>
      </c>
      <c r="J581" s="75">
        <v>5.0</v>
      </c>
      <c r="K581" s="76">
        <v>701.0</v>
      </c>
      <c r="L581" s="77">
        <v>120.0</v>
      </c>
      <c r="M581" s="58">
        <v>139.0</v>
      </c>
      <c r="N581" s="33">
        <f t="shared" si="13"/>
        <v>3505</v>
      </c>
      <c r="O581" s="50">
        <v>51359.0</v>
      </c>
      <c r="P581" s="34">
        <f t="shared" si="14"/>
        <v>73.26533524</v>
      </c>
      <c r="Q581" s="60"/>
      <c r="R581" s="36">
        <f t="shared" si="99"/>
        <v>139</v>
      </c>
      <c r="S581" s="78">
        <v>149.0</v>
      </c>
      <c r="T581" s="37">
        <f t="shared" si="100"/>
        <v>408</v>
      </c>
      <c r="U581" s="62">
        <v>1.0</v>
      </c>
      <c r="V581" s="63"/>
      <c r="W581" s="63"/>
      <c r="X581" s="35">
        <f t="shared" si="118"/>
        <v>0.35</v>
      </c>
      <c r="Y581" s="35">
        <f t="shared" si="119"/>
        <v>0</v>
      </c>
      <c r="Z581" s="64">
        <v>194.0</v>
      </c>
      <c r="AA581" s="65">
        <v>65.0</v>
      </c>
      <c r="AB581" s="41">
        <f t="shared" si="109"/>
        <v>0</v>
      </c>
      <c r="AC581" s="42" t="b">
        <v>1</v>
      </c>
      <c r="AD581" s="42" t="s">
        <v>138</v>
      </c>
      <c r="AE581" s="42" t="s">
        <v>138</v>
      </c>
      <c r="AF581" s="42" t="str">
        <f t="array" ref="AF581">INDEX('Deal Info'!D:D, MATCH(A581,'Deal Info'!A:A, 0))</f>
        <v>DoEVold</v>
      </c>
      <c r="AG581" s="43" t="str">
        <f t="array" ref="AG581">INDEX('Deal Info'!G:G, MATCH(A581,'Deal Info'!A:A, 0))</f>
        <v>None</v>
      </c>
    </row>
    <row r="582" hidden="1">
      <c r="A582" s="23" t="str">
        <f t="array" ref="A582">if(G582='Room Info'!$B$1, INDEX('Room Info'!$A$2:$A3446, MATCH(B582,'Room Info'!$B$2:$B3446, 0)),if(G582='Room Info'!$C$1, INDEX('Room Info'!$A$2:$A3446, MATCH(B582,'Room Info'!$C$2:$C3446, 0)),if(G582='Room Info'!$D$1, INDEX('Room Info'!$A$2:$A3446, MATCH(B582,'Room Info'!$D$2:$D3446, 0)),if(G582='Room Info'!$E$1, INDEX('Room Info'!$A$2:$A3446, MATCH(B582,'Room Info'!$E$2:$E3446, 0)),if(G582='Room Info'!$F$1, INDEX('Room Info'!$A$2:$A3446, MATCH(B582,'Room Info'!$F$2:$F3446, 0)),if(G582='Room Info'!$H$1, INDEX('Room Info'!$A$2:$A3446, MATCH(B582,'Room Info'!$H$2:$H3446, 0)),if(G582='Room Info'!$G$1, INDEX('Room Info'!$A$2:$A3446, MATCH(B582,'Room Info'!$G$2:$G3446, 0)))))))))</f>
        <v>fraum@rta</v>
      </c>
      <c r="B582" s="50" t="s">
        <v>181</v>
      </c>
      <c r="C582" s="51">
        <v>44370.0</v>
      </c>
      <c r="D582" s="51">
        <v>44500.0</v>
      </c>
      <c r="E582" s="52">
        <v>44470.0</v>
      </c>
      <c r="F582" s="53" t="s">
        <v>12</v>
      </c>
      <c r="G582" s="50" t="s">
        <v>5</v>
      </c>
      <c r="H582" s="54" t="s">
        <v>85</v>
      </c>
      <c r="I582" s="54" t="s">
        <v>7</v>
      </c>
      <c r="J582" s="55">
        <v>100.0</v>
      </c>
      <c r="K582" s="56">
        <v>5200.0</v>
      </c>
      <c r="L582" s="57">
        <v>3700.0</v>
      </c>
      <c r="M582" s="58">
        <v>1871.0</v>
      </c>
      <c r="N582" s="33">
        <f t="shared" si="13"/>
        <v>520000</v>
      </c>
      <c r="O582" s="59">
        <v>175649.0</v>
      </c>
      <c r="P582" s="34">
        <f t="shared" si="14"/>
        <v>33.77865385</v>
      </c>
      <c r="Q582" s="60"/>
      <c r="R582" s="36">
        <f t="shared" si="99"/>
        <v>1871</v>
      </c>
      <c r="S582" s="61"/>
      <c r="T582" s="37">
        <f t="shared" si="100"/>
        <v>5571</v>
      </c>
      <c r="U582" s="62">
        <v>1.0</v>
      </c>
      <c r="V582" s="63"/>
      <c r="W582" s="63"/>
      <c r="X582" s="83">
        <v>0.06</v>
      </c>
      <c r="Y582" s="83">
        <v>0.12</v>
      </c>
      <c r="Z582" s="40">
        <f t="shared" ref="Z582:Z650" si="120">T582-AA582-AB582</f>
        <v>4568.22</v>
      </c>
      <c r="AA582" s="34">
        <f t="shared" ref="AA582:AA585" si="121">if(AD582="EUR",((T582-R582)*X582)*U582+(R582*X582),(T582*X582))</f>
        <v>334.26</v>
      </c>
      <c r="AB582" s="41">
        <f t="shared" si="109"/>
        <v>668.52</v>
      </c>
      <c r="AC582" s="42" t="b">
        <v>1</v>
      </c>
      <c r="AD582" s="66" t="s">
        <v>138</v>
      </c>
      <c r="AE582" s="88" t="s">
        <v>138</v>
      </c>
      <c r="AF582" s="42" t="str">
        <f t="array" ref="AF582">INDEX('Deal Info'!D:D, MATCH(A582,'Deal Info'!A:A, 0))</f>
        <v>Fix15</v>
      </c>
      <c r="AG582" s="43" t="str">
        <f t="array" ref="AG582">INDEX('Deal Info'!G:G, MATCH(A582,'Deal Info'!A:A, 0))</f>
        <v>None</v>
      </c>
    </row>
    <row r="583" hidden="1">
      <c r="A583" s="23" t="str">
        <f t="array" ref="A583">if(G583='Room Info'!$B$1, INDEX('Room Info'!$A$2:$A3446, MATCH(B583,'Room Info'!$B$2:$B3446, 0)),if(G583='Room Info'!$C$1, INDEX('Room Info'!$A$2:$A3446, MATCH(B583,'Room Info'!$C$2:$C3446, 0)),if(G583='Room Info'!$D$1, INDEX('Room Info'!$A$2:$A3446, MATCH(B583,'Room Info'!$D$2:$D3446, 0)),if(G583='Room Info'!$E$1, INDEX('Room Info'!$A$2:$A3446, MATCH(B583,'Room Info'!$E$2:$E3446, 0)),if(G583='Room Info'!$F$1, INDEX('Room Info'!$A$2:$A3446, MATCH(B583,'Room Info'!$F$2:$F3446, 0)),if(G583='Room Info'!$H$1, INDEX('Room Info'!$A$2:$A3446, MATCH(B583,'Room Info'!$H$2:$H3446, 0)),if(G583='Room Info'!$G$1, INDEX('Room Info'!$A$2:$A3446, MATCH(B583,'Room Info'!$G$2:$G3446, 0)))))))))</f>
        <v>fraum@rta</v>
      </c>
      <c r="B583" s="50" t="s">
        <v>181</v>
      </c>
      <c r="C583" s="51">
        <v>44501.0</v>
      </c>
      <c r="D583" s="51">
        <v>44530.0</v>
      </c>
      <c r="E583" s="52">
        <v>44501.0</v>
      </c>
      <c r="F583" s="53" t="s">
        <v>12</v>
      </c>
      <c r="G583" s="50" t="s">
        <v>5</v>
      </c>
      <c r="H583" s="54" t="s">
        <v>85</v>
      </c>
      <c r="I583" s="54" t="s">
        <v>7</v>
      </c>
      <c r="J583" s="55">
        <v>100.0</v>
      </c>
      <c r="K583" s="56">
        <v>1010.0</v>
      </c>
      <c r="L583" s="57">
        <v>-6900.0</v>
      </c>
      <c r="M583" s="58">
        <v>3082.0</v>
      </c>
      <c r="N583" s="33">
        <f t="shared" si="13"/>
        <v>101000</v>
      </c>
      <c r="O583" s="59">
        <v>34116.0</v>
      </c>
      <c r="P583" s="34">
        <f t="shared" si="14"/>
        <v>33.77821782</v>
      </c>
      <c r="Q583" s="60"/>
      <c r="R583" s="36">
        <f t="shared" si="99"/>
        <v>3082</v>
      </c>
      <c r="S583" s="61"/>
      <c r="T583" s="37">
        <f t="shared" si="100"/>
        <v>-3818</v>
      </c>
      <c r="U583" s="62">
        <v>1.0</v>
      </c>
      <c r="V583" s="63"/>
      <c r="W583" s="63"/>
      <c r="X583" s="83">
        <v>0.06</v>
      </c>
      <c r="Y583" s="83">
        <v>0.12</v>
      </c>
      <c r="Z583" s="40">
        <f t="shared" si="120"/>
        <v>-3130.76</v>
      </c>
      <c r="AA583" s="34">
        <f t="shared" si="121"/>
        <v>-229.08</v>
      </c>
      <c r="AB583" s="41">
        <f t="shared" si="109"/>
        <v>-458.16</v>
      </c>
      <c r="AC583" s="42" t="b">
        <v>1</v>
      </c>
      <c r="AD583" s="66" t="s">
        <v>138</v>
      </c>
      <c r="AE583" s="88" t="s">
        <v>138</v>
      </c>
      <c r="AF583" s="42" t="str">
        <f t="array" ref="AF583">INDEX('Deal Info'!D:D, MATCH(A583,'Deal Info'!A:A, 0))</f>
        <v>Fix15</v>
      </c>
      <c r="AG583" s="43" t="str">
        <f t="array" ref="AG583">INDEX('Deal Info'!G:G, MATCH(A583,'Deal Info'!A:A, 0))</f>
        <v>None</v>
      </c>
    </row>
    <row r="584" hidden="1">
      <c r="A584" s="23" t="str">
        <f t="array" ref="A584">if(G584='Room Info'!$B$1, INDEX('Room Info'!$A$2:$A3446, MATCH(B584,'Room Info'!$B$2:$B3446, 0)),if(G584='Room Info'!$C$1, INDEX('Room Info'!$A$2:$A3446, MATCH(B584,'Room Info'!$C$2:$C3446, 0)),if(G584='Room Info'!$D$1, INDEX('Room Info'!$A$2:$A3446, MATCH(B584,'Room Info'!$D$2:$D3446, 0)),if(G584='Room Info'!$E$1, INDEX('Room Info'!$A$2:$A3446, MATCH(B584,'Room Info'!$E$2:$E3446, 0)),if(G584='Room Info'!$F$1, INDEX('Room Info'!$A$2:$A3446, MATCH(B584,'Room Info'!$F$2:$F3446, 0)),if(G584='Room Info'!$H$1, INDEX('Room Info'!$A$2:$A3446, MATCH(B584,'Room Info'!$H$2:$H3446, 0)),if(G584='Room Info'!$G$1, INDEX('Room Info'!$A$2:$A3446, MATCH(B584,'Room Info'!$G$2:$G3446, 0)))))))))</f>
        <v>fraum@rta</v>
      </c>
      <c r="B584" s="50" t="s">
        <v>181</v>
      </c>
      <c r="C584" s="51">
        <v>44531.0</v>
      </c>
      <c r="D584" s="51">
        <v>44561.0</v>
      </c>
      <c r="E584" s="52">
        <v>44531.0</v>
      </c>
      <c r="F584" s="53" t="s">
        <v>12</v>
      </c>
      <c r="G584" s="50" t="s">
        <v>5</v>
      </c>
      <c r="H584" s="54" t="s">
        <v>85</v>
      </c>
      <c r="I584" s="54" t="s">
        <v>7</v>
      </c>
      <c r="J584" s="55">
        <v>100.0</v>
      </c>
      <c r="K584" s="56">
        <v>1297.0</v>
      </c>
      <c r="L584" s="57">
        <v>7800.0</v>
      </c>
      <c r="M584" s="58">
        <v>3616.0</v>
      </c>
      <c r="N584" s="33">
        <f t="shared" si="13"/>
        <v>129700</v>
      </c>
      <c r="O584" s="59">
        <v>137917.0</v>
      </c>
      <c r="P584" s="34">
        <f t="shared" si="14"/>
        <v>106.3353894</v>
      </c>
      <c r="Q584" s="60"/>
      <c r="R584" s="36">
        <f t="shared" si="99"/>
        <v>3616</v>
      </c>
      <c r="S584" s="61"/>
      <c r="T584" s="37">
        <f t="shared" si="100"/>
        <v>11416</v>
      </c>
      <c r="U584" s="62">
        <v>1.0</v>
      </c>
      <c r="V584" s="63"/>
      <c r="W584" s="63"/>
      <c r="X584" s="83">
        <v>0.06</v>
      </c>
      <c r="Y584" s="83">
        <v>0.12</v>
      </c>
      <c r="Z584" s="40">
        <f t="shared" si="120"/>
        <v>9361.12</v>
      </c>
      <c r="AA584" s="34">
        <f t="shared" si="121"/>
        <v>684.96</v>
      </c>
      <c r="AB584" s="41">
        <f t="shared" si="109"/>
        <v>1369.92</v>
      </c>
      <c r="AC584" s="42" t="b">
        <v>1</v>
      </c>
      <c r="AD584" s="66" t="s">
        <v>138</v>
      </c>
      <c r="AE584" s="88" t="s">
        <v>138</v>
      </c>
      <c r="AF584" s="42" t="str">
        <f t="array" ref="AF584">INDEX('Deal Info'!D:D, MATCH(A584,'Deal Info'!A:A, 0))</f>
        <v>Fix15</v>
      </c>
      <c r="AG584" s="43" t="str">
        <f t="array" ref="AG584">INDEX('Deal Info'!G:G, MATCH(A584,'Deal Info'!A:A, 0))</f>
        <v>None</v>
      </c>
    </row>
    <row r="585" hidden="1">
      <c r="A585" s="23" t="str">
        <f t="array" ref="A585">if(G585='Room Info'!$B$1, INDEX('Room Info'!$A$2:$A3446, MATCH(B585,'Room Info'!$B$2:$B3446, 0)),if(G585='Room Info'!$C$1, INDEX('Room Info'!$A$2:$A3446, MATCH(B585,'Room Info'!$C$2:$C3446, 0)),if(G585='Room Info'!$D$1, INDEX('Room Info'!$A$2:$A3446, MATCH(B585,'Room Info'!$D$2:$D3446, 0)),if(G585='Room Info'!$E$1, INDEX('Room Info'!$A$2:$A3446, MATCH(B585,'Room Info'!$E$2:$E3446, 0)),if(G585='Room Info'!$F$1, INDEX('Room Info'!$A$2:$A3446, MATCH(B585,'Room Info'!$F$2:$F3446, 0)),if(G585='Room Info'!$H$1, INDEX('Room Info'!$A$2:$A3446, MATCH(B585,'Room Info'!$H$2:$H3446, 0)),if(G585='Room Info'!$G$1, INDEX('Room Info'!$A$2:$A3446, MATCH(B585,'Room Info'!$G$2:$G3446, 0)))))))))</f>
        <v>fraum@rta</v>
      </c>
      <c r="B585" s="50" t="s">
        <v>181</v>
      </c>
      <c r="C585" s="51">
        <v>44562.0</v>
      </c>
      <c r="D585" s="51">
        <v>44592.0</v>
      </c>
      <c r="E585" s="52">
        <v>44562.0</v>
      </c>
      <c r="F585" s="53" t="s">
        <v>12</v>
      </c>
      <c r="G585" s="50" t="s">
        <v>5</v>
      </c>
      <c r="H585" s="54" t="s">
        <v>85</v>
      </c>
      <c r="I585" s="54" t="s">
        <v>7</v>
      </c>
      <c r="J585" s="55">
        <v>100.0</v>
      </c>
      <c r="K585" s="56">
        <v>528.0</v>
      </c>
      <c r="L585" s="57">
        <v>5800.0</v>
      </c>
      <c r="M585" s="58">
        <v>1431.0</v>
      </c>
      <c r="N585" s="33">
        <f t="shared" si="13"/>
        <v>52800</v>
      </c>
      <c r="O585" s="59">
        <v>17424.0</v>
      </c>
      <c r="P585" s="34">
        <f t="shared" si="14"/>
        <v>33</v>
      </c>
      <c r="Q585" s="60"/>
      <c r="R585" s="36">
        <f t="shared" si="99"/>
        <v>1431</v>
      </c>
      <c r="S585" s="61"/>
      <c r="T585" s="37">
        <f t="shared" si="100"/>
        <v>7231</v>
      </c>
      <c r="U585" s="62">
        <v>1.0</v>
      </c>
      <c r="V585" s="63"/>
      <c r="W585" s="63"/>
      <c r="X585" s="83">
        <v>0.06</v>
      </c>
      <c r="Y585" s="83">
        <v>0.12</v>
      </c>
      <c r="Z585" s="40">
        <f t="shared" si="120"/>
        <v>5929.42</v>
      </c>
      <c r="AA585" s="34">
        <f t="shared" si="121"/>
        <v>433.86</v>
      </c>
      <c r="AB585" s="41">
        <f t="shared" si="109"/>
        <v>867.72</v>
      </c>
      <c r="AC585" s="42" t="b">
        <v>1</v>
      </c>
      <c r="AD585" s="66" t="s">
        <v>138</v>
      </c>
      <c r="AE585" s="88" t="s">
        <v>138</v>
      </c>
      <c r="AF585" s="42" t="str">
        <f t="array" ref="AF585">INDEX('Deal Info'!D:D, MATCH(A585,'Deal Info'!A:A, 0))</f>
        <v>Fix15</v>
      </c>
      <c r="AG585" s="43" t="str">
        <f t="array" ref="AG585">INDEX('Deal Info'!G:G, MATCH(A585,'Deal Info'!A:A, 0))</f>
        <v>None</v>
      </c>
    </row>
    <row r="586" hidden="1">
      <c r="A586" s="23" t="str">
        <f t="array" ref="A586">if(G586='Room Info'!$B$1, INDEX('Room Info'!$A$2:$A3446, MATCH(B586,'Room Info'!$B$2:$B3446, 0)),if(G586='Room Info'!$C$1, INDEX('Room Info'!$A$2:$A3446, MATCH(B586,'Room Info'!$C$2:$C3446, 0)),if(G586='Room Info'!$D$1, INDEX('Room Info'!$A$2:$A3446, MATCH(B586,'Room Info'!$D$2:$D3446, 0)),if(G586='Room Info'!$E$1, INDEX('Room Info'!$A$2:$A3446, MATCH(B586,'Room Info'!$E$2:$E3446, 0)),if(G586='Room Info'!$F$1, INDEX('Room Info'!$A$2:$A3446, MATCH(B586,'Room Info'!$F$2:$F3446, 0)),if(G586='Room Info'!$H$1, INDEX('Room Info'!$A$2:$A3446, MATCH(B586,'Room Info'!$H$2:$H3446, 0)),if(G586='Room Info'!$G$1, INDEX('Room Info'!$A$2:$A3446, MATCH(B586,'Room Info'!$G$2:$G3446, 0)))))))))</f>
        <v>fraum@rta</v>
      </c>
      <c r="B586" s="50" t="s">
        <v>181</v>
      </c>
      <c r="C586" s="51">
        <v>44593.0</v>
      </c>
      <c r="D586" s="51">
        <v>44620.0</v>
      </c>
      <c r="E586" s="52">
        <v>44593.0</v>
      </c>
      <c r="F586" s="53" t="s">
        <v>12</v>
      </c>
      <c r="G586" s="50" t="s">
        <v>5</v>
      </c>
      <c r="H586" s="54" t="s">
        <v>85</v>
      </c>
      <c r="I586" s="54" t="s">
        <v>7</v>
      </c>
      <c r="J586" s="55">
        <v>100.0</v>
      </c>
      <c r="K586" s="56">
        <v>1196.0</v>
      </c>
      <c r="L586" s="57">
        <v>-5300.0</v>
      </c>
      <c r="M586" s="58">
        <v>11834.0</v>
      </c>
      <c r="N586" s="33">
        <f t="shared" si="13"/>
        <v>119600</v>
      </c>
      <c r="O586" s="59">
        <v>39468.0</v>
      </c>
      <c r="P586" s="34">
        <f t="shared" si="14"/>
        <v>33</v>
      </c>
      <c r="Q586" s="60"/>
      <c r="R586" s="36">
        <f t="shared" si="99"/>
        <v>11834</v>
      </c>
      <c r="S586" s="61"/>
      <c r="T586" s="37">
        <f t="shared" si="100"/>
        <v>6534</v>
      </c>
      <c r="U586" s="62">
        <v>1.0</v>
      </c>
      <c r="V586" s="63"/>
      <c r="W586" s="63"/>
      <c r="X586" s="35">
        <f t="shared" ref="X586:X614" si="122">IF(AF586="DoEV",IF(AND(V586&lt;20,W586&lt;55),0.3,0)+IF(AND(V586&lt;20,W586&gt;=55,W586&lt;105),0.23,0)+IF(AND(V586&lt;20,W586&gt;=105),0.17,0)+IF(AND(V586&gt;=20,V586&lt;40,W586&lt;45),0.3,0)+IF(AND(V586&gt;=20,V586&lt;40,W586&gt;=45,W586&lt;95),0.23,0)+IF(AND(V586&gt;=20,V586&lt;40,W586&gt;=95),0.17,0)+IF(AND(V586&gt;=40,V586&lt;75,W586&lt;35),0.3,0)+IF(AND(V586&gt;=40,V586&lt;75,W586&gt;=35,W586&lt;75),0.23,0)+IF(AND(V586&gt;=40,V586&lt;75,W586&gt;=75,W586&lt;120),0.17,0)+IF(AND(V586&gt;=40,V586&lt;75,W586&gt;=120),0.12,0)+IF(AND(V586&gt;=75,V586&lt;175,W586&lt;35),0.3,0)+IF(AND(V586&gt;=75,V586&lt;=175,W586&gt;=35,W586&lt;65),0.23,0)+IF(AND(V586&gt;=75,V586&lt;=175,W586&gt;=65,W586&lt;110),0.17,0)+IF(AND(V586&gt;=75,V586&lt;=175,W586&gt;=110),0.12,0)+IF(AND(V586&gt;175,W586&lt;25),0.3,0)+IF(AND(V586&gt;175,W586&gt;=25,W586&lt;55),0.23,0)+IF(AND(V586&gt;175,W586&gt;=55,W586&lt;95),0.17,0)+IF(AND(V586&gt;175,W586&gt;=95),0.12,0),
IF(AF586="Fix15",0.15,
if(AF586="Fix18.75",0.1875,
IF(AF586="Fix11.25",0.1125,
IF(AF586="Fix10",0.1,
IF(AF586="Fix9",0.09,
IF(AF586="DoEV2017",IF(AND(W586&lt;74),0.2,0)+IF(AND(W586&gt;=74),0.17,0),
IF(AF586="SF",IF(AND(V586&lt;20,W586&lt;89),0.3,0)+IF(AND(V586&lt;20,W586&gt;=89),0.25,0)+IF(AND(V586&gt;=20,V586&lt;40,W586&lt;74),0.3,0)+IF(AND(V586&gt;=20,V586&lt;40,W586&gt;=75),0.22,0)+IF(AND(V586&gt;=40,V586&lt;75,W586&lt;75),0.26,0)+IF(AND(V586&gt;=40,V586&lt;75,W586&gt;=75),0.22,0)+IF(V586&gt;=75,0.22,0),
IF(AF586="DoEVold",IF(AND(V586&lt;40,W586&lt;35),0.35,0)+IF(AND(V586&lt;40,W586&gt;=35,W586&lt;75),0.25,0)+IF(AND(V586&lt;40,W586&gt;=75),0.17,0)+IF(AND(V586&gt;=40,V586&lt;75,W586&lt;25),0.35,0)+IF(AND(V586&gt;=40,V586&lt;75,W586&gt;=25,W586&lt;65),0.25,0)+IF(AND(V586&gt;=40,V586&lt;75,W586&gt;=65,W586&lt;100),0.17,0)+IF(AND(V586&gt;=40,V586&lt;75,W586&gt;=100),0.1,0)+IF(AND(V586&gt;=75,W586&lt;25),0.35,0)+IF(AND(V586&gt;=75,W586&gt;=25,W586&lt;60),0.25,0)+IF(AND(V586&gt;=75,W586&gt;=60,W586&lt;95),0.17,0)+IF(AND(V586&gt;=75,W586&gt;=95),0.1,0),
IF(AF586="DoEVold15",IF(AND(V586&lt;=40,W586&lt;35),0.35,0)+IF(AND(V586&lt;=40,W586&gt;=35,W586&lt;75),0.25,0)+IF(AND(V586&lt;=40,W586&gt;=75,W586&lt;120),0.17,0)+IF(AND(V586&lt;=40,W586&gt;=120),0.15,0)+IF(AND(V586&gt;40,V586&lt;75,W586&lt;25),0.35,0)+IF(AND(V586&gt;=40,V586&lt;75,W586&gt;=25,W586&lt;65),0.25,0)+IF(AND(V586&gt;=40,V586&lt;75,W586&gt;=65,W586&lt;100),0.17,0)+IF(AND(V586&gt;=40,V586&lt;75,W586&gt;=100),0.1,0)+IF(AND(V586&gt;=75,W586&lt;25),0.35,0)+IF(AND(V586&gt;=75,W586&gt;=25,W586&lt;60),0.25,0)+IF(AND(V586&gt;=75,W586&gt;=60,W586&lt;95),0.17,0)+IF(AND(V586&gt;=75,W586&gt;=95),0.1,0),
IF(AF586="DoEVba",IF(AND(V586&lt;20,W586&lt;105),0.2,0)+IF(AND(V586&lt;20,W586&gt;=105),0.15,0)+IF(AND(V586&gt;=20,V586&lt;40,W586&lt;95),0.2,0)+IF(AND(V586&gt;=20,V586&lt;40,W586&gt;=95,W586&lt;150),0.15,0)+IF(AND(V586&gt;=20,V586&lt;40,W586&gt;=150),0.12,0)+IF(AND(V586&gt;=40,V586&lt;75,W586&lt;75),0.2,0)+IF(AND(V586&gt;=40,V586&lt;75,W586&gt;=75,W586&lt;120),0.15,0)+IF(AND(V586&gt;=40,V586&lt;75,W586&gt;=120),0.12,0)+IF(AND(V586&gt;=75,V586&lt;175,W586&lt;65),0.2,0)+IF(AND(V586&gt;=75,V586&lt;175,W586&gt;=65,W586&lt;110),0.15,0)+IF(AND(V586&gt;=75,V586&lt;175,W586&gt;=110),0.12,0)+IF(AND(V586&gt;=175,W586&lt;55),0.2,0)+IF(AND(V586&gt;=175,W586&gt;=55,W586&lt;95),0.15,0)+IF(AND(V586&gt;=175,W586&gt;=95),0.12,0),
IF(AF586="DoEVku",IF(AND(V586&lt;20,W586&lt;55),0.23,0)+IF(AND(V586&lt;20,W586&gt;=55,W586&lt;105),0.2,0)+IF(AND(V586&lt;20,W586&gt;=105),0.17,0)+IF(AND(V586&gt;=20,V586&lt;40,W586&lt;45),0.23,0)+IF(AND(V586&gt;=20,V586&lt;40,W586&gt;=45,W586&lt;95),0.2,0)+IF(AND(V586&gt;=20,V586&lt;40,W586&gt;=95,W586&lt;=150),0.17,0)+IF(AND(V586&gt;=20,V586&lt;40,W586&gt;=150),0.12,0)+IF(AND(V586&gt;=40,V586&lt;75,W586&lt;35),0.23,0)+IF(AND(V586&gt;=40,V586&lt;75,W586&gt;=35,W586&lt;75),0.2,0)+IF(AND(V586&gt;=40,V586&lt;75,W586&gt;=75,W586&lt;120),0.17,0)+IF(AND(V586&gt;=40,V586&lt;75,W586&gt;=120),0.12,0)+IF(AND(V586&gt;=75,V586&lt;175,W586&lt;35),0.23,0)+IF(AND(V586&gt;=75,V586&lt;=175,W586&gt;=35,W586&lt;65),0.2,0)+IF(AND(V586&gt;=75,V586&lt;=175,W586&gt;=65,W586&lt;110),0.17,0)+IF(AND(V586&gt;=75,V586&lt;=175,W586&gt;=110),0.12,0)+IF(AND(V586&gt;175,W586&lt;25),0.23,0)+IF(AND(V586&gt;175,W586&gt;=25,W586&lt;55),0.2,0)+IF(AND(V586&gt;175,W586&gt;=55,W586&lt;95),0.17,0)+IF(AND(V586&gt;175,W586&gt;=95),0.12,0),
IF(AF586="DoEVs1",IF(AND(V586&lt;20,W586&lt;55),0.3,0)+IF(AND(V586&lt;20,W586&gt;=55,W586&lt;105),0.23,0)+IF(AND(V586&lt;20,W586&gt;=105),0.17,0)+IF(AND(V586&gt;=20,V586&lt;40,W586&lt;45),0.3,0)+IF(AND(V586&gt;=20,V586&lt;40,W586&gt;=45,W586&lt;95),0.23,0)+IF(AND(V586&gt;=20,V586&lt;40,W586&gt;=95,W586&lt;=150),0.17,0)+IF(AND(V586&gt;=20,V586&lt;40,W586&gt;=150),0.12,0)+IF(AND(V586&gt;=40,V586&lt;75,W586&lt;35),0.3,0)+IF(AND(V586&gt;=40,V586&lt;75,W586&gt;=35,W586&lt;75),0.23,0)+IF(AND(V586&gt;=40,V586&lt;75,W586&gt;=75,W586&lt;120),0.17,0)+IF(AND(V586&gt;=40,V586&lt;75,W586&gt;=120),0.12,0)+IF(AND(V586&gt;=75,V586&lt;175,W586&lt;35),0.3,0)+IF(AND(V586&gt;=75,V586&lt;=175,W586&gt;=35,W586&lt;65),0.23,0)+IF(AND(V586&gt;=75,V586&lt;=175,W586&gt;=65,W586&lt;110),0.17,0)+IF(AND(V586&gt;=75,V586&lt;=175,W586&gt;=110),0.12,0)+IF(AND(V586&gt;175,W586&lt;25),0.3,0)+IF(AND(V586&gt;175,W586&gt;=25,W586&lt;55),0.23,0)+IF(AND(V586&gt;175,W586&gt;=55,W586&lt;95),0.17,0)+IF(AND(V586&gt;175,W586&gt;=95),0.12,0),
IF(AF586="DoEVsu",IF(AND(V586&lt;20,W586&lt;55),0.3,0)+IF(AND(V586&lt;20,W586&gt;=55,W586&lt;105),0.23,0)+IF(AND(V586&lt;20,W586&gt;=105),0.17,0)+IF(AND(V586&gt;=20,V586&lt;40,W586&lt;45),0.3,0)+IF(AND(V586&gt;=20,V586&lt;40,W586&gt;=45,W586&lt;95),0.23,0)+IF(AND(V586&gt;=20,V586&lt;40,W586&gt;=95,W586&lt;=250),0.17,0)+IF(AND(V586&gt;=20,V586&lt;40,W586&gt;=250),0.12,0)+IF(AND(V586&gt;=40,V586&lt;75,W586&lt;35),0.3,0)+IF(AND(V586&gt;=40,V586&lt;75,W586&gt;=35,W586&lt;75),0.23,0)+IF(AND(V586&gt;=40,V586&lt;75,W586&gt;=75,W586&lt;120),0.17,0)+IF(AND(V586&gt;=40,V586&lt;75,W586&gt;=120),0.12,0)+IF(AND(V586&gt;=75,V586&lt;175,W586&lt;35),0.3,0)+IF(AND(V586&gt;=75,V586&lt;=175,W586&gt;=35,W586&lt;65),0.23,0)+IF(AND(V586&gt;=75,V586&lt;=175,W586&gt;=65,W586&lt;110),0.17,0)+IF(AND(V586&gt;=75,V586&lt;=175,W586&gt;=110),0.12,0)+IF(AND(V586&gt;175,W586&lt;25),0.3,0)+IF(AND(V586&gt;175,W586&gt;=25,W586&lt;55),0.23,0)+IF(AND(V586&gt;175,W586&gt;=55,W586&lt;95),0.17,0)+IF(AND(V586&gt;175,W586&gt;=95),0.12,0),
IF(AF586="DoEVni",IF(AND(V586&lt;20,W586&lt;55),0.3,0)+IF(AND(V586&lt;20,W586&gt;=55,W586&lt;105),0.23,0)+IF(AND(V586&lt;20,W586&gt;=105),0.17,0)+IF(AND(V586&gt;=20,V586&lt;40,W586&lt;45),0.3,0)+IF(AND(V586&gt;=20,V586&lt;40,W586&gt;=45,W586&lt;95),0.23,0)+IF(AND(V586&gt;=20,V586&lt;40,W586&gt;=95,W586&lt;=200),0.17,0)+IF(AND(V586&gt;=20,V586&lt;40,W586&gt;=200),0.12,0)+IF(AND(V586&gt;=40,V586&lt;75,W586&lt;35),0.3,0)+IF(AND(V586&gt;=40,V586&lt;75,W586&gt;=35,W586&lt;75),0.23,0)+IF(AND(V586&gt;=40,V586&lt;75,W586&gt;=75,W586&lt;120),0.17,0)+IF(AND(V586&gt;=40,V586&lt;75,W586&gt;=120),0.12,0)+IF(AND(V586&gt;=75,V586&lt;175,W586&lt;35),0.3,0)+IF(AND(V586&gt;=75,V586&lt;=175,W586&gt;=35,W586&lt;65),0.23,0)+IF(AND(V586&gt;=75,V586&lt;=175,W586&gt;=65,W586&lt;110),0.17,0)+IF(AND(V586&gt;=75,V586&lt;=175,W586&gt;=110),0.12,0)+IF(AND(V586&gt;175,W586&lt;25),0.3,0)+IF(AND(V586&gt;175,W586&gt;=25,W586&lt;55),0.23,0)+IF(AND(V586&gt;175,W586&gt;=55,W586&lt;95),0.17,0)+IF(AND(V586&gt;175,W586&gt;=95),0.12,0),
IF(AF586="DoEVLo",IF(AND(V586&lt;20,W586&lt;55),0.25,0)+IF(AND(V586&lt;20,W586&gt;=55,W586&lt;105),0.2,0)+IF(AND(V586&lt;20,W586&gt;=105),0.15,0)+IF(AND(V586&gt;=20,V586&lt;40,W586&lt;45),0.25,0)+IF(AND(V586&gt;=20,V586&lt;40,W586&gt;=45,W586&lt;95),0.2,0)+IF(AND(V586&gt;=20,V586&lt;40,W586&gt;=95),0.15,0)+IF(AND(V586&gt;=40,V586&lt;75,W586&lt;35),0.25,0)+IF(AND(V586&gt;=40,V586&lt;75,W586&gt;=35,W586&lt;75),0.2,0)+IF(AND(V586&gt;=40,V586&lt;75,W586&gt;=75,W586&lt;120),0.15,0)+IF(AND(V586&gt;=40,V586&lt;75,W586&gt;=120),0.1,0)+IF(AND(V586&gt;=75,V586&lt;175,W586&lt;35),0.25,0)+IF(AND(V586&gt;=75,V586&lt;=175,W586&gt;=35,W586&lt;65),0.2,0)+IF(AND(V586&gt;=75,V586&lt;=175,W586&gt;=65,W586&lt;110),0.15,0)+IF(AND(V586&gt;=75,V586&lt;=175,W586&gt;=110),0.1,0)+IF(AND(V586&gt;175,W586&lt;25),0.25,0)+IF(AND(V586&gt;175,W586&gt;=25,W586&lt;55),0.2,0)+IF(AND(V586&gt;175,W586&gt;=55,W586&lt;95),0.15,0)+IF(AND(V586&gt;175,W586&gt;=95),0.1,0)))))))))))))))))</f>
        <v>0.15</v>
      </c>
      <c r="Y586" s="35">
        <f t="shared" ref="Y586:Y882" si="123">if(AG586="None",0,if(AG586="Fix5",0.05, if(AG586="Fix6.25",0.0625,if(AG586="Fix3.75",0.0375,if(AG586="Fix10",0.1,if(AG586="Fix3",0.03,0))))))</f>
        <v>0</v>
      </c>
      <c r="Z586" s="40">
        <f t="shared" si="120"/>
        <v>5052</v>
      </c>
      <c r="AA586" s="65">
        <v>1482.0</v>
      </c>
      <c r="AB586" s="41">
        <f t="shared" si="109"/>
        <v>0</v>
      </c>
      <c r="AC586" s="42" t="b">
        <v>1</v>
      </c>
      <c r="AD586" s="66" t="s">
        <v>138</v>
      </c>
      <c r="AE586" s="88" t="s">
        <v>138</v>
      </c>
      <c r="AF586" s="42" t="str">
        <f t="array" ref="AF586">INDEX('Deal Info'!D:D, MATCH(A586,'Deal Info'!A:A, 0))</f>
        <v>Fix15</v>
      </c>
      <c r="AG586" s="43" t="str">
        <f t="array" ref="AG586">INDEX('Deal Info'!G:G, MATCH(A586,'Deal Info'!A:A, 0))</f>
        <v>None</v>
      </c>
    </row>
    <row r="587" hidden="1">
      <c r="A587" s="23" t="str">
        <f t="array" ref="A587">if(G587='Room Info'!$B$1, INDEX('Room Info'!$A$2:$A3446, MATCH(B587,'Room Info'!$B$2:$B3446, 0)),if(G587='Room Info'!$C$1, INDEX('Room Info'!$A$2:$A3446, MATCH(B587,'Room Info'!$C$2:$C3446, 0)),if(G587='Room Info'!$D$1, INDEX('Room Info'!$A$2:$A3446, MATCH(B587,'Room Info'!$D$2:$D3446, 0)),if(G587='Room Info'!$E$1, INDEX('Room Info'!$A$2:$A3446, MATCH(B587,'Room Info'!$E$2:$E3446, 0)),if(G587='Room Info'!$F$1, INDEX('Room Info'!$A$2:$A3446, MATCH(B587,'Room Info'!$F$2:$F3446, 0)),if(G587='Room Info'!$H$1, INDEX('Room Info'!$A$2:$A3446, MATCH(B587,'Room Info'!$H$2:$H3446, 0)),if(G587='Room Info'!$G$1, INDEX('Room Info'!$A$2:$A3446, MATCH(B587,'Room Info'!$G$2:$G3446, 0)))))))))</f>
        <v>fraum@rta</v>
      </c>
      <c r="B587" s="50" t="s">
        <v>181</v>
      </c>
      <c r="C587" s="51">
        <v>44621.0</v>
      </c>
      <c r="D587" s="51">
        <v>44651.0</v>
      </c>
      <c r="E587" s="52">
        <v>44621.0</v>
      </c>
      <c r="F587" s="53" t="s">
        <v>12</v>
      </c>
      <c r="G587" s="50" t="s">
        <v>5</v>
      </c>
      <c r="H587" s="54" t="s">
        <v>85</v>
      </c>
      <c r="I587" s="54" t="s">
        <v>7</v>
      </c>
      <c r="J587" s="55">
        <v>100.0</v>
      </c>
      <c r="K587" s="56">
        <v>49.0</v>
      </c>
      <c r="L587" s="57">
        <v>800.0</v>
      </c>
      <c r="M587" s="58">
        <v>63.0</v>
      </c>
      <c r="N587" s="33">
        <f t="shared" si="13"/>
        <v>4900</v>
      </c>
      <c r="O587" s="70"/>
      <c r="P587" s="34">
        <f t="shared" si="14"/>
        <v>0</v>
      </c>
      <c r="Q587" s="60"/>
      <c r="R587" s="36">
        <f t="shared" si="99"/>
        <v>63</v>
      </c>
      <c r="S587" s="71"/>
      <c r="T587" s="37">
        <f t="shared" si="100"/>
        <v>863</v>
      </c>
      <c r="U587" s="62">
        <v>1.0</v>
      </c>
      <c r="V587" s="63"/>
      <c r="W587" s="63"/>
      <c r="X587" s="35">
        <f t="shared" si="122"/>
        <v>0.15</v>
      </c>
      <c r="Y587" s="35">
        <f t="shared" si="123"/>
        <v>0</v>
      </c>
      <c r="Z587" s="40">
        <f t="shared" si="120"/>
        <v>734</v>
      </c>
      <c r="AA587" s="65">
        <v>129.0</v>
      </c>
      <c r="AB587" s="41">
        <f t="shared" si="109"/>
        <v>0</v>
      </c>
      <c r="AC587" s="42" t="b">
        <v>1</v>
      </c>
      <c r="AD587" s="66" t="s">
        <v>138</v>
      </c>
      <c r="AE587" s="88" t="s">
        <v>138</v>
      </c>
      <c r="AF587" s="42" t="str">
        <f t="array" ref="AF587">INDEX('Deal Info'!D:D, MATCH(A587,'Deal Info'!A:A, 0))</f>
        <v>Fix15</v>
      </c>
      <c r="AG587" s="43" t="str">
        <f t="array" ref="AG587">INDEX('Deal Info'!G:G, MATCH(A587,'Deal Info'!A:A, 0))</f>
        <v>None</v>
      </c>
    </row>
    <row r="588" hidden="1">
      <c r="A588" s="23" t="str">
        <f t="array" ref="A588">if(G588='Room Info'!$B$1, INDEX('Room Info'!$A$2:$A3446, MATCH(B588,'Room Info'!$B$2:$B3446, 0)),if(G588='Room Info'!$C$1, INDEX('Room Info'!$A$2:$A3446, MATCH(B588,'Room Info'!$C$2:$C3446, 0)),if(G588='Room Info'!$D$1, INDEX('Room Info'!$A$2:$A3446, MATCH(B588,'Room Info'!$D$2:$D3446, 0)),if(G588='Room Info'!$E$1, INDEX('Room Info'!$A$2:$A3446, MATCH(B588,'Room Info'!$E$2:$E3446, 0)),if(G588='Room Info'!$F$1, INDEX('Room Info'!$A$2:$A3446, MATCH(B588,'Room Info'!$F$2:$F3446, 0)),if(G588='Room Info'!$H$1, INDEX('Room Info'!$A$2:$A3446, MATCH(B588,'Room Info'!$H$2:$H3446, 0)),if(G588='Room Info'!$G$1, INDEX('Room Info'!$A$2:$A3446, MATCH(B588,'Room Info'!$G$2:$G3446, 0)))))))))</f>
        <v>fraum@rta</v>
      </c>
      <c r="B588" s="50" t="s">
        <v>181</v>
      </c>
      <c r="C588" s="51">
        <v>44621.0</v>
      </c>
      <c r="D588" s="51">
        <v>44651.0</v>
      </c>
      <c r="E588" s="52">
        <v>44621.0</v>
      </c>
      <c r="F588" s="53" t="s">
        <v>8</v>
      </c>
      <c r="G588" s="50" t="s">
        <v>5</v>
      </c>
      <c r="H588" s="54" t="s">
        <v>96</v>
      </c>
      <c r="I588" s="54" t="s">
        <v>7</v>
      </c>
      <c r="J588" s="55">
        <v>250.0</v>
      </c>
      <c r="K588" s="56">
        <v>296.0</v>
      </c>
      <c r="L588" s="57">
        <v>-2750.0</v>
      </c>
      <c r="M588" s="58">
        <v>949.0</v>
      </c>
      <c r="N588" s="33">
        <f t="shared" si="13"/>
        <v>74000</v>
      </c>
      <c r="O588" s="59">
        <v>-942.0</v>
      </c>
      <c r="P588" s="34">
        <f t="shared" si="14"/>
        <v>-3.182432432</v>
      </c>
      <c r="Q588" s="60"/>
      <c r="R588" s="36">
        <f t="shared" si="99"/>
        <v>949</v>
      </c>
      <c r="S588" s="61">
        <v>-4177.0</v>
      </c>
      <c r="T588" s="37">
        <f t="shared" si="100"/>
        <v>-3228</v>
      </c>
      <c r="U588" s="62">
        <v>1.0</v>
      </c>
      <c r="V588" s="63"/>
      <c r="W588" s="63"/>
      <c r="X588" s="35">
        <f t="shared" si="122"/>
        <v>0.15</v>
      </c>
      <c r="Y588" s="35">
        <f t="shared" si="123"/>
        <v>0</v>
      </c>
      <c r="Z588" s="40">
        <f t="shared" si="120"/>
        <v>-2744</v>
      </c>
      <c r="AA588" s="65">
        <v>-484.0</v>
      </c>
      <c r="AB588" s="41">
        <f t="shared" si="109"/>
        <v>0</v>
      </c>
      <c r="AC588" s="42" t="b">
        <v>1</v>
      </c>
      <c r="AD588" s="66" t="s">
        <v>138</v>
      </c>
      <c r="AE588" s="88" t="s">
        <v>138</v>
      </c>
      <c r="AF588" s="42" t="str">
        <f t="array" ref="AF588">INDEX('Deal Info'!D:D, MATCH(A588,'Deal Info'!A:A, 0))</f>
        <v>Fix15</v>
      </c>
      <c r="AG588" s="43" t="str">
        <f t="array" ref="AG588">INDEX('Deal Info'!G:G, MATCH(A588,'Deal Info'!A:A, 0))</f>
        <v>None</v>
      </c>
    </row>
    <row r="589" hidden="1">
      <c r="A589" s="23" t="str">
        <f t="array" ref="A589">if(G589='Room Info'!$B$1, INDEX('Room Info'!$A$2:$A3446, MATCH(B589,'Room Info'!$B$2:$B3446, 0)),if(G589='Room Info'!$C$1, INDEX('Room Info'!$A$2:$A3446, MATCH(B589,'Room Info'!$C$2:$C3446, 0)),if(G589='Room Info'!$D$1, INDEX('Room Info'!$A$2:$A3446, MATCH(B589,'Room Info'!$D$2:$D3446, 0)),if(G589='Room Info'!$E$1, INDEX('Room Info'!$A$2:$A3446, MATCH(B589,'Room Info'!$E$2:$E3446, 0)),if(G589='Room Info'!$F$1, INDEX('Room Info'!$A$2:$A3446, MATCH(B589,'Room Info'!$F$2:$F3446, 0)),if(G589='Room Info'!$H$1, INDEX('Room Info'!$A$2:$A3446, MATCH(B589,'Room Info'!$H$2:$H3446, 0)),if(G589='Room Info'!$G$1, INDEX('Room Info'!$A$2:$A3446, MATCH(B589,'Room Info'!$G$2:$G3446, 0)))))))))</f>
        <v>fraum@rta</v>
      </c>
      <c r="B589" s="50" t="s">
        <v>181</v>
      </c>
      <c r="C589" s="51">
        <v>44621.0</v>
      </c>
      <c r="D589" s="51">
        <v>44651.0</v>
      </c>
      <c r="E589" s="52">
        <v>44621.0</v>
      </c>
      <c r="F589" s="53" t="s">
        <v>8</v>
      </c>
      <c r="G589" s="50" t="s">
        <v>5</v>
      </c>
      <c r="H589" s="54" t="s">
        <v>101</v>
      </c>
      <c r="I589" s="54" t="s">
        <v>7</v>
      </c>
      <c r="J589" s="55">
        <v>500.0</v>
      </c>
      <c r="K589" s="56">
        <v>6.0</v>
      </c>
      <c r="L589" s="57">
        <v>0.0</v>
      </c>
      <c r="M589" s="58">
        <v>38.0</v>
      </c>
      <c r="N589" s="33">
        <f t="shared" si="13"/>
        <v>3000</v>
      </c>
      <c r="O589" s="59">
        <v>596.0</v>
      </c>
      <c r="P589" s="34">
        <f t="shared" si="14"/>
        <v>99.33333333</v>
      </c>
      <c r="Q589" s="60"/>
      <c r="R589" s="36">
        <f t="shared" si="99"/>
        <v>38</v>
      </c>
      <c r="S589" s="61">
        <v>412.0</v>
      </c>
      <c r="T589" s="37">
        <f t="shared" si="100"/>
        <v>450</v>
      </c>
      <c r="U589" s="62">
        <v>1.0</v>
      </c>
      <c r="V589" s="63"/>
      <c r="W589" s="63"/>
      <c r="X589" s="35">
        <f t="shared" si="122"/>
        <v>0.15</v>
      </c>
      <c r="Y589" s="35">
        <f t="shared" si="123"/>
        <v>0</v>
      </c>
      <c r="Z589" s="40">
        <f t="shared" si="120"/>
        <v>382</v>
      </c>
      <c r="AA589" s="65">
        <v>68.0</v>
      </c>
      <c r="AB589" s="41">
        <f t="shared" si="109"/>
        <v>0</v>
      </c>
      <c r="AC589" s="42" t="b">
        <v>1</v>
      </c>
      <c r="AD589" s="66" t="s">
        <v>138</v>
      </c>
      <c r="AE589" s="88" t="s">
        <v>138</v>
      </c>
      <c r="AF589" s="42" t="str">
        <f t="array" ref="AF589">INDEX('Deal Info'!D:D, MATCH(A589,'Deal Info'!A:A, 0))</f>
        <v>Fix15</v>
      </c>
      <c r="AG589" s="43" t="str">
        <f t="array" ref="AG589">INDEX('Deal Info'!G:G, MATCH(A589,'Deal Info'!A:A, 0))</f>
        <v>None</v>
      </c>
    </row>
    <row r="590" hidden="1">
      <c r="A590" s="23" t="str">
        <f t="array" ref="A590">if(G590='Room Info'!$B$1, INDEX('Room Info'!$A$2:$A3446, MATCH(B590,'Room Info'!$B$2:$B3446, 0)),if(G590='Room Info'!$C$1, INDEX('Room Info'!$A$2:$A3446, MATCH(B590,'Room Info'!$C$2:$C3446, 0)),if(G590='Room Info'!$D$1, INDEX('Room Info'!$A$2:$A3446, MATCH(B590,'Room Info'!$D$2:$D3446, 0)),if(G590='Room Info'!$E$1, INDEX('Room Info'!$A$2:$A3446, MATCH(B590,'Room Info'!$E$2:$E3446, 0)),if(G590='Room Info'!$F$1, INDEX('Room Info'!$A$2:$A3446, MATCH(B590,'Room Info'!$F$2:$F3446, 0)),if(G590='Room Info'!$H$1, INDEX('Room Info'!$A$2:$A3446, MATCH(B590,'Room Info'!$H$2:$H3446, 0)),if(G590='Room Info'!$G$1, INDEX('Room Info'!$A$2:$A3446, MATCH(B590,'Room Info'!$G$2:$G3446, 0)))))))))</f>
        <v>fraum@rta</v>
      </c>
      <c r="B590" s="50" t="s">
        <v>181</v>
      </c>
      <c r="C590" s="51">
        <v>44621.0</v>
      </c>
      <c r="D590" s="51">
        <v>44651.0</v>
      </c>
      <c r="E590" s="52">
        <v>44621.0</v>
      </c>
      <c r="F590" s="53" t="s">
        <v>8</v>
      </c>
      <c r="G590" s="50" t="s">
        <v>13</v>
      </c>
      <c r="H590" s="54" t="s">
        <v>74</v>
      </c>
      <c r="I590" s="54" t="s">
        <v>18</v>
      </c>
      <c r="J590" s="55">
        <v>50.0</v>
      </c>
      <c r="K590" s="56">
        <v>833.0</v>
      </c>
      <c r="L590" s="57">
        <v>-2100.0</v>
      </c>
      <c r="M590" s="58">
        <v>2244.0</v>
      </c>
      <c r="N590" s="33">
        <f t="shared" si="13"/>
        <v>41650</v>
      </c>
      <c r="O590" s="59">
        <v>14675.0</v>
      </c>
      <c r="P590" s="34">
        <f t="shared" si="14"/>
        <v>17.61704682</v>
      </c>
      <c r="Q590" s="60"/>
      <c r="R590" s="36">
        <f t="shared" si="99"/>
        <v>2244</v>
      </c>
      <c r="S590" s="61">
        <v>-868.0</v>
      </c>
      <c r="T590" s="37">
        <f t="shared" si="100"/>
        <v>1376</v>
      </c>
      <c r="U590" s="62">
        <v>1.0</v>
      </c>
      <c r="V590" s="63"/>
      <c r="W590" s="63"/>
      <c r="X590" s="35">
        <f t="shared" si="122"/>
        <v>0.15</v>
      </c>
      <c r="Y590" s="35">
        <f t="shared" si="123"/>
        <v>0</v>
      </c>
      <c r="Z590" s="40">
        <f t="shared" si="120"/>
        <v>1170</v>
      </c>
      <c r="AA590" s="65">
        <v>206.0</v>
      </c>
      <c r="AB590" s="41">
        <f t="shared" si="109"/>
        <v>0</v>
      </c>
      <c r="AC590" s="42" t="b">
        <v>1</v>
      </c>
      <c r="AD590" s="66" t="s">
        <v>138</v>
      </c>
      <c r="AE590" s="88" t="s">
        <v>138</v>
      </c>
      <c r="AF590" s="42" t="str">
        <f t="array" ref="AF590">INDEX('Deal Info'!D:D, MATCH(A590,'Deal Info'!A:A, 0))</f>
        <v>Fix15</v>
      </c>
      <c r="AG590" s="43" t="str">
        <f t="array" ref="AG590">INDEX('Deal Info'!G:G, MATCH(A590,'Deal Info'!A:A, 0))</f>
        <v>None</v>
      </c>
    </row>
    <row r="591" hidden="1">
      <c r="A591" s="23" t="str">
        <f t="array" ref="A591">if(G591='Room Info'!$B$1, INDEX('Room Info'!$A$2:$A3446, MATCH(B591,'Room Info'!$B$2:$B3446, 0)),if(G591='Room Info'!$C$1, INDEX('Room Info'!$A$2:$A3446, MATCH(B591,'Room Info'!$C$2:$C3446, 0)),if(G591='Room Info'!$D$1, INDEX('Room Info'!$A$2:$A3446, MATCH(B591,'Room Info'!$D$2:$D3446, 0)),if(G591='Room Info'!$E$1, INDEX('Room Info'!$A$2:$A3446, MATCH(B591,'Room Info'!$E$2:$E3446, 0)),if(G591='Room Info'!$F$1, INDEX('Room Info'!$A$2:$A3446, MATCH(B591,'Room Info'!$F$2:$F3446, 0)),if(G591='Room Info'!$H$1, INDEX('Room Info'!$A$2:$A3446, MATCH(B591,'Room Info'!$H$2:$H3446, 0)),if(G591='Room Info'!$G$1, INDEX('Room Info'!$A$2:$A3446, MATCH(B591,'Room Info'!$G$2:$G3446, 0)))))))))</f>
        <v>fraum@rta</v>
      </c>
      <c r="B591" s="50" t="s">
        <v>181</v>
      </c>
      <c r="C591" s="51">
        <v>44621.0</v>
      </c>
      <c r="D591" s="51">
        <v>44651.0</v>
      </c>
      <c r="E591" s="52">
        <v>44621.0</v>
      </c>
      <c r="F591" s="53" t="s">
        <v>8</v>
      </c>
      <c r="G591" s="50" t="s">
        <v>13</v>
      </c>
      <c r="H591" s="54" t="s">
        <v>85</v>
      </c>
      <c r="I591" s="54" t="s">
        <v>18</v>
      </c>
      <c r="J591" s="55">
        <v>100.0</v>
      </c>
      <c r="K591" s="56">
        <v>5933.0</v>
      </c>
      <c r="L591" s="57">
        <v>-20500.0</v>
      </c>
      <c r="M591" s="58">
        <v>31962.0</v>
      </c>
      <c r="N591" s="33">
        <f t="shared" si="13"/>
        <v>593300</v>
      </c>
      <c r="O591" s="59">
        <v>64837.0</v>
      </c>
      <c r="P591" s="34">
        <f t="shared" si="14"/>
        <v>10.92819821</v>
      </c>
      <c r="Q591" s="60"/>
      <c r="R591" s="36">
        <f t="shared" si="99"/>
        <v>31962</v>
      </c>
      <c r="S591" s="61">
        <v>-24996.0</v>
      </c>
      <c r="T591" s="37">
        <f t="shared" si="100"/>
        <v>6966</v>
      </c>
      <c r="U591" s="62">
        <v>1.0</v>
      </c>
      <c r="V591" s="63"/>
      <c r="W591" s="63"/>
      <c r="X591" s="35">
        <f t="shared" si="122"/>
        <v>0.15</v>
      </c>
      <c r="Y591" s="35">
        <f t="shared" si="123"/>
        <v>0</v>
      </c>
      <c r="Z591" s="40">
        <f t="shared" si="120"/>
        <v>5921</v>
      </c>
      <c r="AA591" s="65">
        <v>1045.0</v>
      </c>
      <c r="AB591" s="41">
        <f t="shared" si="109"/>
        <v>0</v>
      </c>
      <c r="AC591" s="42" t="b">
        <v>1</v>
      </c>
      <c r="AD591" s="66" t="s">
        <v>138</v>
      </c>
      <c r="AE591" s="88" t="s">
        <v>138</v>
      </c>
      <c r="AF591" s="42" t="str">
        <f t="array" ref="AF591">INDEX('Deal Info'!D:D, MATCH(A591,'Deal Info'!A:A, 0))</f>
        <v>Fix15</v>
      </c>
      <c r="AG591" s="43" t="str">
        <f t="array" ref="AG591">INDEX('Deal Info'!G:G, MATCH(A591,'Deal Info'!A:A, 0))</f>
        <v>None</v>
      </c>
    </row>
    <row r="592" hidden="1">
      <c r="A592" s="23" t="str">
        <f t="array" ref="A592">if(G592='Room Info'!$B$1, INDEX('Room Info'!$A$2:$A3446, MATCH(B592,'Room Info'!$B$2:$B3446, 0)),if(G592='Room Info'!$C$1, INDEX('Room Info'!$A$2:$A3446, MATCH(B592,'Room Info'!$C$2:$C3446, 0)),if(G592='Room Info'!$D$1, INDEX('Room Info'!$A$2:$A3446, MATCH(B592,'Room Info'!$D$2:$D3446, 0)),if(G592='Room Info'!$E$1, INDEX('Room Info'!$A$2:$A3446, MATCH(B592,'Room Info'!$E$2:$E3446, 0)),if(G592='Room Info'!$F$1, INDEX('Room Info'!$A$2:$A3446, MATCH(B592,'Room Info'!$F$2:$F3446, 0)),if(G592='Room Info'!$H$1, INDEX('Room Info'!$A$2:$A3446, MATCH(B592,'Room Info'!$H$2:$H3446, 0)),if(G592='Room Info'!$G$1, INDEX('Room Info'!$A$2:$A3446, MATCH(B592,'Room Info'!$G$2:$G3446, 0)))))))))</f>
        <v>fraum@rta</v>
      </c>
      <c r="B592" s="50" t="s">
        <v>181</v>
      </c>
      <c r="C592" s="51">
        <v>44652.0</v>
      </c>
      <c r="D592" s="51">
        <v>44681.0</v>
      </c>
      <c r="E592" s="52">
        <v>44652.0</v>
      </c>
      <c r="F592" s="53" t="s">
        <v>8</v>
      </c>
      <c r="G592" s="50" t="s">
        <v>13</v>
      </c>
      <c r="H592" s="54" t="s">
        <v>85</v>
      </c>
      <c r="I592" s="54" t="s">
        <v>18</v>
      </c>
      <c r="J592" s="55">
        <v>100.0</v>
      </c>
      <c r="K592" s="56">
        <v>14189.0</v>
      </c>
      <c r="L592" s="57">
        <v>-70000.0</v>
      </c>
      <c r="M592" s="58">
        <v>73254.0</v>
      </c>
      <c r="N592" s="33">
        <f t="shared" si="13"/>
        <v>1418900</v>
      </c>
      <c r="O592" s="59">
        <v>159427.0</v>
      </c>
      <c r="P592" s="34">
        <f t="shared" si="14"/>
        <v>11.23595743</v>
      </c>
      <c r="Q592" s="60"/>
      <c r="R592" s="36">
        <f t="shared" si="99"/>
        <v>73254</v>
      </c>
      <c r="S592" s="61">
        <v>-59790.0</v>
      </c>
      <c r="T592" s="37">
        <f t="shared" si="100"/>
        <v>13464</v>
      </c>
      <c r="U592" s="62">
        <v>1.0</v>
      </c>
      <c r="V592" s="63"/>
      <c r="W592" s="63"/>
      <c r="X592" s="35">
        <f t="shared" si="122"/>
        <v>0.15</v>
      </c>
      <c r="Y592" s="35">
        <f t="shared" si="123"/>
        <v>0</v>
      </c>
      <c r="Z592" s="40">
        <f t="shared" si="120"/>
        <v>11444</v>
      </c>
      <c r="AA592" s="65">
        <v>2020.0</v>
      </c>
      <c r="AB592" s="41">
        <f t="shared" si="109"/>
        <v>0</v>
      </c>
      <c r="AC592" s="42" t="b">
        <v>1</v>
      </c>
      <c r="AD592" s="66" t="s">
        <v>138</v>
      </c>
      <c r="AE592" s="88" t="s">
        <v>138</v>
      </c>
      <c r="AF592" s="42" t="str">
        <f t="array" ref="AF592">INDEX('Deal Info'!D:D, MATCH(A592,'Deal Info'!A:A, 0))</f>
        <v>Fix15</v>
      </c>
      <c r="AG592" s="43" t="str">
        <f t="array" ref="AG592">INDEX('Deal Info'!G:G, MATCH(A592,'Deal Info'!A:A, 0))</f>
        <v>None</v>
      </c>
    </row>
    <row r="593" hidden="1">
      <c r="A593" s="23" t="str">
        <f t="array" ref="A593">if(G593='Room Info'!$B$1, INDEX('Room Info'!$A$2:$A3446, MATCH(B593,'Room Info'!$B$2:$B3446, 0)),if(G593='Room Info'!$C$1, INDEX('Room Info'!$A$2:$A3446, MATCH(B593,'Room Info'!$C$2:$C3446, 0)),if(G593='Room Info'!$D$1, INDEX('Room Info'!$A$2:$A3446, MATCH(B593,'Room Info'!$D$2:$D3446, 0)),if(G593='Room Info'!$E$1, INDEX('Room Info'!$A$2:$A3446, MATCH(B593,'Room Info'!$E$2:$E3446, 0)),if(G593='Room Info'!$F$1, INDEX('Room Info'!$A$2:$A3446, MATCH(B593,'Room Info'!$F$2:$F3446, 0)),if(G593='Room Info'!$H$1, INDEX('Room Info'!$A$2:$A3446, MATCH(B593,'Room Info'!$H$2:$H3446, 0)),if(G593='Room Info'!$G$1, INDEX('Room Info'!$A$2:$A3446, MATCH(B593,'Room Info'!$G$2:$G3446, 0)))))))))</f>
        <v>fraum@rta</v>
      </c>
      <c r="B593" s="59" t="s">
        <v>181</v>
      </c>
      <c r="C593" s="51">
        <v>44652.0</v>
      </c>
      <c r="D593" s="51">
        <v>44681.0</v>
      </c>
      <c r="E593" s="52">
        <v>44652.0</v>
      </c>
      <c r="F593" s="53" t="s">
        <v>12</v>
      </c>
      <c r="G593" s="59" t="s">
        <v>13</v>
      </c>
      <c r="H593" s="54" t="s">
        <v>93</v>
      </c>
      <c r="I593" s="54" t="s">
        <v>18</v>
      </c>
      <c r="J593" s="55">
        <v>200.0</v>
      </c>
      <c r="K593" s="56">
        <v>1129.0</v>
      </c>
      <c r="L593" s="57">
        <v>-26400.0</v>
      </c>
      <c r="M593" s="58">
        <v>11657.0</v>
      </c>
      <c r="N593" s="33">
        <f t="shared" si="13"/>
        <v>225800</v>
      </c>
      <c r="O593" s="59">
        <v>-141.0</v>
      </c>
      <c r="P593" s="34">
        <f t="shared" si="14"/>
        <v>-0.1248892826</v>
      </c>
      <c r="Q593" s="60"/>
      <c r="R593" s="36">
        <f t="shared" si="99"/>
        <v>11657</v>
      </c>
      <c r="S593" s="61"/>
      <c r="T593" s="37">
        <f t="shared" si="100"/>
        <v>-14743</v>
      </c>
      <c r="U593" s="62">
        <v>1.0</v>
      </c>
      <c r="V593" s="63"/>
      <c r="W593" s="63"/>
      <c r="X593" s="35">
        <f t="shared" si="122"/>
        <v>0.15</v>
      </c>
      <c r="Y593" s="35">
        <f t="shared" si="123"/>
        <v>0</v>
      </c>
      <c r="Z593" s="40">
        <f t="shared" si="120"/>
        <v>-12532</v>
      </c>
      <c r="AA593" s="65">
        <v>-2211.0</v>
      </c>
      <c r="AB593" s="41">
        <f t="shared" si="109"/>
        <v>0</v>
      </c>
      <c r="AC593" s="42" t="b">
        <v>1</v>
      </c>
      <c r="AD593" s="66" t="s">
        <v>138</v>
      </c>
      <c r="AE593" s="88" t="s">
        <v>138</v>
      </c>
      <c r="AF593" s="42" t="str">
        <f t="array" ref="AF593">INDEX('Deal Info'!D:D, MATCH(A593,'Deal Info'!A:A, 0))</f>
        <v>Fix15</v>
      </c>
      <c r="AG593" s="43" t="str">
        <f t="array" ref="AG593">INDEX('Deal Info'!G:G, MATCH(A593,'Deal Info'!A:A, 0))</f>
        <v>None</v>
      </c>
    </row>
    <row r="594" hidden="1">
      <c r="A594" s="23" t="str">
        <f t="array" ref="A594">if(G594='Room Info'!$B$1, INDEX('Room Info'!$A$2:$A3446, MATCH(B594,'Room Info'!$B$2:$B3446, 0)),if(G594='Room Info'!$C$1, INDEX('Room Info'!$A$2:$A3446, MATCH(B594,'Room Info'!$C$2:$C3446, 0)),if(G594='Room Info'!$D$1, INDEX('Room Info'!$A$2:$A3446, MATCH(B594,'Room Info'!$D$2:$D3446, 0)),if(G594='Room Info'!$E$1, INDEX('Room Info'!$A$2:$A3446, MATCH(B594,'Room Info'!$E$2:$E3446, 0)),if(G594='Room Info'!$F$1, INDEX('Room Info'!$A$2:$A3446, MATCH(B594,'Room Info'!$F$2:$F3446, 0)),if(G594='Room Info'!$H$1, INDEX('Room Info'!$A$2:$A3446, MATCH(B594,'Room Info'!$H$2:$H3446, 0)),if(G594='Room Info'!$G$1, INDEX('Room Info'!$A$2:$A3446, MATCH(B594,'Room Info'!$G$2:$G3446, 0)))))))))</f>
        <v>fraum@rta</v>
      </c>
      <c r="B594" s="50" t="s">
        <v>181</v>
      </c>
      <c r="C594" s="51">
        <v>44682.0</v>
      </c>
      <c r="D594" s="51">
        <v>44712.0</v>
      </c>
      <c r="E594" s="52">
        <v>44682.0</v>
      </c>
      <c r="F594" s="50" t="s">
        <v>12</v>
      </c>
      <c r="G594" s="59" t="s">
        <v>13</v>
      </c>
      <c r="H594" s="54" t="s">
        <v>93</v>
      </c>
      <c r="I594" s="54" t="s">
        <v>18</v>
      </c>
      <c r="J594" s="55">
        <v>200.0</v>
      </c>
      <c r="K594" s="56">
        <v>1728.0</v>
      </c>
      <c r="L594" s="57">
        <v>-29600.0</v>
      </c>
      <c r="M594" s="58">
        <v>20700.0</v>
      </c>
      <c r="N594" s="33">
        <f t="shared" si="13"/>
        <v>345600</v>
      </c>
      <c r="O594" s="59">
        <v>2916.0</v>
      </c>
      <c r="P594" s="34">
        <f t="shared" si="14"/>
        <v>1.6875</v>
      </c>
      <c r="Q594" s="60"/>
      <c r="R594" s="36">
        <f t="shared" si="99"/>
        <v>20700</v>
      </c>
      <c r="S594" s="61"/>
      <c r="T594" s="37">
        <f t="shared" si="100"/>
        <v>-8900</v>
      </c>
      <c r="U594" s="62">
        <v>1.0</v>
      </c>
      <c r="V594" s="63"/>
      <c r="W594" s="63"/>
      <c r="X594" s="35">
        <f t="shared" si="122"/>
        <v>0.15</v>
      </c>
      <c r="Y594" s="35">
        <f t="shared" si="123"/>
        <v>0</v>
      </c>
      <c r="Z594" s="40">
        <f t="shared" si="120"/>
        <v>-7565</v>
      </c>
      <c r="AA594" s="65">
        <v>-1335.0</v>
      </c>
      <c r="AB594" s="41">
        <f t="shared" si="109"/>
        <v>0</v>
      </c>
      <c r="AC594" s="42" t="b">
        <v>1</v>
      </c>
      <c r="AD594" s="66" t="s">
        <v>138</v>
      </c>
      <c r="AE594" s="88" t="s">
        <v>138</v>
      </c>
      <c r="AF594" s="42" t="str">
        <f t="array" ref="AF594">INDEX('Deal Info'!D:D, MATCH(A594,'Deal Info'!A:A, 0))</f>
        <v>Fix15</v>
      </c>
      <c r="AG594" s="43" t="str">
        <f t="array" ref="AG594">INDEX('Deal Info'!G:G, MATCH(A594,'Deal Info'!A:A, 0))</f>
        <v>None</v>
      </c>
    </row>
    <row r="595" hidden="1">
      <c r="A595" s="23" t="str">
        <f t="array" ref="A595">if(G595='Room Info'!$B$1, INDEX('Room Info'!$A$2:$A3446, MATCH(B595,'Room Info'!$B$2:$B3446, 0)),if(G595='Room Info'!$C$1, INDEX('Room Info'!$A$2:$A3446, MATCH(B595,'Room Info'!$C$2:$C3446, 0)),if(G595='Room Info'!$D$1, INDEX('Room Info'!$A$2:$A3446, MATCH(B595,'Room Info'!$D$2:$D3446, 0)),if(G595='Room Info'!$E$1, INDEX('Room Info'!$A$2:$A3446, MATCH(B595,'Room Info'!$E$2:$E3446, 0)),if(G595='Room Info'!$F$1, INDEX('Room Info'!$A$2:$A3446, MATCH(B595,'Room Info'!$F$2:$F3446, 0)),if(G595='Room Info'!$H$1, INDEX('Room Info'!$A$2:$A3446, MATCH(B595,'Room Info'!$H$2:$H3446, 0)),if(G595='Room Info'!$G$1, INDEX('Room Info'!$A$2:$A3446, MATCH(B595,'Room Info'!$G$2:$G3446, 0)))))))))</f>
        <v>fraum@rta</v>
      </c>
      <c r="B595" s="59" t="s">
        <v>181</v>
      </c>
      <c r="C595" s="51">
        <v>44682.0</v>
      </c>
      <c r="D595" s="51">
        <v>44712.0</v>
      </c>
      <c r="E595" s="52">
        <v>44682.0</v>
      </c>
      <c r="F595" s="50" t="s">
        <v>8</v>
      </c>
      <c r="G595" s="59" t="s">
        <v>13</v>
      </c>
      <c r="H595" s="54" t="s">
        <v>85</v>
      </c>
      <c r="I595" s="54" t="s">
        <v>18</v>
      </c>
      <c r="J595" s="55">
        <v>100.0</v>
      </c>
      <c r="K595" s="56">
        <v>9178.0</v>
      </c>
      <c r="L595" s="57">
        <v>-65500.0</v>
      </c>
      <c r="M595" s="58">
        <v>54972.0</v>
      </c>
      <c r="N595" s="33">
        <f t="shared" si="13"/>
        <v>917800</v>
      </c>
      <c r="O595" s="59">
        <v>61200.0</v>
      </c>
      <c r="P595" s="34">
        <f t="shared" si="14"/>
        <v>6.668119416</v>
      </c>
      <c r="Q595" s="60"/>
      <c r="R595" s="36">
        <f t="shared" si="99"/>
        <v>54972</v>
      </c>
      <c r="S595" s="61">
        <v>-50820.0</v>
      </c>
      <c r="T595" s="37">
        <f t="shared" si="100"/>
        <v>4152</v>
      </c>
      <c r="U595" s="62">
        <v>1.0</v>
      </c>
      <c r="V595" s="63"/>
      <c r="W595" s="63"/>
      <c r="X595" s="35">
        <f t="shared" si="122"/>
        <v>0.15</v>
      </c>
      <c r="Y595" s="35">
        <f t="shared" si="123"/>
        <v>0</v>
      </c>
      <c r="Z595" s="40">
        <f t="shared" si="120"/>
        <v>3529</v>
      </c>
      <c r="AA595" s="65">
        <v>623.0</v>
      </c>
      <c r="AB595" s="41">
        <f t="shared" si="109"/>
        <v>0</v>
      </c>
      <c r="AC595" s="42" t="b">
        <v>1</v>
      </c>
      <c r="AD595" s="66" t="s">
        <v>138</v>
      </c>
      <c r="AE595" s="88" t="s">
        <v>138</v>
      </c>
      <c r="AF595" s="42" t="str">
        <f t="array" ref="AF595">INDEX('Deal Info'!D:D, MATCH(A595,'Deal Info'!A:A, 0))</f>
        <v>Fix15</v>
      </c>
      <c r="AG595" s="43" t="str">
        <f t="array" ref="AG595">INDEX('Deal Info'!G:G, MATCH(A595,'Deal Info'!A:A, 0))</f>
        <v>None</v>
      </c>
    </row>
    <row r="596" hidden="1">
      <c r="A596" s="23" t="str">
        <f t="array" ref="A596">if(G596='Room Info'!$B$1, INDEX('Room Info'!$A$2:$A3446, MATCH(B596,'Room Info'!$B$2:$B3446, 0)),if(G596='Room Info'!$C$1, INDEX('Room Info'!$A$2:$A3446, MATCH(B596,'Room Info'!$C$2:$C3446, 0)),if(G596='Room Info'!$D$1, INDEX('Room Info'!$A$2:$A3446, MATCH(B596,'Room Info'!$D$2:$D3446, 0)),if(G596='Room Info'!$E$1, INDEX('Room Info'!$A$2:$A3446, MATCH(B596,'Room Info'!$E$2:$E3446, 0)),if(G596='Room Info'!$F$1, INDEX('Room Info'!$A$2:$A3446, MATCH(B596,'Room Info'!$F$2:$F3446, 0)),if(G596='Room Info'!$H$1, INDEX('Room Info'!$A$2:$A3446, MATCH(B596,'Room Info'!$H$2:$H3446, 0)),if(G596='Room Info'!$G$1, INDEX('Room Info'!$A$2:$A3446, MATCH(B596,'Room Info'!$G$2:$G3446, 0)))))))))</f>
        <v>fraum@rta</v>
      </c>
      <c r="B596" s="50" t="s">
        <v>181</v>
      </c>
      <c r="C596" s="51">
        <v>44713.0</v>
      </c>
      <c r="D596" s="51">
        <v>44742.0</v>
      </c>
      <c r="E596" s="52">
        <v>44713.0</v>
      </c>
      <c r="F596" s="53" t="s">
        <v>8</v>
      </c>
      <c r="G596" s="50" t="s">
        <v>13</v>
      </c>
      <c r="H596" s="54" t="s">
        <v>85</v>
      </c>
      <c r="I596" s="54" t="s">
        <v>18</v>
      </c>
      <c r="J596" s="55">
        <v>100.0</v>
      </c>
      <c r="K596" s="56">
        <v>8918.0</v>
      </c>
      <c r="L596" s="57">
        <v>-83600.0</v>
      </c>
      <c r="M596" s="58">
        <v>50585.0</v>
      </c>
      <c r="N596" s="33">
        <f t="shared" si="13"/>
        <v>891800</v>
      </c>
      <c r="O596" s="59">
        <v>45269.0</v>
      </c>
      <c r="P596" s="34">
        <f t="shared" si="14"/>
        <v>5.076138148</v>
      </c>
      <c r="Q596" s="60"/>
      <c r="R596" s="36">
        <f t="shared" si="99"/>
        <v>50585</v>
      </c>
      <c r="S596" s="61">
        <v>-58650.0</v>
      </c>
      <c r="T596" s="37">
        <f t="shared" si="100"/>
        <v>-8065</v>
      </c>
      <c r="U596" s="62">
        <v>1.0</v>
      </c>
      <c r="V596" s="63"/>
      <c r="W596" s="63"/>
      <c r="X596" s="35">
        <f t="shared" si="122"/>
        <v>0.15</v>
      </c>
      <c r="Y596" s="35">
        <f t="shared" si="123"/>
        <v>0</v>
      </c>
      <c r="Z596" s="40">
        <f t="shared" si="120"/>
        <v>-6855</v>
      </c>
      <c r="AA596" s="65">
        <v>-1210.0</v>
      </c>
      <c r="AB596" s="41">
        <f t="shared" si="109"/>
        <v>0</v>
      </c>
      <c r="AC596" s="42" t="b">
        <v>1</v>
      </c>
      <c r="AD596" s="66" t="s">
        <v>138</v>
      </c>
      <c r="AE596" s="88" t="s">
        <v>138</v>
      </c>
      <c r="AF596" s="42" t="str">
        <f t="array" ref="AF596">INDEX('Deal Info'!D:D, MATCH(A596,'Deal Info'!A:A, 0))</f>
        <v>Fix15</v>
      </c>
      <c r="AG596" s="43" t="str">
        <f t="array" ref="AG596">INDEX('Deal Info'!G:G, MATCH(A596,'Deal Info'!A:A, 0))</f>
        <v>None</v>
      </c>
    </row>
    <row r="597" hidden="1">
      <c r="A597" s="23" t="str">
        <f t="array" ref="A597">if(G597='Room Info'!$B$1, INDEX('Room Info'!$A$2:$A3446, MATCH(B597,'Room Info'!$B$2:$B3446, 0)),if(G597='Room Info'!$C$1, INDEX('Room Info'!$A$2:$A3446, MATCH(B597,'Room Info'!$C$2:$C3446, 0)),if(G597='Room Info'!$D$1, INDEX('Room Info'!$A$2:$A3446, MATCH(B597,'Room Info'!$D$2:$D3446, 0)),if(G597='Room Info'!$E$1, INDEX('Room Info'!$A$2:$A3446, MATCH(B597,'Room Info'!$E$2:$E3446, 0)),if(G597='Room Info'!$F$1, INDEX('Room Info'!$A$2:$A3446, MATCH(B597,'Room Info'!$F$2:$F3446, 0)),if(G597='Room Info'!$H$1, INDEX('Room Info'!$A$2:$A3446, MATCH(B597,'Room Info'!$H$2:$H3446, 0)),if(G597='Room Info'!$G$1, INDEX('Room Info'!$A$2:$A3446, MATCH(B597,'Room Info'!$G$2:$G3446, 0)))))))))</f>
        <v>fraum@rta</v>
      </c>
      <c r="B597" s="50" t="s">
        <v>181</v>
      </c>
      <c r="C597" s="51">
        <v>44713.0</v>
      </c>
      <c r="D597" s="51">
        <v>44742.0</v>
      </c>
      <c r="E597" s="52">
        <v>44713.0</v>
      </c>
      <c r="F597" s="53" t="s">
        <v>12</v>
      </c>
      <c r="G597" s="50" t="s">
        <v>13</v>
      </c>
      <c r="H597" s="54" t="s">
        <v>93</v>
      </c>
      <c r="I597" s="54" t="s">
        <v>18</v>
      </c>
      <c r="J597" s="55">
        <v>200.0</v>
      </c>
      <c r="K597" s="56">
        <v>217.0</v>
      </c>
      <c r="L597" s="57">
        <v>-3200.0</v>
      </c>
      <c r="M597" s="58">
        <v>2462.0</v>
      </c>
      <c r="N597" s="33">
        <f t="shared" si="13"/>
        <v>43400</v>
      </c>
      <c r="O597" s="59">
        <v>-767.0</v>
      </c>
      <c r="P597" s="34">
        <f t="shared" si="14"/>
        <v>-3.534562212</v>
      </c>
      <c r="Q597" s="60"/>
      <c r="R597" s="36">
        <f t="shared" si="99"/>
        <v>2462</v>
      </c>
      <c r="S597" s="61"/>
      <c r="T597" s="37">
        <f t="shared" si="100"/>
        <v>-738</v>
      </c>
      <c r="U597" s="62">
        <v>1.0</v>
      </c>
      <c r="V597" s="63"/>
      <c r="W597" s="63"/>
      <c r="X597" s="35">
        <f t="shared" si="122"/>
        <v>0.15</v>
      </c>
      <c r="Y597" s="35">
        <f t="shared" si="123"/>
        <v>0</v>
      </c>
      <c r="Z597" s="40">
        <f t="shared" si="120"/>
        <v>-627</v>
      </c>
      <c r="AA597" s="65">
        <v>-111.0</v>
      </c>
      <c r="AB597" s="41">
        <f t="shared" si="109"/>
        <v>0</v>
      </c>
      <c r="AC597" s="42" t="b">
        <v>1</v>
      </c>
      <c r="AD597" s="66" t="s">
        <v>138</v>
      </c>
      <c r="AE597" s="88" t="s">
        <v>138</v>
      </c>
      <c r="AF597" s="42" t="str">
        <f t="array" ref="AF597">INDEX('Deal Info'!D:D, MATCH(A597,'Deal Info'!A:A, 0))</f>
        <v>Fix15</v>
      </c>
      <c r="AG597" s="43" t="str">
        <f t="array" ref="AG597">INDEX('Deal Info'!G:G, MATCH(A597,'Deal Info'!A:A, 0))</f>
        <v>None</v>
      </c>
    </row>
    <row r="598" hidden="1">
      <c r="A598" s="23" t="str">
        <f t="array" ref="A598">if(G598='Room Info'!$B$1, INDEX('Room Info'!$A$2:$A3446, MATCH(B598,'Room Info'!$B$2:$B3446, 0)),if(G598='Room Info'!$C$1, INDEX('Room Info'!$A$2:$A3446, MATCH(B598,'Room Info'!$C$2:$C3446, 0)),if(G598='Room Info'!$D$1, INDEX('Room Info'!$A$2:$A3446, MATCH(B598,'Room Info'!$D$2:$D3446, 0)),if(G598='Room Info'!$E$1, INDEX('Room Info'!$A$2:$A3446, MATCH(B598,'Room Info'!$E$2:$E3446, 0)),if(G598='Room Info'!$F$1, INDEX('Room Info'!$A$2:$A3446, MATCH(B598,'Room Info'!$F$2:$F3446, 0)),if(G598='Room Info'!$H$1, INDEX('Room Info'!$A$2:$A3446, MATCH(B598,'Room Info'!$H$2:$H3446, 0)),if(G598='Room Info'!$G$1, INDEX('Room Info'!$A$2:$A3446, MATCH(B598,'Room Info'!$G$2:$G3446, 0)))))))))</f>
        <v>fraum@rta</v>
      </c>
      <c r="B598" s="50" t="s">
        <v>181</v>
      </c>
      <c r="C598" s="51">
        <v>44743.0</v>
      </c>
      <c r="D598" s="51">
        <v>44773.0</v>
      </c>
      <c r="E598" s="52">
        <v>44743.0</v>
      </c>
      <c r="F598" s="53" t="s">
        <v>8</v>
      </c>
      <c r="G598" s="50" t="s">
        <v>13</v>
      </c>
      <c r="H598" s="54" t="s">
        <v>85</v>
      </c>
      <c r="I598" s="54" t="s">
        <v>18</v>
      </c>
      <c r="J598" s="55">
        <v>100.0</v>
      </c>
      <c r="K598" s="56">
        <v>4314.0</v>
      </c>
      <c r="L598" s="57">
        <v>-16100.0</v>
      </c>
      <c r="M598" s="58">
        <v>23419.0</v>
      </c>
      <c r="N598" s="33">
        <f t="shared" si="13"/>
        <v>431400</v>
      </c>
      <c r="O598" s="59">
        <v>29721.0</v>
      </c>
      <c r="P598" s="34">
        <f t="shared" si="14"/>
        <v>6.889429764</v>
      </c>
      <c r="Q598" s="60"/>
      <c r="R598" s="36">
        <f t="shared" si="99"/>
        <v>23419</v>
      </c>
      <c r="S598" s="61">
        <v>-22613.0</v>
      </c>
      <c r="T598" s="37">
        <f t="shared" si="100"/>
        <v>806</v>
      </c>
      <c r="U598" s="62">
        <v>1.0</v>
      </c>
      <c r="V598" s="63"/>
      <c r="W598" s="63"/>
      <c r="X598" s="35">
        <f t="shared" si="122"/>
        <v>0.15</v>
      </c>
      <c r="Y598" s="35">
        <f t="shared" si="123"/>
        <v>0</v>
      </c>
      <c r="Z598" s="40">
        <f t="shared" si="120"/>
        <v>685</v>
      </c>
      <c r="AA598" s="65">
        <v>121.0</v>
      </c>
      <c r="AB598" s="41">
        <f t="shared" si="109"/>
        <v>0</v>
      </c>
      <c r="AC598" s="42" t="b">
        <v>1</v>
      </c>
      <c r="AD598" s="66" t="s">
        <v>138</v>
      </c>
      <c r="AE598" s="88" t="s">
        <v>138</v>
      </c>
      <c r="AF598" s="42" t="str">
        <f t="array" ref="AF598">INDEX('Deal Info'!D:D, MATCH(A598,'Deal Info'!A:A, 0))</f>
        <v>Fix15</v>
      </c>
      <c r="AG598" s="43" t="str">
        <f t="array" ref="AG598">INDEX('Deal Info'!G:G, MATCH(A598,'Deal Info'!A:A, 0))</f>
        <v>None</v>
      </c>
    </row>
    <row r="599" hidden="1">
      <c r="A599" s="23" t="str">
        <f t="array" ref="A599">if(G599='Room Info'!$B$1, INDEX('Room Info'!$A$2:$A3446, MATCH(B599,'Room Info'!$B$2:$B3446, 0)),if(G599='Room Info'!$C$1, INDEX('Room Info'!$A$2:$A3446, MATCH(B599,'Room Info'!$C$2:$C3446, 0)),if(G599='Room Info'!$D$1, INDEX('Room Info'!$A$2:$A3446, MATCH(B599,'Room Info'!$D$2:$D3446, 0)),if(G599='Room Info'!$E$1, INDEX('Room Info'!$A$2:$A3446, MATCH(B599,'Room Info'!$E$2:$E3446, 0)),if(G599='Room Info'!$F$1, INDEX('Room Info'!$A$2:$A3446, MATCH(B599,'Room Info'!$F$2:$F3446, 0)),if(G599='Room Info'!$H$1, INDEX('Room Info'!$A$2:$A3446, MATCH(B599,'Room Info'!$H$2:$H3446, 0)),if(G599='Room Info'!$G$1, INDEX('Room Info'!$A$2:$A3446, MATCH(B599,'Room Info'!$G$2:$G3446, 0)))))))))</f>
        <v>fraum@rta</v>
      </c>
      <c r="B599" s="50" t="s">
        <v>181</v>
      </c>
      <c r="C599" s="51">
        <v>44774.0</v>
      </c>
      <c r="D599" s="51">
        <v>44804.0</v>
      </c>
      <c r="E599" s="52">
        <v>44774.0</v>
      </c>
      <c r="F599" s="53" t="s">
        <v>8</v>
      </c>
      <c r="G599" s="50" t="s">
        <v>13</v>
      </c>
      <c r="H599" s="54" t="s">
        <v>85</v>
      </c>
      <c r="I599" s="54" t="s">
        <v>18</v>
      </c>
      <c r="J599" s="55">
        <v>100.0</v>
      </c>
      <c r="K599" s="56">
        <v>6021.0</v>
      </c>
      <c r="L599" s="57">
        <v>-21100.0</v>
      </c>
      <c r="M599" s="58">
        <v>33023.0</v>
      </c>
      <c r="N599" s="33">
        <f t="shared" si="13"/>
        <v>602100</v>
      </c>
      <c r="O599" s="59">
        <v>79909.0</v>
      </c>
      <c r="P599" s="34">
        <f t="shared" si="14"/>
        <v>13.27171566</v>
      </c>
      <c r="Q599" s="60"/>
      <c r="R599" s="36">
        <f t="shared" si="99"/>
        <v>33023</v>
      </c>
      <c r="S599" s="61">
        <v>-22601.0</v>
      </c>
      <c r="T599" s="37">
        <f t="shared" si="100"/>
        <v>10422</v>
      </c>
      <c r="U599" s="62">
        <v>1.0</v>
      </c>
      <c r="V599" s="63"/>
      <c r="W599" s="63"/>
      <c r="X599" s="35">
        <f t="shared" si="122"/>
        <v>0.15</v>
      </c>
      <c r="Y599" s="35">
        <f t="shared" si="123"/>
        <v>0</v>
      </c>
      <c r="Z599" s="40">
        <f t="shared" si="120"/>
        <v>8859</v>
      </c>
      <c r="AA599" s="65">
        <v>1563.0</v>
      </c>
      <c r="AB599" s="41">
        <f t="shared" si="109"/>
        <v>0</v>
      </c>
      <c r="AC599" s="42" t="b">
        <v>1</v>
      </c>
      <c r="AD599" s="66" t="s">
        <v>138</v>
      </c>
      <c r="AE599" s="88" t="s">
        <v>138</v>
      </c>
      <c r="AF599" s="42" t="str">
        <f t="array" ref="AF599">INDEX('Deal Info'!D:D, MATCH(A599,'Deal Info'!A:A, 0))</f>
        <v>Fix15</v>
      </c>
      <c r="AG599" s="43" t="str">
        <f t="array" ref="AG599">INDEX('Deal Info'!G:G, MATCH(A599,'Deal Info'!A:A, 0))</f>
        <v>None</v>
      </c>
    </row>
    <row r="600" hidden="1">
      <c r="A600" s="23" t="str">
        <f t="array" ref="A600">if(G600='Room Info'!$B$1, INDEX('Room Info'!$A$2:$A3446, MATCH(B600,'Room Info'!$B$2:$B3446, 0)),if(G600='Room Info'!$C$1, INDEX('Room Info'!$A$2:$A3446, MATCH(B600,'Room Info'!$C$2:$C3446, 0)),if(G600='Room Info'!$D$1, INDEX('Room Info'!$A$2:$A3446, MATCH(B600,'Room Info'!$D$2:$D3446, 0)),if(G600='Room Info'!$E$1, INDEX('Room Info'!$A$2:$A3446, MATCH(B600,'Room Info'!$E$2:$E3446, 0)),if(G600='Room Info'!$F$1, INDEX('Room Info'!$A$2:$A3446, MATCH(B600,'Room Info'!$F$2:$F3446, 0)),if(G600='Room Info'!$H$1, INDEX('Room Info'!$A$2:$A3446, MATCH(B600,'Room Info'!$H$2:$H3446, 0)),if(G600='Room Info'!$G$1, INDEX('Room Info'!$A$2:$A3446, MATCH(B600,'Room Info'!$G$2:$G3446, 0)))))))))</f>
        <v>fraum@rta</v>
      </c>
      <c r="B600" s="50" t="s">
        <v>181</v>
      </c>
      <c r="C600" s="51">
        <v>44805.0</v>
      </c>
      <c r="D600" s="51">
        <v>44834.0</v>
      </c>
      <c r="E600" s="52">
        <v>44805.0</v>
      </c>
      <c r="F600" s="53" t="s">
        <v>8</v>
      </c>
      <c r="G600" s="50" t="s">
        <v>13</v>
      </c>
      <c r="H600" s="54" t="s">
        <v>85</v>
      </c>
      <c r="I600" s="54" t="s">
        <v>18</v>
      </c>
      <c r="J600" s="55">
        <v>100.0</v>
      </c>
      <c r="K600" s="56">
        <v>1704.0</v>
      </c>
      <c r="L600" s="57">
        <v>-10700.0</v>
      </c>
      <c r="M600" s="58">
        <v>6277.0</v>
      </c>
      <c r="N600" s="33">
        <f t="shared" si="13"/>
        <v>170400</v>
      </c>
      <c r="O600" s="59">
        <v>-711.0</v>
      </c>
      <c r="P600" s="34">
        <f t="shared" si="14"/>
        <v>-0.4172535211</v>
      </c>
      <c r="Q600" s="60"/>
      <c r="R600" s="36">
        <f t="shared" si="99"/>
        <v>6277</v>
      </c>
      <c r="S600" s="61">
        <v>-11796.0</v>
      </c>
      <c r="T600" s="37">
        <f t="shared" si="100"/>
        <v>-5519</v>
      </c>
      <c r="U600" s="62">
        <v>1.0</v>
      </c>
      <c r="V600" s="63"/>
      <c r="W600" s="63"/>
      <c r="X600" s="35">
        <f t="shared" si="122"/>
        <v>0.15</v>
      </c>
      <c r="Y600" s="35">
        <f t="shared" si="123"/>
        <v>0</v>
      </c>
      <c r="Z600" s="40">
        <f t="shared" si="120"/>
        <v>-4691</v>
      </c>
      <c r="AA600" s="65">
        <v>-828.0</v>
      </c>
      <c r="AB600" s="41">
        <f t="shared" si="109"/>
        <v>0</v>
      </c>
      <c r="AC600" s="42" t="b">
        <v>1</v>
      </c>
      <c r="AD600" s="66" t="s">
        <v>138</v>
      </c>
      <c r="AE600" s="88" t="s">
        <v>138</v>
      </c>
      <c r="AF600" s="42" t="str">
        <f t="array" ref="AF600">INDEX('Deal Info'!D:D, MATCH(A600,'Deal Info'!A:A, 0))</f>
        <v>Fix15</v>
      </c>
      <c r="AG600" s="43" t="str">
        <f t="array" ref="AG600">INDEX('Deal Info'!G:G, MATCH(A600,'Deal Info'!A:A, 0))</f>
        <v>None</v>
      </c>
    </row>
    <row r="601" hidden="1">
      <c r="A601" s="23" t="str">
        <f t="array" ref="A601">if(G601='Room Info'!$B$1, INDEX('Room Info'!$A$2:$A3446, MATCH(B601,'Room Info'!$B$2:$B3446, 0)),if(G601='Room Info'!$C$1, INDEX('Room Info'!$A$2:$A3446, MATCH(B601,'Room Info'!$C$2:$C3446, 0)),if(G601='Room Info'!$D$1, INDEX('Room Info'!$A$2:$A3446, MATCH(B601,'Room Info'!$D$2:$D3446, 0)),if(G601='Room Info'!$E$1, INDEX('Room Info'!$A$2:$A3446, MATCH(B601,'Room Info'!$E$2:$E3446, 0)),if(G601='Room Info'!$F$1, INDEX('Room Info'!$A$2:$A3446, MATCH(B601,'Room Info'!$F$2:$F3446, 0)),if(G601='Room Info'!$H$1, INDEX('Room Info'!$A$2:$A3446, MATCH(B601,'Room Info'!$H$2:$H3446, 0)),if(G601='Room Info'!$G$1, INDEX('Room Info'!$A$2:$A3446, MATCH(B601,'Room Info'!$G$2:$G3446, 0)))))))))</f>
        <v>fraum@rta</v>
      </c>
      <c r="B601" s="50" t="s">
        <v>181</v>
      </c>
      <c r="C601" s="51">
        <v>44835.0</v>
      </c>
      <c r="D601" s="51">
        <v>44865.0</v>
      </c>
      <c r="E601" s="52">
        <v>44835.0</v>
      </c>
      <c r="F601" s="53" t="s">
        <v>8</v>
      </c>
      <c r="G601" s="50" t="s">
        <v>13</v>
      </c>
      <c r="H601" s="54" t="s">
        <v>85</v>
      </c>
      <c r="I601" s="54" t="s">
        <v>18</v>
      </c>
      <c r="J601" s="55">
        <v>100.0</v>
      </c>
      <c r="K601" s="56">
        <v>8479.0</v>
      </c>
      <c r="L601" s="57">
        <v>-12900.0</v>
      </c>
      <c r="M601" s="58">
        <v>45061.0</v>
      </c>
      <c r="N601" s="33">
        <f t="shared" si="13"/>
        <v>847900</v>
      </c>
      <c r="O601" s="59">
        <v>94234.0</v>
      </c>
      <c r="P601" s="34">
        <f t="shared" si="14"/>
        <v>11.11381059</v>
      </c>
      <c r="Q601" s="60"/>
      <c r="R601" s="36">
        <f t="shared" si="99"/>
        <v>45061</v>
      </c>
      <c r="S601" s="61">
        <v>-40416.0</v>
      </c>
      <c r="T601" s="37">
        <f t="shared" si="100"/>
        <v>4645</v>
      </c>
      <c r="U601" s="62">
        <v>1.0</v>
      </c>
      <c r="V601" s="63"/>
      <c r="W601" s="63"/>
      <c r="X601" s="35">
        <f t="shared" si="122"/>
        <v>0.15</v>
      </c>
      <c r="Y601" s="35">
        <f t="shared" si="123"/>
        <v>0</v>
      </c>
      <c r="Z601" s="40">
        <f t="shared" si="120"/>
        <v>3948</v>
      </c>
      <c r="AA601" s="65">
        <v>697.0</v>
      </c>
      <c r="AB601" s="41">
        <f t="shared" si="109"/>
        <v>0</v>
      </c>
      <c r="AC601" s="42" t="b">
        <v>1</v>
      </c>
      <c r="AD601" s="66" t="s">
        <v>138</v>
      </c>
      <c r="AE601" s="88" t="s">
        <v>138</v>
      </c>
      <c r="AF601" s="42" t="str">
        <f t="array" ref="AF601">INDEX('Deal Info'!D:D, MATCH(A601,'Deal Info'!A:A, 0))</f>
        <v>Fix15</v>
      </c>
      <c r="AG601" s="43" t="str">
        <f t="array" ref="AG601">INDEX('Deal Info'!G:G, MATCH(A601,'Deal Info'!A:A, 0))</f>
        <v>None</v>
      </c>
    </row>
    <row r="602" hidden="1">
      <c r="A602" s="23" t="str">
        <f t="array" ref="A602">if(G602='Room Info'!$B$1, INDEX('Room Info'!$A$2:$A3446, MATCH(B602,'Room Info'!$B$2:$B3446, 0)),if(G602='Room Info'!$C$1, INDEX('Room Info'!$A$2:$A3446, MATCH(B602,'Room Info'!$C$2:$C3446, 0)),if(G602='Room Info'!$D$1, INDEX('Room Info'!$A$2:$A3446, MATCH(B602,'Room Info'!$D$2:$D3446, 0)),if(G602='Room Info'!$E$1, INDEX('Room Info'!$A$2:$A3446, MATCH(B602,'Room Info'!$E$2:$E3446, 0)),if(G602='Room Info'!$F$1, INDEX('Room Info'!$A$2:$A3446, MATCH(B602,'Room Info'!$F$2:$F3446, 0)),if(G602='Room Info'!$H$1, INDEX('Room Info'!$A$2:$A3446, MATCH(B602,'Room Info'!$H$2:$H3446, 0)),if(G602='Room Info'!$G$1, INDEX('Room Info'!$A$2:$A3446, MATCH(B602,'Room Info'!$G$2:$G3446, 0)))))))))</f>
        <v>fraum@rta</v>
      </c>
      <c r="B602" s="50" t="s">
        <v>181</v>
      </c>
      <c r="C602" s="51">
        <v>44835.0</v>
      </c>
      <c r="D602" s="51">
        <v>44865.0</v>
      </c>
      <c r="E602" s="52">
        <v>44835.0</v>
      </c>
      <c r="F602" s="53" t="s">
        <v>12</v>
      </c>
      <c r="G602" s="50" t="s">
        <v>13</v>
      </c>
      <c r="H602" s="54" t="s">
        <v>93</v>
      </c>
      <c r="I602" s="54" t="s">
        <v>18</v>
      </c>
      <c r="J602" s="55">
        <v>200.0</v>
      </c>
      <c r="K602" s="56">
        <v>28.0</v>
      </c>
      <c r="L602" s="57">
        <v>1400.0</v>
      </c>
      <c r="M602" s="58">
        <v>298.0</v>
      </c>
      <c r="N602" s="33">
        <f t="shared" si="13"/>
        <v>5600</v>
      </c>
      <c r="O602" s="59">
        <v>1416.0</v>
      </c>
      <c r="P602" s="34">
        <f t="shared" si="14"/>
        <v>50.57142857</v>
      </c>
      <c r="Q602" s="60"/>
      <c r="R602" s="36">
        <f t="shared" si="99"/>
        <v>298</v>
      </c>
      <c r="S602" s="61"/>
      <c r="T602" s="37">
        <f t="shared" si="100"/>
        <v>1698</v>
      </c>
      <c r="U602" s="62">
        <v>1.0</v>
      </c>
      <c r="V602" s="63"/>
      <c r="W602" s="63"/>
      <c r="X602" s="35">
        <f t="shared" si="122"/>
        <v>0.15</v>
      </c>
      <c r="Y602" s="35">
        <f t="shared" si="123"/>
        <v>0</v>
      </c>
      <c r="Z602" s="40">
        <f t="shared" si="120"/>
        <v>1443</v>
      </c>
      <c r="AA602" s="65">
        <v>255.0</v>
      </c>
      <c r="AB602" s="41">
        <f t="shared" si="109"/>
        <v>0</v>
      </c>
      <c r="AC602" s="42" t="b">
        <v>1</v>
      </c>
      <c r="AD602" s="66" t="s">
        <v>138</v>
      </c>
      <c r="AE602" s="88" t="s">
        <v>138</v>
      </c>
      <c r="AF602" s="42" t="str">
        <f t="array" ref="AF602">INDEX('Deal Info'!D:D, MATCH(A602,'Deal Info'!A:A, 0))</f>
        <v>Fix15</v>
      </c>
      <c r="AG602" s="43" t="str">
        <f t="array" ref="AG602">INDEX('Deal Info'!G:G, MATCH(A602,'Deal Info'!A:A, 0))</f>
        <v>None</v>
      </c>
    </row>
    <row r="603" hidden="1">
      <c r="A603" s="23" t="str">
        <f t="array" ref="A603">if(G603='Room Info'!$B$1, INDEX('Room Info'!$A$2:$A3446, MATCH(B603,'Room Info'!$B$2:$B3446, 0)),if(G603='Room Info'!$C$1, INDEX('Room Info'!$A$2:$A3446, MATCH(B603,'Room Info'!$C$2:$C3446, 0)),if(G603='Room Info'!$D$1, INDEX('Room Info'!$A$2:$A3446, MATCH(B603,'Room Info'!$D$2:$D3446, 0)),if(G603='Room Info'!$E$1, INDEX('Room Info'!$A$2:$A3446, MATCH(B603,'Room Info'!$E$2:$E3446, 0)),if(G603='Room Info'!$F$1, INDEX('Room Info'!$A$2:$A3446, MATCH(B603,'Room Info'!$F$2:$F3446, 0)),if(G603='Room Info'!$H$1, INDEX('Room Info'!$A$2:$A3446, MATCH(B603,'Room Info'!$H$2:$H3446, 0)),if(G603='Room Info'!$G$1, INDEX('Room Info'!$A$2:$A3446, MATCH(B603,'Room Info'!$G$2:$G3446, 0)))))))))</f>
        <v>fraum@rta</v>
      </c>
      <c r="B603" s="50" t="s">
        <v>181</v>
      </c>
      <c r="C603" s="51">
        <v>44866.0</v>
      </c>
      <c r="D603" s="51">
        <v>44895.0</v>
      </c>
      <c r="E603" s="52">
        <v>44866.0</v>
      </c>
      <c r="F603" s="53" t="s">
        <v>8</v>
      </c>
      <c r="G603" s="50" t="s">
        <v>13</v>
      </c>
      <c r="H603" s="54" t="s">
        <v>85</v>
      </c>
      <c r="I603" s="54" t="s">
        <v>18</v>
      </c>
      <c r="J603" s="55">
        <v>100.0</v>
      </c>
      <c r="K603" s="56">
        <v>7363.0</v>
      </c>
      <c r="L603" s="57">
        <v>-25100.0</v>
      </c>
      <c r="M603" s="58">
        <v>44184.0</v>
      </c>
      <c r="N603" s="33">
        <f t="shared" si="13"/>
        <v>736300</v>
      </c>
      <c r="O603" s="59">
        <v>96080.0</v>
      </c>
      <c r="P603" s="34">
        <f t="shared" si="14"/>
        <v>13.04902893</v>
      </c>
      <c r="Q603" s="60"/>
      <c r="R603" s="36">
        <f t="shared" si="99"/>
        <v>44184</v>
      </c>
      <c r="S603" s="61">
        <v>-30013.0</v>
      </c>
      <c r="T603" s="37">
        <f t="shared" si="100"/>
        <v>14171</v>
      </c>
      <c r="U603" s="62">
        <v>1.0</v>
      </c>
      <c r="V603" s="63"/>
      <c r="W603" s="63"/>
      <c r="X603" s="35">
        <f t="shared" si="122"/>
        <v>0.15</v>
      </c>
      <c r="Y603" s="35">
        <f t="shared" si="123"/>
        <v>0</v>
      </c>
      <c r="Z603" s="40">
        <f t="shared" si="120"/>
        <v>12045</v>
      </c>
      <c r="AA603" s="65">
        <v>2126.0</v>
      </c>
      <c r="AB603" s="41">
        <f t="shared" si="109"/>
        <v>0</v>
      </c>
      <c r="AC603" s="42" t="b">
        <v>1</v>
      </c>
      <c r="AD603" s="66" t="s">
        <v>138</v>
      </c>
      <c r="AE603" s="88" t="s">
        <v>138</v>
      </c>
      <c r="AF603" s="42" t="str">
        <f t="array" ref="AF603">INDEX('Deal Info'!D:D, MATCH(A603,'Deal Info'!A:A, 0))</f>
        <v>Fix15</v>
      </c>
      <c r="AG603" s="43" t="str">
        <f t="array" ref="AG603">INDEX('Deal Info'!G:G, MATCH(A603,'Deal Info'!A:A, 0))</f>
        <v>None</v>
      </c>
    </row>
    <row r="604" hidden="1">
      <c r="A604" s="23" t="str">
        <f t="array" ref="A604">if(G604='Room Info'!$B$1, INDEX('Room Info'!$A$2:$A3446, MATCH(B604,'Room Info'!$B$2:$B3446, 0)),if(G604='Room Info'!$C$1, INDEX('Room Info'!$A$2:$A3446, MATCH(B604,'Room Info'!$C$2:$C3446, 0)),if(G604='Room Info'!$D$1, INDEX('Room Info'!$A$2:$A3446, MATCH(B604,'Room Info'!$D$2:$D3446, 0)),if(G604='Room Info'!$E$1, INDEX('Room Info'!$A$2:$A3446, MATCH(B604,'Room Info'!$E$2:$E3446, 0)),if(G604='Room Info'!$F$1, INDEX('Room Info'!$A$2:$A3446, MATCH(B604,'Room Info'!$F$2:$F3446, 0)),if(G604='Room Info'!$H$1, INDEX('Room Info'!$A$2:$A3446, MATCH(B604,'Room Info'!$H$2:$H3446, 0)),if(G604='Room Info'!$G$1, INDEX('Room Info'!$A$2:$A3446, MATCH(B604,'Room Info'!$G$2:$G3446, 0)))))))))</f>
        <v>fraum@rta</v>
      </c>
      <c r="B604" s="50" t="s">
        <v>181</v>
      </c>
      <c r="C604" s="51">
        <v>44866.0</v>
      </c>
      <c r="D604" s="51">
        <v>44895.0</v>
      </c>
      <c r="E604" s="52">
        <v>44866.0</v>
      </c>
      <c r="F604" s="53" t="s">
        <v>8</v>
      </c>
      <c r="G604" s="50" t="s">
        <v>13</v>
      </c>
      <c r="H604" s="54" t="s">
        <v>93</v>
      </c>
      <c r="I604" s="54" t="s">
        <v>18</v>
      </c>
      <c r="J604" s="55">
        <v>200.0</v>
      </c>
      <c r="K604" s="56">
        <v>1455.0</v>
      </c>
      <c r="L604" s="57">
        <v>-18800.0</v>
      </c>
      <c r="M604" s="58">
        <v>17462.0</v>
      </c>
      <c r="N604" s="33">
        <f t="shared" si="13"/>
        <v>291000</v>
      </c>
      <c r="O604" s="59">
        <v>2645.0</v>
      </c>
      <c r="P604" s="34">
        <f t="shared" si="14"/>
        <v>1.817869416</v>
      </c>
      <c r="Q604" s="60"/>
      <c r="R604" s="36">
        <f t="shared" si="99"/>
        <v>17462</v>
      </c>
      <c r="S604" s="61">
        <v>-19936.0</v>
      </c>
      <c r="T604" s="37">
        <f t="shared" si="100"/>
        <v>-2474</v>
      </c>
      <c r="U604" s="62">
        <v>1.0</v>
      </c>
      <c r="V604" s="63"/>
      <c r="W604" s="63"/>
      <c r="X604" s="35">
        <f t="shared" si="122"/>
        <v>0.15</v>
      </c>
      <c r="Y604" s="35">
        <f t="shared" si="123"/>
        <v>0</v>
      </c>
      <c r="Z604" s="40">
        <f t="shared" si="120"/>
        <v>-2103</v>
      </c>
      <c r="AA604" s="65">
        <v>-371.0</v>
      </c>
      <c r="AB604" s="41">
        <f t="shared" si="109"/>
        <v>0</v>
      </c>
      <c r="AC604" s="42" t="b">
        <v>1</v>
      </c>
      <c r="AD604" s="66" t="s">
        <v>138</v>
      </c>
      <c r="AE604" s="88" t="s">
        <v>138</v>
      </c>
      <c r="AF604" s="42" t="str">
        <f t="array" ref="AF604">INDEX('Deal Info'!D:D, MATCH(A604,'Deal Info'!A:A, 0))</f>
        <v>Fix15</v>
      </c>
      <c r="AG604" s="43" t="str">
        <f t="array" ref="AG604">INDEX('Deal Info'!G:G, MATCH(A604,'Deal Info'!A:A, 0))</f>
        <v>None</v>
      </c>
    </row>
    <row r="605" hidden="1">
      <c r="A605" s="23" t="str">
        <f t="array" ref="A605">if(G605='Room Info'!$B$1, INDEX('Room Info'!$A$2:$A3446, MATCH(B605,'Room Info'!$B$2:$B3446, 0)),if(G605='Room Info'!$C$1, INDEX('Room Info'!$A$2:$A3446, MATCH(B605,'Room Info'!$C$2:$C3446, 0)),if(G605='Room Info'!$D$1, INDEX('Room Info'!$A$2:$A3446, MATCH(B605,'Room Info'!$D$2:$D3446, 0)),if(G605='Room Info'!$E$1, INDEX('Room Info'!$A$2:$A3446, MATCH(B605,'Room Info'!$E$2:$E3446, 0)),if(G605='Room Info'!$F$1, INDEX('Room Info'!$A$2:$A3446, MATCH(B605,'Room Info'!$F$2:$F3446, 0)),if(G605='Room Info'!$H$1, INDEX('Room Info'!$A$2:$A3446, MATCH(B605,'Room Info'!$H$2:$H3446, 0)),if(G605='Room Info'!$G$1, INDEX('Room Info'!$A$2:$A3446, MATCH(B605,'Room Info'!$G$2:$G3446, 0)))))))))</f>
        <v>fraum@rta</v>
      </c>
      <c r="B605" s="50" t="s">
        <v>181</v>
      </c>
      <c r="C605" s="51">
        <v>44896.0</v>
      </c>
      <c r="D605" s="51">
        <v>44922.0</v>
      </c>
      <c r="E605" s="52">
        <v>44896.0</v>
      </c>
      <c r="F605" s="53" t="s">
        <v>12</v>
      </c>
      <c r="G605" s="50" t="s">
        <v>13</v>
      </c>
      <c r="H605" s="54" t="s">
        <v>85</v>
      </c>
      <c r="I605" s="54" t="s">
        <v>18</v>
      </c>
      <c r="J605" s="55">
        <v>100.0</v>
      </c>
      <c r="K605" s="56">
        <v>3969.0</v>
      </c>
      <c r="L605" s="57">
        <v>-10300.0</v>
      </c>
      <c r="M605" s="58">
        <v>20110.0</v>
      </c>
      <c r="N605" s="33">
        <f t="shared" si="13"/>
        <v>396900</v>
      </c>
      <c r="O605" s="59">
        <v>38183.0</v>
      </c>
      <c r="P605" s="34">
        <f t="shared" si="14"/>
        <v>9.620307382</v>
      </c>
      <c r="Q605" s="60"/>
      <c r="R605" s="36">
        <f t="shared" si="99"/>
        <v>20110</v>
      </c>
      <c r="S605" s="61"/>
      <c r="T605" s="37">
        <f t="shared" si="100"/>
        <v>9810</v>
      </c>
      <c r="U605" s="62">
        <v>1.0</v>
      </c>
      <c r="V605" s="63"/>
      <c r="W605" s="63"/>
      <c r="X605" s="35">
        <f t="shared" si="122"/>
        <v>0.15</v>
      </c>
      <c r="Y605" s="35">
        <f t="shared" si="123"/>
        <v>0</v>
      </c>
      <c r="Z605" s="40">
        <f t="shared" si="120"/>
        <v>8338</v>
      </c>
      <c r="AA605" s="65">
        <v>1472.0</v>
      </c>
      <c r="AB605" s="41">
        <f t="shared" si="109"/>
        <v>0</v>
      </c>
      <c r="AC605" s="42" t="b">
        <v>1</v>
      </c>
      <c r="AD605" s="66" t="s">
        <v>138</v>
      </c>
      <c r="AE605" s="88" t="s">
        <v>138</v>
      </c>
      <c r="AF605" s="42" t="str">
        <f t="array" ref="AF605">INDEX('Deal Info'!D:D, MATCH(A605,'Deal Info'!A:A, 0))</f>
        <v>Fix15</v>
      </c>
      <c r="AG605" s="43" t="str">
        <f t="array" ref="AG605">INDEX('Deal Info'!G:G, MATCH(A605,'Deal Info'!A:A, 0))</f>
        <v>None</v>
      </c>
    </row>
    <row r="606" hidden="1">
      <c r="A606" s="23" t="str">
        <f t="array" ref="A606">if(G606='Room Info'!$B$1, INDEX('Room Info'!$A$2:$A3446, MATCH(B606,'Room Info'!$B$2:$B3446, 0)),if(G606='Room Info'!$C$1, INDEX('Room Info'!$A$2:$A3446, MATCH(B606,'Room Info'!$C$2:$C3446, 0)),if(G606='Room Info'!$D$1, INDEX('Room Info'!$A$2:$A3446, MATCH(B606,'Room Info'!$D$2:$D3446, 0)),if(G606='Room Info'!$E$1, INDEX('Room Info'!$A$2:$A3446, MATCH(B606,'Room Info'!$E$2:$E3446, 0)),if(G606='Room Info'!$F$1, INDEX('Room Info'!$A$2:$A3446, MATCH(B606,'Room Info'!$F$2:$F3446, 0)),if(G606='Room Info'!$H$1, INDEX('Room Info'!$A$2:$A3446, MATCH(B606,'Room Info'!$H$2:$H3446, 0)),if(G606='Room Info'!$G$1, INDEX('Room Info'!$A$2:$A3446, MATCH(B606,'Room Info'!$G$2:$G3446, 0)))))))))</f>
        <v>fraum@rta</v>
      </c>
      <c r="B606" s="59" t="s">
        <v>181</v>
      </c>
      <c r="C606" s="51">
        <v>44927.0</v>
      </c>
      <c r="D606" s="51">
        <v>44957.0</v>
      </c>
      <c r="E606" s="52">
        <v>44927.0</v>
      </c>
      <c r="F606" s="50" t="s">
        <v>8</v>
      </c>
      <c r="G606" s="59" t="s">
        <v>13</v>
      </c>
      <c r="H606" s="54" t="s">
        <v>74</v>
      </c>
      <c r="I606" s="54" t="s">
        <v>18</v>
      </c>
      <c r="J606" s="55">
        <v>50.0</v>
      </c>
      <c r="K606" s="56">
        <v>532.0</v>
      </c>
      <c r="L606" s="57">
        <v>-850.0</v>
      </c>
      <c r="M606" s="58">
        <v>1416.0</v>
      </c>
      <c r="N606" s="33">
        <f t="shared" si="13"/>
        <v>26600</v>
      </c>
      <c r="O606" s="59">
        <v>-21.0</v>
      </c>
      <c r="P606" s="34">
        <f t="shared" si="14"/>
        <v>-0.03947368421</v>
      </c>
      <c r="Q606" s="60"/>
      <c r="R606" s="36">
        <f t="shared" si="99"/>
        <v>1416</v>
      </c>
      <c r="S606" s="61">
        <v>-2084.0</v>
      </c>
      <c r="T606" s="37">
        <f t="shared" si="100"/>
        <v>-668</v>
      </c>
      <c r="U606" s="62">
        <v>1.0</v>
      </c>
      <c r="V606" s="63"/>
      <c r="W606" s="63"/>
      <c r="X606" s="35">
        <f t="shared" si="122"/>
        <v>0.15</v>
      </c>
      <c r="Y606" s="35">
        <f t="shared" si="123"/>
        <v>0</v>
      </c>
      <c r="Z606" s="40">
        <f t="shared" si="120"/>
        <v>-567.8</v>
      </c>
      <c r="AA606" s="34">
        <f t="shared" ref="AA606:AA615" si="124">if(AD606="EUR",((T606-R606)*X606)*U606+(R606*X606),(T606*X606))</f>
        <v>-100.2</v>
      </c>
      <c r="AB606" s="41">
        <f t="shared" si="109"/>
        <v>0</v>
      </c>
      <c r="AC606" s="66" t="b">
        <v>1</v>
      </c>
      <c r="AD606" s="66" t="s">
        <v>138</v>
      </c>
      <c r="AE606" s="88" t="s">
        <v>138</v>
      </c>
      <c r="AF606" s="42" t="str">
        <f t="array" ref="AF606">INDEX('Deal Info'!D:D, MATCH(A606,'Deal Info'!A:A, 0))</f>
        <v>Fix15</v>
      </c>
      <c r="AG606" s="43" t="str">
        <f t="array" ref="AG606">INDEX('Deal Info'!G:G, MATCH(A606,'Deal Info'!A:A, 0))</f>
        <v>None</v>
      </c>
    </row>
    <row r="607" hidden="1">
      <c r="A607" s="23" t="str">
        <f t="array" ref="A607">if(G607='Room Info'!$B$1, INDEX('Room Info'!$A$2:$A3446, MATCH(B607,'Room Info'!$B$2:$B3446, 0)),if(G607='Room Info'!$C$1, INDEX('Room Info'!$A$2:$A3446, MATCH(B607,'Room Info'!$C$2:$C3446, 0)),if(G607='Room Info'!$D$1, INDEX('Room Info'!$A$2:$A3446, MATCH(B607,'Room Info'!$D$2:$D3446, 0)),if(G607='Room Info'!$E$1, INDEX('Room Info'!$A$2:$A3446, MATCH(B607,'Room Info'!$E$2:$E3446, 0)),if(G607='Room Info'!$F$1, INDEX('Room Info'!$A$2:$A3446, MATCH(B607,'Room Info'!$F$2:$F3446, 0)),if(G607='Room Info'!$H$1, INDEX('Room Info'!$A$2:$A3446, MATCH(B607,'Room Info'!$H$2:$H3446, 0)),if(G607='Room Info'!$G$1, INDEX('Room Info'!$A$2:$A3446, MATCH(B607,'Room Info'!$G$2:$G3446, 0)))))))))</f>
        <v>fraum@rta</v>
      </c>
      <c r="B607" s="59" t="s">
        <v>181</v>
      </c>
      <c r="C607" s="51">
        <v>44927.0</v>
      </c>
      <c r="D607" s="51">
        <v>44957.0</v>
      </c>
      <c r="E607" s="52">
        <v>44927.0</v>
      </c>
      <c r="F607" s="50" t="s">
        <v>12</v>
      </c>
      <c r="G607" s="59" t="s">
        <v>13</v>
      </c>
      <c r="H607" s="54" t="s">
        <v>85</v>
      </c>
      <c r="I607" s="54" t="s">
        <v>18</v>
      </c>
      <c r="J607" s="55">
        <v>100.0</v>
      </c>
      <c r="K607" s="56">
        <v>4490.0</v>
      </c>
      <c r="L607" s="57">
        <v>-19300.0</v>
      </c>
      <c r="M607" s="58">
        <v>23897.0</v>
      </c>
      <c r="N607" s="33">
        <f t="shared" si="13"/>
        <v>449000</v>
      </c>
      <c r="O607" s="59">
        <v>41875.0</v>
      </c>
      <c r="P607" s="34">
        <f t="shared" si="14"/>
        <v>9.326280624</v>
      </c>
      <c r="Q607" s="60"/>
      <c r="R607" s="36">
        <f t="shared" si="99"/>
        <v>23897</v>
      </c>
      <c r="S607" s="61"/>
      <c r="T607" s="37">
        <f t="shared" si="100"/>
        <v>4597</v>
      </c>
      <c r="U607" s="62">
        <v>1.0</v>
      </c>
      <c r="V607" s="63"/>
      <c r="W607" s="63"/>
      <c r="X607" s="35">
        <f t="shared" si="122"/>
        <v>0.15</v>
      </c>
      <c r="Y607" s="35">
        <f t="shared" si="123"/>
        <v>0</v>
      </c>
      <c r="Z607" s="40">
        <f t="shared" si="120"/>
        <v>3907.45</v>
      </c>
      <c r="AA607" s="34">
        <f t="shared" si="124"/>
        <v>689.55</v>
      </c>
      <c r="AB607" s="41">
        <f t="shared" si="109"/>
        <v>0</v>
      </c>
      <c r="AC607" s="66" t="b">
        <v>1</v>
      </c>
      <c r="AD607" s="66" t="s">
        <v>138</v>
      </c>
      <c r="AE607" s="88" t="s">
        <v>138</v>
      </c>
      <c r="AF607" s="42" t="str">
        <f t="array" ref="AF607">INDEX('Deal Info'!D:D, MATCH(A607,'Deal Info'!A:A, 0))</f>
        <v>Fix15</v>
      </c>
      <c r="AG607" s="43" t="str">
        <f t="array" ref="AG607">INDEX('Deal Info'!G:G, MATCH(A607,'Deal Info'!A:A, 0))</f>
        <v>None</v>
      </c>
    </row>
    <row r="608" hidden="1">
      <c r="A608" s="23" t="str">
        <f t="array" ref="A608">if(G608='Room Info'!$B$1, INDEX('Room Info'!$A$2:$A3446, MATCH(B608,'Room Info'!$B$2:$B3446, 0)),if(G608='Room Info'!$C$1, INDEX('Room Info'!$A$2:$A3446, MATCH(B608,'Room Info'!$C$2:$C3446, 0)),if(G608='Room Info'!$D$1, INDEX('Room Info'!$A$2:$A3446, MATCH(B608,'Room Info'!$D$2:$D3446, 0)),if(G608='Room Info'!$E$1, INDEX('Room Info'!$A$2:$A3446, MATCH(B608,'Room Info'!$E$2:$E3446, 0)),if(G608='Room Info'!$F$1, INDEX('Room Info'!$A$2:$A3446, MATCH(B608,'Room Info'!$F$2:$F3446, 0)),if(G608='Room Info'!$H$1, INDEX('Room Info'!$A$2:$A3446, MATCH(B608,'Room Info'!$H$2:$H3446, 0)),if(G608='Room Info'!$G$1, INDEX('Room Info'!$A$2:$A3446, MATCH(B608,'Room Info'!$G$2:$G3446, 0)))))))))</f>
        <v>barabashOva</v>
      </c>
      <c r="B608" s="59" t="s">
        <v>182</v>
      </c>
      <c r="C608" s="51">
        <v>44794.0</v>
      </c>
      <c r="D608" s="51">
        <v>44824.0</v>
      </c>
      <c r="E608" s="52">
        <v>44805.0</v>
      </c>
      <c r="F608" s="50" t="s">
        <v>4</v>
      </c>
      <c r="G608" s="59" t="s">
        <v>5</v>
      </c>
      <c r="H608" s="54" t="s">
        <v>35</v>
      </c>
      <c r="I608" s="54" t="s">
        <v>7</v>
      </c>
      <c r="J608" s="55">
        <v>5.0</v>
      </c>
      <c r="K608" s="56">
        <v>123.0</v>
      </c>
      <c r="L608" s="57">
        <v>-120.0</v>
      </c>
      <c r="M608" s="67"/>
      <c r="N608" s="33">
        <f t="shared" si="13"/>
        <v>615</v>
      </c>
      <c r="O608" s="59">
        <v>-658.0</v>
      </c>
      <c r="P608" s="34">
        <f t="shared" si="14"/>
        <v>-5.349593496</v>
      </c>
      <c r="Q608" s="60"/>
      <c r="R608" s="36">
        <f t="shared" si="99"/>
        <v>0</v>
      </c>
      <c r="S608" s="61">
        <v>-60.0</v>
      </c>
      <c r="T608" s="37">
        <f t="shared" si="100"/>
        <v>-60</v>
      </c>
      <c r="U608" s="62">
        <v>1.0</v>
      </c>
      <c r="V608" s="63"/>
      <c r="W608" s="63"/>
      <c r="X608" s="35">
        <f t="shared" si="122"/>
        <v>0.2</v>
      </c>
      <c r="Y608" s="35">
        <f t="shared" si="123"/>
        <v>0</v>
      </c>
      <c r="Z608" s="40">
        <f t="shared" si="120"/>
        <v>-48</v>
      </c>
      <c r="AA608" s="34">
        <f t="shared" si="124"/>
        <v>-12</v>
      </c>
      <c r="AB608" s="41">
        <f t="shared" si="109"/>
        <v>0</v>
      </c>
      <c r="AC608" s="42" t="b">
        <v>1</v>
      </c>
      <c r="AD608" s="66" t="s">
        <v>138</v>
      </c>
      <c r="AE608" s="88" t="s">
        <v>138</v>
      </c>
      <c r="AF608" s="42" t="str">
        <f t="array" ref="AF608">INDEX('Deal Info'!D:D, MATCH(A608,'Deal Info'!A:A, 0))</f>
        <v>DoEVba</v>
      </c>
      <c r="AG608" s="43" t="str">
        <f t="array" ref="AG608">INDEX('Deal Info'!G:G, MATCH(A608,'Deal Info'!A:A, 0))</f>
        <v>None</v>
      </c>
    </row>
    <row r="609" hidden="1">
      <c r="A609" s="23" t="str">
        <f t="array" ref="A609">if(G609='Room Info'!$B$1, INDEX('Room Info'!$A$2:$A3446, MATCH(B609,'Room Info'!$B$2:$B3446, 0)),if(G609='Room Info'!$C$1, INDEX('Room Info'!$A$2:$A3446, MATCH(B609,'Room Info'!$C$2:$C3446, 0)),if(G609='Room Info'!$D$1, INDEX('Room Info'!$A$2:$A3446, MATCH(B609,'Room Info'!$D$2:$D3446, 0)),if(G609='Room Info'!$E$1, INDEX('Room Info'!$A$2:$A3446, MATCH(B609,'Room Info'!$E$2:$E3446, 0)),if(G609='Room Info'!$F$1, INDEX('Room Info'!$A$2:$A3446, MATCH(B609,'Room Info'!$F$2:$F3446, 0)),if(G609='Room Info'!$H$1, INDEX('Room Info'!$A$2:$A3446, MATCH(B609,'Room Info'!$H$2:$H3446, 0)),if(G609='Room Info'!$G$1, INDEX('Room Info'!$A$2:$A3446, MATCH(B609,'Room Info'!$G$2:$G3446, 0)))))))))</f>
        <v>barabashOva</v>
      </c>
      <c r="B609" s="50" t="s">
        <v>182</v>
      </c>
      <c r="C609" s="51">
        <v>44825.0</v>
      </c>
      <c r="D609" s="51">
        <v>44854.0</v>
      </c>
      <c r="E609" s="52">
        <v>44835.0</v>
      </c>
      <c r="F609" s="53" t="s">
        <v>4</v>
      </c>
      <c r="G609" s="50" t="s">
        <v>5</v>
      </c>
      <c r="H609" s="54" t="s">
        <v>35</v>
      </c>
      <c r="I609" s="54" t="s">
        <v>7</v>
      </c>
      <c r="J609" s="55">
        <v>5.0</v>
      </c>
      <c r="K609" s="56">
        <v>51.0</v>
      </c>
      <c r="L609" s="57">
        <v>70.0</v>
      </c>
      <c r="M609" s="58">
        <v>4.0</v>
      </c>
      <c r="N609" s="33">
        <f t="shared" si="13"/>
        <v>255</v>
      </c>
      <c r="O609" s="59">
        <v>11074.0</v>
      </c>
      <c r="P609" s="34">
        <f t="shared" si="14"/>
        <v>217.1372549</v>
      </c>
      <c r="Q609" s="60"/>
      <c r="R609" s="36">
        <f t="shared" si="99"/>
        <v>4</v>
      </c>
      <c r="S609" s="61">
        <v>78.0</v>
      </c>
      <c r="T609" s="37">
        <f t="shared" si="100"/>
        <v>82</v>
      </c>
      <c r="U609" s="62">
        <v>1.0</v>
      </c>
      <c r="V609" s="63"/>
      <c r="W609" s="63"/>
      <c r="X609" s="35">
        <f t="shared" si="122"/>
        <v>0.2</v>
      </c>
      <c r="Y609" s="35">
        <f t="shared" si="123"/>
        <v>0</v>
      </c>
      <c r="Z609" s="40">
        <f t="shared" si="120"/>
        <v>65.6</v>
      </c>
      <c r="AA609" s="34">
        <f t="shared" si="124"/>
        <v>16.4</v>
      </c>
      <c r="AB609" s="41">
        <f t="shared" si="109"/>
        <v>0</v>
      </c>
      <c r="AC609" s="42" t="b">
        <v>1</v>
      </c>
      <c r="AD609" s="66" t="s">
        <v>138</v>
      </c>
      <c r="AE609" s="88" t="s">
        <v>138</v>
      </c>
      <c r="AF609" s="42" t="str">
        <f t="array" ref="AF609">INDEX('Deal Info'!D:D, MATCH(A609,'Deal Info'!A:A, 0))</f>
        <v>DoEVba</v>
      </c>
      <c r="AG609" s="43" t="str">
        <f t="array" ref="AG609">INDEX('Deal Info'!G:G, MATCH(A609,'Deal Info'!A:A, 0))</f>
        <v>None</v>
      </c>
    </row>
    <row r="610" hidden="1">
      <c r="A610" s="23" t="str">
        <f t="array" ref="A610">if(G610='Room Info'!$B$1, INDEX('Room Info'!$A$2:$A3446, MATCH(B610,'Room Info'!$B$2:$B3446, 0)),if(G610='Room Info'!$C$1, INDEX('Room Info'!$A$2:$A3446, MATCH(B610,'Room Info'!$C$2:$C3446, 0)),if(G610='Room Info'!$D$1, INDEX('Room Info'!$A$2:$A3446, MATCH(B610,'Room Info'!$D$2:$D3446, 0)),if(G610='Room Info'!$E$1, INDEX('Room Info'!$A$2:$A3446, MATCH(B610,'Room Info'!$E$2:$E3446, 0)),if(G610='Room Info'!$F$1, INDEX('Room Info'!$A$2:$A3446, MATCH(B610,'Room Info'!$F$2:$F3446, 0)),if(G610='Room Info'!$H$1, INDEX('Room Info'!$A$2:$A3446, MATCH(B610,'Room Info'!$H$2:$H3446, 0)),if(G610='Room Info'!$G$1, INDEX('Room Info'!$A$2:$A3446, MATCH(B610,'Room Info'!$G$2:$G3446, 0)))))))))</f>
        <v>barabashOva</v>
      </c>
      <c r="B610" s="50" t="s">
        <v>182</v>
      </c>
      <c r="C610" s="51">
        <v>44825.0</v>
      </c>
      <c r="D610" s="51">
        <v>44854.0</v>
      </c>
      <c r="E610" s="52">
        <v>44835.0</v>
      </c>
      <c r="F610" s="53" t="s">
        <v>4</v>
      </c>
      <c r="G610" s="50" t="s">
        <v>5</v>
      </c>
      <c r="H610" s="54" t="s">
        <v>45</v>
      </c>
      <c r="I610" s="54" t="s">
        <v>7</v>
      </c>
      <c r="J610" s="55">
        <v>10.0</v>
      </c>
      <c r="K610" s="56">
        <v>3160.0</v>
      </c>
      <c r="L610" s="57">
        <v>1250.0</v>
      </c>
      <c r="M610" s="58">
        <v>382.0</v>
      </c>
      <c r="N610" s="33">
        <f t="shared" si="13"/>
        <v>31600</v>
      </c>
      <c r="O610" s="59">
        <v>135078.0</v>
      </c>
      <c r="P610" s="34">
        <f t="shared" si="14"/>
        <v>42.74620253</v>
      </c>
      <c r="Q610" s="60"/>
      <c r="R610" s="36">
        <f t="shared" si="99"/>
        <v>382</v>
      </c>
      <c r="S610" s="61">
        <v>143.0</v>
      </c>
      <c r="T610" s="37">
        <f t="shared" si="100"/>
        <v>525</v>
      </c>
      <c r="U610" s="62">
        <v>1.0</v>
      </c>
      <c r="V610" s="63"/>
      <c r="W610" s="63"/>
      <c r="X610" s="35">
        <f t="shared" si="122"/>
        <v>0.2</v>
      </c>
      <c r="Y610" s="35">
        <f t="shared" si="123"/>
        <v>0</v>
      </c>
      <c r="Z610" s="40">
        <f t="shared" si="120"/>
        <v>420</v>
      </c>
      <c r="AA610" s="34">
        <f t="shared" si="124"/>
        <v>105</v>
      </c>
      <c r="AB610" s="41">
        <f t="shared" si="109"/>
        <v>0</v>
      </c>
      <c r="AC610" s="42" t="b">
        <v>1</v>
      </c>
      <c r="AD610" s="66" t="s">
        <v>138</v>
      </c>
      <c r="AE610" s="88" t="s">
        <v>138</v>
      </c>
      <c r="AF610" s="42" t="str">
        <f t="array" ref="AF610">INDEX('Deal Info'!D:D, MATCH(A610,'Deal Info'!A:A, 0))</f>
        <v>DoEVba</v>
      </c>
      <c r="AG610" s="43" t="str">
        <f t="array" ref="AG610">INDEX('Deal Info'!G:G, MATCH(A610,'Deal Info'!A:A, 0))</f>
        <v>None</v>
      </c>
    </row>
    <row r="611" hidden="1">
      <c r="A611" s="23" t="str">
        <f t="array" ref="A611">if(G611='Room Info'!$B$1, INDEX('Room Info'!$A$2:$A3446, MATCH(B611,'Room Info'!$B$2:$B3446, 0)),if(G611='Room Info'!$C$1, INDEX('Room Info'!$A$2:$A3446, MATCH(B611,'Room Info'!$C$2:$C3446, 0)),if(G611='Room Info'!$D$1, INDEX('Room Info'!$A$2:$A3446, MATCH(B611,'Room Info'!$D$2:$D3446, 0)),if(G611='Room Info'!$E$1, INDEX('Room Info'!$A$2:$A3446, MATCH(B611,'Room Info'!$E$2:$E3446, 0)),if(G611='Room Info'!$F$1, INDEX('Room Info'!$A$2:$A3446, MATCH(B611,'Room Info'!$F$2:$F3446, 0)),if(G611='Room Info'!$H$1, INDEX('Room Info'!$A$2:$A3446, MATCH(B611,'Room Info'!$H$2:$H3446, 0)),if(G611='Room Info'!$G$1, INDEX('Room Info'!$A$2:$A3446, MATCH(B611,'Room Info'!$G$2:$G3446, 0)))))))))</f>
        <v>barabashOva</v>
      </c>
      <c r="B611" s="50" t="s">
        <v>182</v>
      </c>
      <c r="C611" s="51">
        <v>44855.0</v>
      </c>
      <c r="D611" s="51">
        <v>44885.0</v>
      </c>
      <c r="E611" s="52">
        <v>44866.0</v>
      </c>
      <c r="F611" s="53" t="s">
        <v>4</v>
      </c>
      <c r="G611" s="50" t="s">
        <v>5</v>
      </c>
      <c r="H611" s="54" t="s">
        <v>35</v>
      </c>
      <c r="I611" s="54" t="s">
        <v>7</v>
      </c>
      <c r="J611" s="55">
        <v>5.0</v>
      </c>
      <c r="K611" s="56">
        <v>3.0</v>
      </c>
      <c r="L611" s="57">
        <v>25.0</v>
      </c>
      <c r="M611" s="58">
        <v>1.0</v>
      </c>
      <c r="N611" s="33">
        <f t="shared" si="13"/>
        <v>15</v>
      </c>
      <c r="O611" s="59">
        <v>788.0</v>
      </c>
      <c r="P611" s="34">
        <f t="shared" si="14"/>
        <v>262.6666667</v>
      </c>
      <c r="Q611" s="60"/>
      <c r="R611" s="36">
        <f t="shared" si="99"/>
        <v>1</v>
      </c>
      <c r="S611" s="61">
        <v>6.0</v>
      </c>
      <c r="T611" s="37">
        <f t="shared" si="100"/>
        <v>7</v>
      </c>
      <c r="U611" s="62">
        <v>1.0</v>
      </c>
      <c r="V611" s="63"/>
      <c r="W611" s="63"/>
      <c r="X611" s="35">
        <f t="shared" si="122"/>
        <v>0.2</v>
      </c>
      <c r="Y611" s="35">
        <f t="shared" si="123"/>
        <v>0</v>
      </c>
      <c r="Z611" s="40">
        <f t="shared" si="120"/>
        <v>5.6</v>
      </c>
      <c r="AA611" s="34">
        <f t="shared" si="124"/>
        <v>1.4</v>
      </c>
      <c r="AB611" s="41">
        <f t="shared" si="109"/>
        <v>0</v>
      </c>
      <c r="AC611" s="42" t="b">
        <v>1</v>
      </c>
      <c r="AD611" s="66" t="s">
        <v>138</v>
      </c>
      <c r="AE611" s="88" t="s">
        <v>138</v>
      </c>
      <c r="AF611" s="42" t="str">
        <f t="array" ref="AF611">INDEX('Deal Info'!D:D, MATCH(A611,'Deal Info'!A:A, 0))</f>
        <v>DoEVba</v>
      </c>
      <c r="AG611" s="43" t="str">
        <f t="array" ref="AG611">INDEX('Deal Info'!G:G, MATCH(A611,'Deal Info'!A:A, 0))</f>
        <v>None</v>
      </c>
    </row>
    <row r="612" hidden="1">
      <c r="A612" s="23" t="str">
        <f t="array" ref="A612">if(G612='Room Info'!$B$1, INDEX('Room Info'!$A$2:$A3446, MATCH(B612,'Room Info'!$B$2:$B3446, 0)),if(G612='Room Info'!$C$1, INDEX('Room Info'!$A$2:$A3446, MATCH(B612,'Room Info'!$C$2:$C3446, 0)),if(G612='Room Info'!$D$1, INDEX('Room Info'!$A$2:$A3446, MATCH(B612,'Room Info'!$D$2:$D3446, 0)),if(G612='Room Info'!$E$1, INDEX('Room Info'!$A$2:$A3446, MATCH(B612,'Room Info'!$E$2:$E3446, 0)),if(G612='Room Info'!$F$1, INDEX('Room Info'!$A$2:$A3446, MATCH(B612,'Room Info'!$F$2:$F3446, 0)),if(G612='Room Info'!$H$1, INDEX('Room Info'!$A$2:$A3446, MATCH(B612,'Room Info'!$H$2:$H3446, 0)),if(G612='Room Info'!$G$1, INDEX('Room Info'!$A$2:$A3446, MATCH(B612,'Room Info'!$G$2:$G3446, 0)))))))))</f>
        <v>barabashOva</v>
      </c>
      <c r="B612" s="50" t="s">
        <v>182</v>
      </c>
      <c r="C612" s="51">
        <v>44855.0</v>
      </c>
      <c r="D612" s="51">
        <v>44885.0</v>
      </c>
      <c r="E612" s="52">
        <v>44866.0</v>
      </c>
      <c r="F612" s="53" t="s">
        <v>4</v>
      </c>
      <c r="G612" s="50" t="s">
        <v>5</v>
      </c>
      <c r="H612" s="54" t="s">
        <v>45</v>
      </c>
      <c r="I612" s="54" t="s">
        <v>7</v>
      </c>
      <c r="J612" s="55">
        <v>10.0</v>
      </c>
      <c r="K612" s="56">
        <v>4239.0</v>
      </c>
      <c r="L612" s="57">
        <v>1680.0</v>
      </c>
      <c r="M612" s="58">
        <v>1814.0</v>
      </c>
      <c r="N612" s="33">
        <f t="shared" si="13"/>
        <v>42390</v>
      </c>
      <c r="O612" s="59">
        <v>167792.0</v>
      </c>
      <c r="P612" s="34">
        <f t="shared" si="14"/>
        <v>39.5829205</v>
      </c>
      <c r="Q612" s="60"/>
      <c r="R612" s="36">
        <f t="shared" si="99"/>
        <v>1814</v>
      </c>
      <c r="S612" s="61">
        <v>-123.0</v>
      </c>
      <c r="T612" s="37">
        <f t="shared" si="100"/>
        <v>1691</v>
      </c>
      <c r="U612" s="62">
        <v>1.0</v>
      </c>
      <c r="V612" s="63"/>
      <c r="W612" s="63"/>
      <c r="X612" s="35">
        <f t="shared" si="122"/>
        <v>0.2</v>
      </c>
      <c r="Y612" s="35">
        <f t="shared" si="123"/>
        <v>0</v>
      </c>
      <c r="Z612" s="40">
        <f t="shared" si="120"/>
        <v>1352.8</v>
      </c>
      <c r="AA612" s="34">
        <f t="shared" si="124"/>
        <v>338.2</v>
      </c>
      <c r="AB612" s="41">
        <f t="shared" si="109"/>
        <v>0</v>
      </c>
      <c r="AC612" s="42" t="b">
        <v>1</v>
      </c>
      <c r="AD612" s="66" t="s">
        <v>138</v>
      </c>
      <c r="AE612" s="88" t="s">
        <v>138</v>
      </c>
      <c r="AF612" s="42" t="str">
        <f t="array" ref="AF612">INDEX('Deal Info'!D:D, MATCH(A612,'Deal Info'!A:A, 0))</f>
        <v>DoEVba</v>
      </c>
      <c r="AG612" s="43" t="str">
        <f t="array" ref="AG612">INDEX('Deal Info'!G:G, MATCH(A612,'Deal Info'!A:A, 0))</f>
        <v>None</v>
      </c>
    </row>
    <row r="613" hidden="1">
      <c r="A613" s="23" t="str">
        <f t="array" ref="A613">if(G613='Room Info'!$B$1, INDEX('Room Info'!$A$2:$A3446, MATCH(B613,'Room Info'!$B$2:$B3446, 0)),if(G613='Room Info'!$C$1, INDEX('Room Info'!$A$2:$A3446, MATCH(B613,'Room Info'!$C$2:$C3446, 0)),if(G613='Room Info'!$D$1, INDEX('Room Info'!$A$2:$A3446, MATCH(B613,'Room Info'!$D$2:$D3446, 0)),if(G613='Room Info'!$E$1, INDEX('Room Info'!$A$2:$A3446, MATCH(B613,'Room Info'!$E$2:$E3446, 0)),if(G613='Room Info'!$F$1, INDEX('Room Info'!$A$2:$A3446, MATCH(B613,'Room Info'!$F$2:$F3446, 0)),if(G613='Room Info'!$H$1, INDEX('Room Info'!$A$2:$A3446, MATCH(B613,'Room Info'!$H$2:$H3446, 0)),if(G613='Room Info'!$G$1, INDEX('Room Info'!$A$2:$A3446, MATCH(B613,'Room Info'!$G$2:$G3446, 0)))))))))</f>
        <v>barabashOva</v>
      </c>
      <c r="B613" s="50" t="s">
        <v>182</v>
      </c>
      <c r="C613" s="51">
        <v>44886.0</v>
      </c>
      <c r="D613" s="51">
        <v>44915.0</v>
      </c>
      <c r="E613" s="52">
        <v>44896.0</v>
      </c>
      <c r="F613" s="50" t="s">
        <v>4</v>
      </c>
      <c r="G613" s="59" t="s">
        <v>5</v>
      </c>
      <c r="H613" s="54" t="s">
        <v>35</v>
      </c>
      <c r="I613" s="54" t="s">
        <v>7</v>
      </c>
      <c r="J613" s="55">
        <v>5.0</v>
      </c>
      <c r="K613" s="56">
        <v>1.0</v>
      </c>
      <c r="L613" s="57">
        <v>-5.0</v>
      </c>
      <c r="M613" s="67"/>
      <c r="N613" s="33">
        <f t="shared" si="13"/>
        <v>5</v>
      </c>
      <c r="O613" s="59">
        <v>-197.0</v>
      </c>
      <c r="P613" s="34">
        <f t="shared" si="14"/>
        <v>-197</v>
      </c>
      <c r="Q613" s="60"/>
      <c r="R613" s="36">
        <f t="shared" si="99"/>
        <v>0</v>
      </c>
      <c r="S613" s="61">
        <v>-2.0</v>
      </c>
      <c r="T613" s="37">
        <f t="shared" si="100"/>
        <v>-2</v>
      </c>
      <c r="U613" s="62">
        <v>1.0</v>
      </c>
      <c r="V613" s="63"/>
      <c r="W613" s="63"/>
      <c r="X613" s="35">
        <f t="shared" si="122"/>
        <v>0.2</v>
      </c>
      <c r="Y613" s="35">
        <f t="shared" si="123"/>
        <v>0</v>
      </c>
      <c r="Z613" s="40">
        <f t="shared" si="120"/>
        <v>-1.6</v>
      </c>
      <c r="AA613" s="34">
        <f t="shared" si="124"/>
        <v>-0.4</v>
      </c>
      <c r="AB613" s="41">
        <f t="shared" si="109"/>
        <v>0</v>
      </c>
      <c r="AC613" s="42" t="b">
        <v>1</v>
      </c>
      <c r="AD613" s="66" t="s">
        <v>138</v>
      </c>
      <c r="AE613" s="88" t="s">
        <v>138</v>
      </c>
      <c r="AF613" s="42" t="str">
        <f t="array" ref="AF613">INDEX('Deal Info'!D:D, MATCH(A613,'Deal Info'!A:A, 0))</f>
        <v>DoEVba</v>
      </c>
      <c r="AG613" s="43" t="str">
        <f t="array" ref="AG613">INDEX('Deal Info'!G:G, MATCH(A613,'Deal Info'!A:A, 0))</f>
        <v>None</v>
      </c>
    </row>
    <row r="614" hidden="1">
      <c r="A614" s="23" t="str">
        <f t="array" ref="A614">if(G614='Room Info'!$B$1, INDEX('Room Info'!$A$2:$A3446, MATCH(B614,'Room Info'!$B$2:$B3446, 0)),if(G614='Room Info'!$C$1, INDEX('Room Info'!$A$2:$A3446, MATCH(B614,'Room Info'!$C$2:$C3446, 0)),if(G614='Room Info'!$D$1, INDEX('Room Info'!$A$2:$A3446, MATCH(B614,'Room Info'!$D$2:$D3446, 0)),if(G614='Room Info'!$E$1, INDEX('Room Info'!$A$2:$A3446, MATCH(B614,'Room Info'!$E$2:$E3446, 0)),if(G614='Room Info'!$F$1, INDEX('Room Info'!$A$2:$A3446, MATCH(B614,'Room Info'!$F$2:$F3446, 0)),if(G614='Room Info'!$H$1, INDEX('Room Info'!$A$2:$A3446, MATCH(B614,'Room Info'!$H$2:$H3446, 0)),if(G614='Room Info'!$G$1, INDEX('Room Info'!$A$2:$A3446, MATCH(B614,'Room Info'!$G$2:$G3446, 0)))))))))</f>
        <v>barabashOva</v>
      </c>
      <c r="B614" s="50" t="s">
        <v>182</v>
      </c>
      <c r="C614" s="51">
        <v>44886.0</v>
      </c>
      <c r="D614" s="51">
        <v>44915.0</v>
      </c>
      <c r="E614" s="52">
        <v>44896.0</v>
      </c>
      <c r="F614" s="50" t="s">
        <v>4</v>
      </c>
      <c r="G614" s="59" t="s">
        <v>5</v>
      </c>
      <c r="H614" s="54" t="s">
        <v>45</v>
      </c>
      <c r="I614" s="54" t="s">
        <v>7</v>
      </c>
      <c r="J614" s="55">
        <v>10.0</v>
      </c>
      <c r="K614" s="56">
        <v>4289.0</v>
      </c>
      <c r="L614" s="57">
        <v>-2100.0</v>
      </c>
      <c r="M614" s="58">
        <v>1935.0</v>
      </c>
      <c r="N614" s="33">
        <f t="shared" si="13"/>
        <v>42890</v>
      </c>
      <c r="O614" s="59">
        <v>56194.0</v>
      </c>
      <c r="P614" s="34">
        <f t="shared" si="14"/>
        <v>13.10188855</v>
      </c>
      <c r="Q614" s="60"/>
      <c r="R614" s="36">
        <f t="shared" si="99"/>
        <v>1935</v>
      </c>
      <c r="S614" s="61">
        <v>-2203.0</v>
      </c>
      <c r="T614" s="37">
        <f t="shared" si="100"/>
        <v>-268</v>
      </c>
      <c r="U614" s="62">
        <v>1.0</v>
      </c>
      <c r="V614" s="63"/>
      <c r="W614" s="63"/>
      <c r="X614" s="35">
        <f t="shared" si="122"/>
        <v>0.2</v>
      </c>
      <c r="Y614" s="35">
        <f t="shared" si="123"/>
        <v>0</v>
      </c>
      <c r="Z614" s="40">
        <f t="shared" si="120"/>
        <v>-214.4</v>
      </c>
      <c r="AA614" s="34">
        <f t="shared" si="124"/>
        <v>-53.6</v>
      </c>
      <c r="AB614" s="41">
        <f t="shared" si="109"/>
        <v>0</v>
      </c>
      <c r="AC614" s="42" t="b">
        <v>1</v>
      </c>
      <c r="AD614" s="66" t="s">
        <v>138</v>
      </c>
      <c r="AE614" s="88" t="s">
        <v>138</v>
      </c>
      <c r="AF614" s="42" t="str">
        <f t="array" ref="AF614">INDEX('Deal Info'!D:D, MATCH(A614,'Deal Info'!A:A, 0))</f>
        <v>DoEVba</v>
      </c>
      <c r="AG614" s="43" t="str">
        <f t="array" ref="AG614">INDEX('Deal Info'!G:G, MATCH(A614,'Deal Info'!A:A, 0))</f>
        <v>None</v>
      </c>
    </row>
    <row r="615" hidden="1">
      <c r="A615" s="23" t="str">
        <f t="array" ref="A615">if(G615='Room Info'!$B$1, INDEX('Room Info'!$A$2:$A3446, MATCH(B615,'Room Info'!$B$2:$B3446, 0)),if(G615='Room Info'!$C$1, INDEX('Room Info'!$A$2:$A3446, MATCH(B615,'Room Info'!$C$2:$C3446, 0)),if(G615='Room Info'!$D$1, INDEX('Room Info'!$A$2:$A3446, MATCH(B615,'Room Info'!$D$2:$D3446, 0)),if(G615='Room Info'!$E$1, INDEX('Room Info'!$A$2:$A3446, MATCH(B615,'Room Info'!$E$2:$E3446, 0)),if(G615='Room Info'!$F$1, INDEX('Room Info'!$A$2:$A3446, MATCH(B615,'Room Info'!$F$2:$F3446, 0)),if(G615='Room Info'!$H$1, INDEX('Room Info'!$A$2:$A3446, MATCH(B615,'Room Info'!$H$2:$H3446, 0)),if(G615='Room Info'!$G$1, INDEX('Room Info'!$A$2:$A3446, MATCH(B615,'Room Info'!$G$2:$G3446, 0)))))))))</f>
        <v>barabashOva</v>
      </c>
      <c r="B615" s="50" t="s">
        <v>182</v>
      </c>
      <c r="C615" s="51">
        <v>44916.0</v>
      </c>
      <c r="D615" s="51">
        <v>44946.0</v>
      </c>
      <c r="E615" s="52">
        <v>44927.0</v>
      </c>
      <c r="F615" s="50" t="s">
        <v>4</v>
      </c>
      <c r="G615" s="59" t="s">
        <v>5</v>
      </c>
      <c r="H615" s="54" t="s">
        <v>45</v>
      </c>
      <c r="I615" s="54" t="s">
        <v>7</v>
      </c>
      <c r="J615" s="55">
        <v>10.0</v>
      </c>
      <c r="K615" s="56">
        <v>4462.0</v>
      </c>
      <c r="L615" s="57">
        <v>-10.0</v>
      </c>
      <c r="M615" s="58">
        <v>1970.0</v>
      </c>
      <c r="N615" s="33">
        <f t="shared" si="13"/>
        <v>44620</v>
      </c>
      <c r="O615" s="59">
        <v>163703.0</v>
      </c>
      <c r="P615" s="34">
        <f t="shared" si="14"/>
        <v>36.68825639</v>
      </c>
      <c r="Q615" s="60"/>
      <c r="R615" s="36">
        <f t="shared" si="99"/>
        <v>1970</v>
      </c>
      <c r="S615" s="61">
        <v>-213.0</v>
      </c>
      <c r="T615" s="37">
        <f t="shared" si="100"/>
        <v>1757</v>
      </c>
      <c r="U615" s="62">
        <v>1.0</v>
      </c>
      <c r="V615" s="63"/>
      <c r="W615" s="63"/>
      <c r="X615" s="83">
        <v>0.17</v>
      </c>
      <c r="Y615" s="35">
        <f t="shared" si="123"/>
        <v>0</v>
      </c>
      <c r="Z615" s="40">
        <f t="shared" si="120"/>
        <v>1458.31</v>
      </c>
      <c r="AA615" s="34">
        <f t="shared" si="124"/>
        <v>298.69</v>
      </c>
      <c r="AB615" s="41">
        <f t="shared" si="109"/>
        <v>0</v>
      </c>
      <c r="AC615" s="42" t="b">
        <v>1</v>
      </c>
      <c r="AD615" s="66" t="s">
        <v>138</v>
      </c>
      <c r="AE615" s="88" t="s">
        <v>138</v>
      </c>
      <c r="AF615" s="42" t="str">
        <f t="array" ref="AF615">INDEX('Deal Info'!D:D, MATCH(A615,'Deal Info'!A:A, 0))</f>
        <v>DoEVba</v>
      </c>
      <c r="AG615" s="43" t="str">
        <f t="array" ref="AG615">INDEX('Deal Info'!G:G, MATCH(A615,'Deal Info'!A:A, 0))</f>
        <v>None</v>
      </c>
    </row>
    <row r="616" hidden="1">
      <c r="A616" s="23" t="str">
        <f t="array" ref="A616">if(G616='Room Info'!$B$1, INDEX('Room Info'!$A$2:$A3446, MATCH(B616,'Room Info'!$B$2:$B3446, 0)),if(G616='Room Info'!$C$1, INDEX('Room Info'!$A$2:$A3446, MATCH(B616,'Room Info'!$C$2:$C3446, 0)),if(G616='Room Info'!$D$1, INDEX('Room Info'!$A$2:$A3446, MATCH(B616,'Room Info'!$D$2:$D3446, 0)),if(G616='Room Info'!$E$1, INDEX('Room Info'!$A$2:$A3446, MATCH(B616,'Room Info'!$E$2:$E3446, 0)),if(G616='Room Info'!$F$1, INDEX('Room Info'!$A$2:$A3446, MATCH(B616,'Room Info'!$F$2:$F3446, 0)),if(G616='Room Info'!$H$1, INDEX('Room Info'!$A$2:$A3446, MATCH(B616,'Room Info'!$H$2:$H3446, 0)),if(G616='Room Info'!$G$1, INDEX('Room Info'!$A$2:$A3446, MATCH(B616,'Room Info'!$G$2:$G3446, 0)))))))))</f>
        <v>Berebka</v>
      </c>
      <c r="B616" s="59" t="s">
        <v>183</v>
      </c>
      <c r="C616" s="51">
        <v>44662.0</v>
      </c>
      <c r="D616" s="51">
        <v>44681.0</v>
      </c>
      <c r="E616" s="52">
        <v>44652.0</v>
      </c>
      <c r="F616" s="53" t="s">
        <v>8</v>
      </c>
      <c r="G616" s="59" t="s">
        <v>16</v>
      </c>
      <c r="H616" s="54" t="s">
        <v>45</v>
      </c>
      <c r="I616" s="54" t="s">
        <v>7</v>
      </c>
      <c r="J616" s="55">
        <v>10.0</v>
      </c>
      <c r="K616" s="56">
        <v>2906.0</v>
      </c>
      <c r="L616" s="57">
        <v>-760.0</v>
      </c>
      <c r="M616" s="58">
        <v>1100.0</v>
      </c>
      <c r="N616" s="33">
        <f t="shared" si="13"/>
        <v>29060</v>
      </c>
      <c r="O616" s="59">
        <v>128322.0</v>
      </c>
      <c r="P616" s="34">
        <f t="shared" si="14"/>
        <v>44.15760496</v>
      </c>
      <c r="Q616" s="60"/>
      <c r="R616" s="36">
        <f t="shared" si="99"/>
        <v>1100</v>
      </c>
      <c r="S616" s="61">
        <v>498.0</v>
      </c>
      <c r="T616" s="37">
        <f t="shared" si="100"/>
        <v>1598</v>
      </c>
      <c r="U616" s="62">
        <v>1.0</v>
      </c>
      <c r="V616" s="63"/>
      <c r="W616" s="63"/>
      <c r="X616" s="83">
        <v>0.3</v>
      </c>
      <c r="Y616" s="35">
        <f t="shared" si="123"/>
        <v>0</v>
      </c>
      <c r="Z616" s="40">
        <f t="shared" si="120"/>
        <v>1326</v>
      </c>
      <c r="AA616" s="65">
        <v>272.0</v>
      </c>
      <c r="AB616" s="41">
        <f t="shared" si="109"/>
        <v>0</v>
      </c>
      <c r="AC616" s="42" t="b">
        <v>1</v>
      </c>
      <c r="AD616" s="66" t="s">
        <v>138</v>
      </c>
      <c r="AE616" s="88" t="s">
        <v>138</v>
      </c>
      <c r="AF616" s="42" t="str">
        <f t="array" ref="AF616">INDEX('Deal Info'!D:D, MATCH(A616,'Deal Info'!A:A, 0))</f>
        <v>DoEV</v>
      </c>
      <c r="AG616" s="43" t="str">
        <f t="array" ref="AG616">INDEX('Deal Info'!G:G, MATCH(A616,'Deal Info'!A:A, 0))</f>
        <v>None</v>
      </c>
    </row>
    <row r="617" hidden="1">
      <c r="A617" s="23" t="str">
        <f t="array" ref="A617">if(G617='Room Info'!$B$1, INDEX('Room Info'!$A$2:$A3446, MATCH(B617,'Room Info'!$B$2:$B3446, 0)),if(G617='Room Info'!$C$1, INDEX('Room Info'!$A$2:$A3446, MATCH(B617,'Room Info'!$C$2:$C3446, 0)),if(G617='Room Info'!$D$1, INDEX('Room Info'!$A$2:$A3446, MATCH(B617,'Room Info'!$D$2:$D3446, 0)),if(G617='Room Info'!$E$1, INDEX('Room Info'!$A$2:$A3446, MATCH(B617,'Room Info'!$E$2:$E3446, 0)),if(G617='Room Info'!$F$1, INDEX('Room Info'!$A$2:$A3446, MATCH(B617,'Room Info'!$F$2:$F3446, 0)),if(G617='Room Info'!$H$1, INDEX('Room Info'!$A$2:$A3446, MATCH(B617,'Room Info'!$H$2:$H3446, 0)),if(G617='Room Info'!$G$1, INDEX('Room Info'!$A$2:$A3446, MATCH(B617,'Room Info'!$G$2:$G3446, 0)))))))))</f>
        <v>Berebka</v>
      </c>
      <c r="B617" s="59" t="s">
        <v>183</v>
      </c>
      <c r="C617" s="51">
        <v>44682.0</v>
      </c>
      <c r="D617" s="51">
        <v>44712.0</v>
      </c>
      <c r="E617" s="52">
        <v>44682.0</v>
      </c>
      <c r="F617" s="53" t="s">
        <v>8</v>
      </c>
      <c r="G617" s="59" t="s">
        <v>5</v>
      </c>
      <c r="H617" s="54" t="s">
        <v>35</v>
      </c>
      <c r="I617" s="54" t="s">
        <v>7</v>
      </c>
      <c r="J617" s="55">
        <v>5.0</v>
      </c>
      <c r="K617" s="56">
        <v>121.0</v>
      </c>
      <c r="L617" s="57">
        <v>-50.0</v>
      </c>
      <c r="M617" s="67"/>
      <c r="N617" s="33">
        <f t="shared" si="13"/>
        <v>605</v>
      </c>
      <c r="O617" s="59">
        <v>-4515.0</v>
      </c>
      <c r="P617" s="34">
        <f t="shared" si="14"/>
        <v>-37.31404959</v>
      </c>
      <c r="Q617" s="60"/>
      <c r="R617" s="36">
        <f t="shared" si="99"/>
        <v>0</v>
      </c>
      <c r="S617" s="61">
        <v>-95.0</v>
      </c>
      <c r="T617" s="37">
        <f t="shared" si="100"/>
        <v>-95</v>
      </c>
      <c r="U617" s="62">
        <v>1.0</v>
      </c>
      <c r="V617" s="63"/>
      <c r="W617" s="63"/>
      <c r="X617" s="83">
        <v>0.3</v>
      </c>
      <c r="Y617" s="35">
        <f t="shared" si="123"/>
        <v>0</v>
      </c>
      <c r="Z617" s="40">
        <f t="shared" si="120"/>
        <v>-67</v>
      </c>
      <c r="AA617" s="65">
        <v>-28.0</v>
      </c>
      <c r="AB617" s="41">
        <f t="shared" si="109"/>
        <v>0</v>
      </c>
      <c r="AC617" s="42" t="b">
        <v>1</v>
      </c>
      <c r="AD617" s="66" t="s">
        <v>138</v>
      </c>
      <c r="AE617" s="88" t="s">
        <v>138</v>
      </c>
      <c r="AF617" s="42" t="str">
        <f t="array" ref="AF617">INDEX('Deal Info'!D:D, MATCH(A617,'Deal Info'!A:A, 0))</f>
        <v>DoEV</v>
      </c>
      <c r="AG617" s="43" t="str">
        <f t="array" ref="AG617">INDEX('Deal Info'!G:G, MATCH(A617,'Deal Info'!A:A, 0))</f>
        <v>None</v>
      </c>
    </row>
    <row r="618" hidden="1">
      <c r="A618" s="23" t="str">
        <f t="array" ref="A618">if(G618='Room Info'!$B$1, INDEX('Room Info'!$A$2:$A3446, MATCH(B618,'Room Info'!$B$2:$B3446, 0)),if(G618='Room Info'!$C$1, INDEX('Room Info'!$A$2:$A3446, MATCH(B618,'Room Info'!$C$2:$C3446, 0)),if(G618='Room Info'!$D$1, INDEX('Room Info'!$A$2:$A3446, MATCH(B618,'Room Info'!$D$2:$D3446, 0)),if(G618='Room Info'!$E$1, INDEX('Room Info'!$A$2:$A3446, MATCH(B618,'Room Info'!$E$2:$E3446, 0)),if(G618='Room Info'!$F$1, INDEX('Room Info'!$A$2:$A3446, MATCH(B618,'Room Info'!$F$2:$F3446, 0)),if(G618='Room Info'!$H$1, INDEX('Room Info'!$A$2:$A3446, MATCH(B618,'Room Info'!$H$2:$H3446, 0)),if(G618='Room Info'!$G$1, INDEX('Room Info'!$A$2:$A3446, MATCH(B618,'Room Info'!$G$2:$G3446, 0)))))))))</f>
        <v>Berebka</v>
      </c>
      <c r="B618" s="59" t="s">
        <v>183</v>
      </c>
      <c r="C618" s="51">
        <v>44682.0</v>
      </c>
      <c r="D618" s="51">
        <v>44712.0</v>
      </c>
      <c r="E618" s="52">
        <v>44682.0</v>
      </c>
      <c r="F618" s="53" t="s">
        <v>8</v>
      </c>
      <c r="G618" s="59" t="s">
        <v>16</v>
      </c>
      <c r="H618" s="54" t="s">
        <v>49</v>
      </c>
      <c r="I618" s="54" t="s">
        <v>27</v>
      </c>
      <c r="J618" s="55">
        <v>10.0</v>
      </c>
      <c r="K618" s="56">
        <v>2827.0</v>
      </c>
      <c r="L618" s="57">
        <v>-1760.0</v>
      </c>
      <c r="M618" s="58">
        <v>1438.0</v>
      </c>
      <c r="N618" s="33">
        <f t="shared" si="13"/>
        <v>28270</v>
      </c>
      <c r="O618" s="59">
        <v>12317.0</v>
      </c>
      <c r="P618" s="34">
        <f t="shared" si="14"/>
        <v>4.356915458</v>
      </c>
      <c r="Q618" s="60"/>
      <c r="R618" s="36">
        <f t="shared" si="99"/>
        <v>1438</v>
      </c>
      <c r="S618" s="61">
        <v>-1563.0</v>
      </c>
      <c r="T618" s="37">
        <f t="shared" si="100"/>
        <v>-125</v>
      </c>
      <c r="U618" s="62">
        <v>1.0</v>
      </c>
      <c r="V618" s="63"/>
      <c r="W618" s="63"/>
      <c r="X618" s="83">
        <v>0.3</v>
      </c>
      <c r="Y618" s="35">
        <f t="shared" si="123"/>
        <v>0</v>
      </c>
      <c r="Z618" s="40">
        <f t="shared" si="120"/>
        <v>-88</v>
      </c>
      <c r="AA618" s="65">
        <v>-37.0</v>
      </c>
      <c r="AB618" s="41">
        <f t="shared" si="109"/>
        <v>0</v>
      </c>
      <c r="AC618" s="42" t="b">
        <v>1</v>
      </c>
      <c r="AD618" s="66" t="s">
        <v>138</v>
      </c>
      <c r="AE618" s="88" t="s">
        <v>138</v>
      </c>
      <c r="AF618" s="42" t="str">
        <f t="array" ref="AF618">INDEX('Deal Info'!D:D, MATCH(A618,'Deal Info'!A:A, 0))</f>
        <v>DoEV</v>
      </c>
      <c r="AG618" s="43" t="str">
        <f t="array" ref="AG618">INDEX('Deal Info'!G:G, MATCH(A618,'Deal Info'!A:A, 0))</f>
        <v>None</v>
      </c>
    </row>
    <row r="619" hidden="1">
      <c r="A619" s="23" t="str">
        <f t="array" ref="A619">if(G619='Room Info'!$B$1, INDEX('Room Info'!$A$2:$A3446, MATCH(B619,'Room Info'!$B$2:$B3446, 0)),if(G619='Room Info'!$C$1, INDEX('Room Info'!$A$2:$A3446, MATCH(B619,'Room Info'!$C$2:$C3446, 0)),if(G619='Room Info'!$D$1, INDEX('Room Info'!$A$2:$A3446, MATCH(B619,'Room Info'!$D$2:$D3446, 0)),if(G619='Room Info'!$E$1, INDEX('Room Info'!$A$2:$A3446, MATCH(B619,'Room Info'!$E$2:$E3446, 0)),if(G619='Room Info'!$F$1, INDEX('Room Info'!$A$2:$A3446, MATCH(B619,'Room Info'!$F$2:$F3446, 0)),if(G619='Room Info'!$H$1, INDEX('Room Info'!$A$2:$A3446, MATCH(B619,'Room Info'!$H$2:$H3446, 0)),if(G619='Room Info'!$G$1, INDEX('Room Info'!$A$2:$A3446, MATCH(B619,'Room Info'!$G$2:$G3446, 0)))))))))</f>
        <v>Berebka</v>
      </c>
      <c r="B619" s="59" t="s">
        <v>183</v>
      </c>
      <c r="C619" s="51">
        <v>44682.0</v>
      </c>
      <c r="D619" s="51">
        <v>44712.0</v>
      </c>
      <c r="E619" s="52">
        <v>44682.0</v>
      </c>
      <c r="F619" s="53" t="s">
        <v>8</v>
      </c>
      <c r="G619" s="59" t="s">
        <v>16</v>
      </c>
      <c r="H619" s="54" t="s">
        <v>45</v>
      </c>
      <c r="I619" s="54" t="s">
        <v>7</v>
      </c>
      <c r="J619" s="55">
        <v>10.0</v>
      </c>
      <c r="K619" s="56">
        <v>1203.0</v>
      </c>
      <c r="L619" s="57">
        <v>-40.0</v>
      </c>
      <c r="M619" s="58">
        <v>612.0</v>
      </c>
      <c r="N619" s="33">
        <f t="shared" si="13"/>
        <v>12030</v>
      </c>
      <c r="O619" s="59">
        <v>40006.0</v>
      </c>
      <c r="P619" s="34">
        <f t="shared" si="14"/>
        <v>33.25519534</v>
      </c>
      <c r="Q619" s="60"/>
      <c r="R619" s="36">
        <f t="shared" si="99"/>
        <v>612</v>
      </c>
      <c r="S619" s="61">
        <v>-83.0</v>
      </c>
      <c r="T619" s="37">
        <f t="shared" si="100"/>
        <v>529</v>
      </c>
      <c r="U619" s="62">
        <v>1.0</v>
      </c>
      <c r="V619" s="63"/>
      <c r="W619" s="63"/>
      <c r="X619" s="83">
        <v>0.3</v>
      </c>
      <c r="Y619" s="35">
        <f t="shared" si="123"/>
        <v>0</v>
      </c>
      <c r="Z619" s="40">
        <f t="shared" si="120"/>
        <v>370</v>
      </c>
      <c r="AA619" s="65">
        <v>159.0</v>
      </c>
      <c r="AB619" s="41">
        <f t="shared" si="109"/>
        <v>0</v>
      </c>
      <c r="AC619" s="42" t="b">
        <v>1</v>
      </c>
      <c r="AD619" s="66" t="s">
        <v>138</v>
      </c>
      <c r="AE619" s="88" t="s">
        <v>138</v>
      </c>
      <c r="AF619" s="42" t="str">
        <f t="array" ref="AF619">INDEX('Deal Info'!D:D, MATCH(A619,'Deal Info'!A:A, 0))</f>
        <v>DoEV</v>
      </c>
      <c r="AG619" s="43" t="str">
        <f t="array" ref="AG619">INDEX('Deal Info'!G:G, MATCH(A619,'Deal Info'!A:A, 0))</f>
        <v>None</v>
      </c>
    </row>
    <row r="620" hidden="1">
      <c r="A620" s="23" t="str">
        <f t="array" ref="A620">if(G620='Room Info'!$B$1, INDEX('Room Info'!$A$2:$A3446, MATCH(B620,'Room Info'!$B$2:$B3446, 0)),if(G620='Room Info'!$C$1, INDEX('Room Info'!$A$2:$A3446, MATCH(B620,'Room Info'!$C$2:$C3446, 0)),if(G620='Room Info'!$D$1, INDEX('Room Info'!$A$2:$A3446, MATCH(B620,'Room Info'!$D$2:$D3446, 0)),if(G620='Room Info'!$E$1, INDEX('Room Info'!$A$2:$A3446, MATCH(B620,'Room Info'!$E$2:$E3446, 0)),if(G620='Room Info'!$F$1, INDEX('Room Info'!$A$2:$A3446, MATCH(B620,'Room Info'!$F$2:$F3446, 0)),if(G620='Room Info'!$H$1, INDEX('Room Info'!$A$2:$A3446, MATCH(B620,'Room Info'!$H$2:$H3446, 0)),if(G620='Room Info'!$G$1, INDEX('Room Info'!$A$2:$A3446, MATCH(B620,'Room Info'!$G$2:$G3446, 0)))))))))</f>
        <v>Berebka</v>
      </c>
      <c r="B620" s="50" t="s">
        <v>183</v>
      </c>
      <c r="C620" s="51">
        <v>44713.0</v>
      </c>
      <c r="D620" s="51">
        <v>44742.0</v>
      </c>
      <c r="E620" s="52">
        <v>44713.0</v>
      </c>
      <c r="F620" s="53" t="s">
        <v>8</v>
      </c>
      <c r="G620" s="50" t="s">
        <v>5</v>
      </c>
      <c r="H620" s="54" t="s">
        <v>35</v>
      </c>
      <c r="I620" s="54" t="s">
        <v>7</v>
      </c>
      <c r="J620" s="55">
        <v>5.0</v>
      </c>
      <c r="K620" s="56">
        <v>293.0</v>
      </c>
      <c r="L620" s="57">
        <v>270.0</v>
      </c>
      <c r="M620" s="58">
        <v>69.0</v>
      </c>
      <c r="N620" s="33">
        <f t="shared" si="13"/>
        <v>1465</v>
      </c>
      <c r="O620" s="59">
        <v>9971.0</v>
      </c>
      <c r="P620" s="34">
        <f t="shared" si="14"/>
        <v>34.03071672</v>
      </c>
      <c r="Q620" s="60"/>
      <c r="R620" s="36">
        <f t="shared" si="99"/>
        <v>69</v>
      </c>
      <c r="S620" s="61">
        <v>-46.0</v>
      </c>
      <c r="T620" s="37">
        <f t="shared" si="100"/>
        <v>23</v>
      </c>
      <c r="U620" s="62">
        <v>1.0</v>
      </c>
      <c r="V620" s="63"/>
      <c r="W620" s="63"/>
      <c r="X620" s="83">
        <v>0.17</v>
      </c>
      <c r="Y620" s="35">
        <f t="shared" si="123"/>
        <v>0</v>
      </c>
      <c r="Z620" s="40">
        <f t="shared" si="120"/>
        <v>16</v>
      </c>
      <c r="AA620" s="65">
        <v>7.0</v>
      </c>
      <c r="AB620" s="41">
        <f t="shared" si="109"/>
        <v>0</v>
      </c>
      <c r="AC620" s="42" t="b">
        <v>1</v>
      </c>
      <c r="AD620" s="66" t="s">
        <v>138</v>
      </c>
      <c r="AE620" s="88" t="s">
        <v>138</v>
      </c>
      <c r="AF620" s="42" t="str">
        <f t="array" ref="AF620">INDEX('Deal Info'!D:D, MATCH(A620,'Deal Info'!A:A, 0))</f>
        <v>DoEV</v>
      </c>
      <c r="AG620" s="43" t="str">
        <f t="array" ref="AG620">INDEX('Deal Info'!G:G, MATCH(A620,'Deal Info'!A:A, 0))</f>
        <v>None</v>
      </c>
    </row>
    <row r="621" hidden="1">
      <c r="A621" s="23" t="str">
        <f t="array" ref="A621">if(G621='Room Info'!$B$1, INDEX('Room Info'!$A$2:$A3446, MATCH(B621,'Room Info'!$B$2:$B3446, 0)),if(G621='Room Info'!$C$1, INDEX('Room Info'!$A$2:$A3446, MATCH(B621,'Room Info'!$C$2:$C3446, 0)),if(G621='Room Info'!$D$1, INDEX('Room Info'!$A$2:$A3446, MATCH(B621,'Room Info'!$D$2:$D3446, 0)),if(G621='Room Info'!$E$1, INDEX('Room Info'!$A$2:$A3446, MATCH(B621,'Room Info'!$E$2:$E3446, 0)),if(G621='Room Info'!$F$1, INDEX('Room Info'!$A$2:$A3446, MATCH(B621,'Room Info'!$F$2:$F3446, 0)),if(G621='Room Info'!$H$1, INDEX('Room Info'!$A$2:$A3446, MATCH(B621,'Room Info'!$H$2:$H3446, 0)),if(G621='Room Info'!$G$1, INDEX('Room Info'!$A$2:$A3446, MATCH(B621,'Room Info'!$G$2:$G3446, 0)))))))))</f>
        <v>Berebka</v>
      </c>
      <c r="B621" s="50" t="s">
        <v>183</v>
      </c>
      <c r="C621" s="51">
        <v>44713.0</v>
      </c>
      <c r="D621" s="51">
        <v>44742.0</v>
      </c>
      <c r="E621" s="52">
        <v>44713.0</v>
      </c>
      <c r="F621" s="53" t="s">
        <v>8</v>
      </c>
      <c r="G621" s="50" t="s">
        <v>16</v>
      </c>
      <c r="H621" s="54" t="s">
        <v>32</v>
      </c>
      <c r="I621" s="54" t="s">
        <v>7</v>
      </c>
      <c r="J621" s="55">
        <v>3.0</v>
      </c>
      <c r="K621" s="56">
        <v>15.0</v>
      </c>
      <c r="L621" s="57">
        <v>33.0</v>
      </c>
      <c r="M621" s="67"/>
      <c r="N621" s="33">
        <f t="shared" si="13"/>
        <v>45</v>
      </c>
      <c r="O621" s="59">
        <v>3894.0</v>
      </c>
      <c r="P621" s="34">
        <f t="shared" si="14"/>
        <v>259.6</v>
      </c>
      <c r="Q621" s="60"/>
      <c r="R621" s="36">
        <f t="shared" si="99"/>
        <v>0</v>
      </c>
      <c r="S621" s="61">
        <v>18.0</v>
      </c>
      <c r="T621" s="37">
        <f t="shared" si="100"/>
        <v>18</v>
      </c>
      <c r="U621" s="62">
        <v>1.0</v>
      </c>
      <c r="V621" s="63"/>
      <c r="W621" s="63"/>
      <c r="X621" s="83">
        <v>0.17</v>
      </c>
      <c r="Y621" s="35">
        <f t="shared" si="123"/>
        <v>0</v>
      </c>
      <c r="Z621" s="40">
        <f t="shared" si="120"/>
        <v>15</v>
      </c>
      <c r="AA621" s="65">
        <v>3.0</v>
      </c>
      <c r="AB621" s="41">
        <f t="shared" si="109"/>
        <v>0</v>
      </c>
      <c r="AC621" s="42" t="b">
        <v>1</v>
      </c>
      <c r="AD621" s="66" t="s">
        <v>138</v>
      </c>
      <c r="AE621" s="88" t="s">
        <v>138</v>
      </c>
      <c r="AF621" s="42" t="str">
        <f t="array" ref="AF621">INDEX('Deal Info'!D:D, MATCH(A621,'Deal Info'!A:A, 0))</f>
        <v>DoEV</v>
      </c>
      <c r="AG621" s="43" t="str">
        <f t="array" ref="AG621">INDEX('Deal Info'!G:G, MATCH(A621,'Deal Info'!A:A, 0))</f>
        <v>None</v>
      </c>
    </row>
    <row r="622" hidden="1">
      <c r="A622" s="23" t="str">
        <f t="array" ref="A622">if(G622='Room Info'!$B$1, INDEX('Room Info'!$A$2:$A3446, MATCH(B622,'Room Info'!$B$2:$B3446, 0)),if(G622='Room Info'!$C$1, INDEX('Room Info'!$A$2:$A3446, MATCH(B622,'Room Info'!$C$2:$C3446, 0)),if(G622='Room Info'!$D$1, INDEX('Room Info'!$A$2:$A3446, MATCH(B622,'Room Info'!$D$2:$D3446, 0)),if(G622='Room Info'!$E$1, INDEX('Room Info'!$A$2:$A3446, MATCH(B622,'Room Info'!$E$2:$E3446, 0)),if(G622='Room Info'!$F$1, INDEX('Room Info'!$A$2:$A3446, MATCH(B622,'Room Info'!$F$2:$F3446, 0)),if(G622='Room Info'!$H$1, INDEX('Room Info'!$A$2:$A3446, MATCH(B622,'Room Info'!$H$2:$H3446, 0)),if(G622='Room Info'!$G$1, INDEX('Room Info'!$A$2:$A3446, MATCH(B622,'Room Info'!$G$2:$G3446, 0)))))))))</f>
        <v>Berebka</v>
      </c>
      <c r="B622" s="50" t="s">
        <v>183</v>
      </c>
      <c r="C622" s="51">
        <v>44713.0</v>
      </c>
      <c r="D622" s="51">
        <v>44742.0</v>
      </c>
      <c r="E622" s="52">
        <v>44713.0</v>
      </c>
      <c r="F622" s="53" t="s">
        <v>8</v>
      </c>
      <c r="G622" s="50" t="s">
        <v>16</v>
      </c>
      <c r="H622" s="54" t="s">
        <v>45</v>
      </c>
      <c r="I622" s="54" t="s">
        <v>7</v>
      </c>
      <c r="J622" s="55">
        <v>10.0</v>
      </c>
      <c r="K622" s="56">
        <v>1856.0</v>
      </c>
      <c r="L622" s="57">
        <v>620.0</v>
      </c>
      <c r="M622" s="58">
        <v>510.0</v>
      </c>
      <c r="N622" s="33">
        <f t="shared" si="13"/>
        <v>18560</v>
      </c>
      <c r="O622" s="59">
        <v>114738.0</v>
      </c>
      <c r="P622" s="34">
        <f t="shared" si="14"/>
        <v>61.8200431</v>
      </c>
      <c r="Q622" s="60"/>
      <c r="R622" s="36">
        <f t="shared" si="99"/>
        <v>510</v>
      </c>
      <c r="S622" s="61">
        <v>999.0</v>
      </c>
      <c r="T622" s="37">
        <f t="shared" si="100"/>
        <v>1509</v>
      </c>
      <c r="U622" s="62">
        <v>1.0</v>
      </c>
      <c r="V622" s="63"/>
      <c r="W622" s="63"/>
      <c r="X622" s="83">
        <v>0.17</v>
      </c>
      <c r="Y622" s="35">
        <f t="shared" si="123"/>
        <v>0</v>
      </c>
      <c r="Z622" s="40">
        <f t="shared" si="120"/>
        <v>1252</v>
      </c>
      <c r="AA622" s="65">
        <v>257.0</v>
      </c>
      <c r="AB622" s="41">
        <f t="shared" si="109"/>
        <v>0</v>
      </c>
      <c r="AC622" s="42" t="b">
        <v>1</v>
      </c>
      <c r="AD622" s="66" t="s">
        <v>138</v>
      </c>
      <c r="AE622" s="88" t="s">
        <v>138</v>
      </c>
      <c r="AF622" s="42" t="str">
        <f t="array" ref="AF622">INDEX('Deal Info'!D:D, MATCH(A622,'Deal Info'!A:A, 0))</f>
        <v>DoEV</v>
      </c>
      <c r="AG622" s="43" t="str">
        <f t="array" ref="AG622">INDEX('Deal Info'!G:G, MATCH(A622,'Deal Info'!A:A, 0))</f>
        <v>None</v>
      </c>
    </row>
    <row r="623" hidden="1">
      <c r="A623" s="23" t="str">
        <f t="array" ref="A623">if(G623='Room Info'!$B$1, INDEX('Room Info'!$A$2:$A3446, MATCH(B623,'Room Info'!$B$2:$B3446, 0)),if(G623='Room Info'!$C$1, INDEX('Room Info'!$A$2:$A3446, MATCH(B623,'Room Info'!$C$2:$C3446, 0)),if(G623='Room Info'!$D$1, INDEX('Room Info'!$A$2:$A3446, MATCH(B623,'Room Info'!$D$2:$D3446, 0)),if(G623='Room Info'!$E$1, INDEX('Room Info'!$A$2:$A3446, MATCH(B623,'Room Info'!$E$2:$E3446, 0)),if(G623='Room Info'!$F$1, INDEX('Room Info'!$A$2:$A3446, MATCH(B623,'Room Info'!$F$2:$F3446, 0)),if(G623='Room Info'!$H$1, INDEX('Room Info'!$A$2:$A3446, MATCH(B623,'Room Info'!$H$2:$H3446, 0)),if(G623='Room Info'!$G$1, INDEX('Room Info'!$A$2:$A3446, MATCH(B623,'Room Info'!$G$2:$G3446, 0)))))))))</f>
        <v>Berebka</v>
      </c>
      <c r="B623" s="50" t="s">
        <v>183</v>
      </c>
      <c r="C623" s="51">
        <v>44743.0</v>
      </c>
      <c r="D623" s="51">
        <v>44773.0</v>
      </c>
      <c r="E623" s="52">
        <v>44743.0</v>
      </c>
      <c r="F623" s="53" t="s">
        <v>8</v>
      </c>
      <c r="G623" s="50" t="s">
        <v>5</v>
      </c>
      <c r="H623" s="54" t="s">
        <v>35</v>
      </c>
      <c r="I623" s="54" t="s">
        <v>7</v>
      </c>
      <c r="J623" s="55">
        <v>5.0</v>
      </c>
      <c r="K623" s="56">
        <v>398.0</v>
      </c>
      <c r="L623" s="57">
        <v>160.0</v>
      </c>
      <c r="M623" s="58">
        <v>149.0</v>
      </c>
      <c r="N623" s="33">
        <f t="shared" si="13"/>
        <v>1990</v>
      </c>
      <c r="O623" s="59">
        <v>28638.0</v>
      </c>
      <c r="P623" s="34">
        <f t="shared" si="14"/>
        <v>71.95477387</v>
      </c>
      <c r="Q623" s="60"/>
      <c r="R623" s="36">
        <f t="shared" si="99"/>
        <v>149</v>
      </c>
      <c r="S623" s="61">
        <v>88.0</v>
      </c>
      <c r="T623" s="37">
        <f t="shared" si="100"/>
        <v>237</v>
      </c>
      <c r="U623" s="62">
        <v>1.0</v>
      </c>
      <c r="V623" s="63"/>
      <c r="W623" s="63"/>
      <c r="X623" s="83">
        <v>0.17</v>
      </c>
      <c r="Y623" s="35">
        <f t="shared" si="123"/>
        <v>0</v>
      </c>
      <c r="Z623" s="40">
        <f t="shared" si="120"/>
        <v>197</v>
      </c>
      <c r="AA623" s="65">
        <v>40.0</v>
      </c>
      <c r="AB623" s="41">
        <f t="shared" si="109"/>
        <v>0</v>
      </c>
      <c r="AC623" s="42" t="b">
        <v>1</v>
      </c>
      <c r="AD623" s="66" t="s">
        <v>138</v>
      </c>
      <c r="AE623" s="88" t="s">
        <v>138</v>
      </c>
      <c r="AF623" s="42" t="str">
        <f t="array" ref="AF623">INDEX('Deal Info'!D:D, MATCH(A623,'Deal Info'!A:A, 0))</f>
        <v>DoEV</v>
      </c>
      <c r="AG623" s="43" t="str">
        <f t="array" ref="AG623">INDEX('Deal Info'!G:G, MATCH(A623,'Deal Info'!A:A, 0))</f>
        <v>None</v>
      </c>
    </row>
    <row r="624" hidden="1">
      <c r="A624" s="23" t="str">
        <f t="array" ref="A624">if(G624='Room Info'!$B$1, INDEX('Room Info'!$A$2:$A3446, MATCH(B624,'Room Info'!$B$2:$B3446, 0)),if(G624='Room Info'!$C$1, INDEX('Room Info'!$A$2:$A3446, MATCH(B624,'Room Info'!$C$2:$C3446, 0)),if(G624='Room Info'!$D$1, INDEX('Room Info'!$A$2:$A3446, MATCH(B624,'Room Info'!$D$2:$D3446, 0)),if(G624='Room Info'!$E$1, INDEX('Room Info'!$A$2:$A3446, MATCH(B624,'Room Info'!$E$2:$E3446, 0)),if(G624='Room Info'!$F$1, INDEX('Room Info'!$A$2:$A3446, MATCH(B624,'Room Info'!$F$2:$F3446, 0)),if(G624='Room Info'!$H$1, INDEX('Room Info'!$A$2:$A3446, MATCH(B624,'Room Info'!$H$2:$H3446, 0)),if(G624='Room Info'!$G$1, INDEX('Room Info'!$A$2:$A3446, MATCH(B624,'Room Info'!$G$2:$G3446, 0)))))))))</f>
        <v>Berebka</v>
      </c>
      <c r="B624" s="50" t="s">
        <v>183</v>
      </c>
      <c r="C624" s="51">
        <v>44743.0</v>
      </c>
      <c r="D624" s="51">
        <v>44773.0</v>
      </c>
      <c r="E624" s="52">
        <v>44743.0</v>
      </c>
      <c r="F624" s="53" t="s">
        <v>8</v>
      </c>
      <c r="G624" s="50" t="s">
        <v>5</v>
      </c>
      <c r="H624" s="54" t="s">
        <v>45</v>
      </c>
      <c r="I624" s="54" t="s">
        <v>7</v>
      </c>
      <c r="J624" s="55">
        <v>10.0</v>
      </c>
      <c r="K624" s="56">
        <v>493.0</v>
      </c>
      <c r="L624" s="57">
        <v>90.0</v>
      </c>
      <c r="M624" s="58">
        <v>69.0</v>
      </c>
      <c r="N624" s="33">
        <f t="shared" si="13"/>
        <v>4930</v>
      </c>
      <c r="O624" s="59">
        <v>19214.0</v>
      </c>
      <c r="P624" s="34">
        <f t="shared" si="14"/>
        <v>38.97363083</v>
      </c>
      <c r="Q624" s="60"/>
      <c r="R624" s="36">
        <f t="shared" si="99"/>
        <v>69</v>
      </c>
      <c r="S624" s="61">
        <v>-2.0</v>
      </c>
      <c r="T624" s="37">
        <f t="shared" si="100"/>
        <v>67</v>
      </c>
      <c r="U624" s="62">
        <v>1.0</v>
      </c>
      <c r="V624" s="63"/>
      <c r="W624" s="63"/>
      <c r="X624" s="83">
        <v>0.17</v>
      </c>
      <c r="Y624" s="35">
        <f t="shared" si="123"/>
        <v>0</v>
      </c>
      <c r="Z624" s="40">
        <f t="shared" si="120"/>
        <v>56</v>
      </c>
      <c r="AA624" s="65">
        <v>11.0</v>
      </c>
      <c r="AB624" s="41">
        <f t="shared" si="109"/>
        <v>0</v>
      </c>
      <c r="AC624" s="42" t="b">
        <v>1</v>
      </c>
      <c r="AD624" s="66" t="s">
        <v>138</v>
      </c>
      <c r="AE624" s="88" t="s">
        <v>138</v>
      </c>
      <c r="AF624" s="42" t="str">
        <f t="array" ref="AF624">INDEX('Deal Info'!D:D, MATCH(A624,'Deal Info'!A:A, 0))</f>
        <v>DoEV</v>
      </c>
      <c r="AG624" s="43" t="str">
        <f t="array" ref="AG624">INDEX('Deal Info'!G:G, MATCH(A624,'Deal Info'!A:A, 0))</f>
        <v>None</v>
      </c>
    </row>
    <row r="625" hidden="1">
      <c r="A625" s="23" t="str">
        <f t="array" ref="A625">if(G625='Room Info'!$B$1, INDEX('Room Info'!$A$2:$A3446, MATCH(B625,'Room Info'!$B$2:$B3446, 0)),if(G625='Room Info'!$C$1, INDEX('Room Info'!$A$2:$A3446, MATCH(B625,'Room Info'!$C$2:$C3446, 0)),if(G625='Room Info'!$D$1, INDEX('Room Info'!$A$2:$A3446, MATCH(B625,'Room Info'!$D$2:$D3446, 0)),if(G625='Room Info'!$E$1, INDEX('Room Info'!$A$2:$A3446, MATCH(B625,'Room Info'!$E$2:$E3446, 0)),if(G625='Room Info'!$F$1, INDEX('Room Info'!$A$2:$A3446, MATCH(B625,'Room Info'!$F$2:$F3446, 0)),if(G625='Room Info'!$H$1, INDEX('Room Info'!$A$2:$A3446, MATCH(B625,'Room Info'!$H$2:$H3446, 0)),if(G625='Room Info'!$G$1, INDEX('Room Info'!$A$2:$A3446, MATCH(B625,'Room Info'!$G$2:$G3446, 0)))))))))</f>
        <v>Berebka</v>
      </c>
      <c r="B625" s="50" t="s">
        <v>183</v>
      </c>
      <c r="C625" s="51">
        <v>44743.0</v>
      </c>
      <c r="D625" s="51">
        <v>44773.0</v>
      </c>
      <c r="E625" s="52">
        <v>44743.0</v>
      </c>
      <c r="F625" s="53" t="s">
        <v>8</v>
      </c>
      <c r="G625" s="50" t="s">
        <v>16</v>
      </c>
      <c r="H625" s="54" t="s">
        <v>45</v>
      </c>
      <c r="I625" s="54" t="s">
        <v>7</v>
      </c>
      <c r="J625" s="55">
        <v>10.0</v>
      </c>
      <c r="K625" s="56">
        <v>673.0</v>
      </c>
      <c r="L625" s="57">
        <v>1750.0</v>
      </c>
      <c r="M625" s="58">
        <v>350.0</v>
      </c>
      <c r="N625" s="33">
        <f t="shared" si="13"/>
        <v>6730</v>
      </c>
      <c r="O625" s="59">
        <v>29057.0</v>
      </c>
      <c r="P625" s="34">
        <f t="shared" si="14"/>
        <v>43.17533432</v>
      </c>
      <c r="Q625" s="60"/>
      <c r="R625" s="36">
        <f t="shared" si="99"/>
        <v>350</v>
      </c>
      <c r="S625" s="61">
        <v>108.0</v>
      </c>
      <c r="T625" s="37">
        <f t="shared" si="100"/>
        <v>458</v>
      </c>
      <c r="U625" s="62">
        <v>1.0</v>
      </c>
      <c r="V625" s="63"/>
      <c r="W625" s="63"/>
      <c r="X625" s="83">
        <v>0.17</v>
      </c>
      <c r="Y625" s="35">
        <f t="shared" si="123"/>
        <v>0</v>
      </c>
      <c r="Z625" s="40">
        <f t="shared" si="120"/>
        <v>380</v>
      </c>
      <c r="AA625" s="65">
        <v>78.0</v>
      </c>
      <c r="AB625" s="41">
        <f t="shared" si="109"/>
        <v>0</v>
      </c>
      <c r="AC625" s="42" t="b">
        <v>1</v>
      </c>
      <c r="AD625" s="66" t="s">
        <v>138</v>
      </c>
      <c r="AE625" s="88" t="s">
        <v>138</v>
      </c>
      <c r="AF625" s="42" t="str">
        <f t="array" ref="AF625">INDEX('Deal Info'!D:D, MATCH(A625,'Deal Info'!A:A, 0))</f>
        <v>DoEV</v>
      </c>
      <c r="AG625" s="43" t="str">
        <f t="array" ref="AG625">INDEX('Deal Info'!G:G, MATCH(A625,'Deal Info'!A:A, 0))</f>
        <v>None</v>
      </c>
    </row>
    <row r="626" hidden="1">
      <c r="A626" s="23" t="str">
        <f t="array" ref="A626">if(G626='Room Info'!$B$1, INDEX('Room Info'!$A$2:$A3446, MATCH(B626,'Room Info'!$B$2:$B3446, 0)),if(G626='Room Info'!$C$1, INDEX('Room Info'!$A$2:$A3446, MATCH(B626,'Room Info'!$C$2:$C3446, 0)),if(G626='Room Info'!$D$1, INDEX('Room Info'!$A$2:$A3446, MATCH(B626,'Room Info'!$D$2:$D3446, 0)),if(G626='Room Info'!$E$1, INDEX('Room Info'!$A$2:$A3446, MATCH(B626,'Room Info'!$E$2:$E3446, 0)),if(G626='Room Info'!$F$1, INDEX('Room Info'!$A$2:$A3446, MATCH(B626,'Room Info'!$F$2:$F3446, 0)),if(G626='Room Info'!$H$1, INDEX('Room Info'!$A$2:$A3446, MATCH(B626,'Room Info'!$H$2:$H3446, 0)),if(G626='Room Info'!$G$1, INDEX('Room Info'!$A$2:$A3446, MATCH(B626,'Room Info'!$G$2:$G3446, 0)))))))))</f>
        <v>Berebka</v>
      </c>
      <c r="B626" s="50" t="s">
        <v>183</v>
      </c>
      <c r="C626" s="51">
        <v>44773.0</v>
      </c>
      <c r="D626" s="51">
        <v>44773.0</v>
      </c>
      <c r="E626" s="52">
        <v>44743.0</v>
      </c>
      <c r="F626" s="53" t="s">
        <v>8</v>
      </c>
      <c r="G626" s="50" t="s">
        <v>16</v>
      </c>
      <c r="H626" s="54" t="s">
        <v>45</v>
      </c>
      <c r="I626" s="54" t="s">
        <v>7</v>
      </c>
      <c r="J626" s="55">
        <v>10.0</v>
      </c>
      <c r="K626" s="56">
        <v>97.0</v>
      </c>
      <c r="L626" s="57">
        <v>10.0</v>
      </c>
      <c r="M626" s="58">
        <v>13.0</v>
      </c>
      <c r="N626" s="33">
        <f t="shared" si="13"/>
        <v>970</v>
      </c>
      <c r="O626" s="59">
        <v>4410.0</v>
      </c>
      <c r="P626" s="34">
        <f t="shared" si="14"/>
        <v>45.46391753</v>
      </c>
      <c r="Q626" s="60"/>
      <c r="R626" s="36">
        <f t="shared" si="99"/>
        <v>13</v>
      </c>
      <c r="S626" s="61">
        <v>20.0</v>
      </c>
      <c r="T626" s="37">
        <f t="shared" si="100"/>
        <v>33</v>
      </c>
      <c r="U626" s="62">
        <v>1.0</v>
      </c>
      <c r="V626" s="63"/>
      <c r="W626" s="63"/>
      <c r="X626" s="83">
        <v>0.17</v>
      </c>
      <c r="Y626" s="35">
        <f t="shared" si="123"/>
        <v>0</v>
      </c>
      <c r="Z626" s="40">
        <f t="shared" si="120"/>
        <v>27</v>
      </c>
      <c r="AA626" s="65">
        <v>6.0</v>
      </c>
      <c r="AB626" s="41">
        <f t="shared" si="109"/>
        <v>0</v>
      </c>
      <c r="AC626" s="42" t="b">
        <v>1</v>
      </c>
      <c r="AD626" s="66" t="s">
        <v>138</v>
      </c>
      <c r="AE626" s="88" t="s">
        <v>138</v>
      </c>
      <c r="AF626" s="42" t="str">
        <f t="array" ref="AF626">INDEX('Deal Info'!D:D, MATCH(A626,'Deal Info'!A:A, 0))</f>
        <v>DoEV</v>
      </c>
      <c r="AG626" s="43" t="str">
        <f t="array" ref="AG626">INDEX('Deal Info'!G:G, MATCH(A626,'Deal Info'!A:A, 0))</f>
        <v>None</v>
      </c>
    </row>
    <row r="627" hidden="1">
      <c r="A627" s="23" t="str">
        <f t="array" ref="A627">if(G627='Room Info'!$B$1, INDEX('Room Info'!$A$2:$A3446, MATCH(B627,'Room Info'!$B$2:$B3446, 0)),if(G627='Room Info'!$C$1, INDEX('Room Info'!$A$2:$A3446, MATCH(B627,'Room Info'!$C$2:$C3446, 0)),if(G627='Room Info'!$D$1, INDEX('Room Info'!$A$2:$A3446, MATCH(B627,'Room Info'!$D$2:$D3446, 0)),if(G627='Room Info'!$E$1, INDEX('Room Info'!$A$2:$A3446, MATCH(B627,'Room Info'!$E$2:$E3446, 0)),if(G627='Room Info'!$F$1, INDEX('Room Info'!$A$2:$A3446, MATCH(B627,'Room Info'!$F$2:$F3446, 0)),if(G627='Room Info'!$H$1, INDEX('Room Info'!$A$2:$A3446, MATCH(B627,'Room Info'!$H$2:$H3446, 0)),if(G627='Room Info'!$G$1, INDEX('Room Info'!$A$2:$A3446, MATCH(B627,'Room Info'!$G$2:$G3446, 0)))))))))</f>
        <v>Berebka</v>
      </c>
      <c r="B627" s="59" t="s">
        <v>183</v>
      </c>
      <c r="C627" s="51">
        <v>44774.0</v>
      </c>
      <c r="D627" s="51">
        <v>44804.0</v>
      </c>
      <c r="E627" s="52">
        <v>44774.0</v>
      </c>
      <c r="F627" s="53" t="s">
        <v>8</v>
      </c>
      <c r="G627" s="59" t="s">
        <v>5</v>
      </c>
      <c r="H627" s="54" t="s">
        <v>35</v>
      </c>
      <c r="I627" s="54" t="s">
        <v>7</v>
      </c>
      <c r="J627" s="55">
        <v>5.0</v>
      </c>
      <c r="K627" s="56">
        <v>183.0</v>
      </c>
      <c r="L627" s="57">
        <v>-25.0</v>
      </c>
      <c r="M627" s="58">
        <v>48.0</v>
      </c>
      <c r="N627" s="33">
        <f t="shared" si="13"/>
        <v>915</v>
      </c>
      <c r="O627" s="59">
        <v>5349.0</v>
      </c>
      <c r="P627" s="34">
        <f t="shared" si="14"/>
        <v>29.2295082</v>
      </c>
      <c r="Q627" s="60"/>
      <c r="R627" s="36">
        <f t="shared" si="99"/>
        <v>48</v>
      </c>
      <c r="S627" s="61">
        <v>-33.0</v>
      </c>
      <c r="T627" s="37">
        <f t="shared" si="100"/>
        <v>15</v>
      </c>
      <c r="U627" s="62">
        <v>1.0</v>
      </c>
      <c r="V627" s="63"/>
      <c r="W627" s="63"/>
      <c r="X627" s="83">
        <v>0.17</v>
      </c>
      <c r="Y627" s="35">
        <f t="shared" si="123"/>
        <v>0</v>
      </c>
      <c r="Z627" s="40">
        <f t="shared" si="120"/>
        <v>12</v>
      </c>
      <c r="AA627" s="65">
        <v>3.0</v>
      </c>
      <c r="AB627" s="41">
        <f t="shared" si="109"/>
        <v>0</v>
      </c>
      <c r="AC627" s="42" t="b">
        <v>1</v>
      </c>
      <c r="AD627" s="66" t="s">
        <v>138</v>
      </c>
      <c r="AE627" s="88" t="s">
        <v>138</v>
      </c>
      <c r="AF627" s="42" t="str">
        <f t="array" ref="AF627">INDEX('Deal Info'!D:D, MATCH(A627,'Deal Info'!A:A, 0))</f>
        <v>DoEV</v>
      </c>
      <c r="AG627" s="43" t="str">
        <f t="array" ref="AG627">INDEX('Deal Info'!G:G, MATCH(A627,'Deal Info'!A:A, 0))</f>
        <v>None</v>
      </c>
    </row>
    <row r="628" hidden="1">
      <c r="A628" s="23" t="str">
        <f t="array" ref="A628">if(G628='Room Info'!$B$1, INDEX('Room Info'!$A$2:$A3446, MATCH(B628,'Room Info'!$B$2:$B3446, 0)),if(G628='Room Info'!$C$1, INDEX('Room Info'!$A$2:$A3446, MATCH(B628,'Room Info'!$C$2:$C3446, 0)),if(G628='Room Info'!$D$1, INDEX('Room Info'!$A$2:$A3446, MATCH(B628,'Room Info'!$D$2:$D3446, 0)),if(G628='Room Info'!$E$1, INDEX('Room Info'!$A$2:$A3446, MATCH(B628,'Room Info'!$E$2:$E3446, 0)),if(G628='Room Info'!$F$1, INDEX('Room Info'!$A$2:$A3446, MATCH(B628,'Room Info'!$F$2:$F3446, 0)),if(G628='Room Info'!$H$1, INDEX('Room Info'!$A$2:$A3446, MATCH(B628,'Room Info'!$H$2:$H3446, 0)),if(G628='Room Info'!$G$1, INDEX('Room Info'!$A$2:$A3446, MATCH(B628,'Room Info'!$G$2:$G3446, 0)))))))))</f>
        <v>Berebka</v>
      </c>
      <c r="B628" s="59" t="s">
        <v>183</v>
      </c>
      <c r="C628" s="51">
        <v>44774.0</v>
      </c>
      <c r="D628" s="51">
        <v>44804.0</v>
      </c>
      <c r="E628" s="52">
        <v>44774.0</v>
      </c>
      <c r="F628" s="53" t="s">
        <v>8</v>
      </c>
      <c r="G628" s="59" t="s">
        <v>5</v>
      </c>
      <c r="H628" s="54" t="s">
        <v>45</v>
      </c>
      <c r="I628" s="54" t="s">
        <v>7</v>
      </c>
      <c r="J628" s="55">
        <v>10.0</v>
      </c>
      <c r="K628" s="56">
        <v>1864.0</v>
      </c>
      <c r="L628" s="57">
        <v>190.0</v>
      </c>
      <c r="M628" s="58">
        <v>856.0</v>
      </c>
      <c r="N628" s="33">
        <f t="shared" si="13"/>
        <v>18640</v>
      </c>
      <c r="O628" s="59">
        <v>94085.0</v>
      </c>
      <c r="P628" s="34">
        <f t="shared" si="14"/>
        <v>50.47478541</v>
      </c>
      <c r="Q628" s="60"/>
      <c r="R628" s="36">
        <f t="shared" si="99"/>
        <v>856</v>
      </c>
      <c r="S628" s="61">
        <v>333.0</v>
      </c>
      <c r="T628" s="37">
        <f t="shared" si="100"/>
        <v>1189</v>
      </c>
      <c r="U628" s="62">
        <v>1.0</v>
      </c>
      <c r="V628" s="63"/>
      <c r="W628" s="63"/>
      <c r="X628" s="83">
        <v>0.3</v>
      </c>
      <c r="Y628" s="35">
        <f t="shared" si="123"/>
        <v>0</v>
      </c>
      <c r="Z628" s="40">
        <f t="shared" si="120"/>
        <v>987</v>
      </c>
      <c r="AA628" s="65">
        <v>202.0</v>
      </c>
      <c r="AB628" s="41">
        <f t="shared" si="109"/>
        <v>0</v>
      </c>
      <c r="AC628" s="42" t="b">
        <v>1</v>
      </c>
      <c r="AD628" s="66" t="s">
        <v>138</v>
      </c>
      <c r="AE628" s="88" t="s">
        <v>138</v>
      </c>
      <c r="AF628" s="42" t="str">
        <f t="array" ref="AF628">INDEX('Deal Info'!D:D, MATCH(A628,'Deal Info'!A:A, 0))</f>
        <v>DoEV</v>
      </c>
      <c r="AG628" s="43" t="str">
        <f t="array" ref="AG628">INDEX('Deal Info'!G:G, MATCH(A628,'Deal Info'!A:A, 0))</f>
        <v>None</v>
      </c>
    </row>
    <row r="629" hidden="1">
      <c r="A629" s="23" t="str">
        <f t="array" ref="A629">if(G629='Room Info'!$B$1, INDEX('Room Info'!$A$2:$A3446, MATCH(B629,'Room Info'!$B$2:$B3446, 0)),if(G629='Room Info'!$C$1, INDEX('Room Info'!$A$2:$A3446, MATCH(B629,'Room Info'!$C$2:$C3446, 0)),if(G629='Room Info'!$D$1, INDEX('Room Info'!$A$2:$A3446, MATCH(B629,'Room Info'!$D$2:$D3446, 0)),if(G629='Room Info'!$E$1, INDEX('Room Info'!$A$2:$A3446, MATCH(B629,'Room Info'!$E$2:$E3446, 0)),if(G629='Room Info'!$F$1, INDEX('Room Info'!$A$2:$A3446, MATCH(B629,'Room Info'!$F$2:$F3446, 0)),if(G629='Room Info'!$H$1, INDEX('Room Info'!$A$2:$A3446, MATCH(B629,'Room Info'!$H$2:$H3446, 0)),if(G629='Room Info'!$G$1, INDEX('Room Info'!$A$2:$A3446, MATCH(B629,'Room Info'!$G$2:$G3446, 0)))))))))</f>
        <v>Berebka</v>
      </c>
      <c r="B629" s="59" t="s">
        <v>183</v>
      </c>
      <c r="C629" s="51">
        <v>44805.0</v>
      </c>
      <c r="D629" s="51">
        <v>44834.0</v>
      </c>
      <c r="E629" s="52">
        <v>44805.0</v>
      </c>
      <c r="F629" s="53" t="s">
        <v>8</v>
      </c>
      <c r="G629" s="59" t="s">
        <v>5</v>
      </c>
      <c r="H629" s="54" t="s">
        <v>35</v>
      </c>
      <c r="I629" s="54" t="s">
        <v>7</v>
      </c>
      <c r="J629" s="55">
        <v>5.0</v>
      </c>
      <c r="K629" s="56">
        <v>274.0</v>
      </c>
      <c r="L629" s="57">
        <v>-20.0</v>
      </c>
      <c r="M629" s="58">
        <v>36.0</v>
      </c>
      <c r="N629" s="33">
        <f t="shared" si="13"/>
        <v>1370</v>
      </c>
      <c r="O629" s="59">
        <v>13794.0</v>
      </c>
      <c r="P629" s="34">
        <f t="shared" si="14"/>
        <v>50.34306569</v>
      </c>
      <c r="Q629" s="60"/>
      <c r="R629" s="36">
        <f t="shared" si="99"/>
        <v>36</v>
      </c>
      <c r="S629" s="61">
        <v>10.0</v>
      </c>
      <c r="T629" s="37">
        <f t="shared" si="100"/>
        <v>46</v>
      </c>
      <c r="U629" s="62">
        <v>1.0</v>
      </c>
      <c r="V629" s="63"/>
      <c r="W629" s="63"/>
      <c r="X629" s="83">
        <v>0.3</v>
      </c>
      <c r="Y629" s="35">
        <f t="shared" si="123"/>
        <v>0</v>
      </c>
      <c r="Z629" s="40">
        <f t="shared" si="120"/>
        <v>32</v>
      </c>
      <c r="AA629" s="65">
        <v>14.0</v>
      </c>
      <c r="AB629" s="41">
        <f t="shared" si="109"/>
        <v>0</v>
      </c>
      <c r="AC629" s="42" t="b">
        <v>1</v>
      </c>
      <c r="AD629" s="66" t="s">
        <v>138</v>
      </c>
      <c r="AE629" s="88" t="s">
        <v>138</v>
      </c>
      <c r="AF629" s="42" t="str">
        <f t="array" ref="AF629">INDEX('Deal Info'!D:D, MATCH(A629,'Deal Info'!A:A, 0))</f>
        <v>DoEV</v>
      </c>
      <c r="AG629" s="43" t="str">
        <f t="array" ref="AG629">INDEX('Deal Info'!G:G, MATCH(A629,'Deal Info'!A:A, 0))</f>
        <v>None</v>
      </c>
    </row>
    <row r="630" hidden="1">
      <c r="A630" s="23" t="str">
        <f t="array" ref="A630">if(G630='Room Info'!$B$1, INDEX('Room Info'!$A$2:$A3446, MATCH(B630,'Room Info'!$B$2:$B3446, 0)),if(G630='Room Info'!$C$1, INDEX('Room Info'!$A$2:$A3446, MATCH(B630,'Room Info'!$C$2:$C3446, 0)),if(G630='Room Info'!$D$1, INDEX('Room Info'!$A$2:$A3446, MATCH(B630,'Room Info'!$D$2:$D3446, 0)),if(G630='Room Info'!$E$1, INDEX('Room Info'!$A$2:$A3446, MATCH(B630,'Room Info'!$E$2:$E3446, 0)),if(G630='Room Info'!$F$1, INDEX('Room Info'!$A$2:$A3446, MATCH(B630,'Room Info'!$F$2:$F3446, 0)),if(G630='Room Info'!$H$1, INDEX('Room Info'!$A$2:$A3446, MATCH(B630,'Room Info'!$H$2:$H3446, 0)),if(G630='Room Info'!$G$1, INDEX('Room Info'!$A$2:$A3446, MATCH(B630,'Room Info'!$G$2:$G3446, 0)))))))))</f>
        <v>Berebka</v>
      </c>
      <c r="B630" s="50" t="s">
        <v>183</v>
      </c>
      <c r="C630" s="51">
        <v>44805.0</v>
      </c>
      <c r="D630" s="51">
        <v>44834.0</v>
      </c>
      <c r="E630" s="52">
        <v>44805.0</v>
      </c>
      <c r="F630" s="53" t="s">
        <v>8</v>
      </c>
      <c r="G630" s="50" t="s">
        <v>5</v>
      </c>
      <c r="H630" s="54" t="s">
        <v>45</v>
      </c>
      <c r="I630" s="54" t="s">
        <v>7</v>
      </c>
      <c r="J630" s="55">
        <v>10.0</v>
      </c>
      <c r="K630" s="56">
        <v>2856.0</v>
      </c>
      <c r="L630" s="57">
        <v>-1300.0</v>
      </c>
      <c r="M630" s="58">
        <v>655.0</v>
      </c>
      <c r="N630" s="33">
        <f t="shared" si="13"/>
        <v>28560</v>
      </c>
      <c r="O630" s="59">
        <v>81431.0</v>
      </c>
      <c r="P630" s="34">
        <f t="shared" si="14"/>
        <v>28.5122549</v>
      </c>
      <c r="Q630" s="60"/>
      <c r="R630" s="36">
        <f t="shared" si="99"/>
        <v>655</v>
      </c>
      <c r="S630" s="61">
        <v>-496.0</v>
      </c>
      <c r="T630" s="37">
        <f t="shared" si="100"/>
        <v>159</v>
      </c>
      <c r="U630" s="62">
        <v>1.0</v>
      </c>
      <c r="V630" s="63"/>
      <c r="W630" s="63"/>
      <c r="X630" s="83">
        <v>0.3</v>
      </c>
      <c r="Y630" s="35">
        <f t="shared" si="123"/>
        <v>0</v>
      </c>
      <c r="Z630" s="40">
        <f t="shared" si="120"/>
        <v>111</v>
      </c>
      <c r="AA630" s="65">
        <v>48.0</v>
      </c>
      <c r="AB630" s="41">
        <f t="shared" si="109"/>
        <v>0</v>
      </c>
      <c r="AC630" s="42" t="b">
        <v>1</v>
      </c>
      <c r="AD630" s="66" t="s">
        <v>138</v>
      </c>
      <c r="AE630" s="88" t="s">
        <v>138</v>
      </c>
      <c r="AF630" s="42" t="str">
        <f t="array" ref="AF630">INDEX('Deal Info'!D:D, MATCH(A630,'Deal Info'!A:A, 0))</f>
        <v>DoEV</v>
      </c>
      <c r="AG630" s="43" t="str">
        <f t="array" ref="AG630">INDEX('Deal Info'!G:G, MATCH(A630,'Deal Info'!A:A, 0))</f>
        <v>None</v>
      </c>
    </row>
    <row r="631" hidden="1">
      <c r="A631" s="23" t="str">
        <f t="array" ref="A631">if(G631='Room Info'!$B$1, INDEX('Room Info'!$A$2:$A3446, MATCH(B631,'Room Info'!$B$2:$B3446, 0)),if(G631='Room Info'!$C$1, INDEX('Room Info'!$A$2:$A3446, MATCH(B631,'Room Info'!$C$2:$C3446, 0)),if(G631='Room Info'!$D$1, INDEX('Room Info'!$A$2:$A3446, MATCH(B631,'Room Info'!$D$2:$D3446, 0)),if(G631='Room Info'!$E$1, INDEX('Room Info'!$A$2:$A3446, MATCH(B631,'Room Info'!$E$2:$E3446, 0)),if(G631='Room Info'!$F$1, INDEX('Room Info'!$A$2:$A3446, MATCH(B631,'Room Info'!$F$2:$F3446, 0)),if(G631='Room Info'!$H$1, INDEX('Room Info'!$A$2:$A3446, MATCH(B631,'Room Info'!$H$2:$H3446, 0)),if(G631='Room Info'!$G$1, INDEX('Room Info'!$A$2:$A3446, MATCH(B631,'Room Info'!$G$2:$G3446, 0)))))))))</f>
        <v>Berebka</v>
      </c>
      <c r="B631" s="50" t="s">
        <v>183</v>
      </c>
      <c r="C631" s="51">
        <v>44805.0</v>
      </c>
      <c r="D631" s="51">
        <v>44834.0</v>
      </c>
      <c r="E631" s="52">
        <v>44805.0</v>
      </c>
      <c r="F631" s="50" t="s">
        <v>8</v>
      </c>
      <c r="G631" s="59" t="s">
        <v>5</v>
      </c>
      <c r="H631" s="54" t="s">
        <v>62</v>
      </c>
      <c r="I631" s="54" t="s">
        <v>7</v>
      </c>
      <c r="J631" s="55">
        <v>25.0</v>
      </c>
      <c r="K631" s="56">
        <v>277.0</v>
      </c>
      <c r="L631" s="57">
        <v>25.0</v>
      </c>
      <c r="M631" s="58">
        <v>136.0</v>
      </c>
      <c r="N631" s="33">
        <f t="shared" si="13"/>
        <v>6925</v>
      </c>
      <c r="O631" s="59">
        <v>12324.0</v>
      </c>
      <c r="P631" s="34">
        <f t="shared" si="14"/>
        <v>44.49097473</v>
      </c>
      <c r="Q631" s="60"/>
      <c r="R631" s="36">
        <f t="shared" si="99"/>
        <v>136</v>
      </c>
      <c r="S631" s="61">
        <v>159.0</v>
      </c>
      <c r="T631" s="37">
        <f t="shared" si="100"/>
        <v>295</v>
      </c>
      <c r="U631" s="62">
        <v>1.0</v>
      </c>
      <c r="V631" s="63"/>
      <c r="W631" s="63"/>
      <c r="X631" s="83">
        <v>0.17</v>
      </c>
      <c r="Y631" s="35">
        <f t="shared" si="123"/>
        <v>0</v>
      </c>
      <c r="Z631" s="40">
        <f t="shared" si="120"/>
        <v>206</v>
      </c>
      <c r="AA631" s="65">
        <v>89.0</v>
      </c>
      <c r="AB631" s="41">
        <f t="shared" si="109"/>
        <v>0</v>
      </c>
      <c r="AC631" s="42" t="b">
        <v>1</v>
      </c>
      <c r="AD631" s="66" t="s">
        <v>138</v>
      </c>
      <c r="AE631" s="88" t="s">
        <v>138</v>
      </c>
      <c r="AF631" s="42" t="str">
        <f t="array" ref="AF631">INDEX('Deal Info'!D:D, MATCH(A631,'Deal Info'!A:A, 0))</f>
        <v>DoEV</v>
      </c>
      <c r="AG631" s="43" t="str">
        <f t="array" ref="AG631">INDEX('Deal Info'!G:G, MATCH(A631,'Deal Info'!A:A, 0))</f>
        <v>None</v>
      </c>
    </row>
    <row r="632" hidden="1">
      <c r="A632" s="23" t="str">
        <f t="array" ref="A632">if(G632='Room Info'!$B$1, INDEX('Room Info'!$A$2:$A3446, MATCH(B632,'Room Info'!$B$2:$B3446, 0)),if(G632='Room Info'!$C$1, INDEX('Room Info'!$A$2:$A3446, MATCH(B632,'Room Info'!$C$2:$C3446, 0)),if(G632='Room Info'!$D$1, INDEX('Room Info'!$A$2:$A3446, MATCH(B632,'Room Info'!$D$2:$D3446, 0)),if(G632='Room Info'!$E$1, INDEX('Room Info'!$A$2:$A3446, MATCH(B632,'Room Info'!$E$2:$E3446, 0)),if(G632='Room Info'!$F$1, INDEX('Room Info'!$A$2:$A3446, MATCH(B632,'Room Info'!$F$2:$F3446, 0)),if(G632='Room Info'!$H$1, INDEX('Room Info'!$A$2:$A3446, MATCH(B632,'Room Info'!$H$2:$H3446, 0)),if(G632='Room Info'!$G$1, INDEX('Room Info'!$A$2:$A3446, MATCH(B632,'Room Info'!$G$2:$G3446, 0)))))))))</f>
        <v>Berebka</v>
      </c>
      <c r="B632" s="59" t="s">
        <v>183</v>
      </c>
      <c r="C632" s="51">
        <v>44805.0</v>
      </c>
      <c r="D632" s="51">
        <v>44834.0</v>
      </c>
      <c r="E632" s="52">
        <v>44805.0</v>
      </c>
      <c r="F632" s="50" t="s">
        <v>8</v>
      </c>
      <c r="G632" s="59" t="s">
        <v>16</v>
      </c>
      <c r="H632" s="54" t="s">
        <v>45</v>
      </c>
      <c r="I632" s="54" t="s">
        <v>7</v>
      </c>
      <c r="J632" s="55">
        <v>10.0</v>
      </c>
      <c r="K632" s="56">
        <v>667.0</v>
      </c>
      <c r="L632" s="57">
        <v>190.0</v>
      </c>
      <c r="M632" s="81">
        <v>127.0</v>
      </c>
      <c r="N632" s="33">
        <f t="shared" si="13"/>
        <v>6670</v>
      </c>
      <c r="O632" s="59">
        <v>43769.0</v>
      </c>
      <c r="P632" s="34">
        <f t="shared" si="14"/>
        <v>65.62068966</v>
      </c>
      <c r="Q632" s="60"/>
      <c r="R632" s="36">
        <f t="shared" si="99"/>
        <v>127</v>
      </c>
      <c r="S632" s="61">
        <v>354.0</v>
      </c>
      <c r="T632" s="37">
        <f t="shared" si="100"/>
        <v>481</v>
      </c>
      <c r="U632" s="62">
        <v>1.0</v>
      </c>
      <c r="V632" s="63"/>
      <c r="W632" s="63"/>
      <c r="X632" s="83">
        <v>0.17</v>
      </c>
      <c r="Y632" s="35">
        <f t="shared" si="123"/>
        <v>0</v>
      </c>
      <c r="Z632" s="40">
        <f t="shared" si="120"/>
        <v>399</v>
      </c>
      <c r="AA632" s="65">
        <v>82.0</v>
      </c>
      <c r="AB632" s="41">
        <f t="shared" si="109"/>
        <v>0</v>
      </c>
      <c r="AC632" s="42" t="b">
        <v>1</v>
      </c>
      <c r="AD632" s="66" t="s">
        <v>138</v>
      </c>
      <c r="AE632" s="88" t="s">
        <v>138</v>
      </c>
      <c r="AF632" s="42" t="str">
        <f t="array" ref="AF632">INDEX('Deal Info'!D:D, MATCH(A632,'Deal Info'!A:A, 0))</f>
        <v>DoEV</v>
      </c>
      <c r="AG632" s="43" t="str">
        <f t="array" ref="AG632">INDEX('Deal Info'!G:G, MATCH(A632,'Deal Info'!A:A, 0))</f>
        <v>None</v>
      </c>
    </row>
    <row r="633" hidden="1">
      <c r="A633" s="23" t="str">
        <f t="array" ref="A633">if(G633='Room Info'!$B$1, INDEX('Room Info'!$A$2:$A3446, MATCH(B633,'Room Info'!$B$2:$B3446, 0)),if(G633='Room Info'!$C$1, INDEX('Room Info'!$A$2:$A3446, MATCH(B633,'Room Info'!$C$2:$C3446, 0)),if(G633='Room Info'!$D$1, INDEX('Room Info'!$A$2:$A3446, MATCH(B633,'Room Info'!$D$2:$D3446, 0)),if(G633='Room Info'!$E$1, INDEX('Room Info'!$A$2:$A3446, MATCH(B633,'Room Info'!$E$2:$E3446, 0)),if(G633='Room Info'!$F$1, INDEX('Room Info'!$A$2:$A3446, MATCH(B633,'Room Info'!$F$2:$F3446, 0)),if(G633='Room Info'!$H$1, INDEX('Room Info'!$A$2:$A3446, MATCH(B633,'Room Info'!$H$2:$H3446, 0)),if(G633='Room Info'!$G$1, INDEX('Room Info'!$A$2:$A3446, MATCH(B633,'Room Info'!$G$2:$G3446, 0)))))))))</f>
        <v>Berebka</v>
      </c>
      <c r="B633" s="59" t="s">
        <v>183</v>
      </c>
      <c r="C633" s="51">
        <v>44835.0</v>
      </c>
      <c r="D633" s="51">
        <v>44865.0</v>
      </c>
      <c r="E633" s="52">
        <v>44835.0</v>
      </c>
      <c r="F633" s="50" t="s">
        <v>8</v>
      </c>
      <c r="G633" s="59" t="s">
        <v>5</v>
      </c>
      <c r="H633" s="54" t="s">
        <v>45</v>
      </c>
      <c r="I633" s="54" t="s">
        <v>7</v>
      </c>
      <c r="J633" s="55">
        <v>10.0</v>
      </c>
      <c r="K633" s="56">
        <v>5150.0</v>
      </c>
      <c r="L633" s="57">
        <v>-1370.0</v>
      </c>
      <c r="M633" s="58">
        <v>2310.0</v>
      </c>
      <c r="N633" s="33">
        <f t="shared" si="13"/>
        <v>51500</v>
      </c>
      <c r="O633" s="59">
        <v>169971.0</v>
      </c>
      <c r="P633" s="34">
        <f t="shared" si="14"/>
        <v>33.00407767</v>
      </c>
      <c r="Q633" s="60"/>
      <c r="R633" s="36">
        <f t="shared" si="99"/>
        <v>2310</v>
      </c>
      <c r="S633" s="61">
        <v>-963.0</v>
      </c>
      <c r="T633" s="37">
        <f t="shared" si="100"/>
        <v>1347</v>
      </c>
      <c r="U633" s="62">
        <v>1.0</v>
      </c>
      <c r="V633" s="63"/>
      <c r="W633" s="63"/>
      <c r="X633" s="83">
        <v>0.23</v>
      </c>
      <c r="Y633" s="35">
        <f t="shared" si="123"/>
        <v>0</v>
      </c>
      <c r="Z633" s="40">
        <f t="shared" si="120"/>
        <v>1118</v>
      </c>
      <c r="AA633" s="65">
        <v>229.0</v>
      </c>
      <c r="AB633" s="41">
        <f t="shared" si="109"/>
        <v>0</v>
      </c>
      <c r="AC633" s="42" t="b">
        <v>1</v>
      </c>
      <c r="AD633" s="66" t="s">
        <v>138</v>
      </c>
      <c r="AE633" s="88" t="s">
        <v>138</v>
      </c>
      <c r="AF633" s="42" t="str">
        <f t="array" ref="AF633">INDEX('Deal Info'!D:D, MATCH(A633,'Deal Info'!A:A, 0))</f>
        <v>DoEV</v>
      </c>
      <c r="AG633" s="43" t="str">
        <f t="array" ref="AG633">INDEX('Deal Info'!G:G, MATCH(A633,'Deal Info'!A:A, 0))</f>
        <v>None</v>
      </c>
    </row>
    <row r="634" hidden="1">
      <c r="A634" s="23" t="str">
        <f t="array" ref="A634">if(G634='Room Info'!$B$1, INDEX('Room Info'!$A$2:$A3446, MATCH(B634,'Room Info'!$B$2:$B3446, 0)),if(G634='Room Info'!$C$1, INDEX('Room Info'!$A$2:$A3446, MATCH(B634,'Room Info'!$C$2:$C3446, 0)),if(G634='Room Info'!$D$1, INDEX('Room Info'!$A$2:$A3446, MATCH(B634,'Room Info'!$D$2:$D3446, 0)),if(G634='Room Info'!$E$1, INDEX('Room Info'!$A$2:$A3446, MATCH(B634,'Room Info'!$E$2:$E3446, 0)),if(G634='Room Info'!$F$1, INDEX('Room Info'!$A$2:$A3446, MATCH(B634,'Room Info'!$F$2:$F3446, 0)),if(G634='Room Info'!$H$1, INDEX('Room Info'!$A$2:$A3446, MATCH(B634,'Room Info'!$H$2:$H3446, 0)),if(G634='Room Info'!$G$1, INDEX('Room Info'!$A$2:$A3446, MATCH(B634,'Room Info'!$G$2:$G3446, 0)))))))))</f>
        <v>Berebka</v>
      </c>
      <c r="B634" s="50" t="s">
        <v>183</v>
      </c>
      <c r="C634" s="51">
        <v>44835.0</v>
      </c>
      <c r="D634" s="51">
        <v>44865.0</v>
      </c>
      <c r="E634" s="52">
        <v>44835.0</v>
      </c>
      <c r="F634" s="53" t="s">
        <v>8</v>
      </c>
      <c r="G634" s="50" t="s">
        <v>16</v>
      </c>
      <c r="H634" s="54" t="s">
        <v>45</v>
      </c>
      <c r="I634" s="54" t="s">
        <v>7</v>
      </c>
      <c r="J634" s="55">
        <v>10.0</v>
      </c>
      <c r="K634" s="56">
        <v>7.0</v>
      </c>
      <c r="L634" s="57">
        <v>20.0</v>
      </c>
      <c r="M634" s="67"/>
      <c r="N634" s="33">
        <f t="shared" si="13"/>
        <v>70</v>
      </c>
      <c r="O634" s="59">
        <v>-133.0</v>
      </c>
      <c r="P634" s="34">
        <f t="shared" si="14"/>
        <v>-19</v>
      </c>
      <c r="Q634" s="60"/>
      <c r="R634" s="36">
        <f t="shared" si="99"/>
        <v>0</v>
      </c>
      <c r="S634" s="61">
        <v>-7.0</v>
      </c>
      <c r="T634" s="37">
        <f t="shared" si="100"/>
        <v>-7</v>
      </c>
      <c r="U634" s="62">
        <v>1.0</v>
      </c>
      <c r="V634" s="63"/>
      <c r="W634" s="63"/>
      <c r="X634" s="83">
        <v>0.23</v>
      </c>
      <c r="Y634" s="35">
        <f t="shared" si="123"/>
        <v>0</v>
      </c>
      <c r="Z634" s="40">
        <f t="shared" si="120"/>
        <v>-5</v>
      </c>
      <c r="AA634" s="65">
        <v>-2.0</v>
      </c>
      <c r="AB634" s="41">
        <f t="shared" si="109"/>
        <v>0</v>
      </c>
      <c r="AC634" s="42" t="b">
        <v>1</v>
      </c>
      <c r="AD634" s="66" t="s">
        <v>138</v>
      </c>
      <c r="AE634" s="88" t="s">
        <v>138</v>
      </c>
      <c r="AF634" s="42" t="str">
        <f t="array" ref="AF634">INDEX('Deal Info'!D:D, MATCH(A634,'Deal Info'!A:A, 0))</f>
        <v>DoEV</v>
      </c>
      <c r="AG634" s="43" t="str">
        <f t="array" ref="AG634">INDEX('Deal Info'!G:G, MATCH(A634,'Deal Info'!A:A, 0))</f>
        <v>None</v>
      </c>
    </row>
    <row r="635" hidden="1">
      <c r="A635" s="23" t="str">
        <f t="array" ref="A635">if(G635='Room Info'!$B$1, INDEX('Room Info'!$A$2:$A3446, MATCH(B635,'Room Info'!$B$2:$B3446, 0)),if(G635='Room Info'!$C$1, INDEX('Room Info'!$A$2:$A3446, MATCH(B635,'Room Info'!$C$2:$C3446, 0)),if(G635='Room Info'!$D$1, INDEX('Room Info'!$A$2:$A3446, MATCH(B635,'Room Info'!$D$2:$D3446, 0)),if(G635='Room Info'!$E$1, INDEX('Room Info'!$A$2:$A3446, MATCH(B635,'Room Info'!$E$2:$E3446, 0)),if(G635='Room Info'!$F$1, INDEX('Room Info'!$A$2:$A3446, MATCH(B635,'Room Info'!$F$2:$F3446, 0)),if(G635='Room Info'!$H$1, INDEX('Room Info'!$A$2:$A3446, MATCH(B635,'Room Info'!$H$2:$H3446, 0)),if(G635='Room Info'!$G$1, INDEX('Room Info'!$A$2:$A3446, MATCH(B635,'Room Info'!$G$2:$G3446, 0)))))))))</f>
        <v>Berebka</v>
      </c>
      <c r="B635" s="50" t="s">
        <v>183</v>
      </c>
      <c r="C635" s="51">
        <v>44866.0</v>
      </c>
      <c r="D635" s="51">
        <v>44895.0</v>
      </c>
      <c r="E635" s="52">
        <v>44866.0</v>
      </c>
      <c r="F635" s="53" t="s">
        <v>8</v>
      </c>
      <c r="G635" s="50" t="s">
        <v>5</v>
      </c>
      <c r="H635" s="54" t="s">
        <v>35</v>
      </c>
      <c r="I635" s="54" t="s">
        <v>7</v>
      </c>
      <c r="J635" s="55">
        <v>5.0</v>
      </c>
      <c r="K635" s="56">
        <v>68.0</v>
      </c>
      <c r="L635" s="57">
        <v>100.0</v>
      </c>
      <c r="M635" s="58">
        <v>15.0</v>
      </c>
      <c r="N635" s="33">
        <f t="shared" si="13"/>
        <v>340</v>
      </c>
      <c r="O635" s="59">
        <v>5195.0</v>
      </c>
      <c r="P635" s="34">
        <f t="shared" si="14"/>
        <v>76.39705882</v>
      </c>
      <c r="Q635" s="60"/>
      <c r="R635" s="36">
        <f t="shared" si="99"/>
        <v>15</v>
      </c>
      <c r="S635" s="61">
        <v>16.0</v>
      </c>
      <c r="T635" s="37">
        <f t="shared" si="100"/>
        <v>31</v>
      </c>
      <c r="U635" s="62">
        <v>1.0</v>
      </c>
      <c r="V635" s="63"/>
      <c r="W635" s="63"/>
      <c r="X635" s="83">
        <v>0.23</v>
      </c>
      <c r="Y635" s="35">
        <f t="shared" si="123"/>
        <v>0</v>
      </c>
      <c r="Z635" s="40">
        <f t="shared" si="120"/>
        <v>24</v>
      </c>
      <c r="AA635" s="65">
        <v>7.0</v>
      </c>
      <c r="AB635" s="41">
        <f t="shared" si="109"/>
        <v>0</v>
      </c>
      <c r="AC635" s="42" t="b">
        <v>1</v>
      </c>
      <c r="AD635" s="66" t="s">
        <v>138</v>
      </c>
      <c r="AE635" s="88" t="s">
        <v>138</v>
      </c>
      <c r="AF635" s="42" t="str">
        <f t="array" ref="AF635">INDEX('Deal Info'!D:D, MATCH(A635,'Deal Info'!A:A, 0))</f>
        <v>DoEV</v>
      </c>
      <c r="AG635" s="43" t="str">
        <f t="array" ref="AG635">INDEX('Deal Info'!G:G, MATCH(A635,'Deal Info'!A:A, 0))</f>
        <v>None</v>
      </c>
    </row>
    <row r="636" hidden="1">
      <c r="A636" s="23" t="str">
        <f t="array" ref="A636">if(G636='Room Info'!$B$1, INDEX('Room Info'!$A$2:$A3446, MATCH(B636,'Room Info'!$B$2:$B3446, 0)),if(G636='Room Info'!$C$1, INDEX('Room Info'!$A$2:$A3446, MATCH(B636,'Room Info'!$C$2:$C3446, 0)),if(G636='Room Info'!$D$1, INDEX('Room Info'!$A$2:$A3446, MATCH(B636,'Room Info'!$D$2:$D3446, 0)),if(G636='Room Info'!$E$1, INDEX('Room Info'!$A$2:$A3446, MATCH(B636,'Room Info'!$E$2:$E3446, 0)),if(G636='Room Info'!$F$1, INDEX('Room Info'!$A$2:$A3446, MATCH(B636,'Room Info'!$F$2:$F3446, 0)),if(G636='Room Info'!$H$1, INDEX('Room Info'!$A$2:$A3446, MATCH(B636,'Room Info'!$H$2:$H3446, 0)),if(G636='Room Info'!$G$1, INDEX('Room Info'!$A$2:$A3446, MATCH(B636,'Room Info'!$G$2:$G3446, 0)))))))))</f>
        <v>Berebka</v>
      </c>
      <c r="B636" s="50" t="s">
        <v>183</v>
      </c>
      <c r="C636" s="51">
        <v>44866.0</v>
      </c>
      <c r="D636" s="51">
        <v>44895.0</v>
      </c>
      <c r="E636" s="52">
        <v>44866.0</v>
      </c>
      <c r="F636" s="53" t="s">
        <v>8</v>
      </c>
      <c r="G636" s="50" t="s">
        <v>5</v>
      </c>
      <c r="H636" s="54" t="s">
        <v>45</v>
      </c>
      <c r="I636" s="54" t="s">
        <v>7</v>
      </c>
      <c r="J636" s="55">
        <v>10.0</v>
      </c>
      <c r="K636" s="56">
        <v>72.0</v>
      </c>
      <c r="L636" s="57">
        <v>-90.0</v>
      </c>
      <c r="M636" s="58">
        <v>28.0</v>
      </c>
      <c r="N636" s="33">
        <f t="shared" si="13"/>
        <v>720</v>
      </c>
      <c r="O636" s="59">
        <v>-1937.0</v>
      </c>
      <c r="P636" s="34">
        <f t="shared" si="14"/>
        <v>-26.90277778</v>
      </c>
      <c r="Q636" s="60"/>
      <c r="R636" s="36">
        <f t="shared" si="99"/>
        <v>28</v>
      </c>
      <c r="S636" s="61">
        <v>-91.0</v>
      </c>
      <c r="T636" s="37">
        <f t="shared" si="100"/>
        <v>-63</v>
      </c>
      <c r="U636" s="62">
        <v>1.0</v>
      </c>
      <c r="V636" s="63"/>
      <c r="W636" s="63"/>
      <c r="X636" s="83">
        <v>0.23</v>
      </c>
      <c r="Y636" s="35">
        <f t="shared" si="123"/>
        <v>0</v>
      </c>
      <c r="Z636" s="40">
        <f t="shared" si="120"/>
        <v>-49</v>
      </c>
      <c r="AA636" s="65">
        <v>-14.0</v>
      </c>
      <c r="AB636" s="41">
        <f t="shared" si="109"/>
        <v>0</v>
      </c>
      <c r="AC636" s="42" t="b">
        <v>1</v>
      </c>
      <c r="AD636" s="66" t="s">
        <v>138</v>
      </c>
      <c r="AE636" s="88" t="s">
        <v>138</v>
      </c>
      <c r="AF636" s="42" t="str">
        <f t="array" ref="AF636">INDEX('Deal Info'!D:D, MATCH(A636,'Deal Info'!A:A, 0))</f>
        <v>DoEV</v>
      </c>
      <c r="AG636" s="43" t="str">
        <f t="array" ref="AG636">INDEX('Deal Info'!G:G, MATCH(A636,'Deal Info'!A:A, 0))</f>
        <v>None</v>
      </c>
    </row>
    <row r="637" hidden="1">
      <c r="A637" s="23" t="str">
        <f t="array" ref="A637">if(G637='Room Info'!$B$1, INDEX('Room Info'!$A$2:$A3446, MATCH(B637,'Room Info'!$B$2:$B3446, 0)),if(G637='Room Info'!$C$1, INDEX('Room Info'!$A$2:$A3446, MATCH(B637,'Room Info'!$C$2:$C3446, 0)),if(G637='Room Info'!$D$1, INDEX('Room Info'!$A$2:$A3446, MATCH(B637,'Room Info'!$D$2:$D3446, 0)),if(G637='Room Info'!$E$1, INDEX('Room Info'!$A$2:$A3446, MATCH(B637,'Room Info'!$E$2:$E3446, 0)),if(G637='Room Info'!$F$1, INDEX('Room Info'!$A$2:$A3446, MATCH(B637,'Room Info'!$F$2:$F3446, 0)),if(G637='Room Info'!$H$1, INDEX('Room Info'!$A$2:$A3446, MATCH(B637,'Room Info'!$H$2:$H3446, 0)),if(G637='Room Info'!$G$1, INDEX('Room Info'!$A$2:$A3446, MATCH(B637,'Room Info'!$G$2:$G3446, 0)))))))))</f>
        <v>Berebka</v>
      </c>
      <c r="B637" s="50" t="s">
        <v>183</v>
      </c>
      <c r="C637" s="51">
        <v>44866.0</v>
      </c>
      <c r="D637" s="51">
        <v>44895.0</v>
      </c>
      <c r="E637" s="52">
        <v>44866.0</v>
      </c>
      <c r="F637" s="53" t="s">
        <v>8</v>
      </c>
      <c r="G637" s="50" t="s">
        <v>5</v>
      </c>
      <c r="H637" s="54" t="s">
        <v>74</v>
      </c>
      <c r="I637" s="54" t="s">
        <v>7</v>
      </c>
      <c r="J637" s="55">
        <v>50.0</v>
      </c>
      <c r="K637" s="56">
        <v>509.0</v>
      </c>
      <c r="L637" s="57">
        <v>-1450.0</v>
      </c>
      <c r="M637" s="58">
        <v>852.0</v>
      </c>
      <c r="N637" s="33">
        <f t="shared" si="13"/>
        <v>25450</v>
      </c>
      <c r="O637" s="59">
        <v>4248.0</v>
      </c>
      <c r="P637" s="34">
        <f t="shared" si="14"/>
        <v>8.345776031</v>
      </c>
      <c r="Q637" s="60"/>
      <c r="R637" s="36">
        <f t="shared" si="99"/>
        <v>852</v>
      </c>
      <c r="S637" s="61">
        <v>-1311.0</v>
      </c>
      <c r="T637" s="37">
        <f t="shared" si="100"/>
        <v>-459</v>
      </c>
      <c r="U637" s="62">
        <v>1.0</v>
      </c>
      <c r="V637" s="63"/>
      <c r="W637" s="63"/>
      <c r="X637" s="83">
        <v>0.23</v>
      </c>
      <c r="Y637" s="35">
        <f t="shared" si="123"/>
        <v>0</v>
      </c>
      <c r="Z637" s="40">
        <f t="shared" si="120"/>
        <v>-353</v>
      </c>
      <c r="AA637" s="65">
        <v>-106.0</v>
      </c>
      <c r="AB637" s="41">
        <f t="shared" si="109"/>
        <v>0</v>
      </c>
      <c r="AC637" s="42" t="b">
        <v>1</v>
      </c>
      <c r="AD637" s="66" t="s">
        <v>138</v>
      </c>
      <c r="AE637" s="88" t="s">
        <v>138</v>
      </c>
      <c r="AF637" s="42" t="str">
        <f t="array" ref="AF637">INDEX('Deal Info'!D:D, MATCH(A637,'Deal Info'!A:A, 0))</f>
        <v>DoEV</v>
      </c>
      <c r="AG637" s="43" t="str">
        <f t="array" ref="AG637">INDEX('Deal Info'!G:G, MATCH(A637,'Deal Info'!A:A, 0))</f>
        <v>None</v>
      </c>
    </row>
    <row r="638" hidden="1">
      <c r="A638" s="23" t="str">
        <f t="array" ref="A638">if(G638='Room Info'!$B$1, INDEX('Room Info'!$A$2:$A3446, MATCH(B638,'Room Info'!$B$2:$B3446, 0)),if(G638='Room Info'!$C$1, INDEX('Room Info'!$A$2:$A3446, MATCH(B638,'Room Info'!$C$2:$C3446, 0)),if(G638='Room Info'!$D$1, INDEX('Room Info'!$A$2:$A3446, MATCH(B638,'Room Info'!$D$2:$D3446, 0)),if(G638='Room Info'!$E$1, INDEX('Room Info'!$A$2:$A3446, MATCH(B638,'Room Info'!$E$2:$E3446, 0)),if(G638='Room Info'!$F$1, INDEX('Room Info'!$A$2:$A3446, MATCH(B638,'Room Info'!$F$2:$F3446, 0)),if(G638='Room Info'!$H$1, INDEX('Room Info'!$A$2:$A3446, MATCH(B638,'Room Info'!$H$2:$H3446, 0)),if(G638='Room Info'!$G$1, INDEX('Room Info'!$A$2:$A3446, MATCH(B638,'Room Info'!$G$2:$G3446, 0)))))))))</f>
        <v>Berebka</v>
      </c>
      <c r="B638" s="50" t="s">
        <v>183</v>
      </c>
      <c r="C638" s="51">
        <v>44866.0</v>
      </c>
      <c r="D638" s="51">
        <v>44895.0</v>
      </c>
      <c r="E638" s="52">
        <v>44866.0</v>
      </c>
      <c r="F638" s="53" t="s">
        <v>8</v>
      </c>
      <c r="G638" s="50" t="s">
        <v>5</v>
      </c>
      <c r="H638" s="54" t="s">
        <v>62</v>
      </c>
      <c r="I638" s="54" t="s">
        <v>7</v>
      </c>
      <c r="J638" s="55">
        <v>25.0</v>
      </c>
      <c r="K638" s="56">
        <v>1612.0</v>
      </c>
      <c r="L638" s="57">
        <v>5200.0</v>
      </c>
      <c r="M638" s="58">
        <v>1350.0</v>
      </c>
      <c r="N638" s="33">
        <f t="shared" si="13"/>
        <v>40300</v>
      </c>
      <c r="O638" s="59">
        <v>63341.0</v>
      </c>
      <c r="P638" s="34">
        <f t="shared" si="14"/>
        <v>39.29342432</v>
      </c>
      <c r="Q638" s="60"/>
      <c r="R638" s="36">
        <f t="shared" si="99"/>
        <v>1350</v>
      </c>
      <c r="S638" s="61">
        <v>229.0</v>
      </c>
      <c r="T638" s="37">
        <f t="shared" si="100"/>
        <v>1579</v>
      </c>
      <c r="U638" s="62">
        <v>1.0</v>
      </c>
      <c r="V638" s="63"/>
      <c r="W638" s="63"/>
      <c r="X638" s="83">
        <v>0.23</v>
      </c>
      <c r="Y638" s="35">
        <f t="shared" si="123"/>
        <v>0</v>
      </c>
      <c r="Z638" s="40">
        <f t="shared" si="120"/>
        <v>1216</v>
      </c>
      <c r="AA638" s="65">
        <v>363.0</v>
      </c>
      <c r="AB638" s="41">
        <f t="shared" si="109"/>
        <v>0</v>
      </c>
      <c r="AC638" s="42" t="b">
        <v>1</v>
      </c>
      <c r="AD638" s="66" t="s">
        <v>138</v>
      </c>
      <c r="AE638" s="88" t="s">
        <v>138</v>
      </c>
      <c r="AF638" s="42" t="str">
        <f t="array" ref="AF638">INDEX('Deal Info'!D:D, MATCH(A638,'Deal Info'!A:A, 0))</f>
        <v>DoEV</v>
      </c>
      <c r="AG638" s="43" t="str">
        <f t="array" ref="AG638">INDEX('Deal Info'!G:G, MATCH(A638,'Deal Info'!A:A, 0))</f>
        <v>None</v>
      </c>
    </row>
    <row r="639" hidden="1">
      <c r="A639" s="23" t="str">
        <f t="array" ref="A639">if(G639='Room Info'!$B$1, INDEX('Room Info'!$A$2:$A3446, MATCH(B639,'Room Info'!$B$2:$B3446, 0)),if(G639='Room Info'!$C$1, INDEX('Room Info'!$A$2:$A3446, MATCH(B639,'Room Info'!$C$2:$C3446, 0)),if(G639='Room Info'!$D$1, INDEX('Room Info'!$A$2:$A3446, MATCH(B639,'Room Info'!$D$2:$D3446, 0)),if(G639='Room Info'!$E$1, INDEX('Room Info'!$A$2:$A3446, MATCH(B639,'Room Info'!$E$2:$E3446, 0)),if(G639='Room Info'!$F$1, INDEX('Room Info'!$A$2:$A3446, MATCH(B639,'Room Info'!$F$2:$F3446, 0)),if(G639='Room Info'!$H$1, INDEX('Room Info'!$A$2:$A3446, MATCH(B639,'Room Info'!$H$2:$H3446, 0)),if(G639='Room Info'!$G$1, INDEX('Room Info'!$A$2:$A3446, MATCH(B639,'Room Info'!$G$2:$G3446, 0)))))))))</f>
        <v>Berebka</v>
      </c>
      <c r="B639" s="50" t="s">
        <v>183</v>
      </c>
      <c r="C639" s="51">
        <v>44896.0</v>
      </c>
      <c r="D639" s="51">
        <v>44915.0</v>
      </c>
      <c r="E639" s="52">
        <v>44896.0</v>
      </c>
      <c r="F639" s="53" t="s">
        <v>8</v>
      </c>
      <c r="G639" s="50" t="s">
        <v>5</v>
      </c>
      <c r="H639" s="54" t="s">
        <v>62</v>
      </c>
      <c r="I639" s="54" t="s">
        <v>7</v>
      </c>
      <c r="J639" s="55">
        <v>25.0</v>
      </c>
      <c r="K639" s="56">
        <v>1812.0</v>
      </c>
      <c r="L639" s="57">
        <v>-2050.0</v>
      </c>
      <c r="M639" s="58">
        <v>550.0</v>
      </c>
      <c r="N639" s="33">
        <f t="shared" si="13"/>
        <v>45300</v>
      </c>
      <c r="O639" s="59">
        <v>27040.0</v>
      </c>
      <c r="P639" s="34">
        <f t="shared" si="14"/>
        <v>14.92273731</v>
      </c>
      <c r="Q639" s="60"/>
      <c r="R639" s="36">
        <f t="shared" si="99"/>
        <v>550</v>
      </c>
      <c r="S639" s="61">
        <v>-1684.0</v>
      </c>
      <c r="T639" s="37">
        <f t="shared" si="100"/>
        <v>-1134</v>
      </c>
      <c r="U639" s="62">
        <v>1.0</v>
      </c>
      <c r="V639" s="63"/>
      <c r="W639" s="63"/>
      <c r="X639" s="83">
        <v>0.23</v>
      </c>
      <c r="Y639" s="35">
        <f t="shared" si="123"/>
        <v>0</v>
      </c>
      <c r="Z639" s="40">
        <f t="shared" si="120"/>
        <v>-873</v>
      </c>
      <c r="AA639" s="65">
        <v>-261.0</v>
      </c>
      <c r="AB639" s="41">
        <f t="shared" si="109"/>
        <v>0</v>
      </c>
      <c r="AC639" s="42" t="b">
        <v>1</v>
      </c>
      <c r="AD639" s="66" t="s">
        <v>138</v>
      </c>
      <c r="AE639" s="88" t="s">
        <v>138</v>
      </c>
      <c r="AF639" s="42" t="str">
        <f t="array" ref="AF639">INDEX('Deal Info'!D:D, MATCH(A639,'Deal Info'!A:A, 0))</f>
        <v>DoEV</v>
      </c>
      <c r="AG639" s="43" t="str">
        <f t="array" ref="AG639">INDEX('Deal Info'!G:G, MATCH(A639,'Deal Info'!A:A, 0))</f>
        <v>None</v>
      </c>
    </row>
    <row r="640" hidden="1">
      <c r="A640" s="23" t="str">
        <f t="array" ref="A640">if(G640='Room Info'!$B$1, INDEX('Room Info'!$A$2:$A3446, MATCH(B640,'Room Info'!$B$2:$B3446, 0)),if(G640='Room Info'!$C$1, INDEX('Room Info'!$A$2:$A3446, MATCH(B640,'Room Info'!$C$2:$C3446, 0)),if(G640='Room Info'!$D$1, INDEX('Room Info'!$A$2:$A3446, MATCH(B640,'Room Info'!$D$2:$D3446, 0)),if(G640='Room Info'!$E$1, INDEX('Room Info'!$A$2:$A3446, MATCH(B640,'Room Info'!$E$2:$E3446, 0)),if(G640='Room Info'!$F$1, INDEX('Room Info'!$A$2:$A3446, MATCH(B640,'Room Info'!$F$2:$F3446, 0)),if(G640='Room Info'!$H$1, INDEX('Room Info'!$A$2:$A3446, MATCH(B640,'Room Info'!$H$2:$H3446, 0)),if(G640='Room Info'!$G$1, INDEX('Room Info'!$A$2:$A3446, MATCH(B640,'Room Info'!$G$2:$G3446, 0)))))))))</f>
        <v>Berebka</v>
      </c>
      <c r="B640" s="50" t="s">
        <v>183</v>
      </c>
      <c r="C640" s="51">
        <v>44896.0</v>
      </c>
      <c r="D640" s="51">
        <v>44926.0</v>
      </c>
      <c r="E640" s="52">
        <v>44896.0</v>
      </c>
      <c r="F640" s="53" t="s">
        <v>8</v>
      </c>
      <c r="G640" s="50" t="s">
        <v>16</v>
      </c>
      <c r="H640" s="54" t="s">
        <v>45</v>
      </c>
      <c r="I640" s="54" t="s">
        <v>7</v>
      </c>
      <c r="J640" s="55">
        <v>10.0</v>
      </c>
      <c r="K640" s="56">
        <v>476.0</v>
      </c>
      <c r="L640" s="57">
        <v>110.0</v>
      </c>
      <c r="M640" s="58">
        <v>70.0</v>
      </c>
      <c r="N640" s="33">
        <f t="shared" si="13"/>
        <v>4760</v>
      </c>
      <c r="O640" s="59">
        <v>28033.0</v>
      </c>
      <c r="P640" s="34">
        <f t="shared" si="14"/>
        <v>58.89285714</v>
      </c>
      <c r="Q640" s="60"/>
      <c r="R640" s="36">
        <f t="shared" si="99"/>
        <v>70</v>
      </c>
      <c r="S640" s="61">
        <v>228.0</v>
      </c>
      <c r="T640" s="37">
        <f t="shared" si="100"/>
        <v>298</v>
      </c>
      <c r="U640" s="62">
        <v>1.0</v>
      </c>
      <c r="V640" s="63"/>
      <c r="W640" s="63"/>
      <c r="X640" s="83">
        <v>0.23</v>
      </c>
      <c r="Y640" s="35">
        <f t="shared" si="123"/>
        <v>0</v>
      </c>
      <c r="Z640" s="40">
        <f t="shared" si="120"/>
        <v>229</v>
      </c>
      <c r="AA640" s="65">
        <v>69.0</v>
      </c>
      <c r="AB640" s="41">
        <f t="shared" si="109"/>
        <v>0</v>
      </c>
      <c r="AC640" s="42" t="b">
        <v>1</v>
      </c>
      <c r="AD640" s="66" t="s">
        <v>138</v>
      </c>
      <c r="AE640" s="88" t="s">
        <v>138</v>
      </c>
      <c r="AF640" s="42" t="str">
        <f t="array" ref="AF640">INDEX('Deal Info'!D:D, MATCH(A640,'Deal Info'!A:A, 0))</f>
        <v>DoEV</v>
      </c>
      <c r="AG640" s="43" t="str">
        <f t="array" ref="AG640">INDEX('Deal Info'!G:G, MATCH(A640,'Deal Info'!A:A, 0))</f>
        <v>None</v>
      </c>
    </row>
    <row r="641" hidden="1">
      <c r="A641" s="23" t="str">
        <f t="array" ref="A641">if(G641='Room Info'!$B$1, INDEX('Room Info'!$A$2:$A3446, MATCH(B641,'Room Info'!$B$2:$B3446, 0)),if(G641='Room Info'!$C$1, INDEX('Room Info'!$A$2:$A3446, MATCH(B641,'Room Info'!$C$2:$C3446, 0)),if(G641='Room Info'!$D$1, INDEX('Room Info'!$A$2:$A3446, MATCH(B641,'Room Info'!$D$2:$D3446, 0)),if(G641='Room Info'!$E$1, INDEX('Room Info'!$A$2:$A3446, MATCH(B641,'Room Info'!$E$2:$E3446, 0)),if(G641='Room Info'!$F$1, INDEX('Room Info'!$A$2:$A3446, MATCH(B641,'Room Info'!$F$2:$F3446, 0)),if(G641='Room Info'!$H$1, INDEX('Room Info'!$A$2:$A3446, MATCH(B641,'Room Info'!$H$2:$H3446, 0)),if(G641='Room Info'!$G$1, INDEX('Room Info'!$A$2:$A3446, MATCH(B641,'Room Info'!$G$2:$G3446, 0)))))))))</f>
        <v>Berebka</v>
      </c>
      <c r="B641" s="50" t="s">
        <v>183</v>
      </c>
      <c r="C641" s="51">
        <v>44896.0</v>
      </c>
      <c r="D641" s="51">
        <v>44926.0</v>
      </c>
      <c r="E641" s="52">
        <v>44896.0</v>
      </c>
      <c r="F641" s="53" t="s">
        <v>8</v>
      </c>
      <c r="G641" s="50" t="s">
        <v>16</v>
      </c>
      <c r="H641" s="54" t="s">
        <v>35</v>
      </c>
      <c r="I641" s="54" t="s">
        <v>7</v>
      </c>
      <c r="J641" s="55">
        <v>5.0</v>
      </c>
      <c r="K641" s="56">
        <v>1.0</v>
      </c>
      <c r="L641" s="57">
        <v>10.0</v>
      </c>
      <c r="M641" s="58">
        <v>0.0</v>
      </c>
      <c r="N641" s="33">
        <f t="shared" si="13"/>
        <v>5</v>
      </c>
      <c r="O641" s="59">
        <v>926.0</v>
      </c>
      <c r="P641" s="34">
        <f t="shared" si="14"/>
        <v>926</v>
      </c>
      <c r="Q641" s="60"/>
      <c r="R641" s="36">
        <f t="shared" si="99"/>
        <v>0</v>
      </c>
      <c r="S641" s="61">
        <v>8.0</v>
      </c>
      <c r="T641" s="37">
        <f t="shared" si="100"/>
        <v>8</v>
      </c>
      <c r="U641" s="62">
        <v>1.0</v>
      </c>
      <c r="V641" s="63"/>
      <c r="W641" s="63"/>
      <c r="X641" s="83">
        <v>0.23</v>
      </c>
      <c r="Y641" s="35">
        <f t="shared" si="123"/>
        <v>0</v>
      </c>
      <c r="Z641" s="40">
        <f t="shared" si="120"/>
        <v>6</v>
      </c>
      <c r="AA641" s="65">
        <v>2.0</v>
      </c>
      <c r="AB641" s="41">
        <f t="shared" si="109"/>
        <v>0</v>
      </c>
      <c r="AC641" s="42" t="b">
        <v>1</v>
      </c>
      <c r="AD641" s="66" t="s">
        <v>138</v>
      </c>
      <c r="AE641" s="88" t="s">
        <v>138</v>
      </c>
      <c r="AF641" s="42" t="str">
        <f t="array" ref="AF641">INDEX('Deal Info'!D:D, MATCH(A641,'Deal Info'!A:A, 0))</f>
        <v>DoEV</v>
      </c>
      <c r="AG641" s="43" t="str">
        <f t="array" ref="AG641">INDEX('Deal Info'!G:G, MATCH(A641,'Deal Info'!A:A, 0))</f>
        <v>None</v>
      </c>
    </row>
    <row r="642" hidden="1">
      <c r="A642" s="23" t="str">
        <f t="array" ref="A642">if(G642='Room Info'!$B$1, INDEX('Room Info'!$A$2:$A3446, MATCH(B642,'Room Info'!$B$2:$B3446, 0)),if(G642='Room Info'!$C$1, INDEX('Room Info'!$A$2:$A3446, MATCH(B642,'Room Info'!$C$2:$C3446, 0)),if(G642='Room Info'!$D$1, INDEX('Room Info'!$A$2:$A3446, MATCH(B642,'Room Info'!$D$2:$D3446, 0)),if(G642='Room Info'!$E$1, INDEX('Room Info'!$A$2:$A3446, MATCH(B642,'Room Info'!$E$2:$E3446, 0)),if(G642='Room Info'!$F$1, INDEX('Room Info'!$A$2:$A3446, MATCH(B642,'Room Info'!$F$2:$F3446, 0)),if(G642='Room Info'!$H$1, INDEX('Room Info'!$A$2:$A3446, MATCH(B642,'Room Info'!$H$2:$H3446, 0)),if(G642='Room Info'!$G$1, INDEX('Room Info'!$A$2:$A3446, MATCH(B642,'Room Info'!$G$2:$G3446, 0)))))))))</f>
        <v>Berebka</v>
      </c>
      <c r="B642" s="50" t="s">
        <v>183</v>
      </c>
      <c r="C642" s="51">
        <v>44916.0</v>
      </c>
      <c r="D642" s="51">
        <v>44957.0</v>
      </c>
      <c r="E642" s="52">
        <v>44927.0</v>
      </c>
      <c r="F642" s="53" t="s">
        <v>12</v>
      </c>
      <c r="G642" s="50" t="s">
        <v>5</v>
      </c>
      <c r="H642" s="54" t="s">
        <v>20</v>
      </c>
      <c r="I642" s="54" t="s">
        <v>7</v>
      </c>
      <c r="J642" s="55">
        <v>1.0</v>
      </c>
      <c r="K642" s="56">
        <v>1.0</v>
      </c>
      <c r="L642" s="57">
        <v>-1.0</v>
      </c>
      <c r="M642" s="67"/>
      <c r="N642" s="33">
        <f t="shared" si="13"/>
        <v>1</v>
      </c>
      <c r="O642" s="70"/>
      <c r="P642" s="34">
        <f t="shared" si="14"/>
        <v>0</v>
      </c>
      <c r="Q642" s="60"/>
      <c r="R642" s="36">
        <f t="shared" si="99"/>
        <v>0</v>
      </c>
      <c r="S642" s="71"/>
      <c r="T642" s="37">
        <f t="shared" si="100"/>
        <v>-1</v>
      </c>
      <c r="U642" s="62">
        <v>1.0</v>
      </c>
      <c r="V642" s="63"/>
      <c r="W642" s="63"/>
      <c r="X642" s="83">
        <v>0.23</v>
      </c>
      <c r="Y642" s="35">
        <f t="shared" si="123"/>
        <v>0</v>
      </c>
      <c r="Z642" s="40">
        <f t="shared" si="120"/>
        <v>-1</v>
      </c>
      <c r="AA642" s="65">
        <v>0.0</v>
      </c>
      <c r="AB642" s="41">
        <f t="shared" si="109"/>
        <v>0</v>
      </c>
      <c r="AC642" s="42" t="b">
        <v>1</v>
      </c>
      <c r="AD642" s="66" t="s">
        <v>138</v>
      </c>
      <c r="AE642" s="88" t="s">
        <v>138</v>
      </c>
      <c r="AF642" s="42" t="str">
        <f t="array" ref="AF642">INDEX('Deal Info'!D:D, MATCH(A642,'Deal Info'!A:A, 0))</f>
        <v>DoEV</v>
      </c>
      <c r="AG642" s="43" t="str">
        <f t="array" ref="AG642">INDEX('Deal Info'!G:G, MATCH(A642,'Deal Info'!A:A, 0))</f>
        <v>None</v>
      </c>
    </row>
    <row r="643" hidden="1">
      <c r="A643" s="23" t="str">
        <f t="array" ref="A643">if(G643='Room Info'!$B$1, INDEX('Room Info'!$A$2:$A3446, MATCH(B643,'Room Info'!$B$2:$B3446, 0)),if(G643='Room Info'!$C$1, INDEX('Room Info'!$A$2:$A3446, MATCH(B643,'Room Info'!$C$2:$C3446, 0)),if(G643='Room Info'!$D$1, INDEX('Room Info'!$A$2:$A3446, MATCH(B643,'Room Info'!$D$2:$D3446, 0)),if(G643='Room Info'!$E$1, INDEX('Room Info'!$A$2:$A3446, MATCH(B643,'Room Info'!$E$2:$E3446, 0)),if(G643='Room Info'!$F$1, INDEX('Room Info'!$A$2:$A3446, MATCH(B643,'Room Info'!$F$2:$F3446, 0)),if(G643='Room Info'!$H$1, INDEX('Room Info'!$A$2:$A3446, MATCH(B643,'Room Info'!$H$2:$H3446, 0)),if(G643='Room Info'!$G$1, INDEX('Room Info'!$A$2:$A3446, MATCH(B643,'Room Info'!$G$2:$G3446, 0)))))))))</f>
        <v>Berebka</v>
      </c>
      <c r="B643" s="50" t="s">
        <v>183</v>
      </c>
      <c r="C643" s="51">
        <v>44916.0</v>
      </c>
      <c r="D643" s="51">
        <v>44957.0</v>
      </c>
      <c r="E643" s="52">
        <v>44927.0</v>
      </c>
      <c r="F643" s="53" t="s">
        <v>8</v>
      </c>
      <c r="G643" s="50" t="s">
        <v>5</v>
      </c>
      <c r="H643" s="54" t="s">
        <v>62</v>
      </c>
      <c r="I643" s="54" t="s">
        <v>7</v>
      </c>
      <c r="J643" s="55">
        <v>25.0</v>
      </c>
      <c r="K643" s="56">
        <v>2673.0</v>
      </c>
      <c r="L643" s="57">
        <v>-1800.0</v>
      </c>
      <c r="M643" s="58">
        <v>3871.0</v>
      </c>
      <c r="N643" s="33">
        <f t="shared" si="13"/>
        <v>66825</v>
      </c>
      <c r="O643" s="59">
        <v>46139.0</v>
      </c>
      <c r="P643" s="34">
        <f t="shared" si="14"/>
        <v>17.26112982</v>
      </c>
      <c r="Q643" s="60"/>
      <c r="R643" s="36">
        <f t="shared" si="99"/>
        <v>3871</v>
      </c>
      <c r="S643" s="61">
        <v>-2018.0</v>
      </c>
      <c r="T643" s="37">
        <f t="shared" si="100"/>
        <v>1853</v>
      </c>
      <c r="U643" s="62">
        <v>1.0</v>
      </c>
      <c r="V643" s="63"/>
      <c r="W643" s="63"/>
      <c r="X643" s="83">
        <v>0.23</v>
      </c>
      <c r="Y643" s="35">
        <f t="shared" si="123"/>
        <v>0</v>
      </c>
      <c r="Z643" s="40">
        <f t="shared" si="120"/>
        <v>1427</v>
      </c>
      <c r="AA643" s="65">
        <v>426.0</v>
      </c>
      <c r="AB643" s="41">
        <f t="shared" si="109"/>
        <v>0</v>
      </c>
      <c r="AC643" s="42" t="b">
        <v>1</v>
      </c>
      <c r="AD643" s="66" t="s">
        <v>138</v>
      </c>
      <c r="AE643" s="88" t="s">
        <v>138</v>
      </c>
      <c r="AF643" s="42" t="str">
        <f t="array" ref="AF643">INDEX('Deal Info'!D:D, MATCH(A643,'Deal Info'!A:A, 0))</f>
        <v>DoEV</v>
      </c>
      <c r="AG643" s="43" t="str">
        <f t="array" ref="AG643">INDEX('Deal Info'!G:G, MATCH(A643,'Deal Info'!A:A, 0))</f>
        <v>None</v>
      </c>
    </row>
    <row r="644" hidden="1">
      <c r="A644" s="23" t="str">
        <f t="array" ref="A644">if(G644='Room Info'!$B$1, INDEX('Room Info'!$A$2:$A3446, MATCH(B644,'Room Info'!$B$2:$B3446, 0)),if(G644='Room Info'!$C$1, INDEX('Room Info'!$A$2:$A3446, MATCH(B644,'Room Info'!$C$2:$C3446, 0)),if(G644='Room Info'!$D$1, INDEX('Room Info'!$A$2:$A3446, MATCH(B644,'Room Info'!$D$2:$D3446, 0)),if(G644='Room Info'!$E$1, INDEX('Room Info'!$A$2:$A3446, MATCH(B644,'Room Info'!$E$2:$E3446, 0)),if(G644='Room Info'!$F$1, INDEX('Room Info'!$A$2:$A3446, MATCH(B644,'Room Info'!$F$2:$F3446, 0)),if(G644='Room Info'!$H$1, INDEX('Room Info'!$A$2:$A3446, MATCH(B644,'Room Info'!$H$2:$H3446, 0)),if(G644='Room Info'!$G$1, INDEX('Room Info'!$A$2:$A3446, MATCH(B644,'Room Info'!$G$2:$G3446, 0)))))))))</f>
        <v>Berebka</v>
      </c>
      <c r="B644" s="50" t="s">
        <v>183</v>
      </c>
      <c r="C644" s="51">
        <v>44916.0</v>
      </c>
      <c r="D644" s="51">
        <v>44957.0</v>
      </c>
      <c r="E644" s="52">
        <v>44927.0</v>
      </c>
      <c r="F644" s="53" t="s">
        <v>8</v>
      </c>
      <c r="G644" s="50" t="s">
        <v>5</v>
      </c>
      <c r="H644" s="54" t="s">
        <v>74</v>
      </c>
      <c r="I644" s="54" t="s">
        <v>7</v>
      </c>
      <c r="J644" s="55">
        <v>50.0</v>
      </c>
      <c r="K644" s="56">
        <v>10.0</v>
      </c>
      <c r="L644" s="57">
        <v>-250.0</v>
      </c>
      <c r="M644" s="58">
        <v>29.0</v>
      </c>
      <c r="N644" s="33">
        <f t="shared" si="13"/>
        <v>500</v>
      </c>
      <c r="O644" s="59">
        <v>-46.0</v>
      </c>
      <c r="P644" s="34">
        <f t="shared" si="14"/>
        <v>-4.6</v>
      </c>
      <c r="Q644" s="60"/>
      <c r="R644" s="36">
        <f t="shared" si="99"/>
        <v>29</v>
      </c>
      <c r="S644" s="61">
        <v>-35.0</v>
      </c>
      <c r="T644" s="37">
        <f t="shared" si="100"/>
        <v>-6</v>
      </c>
      <c r="U644" s="62">
        <v>1.0</v>
      </c>
      <c r="V644" s="63"/>
      <c r="W644" s="63"/>
      <c r="X644" s="35">
        <f>IF(AF644="DoEV",IF(AND(V644&lt;20,W644&lt;55),0.3,0)+IF(AND(V644&lt;20,W644&gt;=55,W644&lt;105),0.23,0)+IF(AND(V644&lt;20,W644&gt;=105),0.17,0)+IF(AND(V644&gt;=20,V644&lt;40,W644&lt;45),0.3,0)+IF(AND(V644&gt;=20,V644&lt;40,W644&gt;=45,W644&lt;95),0.23,0)+IF(AND(V644&gt;=20,V644&lt;40,W644&gt;=95),0.17,0)+IF(AND(V644&gt;=40,V644&lt;75,W644&lt;35),0.3,0)+IF(AND(V644&gt;=40,V644&lt;75,W644&gt;=35,W644&lt;75),0.23,0)+IF(AND(V644&gt;=40,V644&lt;75,W644&gt;=75,W644&lt;120),0.17,0)+IF(AND(V644&gt;=40,V644&lt;75,W644&gt;=120),0.12,0)+IF(AND(V644&gt;=75,V644&lt;175,W644&lt;35),0.3,0)+IF(AND(V644&gt;=75,V644&lt;=175,W644&gt;=35,W644&lt;65),0.23,0)+IF(AND(V644&gt;=75,V644&lt;=175,W644&gt;=65,W644&lt;110),0.17,0)+IF(AND(V644&gt;=75,V644&lt;=175,W644&gt;=110),0.12,0)+IF(AND(V644&gt;175,W644&lt;25),0.3,0)+IF(AND(V644&gt;175,W644&gt;=25,W644&lt;55),0.23,0)+IF(AND(V644&gt;175,W644&gt;=55,W644&lt;95),0.17,0)+IF(AND(V644&gt;175,W644&gt;=95),0.12,0),
IF(AF644="Fix15",0.15,
if(AF644="Fix18.75",0.1875,
IF(AF644="Fix11.25",0.1125,
IF(AF644="Fix10",0.1,
IF(AF644="Fix9",0.09,
IF(AF644="DoEV2017",IF(AND(W644&lt;74),0.2,0)+IF(AND(W644&gt;=74),0.17,0),
IF(AF644="SF",IF(AND(V644&lt;20,W644&lt;89),0.3,0)+IF(AND(V644&lt;20,W644&gt;=89),0.25,0)+IF(AND(V644&gt;=20,V644&lt;40,W644&lt;74),0.3,0)+IF(AND(V644&gt;=20,V644&lt;40,W644&gt;=75),0.22,0)+IF(AND(V644&gt;=40,V644&lt;75,W644&lt;75),0.26,0)+IF(AND(V644&gt;=40,V644&lt;75,W644&gt;=75),0.22,0)+IF(V644&gt;=75,0.22,0),
IF(AF644="DoEVold",IF(AND(V644&lt;40,W644&lt;35),0.35,0)+IF(AND(V644&lt;40,W644&gt;=35,W644&lt;75),0.25,0)+IF(AND(V644&lt;40,W644&gt;=75),0.17,0)+IF(AND(V644&gt;=40,V644&lt;75,W644&lt;25),0.35,0)+IF(AND(V644&gt;=40,V644&lt;75,W644&gt;=25,W644&lt;65),0.25,0)+IF(AND(V644&gt;=40,V644&lt;75,W644&gt;=65,W644&lt;100),0.17,0)+IF(AND(V644&gt;=40,V644&lt;75,W644&gt;=100),0.1,0)+IF(AND(V644&gt;=75,W644&lt;25),0.35,0)+IF(AND(V644&gt;=75,W644&gt;=25,W644&lt;60),0.25,0)+IF(AND(V644&gt;=75,W644&gt;=60,W644&lt;95),0.17,0)+IF(AND(V644&gt;=75,W644&gt;=95),0.1,0),
IF(AF644="DoEVold15",IF(AND(V644&lt;=40,W644&lt;35),0.35,0)+IF(AND(V644&lt;=40,W644&gt;=35,W644&lt;75),0.25,0)+IF(AND(V644&lt;=40,W644&gt;=75,W644&lt;120),0.17,0)+IF(AND(V644&lt;=40,W644&gt;=120),0.15,0)+IF(AND(V644&gt;40,V644&lt;75,W644&lt;25),0.35,0)+IF(AND(V644&gt;=40,V644&lt;75,W644&gt;=25,W644&lt;65),0.25,0)+IF(AND(V644&gt;=40,V644&lt;75,W644&gt;=65,W644&lt;100),0.17,0)+IF(AND(V644&gt;=40,V644&lt;75,W644&gt;=100),0.1,0)+IF(AND(V644&gt;=75,W644&lt;25),0.35,0)+IF(AND(V644&gt;=75,W644&gt;=25,W644&lt;60),0.25,0)+IF(AND(V644&gt;=75,W644&gt;=60,W644&lt;95),0.17,0)+IF(AND(V644&gt;=75,W644&gt;=95),0.1,0),
IF(AF644="DoEVba",IF(AND(V644&lt;20,W644&lt;105),0.2,0)+IF(AND(V644&lt;20,W644&gt;=105),0.15,0)+IF(AND(V644&gt;=20,V644&lt;40,W644&lt;95),0.2,0)+IF(AND(V644&gt;=20,V644&lt;40,W644&gt;=95,W644&lt;150),0.15,0)+IF(AND(V644&gt;=20,V644&lt;40,W644&gt;=150),0.12,0)+IF(AND(V644&gt;=40,V644&lt;75,W644&lt;75),0.2,0)+IF(AND(V644&gt;=40,V644&lt;75,W644&gt;=75,W644&lt;120),0.15,0)+IF(AND(V644&gt;=40,V644&lt;75,W644&gt;=120),0.12,0)+IF(AND(V644&gt;=75,V644&lt;175,W644&lt;65),0.2,0)+IF(AND(V644&gt;=75,V644&lt;175,W644&gt;=65,W644&lt;110),0.15,0)+IF(AND(V644&gt;=75,V644&lt;175,W644&gt;=110),0.12,0)+IF(AND(V644&gt;=175,W644&lt;55),0.2,0)+IF(AND(V644&gt;=175,W644&gt;=55,W644&lt;95),0.15,0)+IF(AND(V644&gt;=175,W644&gt;=95),0.12,0),
IF(AF644="DoEVku",IF(AND(V644&lt;20,W644&lt;55),0.23,0)+IF(AND(V644&lt;20,W644&gt;=55,W644&lt;105),0.2,0)+IF(AND(V644&lt;20,W644&gt;=105),0.17,0)+IF(AND(V644&gt;=20,V644&lt;40,W644&lt;45),0.23,0)+IF(AND(V644&gt;=20,V644&lt;40,W644&gt;=45,W644&lt;95),0.2,0)+IF(AND(V644&gt;=20,V644&lt;40,W644&gt;=95,W644&lt;=150),0.17,0)+IF(AND(V644&gt;=20,V644&lt;40,W644&gt;=150),0.12,0)+IF(AND(V644&gt;=40,V644&lt;75,W644&lt;35),0.23,0)+IF(AND(V644&gt;=40,V644&lt;75,W644&gt;=35,W644&lt;75),0.2,0)+IF(AND(V644&gt;=40,V644&lt;75,W644&gt;=75,W644&lt;120),0.17,0)+IF(AND(V644&gt;=40,V644&lt;75,W644&gt;=120),0.12,0)+IF(AND(V644&gt;=75,V644&lt;175,W644&lt;35),0.23,0)+IF(AND(V644&gt;=75,V644&lt;=175,W644&gt;=35,W644&lt;65),0.2,0)+IF(AND(V644&gt;=75,V644&lt;=175,W644&gt;=65,W644&lt;110),0.17,0)+IF(AND(V644&gt;=75,V644&lt;=175,W644&gt;=110),0.12,0)+IF(AND(V644&gt;175,W644&lt;25),0.23,0)+IF(AND(V644&gt;175,W644&gt;=25,W644&lt;55),0.2,0)+IF(AND(V644&gt;175,W644&gt;=55,W644&lt;95),0.17,0)+IF(AND(V644&gt;175,W644&gt;=95),0.12,0),
IF(AF644="DoEVs1",IF(AND(V644&lt;20,W644&lt;55),0.3,0)+IF(AND(V644&lt;20,W644&gt;=55,W644&lt;105),0.23,0)+IF(AND(V644&lt;20,W644&gt;=105),0.17,0)+IF(AND(V644&gt;=20,V644&lt;40,W644&lt;45),0.3,0)+IF(AND(V644&gt;=20,V644&lt;40,W644&gt;=45,W644&lt;95),0.23,0)+IF(AND(V644&gt;=20,V644&lt;40,W644&gt;=95,W644&lt;=150),0.17,0)+IF(AND(V644&gt;=20,V644&lt;40,W644&gt;=150),0.12,0)+IF(AND(V644&gt;=40,V644&lt;75,W644&lt;35),0.3,0)+IF(AND(V644&gt;=40,V644&lt;75,W644&gt;=35,W644&lt;75),0.23,0)+IF(AND(V644&gt;=40,V644&lt;75,W644&gt;=75,W644&lt;120),0.17,0)+IF(AND(V644&gt;=40,V644&lt;75,W644&gt;=120),0.12,0)+IF(AND(V644&gt;=75,V644&lt;175,W644&lt;35),0.3,0)+IF(AND(V644&gt;=75,V644&lt;=175,W644&gt;=35,W644&lt;65),0.23,0)+IF(AND(V644&gt;=75,V644&lt;=175,W644&gt;=65,W644&lt;110),0.17,0)+IF(AND(V644&gt;=75,V644&lt;=175,W644&gt;=110),0.12,0)+IF(AND(V644&gt;175,W644&lt;25),0.3,0)+IF(AND(V644&gt;175,W644&gt;=25,W644&lt;55),0.23,0)+IF(AND(V644&gt;175,W644&gt;=55,W644&lt;95),0.17,0)+IF(AND(V644&gt;175,W644&gt;=95),0.12,0),
IF(AF644="DoEVsu",IF(AND(V644&lt;20,W644&lt;55),0.3,0)+IF(AND(V644&lt;20,W644&gt;=55,W644&lt;105),0.23,0)+IF(AND(V644&lt;20,W644&gt;=105),0.17,0)+IF(AND(V644&gt;=20,V644&lt;40,W644&lt;45),0.3,0)+IF(AND(V644&gt;=20,V644&lt;40,W644&gt;=45,W644&lt;95),0.23,0)+IF(AND(V644&gt;=20,V644&lt;40,W644&gt;=95,W644&lt;=250),0.17,0)+IF(AND(V644&gt;=20,V644&lt;40,W644&gt;=250),0.12,0)+IF(AND(V644&gt;=40,V644&lt;75,W644&lt;35),0.3,0)+IF(AND(V644&gt;=40,V644&lt;75,W644&gt;=35,W644&lt;75),0.23,0)+IF(AND(V644&gt;=40,V644&lt;75,W644&gt;=75,W644&lt;120),0.17,0)+IF(AND(V644&gt;=40,V644&lt;75,W644&gt;=120),0.12,0)+IF(AND(V644&gt;=75,V644&lt;175,W644&lt;35),0.3,0)+IF(AND(V644&gt;=75,V644&lt;=175,W644&gt;=35,W644&lt;65),0.23,0)+IF(AND(V644&gt;=75,V644&lt;=175,W644&gt;=65,W644&lt;110),0.17,0)+IF(AND(V644&gt;=75,V644&lt;=175,W644&gt;=110),0.12,0)+IF(AND(V644&gt;175,W644&lt;25),0.3,0)+IF(AND(V644&gt;175,W644&gt;=25,W644&lt;55),0.23,0)+IF(AND(V644&gt;175,W644&gt;=55,W644&lt;95),0.17,0)+IF(AND(V644&gt;175,W644&gt;=95),0.12,0),
IF(AF644="DoEVni",IF(AND(V644&lt;20,W644&lt;55),0.3,0)+IF(AND(V644&lt;20,W644&gt;=55,W644&lt;105),0.23,0)+IF(AND(V644&lt;20,W644&gt;=105),0.17,0)+IF(AND(V644&gt;=20,V644&lt;40,W644&lt;45),0.3,0)+IF(AND(V644&gt;=20,V644&lt;40,W644&gt;=45,W644&lt;95),0.23,0)+IF(AND(V644&gt;=20,V644&lt;40,W644&gt;=95,W644&lt;=200),0.17,0)+IF(AND(V644&gt;=20,V644&lt;40,W644&gt;=200),0.12,0)+IF(AND(V644&gt;=40,V644&lt;75,W644&lt;35),0.3,0)+IF(AND(V644&gt;=40,V644&lt;75,W644&gt;=35,W644&lt;75),0.23,0)+IF(AND(V644&gt;=40,V644&lt;75,W644&gt;=75,W644&lt;120),0.17,0)+IF(AND(V644&gt;=40,V644&lt;75,W644&gt;=120),0.12,0)+IF(AND(V644&gt;=75,V644&lt;175,W644&lt;35),0.3,0)+IF(AND(V644&gt;=75,V644&lt;=175,W644&gt;=35,W644&lt;65),0.23,0)+IF(AND(V644&gt;=75,V644&lt;=175,W644&gt;=65,W644&lt;110),0.17,0)+IF(AND(V644&gt;=75,V644&lt;=175,W644&gt;=110),0.12,0)+IF(AND(V644&gt;175,W644&lt;25),0.3,0)+IF(AND(V644&gt;175,W644&gt;=25,W644&lt;55),0.23,0)+IF(AND(V644&gt;175,W644&gt;=55,W644&lt;95),0.17,0)+IF(AND(V644&gt;175,W644&gt;=95),0.12,0),
IF(AF644="DoEVLo",IF(AND(V644&lt;20,W644&lt;55),0.25,0)+IF(AND(V644&lt;20,W644&gt;=55,W644&lt;105),0.2,0)+IF(AND(V644&lt;20,W644&gt;=105),0.15,0)+IF(AND(V644&gt;=20,V644&lt;40,W644&lt;45),0.25,0)+IF(AND(V644&gt;=20,V644&lt;40,W644&gt;=45,W644&lt;95),0.2,0)+IF(AND(V644&gt;=20,V644&lt;40,W644&gt;=95),0.15,0)+IF(AND(V644&gt;=40,V644&lt;75,W644&lt;35),0.25,0)+IF(AND(V644&gt;=40,V644&lt;75,W644&gt;=35,W644&lt;75),0.2,0)+IF(AND(V644&gt;=40,V644&lt;75,W644&gt;=75,W644&lt;120),0.15,0)+IF(AND(V644&gt;=40,V644&lt;75,W644&gt;=120),0.1,0)+IF(AND(V644&gt;=75,V644&lt;175,W644&lt;35),0.25,0)+IF(AND(V644&gt;=75,V644&lt;=175,W644&gt;=35,W644&lt;65),0.2,0)+IF(AND(V644&gt;=75,V644&lt;=175,W644&gt;=65,W644&lt;110),0.15,0)+IF(AND(V644&gt;=75,V644&lt;=175,W644&gt;=110),0.1,0)+IF(AND(V644&gt;175,W644&lt;25),0.25,0)+IF(AND(V644&gt;175,W644&gt;=25,W644&lt;55),0.2,0)+IF(AND(V644&gt;175,W644&gt;=55,W644&lt;95),0.15,0)+IF(AND(V644&gt;175,W644&gt;=95),0.1,0)))))))))))))))))</f>
        <v>0.3</v>
      </c>
      <c r="Y644" s="35">
        <f t="shared" si="123"/>
        <v>0</v>
      </c>
      <c r="Z644" s="40">
        <f t="shared" si="120"/>
        <v>-5</v>
      </c>
      <c r="AA644" s="65">
        <v>-1.0</v>
      </c>
      <c r="AB644" s="41">
        <f t="shared" si="109"/>
        <v>0</v>
      </c>
      <c r="AC644" s="42" t="b">
        <v>1</v>
      </c>
      <c r="AD644" s="66" t="s">
        <v>138</v>
      </c>
      <c r="AE644" s="88" t="s">
        <v>138</v>
      </c>
      <c r="AF644" s="42" t="str">
        <f t="array" ref="AF644">INDEX('Deal Info'!D:D, MATCH(A644,'Deal Info'!A:A, 0))</f>
        <v>DoEV</v>
      </c>
      <c r="AG644" s="43" t="str">
        <f t="array" ref="AG644">INDEX('Deal Info'!G:G, MATCH(A644,'Deal Info'!A:A, 0))</f>
        <v>None</v>
      </c>
    </row>
    <row r="645" hidden="1">
      <c r="A645" s="23" t="str">
        <f t="array" ref="A645">if(G645='Room Info'!$B$1, INDEX('Room Info'!$A$2:$A3446, MATCH(B645,'Room Info'!$B$2:$B3446, 0)),if(G645='Room Info'!$C$1, INDEX('Room Info'!$A$2:$A3446, MATCH(B645,'Room Info'!$C$2:$C3446, 0)),if(G645='Room Info'!$D$1, INDEX('Room Info'!$A$2:$A3446, MATCH(B645,'Room Info'!$D$2:$D3446, 0)),if(G645='Room Info'!$E$1, INDEX('Room Info'!$A$2:$A3446, MATCH(B645,'Room Info'!$E$2:$E3446, 0)),if(G645='Room Info'!$F$1, INDEX('Room Info'!$A$2:$A3446, MATCH(B645,'Room Info'!$F$2:$F3446, 0)),if(G645='Room Info'!$H$1, INDEX('Room Info'!$A$2:$A3446, MATCH(B645,'Room Info'!$H$2:$H3446, 0)),if(G645='Room Info'!$G$1, INDEX('Room Info'!$A$2:$A3446, MATCH(B645,'Room Info'!$G$2:$G3446, 0)))))))))</f>
        <v>BodyaComUa</v>
      </c>
      <c r="B645" s="50" t="s">
        <v>184</v>
      </c>
      <c r="C645" s="51">
        <v>44886.0</v>
      </c>
      <c r="D645" s="51">
        <v>44915.0</v>
      </c>
      <c r="E645" s="52">
        <v>44896.0</v>
      </c>
      <c r="F645" s="53" t="s">
        <v>4</v>
      </c>
      <c r="G645" s="50" t="s">
        <v>5</v>
      </c>
      <c r="H645" s="54" t="s">
        <v>35</v>
      </c>
      <c r="I645" s="54" t="s">
        <v>7</v>
      </c>
      <c r="J645" s="55">
        <v>5.0</v>
      </c>
      <c r="K645" s="56">
        <v>727.0</v>
      </c>
      <c r="L645" s="57">
        <v>125.0</v>
      </c>
      <c r="M645" s="58">
        <v>193.0</v>
      </c>
      <c r="N645" s="33">
        <f t="shared" si="13"/>
        <v>3635</v>
      </c>
      <c r="O645" s="59">
        <v>49735.0</v>
      </c>
      <c r="P645" s="34">
        <f t="shared" si="14"/>
        <v>68.41127923</v>
      </c>
      <c r="Q645" s="60"/>
      <c r="R645" s="36">
        <f t="shared" si="99"/>
        <v>193</v>
      </c>
      <c r="S645" s="61">
        <v>125.0</v>
      </c>
      <c r="T645" s="37">
        <f t="shared" si="100"/>
        <v>318</v>
      </c>
      <c r="U645" s="62">
        <v>1.0</v>
      </c>
      <c r="V645" s="63"/>
      <c r="W645" s="63"/>
      <c r="X645" s="83">
        <v>0.17</v>
      </c>
      <c r="Y645" s="35">
        <f t="shared" si="123"/>
        <v>0</v>
      </c>
      <c r="Z645" s="40">
        <f t="shared" si="120"/>
        <v>263.94</v>
      </c>
      <c r="AA645" s="34">
        <f t="shared" ref="AA645:AA650" si="125">if(AD645="EUR",((T645-R645)*X645)*U645+(R645*X645),(T645*X645))</f>
        <v>54.06</v>
      </c>
      <c r="AB645" s="41">
        <f t="shared" si="109"/>
        <v>0</v>
      </c>
      <c r="AC645" s="42" t="b">
        <v>1</v>
      </c>
      <c r="AD645" s="66" t="s">
        <v>138</v>
      </c>
      <c r="AE645" s="88" t="s">
        <v>138</v>
      </c>
      <c r="AF645" s="42" t="str">
        <f t="array" ref="AF645">INDEX('Deal Info'!D:D, MATCH(A645,'Deal Info'!A:A, 0))</f>
        <v>DoEV</v>
      </c>
      <c r="AG645" s="43" t="str">
        <f t="array" ref="AG645">INDEX('Deal Info'!G:G, MATCH(A645,'Deal Info'!A:A, 0))</f>
        <v>None</v>
      </c>
    </row>
    <row r="646" hidden="1">
      <c r="A646" s="23" t="str">
        <f t="array" ref="A646">if(G646='Room Info'!$B$1, INDEX('Room Info'!$A$2:$A3446, MATCH(B646,'Room Info'!$B$2:$B3446, 0)),if(G646='Room Info'!$C$1, INDEX('Room Info'!$A$2:$A3446, MATCH(B646,'Room Info'!$C$2:$C3446, 0)),if(G646='Room Info'!$D$1, INDEX('Room Info'!$A$2:$A3446, MATCH(B646,'Room Info'!$D$2:$D3446, 0)),if(G646='Room Info'!$E$1, INDEX('Room Info'!$A$2:$A3446, MATCH(B646,'Room Info'!$E$2:$E3446, 0)),if(G646='Room Info'!$F$1, INDEX('Room Info'!$A$2:$A3446, MATCH(B646,'Room Info'!$F$2:$F3446, 0)),if(G646='Room Info'!$H$1, INDEX('Room Info'!$A$2:$A3446, MATCH(B646,'Room Info'!$H$2:$H3446, 0)),if(G646='Room Info'!$G$1, INDEX('Room Info'!$A$2:$A3446, MATCH(B646,'Room Info'!$G$2:$G3446, 0)))))))))</f>
        <v>BodyaComUa</v>
      </c>
      <c r="B646" s="50" t="s">
        <v>184</v>
      </c>
      <c r="C646" s="51">
        <v>44886.0</v>
      </c>
      <c r="D646" s="51">
        <v>44915.0</v>
      </c>
      <c r="E646" s="52">
        <v>44896.0</v>
      </c>
      <c r="F646" s="53" t="s">
        <v>4</v>
      </c>
      <c r="G646" s="50" t="s">
        <v>5</v>
      </c>
      <c r="H646" s="54" t="s">
        <v>45</v>
      </c>
      <c r="I646" s="54" t="s">
        <v>7</v>
      </c>
      <c r="J646" s="55">
        <v>10.0</v>
      </c>
      <c r="K646" s="56">
        <v>454.0</v>
      </c>
      <c r="L646" s="57">
        <v>30.0</v>
      </c>
      <c r="M646" s="58">
        <v>210.0</v>
      </c>
      <c r="N646" s="33">
        <f t="shared" si="13"/>
        <v>4540</v>
      </c>
      <c r="O646" s="59">
        <v>31193.0</v>
      </c>
      <c r="P646" s="34">
        <f t="shared" si="14"/>
        <v>68.70704846</v>
      </c>
      <c r="Q646" s="60"/>
      <c r="R646" s="36">
        <f t="shared" si="99"/>
        <v>210</v>
      </c>
      <c r="S646" s="61">
        <v>230.0</v>
      </c>
      <c r="T646" s="37">
        <f t="shared" si="100"/>
        <v>440</v>
      </c>
      <c r="U646" s="62">
        <v>1.0</v>
      </c>
      <c r="V646" s="63"/>
      <c r="W646" s="63"/>
      <c r="X646" s="83">
        <v>0.17</v>
      </c>
      <c r="Y646" s="35">
        <f t="shared" si="123"/>
        <v>0</v>
      </c>
      <c r="Z646" s="40">
        <f t="shared" si="120"/>
        <v>365.2</v>
      </c>
      <c r="AA646" s="34">
        <f t="shared" si="125"/>
        <v>74.8</v>
      </c>
      <c r="AB646" s="41">
        <f t="shared" si="109"/>
        <v>0</v>
      </c>
      <c r="AC646" s="42" t="b">
        <v>1</v>
      </c>
      <c r="AD646" s="66" t="s">
        <v>138</v>
      </c>
      <c r="AE646" s="88" t="s">
        <v>138</v>
      </c>
      <c r="AF646" s="42" t="str">
        <f t="array" ref="AF646">INDEX('Deal Info'!D:D, MATCH(A646,'Deal Info'!A:A, 0))</f>
        <v>DoEV</v>
      </c>
      <c r="AG646" s="43" t="str">
        <f t="array" ref="AG646">INDEX('Deal Info'!G:G, MATCH(A646,'Deal Info'!A:A, 0))</f>
        <v>None</v>
      </c>
    </row>
    <row r="647" hidden="1">
      <c r="A647" s="23" t="str">
        <f t="array" ref="A647">if(G647='Room Info'!$B$1, INDEX('Room Info'!$A$2:$A3446, MATCH(B647,'Room Info'!$B$2:$B3446, 0)),if(G647='Room Info'!$C$1, INDEX('Room Info'!$A$2:$A3446, MATCH(B647,'Room Info'!$C$2:$C3446, 0)),if(G647='Room Info'!$D$1, INDEX('Room Info'!$A$2:$A3446, MATCH(B647,'Room Info'!$D$2:$D3446, 0)),if(G647='Room Info'!$E$1, INDEX('Room Info'!$A$2:$A3446, MATCH(B647,'Room Info'!$E$2:$E3446, 0)),if(G647='Room Info'!$F$1, INDEX('Room Info'!$A$2:$A3446, MATCH(B647,'Room Info'!$F$2:$F3446, 0)),if(G647='Room Info'!$H$1, INDEX('Room Info'!$A$2:$A3446, MATCH(B647,'Room Info'!$H$2:$H3446, 0)),if(G647='Room Info'!$G$1, INDEX('Room Info'!$A$2:$A3446, MATCH(B647,'Room Info'!$G$2:$G3446, 0)))))))))</f>
        <v>BodyaComUa</v>
      </c>
      <c r="B647" s="50" t="s">
        <v>184</v>
      </c>
      <c r="C647" s="51">
        <v>44886.0</v>
      </c>
      <c r="D647" s="51">
        <v>44915.0</v>
      </c>
      <c r="E647" s="52">
        <v>44896.0</v>
      </c>
      <c r="F647" s="53" t="s">
        <v>12</v>
      </c>
      <c r="G647" s="50" t="s">
        <v>5</v>
      </c>
      <c r="H647" s="54" t="s">
        <v>28</v>
      </c>
      <c r="I647" s="54" t="s">
        <v>7</v>
      </c>
      <c r="J647" s="55">
        <v>2.0</v>
      </c>
      <c r="K647" s="56">
        <v>91.0</v>
      </c>
      <c r="L647" s="57">
        <v>30.0</v>
      </c>
      <c r="M647" s="58">
        <v>10.0</v>
      </c>
      <c r="N647" s="33">
        <f t="shared" si="13"/>
        <v>182</v>
      </c>
      <c r="O647" s="70"/>
      <c r="P647" s="34">
        <f t="shared" si="14"/>
        <v>0</v>
      </c>
      <c r="Q647" s="60"/>
      <c r="R647" s="36">
        <f t="shared" si="99"/>
        <v>10</v>
      </c>
      <c r="S647" s="71"/>
      <c r="T647" s="37">
        <f t="shared" si="100"/>
        <v>40</v>
      </c>
      <c r="U647" s="62">
        <v>1.0</v>
      </c>
      <c r="V647" s="63"/>
      <c r="W647" s="63"/>
      <c r="X647" s="83">
        <v>0.17</v>
      </c>
      <c r="Y647" s="35">
        <f t="shared" si="123"/>
        <v>0</v>
      </c>
      <c r="Z647" s="40">
        <f t="shared" si="120"/>
        <v>33.2</v>
      </c>
      <c r="AA647" s="34">
        <f t="shared" si="125"/>
        <v>6.8</v>
      </c>
      <c r="AB647" s="41">
        <f t="shared" si="109"/>
        <v>0</v>
      </c>
      <c r="AC647" s="42" t="b">
        <v>1</v>
      </c>
      <c r="AD647" s="66" t="s">
        <v>138</v>
      </c>
      <c r="AE647" s="88" t="s">
        <v>138</v>
      </c>
      <c r="AF647" s="42" t="str">
        <f t="array" ref="AF647">INDEX('Deal Info'!D:D, MATCH(A647,'Deal Info'!A:A, 0))</f>
        <v>DoEV</v>
      </c>
      <c r="AG647" s="43" t="str">
        <f t="array" ref="AG647">INDEX('Deal Info'!G:G, MATCH(A647,'Deal Info'!A:A, 0))</f>
        <v>None</v>
      </c>
    </row>
    <row r="648" hidden="1">
      <c r="A648" s="23" t="str">
        <f t="array" ref="A648">if(G648='Room Info'!$B$1, INDEX('Room Info'!$A$2:$A3446, MATCH(B648,'Room Info'!$B$2:$B3446, 0)),if(G648='Room Info'!$C$1, INDEX('Room Info'!$A$2:$A3446, MATCH(B648,'Room Info'!$C$2:$C3446, 0)),if(G648='Room Info'!$D$1, INDEX('Room Info'!$A$2:$A3446, MATCH(B648,'Room Info'!$D$2:$D3446, 0)),if(G648='Room Info'!$E$1, INDEX('Room Info'!$A$2:$A3446, MATCH(B648,'Room Info'!$E$2:$E3446, 0)),if(G648='Room Info'!$F$1, INDEX('Room Info'!$A$2:$A3446, MATCH(B648,'Room Info'!$F$2:$F3446, 0)),if(G648='Room Info'!$H$1, INDEX('Room Info'!$A$2:$A3446, MATCH(B648,'Room Info'!$H$2:$H3446, 0)),if(G648='Room Info'!$G$1, INDEX('Room Info'!$A$2:$A3446, MATCH(B648,'Room Info'!$G$2:$G3446, 0)))))))))</f>
        <v>BodyaComUa</v>
      </c>
      <c r="B648" s="59" t="s">
        <v>184</v>
      </c>
      <c r="C648" s="51">
        <v>44916.0</v>
      </c>
      <c r="D648" s="51">
        <v>44946.0</v>
      </c>
      <c r="E648" s="52">
        <v>44927.0</v>
      </c>
      <c r="F648" s="50" t="s">
        <v>4</v>
      </c>
      <c r="G648" s="59" t="s">
        <v>5</v>
      </c>
      <c r="H648" s="54" t="s">
        <v>35</v>
      </c>
      <c r="I648" s="54" t="s">
        <v>7</v>
      </c>
      <c r="J648" s="55">
        <v>5.0</v>
      </c>
      <c r="K648" s="56">
        <v>1258.0</v>
      </c>
      <c r="L648" s="57">
        <v>-185.0</v>
      </c>
      <c r="M648" s="58">
        <v>273.0</v>
      </c>
      <c r="N648" s="33">
        <f t="shared" si="13"/>
        <v>6290</v>
      </c>
      <c r="O648" s="59">
        <v>64015.0</v>
      </c>
      <c r="P648" s="34">
        <f t="shared" si="14"/>
        <v>50.8863275</v>
      </c>
      <c r="Q648" s="60"/>
      <c r="R648" s="36">
        <f t="shared" si="99"/>
        <v>273</v>
      </c>
      <c r="S648" s="61">
        <v>28.0</v>
      </c>
      <c r="T648" s="37">
        <f t="shared" si="100"/>
        <v>301</v>
      </c>
      <c r="U648" s="62">
        <v>1.0</v>
      </c>
      <c r="V648" s="63"/>
      <c r="W648" s="63"/>
      <c r="X648" s="83">
        <v>0.23</v>
      </c>
      <c r="Y648" s="35">
        <f t="shared" si="123"/>
        <v>0</v>
      </c>
      <c r="Z648" s="40">
        <f t="shared" si="120"/>
        <v>231.77</v>
      </c>
      <c r="AA648" s="34">
        <f t="shared" si="125"/>
        <v>69.23</v>
      </c>
      <c r="AB648" s="41">
        <f t="shared" si="109"/>
        <v>0</v>
      </c>
      <c r="AC648" s="42" t="b">
        <v>1</v>
      </c>
      <c r="AD648" s="66" t="s">
        <v>138</v>
      </c>
      <c r="AE648" s="88" t="s">
        <v>138</v>
      </c>
      <c r="AF648" s="42" t="str">
        <f t="array" ref="AF648">INDEX('Deal Info'!D:D, MATCH(A648,'Deal Info'!A:A, 0))</f>
        <v>DoEV</v>
      </c>
      <c r="AG648" s="43" t="str">
        <f t="array" ref="AG648">INDEX('Deal Info'!G:G, MATCH(A648,'Deal Info'!A:A, 0))</f>
        <v>None</v>
      </c>
    </row>
    <row r="649" hidden="1">
      <c r="A649" s="23" t="str">
        <f t="array" ref="A649">if(G649='Room Info'!$B$1, INDEX('Room Info'!$A$2:$A3446, MATCH(B649,'Room Info'!$B$2:$B3446, 0)),if(G649='Room Info'!$C$1, INDEX('Room Info'!$A$2:$A3446, MATCH(B649,'Room Info'!$C$2:$C3446, 0)),if(G649='Room Info'!$D$1, INDEX('Room Info'!$A$2:$A3446, MATCH(B649,'Room Info'!$D$2:$D3446, 0)),if(G649='Room Info'!$E$1, INDEX('Room Info'!$A$2:$A3446, MATCH(B649,'Room Info'!$E$2:$E3446, 0)),if(G649='Room Info'!$F$1, INDEX('Room Info'!$A$2:$A3446, MATCH(B649,'Room Info'!$F$2:$F3446, 0)),if(G649='Room Info'!$H$1, INDEX('Room Info'!$A$2:$A3446, MATCH(B649,'Room Info'!$H$2:$H3446, 0)),if(G649='Room Info'!$G$1, INDEX('Room Info'!$A$2:$A3446, MATCH(B649,'Room Info'!$G$2:$G3446, 0)))))))))</f>
        <v>BodyaComUa</v>
      </c>
      <c r="B649" s="59" t="s">
        <v>184</v>
      </c>
      <c r="C649" s="51">
        <v>44916.0</v>
      </c>
      <c r="D649" s="51">
        <v>44946.0</v>
      </c>
      <c r="E649" s="52">
        <v>44927.0</v>
      </c>
      <c r="F649" s="50" t="s">
        <v>4</v>
      </c>
      <c r="G649" s="59" t="s">
        <v>5</v>
      </c>
      <c r="H649" s="54" t="s">
        <v>45</v>
      </c>
      <c r="I649" s="54" t="s">
        <v>7</v>
      </c>
      <c r="J649" s="55">
        <v>10.0</v>
      </c>
      <c r="K649" s="56">
        <v>1821.0</v>
      </c>
      <c r="L649" s="57">
        <v>-550.0</v>
      </c>
      <c r="M649" s="58">
        <v>690.0</v>
      </c>
      <c r="N649" s="33">
        <f t="shared" si="13"/>
        <v>18210</v>
      </c>
      <c r="O649" s="59">
        <v>53508.0</v>
      </c>
      <c r="P649" s="34">
        <f t="shared" si="14"/>
        <v>29.38385502</v>
      </c>
      <c r="Q649" s="60"/>
      <c r="R649" s="36">
        <f t="shared" si="99"/>
        <v>690</v>
      </c>
      <c r="S649" s="61">
        <v>-356.0</v>
      </c>
      <c r="T649" s="37">
        <f t="shared" si="100"/>
        <v>334</v>
      </c>
      <c r="U649" s="62">
        <v>1.0</v>
      </c>
      <c r="V649" s="63"/>
      <c r="W649" s="63"/>
      <c r="X649" s="83">
        <v>0.23</v>
      </c>
      <c r="Y649" s="35">
        <f t="shared" si="123"/>
        <v>0</v>
      </c>
      <c r="Z649" s="40">
        <f t="shared" si="120"/>
        <v>257.18</v>
      </c>
      <c r="AA649" s="34">
        <f t="shared" si="125"/>
        <v>76.82</v>
      </c>
      <c r="AB649" s="41">
        <f t="shared" si="109"/>
        <v>0</v>
      </c>
      <c r="AC649" s="42" t="b">
        <v>1</v>
      </c>
      <c r="AD649" s="66" t="s">
        <v>138</v>
      </c>
      <c r="AE649" s="88" t="s">
        <v>138</v>
      </c>
      <c r="AF649" s="42" t="str">
        <f t="array" ref="AF649">INDEX('Deal Info'!D:D, MATCH(A649,'Deal Info'!A:A, 0))</f>
        <v>DoEV</v>
      </c>
      <c r="AG649" s="43" t="str">
        <f t="array" ref="AG649">INDEX('Deal Info'!G:G, MATCH(A649,'Deal Info'!A:A, 0))</f>
        <v>None</v>
      </c>
    </row>
    <row r="650" hidden="1">
      <c r="A650" s="23" t="str">
        <f t="array" ref="A650">if(G650='Room Info'!$B$1, INDEX('Room Info'!$A$2:$A3446, MATCH(B650,'Room Info'!$B$2:$B3446, 0)),if(G650='Room Info'!$C$1, INDEX('Room Info'!$A$2:$A3446, MATCH(B650,'Room Info'!$C$2:$C3446, 0)),if(G650='Room Info'!$D$1, INDEX('Room Info'!$A$2:$A3446, MATCH(B650,'Room Info'!$D$2:$D3446, 0)),if(G650='Room Info'!$E$1, INDEX('Room Info'!$A$2:$A3446, MATCH(B650,'Room Info'!$E$2:$E3446, 0)),if(G650='Room Info'!$F$1, INDEX('Room Info'!$A$2:$A3446, MATCH(B650,'Room Info'!$F$2:$F3446, 0)),if(G650='Room Info'!$H$1, INDEX('Room Info'!$A$2:$A3446, MATCH(B650,'Room Info'!$H$2:$H3446, 0)),if(G650='Room Info'!$G$1, INDEX('Room Info'!$A$2:$A3446, MATCH(B650,'Room Info'!$G$2:$G3446, 0)))))))))</f>
        <v>BodyaComUa</v>
      </c>
      <c r="B650" s="50" t="s">
        <v>184</v>
      </c>
      <c r="C650" s="51">
        <v>44916.0</v>
      </c>
      <c r="D650" s="51">
        <v>44946.0</v>
      </c>
      <c r="E650" s="52">
        <v>44927.0</v>
      </c>
      <c r="F650" s="53" t="s">
        <v>12</v>
      </c>
      <c r="G650" s="50" t="s">
        <v>5</v>
      </c>
      <c r="H650" s="54" t="s">
        <v>28</v>
      </c>
      <c r="I650" s="54" t="s">
        <v>7</v>
      </c>
      <c r="J650" s="55">
        <v>2.0</v>
      </c>
      <c r="K650" s="56">
        <v>314.0</v>
      </c>
      <c r="L650" s="57">
        <v>52.0</v>
      </c>
      <c r="M650" s="58">
        <v>27.0</v>
      </c>
      <c r="N650" s="33">
        <f t="shared" si="13"/>
        <v>628</v>
      </c>
      <c r="O650" s="70"/>
      <c r="P650" s="34">
        <f t="shared" si="14"/>
        <v>0</v>
      </c>
      <c r="Q650" s="60"/>
      <c r="R650" s="36">
        <f t="shared" si="99"/>
        <v>27</v>
      </c>
      <c r="S650" s="71"/>
      <c r="T650" s="37">
        <f t="shared" si="100"/>
        <v>79</v>
      </c>
      <c r="U650" s="62">
        <v>1.0</v>
      </c>
      <c r="V650" s="63"/>
      <c r="W650" s="63"/>
      <c r="X650" s="83">
        <v>0.23</v>
      </c>
      <c r="Y650" s="35">
        <f t="shared" si="123"/>
        <v>0</v>
      </c>
      <c r="Z650" s="40">
        <f t="shared" si="120"/>
        <v>60.83</v>
      </c>
      <c r="AA650" s="34">
        <f t="shared" si="125"/>
        <v>18.17</v>
      </c>
      <c r="AB650" s="41">
        <f t="shared" si="109"/>
        <v>0</v>
      </c>
      <c r="AC650" s="42" t="b">
        <v>1</v>
      </c>
      <c r="AD650" s="66" t="s">
        <v>138</v>
      </c>
      <c r="AE650" s="88" t="s">
        <v>138</v>
      </c>
      <c r="AF650" s="42" t="str">
        <f t="array" ref="AF650">INDEX('Deal Info'!D:D, MATCH(A650,'Deal Info'!A:A, 0))</f>
        <v>DoEV</v>
      </c>
      <c r="AG650" s="43" t="str">
        <f t="array" ref="AG650">INDEX('Deal Info'!G:G, MATCH(A650,'Deal Info'!A:A, 0))</f>
        <v>None</v>
      </c>
    </row>
    <row r="651" hidden="1">
      <c r="A651" s="23" t="b">
        <f t="array" ref="A651">if(G651='Room Info'!$B$1, INDEX('Room Info'!$A$2:$A3446, MATCH(B651,'Room Info'!$B$2:$B3446, 0)),if(G651='Room Info'!$C$1, INDEX('Room Info'!$A$2:$A3446, MATCH(B651,'Room Info'!$C$2:$C3446, 0)),if(G651='Room Info'!$D$1, INDEX('Room Info'!$A$2:$A3446, MATCH(B651,'Room Info'!$D$2:$D3446, 0)),if(G651='Room Info'!$E$1, INDEX('Room Info'!$A$2:$A3446, MATCH(B651,'Room Info'!$E$2:$E3446, 0)),if(G651='Room Info'!$F$1, INDEX('Room Info'!$A$2:$A3446, MATCH(B651,'Room Info'!$F$2:$F3446, 0)),if(G651='Room Info'!$H$1, INDEX('Room Info'!$A$2:$A3446, MATCH(B651,'Room Info'!$H$2:$H3446, 0)),if(G651='Room Info'!$G$1, INDEX('Room Info'!$A$2:$A3446, MATCH(B651,'Room Info'!$G$2:$G3446, 0)))))))))</f>
        <v>0</v>
      </c>
      <c r="B651" s="50" t="s">
        <v>185</v>
      </c>
      <c r="C651" s="51">
        <v>44684.0</v>
      </c>
      <c r="D651" s="51">
        <v>44712.0</v>
      </c>
      <c r="E651" s="52">
        <v>44682.0</v>
      </c>
      <c r="F651" s="53" t="s">
        <v>12</v>
      </c>
      <c r="G651" s="50" t="s">
        <v>142</v>
      </c>
      <c r="H651" s="54" t="s">
        <v>39</v>
      </c>
      <c r="I651" s="54" t="s">
        <v>7</v>
      </c>
      <c r="J651" s="55">
        <v>5.0</v>
      </c>
      <c r="K651" s="56">
        <v>1.0</v>
      </c>
      <c r="L651" s="57">
        <v>0.17</v>
      </c>
      <c r="M651" s="58">
        <v>0.0</v>
      </c>
      <c r="N651" s="33">
        <f t="shared" si="13"/>
        <v>5</v>
      </c>
      <c r="O651" s="59">
        <v>131.0</v>
      </c>
      <c r="P651" s="34">
        <f t="shared" si="14"/>
        <v>131</v>
      </c>
      <c r="Q651" s="60"/>
      <c r="R651" s="36">
        <f t="shared" si="99"/>
        <v>0</v>
      </c>
      <c r="S651" s="61"/>
      <c r="T651" s="37">
        <f t="shared" si="100"/>
        <v>0.17</v>
      </c>
      <c r="U651" s="62">
        <v>1.05</v>
      </c>
      <c r="V651" s="63"/>
      <c r="W651" s="63"/>
      <c r="X651" s="83">
        <v>0.17</v>
      </c>
      <c r="Y651" s="35" t="str">
        <f t="shared" si="123"/>
        <v>#N/A</v>
      </c>
      <c r="Z651" s="64">
        <v>0.0</v>
      </c>
      <c r="AA651" s="65">
        <v>0.0</v>
      </c>
      <c r="AB651" s="41" t="str">
        <f t="shared" si="109"/>
        <v>#N/A</v>
      </c>
      <c r="AC651" s="42" t="b">
        <v>1</v>
      </c>
      <c r="AD651" s="66" t="s">
        <v>138</v>
      </c>
      <c r="AE651" s="88" t="s">
        <v>138</v>
      </c>
      <c r="AF651" s="42" t="str">
        <f t="array" ref="AF651">INDEX('Deal Info'!D:D, MATCH(A651,'Deal Info'!A:A, 0))</f>
        <v>#N/A</v>
      </c>
      <c r="AG651" s="43" t="str">
        <f t="array" ref="AG651">INDEX('Deal Info'!G:G, MATCH(A651,'Deal Info'!A:A, 0))</f>
        <v>#N/A</v>
      </c>
    </row>
    <row r="652" hidden="1">
      <c r="A652" s="23" t="b">
        <f t="array" ref="A652">if(G652='Room Info'!$B$1, INDEX('Room Info'!$A$2:$A3446, MATCH(B652,'Room Info'!$B$2:$B3446, 0)),if(G652='Room Info'!$C$1, INDEX('Room Info'!$A$2:$A3446, MATCH(B652,'Room Info'!$C$2:$C3446, 0)),if(G652='Room Info'!$D$1, INDEX('Room Info'!$A$2:$A3446, MATCH(B652,'Room Info'!$D$2:$D3446, 0)),if(G652='Room Info'!$E$1, INDEX('Room Info'!$A$2:$A3446, MATCH(B652,'Room Info'!$E$2:$E3446, 0)),if(G652='Room Info'!$F$1, INDEX('Room Info'!$A$2:$A3446, MATCH(B652,'Room Info'!$F$2:$F3446, 0)),if(G652='Room Info'!$H$1, INDEX('Room Info'!$A$2:$A3446, MATCH(B652,'Room Info'!$H$2:$H3446, 0)),if(G652='Room Info'!$G$1, INDEX('Room Info'!$A$2:$A3446, MATCH(B652,'Room Info'!$G$2:$G3446, 0)))))))))</f>
        <v>0</v>
      </c>
      <c r="B652" s="50" t="s">
        <v>185</v>
      </c>
      <c r="C652" s="51">
        <v>44684.0</v>
      </c>
      <c r="D652" s="51">
        <v>44712.0</v>
      </c>
      <c r="E652" s="52">
        <v>44682.0</v>
      </c>
      <c r="F652" s="53" t="s">
        <v>12</v>
      </c>
      <c r="G652" s="50" t="s">
        <v>142</v>
      </c>
      <c r="H652" s="54" t="s">
        <v>50</v>
      </c>
      <c r="I652" s="54" t="s">
        <v>7</v>
      </c>
      <c r="J652" s="55">
        <v>10.0</v>
      </c>
      <c r="K652" s="56">
        <v>5.0</v>
      </c>
      <c r="L652" s="57">
        <v>1.67</v>
      </c>
      <c r="M652" s="58">
        <v>2.0</v>
      </c>
      <c r="N652" s="33">
        <f t="shared" si="13"/>
        <v>50</v>
      </c>
      <c r="O652" s="59">
        <v>-1006.0</v>
      </c>
      <c r="P652" s="34">
        <f t="shared" si="14"/>
        <v>-201.2</v>
      </c>
      <c r="Q652" s="60"/>
      <c r="R652" s="36">
        <f t="shared" si="99"/>
        <v>2</v>
      </c>
      <c r="S652" s="61"/>
      <c r="T652" s="37">
        <f t="shared" si="100"/>
        <v>3.67</v>
      </c>
      <c r="U652" s="62">
        <v>1.05</v>
      </c>
      <c r="V652" s="63"/>
      <c r="W652" s="63"/>
      <c r="X652" s="83">
        <v>0.17</v>
      </c>
      <c r="Y652" s="35" t="str">
        <f t="shared" si="123"/>
        <v>#N/A</v>
      </c>
      <c r="Z652" s="64">
        <v>3.0</v>
      </c>
      <c r="AA652" s="65">
        <v>1.0</v>
      </c>
      <c r="AB652" s="41" t="str">
        <f t="shared" si="109"/>
        <v>#N/A</v>
      </c>
      <c r="AC652" s="42" t="b">
        <v>1</v>
      </c>
      <c r="AD652" s="66" t="s">
        <v>138</v>
      </c>
      <c r="AE652" s="88" t="s">
        <v>138</v>
      </c>
      <c r="AF652" s="42" t="str">
        <f t="array" ref="AF652">INDEX('Deal Info'!D:D, MATCH(A652,'Deal Info'!A:A, 0))</f>
        <v>#N/A</v>
      </c>
      <c r="AG652" s="43" t="str">
        <f t="array" ref="AG652">INDEX('Deal Info'!G:G, MATCH(A652,'Deal Info'!A:A, 0))</f>
        <v>#N/A</v>
      </c>
    </row>
    <row r="653" hidden="1">
      <c r="A653" s="23" t="b">
        <f t="array" ref="A653">if(G653='Room Info'!$B$1, INDEX('Room Info'!$A$2:$A3446, MATCH(B653,'Room Info'!$B$2:$B3446, 0)),if(G653='Room Info'!$C$1, INDEX('Room Info'!$A$2:$A3446, MATCH(B653,'Room Info'!$C$2:$C3446, 0)),if(G653='Room Info'!$D$1, INDEX('Room Info'!$A$2:$A3446, MATCH(B653,'Room Info'!$D$2:$D3446, 0)),if(G653='Room Info'!$E$1, INDEX('Room Info'!$A$2:$A3446, MATCH(B653,'Room Info'!$E$2:$E3446, 0)),if(G653='Room Info'!$F$1, INDEX('Room Info'!$A$2:$A3446, MATCH(B653,'Room Info'!$F$2:$F3446, 0)),if(G653='Room Info'!$H$1, INDEX('Room Info'!$A$2:$A3446, MATCH(B653,'Room Info'!$H$2:$H3446, 0)),if(G653='Room Info'!$G$1, INDEX('Room Info'!$A$2:$A3446, MATCH(B653,'Room Info'!$G$2:$G3446, 0)))))))))</f>
        <v>0</v>
      </c>
      <c r="B653" s="50" t="s">
        <v>185</v>
      </c>
      <c r="C653" s="51">
        <v>44684.0</v>
      </c>
      <c r="D653" s="51">
        <v>44712.0</v>
      </c>
      <c r="E653" s="52">
        <v>44682.0</v>
      </c>
      <c r="F653" s="50" t="s">
        <v>12</v>
      </c>
      <c r="G653" s="59" t="s">
        <v>142</v>
      </c>
      <c r="H653" s="54" t="s">
        <v>61</v>
      </c>
      <c r="I653" s="54" t="s">
        <v>7</v>
      </c>
      <c r="J653" s="55">
        <v>20.0</v>
      </c>
      <c r="K653" s="56">
        <v>2212.0</v>
      </c>
      <c r="L653" s="57">
        <v>1475.17</v>
      </c>
      <c r="M653" s="58">
        <v>1548.0</v>
      </c>
      <c r="N653" s="33">
        <f t="shared" si="13"/>
        <v>44240</v>
      </c>
      <c r="O653" s="59">
        <v>68572.0</v>
      </c>
      <c r="P653" s="34">
        <f t="shared" si="14"/>
        <v>31</v>
      </c>
      <c r="Q653" s="60"/>
      <c r="R653" s="36">
        <f t="shared" si="99"/>
        <v>1548</v>
      </c>
      <c r="S653" s="61"/>
      <c r="T653" s="37">
        <f t="shared" si="100"/>
        <v>3023.17</v>
      </c>
      <c r="U653" s="62">
        <v>1.05</v>
      </c>
      <c r="V653" s="63"/>
      <c r="W653" s="63"/>
      <c r="X653" s="83">
        <v>0.23</v>
      </c>
      <c r="Y653" s="35" t="str">
        <f t="shared" si="123"/>
        <v>#N/A</v>
      </c>
      <c r="Z653" s="64">
        <v>2635.0</v>
      </c>
      <c r="AA653" s="65">
        <v>540.0</v>
      </c>
      <c r="AB653" s="41" t="str">
        <f t="shared" si="109"/>
        <v>#N/A</v>
      </c>
      <c r="AC653" s="42" t="b">
        <v>1</v>
      </c>
      <c r="AD653" s="66" t="s">
        <v>138</v>
      </c>
      <c r="AE653" s="88" t="s">
        <v>138</v>
      </c>
      <c r="AF653" s="42" t="str">
        <f t="array" ref="AF653">INDEX('Deal Info'!D:D, MATCH(A653,'Deal Info'!A:A, 0))</f>
        <v>#N/A</v>
      </c>
      <c r="AG653" s="43" t="str">
        <f t="array" ref="AG653">INDEX('Deal Info'!G:G, MATCH(A653,'Deal Info'!A:A, 0))</f>
        <v>#N/A</v>
      </c>
    </row>
    <row r="654" hidden="1">
      <c r="A654" s="23" t="b">
        <f t="array" ref="A654">if(G654='Room Info'!$B$1, INDEX('Room Info'!$A$2:$A3446, MATCH(B654,'Room Info'!$B$2:$B3446, 0)),if(G654='Room Info'!$C$1, INDEX('Room Info'!$A$2:$A3446, MATCH(B654,'Room Info'!$C$2:$C3446, 0)),if(G654='Room Info'!$D$1, INDEX('Room Info'!$A$2:$A3446, MATCH(B654,'Room Info'!$D$2:$D3446, 0)),if(G654='Room Info'!$E$1, INDEX('Room Info'!$A$2:$A3446, MATCH(B654,'Room Info'!$E$2:$E3446, 0)),if(G654='Room Info'!$F$1, INDEX('Room Info'!$A$2:$A3446, MATCH(B654,'Room Info'!$F$2:$F3446, 0)),if(G654='Room Info'!$H$1, INDEX('Room Info'!$A$2:$A3446, MATCH(B654,'Room Info'!$H$2:$H3446, 0)),if(G654='Room Info'!$G$1, INDEX('Room Info'!$A$2:$A3446, MATCH(B654,'Room Info'!$G$2:$G3446, 0)))))))))</f>
        <v>0</v>
      </c>
      <c r="B654" s="50" t="s">
        <v>185</v>
      </c>
      <c r="C654" s="51">
        <v>44713.0</v>
      </c>
      <c r="D654" s="51">
        <v>44742.0</v>
      </c>
      <c r="E654" s="52">
        <v>44713.0</v>
      </c>
      <c r="F654" s="50" t="s">
        <v>12</v>
      </c>
      <c r="G654" s="59" t="s">
        <v>142</v>
      </c>
      <c r="H654" s="54" t="s">
        <v>39</v>
      </c>
      <c r="I654" s="54" t="s">
        <v>7</v>
      </c>
      <c r="J654" s="55">
        <v>5.0</v>
      </c>
      <c r="K654" s="56">
        <v>8.0</v>
      </c>
      <c r="L654" s="57">
        <v>-1.01</v>
      </c>
      <c r="M654" s="58">
        <v>1.0</v>
      </c>
      <c r="N654" s="33">
        <f t="shared" si="13"/>
        <v>40</v>
      </c>
      <c r="O654" s="59">
        <v>813.0</v>
      </c>
      <c r="P654" s="34">
        <f t="shared" si="14"/>
        <v>101.625</v>
      </c>
      <c r="Q654" s="60"/>
      <c r="R654" s="36">
        <f t="shared" si="99"/>
        <v>1</v>
      </c>
      <c r="S654" s="61"/>
      <c r="T654" s="37">
        <f t="shared" si="100"/>
        <v>-0.01</v>
      </c>
      <c r="U654" s="62">
        <v>1.053</v>
      </c>
      <c r="V654" s="63"/>
      <c r="W654" s="63"/>
      <c r="X654" s="83">
        <v>0.23</v>
      </c>
      <c r="Y654" s="35" t="str">
        <f t="shared" si="123"/>
        <v>#N/A</v>
      </c>
      <c r="Z654" s="64">
        <v>0.0</v>
      </c>
      <c r="AA654" s="65">
        <v>0.0</v>
      </c>
      <c r="AB654" s="41" t="str">
        <f t="shared" si="109"/>
        <v>#N/A</v>
      </c>
      <c r="AC654" s="42" t="b">
        <v>1</v>
      </c>
      <c r="AD654" s="66" t="s">
        <v>138</v>
      </c>
      <c r="AE654" s="88" t="s">
        <v>138</v>
      </c>
      <c r="AF654" s="42" t="str">
        <f t="array" ref="AF654">INDEX('Deal Info'!D:D, MATCH(A654,'Deal Info'!A:A, 0))</f>
        <v>#N/A</v>
      </c>
      <c r="AG654" s="43" t="str">
        <f t="array" ref="AG654">INDEX('Deal Info'!G:G, MATCH(A654,'Deal Info'!A:A, 0))</f>
        <v>#N/A</v>
      </c>
    </row>
    <row r="655" hidden="1">
      <c r="A655" s="23" t="b">
        <f t="array" ref="A655">if(G655='Room Info'!$B$1, INDEX('Room Info'!$A$2:$A3446, MATCH(B655,'Room Info'!$B$2:$B3446, 0)),if(G655='Room Info'!$C$1, INDEX('Room Info'!$A$2:$A3446, MATCH(B655,'Room Info'!$C$2:$C3446, 0)),if(G655='Room Info'!$D$1, INDEX('Room Info'!$A$2:$A3446, MATCH(B655,'Room Info'!$D$2:$D3446, 0)),if(G655='Room Info'!$E$1, INDEX('Room Info'!$A$2:$A3446, MATCH(B655,'Room Info'!$E$2:$E3446, 0)),if(G655='Room Info'!$F$1, INDEX('Room Info'!$A$2:$A3446, MATCH(B655,'Room Info'!$F$2:$F3446, 0)),if(G655='Room Info'!$H$1, INDEX('Room Info'!$A$2:$A3446, MATCH(B655,'Room Info'!$H$2:$H3446, 0)),if(G655='Room Info'!$G$1, INDEX('Room Info'!$A$2:$A3446, MATCH(B655,'Room Info'!$G$2:$G3446, 0)))))))))</f>
        <v>0</v>
      </c>
      <c r="B655" s="50" t="s">
        <v>185</v>
      </c>
      <c r="C655" s="51">
        <v>44713.0</v>
      </c>
      <c r="D655" s="51">
        <v>44742.0</v>
      </c>
      <c r="E655" s="52">
        <v>44713.0</v>
      </c>
      <c r="F655" s="53" t="s">
        <v>12</v>
      </c>
      <c r="G655" s="50" t="s">
        <v>142</v>
      </c>
      <c r="H655" s="54" t="s">
        <v>50</v>
      </c>
      <c r="I655" s="54" t="s">
        <v>7</v>
      </c>
      <c r="J655" s="55">
        <v>10.0</v>
      </c>
      <c r="K655" s="56">
        <v>10.0</v>
      </c>
      <c r="L655" s="57">
        <v>-2.52</v>
      </c>
      <c r="M655" s="58">
        <v>4.0</v>
      </c>
      <c r="N655" s="33">
        <f t="shared" si="13"/>
        <v>100</v>
      </c>
      <c r="O655" s="59">
        <v>284.0</v>
      </c>
      <c r="P655" s="34">
        <f t="shared" si="14"/>
        <v>28.4</v>
      </c>
      <c r="Q655" s="60"/>
      <c r="R655" s="36">
        <f t="shared" si="99"/>
        <v>4</v>
      </c>
      <c r="S655" s="61"/>
      <c r="T655" s="37">
        <f t="shared" si="100"/>
        <v>1.48</v>
      </c>
      <c r="U655" s="62">
        <v>1.053</v>
      </c>
      <c r="V655" s="63"/>
      <c r="W655" s="63"/>
      <c r="X655" s="83">
        <v>0.23</v>
      </c>
      <c r="Y655" s="35" t="str">
        <f t="shared" si="123"/>
        <v>#N/A</v>
      </c>
      <c r="Z655" s="64">
        <v>1.0</v>
      </c>
      <c r="AA655" s="65">
        <v>0.0</v>
      </c>
      <c r="AB655" s="41" t="str">
        <f t="shared" si="109"/>
        <v>#N/A</v>
      </c>
      <c r="AC655" s="42" t="b">
        <v>1</v>
      </c>
      <c r="AD655" s="66" t="s">
        <v>138</v>
      </c>
      <c r="AE655" s="88" t="s">
        <v>138</v>
      </c>
      <c r="AF655" s="42" t="str">
        <f t="array" ref="AF655">INDEX('Deal Info'!D:D, MATCH(A655,'Deal Info'!A:A, 0))</f>
        <v>#N/A</v>
      </c>
      <c r="AG655" s="43" t="str">
        <f t="array" ref="AG655">INDEX('Deal Info'!G:G, MATCH(A655,'Deal Info'!A:A, 0))</f>
        <v>#N/A</v>
      </c>
    </row>
    <row r="656" hidden="1">
      <c r="A656" s="23" t="b">
        <f t="array" ref="A656">if(G656='Room Info'!$B$1, INDEX('Room Info'!$A$2:$A3446, MATCH(B656,'Room Info'!$B$2:$B3446, 0)),if(G656='Room Info'!$C$1, INDEX('Room Info'!$A$2:$A3446, MATCH(B656,'Room Info'!$C$2:$C3446, 0)),if(G656='Room Info'!$D$1, INDEX('Room Info'!$A$2:$A3446, MATCH(B656,'Room Info'!$D$2:$D3446, 0)),if(G656='Room Info'!$E$1, INDEX('Room Info'!$A$2:$A3446, MATCH(B656,'Room Info'!$E$2:$E3446, 0)),if(G656='Room Info'!$F$1, INDEX('Room Info'!$A$2:$A3446, MATCH(B656,'Room Info'!$F$2:$F3446, 0)),if(G656='Room Info'!$H$1, INDEX('Room Info'!$A$2:$A3446, MATCH(B656,'Room Info'!$H$2:$H3446, 0)),if(G656='Room Info'!$G$1, INDEX('Room Info'!$A$2:$A3446, MATCH(B656,'Room Info'!$G$2:$G3446, 0)))))))))</f>
        <v>0</v>
      </c>
      <c r="B656" s="50" t="s">
        <v>185</v>
      </c>
      <c r="C656" s="51">
        <v>44713.0</v>
      </c>
      <c r="D656" s="51">
        <v>44742.0</v>
      </c>
      <c r="E656" s="52">
        <v>44713.0</v>
      </c>
      <c r="F656" s="53" t="s">
        <v>12</v>
      </c>
      <c r="G656" s="50" t="s">
        <v>142</v>
      </c>
      <c r="H656" s="54" t="s">
        <v>61</v>
      </c>
      <c r="I656" s="54" t="s">
        <v>7</v>
      </c>
      <c r="J656" s="55">
        <v>20.0</v>
      </c>
      <c r="K656" s="56">
        <v>1305.0</v>
      </c>
      <c r="L656" s="57">
        <v>-658.47</v>
      </c>
      <c r="M656" s="58">
        <v>914.0</v>
      </c>
      <c r="N656" s="33">
        <f t="shared" si="13"/>
        <v>26100</v>
      </c>
      <c r="O656" s="59">
        <v>69594.0</v>
      </c>
      <c r="P656" s="34">
        <f t="shared" si="14"/>
        <v>53.32873563</v>
      </c>
      <c r="Q656" s="60"/>
      <c r="R656" s="36">
        <f t="shared" si="99"/>
        <v>914</v>
      </c>
      <c r="S656" s="61"/>
      <c r="T656" s="37">
        <f t="shared" si="100"/>
        <v>255.53</v>
      </c>
      <c r="U656" s="62">
        <v>1.053</v>
      </c>
      <c r="V656" s="63"/>
      <c r="W656" s="63"/>
      <c r="X656" s="83">
        <v>0.23</v>
      </c>
      <c r="Y656" s="35" t="str">
        <f t="shared" si="123"/>
        <v>#N/A</v>
      </c>
      <c r="Z656" s="64">
        <v>207.0</v>
      </c>
      <c r="AA656" s="65">
        <v>62.0</v>
      </c>
      <c r="AB656" s="41" t="str">
        <f t="shared" si="109"/>
        <v>#N/A</v>
      </c>
      <c r="AC656" s="42" t="b">
        <v>1</v>
      </c>
      <c r="AD656" s="66" t="s">
        <v>138</v>
      </c>
      <c r="AE656" s="88" t="s">
        <v>138</v>
      </c>
      <c r="AF656" s="42" t="str">
        <f t="array" ref="AF656">INDEX('Deal Info'!D:D, MATCH(A656,'Deal Info'!A:A, 0))</f>
        <v>#N/A</v>
      </c>
      <c r="AG656" s="43" t="str">
        <f t="array" ref="AG656">INDEX('Deal Info'!G:G, MATCH(A656,'Deal Info'!A:A, 0))</f>
        <v>#N/A</v>
      </c>
    </row>
    <row r="657" hidden="1">
      <c r="A657" s="23" t="str">
        <f t="array" ref="A657">if(G657='Room Info'!$B$1, INDEX('Room Info'!$A$2:$A3446, MATCH(B657,'Room Info'!$B$2:$B3446, 0)),if(G657='Room Info'!$C$1, INDEX('Room Info'!$A$2:$A3446, MATCH(B657,'Room Info'!$C$2:$C3446, 0)),if(G657='Room Info'!$D$1, INDEX('Room Info'!$A$2:$A3446, MATCH(B657,'Room Info'!$D$2:$D3446, 0)),if(G657='Room Info'!$E$1, INDEX('Room Info'!$A$2:$A3446, MATCH(B657,'Room Info'!$E$2:$E3446, 0)),if(G657='Room Info'!$F$1, INDEX('Room Info'!$A$2:$A3446, MATCH(B657,'Room Info'!$F$2:$F3446, 0)),if(G657='Room Info'!$H$1, INDEX('Room Info'!$A$2:$A3446, MATCH(B657,'Room Info'!$H$2:$H3446, 0)),if(G657='Room Info'!$G$1, INDEX('Room Info'!$A$2:$A3446, MATCH(B657,'Room Info'!$G$2:$G3446, 0)))))))))</f>
        <v>Davaibablo</v>
      </c>
      <c r="B657" s="50" t="s">
        <v>185</v>
      </c>
      <c r="C657" s="51">
        <v>44713.0</v>
      </c>
      <c r="D657" s="51">
        <v>44742.0</v>
      </c>
      <c r="E657" s="52">
        <v>44713.0</v>
      </c>
      <c r="F657" s="53" t="s">
        <v>12</v>
      </c>
      <c r="G657" s="50" t="s">
        <v>5</v>
      </c>
      <c r="H657" s="54" t="s">
        <v>62</v>
      </c>
      <c r="I657" s="54" t="s">
        <v>7</v>
      </c>
      <c r="J657" s="55">
        <v>25.0</v>
      </c>
      <c r="K657" s="56">
        <v>972.0</v>
      </c>
      <c r="L657" s="57">
        <v>775.0</v>
      </c>
      <c r="M657" s="58">
        <v>270.0</v>
      </c>
      <c r="N657" s="33">
        <f t="shared" si="13"/>
        <v>24300</v>
      </c>
      <c r="O657" s="59">
        <v>69599.0</v>
      </c>
      <c r="P657" s="34">
        <f t="shared" si="14"/>
        <v>71.60390947</v>
      </c>
      <c r="Q657" s="60"/>
      <c r="R657" s="36">
        <f t="shared" si="99"/>
        <v>270</v>
      </c>
      <c r="S657" s="61"/>
      <c r="T657" s="37">
        <f t="shared" si="100"/>
        <v>1045</v>
      </c>
      <c r="U657" s="62">
        <v>1.0</v>
      </c>
      <c r="V657" s="63"/>
      <c r="W657" s="63"/>
      <c r="X657" s="83">
        <v>0.23</v>
      </c>
      <c r="Y657" s="35">
        <f t="shared" si="123"/>
        <v>0</v>
      </c>
      <c r="Z657" s="64">
        <v>805.0</v>
      </c>
      <c r="AA657" s="65">
        <v>240.0</v>
      </c>
      <c r="AB657" s="41">
        <f t="shared" si="109"/>
        <v>0</v>
      </c>
      <c r="AC657" s="42" t="b">
        <v>1</v>
      </c>
      <c r="AD657" s="66" t="s">
        <v>138</v>
      </c>
      <c r="AE657" s="88" t="s">
        <v>138</v>
      </c>
      <c r="AF657" s="42" t="str">
        <f t="array" ref="AF657">INDEX('Deal Info'!D:D, MATCH(A657,'Deal Info'!A:A, 0))</f>
        <v>DoEV</v>
      </c>
      <c r="AG657" s="43" t="str">
        <f t="array" ref="AG657">INDEX('Deal Info'!G:G, MATCH(A657,'Deal Info'!A:A, 0))</f>
        <v>None</v>
      </c>
    </row>
    <row r="658" hidden="1">
      <c r="A658" s="23" t="str">
        <f t="array" ref="A658">if(G658='Room Info'!$B$1, INDEX('Room Info'!$A$2:$A3446, MATCH(B658,'Room Info'!$B$2:$B3446, 0)),if(G658='Room Info'!$C$1, INDEX('Room Info'!$A$2:$A3446, MATCH(B658,'Room Info'!$C$2:$C3446, 0)),if(G658='Room Info'!$D$1, INDEX('Room Info'!$A$2:$A3446, MATCH(B658,'Room Info'!$D$2:$D3446, 0)),if(G658='Room Info'!$E$1, INDEX('Room Info'!$A$2:$A3446, MATCH(B658,'Room Info'!$E$2:$E3446, 0)),if(G658='Room Info'!$F$1, INDEX('Room Info'!$A$2:$A3446, MATCH(B658,'Room Info'!$F$2:$F3446, 0)),if(G658='Room Info'!$H$1, INDEX('Room Info'!$A$2:$A3446, MATCH(B658,'Room Info'!$H$2:$H3446, 0)),if(G658='Room Info'!$G$1, INDEX('Room Info'!$A$2:$A3446, MATCH(B658,'Room Info'!$G$2:$G3446, 0)))))))))</f>
        <v>Davaibablo</v>
      </c>
      <c r="B658" s="50" t="s">
        <v>185</v>
      </c>
      <c r="C658" s="51">
        <v>44713.0</v>
      </c>
      <c r="D658" s="51">
        <v>44742.0</v>
      </c>
      <c r="E658" s="52">
        <v>44713.0</v>
      </c>
      <c r="F658" s="53" t="s">
        <v>12</v>
      </c>
      <c r="G658" s="50" t="s">
        <v>5</v>
      </c>
      <c r="H658" s="54" t="s">
        <v>74</v>
      </c>
      <c r="I658" s="54" t="s">
        <v>7</v>
      </c>
      <c r="J658" s="55">
        <v>50.0</v>
      </c>
      <c r="K658" s="56">
        <v>1.0</v>
      </c>
      <c r="L658" s="57">
        <v>-50.0</v>
      </c>
      <c r="M658" s="58">
        <v>2.0</v>
      </c>
      <c r="N658" s="33">
        <f t="shared" si="13"/>
        <v>50</v>
      </c>
      <c r="O658" s="59">
        <v>-518.0</v>
      </c>
      <c r="P658" s="34">
        <f t="shared" si="14"/>
        <v>-518</v>
      </c>
      <c r="Q658" s="60"/>
      <c r="R658" s="36">
        <f t="shared" si="99"/>
        <v>2</v>
      </c>
      <c r="S658" s="61"/>
      <c r="T658" s="37">
        <f t="shared" si="100"/>
        <v>-48</v>
      </c>
      <c r="U658" s="62">
        <v>1.0</v>
      </c>
      <c r="V658" s="63"/>
      <c r="W658" s="63"/>
      <c r="X658" s="83">
        <v>0.23</v>
      </c>
      <c r="Y658" s="35">
        <f t="shared" si="123"/>
        <v>0</v>
      </c>
      <c r="Z658" s="64">
        <v>-37.0</v>
      </c>
      <c r="AA658" s="65">
        <v>-11.0</v>
      </c>
      <c r="AB658" s="41">
        <f t="shared" si="109"/>
        <v>0</v>
      </c>
      <c r="AC658" s="42" t="b">
        <v>1</v>
      </c>
      <c r="AD658" s="66" t="s">
        <v>138</v>
      </c>
      <c r="AE658" s="88" t="s">
        <v>138</v>
      </c>
      <c r="AF658" s="42" t="str">
        <f t="array" ref="AF658">INDEX('Deal Info'!D:D, MATCH(A658,'Deal Info'!A:A, 0))</f>
        <v>DoEV</v>
      </c>
      <c r="AG658" s="43" t="str">
        <f t="array" ref="AG658">INDEX('Deal Info'!G:G, MATCH(A658,'Deal Info'!A:A, 0))</f>
        <v>None</v>
      </c>
    </row>
    <row r="659" hidden="1">
      <c r="A659" s="23" t="b">
        <f t="array" ref="A659">if(G659='Room Info'!$B$1, INDEX('Room Info'!$A$2:$A3446, MATCH(B659,'Room Info'!$B$2:$B3446, 0)),if(G659='Room Info'!$C$1, INDEX('Room Info'!$A$2:$A3446, MATCH(B659,'Room Info'!$C$2:$C3446, 0)),if(G659='Room Info'!$D$1, INDEX('Room Info'!$A$2:$A3446, MATCH(B659,'Room Info'!$D$2:$D3446, 0)),if(G659='Room Info'!$E$1, INDEX('Room Info'!$A$2:$A3446, MATCH(B659,'Room Info'!$E$2:$E3446, 0)),if(G659='Room Info'!$F$1, INDEX('Room Info'!$A$2:$A3446, MATCH(B659,'Room Info'!$F$2:$F3446, 0)),if(G659='Room Info'!$H$1, INDEX('Room Info'!$A$2:$A3446, MATCH(B659,'Room Info'!$H$2:$H3446, 0)),if(G659='Room Info'!$G$1, INDEX('Room Info'!$A$2:$A3446, MATCH(B659,'Room Info'!$G$2:$G3446, 0)))))))))</f>
        <v>0</v>
      </c>
      <c r="B659" s="50" t="s">
        <v>185</v>
      </c>
      <c r="C659" s="51">
        <v>44743.0</v>
      </c>
      <c r="D659" s="51">
        <v>44773.0</v>
      </c>
      <c r="E659" s="52">
        <v>44743.0</v>
      </c>
      <c r="F659" s="53" t="s">
        <v>12</v>
      </c>
      <c r="G659" s="50" t="s">
        <v>142</v>
      </c>
      <c r="H659" s="54" t="s">
        <v>39</v>
      </c>
      <c r="I659" s="54" t="s">
        <v>7</v>
      </c>
      <c r="J659" s="55">
        <v>5.0</v>
      </c>
      <c r="K659" s="56">
        <v>3.0</v>
      </c>
      <c r="L659" s="57">
        <v>-0.03</v>
      </c>
      <c r="M659" s="58">
        <v>1.0</v>
      </c>
      <c r="N659" s="33">
        <f t="shared" si="13"/>
        <v>15</v>
      </c>
      <c r="O659" s="59">
        <v>-302.0</v>
      </c>
      <c r="P659" s="34">
        <f t="shared" si="14"/>
        <v>-100.6666667</v>
      </c>
      <c r="Q659" s="60"/>
      <c r="R659" s="36">
        <f t="shared" si="99"/>
        <v>1</v>
      </c>
      <c r="S659" s="61"/>
      <c r="T659" s="37">
        <f t="shared" si="100"/>
        <v>0.97</v>
      </c>
      <c r="U659" s="62">
        <v>1.0</v>
      </c>
      <c r="V659" s="63"/>
      <c r="W659" s="63"/>
      <c r="X659" s="83">
        <v>0.23</v>
      </c>
      <c r="Y659" s="35" t="str">
        <f t="shared" si="123"/>
        <v>#N/A</v>
      </c>
      <c r="Z659" s="64">
        <v>0.0</v>
      </c>
      <c r="AA659" s="65">
        <v>0.0</v>
      </c>
      <c r="AB659" s="41" t="str">
        <f t="shared" si="109"/>
        <v>#N/A</v>
      </c>
      <c r="AC659" s="42" t="b">
        <v>1</v>
      </c>
      <c r="AD659" s="66" t="s">
        <v>138</v>
      </c>
      <c r="AE659" s="88" t="s">
        <v>138</v>
      </c>
      <c r="AF659" s="42" t="str">
        <f t="array" ref="AF659">INDEX('Deal Info'!D:D, MATCH(A659,'Deal Info'!A:A, 0))</f>
        <v>#N/A</v>
      </c>
      <c r="AG659" s="43" t="str">
        <f t="array" ref="AG659">INDEX('Deal Info'!G:G, MATCH(A659,'Deal Info'!A:A, 0))</f>
        <v>#N/A</v>
      </c>
    </row>
    <row r="660" hidden="1">
      <c r="A660" s="23" t="b">
        <f t="array" ref="A660">if(G660='Room Info'!$B$1, INDEX('Room Info'!$A$2:$A3446, MATCH(B660,'Room Info'!$B$2:$B3446, 0)),if(G660='Room Info'!$C$1, INDEX('Room Info'!$A$2:$A3446, MATCH(B660,'Room Info'!$C$2:$C3446, 0)),if(G660='Room Info'!$D$1, INDEX('Room Info'!$A$2:$A3446, MATCH(B660,'Room Info'!$D$2:$D3446, 0)),if(G660='Room Info'!$E$1, INDEX('Room Info'!$A$2:$A3446, MATCH(B660,'Room Info'!$E$2:$E3446, 0)),if(G660='Room Info'!$F$1, INDEX('Room Info'!$A$2:$A3446, MATCH(B660,'Room Info'!$F$2:$F3446, 0)),if(G660='Room Info'!$H$1, INDEX('Room Info'!$A$2:$A3446, MATCH(B660,'Room Info'!$H$2:$H3446, 0)),if(G660='Room Info'!$G$1, INDEX('Room Info'!$A$2:$A3446, MATCH(B660,'Room Info'!$G$2:$G3446, 0)))))))))</f>
        <v>0</v>
      </c>
      <c r="B660" s="50" t="s">
        <v>185</v>
      </c>
      <c r="C660" s="51">
        <v>44743.0</v>
      </c>
      <c r="D660" s="51">
        <v>44773.0</v>
      </c>
      <c r="E660" s="52">
        <v>44743.0</v>
      </c>
      <c r="F660" s="53" t="s">
        <v>12</v>
      </c>
      <c r="G660" s="50" t="s">
        <v>142</v>
      </c>
      <c r="H660" s="54" t="s">
        <v>61</v>
      </c>
      <c r="I660" s="54" t="s">
        <v>7</v>
      </c>
      <c r="J660" s="55">
        <v>20.0</v>
      </c>
      <c r="K660" s="56">
        <v>1614.0</v>
      </c>
      <c r="L660" s="57">
        <v>-69.83</v>
      </c>
      <c r="M660" s="58">
        <v>1130.0</v>
      </c>
      <c r="N660" s="33">
        <f t="shared" si="13"/>
        <v>32280</v>
      </c>
      <c r="O660" s="59">
        <v>71602.0</v>
      </c>
      <c r="P660" s="34">
        <f t="shared" si="14"/>
        <v>44.36307311</v>
      </c>
      <c r="Q660" s="60"/>
      <c r="R660" s="36">
        <f t="shared" si="99"/>
        <v>1130</v>
      </c>
      <c r="S660" s="61"/>
      <c r="T660" s="37">
        <f t="shared" si="100"/>
        <v>1060.17</v>
      </c>
      <c r="U660" s="62">
        <v>1.0</v>
      </c>
      <c r="V660" s="63"/>
      <c r="W660" s="63"/>
      <c r="X660" s="83">
        <v>0.23</v>
      </c>
      <c r="Y660" s="35" t="str">
        <f t="shared" si="123"/>
        <v>#N/A</v>
      </c>
      <c r="Z660" s="64">
        <v>816.0</v>
      </c>
      <c r="AA660" s="65">
        <v>244.0</v>
      </c>
      <c r="AB660" s="41" t="str">
        <f t="shared" si="109"/>
        <v>#N/A</v>
      </c>
      <c r="AC660" s="42" t="b">
        <v>1</v>
      </c>
      <c r="AD660" s="66" t="s">
        <v>138</v>
      </c>
      <c r="AE660" s="88" t="s">
        <v>138</v>
      </c>
      <c r="AF660" s="42" t="str">
        <f t="array" ref="AF660">INDEX('Deal Info'!D:D, MATCH(A660,'Deal Info'!A:A, 0))</f>
        <v>#N/A</v>
      </c>
      <c r="AG660" s="43" t="str">
        <f t="array" ref="AG660">INDEX('Deal Info'!G:G, MATCH(A660,'Deal Info'!A:A, 0))</f>
        <v>#N/A</v>
      </c>
    </row>
    <row r="661" hidden="1">
      <c r="A661" s="23" t="b">
        <f t="array" ref="A661">if(G661='Room Info'!$B$1, INDEX('Room Info'!$A$2:$A3446, MATCH(B661,'Room Info'!$B$2:$B3446, 0)),if(G661='Room Info'!$C$1, INDEX('Room Info'!$A$2:$A3446, MATCH(B661,'Room Info'!$C$2:$C3446, 0)),if(G661='Room Info'!$D$1, INDEX('Room Info'!$A$2:$A3446, MATCH(B661,'Room Info'!$D$2:$D3446, 0)),if(G661='Room Info'!$E$1, INDEX('Room Info'!$A$2:$A3446, MATCH(B661,'Room Info'!$E$2:$E3446, 0)),if(G661='Room Info'!$F$1, INDEX('Room Info'!$A$2:$A3446, MATCH(B661,'Room Info'!$F$2:$F3446, 0)),if(G661='Room Info'!$H$1, INDEX('Room Info'!$A$2:$A3446, MATCH(B661,'Room Info'!$H$2:$H3446, 0)),if(G661='Room Info'!$G$1, INDEX('Room Info'!$A$2:$A3446, MATCH(B661,'Room Info'!$G$2:$G3446, 0)))))))))</f>
        <v>0</v>
      </c>
      <c r="B661" s="50" t="s">
        <v>185</v>
      </c>
      <c r="C661" s="51">
        <v>44743.0</v>
      </c>
      <c r="D661" s="51">
        <v>44773.0</v>
      </c>
      <c r="E661" s="52">
        <v>44743.0</v>
      </c>
      <c r="F661" s="53" t="s">
        <v>12</v>
      </c>
      <c r="G661" s="50" t="s">
        <v>142</v>
      </c>
      <c r="H661" s="54" t="s">
        <v>77</v>
      </c>
      <c r="I661" s="54" t="s">
        <v>7</v>
      </c>
      <c r="J661" s="55">
        <v>50.0</v>
      </c>
      <c r="K661" s="56">
        <v>66.0</v>
      </c>
      <c r="L661" s="57">
        <v>-7.14</v>
      </c>
      <c r="M661" s="58">
        <v>116.0</v>
      </c>
      <c r="N661" s="33">
        <f t="shared" si="13"/>
        <v>3300</v>
      </c>
      <c r="O661" s="59">
        <v>3810.0</v>
      </c>
      <c r="P661" s="34">
        <f t="shared" si="14"/>
        <v>57.72727273</v>
      </c>
      <c r="Q661" s="60"/>
      <c r="R661" s="36">
        <f t="shared" si="99"/>
        <v>116</v>
      </c>
      <c r="S661" s="61"/>
      <c r="T661" s="37">
        <f t="shared" si="100"/>
        <v>108.86</v>
      </c>
      <c r="U661" s="62">
        <v>1.0</v>
      </c>
      <c r="V661" s="63"/>
      <c r="W661" s="63"/>
      <c r="X661" s="83">
        <v>0.17</v>
      </c>
      <c r="Y661" s="35" t="str">
        <f t="shared" si="123"/>
        <v>#N/A</v>
      </c>
      <c r="Z661" s="64">
        <v>83.0</v>
      </c>
      <c r="AA661" s="65">
        <v>25.0</v>
      </c>
      <c r="AB661" s="41" t="str">
        <f t="shared" si="109"/>
        <v>#N/A</v>
      </c>
      <c r="AC661" s="42" t="b">
        <v>1</v>
      </c>
      <c r="AD661" s="66" t="s">
        <v>138</v>
      </c>
      <c r="AE661" s="88" t="s">
        <v>138</v>
      </c>
      <c r="AF661" s="42" t="str">
        <f t="array" ref="AF661">INDEX('Deal Info'!D:D, MATCH(A661,'Deal Info'!A:A, 0))</f>
        <v>#N/A</v>
      </c>
      <c r="AG661" s="43" t="str">
        <f t="array" ref="AG661">INDEX('Deal Info'!G:G, MATCH(A661,'Deal Info'!A:A, 0))</f>
        <v>#N/A</v>
      </c>
    </row>
    <row r="662" hidden="1">
      <c r="A662" s="23" t="str">
        <f t="array" ref="A662">if(G662='Room Info'!$B$1, INDEX('Room Info'!$A$2:$A3446, MATCH(B662,'Room Info'!$B$2:$B3446, 0)),if(G662='Room Info'!$C$1, INDEX('Room Info'!$A$2:$A3446, MATCH(B662,'Room Info'!$C$2:$C3446, 0)),if(G662='Room Info'!$D$1, INDEX('Room Info'!$A$2:$A3446, MATCH(B662,'Room Info'!$D$2:$D3446, 0)),if(G662='Room Info'!$E$1, INDEX('Room Info'!$A$2:$A3446, MATCH(B662,'Room Info'!$E$2:$E3446, 0)),if(G662='Room Info'!$F$1, INDEX('Room Info'!$A$2:$A3446, MATCH(B662,'Room Info'!$F$2:$F3446, 0)),if(G662='Room Info'!$H$1, INDEX('Room Info'!$A$2:$A3446, MATCH(B662,'Room Info'!$H$2:$H3446, 0)),if(G662='Room Info'!$G$1, INDEX('Room Info'!$A$2:$A3446, MATCH(B662,'Room Info'!$G$2:$G3446, 0)))))))))</f>
        <v>Davaibablo</v>
      </c>
      <c r="B662" s="50" t="s">
        <v>185</v>
      </c>
      <c r="C662" s="51">
        <v>44774.0</v>
      </c>
      <c r="D662" s="51">
        <v>44804.0</v>
      </c>
      <c r="E662" s="52">
        <v>44774.0</v>
      </c>
      <c r="F662" s="53" t="s">
        <v>12</v>
      </c>
      <c r="G662" s="50" t="s">
        <v>25</v>
      </c>
      <c r="H662" s="54" t="s">
        <v>186</v>
      </c>
      <c r="I662" s="54" t="s">
        <v>7</v>
      </c>
      <c r="J662" s="55">
        <v>1000.0</v>
      </c>
      <c r="K662" s="56">
        <v>859.0</v>
      </c>
      <c r="L662" s="57">
        <v>56000.0</v>
      </c>
      <c r="M662" s="58">
        <v>165667.0</v>
      </c>
      <c r="N662" s="33">
        <f t="shared" si="13"/>
        <v>859000</v>
      </c>
      <c r="O662" s="70"/>
      <c r="P662" s="34">
        <f t="shared" si="14"/>
        <v>0</v>
      </c>
      <c r="Q662" s="60"/>
      <c r="R662" s="36">
        <f t="shared" si="99"/>
        <v>165667</v>
      </c>
      <c r="S662" s="71"/>
      <c r="T662" s="37">
        <f t="shared" si="100"/>
        <v>221667</v>
      </c>
      <c r="U662" s="62">
        <v>0.015</v>
      </c>
      <c r="V662" s="63"/>
      <c r="W662" s="63"/>
      <c r="X662" s="83">
        <v>0.17</v>
      </c>
      <c r="Y662" s="35">
        <f t="shared" si="123"/>
        <v>0</v>
      </c>
      <c r="Z662" s="64">
        <v>2686.0</v>
      </c>
      <c r="AA662" s="65">
        <v>550.0</v>
      </c>
      <c r="AB662" s="41">
        <f t="shared" si="109"/>
        <v>0</v>
      </c>
      <c r="AC662" s="42" t="b">
        <v>1</v>
      </c>
      <c r="AD662" s="66" t="s">
        <v>138</v>
      </c>
      <c r="AE662" s="88" t="s">
        <v>138</v>
      </c>
      <c r="AF662" s="42" t="str">
        <f t="array" ref="AF662">INDEX('Deal Info'!D:D, MATCH(A662,'Deal Info'!A:A, 0))</f>
        <v>DoEV</v>
      </c>
      <c r="AG662" s="43" t="str">
        <f t="array" ref="AG662">INDEX('Deal Info'!G:G, MATCH(A662,'Deal Info'!A:A, 0))</f>
        <v>None</v>
      </c>
    </row>
    <row r="663" hidden="1">
      <c r="A663" s="23" t="str">
        <f t="array" ref="A663">if(G663='Room Info'!$B$1, INDEX('Room Info'!$A$2:$A3446, MATCH(B663,'Room Info'!$B$2:$B3446, 0)),if(G663='Room Info'!$C$1, INDEX('Room Info'!$A$2:$A3446, MATCH(B663,'Room Info'!$C$2:$C3446, 0)),if(G663='Room Info'!$D$1, INDEX('Room Info'!$A$2:$A3446, MATCH(B663,'Room Info'!$D$2:$D3446, 0)),if(G663='Room Info'!$E$1, INDEX('Room Info'!$A$2:$A3446, MATCH(B663,'Room Info'!$E$2:$E3446, 0)),if(G663='Room Info'!$F$1, INDEX('Room Info'!$A$2:$A3446, MATCH(B663,'Room Info'!$F$2:$F3446, 0)),if(G663='Room Info'!$H$1, INDEX('Room Info'!$A$2:$A3446, MATCH(B663,'Room Info'!$H$2:$H3446, 0)),if(G663='Room Info'!$G$1, INDEX('Room Info'!$A$2:$A3446, MATCH(B663,'Room Info'!$G$2:$G3446, 0)))))))))</f>
        <v>Davaibablo</v>
      </c>
      <c r="B663" s="50" t="s">
        <v>185</v>
      </c>
      <c r="C663" s="51">
        <v>44774.0</v>
      </c>
      <c r="D663" s="51">
        <v>44804.0</v>
      </c>
      <c r="E663" s="52">
        <v>44774.0</v>
      </c>
      <c r="F663" s="53" t="s">
        <v>12</v>
      </c>
      <c r="G663" s="50" t="s">
        <v>25</v>
      </c>
      <c r="H663" s="54" t="s">
        <v>187</v>
      </c>
      <c r="I663" s="54" t="s">
        <v>7</v>
      </c>
      <c r="J663" s="55">
        <v>2500.0</v>
      </c>
      <c r="K663" s="56">
        <v>1809.0</v>
      </c>
      <c r="L663" s="57">
        <v>165833.34</v>
      </c>
      <c r="M663" s="67"/>
      <c r="N663" s="33">
        <f t="shared" si="13"/>
        <v>4522500</v>
      </c>
      <c r="O663" s="70"/>
      <c r="P663" s="34">
        <f t="shared" si="14"/>
        <v>0</v>
      </c>
      <c r="Q663" s="60"/>
      <c r="R663" s="36">
        <f t="shared" si="99"/>
        <v>0</v>
      </c>
      <c r="S663" s="71"/>
      <c r="T663" s="37">
        <f t="shared" si="100"/>
        <v>165833.34</v>
      </c>
      <c r="U663" s="62">
        <v>0.015</v>
      </c>
      <c r="V663" s="63"/>
      <c r="W663" s="63"/>
      <c r="X663" s="83">
        <v>0.17</v>
      </c>
      <c r="Y663" s="35">
        <f t="shared" si="123"/>
        <v>0</v>
      </c>
      <c r="Z663" s="64">
        <v>2010.0</v>
      </c>
      <c r="AA663" s="65">
        <v>412.0</v>
      </c>
      <c r="AB663" s="41">
        <f t="shared" si="109"/>
        <v>0</v>
      </c>
      <c r="AC663" s="42" t="b">
        <v>1</v>
      </c>
      <c r="AD663" s="66" t="s">
        <v>138</v>
      </c>
      <c r="AE663" s="88" t="s">
        <v>138</v>
      </c>
      <c r="AF663" s="42" t="str">
        <f t="array" ref="AF663">INDEX('Deal Info'!D:D, MATCH(A663,'Deal Info'!A:A, 0))</f>
        <v>DoEV</v>
      </c>
      <c r="AG663" s="43" t="str">
        <f t="array" ref="AG663">INDEX('Deal Info'!G:G, MATCH(A663,'Deal Info'!A:A, 0))</f>
        <v>None</v>
      </c>
    </row>
    <row r="664" hidden="1">
      <c r="A664" s="23" t="str">
        <f t="array" ref="A664">if(G664='Room Info'!$B$1, INDEX('Room Info'!$A$2:$A3446, MATCH(B664,'Room Info'!$B$2:$B3446, 0)),if(G664='Room Info'!$C$1, INDEX('Room Info'!$A$2:$A3446, MATCH(B664,'Room Info'!$C$2:$C3446, 0)),if(G664='Room Info'!$D$1, INDEX('Room Info'!$A$2:$A3446, MATCH(B664,'Room Info'!$D$2:$D3446, 0)),if(G664='Room Info'!$E$1, INDEX('Room Info'!$A$2:$A3446, MATCH(B664,'Room Info'!$E$2:$E3446, 0)),if(G664='Room Info'!$F$1, INDEX('Room Info'!$A$2:$A3446, MATCH(B664,'Room Info'!$F$2:$F3446, 0)),if(G664='Room Info'!$H$1, INDEX('Room Info'!$A$2:$A3446, MATCH(B664,'Room Info'!$H$2:$H3446, 0)),if(G664='Room Info'!$G$1, INDEX('Room Info'!$A$2:$A3446, MATCH(B664,'Room Info'!$G$2:$G3446, 0)))))))))</f>
        <v>Davaibablo</v>
      </c>
      <c r="B664" s="50" t="s">
        <v>185</v>
      </c>
      <c r="C664" s="51">
        <v>44774.0</v>
      </c>
      <c r="D664" s="51">
        <v>44804.0</v>
      </c>
      <c r="E664" s="52">
        <v>44774.0</v>
      </c>
      <c r="F664" s="53" t="s">
        <v>12</v>
      </c>
      <c r="G664" s="50" t="s">
        <v>25</v>
      </c>
      <c r="H664" s="54" t="s">
        <v>188</v>
      </c>
      <c r="I664" s="54" t="s">
        <v>7</v>
      </c>
      <c r="J664" s="55">
        <v>5000.0</v>
      </c>
      <c r="K664" s="56">
        <v>130.0</v>
      </c>
      <c r="L664" s="57">
        <v>-65000.0</v>
      </c>
      <c r="M664" s="67"/>
      <c r="N664" s="33">
        <f t="shared" si="13"/>
        <v>650000</v>
      </c>
      <c r="O664" s="70"/>
      <c r="P664" s="34">
        <f t="shared" si="14"/>
        <v>0</v>
      </c>
      <c r="Q664" s="60"/>
      <c r="R664" s="36">
        <f t="shared" si="99"/>
        <v>0</v>
      </c>
      <c r="S664" s="71"/>
      <c r="T664" s="37">
        <f t="shared" si="100"/>
        <v>-65000</v>
      </c>
      <c r="U664" s="62">
        <v>0.015</v>
      </c>
      <c r="V664" s="63"/>
      <c r="W664" s="63"/>
      <c r="X664" s="83">
        <v>0.17</v>
      </c>
      <c r="Y664" s="35">
        <f t="shared" si="123"/>
        <v>0</v>
      </c>
      <c r="Z664" s="64">
        <v>-788.0</v>
      </c>
      <c r="AA664" s="65">
        <v>-161.0</v>
      </c>
      <c r="AB664" s="41">
        <f t="shared" si="109"/>
        <v>0</v>
      </c>
      <c r="AC664" s="42" t="b">
        <v>1</v>
      </c>
      <c r="AD664" s="66" t="s">
        <v>138</v>
      </c>
      <c r="AE664" s="88" t="s">
        <v>138</v>
      </c>
      <c r="AF664" s="42" t="str">
        <f t="array" ref="AF664">INDEX('Deal Info'!D:D, MATCH(A664,'Deal Info'!A:A, 0))</f>
        <v>DoEV</v>
      </c>
      <c r="AG664" s="43" t="str">
        <f t="array" ref="AG664">INDEX('Deal Info'!G:G, MATCH(A664,'Deal Info'!A:A, 0))</f>
        <v>None</v>
      </c>
    </row>
    <row r="665" hidden="1">
      <c r="A665" s="23" t="str">
        <f t="array" ref="A665">if(G665='Room Info'!$B$1, INDEX('Room Info'!$A$2:$A3446, MATCH(B665,'Room Info'!$B$2:$B3446, 0)),if(G665='Room Info'!$C$1, INDEX('Room Info'!$A$2:$A3446, MATCH(B665,'Room Info'!$C$2:$C3446, 0)),if(G665='Room Info'!$D$1, INDEX('Room Info'!$A$2:$A3446, MATCH(B665,'Room Info'!$D$2:$D3446, 0)),if(G665='Room Info'!$E$1, INDEX('Room Info'!$A$2:$A3446, MATCH(B665,'Room Info'!$E$2:$E3446, 0)),if(G665='Room Info'!$F$1, INDEX('Room Info'!$A$2:$A3446, MATCH(B665,'Room Info'!$F$2:$F3446, 0)),if(G665='Room Info'!$H$1, INDEX('Room Info'!$A$2:$A3446, MATCH(B665,'Room Info'!$H$2:$H3446, 0)),if(G665='Room Info'!$G$1, INDEX('Room Info'!$A$2:$A3446, MATCH(B665,'Room Info'!$G$2:$G3446, 0)))))))))</f>
        <v>Davaibablo</v>
      </c>
      <c r="B665" s="50" t="s">
        <v>185</v>
      </c>
      <c r="C665" s="51">
        <v>44805.0</v>
      </c>
      <c r="D665" s="51">
        <v>44834.0</v>
      </c>
      <c r="E665" s="52">
        <v>44805.0</v>
      </c>
      <c r="F665" s="53" t="s">
        <v>12</v>
      </c>
      <c r="G665" s="50" t="s">
        <v>25</v>
      </c>
      <c r="H665" s="54" t="s">
        <v>187</v>
      </c>
      <c r="I665" s="54" t="s">
        <v>7</v>
      </c>
      <c r="J665" s="55">
        <v>2500.0</v>
      </c>
      <c r="K665" s="56">
        <v>826.0</v>
      </c>
      <c r="L665" s="57">
        <v>235000.0</v>
      </c>
      <c r="M665" s="58">
        <v>120857.0</v>
      </c>
      <c r="N665" s="33">
        <f t="shared" si="13"/>
        <v>2065000</v>
      </c>
      <c r="O665" s="70"/>
      <c r="P665" s="34">
        <f t="shared" si="14"/>
        <v>0</v>
      </c>
      <c r="Q665" s="60"/>
      <c r="R665" s="36">
        <f t="shared" si="99"/>
        <v>120857</v>
      </c>
      <c r="S665" s="71"/>
      <c r="T665" s="37">
        <f t="shared" si="100"/>
        <v>355857</v>
      </c>
      <c r="U665" s="62">
        <v>0.015</v>
      </c>
      <c r="V665" s="63"/>
      <c r="W665" s="63"/>
      <c r="X665" s="83">
        <v>0.17</v>
      </c>
      <c r="Y665" s="35">
        <f t="shared" si="123"/>
        <v>0</v>
      </c>
      <c r="Z665" s="64">
        <v>4312.0</v>
      </c>
      <c r="AA665" s="65">
        <v>883.0</v>
      </c>
      <c r="AB665" s="41">
        <f t="shared" si="109"/>
        <v>0</v>
      </c>
      <c r="AC665" s="42" t="b">
        <v>1</v>
      </c>
      <c r="AD665" s="66" t="s">
        <v>138</v>
      </c>
      <c r="AE665" s="88" t="s">
        <v>138</v>
      </c>
      <c r="AF665" s="42" t="str">
        <f t="array" ref="AF665">INDEX('Deal Info'!D:D, MATCH(A665,'Deal Info'!A:A, 0))</f>
        <v>DoEV</v>
      </c>
      <c r="AG665" s="43" t="str">
        <f t="array" ref="AG665">INDEX('Deal Info'!G:G, MATCH(A665,'Deal Info'!A:A, 0))</f>
        <v>None</v>
      </c>
    </row>
    <row r="666" hidden="1">
      <c r="A666" s="23" t="str">
        <f t="array" ref="A666">if(G666='Room Info'!$B$1, INDEX('Room Info'!$A$2:$A3446, MATCH(B666,'Room Info'!$B$2:$B3446, 0)),if(G666='Room Info'!$C$1, INDEX('Room Info'!$A$2:$A3446, MATCH(B666,'Room Info'!$C$2:$C3446, 0)),if(G666='Room Info'!$D$1, INDEX('Room Info'!$A$2:$A3446, MATCH(B666,'Room Info'!$D$2:$D3446, 0)),if(G666='Room Info'!$E$1, INDEX('Room Info'!$A$2:$A3446, MATCH(B666,'Room Info'!$E$2:$E3446, 0)),if(G666='Room Info'!$F$1, INDEX('Room Info'!$A$2:$A3446, MATCH(B666,'Room Info'!$F$2:$F3446, 0)),if(G666='Room Info'!$H$1, INDEX('Room Info'!$A$2:$A3446, MATCH(B666,'Room Info'!$H$2:$H3446, 0)),if(G666='Room Info'!$G$1, INDEX('Room Info'!$A$2:$A3446, MATCH(B666,'Room Info'!$G$2:$G3446, 0)))))))))</f>
        <v>Davaibablo</v>
      </c>
      <c r="B666" s="50" t="s">
        <v>185</v>
      </c>
      <c r="C666" s="51">
        <v>44805.0</v>
      </c>
      <c r="D666" s="51">
        <v>44834.0</v>
      </c>
      <c r="E666" s="52">
        <v>44805.0</v>
      </c>
      <c r="F666" s="53" t="s">
        <v>12</v>
      </c>
      <c r="G666" s="50" t="s">
        <v>25</v>
      </c>
      <c r="H666" s="54" t="s">
        <v>188</v>
      </c>
      <c r="I666" s="54" t="s">
        <v>7</v>
      </c>
      <c r="J666" s="55">
        <v>5000.0</v>
      </c>
      <c r="K666" s="56">
        <v>565.0</v>
      </c>
      <c r="L666" s="57">
        <v>-175000.0</v>
      </c>
      <c r="M666" s="58">
        <v>2371.0</v>
      </c>
      <c r="N666" s="33">
        <f t="shared" si="13"/>
        <v>2825000</v>
      </c>
      <c r="O666" s="70"/>
      <c r="P666" s="34">
        <f t="shared" si="14"/>
        <v>0</v>
      </c>
      <c r="Q666" s="60"/>
      <c r="R666" s="36">
        <f t="shared" si="99"/>
        <v>2371</v>
      </c>
      <c r="S666" s="71"/>
      <c r="T666" s="37">
        <f t="shared" si="100"/>
        <v>-172629</v>
      </c>
      <c r="U666" s="62">
        <v>0.015</v>
      </c>
      <c r="V666" s="63"/>
      <c r="W666" s="63"/>
      <c r="X666" s="83">
        <v>0.17</v>
      </c>
      <c r="Y666" s="35">
        <f t="shared" si="123"/>
        <v>0</v>
      </c>
      <c r="Z666" s="64">
        <v>-2092.0</v>
      </c>
      <c r="AA666" s="65">
        <v>-428.0</v>
      </c>
      <c r="AB666" s="41">
        <f t="shared" si="109"/>
        <v>0</v>
      </c>
      <c r="AC666" s="42" t="b">
        <v>1</v>
      </c>
      <c r="AD666" s="66" t="s">
        <v>138</v>
      </c>
      <c r="AE666" s="88" t="s">
        <v>138</v>
      </c>
      <c r="AF666" s="42" t="str">
        <f t="array" ref="AF666">INDEX('Deal Info'!D:D, MATCH(A666,'Deal Info'!A:A, 0))</f>
        <v>DoEV</v>
      </c>
      <c r="AG666" s="43" t="str">
        <f t="array" ref="AG666">INDEX('Deal Info'!G:G, MATCH(A666,'Deal Info'!A:A, 0))</f>
        <v>None</v>
      </c>
    </row>
    <row r="667" hidden="1">
      <c r="A667" s="23" t="str">
        <f t="array" ref="A667">if(G667='Room Info'!$B$1, INDEX('Room Info'!$A$2:$A3446, MATCH(B667,'Room Info'!$B$2:$B3446, 0)),if(G667='Room Info'!$C$1, INDEX('Room Info'!$A$2:$A3446, MATCH(B667,'Room Info'!$C$2:$C3446, 0)),if(G667='Room Info'!$D$1, INDEX('Room Info'!$A$2:$A3446, MATCH(B667,'Room Info'!$D$2:$D3446, 0)),if(G667='Room Info'!$E$1, INDEX('Room Info'!$A$2:$A3446, MATCH(B667,'Room Info'!$E$2:$E3446, 0)),if(G667='Room Info'!$F$1, INDEX('Room Info'!$A$2:$A3446, MATCH(B667,'Room Info'!$F$2:$F3446, 0)),if(G667='Room Info'!$H$1, INDEX('Room Info'!$A$2:$A3446, MATCH(B667,'Room Info'!$H$2:$H3446, 0)),if(G667='Room Info'!$G$1, INDEX('Room Info'!$A$2:$A3446, MATCH(B667,'Room Info'!$G$2:$G3446, 0)))))))))</f>
        <v>Davaibablo</v>
      </c>
      <c r="B667" s="50" t="s">
        <v>185</v>
      </c>
      <c r="C667" s="51">
        <v>44835.0</v>
      </c>
      <c r="D667" s="51">
        <v>44865.0</v>
      </c>
      <c r="E667" s="52">
        <v>44835.0</v>
      </c>
      <c r="F667" s="53" t="s">
        <v>12</v>
      </c>
      <c r="G667" s="50" t="s">
        <v>25</v>
      </c>
      <c r="H667" s="54" t="s">
        <v>186</v>
      </c>
      <c r="I667" s="54" t="s">
        <v>7</v>
      </c>
      <c r="J667" s="55">
        <v>1000.0</v>
      </c>
      <c r="K667" s="56">
        <v>267.0</v>
      </c>
      <c r="L667" s="57">
        <v>26000.0</v>
      </c>
      <c r="M667" s="58">
        <v>259076.0</v>
      </c>
      <c r="N667" s="33">
        <f t="shared" si="13"/>
        <v>267000</v>
      </c>
      <c r="O667" s="70"/>
      <c r="P667" s="34">
        <f t="shared" si="14"/>
        <v>0</v>
      </c>
      <c r="Q667" s="60"/>
      <c r="R667" s="36">
        <f t="shared" si="99"/>
        <v>259076</v>
      </c>
      <c r="S667" s="71"/>
      <c r="T667" s="37">
        <f t="shared" si="100"/>
        <v>285076</v>
      </c>
      <c r="U667" s="62">
        <v>0.016</v>
      </c>
      <c r="V667" s="63"/>
      <c r="W667" s="63"/>
      <c r="X667" s="83">
        <v>0.17</v>
      </c>
      <c r="Y667" s="35">
        <f t="shared" si="123"/>
        <v>0</v>
      </c>
      <c r="Z667" s="64">
        <v>3786.0</v>
      </c>
      <c r="AA667" s="65">
        <v>775.0</v>
      </c>
      <c r="AB667" s="41">
        <f t="shared" si="109"/>
        <v>0</v>
      </c>
      <c r="AC667" s="42" t="b">
        <v>1</v>
      </c>
      <c r="AD667" s="66" t="s">
        <v>138</v>
      </c>
      <c r="AE667" s="88" t="s">
        <v>138</v>
      </c>
      <c r="AF667" s="42" t="str">
        <f t="array" ref="AF667">INDEX('Deal Info'!D:D, MATCH(A667,'Deal Info'!A:A, 0))</f>
        <v>DoEV</v>
      </c>
      <c r="AG667" s="43" t="str">
        <f t="array" ref="AG667">INDEX('Deal Info'!G:G, MATCH(A667,'Deal Info'!A:A, 0))</f>
        <v>None</v>
      </c>
    </row>
    <row r="668" hidden="1">
      <c r="A668" s="23" t="str">
        <f t="array" ref="A668">if(G668='Room Info'!$B$1, INDEX('Room Info'!$A$2:$A3446, MATCH(B668,'Room Info'!$B$2:$B3446, 0)),if(G668='Room Info'!$C$1, INDEX('Room Info'!$A$2:$A3446, MATCH(B668,'Room Info'!$C$2:$C3446, 0)),if(G668='Room Info'!$D$1, INDEX('Room Info'!$A$2:$A3446, MATCH(B668,'Room Info'!$D$2:$D3446, 0)),if(G668='Room Info'!$E$1, INDEX('Room Info'!$A$2:$A3446, MATCH(B668,'Room Info'!$E$2:$E3446, 0)),if(G668='Room Info'!$F$1, INDEX('Room Info'!$A$2:$A3446, MATCH(B668,'Room Info'!$F$2:$F3446, 0)),if(G668='Room Info'!$H$1, INDEX('Room Info'!$A$2:$A3446, MATCH(B668,'Room Info'!$H$2:$H3446, 0)),if(G668='Room Info'!$G$1, INDEX('Room Info'!$A$2:$A3446, MATCH(B668,'Room Info'!$G$2:$G3446, 0)))))))))</f>
        <v>Davaibablo</v>
      </c>
      <c r="B668" s="50" t="s">
        <v>185</v>
      </c>
      <c r="C668" s="51">
        <v>44835.0</v>
      </c>
      <c r="D668" s="51">
        <v>44865.0</v>
      </c>
      <c r="E668" s="52">
        <v>44835.0</v>
      </c>
      <c r="F668" s="53" t="s">
        <v>12</v>
      </c>
      <c r="G668" s="50" t="s">
        <v>25</v>
      </c>
      <c r="H668" s="54" t="s">
        <v>187</v>
      </c>
      <c r="I668" s="54" t="s">
        <v>7</v>
      </c>
      <c r="J668" s="55">
        <v>2500.0</v>
      </c>
      <c r="K668" s="56">
        <v>1439.0</v>
      </c>
      <c r="L668" s="57">
        <v>2500.0</v>
      </c>
      <c r="M668" s="58">
        <v>40053.0</v>
      </c>
      <c r="N668" s="33">
        <f t="shared" si="13"/>
        <v>3597500</v>
      </c>
      <c r="O668" s="70"/>
      <c r="P668" s="34">
        <f t="shared" si="14"/>
        <v>0</v>
      </c>
      <c r="Q668" s="60"/>
      <c r="R668" s="36">
        <f t="shared" si="99"/>
        <v>40053</v>
      </c>
      <c r="S668" s="71"/>
      <c r="T668" s="37">
        <f t="shared" si="100"/>
        <v>42553</v>
      </c>
      <c r="U668" s="62">
        <v>0.016</v>
      </c>
      <c r="V668" s="63"/>
      <c r="W668" s="63"/>
      <c r="X668" s="83">
        <v>0.17</v>
      </c>
      <c r="Y668" s="35">
        <f t="shared" si="123"/>
        <v>0</v>
      </c>
      <c r="Z668" s="64">
        <v>565.0</v>
      </c>
      <c r="AA668" s="65">
        <v>116.0</v>
      </c>
      <c r="AB668" s="41">
        <f t="shared" si="109"/>
        <v>0</v>
      </c>
      <c r="AC668" s="42" t="b">
        <v>1</v>
      </c>
      <c r="AD668" s="66" t="s">
        <v>138</v>
      </c>
      <c r="AE668" s="88" t="s">
        <v>138</v>
      </c>
      <c r="AF668" s="42" t="str">
        <f t="array" ref="AF668">INDEX('Deal Info'!D:D, MATCH(A668,'Deal Info'!A:A, 0))</f>
        <v>DoEV</v>
      </c>
      <c r="AG668" s="43" t="str">
        <f t="array" ref="AG668">INDEX('Deal Info'!G:G, MATCH(A668,'Deal Info'!A:A, 0))</f>
        <v>None</v>
      </c>
    </row>
    <row r="669" hidden="1">
      <c r="A669" s="23" t="str">
        <f t="array" ref="A669">if(G669='Room Info'!$B$1, INDEX('Room Info'!$A$2:$A3446, MATCH(B669,'Room Info'!$B$2:$B3446, 0)),if(G669='Room Info'!$C$1, INDEX('Room Info'!$A$2:$A3446, MATCH(B669,'Room Info'!$C$2:$C3446, 0)),if(G669='Room Info'!$D$1, INDEX('Room Info'!$A$2:$A3446, MATCH(B669,'Room Info'!$D$2:$D3446, 0)),if(G669='Room Info'!$E$1, INDEX('Room Info'!$A$2:$A3446, MATCH(B669,'Room Info'!$E$2:$E3446, 0)),if(G669='Room Info'!$F$1, INDEX('Room Info'!$A$2:$A3446, MATCH(B669,'Room Info'!$F$2:$F3446, 0)),if(G669='Room Info'!$H$1, INDEX('Room Info'!$A$2:$A3446, MATCH(B669,'Room Info'!$H$2:$H3446, 0)),if(G669='Room Info'!$G$1, INDEX('Room Info'!$A$2:$A3446, MATCH(B669,'Room Info'!$G$2:$G3446, 0)))))))))</f>
        <v>Davaibablo</v>
      </c>
      <c r="B669" s="59" t="s">
        <v>185</v>
      </c>
      <c r="C669" s="51">
        <v>44835.0</v>
      </c>
      <c r="D669" s="51">
        <v>44865.0</v>
      </c>
      <c r="E669" s="52">
        <v>44835.0</v>
      </c>
      <c r="F669" s="53" t="s">
        <v>12</v>
      </c>
      <c r="G669" s="59" t="s">
        <v>25</v>
      </c>
      <c r="H669" s="54" t="s">
        <v>188</v>
      </c>
      <c r="I669" s="54" t="s">
        <v>7</v>
      </c>
      <c r="J669" s="55">
        <v>5000.0</v>
      </c>
      <c r="K669" s="56">
        <v>1211.0</v>
      </c>
      <c r="L669" s="57">
        <v>74457.06</v>
      </c>
      <c r="M669" s="58">
        <v>0.0</v>
      </c>
      <c r="N669" s="33">
        <f t="shared" si="13"/>
        <v>6055000</v>
      </c>
      <c r="O669" s="70"/>
      <c r="P669" s="34">
        <f t="shared" si="14"/>
        <v>0</v>
      </c>
      <c r="Q669" s="60"/>
      <c r="R669" s="36">
        <f t="shared" si="99"/>
        <v>0</v>
      </c>
      <c r="S669" s="71"/>
      <c r="T669" s="37">
        <f t="shared" si="100"/>
        <v>74457.06</v>
      </c>
      <c r="U669" s="62">
        <v>0.016</v>
      </c>
      <c r="V669" s="63"/>
      <c r="W669" s="63"/>
      <c r="X669" s="83">
        <v>0.17</v>
      </c>
      <c r="Y669" s="35">
        <f t="shared" si="123"/>
        <v>0</v>
      </c>
      <c r="Z669" s="64">
        <v>989.0</v>
      </c>
      <c r="AA669" s="65">
        <v>203.0</v>
      </c>
      <c r="AB669" s="41">
        <f t="shared" si="109"/>
        <v>0</v>
      </c>
      <c r="AC669" s="42" t="b">
        <v>1</v>
      </c>
      <c r="AD669" s="66" t="s">
        <v>138</v>
      </c>
      <c r="AE669" s="88" t="s">
        <v>138</v>
      </c>
      <c r="AF669" s="42" t="str">
        <f t="array" ref="AF669">INDEX('Deal Info'!D:D, MATCH(A669,'Deal Info'!A:A, 0))</f>
        <v>DoEV</v>
      </c>
      <c r="AG669" s="43" t="str">
        <f t="array" ref="AG669">INDEX('Deal Info'!G:G, MATCH(A669,'Deal Info'!A:A, 0))</f>
        <v>None</v>
      </c>
    </row>
    <row r="670" hidden="1">
      <c r="A670" s="23" t="str">
        <f t="array" ref="A670">if(G670='Room Info'!$B$1, INDEX('Room Info'!$A$2:$A3446, MATCH(B670,'Room Info'!$B$2:$B3446, 0)),if(G670='Room Info'!$C$1, INDEX('Room Info'!$A$2:$A3446, MATCH(B670,'Room Info'!$C$2:$C3446, 0)),if(G670='Room Info'!$D$1, INDEX('Room Info'!$A$2:$A3446, MATCH(B670,'Room Info'!$D$2:$D3446, 0)),if(G670='Room Info'!$E$1, INDEX('Room Info'!$A$2:$A3446, MATCH(B670,'Room Info'!$E$2:$E3446, 0)),if(G670='Room Info'!$F$1, INDEX('Room Info'!$A$2:$A3446, MATCH(B670,'Room Info'!$F$2:$F3446, 0)),if(G670='Room Info'!$H$1, INDEX('Room Info'!$A$2:$A3446, MATCH(B670,'Room Info'!$H$2:$H3446, 0)),if(G670='Room Info'!$G$1, INDEX('Room Info'!$A$2:$A3446, MATCH(B670,'Room Info'!$G$2:$G3446, 0)))))))))</f>
        <v>Davaibablo</v>
      </c>
      <c r="B670" s="59" t="s">
        <v>185</v>
      </c>
      <c r="C670" s="51">
        <v>44866.0</v>
      </c>
      <c r="D670" s="51">
        <v>44895.0</v>
      </c>
      <c r="E670" s="52">
        <v>44866.0</v>
      </c>
      <c r="F670" s="53" t="s">
        <v>12</v>
      </c>
      <c r="G670" s="59" t="s">
        <v>25</v>
      </c>
      <c r="H670" s="54" t="s">
        <v>186</v>
      </c>
      <c r="I670" s="54" t="s">
        <v>7</v>
      </c>
      <c r="J670" s="55">
        <v>1000.0</v>
      </c>
      <c r="K670" s="56">
        <v>597.0</v>
      </c>
      <c r="L670" s="57">
        <v>95335.33</v>
      </c>
      <c r="M670" s="58">
        <v>350450.0</v>
      </c>
      <c r="N670" s="33">
        <f t="shared" si="13"/>
        <v>597000</v>
      </c>
      <c r="O670" s="70"/>
      <c r="P670" s="34">
        <f t="shared" si="14"/>
        <v>0</v>
      </c>
      <c r="Q670" s="60"/>
      <c r="R670" s="36">
        <f t="shared" si="99"/>
        <v>350450</v>
      </c>
      <c r="S670" s="71"/>
      <c r="T670" s="37">
        <f t="shared" si="100"/>
        <v>445785.33</v>
      </c>
      <c r="U670" s="62">
        <v>0.016</v>
      </c>
      <c r="V670" s="63"/>
      <c r="W670" s="63"/>
      <c r="X670" s="83">
        <v>0.17</v>
      </c>
      <c r="Y670" s="35">
        <f t="shared" si="123"/>
        <v>0</v>
      </c>
      <c r="Z670" s="64">
        <v>5920.0</v>
      </c>
      <c r="AA670" s="65">
        <v>1213.0</v>
      </c>
      <c r="AB670" s="41">
        <f t="shared" si="109"/>
        <v>0</v>
      </c>
      <c r="AC670" s="42" t="b">
        <v>1</v>
      </c>
      <c r="AD670" s="66" t="s">
        <v>138</v>
      </c>
      <c r="AE670" s="88" t="s">
        <v>138</v>
      </c>
      <c r="AF670" s="42" t="str">
        <f t="array" ref="AF670">INDEX('Deal Info'!D:D, MATCH(A670,'Deal Info'!A:A, 0))</f>
        <v>DoEV</v>
      </c>
      <c r="AG670" s="43" t="str">
        <f t="array" ref="AG670">INDEX('Deal Info'!G:G, MATCH(A670,'Deal Info'!A:A, 0))</f>
        <v>None</v>
      </c>
    </row>
    <row r="671" hidden="1">
      <c r="A671" s="23" t="str">
        <f t="array" ref="A671">if(G671='Room Info'!$B$1, INDEX('Room Info'!$A$2:$A3446, MATCH(B671,'Room Info'!$B$2:$B3446, 0)),if(G671='Room Info'!$C$1, INDEX('Room Info'!$A$2:$A3446, MATCH(B671,'Room Info'!$C$2:$C3446, 0)),if(G671='Room Info'!$D$1, INDEX('Room Info'!$A$2:$A3446, MATCH(B671,'Room Info'!$D$2:$D3446, 0)),if(G671='Room Info'!$E$1, INDEX('Room Info'!$A$2:$A3446, MATCH(B671,'Room Info'!$E$2:$E3446, 0)),if(G671='Room Info'!$F$1, INDEX('Room Info'!$A$2:$A3446, MATCH(B671,'Room Info'!$F$2:$F3446, 0)),if(G671='Room Info'!$H$1, INDEX('Room Info'!$A$2:$A3446, MATCH(B671,'Room Info'!$H$2:$H3446, 0)),if(G671='Room Info'!$G$1, INDEX('Room Info'!$A$2:$A3446, MATCH(B671,'Room Info'!$G$2:$G3446, 0)))))))))</f>
        <v>Davaibablo</v>
      </c>
      <c r="B671" s="59" t="s">
        <v>185</v>
      </c>
      <c r="C671" s="51">
        <v>44866.0</v>
      </c>
      <c r="D671" s="51">
        <v>44895.0</v>
      </c>
      <c r="E671" s="52">
        <v>44866.0</v>
      </c>
      <c r="F671" s="53" t="s">
        <v>12</v>
      </c>
      <c r="G671" s="59" t="s">
        <v>25</v>
      </c>
      <c r="H671" s="54" t="s">
        <v>187</v>
      </c>
      <c r="I671" s="54" t="s">
        <v>7</v>
      </c>
      <c r="J671" s="55">
        <v>2500.0</v>
      </c>
      <c r="K671" s="56">
        <v>1512.0</v>
      </c>
      <c r="L671" s="57">
        <v>-25000.0</v>
      </c>
      <c r="M671" s="58">
        <v>25460.0</v>
      </c>
      <c r="N671" s="33">
        <f t="shared" si="13"/>
        <v>3780000</v>
      </c>
      <c r="O671" s="70"/>
      <c r="P671" s="34">
        <f t="shared" si="14"/>
        <v>0</v>
      </c>
      <c r="Q671" s="60"/>
      <c r="R671" s="36">
        <f t="shared" si="99"/>
        <v>25460</v>
      </c>
      <c r="S671" s="71"/>
      <c r="T671" s="37">
        <f t="shared" si="100"/>
        <v>460</v>
      </c>
      <c r="U671" s="62">
        <v>0.016</v>
      </c>
      <c r="V671" s="63"/>
      <c r="W671" s="63"/>
      <c r="X671" s="83">
        <v>0.17</v>
      </c>
      <c r="Y671" s="35">
        <f t="shared" si="123"/>
        <v>0</v>
      </c>
      <c r="Z671" s="64">
        <v>6.0</v>
      </c>
      <c r="AA671" s="65">
        <v>1.0</v>
      </c>
      <c r="AB671" s="41">
        <f t="shared" si="109"/>
        <v>0</v>
      </c>
      <c r="AC671" s="42" t="b">
        <v>1</v>
      </c>
      <c r="AD671" s="66" t="s">
        <v>138</v>
      </c>
      <c r="AE671" s="88" t="s">
        <v>138</v>
      </c>
      <c r="AF671" s="42" t="str">
        <f t="array" ref="AF671">INDEX('Deal Info'!D:D, MATCH(A671,'Deal Info'!A:A, 0))</f>
        <v>DoEV</v>
      </c>
      <c r="AG671" s="43" t="str">
        <f t="array" ref="AG671">INDEX('Deal Info'!G:G, MATCH(A671,'Deal Info'!A:A, 0))</f>
        <v>None</v>
      </c>
    </row>
    <row r="672" hidden="1">
      <c r="A672" s="23" t="str">
        <f t="array" ref="A672">if(G672='Room Info'!$B$1, INDEX('Room Info'!$A$2:$A3446, MATCH(B672,'Room Info'!$B$2:$B3446, 0)),if(G672='Room Info'!$C$1, INDEX('Room Info'!$A$2:$A3446, MATCH(B672,'Room Info'!$C$2:$C3446, 0)),if(G672='Room Info'!$D$1, INDEX('Room Info'!$A$2:$A3446, MATCH(B672,'Room Info'!$D$2:$D3446, 0)),if(G672='Room Info'!$E$1, INDEX('Room Info'!$A$2:$A3446, MATCH(B672,'Room Info'!$E$2:$E3446, 0)),if(G672='Room Info'!$F$1, INDEX('Room Info'!$A$2:$A3446, MATCH(B672,'Room Info'!$F$2:$F3446, 0)),if(G672='Room Info'!$H$1, INDEX('Room Info'!$A$2:$A3446, MATCH(B672,'Room Info'!$H$2:$H3446, 0)),if(G672='Room Info'!$G$1, INDEX('Room Info'!$A$2:$A3446, MATCH(B672,'Room Info'!$G$2:$G3446, 0)))))))))</f>
        <v>Davaibablo</v>
      </c>
      <c r="B672" s="59" t="s">
        <v>185</v>
      </c>
      <c r="C672" s="51">
        <v>44866.0</v>
      </c>
      <c r="D672" s="51">
        <v>44895.0</v>
      </c>
      <c r="E672" s="52">
        <v>44866.0</v>
      </c>
      <c r="F672" s="53" t="s">
        <v>12</v>
      </c>
      <c r="G672" s="59" t="s">
        <v>25</v>
      </c>
      <c r="H672" s="54" t="s">
        <v>188</v>
      </c>
      <c r="I672" s="54" t="s">
        <v>7</v>
      </c>
      <c r="J672" s="55">
        <v>5000.0</v>
      </c>
      <c r="K672" s="56">
        <v>730.0</v>
      </c>
      <c r="L672" s="57">
        <v>56666.67</v>
      </c>
      <c r="M672" s="58">
        <v>0.0</v>
      </c>
      <c r="N672" s="33">
        <f t="shared" si="13"/>
        <v>3650000</v>
      </c>
      <c r="O672" s="70"/>
      <c r="P672" s="34">
        <f t="shared" si="14"/>
        <v>0</v>
      </c>
      <c r="Q672" s="60"/>
      <c r="R672" s="36">
        <f t="shared" si="99"/>
        <v>0</v>
      </c>
      <c r="S672" s="71"/>
      <c r="T672" s="37">
        <f t="shared" si="100"/>
        <v>56666.67</v>
      </c>
      <c r="U672" s="62">
        <v>0.016</v>
      </c>
      <c r="V672" s="63"/>
      <c r="W672" s="63"/>
      <c r="X672" s="83">
        <v>0.17</v>
      </c>
      <c r="Y672" s="35">
        <f t="shared" si="123"/>
        <v>0</v>
      </c>
      <c r="Z672" s="64">
        <v>753.0</v>
      </c>
      <c r="AA672" s="65">
        <v>154.0</v>
      </c>
      <c r="AB672" s="41">
        <f t="shared" si="109"/>
        <v>0</v>
      </c>
      <c r="AC672" s="42" t="b">
        <v>1</v>
      </c>
      <c r="AD672" s="66" t="s">
        <v>138</v>
      </c>
      <c r="AE672" s="88" t="s">
        <v>138</v>
      </c>
      <c r="AF672" s="42" t="str">
        <f t="array" ref="AF672">INDEX('Deal Info'!D:D, MATCH(A672,'Deal Info'!A:A, 0))</f>
        <v>DoEV</v>
      </c>
      <c r="AG672" s="43" t="str">
        <f t="array" ref="AG672">INDEX('Deal Info'!G:G, MATCH(A672,'Deal Info'!A:A, 0))</f>
        <v>None</v>
      </c>
    </row>
    <row r="673" hidden="1">
      <c r="A673" s="23" t="b">
        <f t="array" ref="A673">if(G673='Room Info'!$B$1, INDEX('Room Info'!$A$2:$A3446, MATCH(B673,'Room Info'!$B$2:$B3446, 0)),if(G673='Room Info'!$C$1, INDEX('Room Info'!$A$2:$A3446, MATCH(B673,'Room Info'!$C$2:$C3446, 0)),if(G673='Room Info'!$D$1, INDEX('Room Info'!$A$2:$A3446, MATCH(B673,'Room Info'!$D$2:$D3446, 0)),if(G673='Room Info'!$E$1, INDEX('Room Info'!$A$2:$A3446, MATCH(B673,'Room Info'!$E$2:$E3446, 0)),if(G673='Room Info'!$F$1, INDEX('Room Info'!$A$2:$A3446, MATCH(B673,'Room Info'!$F$2:$F3446, 0)),if(G673='Room Info'!$H$1, INDEX('Room Info'!$A$2:$A3446, MATCH(B673,'Room Info'!$H$2:$H3446, 0)),if(G673='Room Info'!$G$1, INDEX('Room Info'!$A$2:$A3446, MATCH(B673,'Room Info'!$G$2:$G3446, 0)))))))))</f>
        <v>0</v>
      </c>
      <c r="B673" s="50" t="s">
        <v>185</v>
      </c>
      <c r="C673" s="51">
        <v>44896.0</v>
      </c>
      <c r="D673" s="51">
        <v>44921.0</v>
      </c>
      <c r="E673" s="52">
        <v>44896.0</v>
      </c>
      <c r="F673" s="50" t="s">
        <v>12</v>
      </c>
      <c r="G673" s="59" t="s">
        <v>142</v>
      </c>
      <c r="H673" s="54" t="s">
        <v>61</v>
      </c>
      <c r="I673" s="54" t="s">
        <v>7</v>
      </c>
      <c r="J673" s="55">
        <v>20.0</v>
      </c>
      <c r="K673" s="56">
        <v>1753.0</v>
      </c>
      <c r="L673" s="57">
        <v>608.22</v>
      </c>
      <c r="M673" s="58">
        <v>1227.0</v>
      </c>
      <c r="N673" s="33">
        <f t="shared" si="13"/>
        <v>35060</v>
      </c>
      <c r="O673" s="70"/>
      <c r="P673" s="34">
        <f t="shared" si="14"/>
        <v>0</v>
      </c>
      <c r="Q673" s="60"/>
      <c r="R673" s="36">
        <f t="shared" si="99"/>
        <v>1227</v>
      </c>
      <c r="S673" s="71"/>
      <c r="T673" s="37">
        <f t="shared" si="100"/>
        <v>1835.22</v>
      </c>
      <c r="U673" s="62">
        <v>1.061</v>
      </c>
      <c r="V673" s="63"/>
      <c r="W673" s="63"/>
      <c r="X673" s="83">
        <v>0.17</v>
      </c>
      <c r="Y673" s="35" t="str">
        <f t="shared" si="123"/>
        <v>#N/A</v>
      </c>
      <c r="Z673" s="64">
        <v>1616.0</v>
      </c>
      <c r="AA673" s="65">
        <v>331.0</v>
      </c>
      <c r="AB673" s="41" t="str">
        <f t="shared" si="109"/>
        <v>#N/A</v>
      </c>
      <c r="AC673" s="42" t="b">
        <v>1</v>
      </c>
      <c r="AD673" s="66" t="s">
        <v>138</v>
      </c>
      <c r="AE673" s="88" t="s">
        <v>138</v>
      </c>
      <c r="AF673" s="42" t="str">
        <f t="array" ref="AF673">INDEX('Deal Info'!D:D, MATCH(A673,'Deal Info'!A:A, 0))</f>
        <v>#N/A</v>
      </c>
      <c r="AG673" s="43" t="str">
        <f t="array" ref="AG673">INDEX('Deal Info'!G:G, MATCH(A673,'Deal Info'!A:A, 0))</f>
        <v>#N/A</v>
      </c>
    </row>
    <row r="674" hidden="1">
      <c r="A674" s="23" t="b">
        <f t="array" ref="A674">if(G674='Room Info'!$B$1, INDEX('Room Info'!$A$2:$A3446, MATCH(B674,'Room Info'!$B$2:$B3446, 0)),if(G674='Room Info'!$C$1, INDEX('Room Info'!$A$2:$A3446, MATCH(B674,'Room Info'!$C$2:$C3446, 0)),if(G674='Room Info'!$D$1, INDEX('Room Info'!$A$2:$A3446, MATCH(B674,'Room Info'!$D$2:$D3446, 0)),if(G674='Room Info'!$E$1, INDEX('Room Info'!$A$2:$A3446, MATCH(B674,'Room Info'!$E$2:$E3446, 0)),if(G674='Room Info'!$F$1, INDEX('Room Info'!$A$2:$A3446, MATCH(B674,'Room Info'!$F$2:$F3446, 0)),if(G674='Room Info'!$H$1, INDEX('Room Info'!$A$2:$A3446, MATCH(B674,'Room Info'!$H$2:$H3446, 0)),if(G674='Room Info'!$G$1, INDEX('Room Info'!$A$2:$A3446, MATCH(B674,'Room Info'!$G$2:$G3446, 0)))))))))</f>
        <v>0</v>
      </c>
      <c r="B674" s="59" t="s">
        <v>185</v>
      </c>
      <c r="C674" s="51">
        <v>44896.0</v>
      </c>
      <c r="D674" s="51">
        <v>44921.0</v>
      </c>
      <c r="E674" s="52">
        <v>44896.0</v>
      </c>
      <c r="F674" s="50" t="s">
        <v>12</v>
      </c>
      <c r="G674" s="59" t="s">
        <v>142</v>
      </c>
      <c r="H674" s="54" t="s">
        <v>50</v>
      </c>
      <c r="I674" s="54" t="s">
        <v>7</v>
      </c>
      <c r="J674" s="55">
        <v>10.0</v>
      </c>
      <c r="K674" s="56">
        <v>1.0</v>
      </c>
      <c r="L674" s="57">
        <v>0.17</v>
      </c>
      <c r="M674" s="81">
        <v>0.0</v>
      </c>
      <c r="N674" s="33">
        <f t="shared" si="13"/>
        <v>10</v>
      </c>
      <c r="O674" s="70"/>
      <c r="P674" s="34">
        <f t="shared" si="14"/>
        <v>0</v>
      </c>
      <c r="Q674" s="60"/>
      <c r="R674" s="36">
        <f t="shared" si="99"/>
        <v>0</v>
      </c>
      <c r="S674" s="71"/>
      <c r="T674" s="37">
        <f t="shared" si="100"/>
        <v>0.17</v>
      </c>
      <c r="U674" s="62">
        <v>1.061</v>
      </c>
      <c r="V674" s="63"/>
      <c r="W674" s="63"/>
      <c r="X674" s="83">
        <v>0.17</v>
      </c>
      <c r="Y674" s="35" t="str">
        <f t="shared" si="123"/>
        <v>#N/A</v>
      </c>
      <c r="Z674" s="64">
        <v>0.0</v>
      </c>
      <c r="AA674" s="65">
        <v>0.0</v>
      </c>
      <c r="AB674" s="41" t="str">
        <f t="shared" si="109"/>
        <v>#N/A</v>
      </c>
      <c r="AC674" s="42" t="b">
        <v>1</v>
      </c>
      <c r="AD674" s="66" t="s">
        <v>138</v>
      </c>
      <c r="AE674" s="88" t="s">
        <v>138</v>
      </c>
      <c r="AF674" s="42" t="str">
        <f t="array" ref="AF674">INDEX('Deal Info'!D:D, MATCH(A674,'Deal Info'!A:A, 0))</f>
        <v>#N/A</v>
      </c>
      <c r="AG674" s="43" t="str">
        <f t="array" ref="AG674">INDEX('Deal Info'!G:G, MATCH(A674,'Deal Info'!A:A, 0))</f>
        <v>#N/A</v>
      </c>
    </row>
    <row r="675" hidden="1">
      <c r="A675" s="23" t="b">
        <f t="array" ref="A675">if(G675='Room Info'!$B$1, INDEX('Room Info'!$A$2:$A3446, MATCH(B675,'Room Info'!$B$2:$B3446, 0)),if(G675='Room Info'!$C$1, INDEX('Room Info'!$A$2:$A3446, MATCH(B675,'Room Info'!$C$2:$C3446, 0)),if(G675='Room Info'!$D$1, INDEX('Room Info'!$A$2:$A3446, MATCH(B675,'Room Info'!$D$2:$D3446, 0)),if(G675='Room Info'!$E$1, INDEX('Room Info'!$A$2:$A3446, MATCH(B675,'Room Info'!$E$2:$E3446, 0)),if(G675='Room Info'!$F$1, INDEX('Room Info'!$A$2:$A3446, MATCH(B675,'Room Info'!$F$2:$F3446, 0)),if(G675='Room Info'!$H$1, INDEX('Room Info'!$A$2:$A3446, MATCH(B675,'Room Info'!$H$2:$H3446, 0)),if(G675='Room Info'!$G$1, INDEX('Room Info'!$A$2:$A3446, MATCH(B675,'Room Info'!$G$2:$G3446, 0)))))))))</f>
        <v>0</v>
      </c>
      <c r="B675" s="50" t="s">
        <v>185</v>
      </c>
      <c r="C675" s="51">
        <v>44896.0</v>
      </c>
      <c r="D675" s="51">
        <v>44921.0</v>
      </c>
      <c r="E675" s="52">
        <v>44896.0</v>
      </c>
      <c r="F675" s="53" t="s">
        <v>12</v>
      </c>
      <c r="G675" s="50" t="s">
        <v>142</v>
      </c>
      <c r="H675" s="54" t="s">
        <v>39</v>
      </c>
      <c r="I675" s="54" t="s">
        <v>7</v>
      </c>
      <c r="J675" s="55">
        <v>5.0</v>
      </c>
      <c r="K675" s="56">
        <v>7.0</v>
      </c>
      <c r="L675" s="57">
        <v>0.61</v>
      </c>
      <c r="M675" s="58">
        <v>1.0</v>
      </c>
      <c r="N675" s="33">
        <f t="shared" si="13"/>
        <v>35</v>
      </c>
      <c r="O675" s="70"/>
      <c r="P675" s="34">
        <f t="shared" si="14"/>
        <v>0</v>
      </c>
      <c r="Q675" s="60"/>
      <c r="R675" s="36">
        <f t="shared" si="99"/>
        <v>1</v>
      </c>
      <c r="S675" s="71"/>
      <c r="T675" s="37">
        <f t="shared" si="100"/>
        <v>1.61</v>
      </c>
      <c r="U675" s="62">
        <v>1.061</v>
      </c>
      <c r="V675" s="63"/>
      <c r="W675" s="63"/>
      <c r="X675" s="83">
        <v>0.17</v>
      </c>
      <c r="Y675" s="35" t="str">
        <f t="shared" si="123"/>
        <v>#N/A</v>
      </c>
      <c r="Z675" s="64">
        <v>2.0</v>
      </c>
      <c r="AA675" s="65">
        <v>0.0</v>
      </c>
      <c r="AB675" s="41" t="str">
        <f t="shared" si="109"/>
        <v>#N/A</v>
      </c>
      <c r="AC675" s="42" t="b">
        <v>1</v>
      </c>
      <c r="AD675" s="66" t="s">
        <v>138</v>
      </c>
      <c r="AE675" s="88" t="s">
        <v>138</v>
      </c>
      <c r="AF675" s="42" t="str">
        <f t="array" ref="AF675">INDEX('Deal Info'!D:D, MATCH(A675,'Deal Info'!A:A, 0))</f>
        <v>#N/A</v>
      </c>
      <c r="AG675" s="43" t="str">
        <f t="array" ref="AG675">INDEX('Deal Info'!G:G, MATCH(A675,'Deal Info'!A:A, 0))</f>
        <v>#N/A</v>
      </c>
    </row>
    <row r="676" hidden="1">
      <c r="A676" s="23" t="str">
        <f t="array" ref="A676">if(G676='Room Info'!$B$1, INDEX('Room Info'!$A$2:$A3446, MATCH(B676,'Room Info'!$B$2:$B3446, 0)),if(G676='Room Info'!$C$1, INDEX('Room Info'!$A$2:$A3446, MATCH(B676,'Room Info'!$C$2:$C3446, 0)),if(G676='Room Info'!$D$1, INDEX('Room Info'!$A$2:$A3446, MATCH(B676,'Room Info'!$D$2:$D3446, 0)),if(G676='Room Info'!$E$1, INDEX('Room Info'!$A$2:$A3446, MATCH(B676,'Room Info'!$E$2:$E3446, 0)),if(G676='Room Info'!$F$1, INDEX('Room Info'!$A$2:$A3446, MATCH(B676,'Room Info'!$F$2:$F3446, 0)),if(G676='Room Info'!$H$1, INDEX('Room Info'!$A$2:$A3446, MATCH(B676,'Room Info'!$H$2:$H3446, 0)),if(G676='Room Info'!$G$1, INDEX('Room Info'!$A$2:$A3446, MATCH(B676,'Room Info'!$G$2:$G3446, 0)))))))))</f>
        <v>Davaibablo</v>
      </c>
      <c r="B676" s="50" t="s">
        <v>185</v>
      </c>
      <c r="C676" s="51">
        <v>44896.0</v>
      </c>
      <c r="D676" s="51">
        <v>44921.0</v>
      </c>
      <c r="E676" s="52">
        <v>44896.0</v>
      </c>
      <c r="F676" s="53" t="s">
        <v>12</v>
      </c>
      <c r="G676" s="50" t="s">
        <v>25</v>
      </c>
      <c r="H676" s="54" t="s">
        <v>186</v>
      </c>
      <c r="I676" s="54" t="s">
        <v>7</v>
      </c>
      <c r="J676" s="55">
        <v>1000.0</v>
      </c>
      <c r="K676" s="56">
        <v>22.0</v>
      </c>
      <c r="L676" s="57">
        <v>-4000.0</v>
      </c>
      <c r="M676" s="58">
        <v>2327.0</v>
      </c>
      <c r="N676" s="33">
        <f t="shared" si="13"/>
        <v>22000</v>
      </c>
      <c r="O676" s="70"/>
      <c r="P676" s="34">
        <f t="shared" si="14"/>
        <v>0</v>
      </c>
      <c r="Q676" s="60"/>
      <c r="R676" s="36">
        <f t="shared" si="99"/>
        <v>2327</v>
      </c>
      <c r="S676" s="71"/>
      <c r="T676" s="37">
        <f t="shared" si="100"/>
        <v>-1673</v>
      </c>
      <c r="U676" s="62">
        <v>0.014</v>
      </c>
      <c r="V676" s="63"/>
      <c r="W676" s="63"/>
      <c r="X676" s="83">
        <v>0.17</v>
      </c>
      <c r="Y676" s="35">
        <f t="shared" si="123"/>
        <v>0</v>
      </c>
      <c r="Z676" s="64">
        <v>-19.0</v>
      </c>
      <c r="AA676" s="65">
        <v>-4.0</v>
      </c>
      <c r="AB676" s="41">
        <f t="shared" si="109"/>
        <v>0</v>
      </c>
      <c r="AC676" s="42" t="b">
        <v>1</v>
      </c>
      <c r="AD676" s="66" t="s">
        <v>138</v>
      </c>
      <c r="AE676" s="88" t="s">
        <v>138</v>
      </c>
      <c r="AF676" s="42" t="str">
        <f t="array" ref="AF676">INDEX('Deal Info'!D:D, MATCH(A676,'Deal Info'!A:A, 0))</f>
        <v>DoEV</v>
      </c>
      <c r="AG676" s="43" t="str">
        <f t="array" ref="AG676">INDEX('Deal Info'!G:G, MATCH(A676,'Deal Info'!A:A, 0))</f>
        <v>None</v>
      </c>
    </row>
    <row r="677" hidden="1">
      <c r="A677" s="23" t="str">
        <f t="array" ref="A677">if(G677='Room Info'!$B$1, INDEX('Room Info'!$A$2:$A3446, MATCH(B677,'Room Info'!$B$2:$B3446, 0)),if(G677='Room Info'!$C$1, INDEX('Room Info'!$A$2:$A3446, MATCH(B677,'Room Info'!$C$2:$C3446, 0)),if(G677='Room Info'!$D$1, INDEX('Room Info'!$A$2:$A3446, MATCH(B677,'Room Info'!$D$2:$D3446, 0)),if(G677='Room Info'!$E$1, INDEX('Room Info'!$A$2:$A3446, MATCH(B677,'Room Info'!$E$2:$E3446, 0)),if(G677='Room Info'!$F$1, INDEX('Room Info'!$A$2:$A3446, MATCH(B677,'Room Info'!$F$2:$F3446, 0)),if(G677='Room Info'!$H$1, INDEX('Room Info'!$A$2:$A3446, MATCH(B677,'Room Info'!$H$2:$H3446, 0)),if(G677='Room Info'!$G$1, INDEX('Room Info'!$A$2:$A3446, MATCH(B677,'Room Info'!$G$2:$G3446, 0)))))))))</f>
        <v>Davaibablo</v>
      </c>
      <c r="B677" s="50" t="s">
        <v>185</v>
      </c>
      <c r="C677" s="51">
        <v>44896.0</v>
      </c>
      <c r="D677" s="51">
        <v>44921.0</v>
      </c>
      <c r="E677" s="52">
        <v>44896.0</v>
      </c>
      <c r="F677" s="53" t="s">
        <v>12</v>
      </c>
      <c r="G677" s="50" t="s">
        <v>25</v>
      </c>
      <c r="H677" s="54" t="s">
        <v>187</v>
      </c>
      <c r="I677" s="54" t="s">
        <v>7</v>
      </c>
      <c r="J677" s="55">
        <v>2500.0</v>
      </c>
      <c r="K677" s="56">
        <v>31.0</v>
      </c>
      <c r="L677" s="57">
        <v>30000.0</v>
      </c>
      <c r="M677" s="58">
        <v>94.0</v>
      </c>
      <c r="N677" s="33">
        <f t="shared" si="13"/>
        <v>77500</v>
      </c>
      <c r="O677" s="70"/>
      <c r="P677" s="34">
        <f t="shared" si="14"/>
        <v>0</v>
      </c>
      <c r="Q677" s="60"/>
      <c r="R677" s="36">
        <f t="shared" si="99"/>
        <v>94</v>
      </c>
      <c r="S677" s="71"/>
      <c r="T677" s="37">
        <f t="shared" si="100"/>
        <v>30094</v>
      </c>
      <c r="U677" s="62">
        <v>0.014</v>
      </c>
      <c r="V677" s="63"/>
      <c r="W677" s="63"/>
      <c r="X677" s="83">
        <v>0.17</v>
      </c>
      <c r="Y677" s="35">
        <f t="shared" si="123"/>
        <v>0</v>
      </c>
      <c r="Z677" s="64">
        <v>350.0</v>
      </c>
      <c r="AA677" s="65">
        <v>72.0</v>
      </c>
      <c r="AB677" s="41">
        <f t="shared" si="109"/>
        <v>0</v>
      </c>
      <c r="AC677" s="42" t="b">
        <v>1</v>
      </c>
      <c r="AD677" s="66" t="s">
        <v>138</v>
      </c>
      <c r="AE677" s="88" t="s">
        <v>138</v>
      </c>
      <c r="AF677" s="42" t="str">
        <f t="array" ref="AF677">INDEX('Deal Info'!D:D, MATCH(A677,'Deal Info'!A:A, 0))</f>
        <v>DoEV</v>
      </c>
      <c r="AG677" s="43" t="str">
        <f t="array" ref="AG677">INDEX('Deal Info'!G:G, MATCH(A677,'Deal Info'!A:A, 0))</f>
        <v>None</v>
      </c>
    </row>
    <row r="678" hidden="1">
      <c r="A678" s="23" t="str">
        <f t="array" ref="A678">if(G678='Room Info'!$B$1, INDEX('Room Info'!$A$2:$A3446, MATCH(B678,'Room Info'!$B$2:$B3446, 0)),if(G678='Room Info'!$C$1, INDEX('Room Info'!$A$2:$A3446, MATCH(B678,'Room Info'!$C$2:$C3446, 0)),if(G678='Room Info'!$D$1, INDEX('Room Info'!$A$2:$A3446, MATCH(B678,'Room Info'!$D$2:$D3446, 0)),if(G678='Room Info'!$E$1, INDEX('Room Info'!$A$2:$A3446, MATCH(B678,'Room Info'!$E$2:$E3446, 0)),if(G678='Room Info'!$F$1, INDEX('Room Info'!$A$2:$A3446, MATCH(B678,'Room Info'!$F$2:$F3446, 0)),if(G678='Room Info'!$H$1, INDEX('Room Info'!$A$2:$A3446, MATCH(B678,'Room Info'!$H$2:$H3446, 0)),if(G678='Room Info'!$G$1, INDEX('Room Info'!$A$2:$A3446, MATCH(B678,'Room Info'!$G$2:$G3446, 0)))))))))</f>
        <v>Davaibablo</v>
      </c>
      <c r="B678" s="50" t="s">
        <v>185</v>
      </c>
      <c r="C678" s="51">
        <v>44896.0</v>
      </c>
      <c r="D678" s="51">
        <v>44921.0</v>
      </c>
      <c r="E678" s="52">
        <v>44896.0</v>
      </c>
      <c r="F678" s="53" t="s">
        <v>12</v>
      </c>
      <c r="G678" s="50" t="s">
        <v>25</v>
      </c>
      <c r="H678" s="54" t="s">
        <v>188</v>
      </c>
      <c r="I678" s="54" t="s">
        <v>7</v>
      </c>
      <c r="J678" s="55">
        <v>5000.0</v>
      </c>
      <c r="K678" s="56">
        <v>10.0</v>
      </c>
      <c r="L678" s="57">
        <v>-35000.0</v>
      </c>
      <c r="M678" s="58">
        <v>0.0</v>
      </c>
      <c r="N678" s="33">
        <f t="shared" si="13"/>
        <v>50000</v>
      </c>
      <c r="O678" s="70"/>
      <c r="P678" s="34">
        <f t="shared" si="14"/>
        <v>0</v>
      </c>
      <c r="Q678" s="60"/>
      <c r="R678" s="36">
        <f t="shared" si="99"/>
        <v>0</v>
      </c>
      <c r="S678" s="71"/>
      <c r="T678" s="37">
        <f t="shared" si="100"/>
        <v>-35000</v>
      </c>
      <c r="U678" s="62">
        <v>0.014</v>
      </c>
      <c r="V678" s="63"/>
      <c r="W678" s="63"/>
      <c r="X678" s="83">
        <v>0.17</v>
      </c>
      <c r="Y678" s="35">
        <f t="shared" si="123"/>
        <v>0</v>
      </c>
      <c r="Z678" s="64">
        <v>-407.0</v>
      </c>
      <c r="AA678" s="65">
        <v>-83.0</v>
      </c>
      <c r="AB678" s="41">
        <f t="shared" si="109"/>
        <v>0</v>
      </c>
      <c r="AC678" s="42" t="b">
        <v>1</v>
      </c>
      <c r="AD678" s="66" t="s">
        <v>138</v>
      </c>
      <c r="AE678" s="88" t="s">
        <v>138</v>
      </c>
      <c r="AF678" s="42" t="str">
        <f t="array" ref="AF678">INDEX('Deal Info'!D:D, MATCH(A678,'Deal Info'!A:A, 0))</f>
        <v>DoEV</v>
      </c>
      <c r="AG678" s="43" t="str">
        <f t="array" ref="AG678">INDEX('Deal Info'!G:G, MATCH(A678,'Deal Info'!A:A, 0))</f>
        <v>None</v>
      </c>
    </row>
    <row r="679" hidden="1">
      <c r="A679" s="23" t="b">
        <f t="array" ref="A679">if(G679='Room Info'!$B$1, INDEX('Room Info'!$A$2:$A3446, MATCH(B679,'Room Info'!$B$2:$B3446, 0)),if(G679='Room Info'!$C$1, INDEX('Room Info'!$A$2:$A3446, MATCH(B679,'Room Info'!$C$2:$C3446, 0)),if(G679='Room Info'!$D$1, INDEX('Room Info'!$A$2:$A3446, MATCH(B679,'Room Info'!$D$2:$D3446, 0)),if(G679='Room Info'!$E$1, INDEX('Room Info'!$A$2:$A3446, MATCH(B679,'Room Info'!$E$2:$E3446, 0)),if(G679='Room Info'!$F$1, INDEX('Room Info'!$A$2:$A3446, MATCH(B679,'Room Info'!$F$2:$F3446, 0)),if(G679='Room Info'!$H$1, INDEX('Room Info'!$A$2:$A3446, MATCH(B679,'Room Info'!$H$2:$H3446, 0)),if(G679='Room Info'!$G$1, INDEX('Room Info'!$A$2:$A3446, MATCH(B679,'Room Info'!$G$2:$G3446, 0)))))))))</f>
        <v>0</v>
      </c>
      <c r="B679" s="50" t="s">
        <v>185</v>
      </c>
      <c r="C679" s="51">
        <v>44922.0</v>
      </c>
      <c r="D679" s="51">
        <v>44957.0</v>
      </c>
      <c r="E679" s="52">
        <v>44927.0</v>
      </c>
      <c r="F679" s="53" t="s">
        <v>12</v>
      </c>
      <c r="G679" s="50" t="s">
        <v>142</v>
      </c>
      <c r="H679" s="54" t="s">
        <v>61</v>
      </c>
      <c r="I679" s="54" t="s">
        <v>7</v>
      </c>
      <c r="J679" s="55">
        <v>20.0</v>
      </c>
      <c r="K679" s="56">
        <v>1664.0</v>
      </c>
      <c r="L679" s="57">
        <v>484.0</v>
      </c>
      <c r="M679" s="58">
        <v>1165.0</v>
      </c>
      <c r="N679" s="33">
        <f t="shared" si="13"/>
        <v>33280</v>
      </c>
      <c r="O679" s="59">
        <v>101504.0</v>
      </c>
      <c r="P679" s="34">
        <f t="shared" si="14"/>
        <v>61</v>
      </c>
      <c r="Q679" s="60"/>
      <c r="R679" s="36">
        <f t="shared" si="99"/>
        <v>1165</v>
      </c>
      <c r="S679" s="61"/>
      <c r="T679" s="37">
        <f t="shared" si="100"/>
        <v>1649</v>
      </c>
      <c r="U679" s="62">
        <v>1.075</v>
      </c>
      <c r="V679" s="63"/>
      <c r="W679" s="63"/>
      <c r="X679" s="83">
        <v>0.17</v>
      </c>
      <c r="Y679" s="35" t="str">
        <f t="shared" si="123"/>
        <v>#N/A</v>
      </c>
      <c r="Z679" s="64">
        <v>1471.0</v>
      </c>
      <c r="AA679" s="65">
        <v>301.0</v>
      </c>
      <c r="AB679" s="41" t="str">
        <f t="shared" si="109"/>
        <v>#N/A</v>
      </c>
      <c r="AC679" s="42" t="b">
        <v>1</v>
      </c>
      <c r="AD679" s="66" t="s">
        <v>138</v>
      </c>
      <c r="AE679" s="88" t="s">
        <v>138</v>
      </c>
      <c r="AF679" s="42" t="str">
        <f t="array" ref="AF679">INDEX('Deal Info'!D:D, MATCH(A679,'Deal Info'!A:A, 0))</f>
        <v>#N/A</v>
      </c>
      <c r="AG679" s="43" t="str">
        <f t="array" ref="AG679">INDEX('Deal Info'!G:G, MATCH(A679,'Deal Info'!A:A, 0))</f>
        <v>#N/A</v>
      </c>
    </row>
    <row r="680" hidden="1">
      <c r="A680" s="23" t="str">
        <f t="array" ref="A680">if(G680='Room Info'!$B$1, INDEX('Room Info'!$A$2:$A3446, MATCH(B680,'Room Info'!$B$2:$B3446, 0)),if(G680='Room Info'!$C$1, INDEX('Room Info'!$A$2:$A3446, MATCH(B680,'Room Info'!$C$2:$C3446, 0)),if(G680='Room Info'!$D$1, INDEX('Room Info'!$A$2:$A3446, MATCH(B680,'Room Info'!$D$2:$D3446, 0)),if(G680='Room Info'!$E$1, INDEX('Room Info'!$A$2:$A3446, MATCH(B680,'Room Info'!$E$2:$E3446, 0)),if(G680='Room Info'!$F$1, INDEX('Room Info'!$A$2:$A3446, MATCH(B680,'Room Info'!$F$2:$F3446, 0)),if(G680='Room Info'!$H$1, INDEX('Room Info'!$A$2:$A3446, MATCH(B680,'Room Info'!$H$2:$H3446, 0)),if(G680='Room Info'!$G$1, INDEX('Room Info'!$A$2:$A3446, MATCH(B680,'Room Info'!$G$2:$G3446, 0)))))))))</f>
        <v>dimasik</v>
      </c>
      <c r="B680" s="50" t="s">
        <v>189</v>
      </c>
      <c r="C680" s="51">
        <v>44733.0</v>
      </c>
      <c r="D680" s="51">
        <v>44762.0</v>
      </c>
      <c r="E680" s="52">
        <v>44743.0</v>
      </c>
      <c r="F680" s="53" t="s">
        <v>12</v>
      </c>
      <c r="G680" s="50" t="s">
        <v>5</v>
      </c>
      <c r="H680" s="54" t="s">
        <v>6</v>
      </c>
      <c r="I680" s="54" t="s">
        <v>7</v>
      </c>
      <c r="J680" s="55">
        <v>0.25</v>
      </c>
      <c r="K680" s="56">
        <v>16.0</v>
      </c>
      <c r="L680" s="57">
        <v>2.0</v>
      </c>
      <c r="M680" s="58">
        <v>0.0</v>
      </c>
      <c r="N680" s="33">
        <f t="shared" si="13"/>
        <v>4</v>
      </c>
      <c r="O680" s="70"/>
      <c r="P680" s="34">
        <f t="shared" si="14"/>
        <v>0</v>
      </c>
      <c r="Q680" s="60"/>
      <c r="R680" s="36">
        <f t="shared" si="99"/>
        <v>0</v>
      </c>
      <c r="S680" s="71"/>
      <c r="T680" s="37">
        <f t="shared" si="100"/>
        <v>2</v>
      </c>
      <c r="U680" s="62">
        <v>1.0</v>
      </c>
      <c r="V680" s="63"/>
      <c r="W680" s="63"/>
      <c r="X680" s="35">
        <f t="shared" ref="X680:X727" si="126">IF(AF680="DoEV",IF(AND(V680&lt;20,W680&lt;55),0.3,0)+IF(AND(V680&lt;20,W680&gt;=55,W680&lt;105),0.23,0)+IF(AND(V680&lt;20,W680&gt;=105),0.17,0)+IF(AND(V680&gt;=20,V680&lt;40,W680&lt;45),0.3,0)+IF(AND(V680&gt;=20,V680&lt;40,W680&gt;=45,W680&lt;95),0.23,0)+IF(AND(V680&gt;=20,V680&lt;40,W680&gt;=95),0.17,0)+IF(AND(V680&gt;=40,V680&lt;75,W680&lt;35),0.3,0)+IF(AND(V680&gt;=40,V680&lt;75,W680&gt;=35,W680&lt;75),0.23,0)+IF(AND(V680&gt;=40,V680&lt;75,W680&gt;=75,W680&lt;120),0.17,0)+IF(AND(V680&gt;=40,V680&lt;75,W680&gt;=120),0.12,0)+IF(AND(V680&gt;=75,V680&lt;175,W680&lt;35),0.3,0)+IF(AND(V680&gt;=75,V680&lt;=175,W680&gt;=35,W680&lt;65),0.23,0)+IF(AND(V680&gt;=75,V680&lt;=175,W680&gt;=65,W680&lt;110),0.17,0)+IF(AND(V680&gt;=75,V680&lt;=175,W680&gt;=110),0.12,0)+IF(AND(V680&gt;175,W680&lt;25),0.3,0)+IF(AND(V680&gt;175,W680&gt;=25,W680&lt;55),0.23,0)+IF(AND(V680&gt;175,W680&gt;=55,W680&lt;95),0.17,0)+IF(AND(V680&gt;175,W680&gt;=95),0.12,0),
IF(AF680="Fix15",0.15,
if(AF680="Fix18.75",0.1875,
IF(AF680="Fix11.25",0.1125,
IF(AF680="Fix10",0.1,
IF(AF680="Fix9",0.09,
IF(AF680="Fix19",0.19,
IF(AF680="DoEV2017",IF(AND(W680&lt;74),0.2,0)+IF(AND(W680&gt;=74),0.17,0),
IF(AF680="SF",IF(AND(V680&lt;20,W680&lt;89),0.3,0)+IF(AND(V680&lt;20,W680&gt;=89),0.25,0)+IF(AND(V680&gt;=20,V680&lt;40,W680&lt;74),0.3,0)+IF(AND(V680&gt;=20,V680&lt;40,W680&gt;=75),0.22,0)+IF(AND(V680&gt;=40,V680&lt;75,W680&lt;75),0.26,0)+IF(AND(V680&gt;=40,V680&lt;75,W680&gt;=75),0.22,0)+IF(V680&gt;=75,0.22,0),
IF(AF680="DoEVold",IF(AND(V680&lt;40,W680&lt;35),0.35,0)+IF(AND(V680&lt;40,W680&gt;=35,W680&lt;75),0.25,0)+IF(AND(V680&lt;40,W680&gt;=75),0.17,0)+IF(AND(V680&gt;=40,V680&lt;75,W680&lt;25),0.35,0)+IF(AND(V680&gt;=40,V680&lt;75,W680&gt;=25,W680&lt;65),0.25,0)+IF(AND(V680&gt;=40,V680&lt;75,W680&gt;=65,W680&lt;100),0.17,0)+IF(AND(V680&gt;=40,V680&lt;75,W680&gt;=100),0.1,0)+IF(AND(V680&gt;=75,W680&lt;25),0.35,0)+IF(AND(V680&gt;=75,W680&gt;=25,W680&lt;60),0.25,0)+IF(AND(V680&gt;=75,W680&gt;=60,W680&lt;95),0.17,0)+IF(AND(V680&gt;=75,W680&gt;=95),0.1,0),
IF(AF680="DoEVold15",IF(AND(V680&lt;=40,W680&lt;35),0.35,0)+IF(AND(V680&lt;=40,W680&gt;=35,W680&lt;75),0.25,0)+IF(AND(V680&lt;=40,W680&gt;=75,W680&lt;120),0.17,0)+IF(AND(V680&lt;=40,W680&gt;=120),0.15,0)+IF(AND(V680&gt;40,V680&lt;75,W680&lt;25),0.35,0)+IF(AND(V680&gt;=40,V680&lt;75,W680&gt;=25,W680&lt;65),0.25,0)+IF(AND(V680&gt;=40,V680&lt;75,W680&gt;=65,W680&lt;100),0.17,0)+IF(AND(V680&gt;=40,V680&lt;75,W680&gt;=100),0.1,0)+IF(AND(V680&gt;=75,W680&lt;25),0.35,0)+IF(AND(V680&gt;=75,W680&gt;=25,W680&lt;60),0.25,0)+IF(AND(V680&gt;=75,W680&gt;=60,W680&lt;95),0.17,0)+IF(AND(V680&gt;=75,W680&gt;=95),0.1,0),
IF(AF680="DoEVba",IF(AND(V680&lt;20,W680&lt;105),0.2,0)+IF(AND(V680&lt;20,W680&gt;=105),0.15,0)+IF(AND(V680&gt;=20,V680&lt;40,W680&lt;95),0.2,0)+IF(AND(V680&gt;=20,V680&lt;40,W680&gt;=95,W680&lt;150),0.15,0)+IF(AND(V680&gt;=20,V680&lt;40,W680&gt;=150),0.12,0)+IF(AND(V680&gt;=40,V680&lt;75,W680&lt;75),0.2,0)+IF(AND(V680&gt;=40,V680&lt;75,W680&gt;=75,W680&lt;120),0.15,0)+IF(AND(V680&gt;=40,V680&lt;75,W680&gt;=120),0.12,0)+IF(AND(V680&gt;=75,V680&lt;175,W680&lt;65),0.2,0)+IF(AND(V680&gt;=75,V680&lt;175,W680&gt;=65,W680&lt;110),0.15,0)+IF(AND(V680&gt;=75,V680&lt;175,W680&gt;=110),0.12,0)+IF(AND(V680&gt;=175,W680&lt;55),0.2,0)+IF(AND(V680&gt;=175,W680&gt;=55,W680&lt;95),0.15,0)+IF(AND(V680&gt;=175,W680&gt;=95),0.12,0),
IF(AF680="DoEVku",IF(AND(V680&lt;20,W680&lt;55),0.23,0)+IF(AND(V680&lt;20,W680&gt;=55,W680&lt;105),0.2,0)+IF(AND(V680&lt;20,W680&gt;=105),0.17,0)+IF(AND(V680&gt;=20,V680&lt;40,W680&lt;45),0.23,0)+IF(AND(V680&gt;=20,V680&lt;40,W680&gt;=45,W680&lt;95),0.2,0)+IF(AND(V680&gt;=20,V680&lt;40,W680&gt;=95,W680&lt;=150),0.17,0)+IF(AND(V680&gt;=20,V680&lt;40,W680&gt;=150),0.12,0)+IF(AND(V680&gt;=40,V680&lt;75,W680&lt;35),0.23,0)+IF(AND(V680&gt;=40,V680&lt;75,W680&gt;=35,W680&lt;75),0.2,0)+IF(AND(V680&gt;=40,V680&lt;75,W680&gt;=75,W680&lt;120),0.17,0)+IF(AND(V680&gt;=40,V680&lt;75,W680&gt;=120),0.12,0)+IF(AND(V680&gt;=75,V680&lt;175,W680&lt;35),0.23,0)+IF(AND(V680&gt;=75,V680&lt;=175,W680&gt;=35,W680&lt;65),0.2,0)+IF(AND(V680&gt;=75,V680&lt;=175,W680&gt;=65,W680&lt;110),0.17,0)+IF(AND(V680&gt;=75,V680&lt;=175,W680&gt;=110),0.12,0)+IF(AND(V680&gt;175,W680&lt;25),0.23,0)+IF(AND(V680&gt;175,W680&gt;=25,W680&lt;55),0.2,0)+IF(AND(V680&gt;175,W680&gt;=55,W680&lt;95),0.17,0)+IF(AND(V680&gt;175,W680&gt;=95),0.12,0),
IF(AF680="DoEVs1",IF(AND(V680&lt;20,W680&lt;55),0.3,0)+IF(AND(V680&lt;20,W680&gt;=55,W680&lt;105),0.23,0)+IF(AND(V680&lt;20,W680&gt;=105),0.17,0)+IF(AND(V680&gt;=20,V680&lt;40,W680&lt;45),0.3,0)+IF(AND(V680&gt;=20,V680&lt;40,W680&gt;=45,W680&lt;95),0.23,0)+IF(AND(V680&gt;=20,V680&lt;40,W680&gt;=95,W680&lt;=150),0.17,0)+IF(AND(V680&gt;=20,V680&lt;40,W680&gt;=150),0.12,0)+IF(AND(V680&gt;=40,V680&lt;75,W680&lt;35),0.3,0)+IF(AND(V680&gt;=40,V680&lt;75,W680&gt;=35,W680&lt;75),0.23,0)+IF(AND(V680&gt;=40,V680&lt;75,W680&gt;=75,W680&lt;120),0.17,0)+IF(AND(V680&gt;=40,V680&lt;75,W680&gt;=120),0.12,0)+IF(AND(V680&gt;=75,V680&lt;175,W680&lt;35),0.3,0)+IF(AND(V680&gt;=75,V680&lt;=175,W680&gt;=35,W680&lt;65),0.23,0)+IF(AND(V680&gt;=75,V680&lt;=175,W680&gt;=65,W680&lt;110),0.17,0)+IF(AND(V680&gt;=75,V680&lt;=175,W680&gt;=110),0.12,0)+IF(AND(V680&gt;175,W680&lt;25),0.3,0)+IF(AND(V680&gt;175,W680&gt;=25,W680&lt;55),0.23,0)+IF(AND(V680&gt;175,W680&gt;=55,W680&lt;95),0.17,0)+IF(AND(V680&gt;175,W680&gt;=95),0.12,0),
IF(AF680="DoEVsu",IF(AND(V680&lt;20,W680&lt;55),0.3,0)+IF(AND(V680&lt;20,W680&gt;=55,W680&lt;105),0.23,0)+IF(AND(V680&lt;20,W680&gt;=105),0.17,0)+IF(AND(V680&gt;=20,V680&lt;40,W680&lt;45),0.3,0)+IF(AND(V680&gt;=20,V680&lt;40,W680&gt;=45,W680&lt;95),0.23,0)+IF(AND(V680&gt;=20,V680&lt;40,W680&gt;=95,W680&lt;=250),0.17,0)+IF(AND(V680&gt;=20,V680&lt;40,W680&gt;=250),0.12,0)+IF(AND(V680&gt;=40,V680&lt;75,W680&lt;35),0.3,0)+IF(AND(V680&gt;=40,V680&lt;75,W680&gt;=35,W680&lt;75),0.23,0)+IF(AND(V680&gt;=40,V680&lt;75,W680&gt;=75,W680&lt;120),0.17,0)+IF(AND(V680&gt;=40,V680&lt;75,W680&gt;=120),0.12,0)+IF(AND(V680&gt;=75,V680&lt;175,W680&lt;35),0.3,0)+IF(AND(V680&gt;=75,V680&lt;=175,W680&gt;=35,W680&lt;65),0.23,0)+IF(AND(V680&gt;=75,V680&lt;=175,W680&gt;=65,W680&lt;110),0.17,0)+IF(AND(V680&gt;=75,V680&lt;=175,W680&gt;=110),0.12,0)+IF(AND(V680&gt;175,W680&lt;25),0.3,0)+IF(AND(V680&gt;175,W680&gt;=25,W680&lt;55),0.23,0)+IF(AND(V680&gt;175,W680&gt;=55,W680&lt;95),0.17,0)+IF(AND(V680&gt;175,W680&gt;=95),0.12,0),
IF(AF680="DoEVni",IF(AND(V680&lt;20,W680&lt;55),0.3,0)+IF(AND(V680&lt;20,W680&gt;=55,W680&lt;105),0.23,0)+IF(AND(V680&lt;20,W680&gt;=105),0.17,0)+IF(AND(V680&gt;=20,V680&lt;40,W680&lt;45),0.3,0)+IF(AND(V680&gt;=20,V680&lt;40,W680&gt;=45,W680&lt;95),0.23,0)+IF(AND(V680&gt;=20,V680&lt;40,W680&gt;=95,W680&lt;=200),0.17,0)+IF(AND(V680&gt;=20,V680&lt;40,W680&gt;=200),0.12,0)+IF(AND(V680&gt;=40,V680&lt;75,W680&lt;35),0.3,0)+IF(AND(V680&gt;=40,V680&lt;75,W680&gt;=35,W680&lt;75),0.23,0)+IF(AND(V680&gt;=40,V680&lt;75,W680&gt;=75,W680&lt;120),0.17,0)+IF(AND(V680&gt;=40,V680&lt;75,W680&gt;=120),0.12,0)+IF(AND(V680&gt;=75,V680&lt;175,W680&lt;35),0.3,0)+IF(AND(V680&gt;=75,V680&lt;=175,W680&gt;=35,W680&lt;65),0.23,0)+IF(AND(V680&gt;=75,V680&lt;=175,W680&gt;=65,W680&lt;110),0.17,0)+IF(AND(V680&gt;=75,V680&lt;=175,W680&gt;=110),0.12,0)+IF(AND(V680&gt;175,W680&lt;25),0.3,0)+IF(AND(V680&gt;175,W680&gt;=25,W680&lt;55),0.23,0)+IF(AND(V680&gt;175,W680&gt;=55,W680&lt;95),0.17,0)+IF(AND(V680&gt;175,W680&gt;=95),0.12,0),
IF(AF680="DoEVLo",IF(AND(V680&lt;20,W680&lt;55),0.25,0)+IF(AND(V680&lt;20,W680&gt;=55,W680&lt;105),0.2,0)+IF(AND(V680&lt;20,W680&gt;=105),0.15,0)+IF(AND(V680&gt;=20,V680&lt;40,W680&lt;45),0.25,0)+IF(AND(V680&gt;=20,V680&lt;40,W680&gt;=45,W680&lt;95),0.2,0)+IF(AND(V680&gt;=20,V680&lt;40,W680&gt;=95),0.15,0)+IF(AND(V680&gt;=40,V680&lt;75,W680&lt;35),0.25,0)+IF(AND(V680&gt;=40,V680&lt;75,W680&gt;=35,W680&lt;75),0.2,0)+IF(AND(V680&gt;=40,V680&lt;75,W680&gt;=75,W680&lt;120),0.15,0)+IF(AND(V680&gt;=40,V680&lt;75,W680&gt;=120),0.1,0)+IF(AND(V680&gt;=75,V680&lt;175,W680&lt;35),0.25,0)+IF(AND(V680&gt;=75,V680&lt;=175,W680&gt;=35,W680&lt;65),0.2,0)+IF(AND(V680&gt;=75,V680&lt;=175,W680&gt;=65,W680&lt;110),0.15,0)+IF(AND(V680&gt;=75,V680&lt;=175,W680&gt;=110),0.1,0)+IF(AND(V680&gt;175,W680&lt;25),0.25,0)+IF(AND(V680&gt;175,W680&gt;=25,W680&lt;55),0.2,0)+IF(AND(V680&gt;175,W680&gt;=55,W680&lt;95),0.15,0)+IF(AND(V680&gt;175,W680&gt;=95),0.1,0))))))))))))))))))</f>
        <v>0.19</v>
      </c>
      <c r="Y680" s="35">
        <f t="shared" si="123"/>
        <v>0</v>
      </c>
      <c r="Z680" s="40">
        <f t="shared" ref="Z680:Z910" si="127">T680-AA680-AB680</f>
        <v>1.62</v>
      </c>
      <c r="AA680" s="34">
        <f t="shared" ref="AA680:AA910" si="128">if(AD680="EUR",((T680-R680)*X680)*U680+(R680*X680),(T680*X680))</f>
        <v>0.38</v>
      </c>
      <c r="AB680" s="41">
        <f t="shared" si="109"/>
        <v>0</v>
      </c>
      <c r="AC680" s="42" t="b">
        <v>1</v>
      </c>
      <c r="AD680" s="42" t="s">
        <v>138</v>
      </c>
      <c r="AE680" s="42" t="s">
        <v>138</v>
      </c>
      <c r="AF680" s="42" t="str">
        <f t="array" ref="AF680">INDEX('Deal Info'!D:D, MATCH(A680,'Deal Info'!A:A, 0))</f>
        <v>Fix19</v>
      </c>
      <c r="AG680" s="43" t="str">
        <f t="array" ref="AG680">INDEX('Deal Info'!G:G, MATCH(A680,'Deal Info'!A:A, 0))</f>
        <v>None</v>
      </c>
    </row>
    <row r="681" hidden="1">
      <c r="A681" s="23" t="str">
        <f t="array" ref="A681">if(G681='Room Info'!$B$1, INDEX('Room Info'!$A$2:$A3446, MATCH(B681,'Room Info'!$B$2:$B3446, 0)),if(G681='Room Info'!$C$1, INDEX('Room Info'!$A$2:$A3446, MATCH(B681,'Room Info'!$C$2:$C3446, 0)),if(G681='Room Info'!$D$1, INDEX('Room Info'!$A$2:$A3446, MATCH(B681,'Room Info'!$D$2:$D3446, 0)),if(G681='Room Info'!$E$1, INDEX('Room Info'!$A$2:$A3446, MATCH(B681,'Room Info'!$E$2:$E3446, 0)),if(G681='Room Info'!$F$1, INDEX('Room Info'!$A$2:$A3446, MATCH(B681,'Room Info'!$F$2:$F3446, 0)),if(G681='Room Info'!$H$1, INDEX('Room Info'!$A$2:$A3446, MATCH(B681,'Room Info'!$H$2:$H3446, 0)),if(G681='Room Info'!$G$1, INDEX('Room Info'!$A$2:$A3446, MATCH(B681,'Room Info'!$G$2:$G3446, 0)))))))))</f>
        <v>dimasik</v>
      </c>
      <c r="B681" s="50" t="s">
        <v>189</v>
      </c>
      <c r="C681" s="51">
        <v>44733.0</v>
      </c>
      <c r="D681" s="51">
        <v>44762.0</v>
      </c>
      <c r="E681" s="52">
        <v>44743.0</v>
      </c>
      <c r="F681" s="53" t="s">
        <v>12</v>
      </c>
      <c r="G681" s="50" t="s">
        <v>5</v>
      </c>
      <c r="H681" s="54" t="s">
        <v>10</v>
      </c>
      <c r="I681" s="54" t="s">
        <v>11</v>
      </c>
      <c r="J681" s="55">
        <v>0.25</v>
      </c>
      <c r="K681" s="56">
        <v>12.0</v>
      </c>
      <c r="L681" s="57">
        <v>2.0</v>
      </c>
      <c r="M681" s="58">
        <v>0.0</v>
      </c>
      <c r="N681" s="33">
        <f t="shared" si="13"/>
        <v>3</v>
      </c>
      <c r="O681" s="70"/>
      <c r="P681" s="34">
        <f t="shared" si="14"/>
        <v>0</v>
      </c>
      <c r="Q681" s="60"/>
      <c r="R681" s="36">
        <f t="shared" si="99"/>
        <v>0</v>
      </c>
      <c r="S681" s="71"/>
      <c r="T681" s="37">
        <f t="shared" si="100"/>
        <v>2</v>
      </c>
      <c r="U681" s="62">
        <v>1.0</v>
      </c>
      <c r="V681" s="63"/>
      <c r="W681" s="63"/>
      <c r="X681" s="35">
        <f t="shared" si="126"/>
        <v>0.19</v>
      </c>
      <c r="Y681" s="35">
        <f t="shared" si="123"/>
        <v>0</v>
      </c>
      <c r="Z681" s="40">
        <f t="shared" si="127"/>
        <v>1.62</v>
      </c>
      <c r="AA681" s="34">
        <f t="shared" si="128"/>
        <v>0.38</v>
      </c>
      <c r="AB681" s="41">
        <f t="shared" si="109"/>
        <v>0</v>
      </c>
      <c r="AC681" s="42" t="b">
        <v>1</v>
      </c>
      <c r="AD681" s="42" t="s">
        <v>138</v>
      </c>
      <c r="AE681" s="42" t="s">
        <v>138</v>
      </c>
      <c r="AF681" s="42" t="str">
        <f t="array" ref="AF681">INDEX('Deal Info'!D:D, MATCH(A681,'Deal Info'!A:A, 0))</f>
        <v>Fix19</v>
      </c>
      <c r="AG681" s="43" t="str">
        <f t="array" ref="AG681">INDEX('Deal Info'!G:G, MATCH(A681,'Deal Info'!A:A, 0))</f>
        <v>None</v>
      </c>
    </row>
    <row r="682" hidden="1">
      <c r="A682" s="23" t="str">
        <f t="array" ref="A682">if(G682='Room Info'!$B$1, INDEX('Room Info'!$A$2:$A3446, MATCH(B682,'Room Info'!$B$2:$B3446, 0)),if(G682='Room Info'!$C$1, INDEX('Room Info'!$A$2:$A3446, MATCH(B682,'Room Info'!$C$2:$C3446, 0)),if(G682='Room Info'!$D$1, INDEX('Room Info'!$A$2:$A3446, MATCH(B682,'Room Info'!$D$2:$D3446, 0)),if(G682='Room Info'!$E$1, INDEX('Room Info'!$A$2:$A3446, MATCH(B682,'Room Info'!$E$2:$E3446, 0)),if(G682='Room Info'!$F$1, INDEX('Room Info'!$A$2:$A3446, MATCH(B682,'Room Info'!$F$2:$F3446, 0)),if(G682='Room Info'!$H$1, INDEX('Room Info'!$A$2:$A3446, MATCH(B682,'Room Info'!$H$2:$H3446, 0)),if(G682='Room Info'!$G$1, INDEX('Room Info'!$A$2:$A3446, MATCH(B682,'Room Info'!$G$2:$G3446, 0)))))))))</f>
        <v>dimasik</v>
      </c>
      <c r="B682" s="50" t="s">
        <v>189</v>
      </c>
      <c r="C682" s="51">
        <v>44733.0</v>
      </c>
      <c r="D682" s="51">
        <v>44762.0</v>
      </c>
      <c r="E682" s="52">
        <v>44743.0</v>
      </c>
      <c r="F682" s="53" t="s">
        <v>12</v>
      </c>
      <c r="G682" s="50" t="s">
        <v>5</v>
      </c>
      <c r="H682" s="54" t="s">
        <v>85</v>
      </c>
      <c r="I682" s="54" t="s">
        <v>7</v>
      </c>
      <c r="J682" s="55">
        <v>100.0</v>
      </c>
      <c r="K682" s="56">
        <v>1345.0</v>
      </c>
      <c r="L682" s="57">
        <v>1600.0</v>
      </c>
      <c r="M682" s="58">
        <v>3823.0</v>
      </c>
      <c r="N682" s="33">
        <f t="shared" si="13"/>
        <v>134500</v>
      </c>
      <c r="O682" s="59">
        <v>43699.0</v>
      </c>
      <c r="P682" s="34">
        <f t="shared" si="14"/>
        <v>32.48996283</v>
      </c>
      <c r="Q682" s="60"/>
      <c r="R682" s="36">
        <f t="shared" si="99"/>
        <v>3823</v>
      </c>
      <c r="S682" s="71"/>
      <c r="T682" s="37">
        <f t="shared" si="100"/>
        <v>5423</v>
      </c>
      <c r="U682" s="62">
        <v>1.0</v>
      </c>
      <c r="V682" s="63"/>
      <c r="W682" s="63"/>
      <c r="X682" s="35">
        <f t="shared" si="126"/>
        <v>0.19</v>
      </c>
      <c r="Y682" s="35">
        <f t="shared" si="123"/>
        <v>0</v>
      </c>
      <c r="Z682" s="40">
        <f t="shared" si="127"/>
        <v>4392.63</v>
      </c>
      <c r="AA682" s="34">
        <f t="shared" si="128"/>
        <v>1030.37</v>
      </c>
      <c r="AB682" s="41">
        <f t="shared" si="109"/>
        <v>0</v>
      </c>
      <c r="AC682" s="42" t="b">
        <v>1</v>
      </c>
      <c r="AD682" s="42" t="s">
        <v>138</v>
      </c>
      <c r="AE682" s="42" t="s">
        <v>138</v>
      </c>
      <c r="AF682" s="42" t="str">
        <f t="array" ref="AF682">INDEX('Deal Info'!D:D, MATCH(A682,'Deal Info'!A:A, 0))</f>
        <v>Fix19</v>
      </c>
      <c r="AG682" s="43" t="str">
        <f t="array" ref="AG682">INDEX('Deal Info'!G:G, MATCH(A682,'Deal Info'!A:A, 0))</f>
        <v>None</v>
      </c>
    </row>
    <row r="683" hidden="1">
      <c r="A683" s="23" t="str">
        <f t="array" ref="A683">if(G683='Room Info'!$B$1, INDEX('Room Info'!$A$2:$A3446, MATCH(B683,'Room Info'!$B$2:$B3446, 0)),if(G683='Room Info'!$C$1, INDEX('Room Info'!$A$2:$A3446, MATCH(B683,'Room Info'!$C$2:$C3446, 0)),if(G683='Room Info'!$D$1, INDEX('Room Info'!$A$2:$A3446, MATCH(B683,'Room Info'!$D$2:$D3446, 0)),if(G683='Room Info'!$E$1, INDEX('Room Info'!$A$2:$A3446, MATCH(B683,'Room Info'!$E$2:$E3446, 0)),if(G683='Room Info'!$F$1, INDEX('Room Info'!$A$2:$A3446, MATCH(B683,'Room Info'!$F$2:$F3446, 0)),if(G683='Room Info'!$H$1, INDEX('Room Info'!$A$2:$A3446, MATCH(B683,'Room Info'!$H$2:$H3446, 0)),if(G683='Room Info'!$G$1, INDEX('Room Info'!$A$2:$A3446, MATCH(B683,'Room Info'!$G$2:$G3446, 0)))))))))</f>
        <v>dimasik</v>
      </c>
      <c r="B683" s="50" t="s">
        <v>189</v>
      </c>
      <c r="C683" s="51">
        <v>44733.0</v>
      </c>
      <c r="D683" s="51">
        <v>44762.0</v>
      </c>
      <c r="E683" s="52">
        <v>44743.0</v>
      </c>
      <c r="F683" s="53" t="s">
        <v>12</v>
      </c>
      <c r="G683" s="50" t="s">
        <v>5</v>
      </c>
      <c r="H683" s="54" t="s">
        <v>86</v>
      </c>
      <c r="I683" s="54" t="s">
        <v>11</v>
      </c>
      <c r="J683" s="55">
        <v>100.0</v>
      </c>
      <c r="K683" s="56">
        <v>279.0</v>
      </c>
      <c r="L683" s="57">
        <v>-700.0</v>
      </c>
      <c r="M683" s="58">
        <v>793.0</v>
      </c>
      <c r="N683" s="33">
        <f t="shared" si="13"/>
        <v>27900</v>
      </c>
      <c r="O683" s="59">
        <v>9065.0</v>
      </c>
      <c r="P683" s="34">
        <f t="shared" si="14"/>
        <v>32.49103943</v>
      </c>
      <c r="Q683" s="60"/>
      <c r="R683" s="36">
        <f t="shared" si="99"/>
        <v>793</v>
      </c>
      <c r="S683" s="71"/>
      <c r="T683" s="37">
        <f t="shared" si="100"/>
        <v>93</v>
      </c>
      <c r="U683" s="62">
        <v>1.0</v>
      </c>
      <c r="V683" s="63"/>
      <c r="W683" s="63"/>
      <c r="X683" s="35">
        <f t="shared" si="126"/>
        <v>0.19</v>
      </c>
      <c r="Y683" s="35">
        <f t="shared" si="123"/>
        <v>0</v>
      </c>
      <c r="Z683" s="40">
        <f t="shared" si="127"/>
        <v>75.33</v>
      </c>
      <c r="AA683" s="34">
        <f t="shared" si="128"/>
        <v>17.67</v>
      </c>
      <c r="AB683" s="41">
        <f t="shared" si="109"/>
        <v>0</v>
      </c>
      <c r="AC683" s="42" t="b">
        <v>1</v>
      </c>
      <c r="AD683" s="42" t="s">
        <v>138</v>
      </c>
      <c r="AE683" s="42" t="s">
        <v>138</v>
      </c>
      <c r="AF683" s="42" t="str">
        <f t="array" ref="AF683">INDEX('Deal Info'!D:D, MATCH(A683,'Deal Info'!A:A, 0))</f>
        <v>Fix19</v>
      </c>
      <c r="AG683" s="43" t="str">
        <f t="array" ref="AG683">INDEX('Deal Info'!G:G, MATCH(A683,'Deal Info'!A:A, 0))</f>
        <v>None</v>
      </c>
    </row>
    <row r="684" hidden="1">
      <c r="A684" s="23" t="str">
        <f t="array" ref="A684">if(G684='Room Info'!$B$1, INDEX('Room Info'!$A$2:$A3446, MATCH(B684,'Room Info'!$B$2:$B3446, 0)),if(G684='Room Info'!$C$1, INDEX('Room Info'!$A$2:$A3446, MATCH(B684,'Room Info'!$C$2:$C3446, 0)),if(G684='Room Info'!$D$1, INDEX('Room Info'!$A$2:$A3446, MATCH(B684,'Room Info'!$D$2:$D3446, 0)),if(G684='Room Info'!$E$1, INDEX('Room Info'!$A$2:$A3446, MATCH(B684,'Room Info'!$E$2:$E3446, 0)),if(G684='Room Info'!$F$1, INDEX('Room Info'!$A$2:$A3446, MATCH(B684,'Room Info'!$F$2:$F3446, 0)),if(G684='Room Info'!$H$1, INDEX('Room Info'!$A$2:$A3446, MATCH(B684,'Room Info'!$H$2:$H3446, 0)),if(G684='Room Info'!$G$1, INDEX('Room Info'!$A$2:$A3446, MATCH(B684,'Room Info'!$G$2:$G3446, 0)))))))))</f>
        <v>dimasik</v>
      </c>
      <c r="B684" s="50" t="s">
        <v>189</v>
      </c>
      <c r="C684" s="51">
        <v>44733.0</v>
      </c>
      <c r="D684" s="51">
        <v>44762.0</v>
      </c>
      <c r="E684" s="52">
        <v>44743.0</v>
      </c>
      <c r="F684" s="53" t="s">
        <v>12</v>
      </c>
      <c r="G684" s="50" t="s">
        <v>5</v>
      </c>
      <c r="H684" s="54" t="s">
        <v>96</v>
      </c>
      <c r="I684" s="54" t="s">
        <v>7</v>
      </c>
      <c r="J684" s="55">
        <v>250.0</v>
      </c>
      <c r="K684" s="56">
        <v>285.0</v>
      </c>
      <c r="L684" s="57">
        <v>3500.0</v>
      </c>
      <c r="M684" s="58">
        <v>2025.0</v>
      </c>
      <c r="N684" s="33">
        <f t="shared" si="13"/>
        <v>71250</v>
      </c>
      <c r="O684" s="59">
        <v>6520.0</v>
      </c>
      <c r="P684" s="34">
        <f t="shared" si="14"/>
        <v>22.87719298</v>
      </c>
      <c r="Q684" s="60"/>
      <c r="R684" s="36">
        <f t="shared" si="99"/>
        <v>2025</v>
      </c>
      <c r="S684" s="71"/>
      <c r="T684" s="37">
        <f t="shared" si="100"/>
        <v>5525</v>
      </c>
      <c r="U684" s="62">
        <v>1.0</v>
      </c>
      <c r="V684" s="63"/>
      <c r="W684" s="63"/>
      <c r="X684" s="35">
        <f t="shared" si="126"/>
        <v>0.19</v>
      </c>
      <c r="Y684" s="35">
        <f t="shared" si="123"/>
        <v>0</v>
      </c>
      <c r="Z684" s="40">
        <f t="shared" si="127"/>
        <v>4475.25</v>
      </c>
      <c r="AA684" s="34">
        <f t="shared" si="128"/>
        <v>1049.75</v>
      </c>
      <c r="AB684" s="41">
        <f t="shared" si="109"/>
        <v>0</v>
      </c>
      <c r="AC684" s="42" t="b">
        <v>1</v>
      </c>
      <c r="AD684" s="42" t="s">
        <v>138</v>
      </c>
      <c r="AE684" s="42" t="s">
        <v>138</v>
      </c>
      <c r="AF684" s="42" t="str">
        <f t="array" ref="AF684">INDEX('Deal Info'!D:D, MATCH(A684,'Deal Info'!A:A, 0))</f>
        <v>Fix19</v>
      </c>
      <c r="AG684" s="43" t="str">
        <f t="array" ref="AG684">INDEX('Deal Info'!G:G, MATCH(A684,'Deal Info'!A:A, 0))</f>
        <v>None</v>
      </c>
    </row>
    <row r="685" hidden="1">
      <c r="A685" s="23" t="str">
        <f t="array" ref="A685">if(G685='Room Info'!$B$1, INDEX('Room Info'!$A$2:$A3446, MATCH(B685,'Room Info'!$B$2:$B3446, 0)),if(G685='Room Info'!$C$1, INDEX('Room Info'!$A$2:$A3446, MATCH(B685,'Room Info'!$C$2:$C3446, 0)),if(G685='Room Info'!$D$1, INDEX('Room Info'!$A$2:$A3446, MATCH(B685,'Room Info'!$D$2:$D3446, 0)),if(G685='Room Info'!$E$1, INDEX('Room Info'!$A$2:$A3446, MATCH(B685,'Room Info'!$E$2:$E3446, 0)),if(G685='Room Info'!$F$1, INDEX('Room Info'!$A$2:$A3446, MATCH(B685,'Room Info'!$F$2:$F3446, 0)),if(G685='Room Info'!$H$1, INDEX('Room Info'!$A$2:$A3446, MATCH(B685,'Room Info'!$H$2:$H3446, 0)),if(G685='Room Info'!$G$1, INDEX('Room Info'!$A$2:$A3446, MATCH(B685,'Room Info'!$G$2:$G3446, 0)))))))))</f>
        <v>dimasik</v>
      </c>
      <c r="B685" s="50" t="s">
        <v>189</v>
      </c>
      <c r="C685" s="51">
        <v>44733.0</v>
      </c>
      <c r="D685" s="51">
        <v>44762.0</v>
      </c>
      <c r="E685" s="52">
        <v>44743.0</v>
      </c>
      <c r="F685" s="53" t="s">
        <v>12</v>
      </c>
      <c r="G685" s="50" t="s">
        <v>5</v>
      </c>
      <c r="H685" s="54" t="s">
        <v>97</v>
      </c>
      <c r="I685" s="54" t="s">
        <v>11</v>
      </c>
      <c r="J685" s="55">
        <v>250.0</v>
      </c>
      <c r="K685" s="56">
        <v>186.0</v>
      </c>
      <c r="L685" s="57">
        <v>4500.0</v>
      </c>
      <c r="M685" s="58">
        <v>1322.0</v>
      </c>
      <c r="N685" s="33">
        <f t="shared" si="13"/>
        <v>46500</v>
      </c>
      <c r="O685" s="59">
        <v>4255.0</v>
      </c>
      <c r="P685" s="34">
        <f t="shared" si="14"/>
        <v>22.87634409</v>
      </c>
      <c r="Q685" s="60"/>
      <c r="R685" s="36">
        <f t="shared" si="99"/>
        <v>1322</v>
      </c>
      <c r="S685" s="71"/>
      <c r="T685" s="37">
        <f t="shared" si="100"/>
        <v>5822</v>
      </c>
      <c r="U685" s="62">
        <v>1.0</v>
      </c>
      <c r="V685" s="63"/>
      <c r="W685" s="63"/>
      <c r="X685" s="35">
        <f t="shared" si="126"/>
        <v>0.19</v>
      </c>
      <c r="Y685" s="35">
        <f t="shared" si="123"/>
        <v>0</v>
      </c>
      <c r="Z685" s="40">
        <f t="shared" si="127"/>
        <v>4715.82</v>
      </c>
      <c r="AA685" s="34">
        <f t="shared" si="128"/>
        <v>1106.18</v>
      </c>
      <c r="AB685" s="41">
        <f t="shared" si="109"/>
        <v>0</v>
      </c>
      <c r="AC685" s="42" t="b">
        <v>1</v>
      </c>
      <c r="AD685" s="42" t="s">
        <v>138</v>
      </c>
      <c r="AE685" s="42" t="s">
        <v>138</v>
      </c>
      <c r="AF685" s="42" t="str">
        <f t="array" ref="AF685">INDEX('Deal Info'!D:D, MATCH(A685,'Deal Info'!A:A, 0))</f>
        <v>Fix19</v>
      </c>
      <c r="AG685" s="43" t="str">
        <f t="array" ref="AG685">INDEX('Deal Info'!G:G, MATCH(A685,'Deal Info'!A:A, 0))</f>
        <v>None</v>
      </c>
    </row>
    <row r="686" hidden="1">
      <c r="A686" s="23" t="str">
        <f t="array" ref="A686">if(G686='Room Info'!$B$1, INDEX('Room Info'!$A$2:$A3446, MATCH(B686,'Room Info'!$B$2:$B3446, 0)),if(G686='Room Info'!$C$1, INDEX('Room Info'!$A$2:$A3446, MATCH(B686,'Room Info'!$C$2:$C3446, 0)),if(G686='Room Info'!$D$1, INDEX('Room Info'!$A$2:$A3446, MATCH(B686,'Room Info'!$D$2:$D3446, 0)),if(G686='Room Info'!$E$1, INDEX('Room Info'!$A$2:$A3446, MATCH(B686,'Room Info'!$E$2:$E3446, 0)),if(G686='Room Info'!$F$1, INDEX('Room Info'!$A$2:$A3446, MATCH(B686,'Room Info'!$F$2:$F3446, 0)),if(G686='Room Info'!$H$1, INDEX('Room Info'!$A$2:$A3446, MATCH(B686,'Room Info'!$H$2:$H3446, 0)),if(G686='Room Info'!$G$1, INDEX('Room Info'!$A$2:$A3446, MATCH(B686,'Room Info'!$G$2:$G3446, 0)))))))))</f>
        <v>dimasik</v>
      </c>
      <c r="B686" s="50" t="s">
        <v>189</v>
      </c>
      <c r="C686" s="51">
        <v>44733.0</v>
      </c>
      <c r="D686" s="51">
        <v>44762.0</v>
      </c>
      <c r="E686" s="52">
        <v>44743.0</v>
      </c>
      <c r="F686" s="53" t="s">
        <v>12</v>
      </c>
      <c r="G686" s="50" t="s">
        <v>5</v>
      </c>
      <c r="H686" s="54" t="s">
        <v>75</v>
      </c>
      <c r="I686" s="54" t="s">
        <v>11</v>
      </c>
      <c r="J686" s="55">
        <v>50.0</v>
      </c>
      <c r="K686" s="56">
        <v>4.0</v>
      </c>
      <c r="L686" s="57">
        <v>0.0</v>
      </c>
      <c r="M686" s="58">
        <v>7.0</v>
      </c>
      <c r="N686" s="33">
        <f t="shared" si="13"/>
        <v>200</v>
      </c>
      <c r="O686" s="59">
        <v>274.0</v>
      </c>
      <c r="P686" s="34">
        <f t="shared" si="14"/>
        <v>68.5</v>
      </c>
      <c r="Q686" s="60"/>
      <c r="R686" s="36">
        <f t="shared" si="99"/>
        <v>7</v>
      </c>
      <c r="S686" s="71"/>
      <c r="T686" s="37">
        <f t="shared" si="100"/>
        <v>7</v>
      </c>
      <c r="U686" s="62">
        <v>1.0</v>
      </c>
      <c r="V686" s="63"/>
      <c r="W686" s="63"/>
      <c r="X686" s="35">
        <f t="shared" si="126"/>
        <v>0.19</v>
      </c>
      <c r="Y686" s="35">
        <f t="shared" si="123"/>
        <v>0</v>
      </c>
      <c r="Z686" s="40">
        <f t="shared" si="127"/>
        <v>5.67</v>
      </c>
      <c r="AA686" s="34">
        <f t="shared" si="128"/>
        <v>1.33</v>
      </c>
      <c r="AB686" s="41">
        <f t="shared" si="109"/>
        <v>0</v>
      </c>
      <c r="AC686" s="42" t="b">
        <v>1</v>
      </c>
      <c r="AD686" s="42" t="s">
        <v>138</v>
      </c>
      <c r="AE686" s="42" t="s">
        <v>138</v>
      </c>
      <c r="AF686" s="42" t="str">
        <f t="array" ref="AF686">INDEX('Deal Info'!D:D, MATCH(A686,'Deal Info'!A:A, 0))</f>
        <v>Fix19</v>
      </c>
      <c r="AG686" s="43" t="str">
        <f t="array" ref="AG686">INDEX('Deal Info'!G:G, MATCH(A686,'Deal Info'!A:A, 0))</f>
        <v>None</v>
      </c>
    </row>
    <row r="687" hidden="1">
      <c r="A687" s="23" t="str">
        <f t="array" ref="A687">if(G687='Room Info'!$B$1, INDEX('Room Info'!$A$2:$A3446, MATCH(B687,'Room Info'!$B$2:$B3446, 0)),if(G687='Room Info'!$C$1, INDEX('Room Info'!$A$2:$A3446, MATCH(B687,'Room Info'!$C$2:$C3446, 0)),if(G687='Room Info'!$D$1, INDEX('Room Info'!$A$2:$A3446, MATCH(B687,'Room Info'!$D$2:$D3446, 0)),if(G687='Room Info'!$E$1, INDEX('Room Info'!$A$2:$A3446, MATCH(B687,'Room Info'!$E$2:$E3446, 0)),if(G687='Room Info'!$F$1, INDEX('Room Info'!$A$2:$A3446, MATCH(B687,'Room Info'!$F$2:$F3446, 0)),if(G687='Room Info'!$H$1, INDEX('Room Info'!$A$2:$A3446, MATCH(B687,'Room Info'!$H$2:$H3446, 0)),if(G687='Room Info'!$G$1, INDEX('Room Info'!$A$2:$A3446, MATCH(B687,'Room Info'!$G$2:$G3446, 0)))))))))</f>
        <v>dimasik</v>
      </c>
      <c r="B687" s="59" t="s">
        <v>189</v>
      </c>
      <c r="C687" s="51">
        <v>44733.0</v>
      </c>
      <c r="D687" s="51">
        <v>44762.0</v>
      </c>
      <c r="E687" s="52">
        <v>44743.0</v>
      </c>
      <c r="F687" s="50" t="s">
        <v>12</v>
      </c>
      <c r="G687" s="59" t="s">
        <v>5</v>
      </c>
      <c r="H687" s="54" t="s">
        <v>101</v>
      </c>
      <c r="I687" s="54" t="s">
        <v>7</v>
      </c>
      <c r="J687" s="55">
        <v>500.0</v>
      </c>
      <c r="K687" s="56">
        <v>18.0</v>
      </c>
      <c r="L687" s="57">
        <v>-5500.0</v>
      </c>
      <c r="M687" s="58">
        <v>256.0</v>
      </c>
      <c r="N687" s="33">
        <f t="shared" si="13"/>
        <v>9000</v>
      </c>
      <c r="O687" s="59">
        <v>-1110.0</v>
      </c>
      <c r="P687" s="34">
        <f t="shared" si="14"/>
        <v>-61.66666667</v>
      </c>
      <c r="Q687" s="60"/>
      <c r="R687" s="36">
        <f t="shared" si="99"/>
        <v>256</v>
      </c>
      <c r="S687" s="71"/>
      <c r="T687" s="37">
        <f t="shared" si="100"/>
        <v>-5244</v>
      </c>
      <c r="U687" s="62">
        <v>1.0</v>
      </c>
      <c r="V687" s="63"/>
      <c r="W687" s="63"/>
      <c r="X687" s="35">
        <f t="shared" si="126"/>
        <v>0.19</v>
      </c>
      <c r="Y687" s="35">
        <f t="shared" si="123"/>
        <v>0</v>
      </c>
      <c r="Z687" s="40">
        <f t="shared" si="127"/>
        <v>-4247.64</v>
      </c>
      <c r="AA687" s="34">
        <f t="shared" si="128"/>
        <v>-996.36</v>
      </c>
      <c r="AB687" s="41">
        <f t="shared" si="109"/>
        <v>0</v>
      </c>
      <c r="AC687" s="42" t="b">
        <v>1</v>
      </c>
      <c r="AD687" s="42" t="s">
        <v>138</v>
      </c>
      <c r="AE687" s="42" t="s">
        <v>138</v>
      </c>
      <c r="AF687" s="42" t="str">
        <f t="array" ref="AF687">INDEX('Deal Info'!D:D, MATCH(A687,'Deal Info'!A:A, 0))</f>
        <v>Fix19</v>
      </c>
      <c r="AG687" s="43" t="str">
        <f t="array" ref="AG687">INDEX('Deal Info'!G:G, MATCH(A687,'Deal Info'!A:A, 0))</f>
        <v>None</v>
      </c>
    </row>
    <row r="688" hidden="1">
      <c r="A688" s="23" t="str">
        <f t="array" ref="A688">if(G688='Room Info'!$B$1, INDEX('Room Info'!$A$2:$A3446, MATCH(B688,'Room Info'!$B$2:$B3446, 0)),if(G688='Room Info'!$C$1, INDEX('Room Info'!$A$2:$A3446, MATCH(B688,'Room Info'!$C$2:$C3446, 0)),if(G688='Room Info'!$D$1, INDEX('Room Info'!$A$2:$A3446, MATCH(B688,'Room Info'!$D$2:$D3446, 0)),if(G688='Room Info'!$E$1, INDEX('Room Info'!$A$2:$A3446, MATCH(B688,'Room Info'!$E$2:$E3446, 0)),if(G688='Room Info'!$F$1, INDEX('Room Info'!$A$2:$A3446, MATCH(B688,'Room Info'!$F$2:$F3446, 0)),if(G688='Room Info'!$H$1, INDEX('Room Info'!$A$2:$A3446, MATCH(B688,'Room Info'!$H$2:$H3446, 0)),if(G688='Room Info'!$G$1, INDEX('Room Info'!$A$2:$A3446, MATCH(B688,'Room Info'!$G$2:$G3446, 0)))))))))</f>
        <v>dimasik</v>
      </c>
      <c r="B688" s="59" t="s">
        <v>189</v>
      </c>
      <c r="C688" s="51">
        <v>44733.0</v>
      </c>
      <c r="D688" s="51">
        <v>44762.0</v>
      </c>
      <c r="E688" s="52">
        <v>44743.0</v>
      </c>
      <c r="F688" s="50" t="s">
        <v>12</v>
      </c>
      <c r="G688" s="59" t="s">
        <v>5</v>
      </c>
      <c r="H688" s="54" t="s">
        <v>102</v>
      </c>
      <c r="I688" s="54" t="s">
        <v>11</v>
      </c>
      <c r="J688" s="55">
        <v>500.0</v>
      </c>
      <c r="K688" s="56">
        <v>15.0</v>
      </c>
      <c r="L688" s="57">
        <v>5000.0</v>
      </c>
      <c r="M688" s="58">
        <v>213.0</v>
      </c>
      <c r="N688" s="33">
        <f t="shared" si="13"/>
        <v>7500</v>
      </c>
      <c r="O688" s="59">
        <v>-925.0</v>
      </c>
      <c r="P688" s="34">
        <f t="shared" si="14"/>
        <v>-61.66666667</v>
      </c>
      <c r="Q688" s="60"/>
      <c r="R688" s="36">
        <f t="shared" si="99"/>
        <v>213</v>
      </c>
      <c r="S688" s="71"/>
      <c r="T688" s="37">
        <f t="shared" si="100"/>
        <v>5213</v>
      </c>
      <c r="U688" s="62">
        <v>1.0</v>
      </c>
      <c r="V688" s="63"/>
      <c r="W688" s="63"/>
      <c r="X688" s="35">
        <f t="shared" si="126"/>
        <v>0.19</v>
      </c>
      <c r="Y688" s="35">
        <f t="shared" si="123"/>
        <v>0</v>
      </c>
      <c r="Z688" s="40">
        <f t="shared" si="127"/>
        <v>4222.53</v>
      </c>
      <c r="AA688" s="34">
        <f t="shared" si="128"/>
        <v>990.47</v>
      </c>
      <c r="AB688" s="41">
        <f t="shared" si="109"/>
        <v>0</v>
      </c>
      <c r="AC688" s="42" t="b">
        <v>1</v>
      </c>
      <c r="AD688" s="42" t="s">
        <v>138</v>
      </c>
      <c r="AE688" s="42" t="s">
        <v>138</v>
      </c>
      <c r="AF688" s="42" t="str">
        <f t="array" ref="AF688">INDEX('Deal Info'!D:D, MATCH(A688,'Deal Info'!A:A, 0))</f>
        <v>Fix19</v>
      </c>
      <c r="AG688" s="43" t="str">
        <f t="array" ref="AG688">INDEX('Deal Info'!G:G, MATCH(A688,'Deal Info'!A:A, 0))</f>
        <v>None</v>
      </c>
    </row>
    <row r="689" hidden="1">
      <c r="A689" s="23" t="str">
        <f t="array" ref="A689">if(G689='Room Info'!$B$1, INDEX('Room Info'!$A$2:$A3446, MATCH(B689,'Room Info'!$B$2:$B3446, 0)),if(G689='Room Info'!$C$1, INDEX('Room Info'!$A$2:$A3446, MATCH(B689,'Room Info'!$C$2:$C3446, 0)),if(G689='Room Info'!$D$1, INDEX('Room Info'!$A$2:$A3446, MATCH(B689,'Room Info'!$D$2:$D3446, 0)),if(G689='Room Info'!$E$1, INDEX('Room Info'!$A$2:$A3446, MATCH(B689,'Room Info'!$E$2:$E3446, 0)),if(G689='Room Info'!$F$1, INDEX('Room Info'!$A$2:$A3446, MATCH(B689,'Room Info'!$F$2:$F3446, 0)),if(G689='Room Info'!$H$1, INDEX('Room Info'!$A$2:$A3446, MATCH(B689,'Room Info'!$H$2:$H3446, 0)),if(G689='Room Info'!$G$1, INDEX('Room Info'!$A$2:$A3446, MATCH(B689,'Room Info'!$G$2:$G3446, 0)))))))))</f>
        <v>dimasik</v>
      </c>
      <c r="B689" s="59" t="s">
        <v>189</v>
      </c>
      <c r="C689" s="51">
        <v>44805.0</v>
      </c>
      <c r="D689" s="51">
        <v>44834.0</v>
      </c>
      <c r="E689" s="52">
        <v>44805.0</v>
      </c>
      <c r="F689" s="50" t="s">
        <v>12</v>
      </c>
      <c r="G689" s="59" t="s">
        <v>5</v>
      </c>
      <c r="H689" s="54" t="s">
        <v>85</v>
      </c>
      <c r="I689" s="54" t="s">
        <v>7</v>
      </c>
      <c r="J689" s="55">
        <v>100.0</v>
      </c>
      <c r="K689" s="56">
        <v>652.0</v>
      </c>
      <c r="L689" s="57">
        <v>200.0</v>
      </c>
      <c r="M689" s="58">
        <v>2842.0</v>
      </c>
      <c r="N689" s="33">
        <f t="shared" si="13"/>
        <v>65200</v>
      </c>
      <c r="O689" s="59">
        <v>24403.0</v>
      </c>
      <c r="P689" s="34">
        <f t="shared" si="14"/>
        <v>37.42791411</v>
      </c>
      <c r="Q689" s="60"/>
      <c r="R689" s="36">
        <f t="shared" si="99"/>
        <v>2842</v>
      </c>
      <c r="S689" s="71"/>
      <c r="T689" s="37">
        <f t="shared" si="100"/>
        <v>3042</v>
      </c>
      <c r="U689" s="62">
        <v>1.0</v>
      </c>
      <c r="V689" s="63"/>
      <c r="W689" s="63"/>
      <c r="X689" s="35">
        <f t="shared" si="126"/>
        <v>0.19</v>
      </c>
      <c r="Y689" s="35">
        <f t="shared" si="123"/>
        <v>0</v>
      </c>
      <c r="Z689" s="40">
        <f t="shared" si="127"/>
        <v>2464.02</v>
      </c>
      <c r="AA689" s="34">
        <f t="shared" si="128"/>
        <v>577.98</v>
      </c>
      <c r="AB689" s="41">
        <f t="shared" si="109"/>
        <v>0</v>
      </c>
      <c r="AC689" s="42" t="b">
        <v>1</v>
      </c>
      <c r="AD689" s="42" t="s">
        <v>138</v>
      </c>
      <c r="AE689" s="42" t="s">
        <v>138</v>
      </c>
      <c r="AF689" s="42" t="str">
        <f t="array" ref="AF689">INDEX('Deal Info'!D:D, MATCH(A689,'Deal Info'!A:A, 0))</f>
        <v>Fix19</v>
      </c>
      <c r="AG689" s="43" t="str">
        <f t="array" ref="AG689">INDEX('Deal Info'!G:G, MATCH(A689,'Deal Info'!A:A, 0))</f>
        <v>None</v>
      </c>
    </row>
    <row r="690" hidden="1">
      <c r="A690" s="23" t="str">
        <f t="array" ref="A690">if(G690='Room Info'!$B$1, INDEX('Room Info'!$A$2:$A3446, MATCH(B690,'Room Info'!$B$2:$B3446, 0)),if(G690='Room Info'!$C$1, INDEX('Room Info'!$A$2:$A3446, MATCH(B690,'Room Info'!$C$2:$C3446, 0)),if(G690='Room Info'!$D$1, INDEX('Room Info'!$A$2:$A3446, MATCH(B690,'Room Info'!$D$2:$D3446, 0)),if(G690='Room Info'!$E$1, INDEX('Room Info'!$A$2:$A3446, MATCH(B690,'Room Info'!$E$2:$E3446, 0)),if(G690='Room Info'!$F$1, INDEX('Room Info'!$A$2:$A3446, MATCH(B690,'Room Info'!$F$2:$F3446, 0)),if(G690='Room Info'!$H$1, INDEX('Room Info'!$A$2:$A3446, MATCH(B690,'Room Info'!$H$2:$H3446, 0)),if(G690='Room Info'!$G$1, INDEX('Room Info'!$A$2:$A3446, MATCH(B690,'Room Info'!$G$2:$G3446, 0)))))))))</f>
        <v>dimasik</v>
      </c>
      <c r="B690" s="59" t="s">
        <v>189</v>
      </c>
      <c r="C690" s="51">
        <v>44805.0</v>
      </c>
      <c r="D690" s="51">
        <v>44834.0</v>
      </c>
      <c r="E690" s="52">
        <v>44805.0</v>
      </c>
      <c r="F690" s="50" t="s">
        <v>12</v>
      </c>
      <c r="G690" s="59" t="s">
        <v>5</v>
      </c>
      <c r="H690" s="54" t="s">
        <v>86</v>
      </c>
      <c r="I690" s="54" t="s">
        <v>11</v>
      </c>
      <c r="J690" s="55">
        <v>100.0</v>
      </c>
      <c r="K690" s="56">
        <v>778.0</v>
      </c>
      <c r="L690" s="57">
        <v>-2200.0</v>
      </c>
      <c r="M690" s="58">
        <v>3391.0</v>
      </c>
      <c r="N690" s="33">
        <f t="shared" si="13"/>
        <v>77800</v>
      </c>
      <c r="O690" s="59">
        <v>29119.0</v>
      </c>
      <c r="P690" s="34">
        <f t="shared" si="14"/>
        <v>37.42802057</v>
      </c>
      <c r="Q690" s="60"/>
      <c r="R690" s="36">
        <f t="shared" si="99"/>
        <v>3391</v>
      </c>
      <c r="S690" s="71"/>
      <c r="T690" s="37">
        <f t="shared" si="100"/>
        <v>1191</v>
      </c>
      <c r="U690" s="62">
        <v>1.0</v>
      </c>
      <c r="V690" s="63"/>
      <c r="W690" s="63"/>
      <c r="X690" s="35">
        <f t="shared" si="126"/>
        <v>0.19</v>
      </c>
      <c r="Y690" s="35">
        <f t="shared" si="123"/>
        <v>0</v>
      </c>
      <c r="Z690" s="40">
        <f t="shared" si="127"/>
        <v>964.71</v>
      </c>
      <c r="AA690" s="34">
        <f t="shared" si="128"/>
        <v>226.29</v>
      </c>
      <c r="AB690" s="41">
        <f t="shared" si="109"/>
        <v>0</v>
      </c>
      <c r="AC690" s="42" t="b">
        <v>1</v>
      </c>
      <c r="AD690" s="42" t="s">
        <v>138</v>
      </c>
      <c r="AE690" s="42" t="s">
        <v>138</v>
      </c>
      <c r="AF690" s="42" t="str">
        <f t="array" ref="AF690">INDEX('Deal Info'!D:D, MATCH(A690,'Deal Info'!A:A, 0))</f>
        <v>Fix19</v>
      </c>
      <c r="AG690" s="43" t="str">
        <f t="array" ref="AG690">INDEX('Deal Info'!G:G, MATCH(A690,'Deal Info'!A:A, 0))</f>
        <v>None</v>
      </c>
    </row>
    <row r="691" hidden="1">
      <c r="A691" s="23" t="str">
        <f t="array" ref="A691">if(G691='Room Info'!$B$1, INDEX('Room Info'!$A$2:$A3446, MATCH(B691,'Room Info'!$B$2:$B3446, 0)),if(G691='Room Info'!$C$1, INDEX('Room Info'!$A$2:$A3446, MATCH(B691,'Room Info'!$C$2:$C3446, 0)),if(G691='Room Info'!$D$1, INDEX('Room Info'!$A$2:$A3446, MATCH(B691,'Room Info'!$D$2:$D3446, 0)),if(G691='Room Info'!$E$1, INDEX('Room Info'!$A$2:$A3446, MATCH(B691,'Room Info'!$E$2:$E3446, 0)),if(G691='Room Info'!$F$1, INDEX('Room Info'!$A$2:$A3446, MATCH(B691,'Room Info'!$F$2:$F3446, 0)),if(G691='Room Info'!$H$1, INDEX('Room Info'!$A$2:$A3446, MATCH(B691,'Room Info'!$H$2:$H3446, 0)),if(G691='Room Info'!$G$1, INDEX('Room Info'!$A$2:$A3446, MATCH(B691,'Room Info'!$G$2:$G3446, 0)))))))))</f>
        <v>dimasik</v>
      </c>
      <c r="B691" s="50" t="s">
        <v>189</v>
      </c>
      <c r="C691" s="51">
        <v>44805.0</v>
      </c>
      <c r="D691" s="51">
        <v>44834.0</v>
      </c>
      <c r="E691" s="52">
        <v>44805.0</v>
      </c>
      <c r="F691" s="53" t="s">
        <v>12</v>
      </c>
      <c r="G691" s="50" t="s">
        <v>5</v>
      </c>
      <c r="H691" s="54" t="s">
        <v>106</v>
      </c>
      <c r="I691" s="54" t="s">
        <v>7</v>
      </c>
      <c r="J691" s="55">
        <v>1000.0</v>
      </c>
      <c r="K691" s="56">
        <v>4.0</v>
      </c>
      <c r="L691" s="57">
        <v>-1000.0</v>
      </c>
      <c r="M691" s="58">
        <v>174.0</v>
      </c>
      <c r="N691" s="33">
        <f t="shared" si="13"/>
        <v>4000</v>
      </c>
      <c r="O691" s="59">
        <v>46.0</v>
      </c>
      <c r="P691" s="34">
        <f t="shared" si="14"/>
        <v>11.5</v>
      </c>
      <c r="Q691" s="60"/>
      <c r="R691" s="36">
        <f t="shared" si="99"/>
        <v>174</v>
      </c>
      <c r="S691" s="71"/>
      <c r="T691" s="37">
        <f t="shared" si="100"/>
        <v>-826</v>
      </c>
      <c r="U691" s="62">
        <v>1.0</v>
      </c>
      <c r="V691" s="63"/>
      <c r="W691" s="63"/>
      <c r="X691" s="35">
        <f t="shared" si="126"/>
        <v>0.19</v>
      </c>
      <c r="Y691" s="35">
        <f t="shared" si="123"/>
        <v>0</v>
      </c>
      <c r="Z691" s="40">
        <f t="shared" si="127"/>
        <v>-669.06</v>
      </c>
      <c r="AA691" s="34">
        <f t="shared" si="128"/>
        <v>-156.94</v>
      </c>
      <c r="AB691" s="41">
        <f t="shared" si="109"/>
        <v>0</v>
      </c>
      <c r="AC691" s="42" t="b">
        <v>1</v>
      </c>
      <c r="AD691" s="42" t="s">
        <v>138</v>
      </c>
      <c r="AE691" s="42" t="s">
        <v>138</v>
      </c>
      <c r="AF691" s="42" t="str">
        <f t="array" ref="AF691">INDEX('Deal Info'!D:D, MATCH(A691,'Deal Info'!A:A, 0))</f>
        <v>Fix19</v>
      </c>
      <c r="AG691" s="43" t="str">
        <f t="array" ref="AG691">INDEX('Deal Info'!G:G, MATCH(A691,'Deal Info'!A:A, 0))</f>
        <v>None</v>
      </c>
    </row>
    <row r="692" hidden="1">
      <c r="A692" s="23" t="str">
        <f t="array" ref="A692">if(G692='Room Info'!$B$1, INDEX('Room Info'!$A$2:$A3446, MATCH(B692,'Room Info'!$B$2:$B3446, 0)),if(G692='Room Info'!$C$1, INDEX('Room Info'!$A$2:$A3446, MATCH(B692,'Room Info'!$C$2:$C3446, 0)),if(G692='Room Info'!$D$1, INDEX('Room Info'!$A$2:$A3446, MATCH(B692,'Room Info'!$D$2:$D3446, 0)),if(G692='Room Info'!$E$1, INDEX('Room Info'!$A$2:$A3446, MATCH(B692,'Room Info'!$E$2:$E3446, 0)),if(G692='Room Info'!$F$1, INDEX('Room Info'!$A$2:$A3446, MATCH(B692,'Room Info'!$F$2:$F3446, 0)),if(G692='Room Info'!$H$1, INDEX('Room Info'!$A$2:$A3446, MATCH(B692,'Room Info'!$H$2:$H3446, 0)),if(G692='Room Info'!$G$1, INDEX('Room Info'!$A$2:$A3446, MATCH(B692,'Room Info'!$G$2:$G3446, 0)))))))))</f>
        <v>dimasik</v>
      </c>
      <c r="B692" s="50" t="s">
        <v>189</v>
      </c>
      <c r="C692" s="51">
        <v>44805.0</v>
      </c>
      <c r="D692" s="51">
        <v>44834.0</v>
      </c>
      <c r="E692" s="52">
        <v>44805.0</v>
      </c>
      <c r="F692" s="53" t="s">
        <v>12</v>
      </c>
      <c r="G692" s="50" t="s">
        <v>5</v>
      </c>
      <c r="H692" s="54" t="s">
        <v>96</v>
      </c>
      <c r="I692" s="54" t="s">
        <v>7</v>
      </c>
      <c r="J692" s="55">
        <v>250.0</v>
      </c>
      <c r="K692" s="56">
        <v>631.0</v>
      </c>
      <c r="L692" s="57">
        <v>3000.0</v>
      </c>
      <c r="M692" s="58">
        <v>6876.0</v>
      </c>
      <c r="N692" s="33">
        <f t="shared" si="13"/>
        <v>157750</v>
      </c>
      <c r="O692" s="59">
        <v>9291.0</v>
      </c>
      <c r="P692" s="34">
        <f t="shared" si="14"/>
        <v>14.72424723</v>
      </c>
      <c r="Q692" s="60"/>
      <c r="R692" s="36">
        <f t="shared" si="99"/>
        <v>6876</v>
      </c>
      <c r="S692" s="71"/>
      <c r="T692" s="37">
        <f t="shared" si="100"/>
        <v>9876</v>
      </c>
      <c r="U692" s="62">
        <v>1.0</v>
      </c>
      <c r="V692" s="63"/>
      <c r="W692" s="63"/>
      <c r="X692" s="35">
        <f t="shared" si="126"/>
        <v>0.19</v>
      </c>
      <c r="Y692" s="35">
        <f t="shared" si="123"/>
        <v>0</v>
      </c>
      <c r="Z692" s="40">
        <f t="shared" si="127"/>
        <v>7999.56</v>
      </c>
      <c r="AA692" s="34">
        <f t="shared" si="128"/>
        <v>1876.44</v>
      </c>
      <c r="AB692" s="41">
        <f t="shared" si="109"/>
        <v>0</v>
      </c>
      <c r="AC692" s="42" t="b">
        <v>1</v>
      </c>
      <c r="AD692" s="42" t="s">
        <v>138</v>
      </c>
      <c r="AE692" s="42" t="s">
        <v>138</v>
      </c>
      <c r="AF692" s="42" t="str">
        <f t="array" ref="AF692">INDEX('Deal Info'!D:D, MATCH(A692,'Deal Info'!A:A, 0))</f>
        <v>Fix19</v>
      </c>
      <c r="AG692" s="43" t="str">
        <f t="array" ref="AG692">INDEX('Deal Info'!G:G, MATCH(A692,'Deal Info'!A:A, 0))</f>
        <v>None</v>
      </c>
    </row>
    <row r="693" hidden="1">
      <c r="A693" s="23" t="str">
        <f t="array" ref="A693">if(G693='Room Info'!$B$1, INDEX('Room Info'!$A$2:$A3446, MATCH(B693,'Room Info'!$B$2:$B3446, 0)),if(G693='Room Info'!$C$1, INDEX('Room Info'!$A$2:$A3446, MATCH(B693,'Room Info'!$C$2:$C3446, 0)),if(G693='Room Info'!$D$1, INDEX('Room Info'!$A$2:$A3446, MATCH(B693,'Room Info'!$D$2:$D3446, 0)),if(G693='Room Info'!$E$1, INDEX('Room Info'!$A$2:$A3446, MATCH(B693,'Room Info'!$E$2:$E3446, 0)),if(G693='Room Info'!$F$1, INDEX('Room Info'!$A$2:$A3446, MATCH(B693,'Room Info'!$F$2:$F3446, 0)),if(G693='Room Info'!$H$1, INDEX('Room Info'!$A$2:$A3446, MATCH(B693,'Room Info'!$H$2:$H3446, 0)),if(G693='Room Info'!$G$1, INDEX('Room Info'!$A$2:$A3446, MATCH(B693,'Room Info'!$G$2:$G3446, 0)))))))))</f>
        <v>dimasik</v>
      </c>
      <c r="B693" s="50" t="s">
        <v>189</v>
      </c>
      <c r="C693" s="51">
        <v>44805.0</v>
      </c>
      <c r="D693" s="51">
        <v>44834.0</v>
      </c>
      <c r="E693" s="52">
        <v>44805.0</v>
      </c>
      <c r="F693" s="50" t="s">
        <v>12</v>
      </c>
      <c r="G693" s="59" t="s">
        <v>5</v>
      </c>
      <c r="H693" s="54" t="s">
        <v>97</v>
      </c>
      <c r="I693" s="54" t="s">
        <v>11</v>
      </c>
      <c r="J693" s="55">
        <v>250.0</v>
      </c>
      <c r="K693" s="56">
        <v>519.0</v>
      </c>
      <c r="L693" s="57">
        <v>-8250.0</v>
      </c>
      <c r="M693" s="58">
        <v>5655.0</v>
      </c>
      <c r="N693" s="33">
        <f t="shared" si="13"/>
        <v>129750</v>
      </c>
      <c r="O693" s="59">
        <v>7641.0</v>
      </c>
      <c r="P693" s="34">
        <f t="shared" si="14"/>
        <v>14.72254335</v>
      </c>
      <c r="Q693" s="60"/>
      <c r="R693" s="36">
        <f t="shared" si="99"/>
        <v>5655</v>
      </c>
      <c r="S693" s="71"/>
      <c r="T693" s="37">
        <f t="shared" si="100"/>
        <v>-2595</v>
      </c>
      <c r="U693" s="62">
        <v>1.0</v>
      </c>
      <c r="V693" s="63"/>
      <c r="W693" s="63"/>
      <c r="X693" s="35">
        <f t="shared" si="126"/>
        <v>0.19</v>
      </c>
      <c r="Y693" s="35">
        <f t="shared" si="123"/>
        <v>0</v>
      </c>
      <c r="Z693" s="40">
        <f t="shared" si="127"/>
        <v>-2101.95</v>
      </c>
      <c r="AA693" s="34">
        <f t="shared" si="128"/>
        <v>-493.05</v>
      </c>
      <c r="AB693" s="41">
        <f t="shared" si="109"/>
        <v>0</v>
      </c>
      <c r="AC693" s="42" t="b">
        <v>1</v>
      </c>
      <c r="AD693" s="42" t="s">
        <v>138</v>
      </c>
      <c r="AE693" s="42" t="s">
        <v>138</v>
      </c>
      <c r="AF693" s="42" t="str">
        <f t="array" ref="AF693">INDEX('Deal Info'!D:D, MATCH(A693,'Deal Info'!A:A, 0))</f>
        <v>Fix19</v>
      </c>
      <c r="AG693" s="43" t="str">
        <f t="array" ref="AG693">INDEX('Deal Info'!G:G, MATCH(A693,'Deal Info'!A:A, 0))</f>
        <v>None</v>
      </c>
    </row>
    <row r="694" hidden="1">
      <c r="A694" s="23" t="str">
        <f t="array" ref="A694">if(G694='Room Info'!$B$1, INDEX('Room Info'!$A$2:$A3446, MATCH(B694,'Room Info'!$B$2:$B3446, 0)),if(G694='Room Info'!$C$1, INDEX('Room Info'!$A$2:$A3446, MATCH(B694,'Room Info'!$C$2:$C3446, 0)),if(G694='Room Info'!$D$1, INDEX('Room Info'!$A$2:$A3446, MATCH(B694,'Room Info'!$D$2:$D3446, 0)),if(G694='Room Info'!$E$1, INDEX('Room Info'!$A$2:$A3446, MATCH(B694,'Room Info'!$E$2:$E3446, 0)),if(G694='Room Info'!$F$1, INDEX('Room Info'!$A$2:$A3446, MATCH(B694,'Room Info'!$F$2:$F3446, 0)),if(G694='Room Info'!$H$1, INDEX('Room Info'!$A$2:$A3446, MATCH(B694,'Room Info'!$H$2:$H3446, 0)),if(G694='Room Info'!$G$1, INDEX('Room Info'!$A$2:$A3446, MATCH(B694,'Room Info'!$G$2:$G3446, 0)))))))))</f>
        <v>dimasik</v>
      </c>
      <c r="B694" s="50" t="s">
        <v>189</v>
      </c>
      <c r="C694" s="51">
        <v>44805.0</v>
      </c>
      <c r="D694" s="51">
        <v>44834.0</v>
      </c>
      <c r="E694" s="52">
        <v>44805.0</v>
      </c>
      <c r="F694" s="50" t="s">
        <v>12</v>
      </c>
      <c r="G694" s="59" t="s">
        <v>5</v>
      </c>
      <c r="H694" s="54" t="s">
        <v>101</v>
      </c>
      <c r="I694" s="54" t="s">
        <v>7</v>
      </c>
      <c r="J694" s="55">
        <v>500.0</v>
      </c>
      <c r="K694" s="56">
        <v>137.0</v>
      </c>
      <c r="L694" s="57">
        <v>-1000.0</v>
      </c>
      <c r="M694" s="58">
        <v>2986.0</v>
      </c>
      <c r="N694" s="33">
        <f t="shared" si="13"/>
        <v>68500</v>
      </c>
      <c r="O694" s="59">
        <v>-2619.0</v>
      </c>
      <c r="P694" s="34">
        <f t="shared" si="14"/>
        <v>-19.11678832</v>
      </c>
      <c r="Q694" s="60"/>
      <c r="R694" s="36">
        <f t="shared" si="99"/>
        <v>2986</v>
      </c>
      <c r="S694" s="71"/>
      <c r="T694" s="37">
        <f t="shared" si="100"/>
        <v>1986</v>
      </c>
      <c r="U694" s="62">
        <v>1.0</v>
      </c>
      <c r="V694" s="63"/>
      <c r="W694" s="63"/>
      <c r="X694" s="35">
        <f t="shared" si="126"/>
        <v>0.19</v>
      </c>
      <c r="Y694" s="35">
        <f t="shared" si="123"/>
        <v>0</v>
      </c>
      <c r="Z694" s="40">
        <f t="shared" si="127"/>
        <v>1608.66</v>
      </c>
      <c r="AA694" s="34">
        <f t="shared" si="128"/>
        <v>377.34</v>
      </c>
      <c r="AB694" s="41">
        <f t="shared" si="109"/>
        <v>0</v>
      </c>
      <c r="AC694" s="42" t="b">
        <v>1</v>
      </c>
      <c r="AD694" s="42" t="s">
        <v>138</v>
      </c>
      <c r="AE694" s="42" t="s">
        <v>138</v>
      </c>
      <c r="AF694" s="42" t="str">
        <f t="array" ref="AF694">INDEX('Deal Info'!D:D, MATCH(A694,'Deal Info'!A:A, 0))</f>
        <v>Fix19</v>
      </c>
      <c r="AG694" s="43" t="str">
        <f t="array" ref="AG694">INDEX('Deal Info'!G:G, MATCH(A694,'Deal Info'!A:A, 0))</f>
        <v>None</v>
      </c>
    </row>
    <row r="695" hidden="1">
      <c r="A695" s="23" t="str">
        <f t="array" ref="A695">if(G695='Room Info'!$B$1, INDEX('Room Info'!$A$2:$A3446, MATCH(B695,'Room Info'!$B$2:$B3446, 0)),if(G695='Room Info'!$C$1, INDEX('Room Info'!$A$2:$A3446, MATCH(B695,'Room Info'!$C$2:$C3446, 0)),if(G695='Room Info'!$D$1, INDEX('Room Info'!$A$2:$A3446, MATCH(B695,'Room Info'!$D$2:$D3446, 0)),if(G695='Room Info'!$E$1, INDEX('Room Info'!$A$2:$A3446, MATCH(B695,'Room Info'!$E$2:$E3446, 0)),if(G695='Room Info'!$F$1, INDEX('Room Info'!$A$2:$A3446, MATCH(B695,'Room Info'!$F$2:$F3446, 0)),if(G695='Room Info'!$H$1, INDEX('Room Info'!$A$2:$A3446, MATCH(B695,'Room Info'!$H$2:$H3446, 0)),if(G695='Room Info'!$G$1, INDEX('Room Info'!$A$2:$A3446, MATCH(B695,'Room Info'!$G$2:$G3446, 0)))))))))</f>
        <v>dimasik</v>
      </c>
      <c r="B695" s="50" t="s">
        <v>189</v>
      </c>
      <c r="C695" s="51">
        <v>44805.0</v>
      </c>
      <c r="D695" s="51">
        <v>44834.0</v>
      </c>
      <c r="E695" s="52">
        <v>44805.0</v>
      </c>
      <c r="F695" s="53" t="s">
        <v>12</v>
      </c>
      <c r="G695" s="50" t="s">
        <v>5</v>
      </c>
      <c r="H695" s="54" t="s">
        <v>102</v>
      </c>
      <c r="I695" s="54" t="s">
        <v>11</v>
      </c>
      <c r="J695" s="55">
        <v>500.0</v>
      </c>
      <c r="K695" s="56">
        <v>54.0</v>
      </c>
      <c r="L695" s="57">
        <v>0.0</v>
      </c>
      <c r="M695" s="58">
        <v>1177.0</v>
      </c>
      <c r="N695" s="33">
        <f t="shared" si="13"/>
        <v>27000</v>
      </c>
      <c r="O695" s="59">
        <v>-1032.0</v>
      </c>
      <c r="P695" s="34">
        <f t="shared" si="14"/>
        <v>-19.11111111</v>
      </c>
      <c r="Q695" s="60"/>
      <c r="R695" s="36">
        <f t="shared" si="99"/>
        <v>1177</v>
      </c>
      <c r="S695" s="71"/>
      <c r="T695" s="37">
        <f t="shared" si="100"/>
        <v>1177</v>
      </c>
      <c r="U695" s="62">
        <v>1.0</v>
      </c>
      <c r="V695" s="63"/>
      <c r="W695" s="63"/>
      <c r="X695" s="35">
        <f t="shared" si="126"/>
        <v>0.19</v>
      </c>
      <c r="Y695" s="35">
        <f t="shared" si="123"/>
        <v>0</v>
      </c>
      <c r="Z695" s="40">
        <f t="shared" si="127"/>
        <v>953.37</v>
      </c>
      <c r="AA695" s="34">
        <f t="shared" si="128"/>
        <v>223.63</v>
      </c>
      <c r="AB695" s="41">
        <f t="shared" si="109"/>
        <v>0</v>
      </c>
      <c r="AC695" s="42" t="b">
        <v>1</v>
      </c>
      <c r="AD695" s="42" t="s">
        <v>138</v>
      </c>
      <c r="AE695" s="42" t="s">
        <v>138</v>
      </c>
      <c r="AF695" s="42" t="str">
        <f t="array" ref="AF695">INDEX('Deal Info'!D:D, MATCH(A695,'Deal Info'!A:A, 0))</f>
        <v>Fix19</v>
      </c>
      <c r="AG695" s="43" t="str">
        <f t="array" ref="AG695">INDEX('Deal Info'!G:G, MATCH(A695,'Deal Info'!A:A, 0))</f>
        <v>None</v>
      </c>
    </row>
    <row r="696" hidden="1">
      <c r="A696" s="23" t="str">
        <f t="array" ref="A696">if(G696='Room Info'!$B$1, INDEX('Room Info'!$A$2:$A3446, MATCH(B696,'Room Info'!$B$2:$B3446, 0)),if(G696='Room Info'!$C$1, INDEX('Room Info'!$A$2:$A3446, MATCH(B696,'Room Info'!$C$2:$C3446, 0)),if(G696='Room Info'!$D$1, INDEX('Room Info'!$A$2:$A3446, MATCH(B696,'Room Info'!$D$2:$D3446, 0)),if(G696='Room Info'!$E$1, INDEX('Room Info'!$A$2:$A3446, MATCH(B696,'Room Info'!$E$2:$E3446, 0)),if(G696='Room Info'!$F$1, INDEX('Room Info'!$A$2:$A3446, MATCH(B696,'Room Info'!$F$2:$F3446, 0)),if(G696='Room Info'!$H$1, INDEX('Room Info'!$A$2:$A3446, MATCH(B696,'Room Info'!$H$2:$H3446, 0)),if(G696='Room Info'!$G$1, INDEX('Room Info'!$A$2:$A3446, MATCH(B696,'Room Info'!$G$2:$G3446, 0)))))))))</f>
        <v>dimasik</v>
      </c>
      <c r="B696" s="50" t="s">
        <v>189</v>
      </c>
      <c r="C696" s="51">
        <v>44835.0</v>
      </c>
      <c r="D696" s="51">
        <v>44865.0</v>
      </c>
      <c r="E696" s="52">
        <v>44835.0</v>
      </c>
      <c r="F696" s="53" t="s">
        <v>12</v>
      </c>
      <c r="G696" s="50" t="s">
        <v>5</v>
      </c>
      <c r="H696" s="54" t="s">
        <v>28</v>
      </c>
      <c r="I696" s="54" t="s">
        <v>7</v>
      </c>
      <c r="J696" s="55">
        <v>2.0</v>
      </c>
      <c r="K696" s="56">
        <v>1.0</v>
      </c>
      <c r="L696" s="57">
        <v>4.0</v>
      </c>
      <c r="M696" s="67"/>
      <c r="N696" s="33">
        <f t="shared" si="13"/>
        <v>2</v>
      </c>
      <c r="O696" s="70"/>
      <c r="P696" s="34">
        <f t="shared" si="14"/>
        <v>0</v>
      </c>
      <c r="Q696" s="60"/>
      <c r="R696" s="36">
        <f t="shared" si="99"/>
        <v>0</v>
      </c>
      <c r="S696" s="71"/>
      <c r="T696" s="37">
        <f t="shared" si="100"/>
        <v>4</v>
      </c>
      <c r="U696" s="62">
        <v>1.0</v>
      </c>
      <c r="V696" s="63"/>
      <c r="W696" s="63"/>
      <c r="X696" s="35">
        <f t="shared" si="126"/>
        <v>0.19</v>
      </c>
      <c r="Y696" s="35">
        <f t="shared" si="123"/>
        <v>0</v>
      </c>
      <c r="Z696" s="40">
        <f t="shared" si="127"/>
        <v>3.24</v>
      </c>
      <c r="AA696" s="34">
        <f t="shared" si="128"/>
        <v>0.76</v>
      </c>
      <c r="AB696" s="41">
        <f t="shared" si="109"/>
        <v>0</v>
      </c>
      <c r="AC696" s="42" t="b">
        <v>1</v>
      </c>
      <c r="AD696" s="42" t="s">
        <v>138</v>
      </c>
      <c r="AE696" s="42" t="s">
        <v>138</v>
      </c>
      <c r="AF696" s="42" t="str">
        <f t="array" ref="AF696">INDEX('Deal Info'!D:D, MATCH(A696,'Deal Info'!A:A, 0))</f>
        <v>Fix19</v>
      </c>
      <c r="AG696" s="43" t="str">
        <f t="array" ref="AG696">INDEX('Deal Info'!G:G, MATCH(A696,'Deal Info'!A:A, 0))</f>
        <v>None</v>
      </c>
    </row>
    <row r="697" hidden="1">
      <c r="A697" s="23" t="str">
        <f t="array" ref="A697">if(G697='Room Info'!$B$1, INDEX('Room Info'!$A$2:$A3446, MATCH(B697,'Room Info'!$B$2:$B3446, 0)),if(G697='Room Info'!$C$1, INDEX('Room Info'!$A$2:$A3446, MATCH(B697,'Room Info'!$C$2:$C3446, 0)),if(G697='Room Info'!$D$1, INDEX('Room Info'!$A$2:$A3446, MATCH(B697,'Room Info'!$D$2:$D3446, 0)),if(G697='Room Info'!$E$1, INDEX('Room Info'!$A$2:$A3446, MATCH(B697,'Room Info'!$E$2:$E3446, 0)),if(G697='Room Info'!$F$1, INDEX('Room Info'!$A$2:$A3446, MATCH(B697,'Room Info'!$F$2:$F3446, 0)),if(G697='Room Info'!$H$1, INDEX('Room Info'!$A$2:$A3446, MATCH(B697,'Room Info'!$H$2:$H3446, 0)),if(G697='Room Info'!$G$1, INDEX('Room Info'!$A$2:$A3446, MATCH(B697,'Room Info'!$G$2:$G3446, 0)))))))))</f>
        <v>dimasik</v>
      </c>
      <c r="B697" s="50" t="s">
        <v>189</v>
      </c>
      <c r="C697" s="51">
        <v>44835.0</v>
      </c>
      <c r="D697" s="51">
        <v>44865.0</v>
      </c>
      <c r="E697" s="52">
        <v>44835.0</v>
      </c>
      <c r="F697" s="53" t="s">
        <v>12</v>
      </c>
      <c r="G697" s="50" t="s">
        <v>5</v>
      </c>
      <c r="H697" s="54" t="s">
        <v>86</v>
      </c>
      <c r="I697" s="54" t="s">
        <v>11</v>
      </c>
      <c r="J697" s="55">
        <v>100.0</v>
      </c>
      <c r="K697" s="56">
        <v>1428.0</v>
      </c>
      <c r="L697" s="57">
        <v>-11400.0</v>
      </c>
      <c r="M697" s="58">
        <v>5454.0</v>
      </c>
      <c r="N697" s="33">
        <f t="shared" si="13"/>
        <v>142800</v>
      </c>
      <c r="O697" s="70"/>
      <c r="P697" s="34">
        <f t="shared" si="14"/>
        <v>0</v>
      </c>
      <c r="Q697" s="60"/>
      <c r="R697" s="36">
        <f t="shared" si="99"/>
        <v>5454</v>
      </c>
      <c r="S697" s="71"/>
      <c r="T697" s="37">
        <f t="shared" si="100"/>
        <v>-5946</v>
      </c>
      <c r="U697" s="62">
        <v>1.0</v>
      </c>
      <c r="V697" s="63"/>
      <c r="W697" s="63"/>
      <c r="X697" s="35">
        <f t="shared" si="126"/>
        <v>0.19</v>
      </c>
      <c r="Y697" s="35">
        <f t="shared" si="123"/>
        <v>0</v>
      </c>
      <c r="Z697" s="40">
        <f t="shared" si="127"/>
        <v>-4816.26</v>
      </c>
      <c r="AA697" s="34">
        <f t="shared" si="128"/>
        <v>-1129.74</v>
      </c>
      <c r="AB697" s="41">
        <f t="shared" si="109"/>
        <v>0</v>
      </c>
      <c r="AC697" s="42" t="b">
        <v>1</v>
      </c>
      <c r="AD697" s="42" t="s">
        <v>138</v>
      </c>
      <c r="AE697" s="42" t="s">
        <v>138</v>
      </c>
      <c r="AF697" s="42" t="str">
        <f t="array" ref="AF697">INDEX('Deal Info'!D:D, MATCH(A697,'Deal Info'!A:A, 0))</f>
        <v>Fix19</v>
      </c>
      <c r="AG697" s="43" t="str">
        <f t="array" ref="AG697">INDEX('Deal Info'!G:G, MATCH(A697,'Deal Info'!A:A, 0))</f>
        <v>None</v>
      </c>
    </row>
    <row r="698" hidden="1">
      <c r="A698" s="23" t="str">
        <f t="array" ref="A698">if(G698='Room Info'!$B$1, INDEX('Room Info'!$A$2:$A3446, MATCH(B698,'Room Info'!$B$2:$B3446, 0)),if(G698='Room Info'!$C$1, INDEX('Room Info'!$A$2:$A3446, MATCH(B698,'Room Info'!$C$2:$C3446, 0)),if(G698='Room Info'!$D$1, INDEX('Room Info'!$A$2:$A3446, MATCH(B698,'Room Info'!$D$2:$D3446, 0)),if(G698='Room Info'!$E$1, INDEX('Room Info'!$A$2:$A3446, MATCH(B698,'Room Info'!$E$2:$E3446, 0)),if(G698='Room Info'!$F$1, INDEX('Room Info'!$A$2:$A3446, MATCH(B698,'Room Info'!$F$2:$F3446, 0)),if(G698='Room Info'!$H$1, INDEX('Room Info'!$A$2:$A3446, MATCH(B698,'Room Info'!$H$2:$H3446, 0)),if(G698='Room Info'!$G$1, INDEX('Room Info'!$A$2:$A3446, MATCH(B698,'Room Info'!$G$2:$G3446, 0)))))))))</f>
        <v>dimasik</v>
      </c>
      <c r="B698" s="50" t="s">
        <v>189</v>
      </c>
      <c r="C698" s="51">
        <v>44835.0</v>
      </c>
      <c r="D698" s="51">
        <v>44865.0</v>
      </c>
      <c r="E698" s="52">
        <v>44835.0</v>
      </c>
      <c r="F698" s="53" t="s">
        <v>12</v>
      </c>
      <c r="G698" s="50" t="s">
        <v>5</v>
      </c>
      <c r="H698" s="54" t="s">
        <v>96</v>
      </c>
      <c r="I698" s="54" t="s">
        <v>7</v>
      </c>
      <c r="J698" s="55">
        <v>250.0</v>
      </c>
      <c r="K698" s="56">
        <v>745.0</v>
      </c>
      <c r="L698" s="57">
        <v>9250.0</v>
      </c>
      <c r="M698" s="58">
        <v>7114.0</v>
      </c>
      <c r="N698" s="33">
        <f t="shared" si="13"/>
        <v>186250</v>
      </c>
      <c r="O698" s="70"/>
      <c r="P698" s="34">
        <f t="shared" si="14"/>
        <v>0</v>
      </c>
      <c r="Q698" s="60"/>
      <c r="R698" s="36">
        <f t="shared" si="99"/>
        <v>7114</v>
      </c>
      <c r="S698" s="71"/>
      <c r="T698" s="37">
        <f t="shared" si="100"/>
        <v>16364</v>
      </c>
      <c r="U698" s="62">
        <v>1.0</v>
      </c>
      <c r="V698" s="63"/>
      <c r="W698" s="63"/>
      <c r="X698" s="35">
        <f t="shared" si="126"/>
        <v>0.19</v>
      </c>
      <c r="Y698" s="35">
        <f t="shared" si="123"/>
        <v>0</v>
      </c>
      <c r="Z698" s="40">
        <f t="shared" si="127"/>
        <v>13254.84</v>
      </c>
      <c r="AA698" s="34">
        <f t="shared" si="128"/>
        <v>3109.16</v>
      </c>
      <c r="AB698" s="41">
        <f t="shared" si="109"/>
        <v>0</v>
      </c>
      <c r="AC698" s="42" t="b">
        <v>1</v>
      </c>
      <c r="AD698" s="42" t="s">
        <v>138</v>
      </c>
      <c r="AE698" s="42" t="s">
        <v>138</v>
      </c>
      <c r="AF698" s="42" t="str">
        <f t="array" ref="AF698">INDEX('Deal Info'!D:D, MATCH(A698,'Deal Info'!A:A, 0))</f>
        <v>Fix19</v>
      </c>
      <c r="AG698" s="43" t="str">
        <f t="array" ref="AG698">INDEX('Deal Info'!G:G, MATCH(A698,'Deal Info'!A:A, 0))</f>
        <v>None</v>
      </c>
    </row>
    <row r="699" hidden="1">
      <c r="A699" s="23" t="str">
        <f t="array" ref="A699">if(G699='Room Info'!$B$1, INDEX('Room Info'!$A$2:$A3446, MATCH(B699,'Room Info'!$B$2:$B3446, 0)),if(G699='Room Info'!$C$1, INDEX('Room Info'!$A$2:$A3446, MATCH(B699,'Room Info'!$C$2:$C3446, 0)),if(G699='Room Info'!$D$1, INDEX('Room Info'!$A$2:$A3446, MATCH(B699,'Room Info'!$D$2:$D3446, 0)),if(G699='Room Info'!$E$1, INDEX('Room Info'!$A$2:$A3446, MATCH(B699,'Room Info'!$E$2:$E3446, 0)),if(G699='Room Info'!$F$1, INDEX('Room Info'!$A$2:$A3446, MATCH(B699,'Room Info'!$F$2:$F3446, 0)),if(G699='Room Info'!$H$1, INDEX('Room Info'!$A$2:$A3446, MATCH(B699,'Room Info'!$H$2:$H3446, 0)),if(G699='Room Info'!$G$1, INDEX('Room Info'!$A$2:$A3446, MATCH(B699,'Room Info'!$G$2:$G3446, 0)))))))))</f>
        <v>dimasik</v>
      </c>
      <c r="B699" s="50" t="s">
        <v>189</v>
      </c>
      <c r="C699" s="51">
        <v>44835.0</v>
      </c>
      <c r="D699" s="51">
        <v>44865.0</v>
      </c>
      <c r="E699" s="52">
        <v>44835.0</v>
      </c>
      <c r="F699" s="53" t="s">
        <v>12</v>
      </c>
      <c r="G699" s="50" t="s">
        <v>5</v>
      </c>
      <c r="H699" s="54" t="s">
        <v>106</v>
      </c>
      <c r="I699" s="54" t="s">
        <v>7</v>
      </c>
      <c r="J699" s="55">
        <v>1000.0</v>
      </c>
      <c r="K699" s="56">
        <v>1.0</v>
      </c>
      <c r="L699" s="57">
        <v>-1000.0</v>
      </c>
      <c r="M699" s="58">
        <v>38.0</v>
      </c>
      <c r="N699" s="33">
        <f t="shared" si="13"/>
        <v>1000</v>
      </c>
      <c r="O699" s="70"/>
      <c r="P699" s="34">
        <f t="shared" si="14"/>
        <v>0</v>
      </c>
      <c r="Q699" s="60"/>
      <c r="R699" s="36">
        <f t="shared" si="99"/>
        <v>38</v>
      </c>
      <c r="S699" s="71"/>
      <c r="T699" s="37">
        <f t="shared" si="100"/>
        <v>-962</v>
      </c>
      <c r="U699" s="62">
        <v>1.0</v>
      </c>
      <c r="V699" s="63"/>
      <c r="W699" s="63"/>
      <c r="X699" s="35">
        <f t="shared" si="126"/>
        <v>0.19</v>
      </c>
      <c r="Y699" s="35">
        <f t="shared" si="123"/>
        <v>0</v>
      </c>
      <c r="Z699" s="40">
        <f t="shared" si="127"/>
        <v>-779.22</v>
      </c>
      <c r="AA699" s="34">
        <f t="shared" si="128"/>
        <v>-182.78</v>
      </c>
      <c r="AB699" s="41">
        <f t="shared" si="109"/>
        <v>0</v>
      </c>
      <c r="AC699" s="42" t="b">
        <v>1</v>
      </c>
      <c r="AD699" s="42" t="s">
        <v>138</v>
      </c>
      <c r="AE699" s="42" t="s">
        <v>138</v>
      </c>
      <c r="AF699" s="42" t="str">
        <f t="array" ref="AF699">INDEX('Deal Info'!D:D, MATCH(A699,'Deal Info'!A:A, 0))</f>
        <v>Fix19</v>
      </c>
      <c r="AG699" s="43" t="str">
        <f t="array" ref="AG699">INDEX('Deal Info'!G:G, MATCH(A699,'Deal Info'!A:A, 0))</f>
        <v>None</v>
      </c>
    </row>
    <row r="700" hidden="1">
      <c r="A700" s="23" t="str">
        <f t="array" ref="A700">if(G700='Room Info'!$B$1, INDEX('Room Info'!$A$2:$A3446, MATCH(B700,'Room Info'!$B$2:$B3446, 0)),if(G700='Room Info'!$C$1, INDEX('Room Info'!$A$2:$A3446, MATCH(B700,'Room Info'!$C$2:$C3446, 0)),if(G700='Room Info'!$D$1, INDEX('Room Info'!$A$2:$A3446, MATCH(B700,'Room Info'!$D$2:$D3446, 0)),if(G700='Room Info'!$E$1, INDEX('Room Info'!$A$2:$A3446, MATCH(B700,'Room Info'!$E$2:$E3446, 0)),if(G700='Room Info'!$F$1, INDEX('Room Info'!$A$2:$A3446, MATCH(B700,'Room Info'!$F$2:$F3446, 0)),if(G700='Room Info'!$H$1, INDEX('Room Info'!$A$2:$A3446, MATCH(B700,'Room Info'!$H$2:$H3446, 0)),if(G700='Room Info'!$G$1, INDEX('Room Info'!$A$2:$A3446, MATCH(B700,'Room Info'!$G$2:$G3446, 0)))))))))</f>
        <v>dimasik</v>
      </c>
      <c r="B700" s="50" t="s">
        <v>189</v>
      </c>
      <c r="C700" s="51">
        <v>44835.0</v>
      </c>
      <c r="D700" s="51">
        <v>44865.0</v>
      </c>
      <c r="E700" s="52">
        <v>44835.0</v>
      </c>
      <c r="F700" s="53" t="s">
        <v>12</v>
      </c>
      <c r="G700" s="50" t="s">
        <v>5</v>
      </c>
      <c r="H700" s="54" t="s">
        <v>102</v>
      </c>
      <c r="I700" s="54" t="s">
        <v>11</v>
      </c>
      <c r="J700" s="55">
        <v>500.0</v>
      </c>
      <c r="K700" s="56">
        <v>19.0</v>
      </c>
      <c r="L700" s="57">
        <v>-1000.0</v>
      </c>
      <c r="M700" s="58">
        <v>363.0</v>
      </c>
      <c r="N700" s="33">
        <f t="shared" si="13"/>
        <v>9500</v>
      </c>
      <c r="O700" s="70"/>
      <c r="P700" s="34">
        <f t="shared" si="14"/>
        <v>0</v>
      </c>
      <c r="Q700" s="60"/>
      <c r="R700" s="36">
        <f t="shared" si="99"/>
        <v>363</v>
      </c>
      <c r="S700" s="71"/>
      <c r="T700" s="37">
        <f t="shared" si="100"/>
        <v>-637</v>
      </c>
      <c r="U700" s="62">
        <v>1.0</v>
      </c>
      <c r="V700" s="63"/>
      <c r="W700" s="63"/>
      <c r="X700" s="35">
        <f t="shared" si="126"/>
        <v>0.19</v>
      </c>
      <c r="Y700" s="35">
        <f t="shared" si="123"/>
        <v>0</v>
      </c>
      <c r="Z700" s="40">
        <f t="shared" si="127"/>
        <v>-515.97</v>
      </c>
      <c r="AA700" s="34">
        <f t="shared" si="128"/>
        <v>-121.03</v>
      </c>
      <c r="AB700" s="41">
        <f t="shared" si="109"/>
        <v>0</v>
      </c>
      <c r="AC700" s="42" t="b">
        <v>1</v>
      </c>
      <c r="AD700" s="42" t="s">
        <v>138</v>
      </c>
      <c r="AE700" s="42" t="s">
        <v>138</v>
      </c>
      <c r="AF700" s="42" t="str">
        <f t="array" ref="AF700">INDEX('Deal Info'!D:D, MATCH(A700,'Deal Info'!A:A, 0))</f>
        <v>Fix19</v>
      </c>
      <c r="AG700" s="43" t="str">
        <f t="array" ref="AG700">INDEX('Deal Info'!G:G, MATCH(A700,'Deal Info'!A:A, 0))</f>
        <v>None</v>
      </c>
    </row>
    <row r="701" hidden="1">
      <c r="A701" s="23" t="str">
        <f t="array" ref="A701">if(G701='Room Info'!$B$1, INDEX('Room Info'!$A$2:$A3446, MATCH(B701,'Room Info'!$B$2:$B3446, 0)),if(G701='Room Info'!$C$1, INDEX('Room Info'!$A$2:$A3446, MATCH(B701,'Room Info'!$C$2:$C3446, 0)),if(G701='Room Info'!$D$1, INDEX('Room Info'!$A$2:$A3446, MATCH(B701,'Room Info'!$D$2:$D3446, 0)),if(G701='Room Info'!$E$1, INDEX('Room Info'!$A$2:$A3446, MATCH(B701,'Room Info'!$E$2:$E3446, 0)),if(G701='Room Info'!$F$1, INDEX('Room Info'!$A$2:$A3446, MATCH(B701,'Room Info'!$F$2:$F3446, 0)),if(G701='Room Info'!$H$1, INDEX('Room Info'!$A$2:$A3446, MATCH(B701,'Room Info'!$H$2:$H3446, 0)),if(G701='Room Info'!$G$1, INDEX('Room Info'!$A$2:$A3446, MATCH(B701,'Room Info'!$G$2:$G3446, 0)))))))))</f>
        <v>dimasik</v>
      </c>
      <c r="B701" s="50" t="s">
        <v>189</v>
      </c>
      <c r="C701" s="51">
        <v>44835.0</v>
      </c>
      <c r="D701" s="51">
        <v>44865.0</v>
      </c>
      <c r="E701" s="52">
        <v>44835.0</v>
      </c>
      <c r="F701" s="53" t="s">
        <v>12</v>
      </c>
      <c r="G701" s="50" t="s">
        <v>5</v>
      </c>
      <c r="H701" s="54" t="s">
        <v>97</v>
      </c>
      <c r="I701" s="54" t="s">
        <v>11</v>
      </c>
      <c r="J701" s="55">
        <v>250.0</v>
      </c>
      <c r="K701" s="56">
        <v>497.0</v>
      </c>
      <c r="L701" s="57">
        <v>-10500.0</v>
      </c>
      <c r="M701" s="58">
        <v>4745.0</v>
      </c>
      <c r="N701" s="33">
        <f t="shared" si="13"/>
        <v>124250</v>
      </c>
      <c r="O701" s="70"/>
      <c r="P701" s="34">
        <f t="shared" si="14"/>
        <v>0</v>
      </c>
      <c r="Q701" s="60"/>
      <c r="R701" s="36">
        <f t="shared" si="99"/>
        <v>4745</v>
      </c>
      <c r="S701" s="71"/>
      <c r="T701" s="37">
        <f t="shared" si="100"/>
        <v>-5755</v>
      </c>
      <c r="U701" s="62">
        <v>1.0</v>
      </c>
      <c r="V701" s="63"/>
      <c r="W701" s="63"/>
      <c r="X701" s="35">
        <f t="shared" si="126"/>
        <v>0.19</v>
      </c>
      <c r="Y701" s="35">
        <f t="shared" si="123"/>
        <v>0</v>
      </c>
      <c r="Z701" s="40">
        <f t="shared" si="127"/>
        <v>-4661.55</v>
      </c>
      <c r="AA701" s="34">
        <f t="shared" si="128"/>
        <v>-1093.45</v>
      </c>
      <c r="AB701" s="41">
        <f t="shared" si="109"/>
        <v>0</v>
      </c>
      <c r="AC701" s="42" t="b">
        <v>1</v>
      </c>
      <c r="AD701" s="42" t="s">
        <v>138</v>
      </c>
      <c r="AE701" s="42" t="s">
        <v>138</v>
      </c>
      <c r="AF701" s="42" t="str">
        <f t="array" ref="AF701">INDEX('Deal Info'!D:D, MATCH(A701,'Deal Info'!A:A, 0))</f>
        <v>Fix19</v>
      </c>
      <c r="AG701" s="43" t="str">
        <f t="array" ref="AG701">INDEX('Deal Info'!G:G, MATCH(A701,'Deal Info'!A:A, 0))</f>
        <v>None</v>
      </c>
    </row>
    <row r="702" hidden="1">
      <c r="A702" s="23" t="str">
        <f t="array" ref="A702">if(G702='Room Info'!$B$1, INDEX('Room Info'!$A$2:$A3446, MATCH(B702,'Room Info'!$B$2:$B3446, 0)),if(G702='Room Info'!$C$1, INDEX('Room Info'!$A$2:$A3446, MATCH(B702,'Room Info'!$C$2:$C3446, 0)),if(G702='Room Info'!$D$1, INDEX('Room Info'!$A$2:$A3446, MATCH(B702,'Room Info'!$D$2:$D3446, 0)),if(G702='Room Info'!$E$1, INDEX('Room Info'!$A$2:$A3446, MATCH(B702,'Room Info'!$E$2:$E3446, 0)),if(G702='Room Info'!$F$1, INDEX('Room Info'!$A$2:$A3446, MATCH(B702,'Room Info'!$F$2:$F3446, 0)),if(G702='Room Info'!$H$1, INDEX('Room Info'!$A$2:$A3446, MATCH(B702,'Room Info'!$H$2:$H3446, 0)),if(G702='Room Info'!$G$1, INDEX('Room Info'!$A$2:$A3446, MATCH(B702,'Room Info'!$G$2:$G3446, 0)))))))))</f>
        <v>dimasik</v>
      </c>
      <c r="B702" s="50" t="s">
        <v>189</v>
      </c>
      <c r="C702" s="51">
        <v>44835.0</v>
      </c>
      <c r="D702" s="51">
        <v>44865.0</v>
      </c>
      <c r="E702" s="52">
        <v>44835.0</v>
      </c>
      <c r="F702" s="53" t="s">
        <v>12</v>
      </c>
      <c r="G702" s="50" t="s">
        <v>5</v>
      </c>
      <c r="H702" s="54" t="s">
        <v>85</v>
      </c>
      <c r="I702" s="54" t="s">
        <v>7</v>
      </c>
      <c r="J702" s="55">
        <v>100.0</v>
      </c>
      <c r="K702" s="56">
        <v>119.0</v>
      </c>
      <c r="L702" s="57">
        <v>2100.0</v>
      </c>
      <c r="M702" s="58">
        <v>455.0</v>
      </c>
      <c r="N702" s="33">
        <f t="shared" si="13"/>
        <v>11900</v>
      </c>
      <c r="O702" s="70"/>
      <c r="P702" s="34">
        <f t="shared" si="14"/>
        <v>0</v>
      </c>
      <c r="Q702" s="60"/>
      <c r="R702" s="36">
        <f t="shared" si="99"/>
        <v>455</v>
      </c>
      <c r="S702" s="71"/>
      <c r="T702" s="37">
        <f t="shared" si="100"/>
        <v>2555</v>
      </c>
      <c r="U702" s="62">
        <v>1.0</v>
      </c>
      <c r="V702" s="63"/>
      <c r="W702" s="63"/>
      <c r="X702" s="35">
        <f t="shared" si="126"/>
        <v>0.19</v>
      </c>
      <c r="Y702" s="35">
        <f t="shared" si="123"/>
        <v>0</v>
      </c>
      <c r="Z702" s="40">
        <f t="shared" si="127"/>
        <v>2069.55</v>
      </c>
      <c r="AA702" s="34">
        <f t="shared" si="128"/>
        <v>485.45</v>
      </c>
      <c r="AB702" s="41">
        <f t="shared" si="109"/>
        <v>0</v>
      </c>
      <c r="AC702" s="42" t="b">
        <v>1</v>
      </c>
      <c r="AD702" s="42" t="s">
        <v>138</v>
      </c>
      <c r="AE702" s="42" t="s">
        <v>138</v>
      </c>
      <c r="AF702" s="42" t="str">
        <f t="array" ref="AF702">INDEX('Deal Info'!D:D, MATCH(A702,'Deal Info'!A:A, 0))</f>
        <v>Fix19</v>
      </c>
      <c r="AG702" s="43" t="str">
        <f t="array" ref="AG702">INDEX('Deal Info'!G:G, MATCH(A702,'Deal Info'!A:A, 0))</f>
        <v>None</v>
      </c>
    </row>
    <row r="703" hidden="1">
      <c r="A703" s="23" t="str">
        <f t="array" ref="A703">if(G703='Room Info'!$B$1, INDEX('Room Info'!$A$2:$A3446, MATCH(B703,'Room Info'!$B$2:$B3446, 0)),if(G703='Room Info'!$C$1, INDEX('Room Info'!$A$2:$A3446, MATCH(B703,'Room Info'!$C$2:$C3446, 0)),if(G703='Room Info'!$D$1, INDEX('Room Info'!$A$2:$A3446, MATCH(B703,'Room Info'!$D$2:$D3446, 0)),if(G703='Room Info'!$E$1, INDEX('Room Info'!$A$2:$A3446, MATCH(B703,'Room Info'!$E$2:$E3446, 0)),if(G703='Room Info'!$F$1, INDEX('Room Info'!$A$2:$A3446, MATCH(B703,'Room Info'!$F$2:$F3446, 0)),if(G703='Room Info'!$H$1, INDEX('Room Info'!$A$2:$A3446, MATCH(B703,'Room Info'!$H$2:$H3446, 0)),if(G703='Room Info'!$G$1, INDEX('Room Info'!$A$2:$A3446, MATCH(B703,'Room Info'!$G$2:$G3446, 0)))))))))</f>
        <v>dimasik</v>
      </c>
      <c r="B703" s="50" t="s">
        <v>189</v>
      </c>
      <c r="C703" s="51">
        <v>44835.0</v>
      </c>
      <c r="D703" s="51">
        <v>44865.0</v>
      </c>
      <c r="E703" s="52">
        <v>44835.0</v>
      </c>
      <c r="F703" s="53" t="s">
        <v>12</v>
      </c>
      <c r="G703" s="50" t="s">
        <v>5</v>
      </c>
      <c r="H703" s="54" t="s">
        <v>101</v>
      </c>
      <c r="I703" s="54" t="s">
        <v>7</v>
      </c>
      <c r="J703" s="55">
        <v>500.0</v>
      </c>
      <c r="K703" s="56">
        <v>115.0</v>
      </c>
      <c r="L703" s="57">
        <v>3500.0</v>
      </c>
      <c r="M703" s="58">
        <v>2196.0</v>
      </c>
      <c r="N703" s="33">
        <f t="shared" si="13"/>
        <v>57500</v>
      </c>
      <c r="O703" s="70"/>
      <c r="P703" s="34">
        <f t="shared" si="14"/>
        <v>0</v>
      </c>
      <c r="Q703" s="60"/>
      <c r="R703" s="36">
        <f t="shared" si="99"/>
        <v>2196</v>
      </c>
      <c r="S703" s="71"/>
      <c r="T703" s="37">
        <f t="shared" si="100"/>
        <v>5696</v>
      </c>
      <c r="U703" s="62">
        <v>1.0</v>
      </c>
      <c r="V703" s="63"/>
      <c r="W703" s="63"/>
      <c r="X703" s="35">
        <f t="shared" si="126"/>
        <v>0.19</v>
      </c>
      <c r="Y703" s="35">
        <f t="shared" si="123"/>
        <v>0</v>
      </c>
      <c r="Z703" s="40">
        <f t="shared" si="127"/>
        <v>4613.76</v>
      </c>
      <c r="AA703" s="34">
        <f t="shared" si="128"/>
        <v>1082.24</v>
      </c>
      <c r="AB703" s="41">
        <f t="shared" si="109"/>
        <v>0</v>
      </c>
      <c r="AC703" s="42" t="b">
        <v>1</v>
      </c>
      <c r="AD703" s="42" t="s">
        <v>138</v>
      </c>
      <c r="AE703" s="42" t="s">
        <v>138</v>
      </c>
      <c r="AF703" s="42" t="str">
        <f t="array" ref="AF703">INDEX('Deal Info'!D:D, MATCH(A703,'Deal Info'!A:A, 0))</f>
        <v>Fix19</v>
      </c>
      <c r="AG703" s="43" t="str">
        <f t="array" ref="AG703">INDEX('Deal Info'!G:G, MATCH(A703,'Deal Info'!A:A, 0))</f>
        <v>None</v>
      </c>
    </row>
    <row r="704" hidden="1">
      <c r="A704" s="23" t="str">
        <f t="array" ref="A704">if(G704='Room Info'!$B$1, INDEX('Room Info'!$A$2:$A3446, MATCH(B704,'Room Info'!$B$2:$B3446, 0)),if(G704='Room Info'!$C$1, INDEX('Room Info'!$A$2:$A3446, MATCH(B704,'Room Info'!$C$2:$C3446, 0)),if(G704='Room Info'!$D$1, INDEX('Room Info'!$A$2:$A3446, MATCH(B704,'Room Info'!$D$2:$D3446, 0)),if(G704='Room Info'!$E$1, INDEX('Room Info'!$A$2:$A3446, MATCH(B704,'Room Info'!$E$2:$E3446, 0)),if(G704='Room Info'!$F$1, INDEX('Room Info'!$A$2:$A3446, MATCH(B704,'Room Info'!$F$2:$F3446, 0)),if(G704='Room Info'!$H$1, INDEX('Room Info'!$A$2:$A3446, MATCH(B704,'Room Info'!$H$2:$H3446, 0)),if(G704='Room Info'!$G$1, INDEX('Room Info'!$A$2:$A3446, MATCH(B704,'Room Info'!$G$2:$G3446, 0)))))))))</f>
        <v>dimasik</v>
      </c>
      <c r="B704" s="50" t="s">
        <v>189</v>
      </c>
      <c r="C704" s="51">
        <v>44866.0</v>
      </c>
      <c r="D704" s="51">
        <v>44895.0</v>
      </c>
      <c r="E704" s="52">
        <v>44866.0</v>
      </c>
      <c r="F704" s="53" t="s">
        <v>12</v>
      </c>
      <c r="G704" s="50" t="s">
        <v>5</v>
      </c>
      <c r="H704" s="54" t="s">
        <v>86</v>
      </c>
      <c r="I704" s="54" t="s">
        <v>11</v>
      </c>
      <c r="J704" s="55">
        <v>100.0</v>
      </c>
      <c r="K704" s="56">
        <v>367.0</v>
      </c>
      <c r="L704" s="57">
        <v>6300.0</v>
      </c>
      <c r="M704" s="58">
        <v>208.0</v>
      </c>
      <c r="N704" s="33">
        <f t="shared" si="13"/>
        <v>36700</v>
      </c>
      <c r="O704" s="59">
        <v>11110.0</v>
      </c>
      <c r="P704" s="34">
        <f t="shared" si="14"/>
        <v>30.27247956</v>
      </c>
      <c r="Q704" s="60"/>
      <c r="R704" s="36">
        <f t="shared" si="99"/>
        <v>208</v>
      </c>
      <c r="S704" s="71"/>
      <c r="T704" s="37">
        <f t="shared" si="100"/>
        <v>6508</v>
      </c>
      <c r="U704" s="62">
        <v>1.0</v>
      </c>
      <c r="V704" s="63"/>
      <c r="W704" s="63"/>
      <c r="X704" s="35">
        <f t="shared" si="126"/>
        <v>0.19</v>
      </c>
      <c r="Y704" s="35">
        <f t="shared" si="123"/>
        <v>0</v>
      </c>
      <c r="Z704" s="40">
        <f t="shared" si="127"/>
        <v>5271.48</v>
      </c>
      <c r="AA704" s="34">
        <f t="shared" si="128"/>
        <v>1236.52</v>
      </c>
      <c r="AB704" s="41">
        <f t="shared" si="109"/>
        <v>0</v>
      </c>
      <c r="AC704" s="42" t="b">
        <v>1</v>
      </c>
      <c r="AD704" s="42" t="s">
        <v>138</v>
      </c>
      <c r="AE704" s="42" t="s">
        <v>138</v>
      </c>
      <c r="AF704" s="42" t="str">
        <f t="array" ref="AF704">INDEX('Deal Info'!D:D, MATCH(A704,'Deal Info'!A:A, 0))</f>
        <v>Fix19</v>
      </c>
      <c r="AG704" s="43" t="str">
        <f t="array" ref="AG704">INDEX('Deal Info'!G:G, MATCH(A704,'Deal Info'!A:A, 0))</f>
        <v>None</v>
      </c>
    </row>
    <row r="705" hidden="1">
      <c r="A705" s="23" t="str">
        <f t="array" ref="A705">if(G705='Room Info'!$B$1, INDEX('Room Info'!$A$2:$A3446, MATCH(B705,'Room Info'!$B$2:$B3446, 0)),if(G705='Room Info'!$C$1, INDEX('Room Info'!$A$2:$A3446, MATCH(B705,'Room Info'!$C$2:$C3446, 0)),if(G705='Room Info'!$D$1, INDEX('Room Info'!$A$2:$A3446, MATCH(B705,'Room Info'!$D$2:$D3446, 0)),if(G705='Room Info'!$E$1, INDEX('Room Info'!$A$2:$A3446, MATCH(B705,'Room Info'!$E$2:$E3446, 0)),if(G705='Room Info'!$F$1, INDEX('Room Info'!$A$2:$A3446, MATCH(B705,'Room Info'!$F$2:$F3446, 0)),if(G705='Room Info'!$H$1, INDEX('Room Info'!$A$2:$A3446, MATCH(B705,'Room Info'!$H$2:$H3446, 0)),if(G705='Room Info'!$G$1, INDEX('Room Info'!$A$2:$A3446, MATCH(B705,'Room Info'!$G$2:$G3446, 0)))))))))</f>
        <v>dimasik</v>
      </c>
      <c r="B705" s="50" t="s">
        <v>189</v>
      </c>
      <c r="C705" s="51">
        <v>44866.0</v>
      </c>
      <c r="D705" s="51">
        <v>44895.0</v>
      </c>
      <c r="E705" s="52">
        <v>44866.0</v>
      </c>
      <c r="F705" s="53" t="s">
        <v>12</v>
      </c>
      <c r="G705" s="50" t="s">
        <v>5</v>
      </c>
      <c r="H705" s="54" t="s">
        <v>102</v>
      </c>
      <c r="I705" s="54" t="s">
        <v>11</v>
      </c>
      <c r="J705" s="55">
        <v>500.0</v>
      </c>
      <c r="K705" s="56">
        <v>1.0</v>
      </c>
      <c r="L705" s="57">
        <v>1000.0</v>
      </c>
      <c r="M705" s="58">
        <v>3.0</v>
      </c>
      <c r="N705" s="33">
        <f t="shared" si="13"/>
        <v>500</v>
      </c>
      <c r="O705" s="59">
        <v>-49.0</v>
      </c>
      <c r="P705" s="34">
        <f t="shared" si="14"/>
        <v>-49</v>
      </c>
      <c r="Q705" s="60"/>
      <c r="R705" s="36">
        <f t="shared" si="99"/>
        <v>3</v>
      </c>
      <c r="S705" s="71"/>
      <c r="T705" s="37">
        <f t="shared" si="100"/>
        <v>1003</v>
      </c>
      <c r="U705" s="62">
        <v>1.0</v>
      </c>
      <c r="V705" s="63"/>
      <c r="W705" s="63"/>
      <c r="X705" s="35">
        <f t="shared" si="126"/>
        <v>0.19</v>
      </c>
      <c r="Y705" s="35">
        <f t="shared" si="123"/>
        <v>0</v>
      </c>
      <c r="Z705" s="40">
        <f t="shared" si="127"/>
        <v>812.43</v>
      </c>
      <c r="AA705" s="34">
        <f t="shared" si="128"/>
        <v>190.57</v>
      </c>
      <c r="AB705" s="41">
        <f t="shared" si="109"/>
        <v>0</v>
      </c>
      <c r="AC705" s="42" t="b">
        <v>1</v>
      </c>
      <c r="AD705" s="42" t="s">
        <v>138</v>
      </c>
      <c r="AE705" s="42" t="s">
        <v>138</v>
      </c>
      <c r="AF705" s="42" t="str">
        <f t="array" ref="AF705">INDEX('Deal Info'!D:D, MATCH(A705,'Deal Info'!A:A, 0))</f>
        <v>Fix19</v>
      </c>
      <c r="AG705" s="43" t="str">
        <f t="array" ref="AG705">INDEX('Deal Info'!G:G, MATCH(A705,'Deal Info'!A:A, 0))</f>
        <v>None</v>
      </c>
    </row>
    <row r="706" hidden="1">
      <c r="A706" s="23" t="str">
        <f t="array" ref="A706">if(G706='Room Info'!$B$1, INDEX('Room Info'!$A$2:$A3446, MATCH(B706,'Room Info'!$B$2:$B3446, 0)),if(G706='Room Info'!$C$1, INDEX('Room Info'!$A$2:$A3446, MATCH(B706,'Room Info'!$C$2:$C3446, 0)),if(G706='Room Info'!$D$1, INDEX('Room Info'!$A$2:$A3446, MATCH(B706,'Room Info'!$D$2:$D3446, 0)),if(G706='Room Info'!$E$1, INDEX('Room Info'!$A$2:$A3446, MATCH(B706,'Room Info'!$E$2:$E3446, 0)),if(G706='Room Info'!$F$1, INDEX('Room Info'!$A$2:$A3446, MATCH(B706,'Room Info'!$F$2:$F3446, 0)),if(G706='Room Info'!$H$1, INDEX('Room Info'!$A$2:$A3446, MATCH(B706,'Room Info'!$H$2:$H3446, 0)),if(G706='Room Info'!$G$1, INDEX('Room Info'!$A$2:$A3446, MATCH(B706,'Room Info'!$G$2:$G3446, 0)))))))))</f>
        <v>dimasik</v>
      </c>
      <c r="B706" s="50" t="s">
        <v>189</v>
      </c>
      <c r="C706" s="51">
        <v>44866.0</v>
      </c>
      <c r="D706" s="51">
        <v>44895.0</v>
      </c>
      <c r="E706" s="52">
        <v>44866.0</v>
      </c>
      <c r="F706" s="53" t="s">
        <v>12</v>
      </c>
      <c r="G706" s="50" t="s">
        <v>5</v>
      </c>
      <c r="H706" s="54" t="s">
        <v>10</v>
      </c>
      <c r="I706" s="54" t="s">
        <v>11</v>
      </c>
      <c r="J706" s="55">
        <v>0.25</v>
      </c>
      <c r="K706" s="56">
        <v>14.0</v>
      </c>
      <c r="L706" s="57">
        <v>-0.25</v>
      </c>
      <c r="M706" s="67"/>
      <c r="N706" s="33">
        <f t="shared" si="13"/>
        <v>3.5</v>
      </c>
      <c r="O706" s="70"/>
      <c r="P706" s="34">
        <f t="shared" si="14"/>
        <v>0</v>
      </c>
      <c r="Q706" s="60"/>
      <c r="R706" s="36">
        <f t="shared" si="99"/>
        <v>0</v>
      </c>
      <c r="S706" s="71"/>
      <c r="T706" s="37">
        <f t="shared" si="100"/>
        <v>-0.25</v>
      </c>
      <c r="U706" s="62">
        <v>1.0</v>
      </c>
      <c r="V706" s="63"/>
      <c r="W706" s="63"/>
      <c r="X706" s="35">
        <f t="shared" si="126"/>
        <v>0.19</v>
      </c>
      <c r="Y706" s="35">
        <f t="shared" si="123"/>
        <v>0</v>
      </c>
      <c r="Z706" s="40">
        <f t="shared" si="127"/>
        <v>-0.2025</v>
      </c>
      <c r="AA706" s="34">
        <f t="shared" si="128"/>
        <v>-0.0475</v>
      </c>
      <c r="AB706" s="41">
        <f t="shared" si="109"/>
        <v>0</v>
      </c>
      <c r="AC706" s="42" t="b">
        <v>1</v>
      </c>
      <c r="AD706" s="42" t="s">
        <v>138</v>
      </c>
      <c r="AE706" s="42" t="s">
        <v>138</v>
      </c>
      <c r="AF706" s="42" t="str">
        <f t="array" ref="AF706">INDEX('Deal Info'!D:D, MATCH(A706,'Deal Info'!A:A, 0))</f>
        <v>Fix19</v>
      </c>
      <c r="AG706" s="43" t="str">
        <f t="array" ref="AG706">INDEX('Deal Info'!G:G, MATCH(A706,'Deal Info'!A:A, 0))</f>
        <v>None</v>
      </c>
    </row>
    <row r="707" hidden="1">
      <c r="A707" s="23" t="str">
        <f t="array" ref="A707">if(G707='Room Info'!$B$1, INDEX('Room Info'!$A$2:$A3446, MATCH(B707,'Room Info'!$B$2:$B3446, 0)),if(G707='Room Info'!$C$1, INDEX('Room Info'!$A$2:$A3446, MATCH(B707,'Room Info'!$C$2:$C3446, 0)),if(G707='Room Info'!$D$1, INDEX('Room Info'!$A$2:$A3446, MATCH(B707,'Room Info'!$D$2:$D3446, 0)),if(G707='Room Info'!$E$1, INDEX('Room Info'!$A$2:$A3446, MATCH(B707,'Room Info'!$E$2:$E3446, 0)),if(G707='Room Info'!$F$1, INDEX('Room Info'!$A$2:$A3446, MATCH(B707,'Room Info'!$F$2:$F3446, 0)),if(G707='Room Info'!$H$1, INDEX('Room Info'!$A$2:$A3446, MATCH(B707,'Room Info'!$H$2:$H3446, 0)),if(G707='Room Info'!$G$1, INDEX('Room Info'!$A$2:$A3446, MATCH(B707,'Room Info'!$G$2:$G3446, 0)))))))))</f>
        <v>dimasik</v>
      </c>
      <c r="B707" s="50" t="s">
        <v>189</v>
      </c>
      <c r="C707" s="51">
        <v>44866.0</v>
      </c>
      <c r="D707" s="51">
        <v>44895.0</v>
      </c>
      <c r="E707" s="52">
        <v>44866.0</v>
      </c>
      <c r="F707" s="53" t="s">
        <v>12</v>
      </c>
      <c r="G707" s="50" t="s">
        <v>5</v>
      </c>
      <c r="H707" s="54" t="s">
        <v>101</v>
      </c>
      <c r="I707" s="54" t="s">
        <v>7</v>
      </c>
      <c r="J707" s="55">
        <v>500.0</v>
      </c>
      <c r="K707" s="56">
        <v>18.0</v>
      </c>
      <c r="L707" s="57">
        <v>-2000.0</v>
      </c>
      <c r="M707" s="58">
        <v>51.0</v>
      </c>
      <c r="N707" s="33">
        <f t="shared" si="13"/>
        <v>9000</v>
      </c>
      <c r="O707" s="59">
        <v>-897.0</v>
      </c>
      <c r="P707" s="34">
        <f t="shared" si="14"/>
        <v>-49.83333333</v>
      </c>
      <c r="Q707" s="60"/>
      <c r="R707" s="36">
        <f t="shared" si="99"/>
        <v>51</v>
      </c>
      <c r="S707" s="71"/>
      <c r="T707" s="37">
        <f t="shared" si="100"/>
        <v>-1949</v>
      </c>
      <c r="U707" s="62">
        <v>1.0</v>
      </c>
      <c r="V707" s="63"/>
      <c r="W707" s="63"/>
      <c r="X707" s="35">
        <f t="shared" si="126"/>
        <v>0.19</v>
      </c>
      <c r="Y707" s="35">
        <f t="shared" si="123"/>
        <v>0</v>
      </c>
      <c r="Z707" s="40">
        <f t="shared" si="127"/>
        <v>-1578.69</v>
      </c>
      <c r="AA707" s="34">
        <f t="shared" si="128"/>
        <v>-370.31</v>
      </c>
      <c r="AB707" s="41">
        <f t="shared" si="109"/>
        <v>0</v>
      </c>
      <c r="AC707" s="42" t="b">
        <v>1</v>
      </c>
      <c r="AD707" s="42" t="s">
        <v>138</v>
      </c>
      <c r="AE707" s="42" t="s">
        <v>138</v>
      </c>
      <c r="AF707" s="42" t="str">
        <f t="array" ref="AF707">INDEX('Deal Info'!D:D, MATCH(A707,'Deal Info'!A:A, 0))</f>
        <v>Fix19</v>
      </c>
      <c r="AG707" s="43" t="str">
        <f t="array" ref="AG707">INDEX('Deal Info'!G:G, MATCH(A707,'Deal Info'!A:A, 0))</f>
        <v>None</v>
      </c>
    </row>
    <row r="708" hidden="1">
      <c r="A708" s="23" t="str">
        <f t="array" ref="A708">if(G708='Room Info'!$B$1, INDEX('Room Info'!$A$2:$A3446, MATCH(B708,'Room Info'!$B$2:$B3446, 0)),if(G708='Room Info'!$C$1, INDEX('Room Info'!$A$2:$A3446, MATCH(B708,'Room Info'!$C$2:$C3446, 0)),if(G708='Room Info'!$D$1, INDEX('Room Info'!$A$2:$A3446, MATCH(B708,'Room Info'!$D$2:$D3446, 0)),if(G708='Room Info'!$E$1, INDEX('Room Info'!$A$2:$A3446, MATCH(B708,'Room Info'!$E$2:$E3446, 0)),if(G708='Room Info'!$F$1, INDEX('Room Info'!$A$2:$A3446, MATCH(B708,'Room Info'!$F$2:$F3446, 0)),if(G708='Room Info'!$H$1, INDEX('Room Info'!$A$2:$A3446, MATCH(B708,'Room Info'!$H$2:$H3446, 0)),if(G708='Room Info'!$G$1, INDEX('Room Info'!$A$2:$A3446, MATCH(B708,'Room Info'!$G$2:$G3446, 0)))))))))</f>
        <v>dimasik</v>
      </c>
      <c r="B708" s="50" t="s">
        <v>189</v>
      </c>
      <c r="C708" s="51">
        <v>44866.0</v>
      </c>
      <c r="D708" s="51">
        <v>44895.0</v>
      </c>
      <c r="E708" s="52">
        <v>44866.0</v>
      </c>
      <c r="F708" s="53" t="s">
        <v>12</v>
      </c>
      <c r="G708" s="50" t="s">
        <v>5</v>
      </c>
      <c r="H708" s="54" t="s">
        <v>85</v>
      </c>
      <c r="I708" s="54" t="s">
        <v>7</v>
      </c>
      <c r="J708" s="55">
        <v>100.0</v>
      </c>
      <c r="K708" s="56">
        <v>49.0</v>
      </c>
      <c r="L708" s="57">
        <v>1800.0</v>
      </c>
      <c r="M708" s="58">
        <v>28.0</v>
      </c>
      <c r="N708" s="33">
        <f t="shared" si="13"/>
        <v>4900</v>
      </c>
      <c r="O708" s="59">
        <v>1483.310096</v>
      </c>
      <c r="P708" s="34">
        <f t="shared" si="14"/>
        <v>30.27163461</v>
      </c>
      <c r="Q708" s="60"/>
      <c r="R708" s="36">
        <f t="shared" si="99"/>
        <v>28</v>
      </c>
      <c r="S708" s="71"/>
      <c r="T708" s="37">
        <f t="shared" si="100"/>
        <v>1828</v>
      </c>
      <c r="U708" s="62">
        <v>1.0</v>
      </c>
      <c r="V708" s="63"/>
      <c r="W708" s="63"/>
      <c r="X708" s="35">
        <f t="shared" si="126"/>
        <v>0.19</v>
      </c>
      <c r="Y708" s="35">
        <f t="shared" si="123"/>
        <v>0</v>
      </c>
      <c r="Z708" s="40">
        <f t="shared" si="127"/>
        <v>1480.68</v>
      </c>
      <c r="AA708" s="34">
        <f t="shared" si="128"/>
        <v>347.32</v>
      </c>
      <c r="AB708" s="41">
        <f t="shared" si="109"/>
        <v>0</v>
      </c>
      <c r="AC708" s="42" t="b">
        <v>1</v>
      </c>
      <c r="AD708" s="42" t="s">
        <v>138</v>
      </c>
      <c r="AE708" s="42" t="s">
        <v>138</v>
      </c>
      <c r="AF708" s="42" t="str">
        <f t="array" ref="AF708">INDEX('Deal Info'!D:D, MATCH(A708,'Deal Info'!A:A, 0))</f>
        <v>Fix19</v>
      </c>
      <c r="AG708" s="43" t="str">
        <f t="array" ref="AG708">INDEX('Deal Info'!G:G, MATCH(A708,'Deal Info'!A:A, 0))</f>
        <v>None</v>
      </c>
    </row>
    <row r="709" hidden="1">
      <c r="A709" s="23" t="str">
        <f t="array" ref="A709">if(G709='Room Info'!$B$1, INDEX('Room Info'!$A$2:$A3446, MATCH(B709,'Room Info'!$B$2:$B3446, 0)),if(G709='Room Info'!$C$1, INDEX('Room Info'!$A$2:$A3446, MATCH(B709,'Room Info'!$C$2:$C3446, 0)),if(G709='Room Info'!$D$1, INDEX('Room Info'!$A$2:$A3446, MATCH(B709,'Room Info'!$D$2:$D3446, 0)),if(G709='Room Info'!$E$1, INDEX('Room Info'!$A$2:$A3446, MATCH(B709,'Room Info'!$E$2:$E3446, 0)),if(G709='Room Info'!$F$1, INDEX('Room Info'!$A$2:$A3446, MATCH(B709,'Room Info'!$F$2:$F3446, 0)),if(G709='Room Info'!$H$1, INDEX('Room Info'!$A$2:$A3446, MATCH(B709,'Room Info'!$H$2:$H3446, 0)),if(G709='Room Info'!$G$1, INDEX('Room Info'!$A$2:$A3446, MATCH(B709,'Room Info'!$G$2:$G3446, 0)))))))))</f>
        <v>dimasik</v>
      </c>
      <c r="B709" s="50" t="s">
        <v>189</v>
      </c>
      <c r="C709" s="51">
        <v>44866.0</v>
      </c>
      <c r="D709" s="51">
        <v>44895.0</v>
      </c>
      <c r="E709" s="52">
        <v>44866.0</v>
      </c>
      <c r="F709" s="53" t="s">
        <v>12</v>
      </c>
      <c r="G709" s="50" t="s">
        <v>5</v>
      </c>
      <c r="H709" s="54" t="s">
        <v>97</v>
      </c>
      <c r="I709" s="54" t="s">
        <v>11</v>
      </c>
      <c r="J709" s="55">
        <v>250.0</v>
      </c>
      <c r="K709" s="56">
        <v>51.0</v>
      </c>
      <c r="L709" s="57">
        <v>500.0</v>
      </c>
      <c r="M709" s="58">
        <v>72.0</v>
      </c>
      <c r="N709" s="33">
        <f t="shared" si="13"/>
        <v>12750</v>
      </c>
      <c r="O709" s="59">
        <v>419.0</v>
      </c>
      <c r="P709" s="34">
        <f t="shared" si="14"/>
        <v>8.215686275</v>
      </c>
      <c r="Q709" s="60"/>
      <c r="R709" s="36">
        <f t="shared" si="99"/>
        <v>72</v>
      </c>
      <c r="S709" s="71"/>
      <c r="T709" s="37">
        <f t="shared" si="100"/>
        <v>572</v>
      </c>
      <c r="U709" s="62">
        <v>1.0</v>
      </c>
      <c r="V709" s="63"/>
      <c r="W709" s="63"/>
      <c r="X709" s="35">
        <f t="shared" si="126"/>
        <v>0.19</v>
      </c>
      <c r="Y709" s="35">
        <f t="shared" si="123"/>
        <v>0</v>
      </c>
      <c r="Z709" s="40">
        <f t="shared" si="127"/>
        <v>463.32</v>
      </c>
      <c r="AA709" s="34">
        <f t="shared" si="128"/>
        <v>108.68</v>
      </c>
      <c r="AB709" s="41">
        <f t="shared" si="109"/>
        <v>0</v>
      </c>
      <c r="AC709" s="42" t="b">
        <v>1</v>
      </c>
      <c r="AD709" s="42" t="s">
        <v>138</v>
      </c>
      <c r="AE709" s="42" t="s">
        <v>138</v>
      </c>
      <c r="AF709" s="42" t="str">
        <f t="array" ref="AF709">INDEX('Deal Info'!D:D, MATCH(A709,'Deal Info'!A:A, 0))</f>
        <v>Fix19</v>
      </c>
      <c r="AG709" s="43" t="str">
        <f t="array" ref="AG709">INDEX('Deal Info'!G:G, MATCH(A709,'Deal Info'!A:A, 0))</f>
        <v>None</v>
      </c>
    </row>
    <row r="710" hidden="1">
      <c r="A710" s="23" t="str">
        <f t="array" ref="A710">if(G710='Room Info'!$B$1, INDEX('Room Info'!$A$2:$A3446, MATCH(B710,'Room Info'!$B$2:$B3446, 0)),if(G710='Room Info'!$C$1, INDEX('Room Info'!$A$2:$A3446, MATCH(B710,'Room Info'!$C$2:$C3446, 0)),if(G710='Room Info'!$D$1, INDEX('Room Info'!$A$2:$A3446, MATCH(B710,'Room Info'!$D$2:$D3446, 0)),if(G710='Room Info'!$E$1, INDEX('Room Info'!$A$2:$A3446, MATCH(B710,'Room Info'!$E$2:$E3446, 0)),if(G710='Room Info'!$F$1, INDEX('Room Info'!$A$2:$A3446, MATCH(B710,'Room Info'!$F$2:$F3446, 0)),if(G710='Room Info'!$H$1, INDEX('Room Info'!$A$2:$A3446, MATCH(B710,'Room Info'!$H$2:$H3446, 0)),if(G710='Room Info'!$G$1, INDEX('Room Info'!$A$2:$A3446, MATCH(B710,'Room Info'!$G$2:$G3446, 0)))))))))</f>
        <v>dimasik</v>
      </c>
      <c r="B710" s="59" t="s">
        <v>189</v>
      </c>
      <c r="C710" s="51">
        <v>44866.0</v>
      </c>
      <c r="D710" s="51">
        <v>44895.0</v>
      </c>
      <c r="E710" s="52">
        <v>44866.0</v>
      </c>
      <c r="F710" s="53" t="s">
        <v>12</v>
      </c>
      <c r="G710" s="59" t="s">
        <v>5</v>
      </c>
      <c r="H710" s="54" t="s">
        <v>96</v>
      </c>
      <c r="I710" s="54" t="s">
        <v>7</v>
      </c>
      <c r="J710" s="55">
        <v>250.0</v>
      </c>
      <c r="K710" s="56">
        <v>132.0</v>
      </c>
      <c r="L710" s="57">
        <v>-4250.0</v>
      </c>
      <c r="M710" s="58">
        <v>187.0</v>
      </c>
      <c r="N710" s="33">
        <f t="shared" si="13"/>
        <v>33000</v>
      </c>
      <c r="O710" s="59">
        <v>1084.0</v>
      </c>
      <c r="P710" s="34">
        <f t="shared" si="14"/>
        <v>8.212121212</v>
      </c>
      <c r="Q710" s="60"/>
      <c r="R710" s="36">
        <f t="shared" si="99"/>
        <v>187</v>
      </c>
      <c r="S710" s="71"/>
      <c r="T710" s="37">
        <f t="shared" si="100"/>
        <v>-4063</v>
      </c>
      <c r="U710" s="62">
        <v>1.0</v>
      </c>
      <c r="V710" s="63"/>
      <c r="W710" s="63"/>
      <c r="X710" s="35">
        <f t="shared" si="126"/>
        <v>0.19</v>
      </c>
      <c r="Y710" s="35">
        <f t="shared" si="123"/>
        <v>0</v>
      </c>
      <c r="Z710" s="40">
        <f t="shared" si="127"/>
        <v>-3291.03</v>
      </c>
      <c r="AA710" s="34">
        <f t="shared" si="128"/>
        <v>-771.97</v>
      </c>
      <c r="AB710" s="41">
        <f t="shared" si="109"/>
        <v>0</v>
      </c>
      <c r="AC710" s="42" t="b">
        <v>1</v>
      </c>
      <c r="AD710" s="42" t="s">
        <v>138</v>
      </c>
      <c r="AE710" s="42" t="s">
        <v>138</v>
      </c>
      <c r="AF710" s="42" t="str">
        <f t="array" ref="AF710">INDEX('Deal Info'!D:D, MATCH(A710,'Deal Info'!A:A, 0))</f>
        <v>Fix19</v>
      </c>
      <c r="AG710" s="43" t="str">
        <f t="array" ref="AG710">INDEX('Deal Info'!G:G, MATCH(A710,'Deal Info'!A:A, 0))</f>
        <v>None</v>
      </c>
    </row>
    <row r="711" hidden="1">
      <c r="A711" s="23" t="str">
        <f t="array" ref="A711">if(G711='Room Info'!$B$1, INDEX('Room Info'!$A$2:$A3446, MATCH(B711,'Room Info'!$B$2:$B3446, 0)),if(G711='Room Info'!$C$1, INDEX('Room Info'!$A$2:$A3446, MATCH(B711,'Room Info'!$C$2:$C3446, 0)),if(G711='Room Info'!$D$1, INDEX('Room Info'!$A$2:$A3446, MATCH(B711,'Room Info'!$D$2:$D3446, 0)),if(G711='Room Info'!$E$1, INDEX('Room Info'!$A$2:$A3446, MATCH(B711,'Room Info'!$E$2:$E3446, 0)),if(G711='Room Info'!$F$1, INDEX('Room Info'!$A$2:$A3446, MATCH(B711,'Room Info'!$F$2:$F3446, 0)),if(G711='Room Info'!$H$1, INDEX('Room Info'!$A$2:$A3446, MATCH(B711,'Room Info'!$H$2:$H3446, 0)),if(G711='Room Info'!$G$1, INDEX('Room Info'!$A$2:$A3446, MATCH(B711,'Room Info'!$G$2:$G3446, 0)))))))))</f>
        <v>dimasik</v>
      </c>
      <c r="B711" s="59" t="s">
        <v>189</v>
      </c>
      <c r="C711" s="51">
        <v>44896.0</v>
      </c>
      <c r="D711" s="51">
        <v>44926.0</v>
      </c>
      <c r="E711" s="52">
        <v>44896.0</v>
      </c>
      <c r="F711" s="53" t="s">
        <v>12</v>
      </c>
      <c r="G711" s="59" t="s">
        <v>5</v>
      </c>
      <c r="H711" s="54" t="s">
        <v>75</v>
      </c>
      <c r="I711" s="54" t="s">
        <v>11</v>
      </c>
      <c r="J711" s="55">
        <v>50.0</v>
      </c>
      <c r="K711" s="56">
        <v>1.0</v>
      </c>
      <c r="L711" s="57">
        <v>-50.0</v>
      </c>
      <c r="M711" s="58">
        <v>2.0</v>
      </c>
      <c r="N711" s="33">
        <f t="shared" si="13"/>
        <v>50</v>
      </c>
      <c r="O711" s="59">
        <v>36.0</v>
      </c>
      <c r="P711" s="34">
        <f t="shared" si="14"/>
        <v>36</v>
      </c>
      <c r="Q711" s="60"/>
      <c r="R711" s="36">
        <f t="shared" si="99"/>
        <v>2</v>
      </c>
      <c r="S711" s="71"/>
      <c r="T711" s="37">
        <f t="shared" si="100"/>
        <v>-48</v>
      </c>
      <c r="U711" s="62">
        <v>1.0</v>
      </c>
      <c r="V711" s="63"/>
      <c r="W711" s="63"/>
      <c r="X711" s="35">
        <f t="shared" si="126"/>
        <v>0.19</v>
      </c>
      <c r="Y711" s="35">
        <f t="shared" si="123"/>
        <v>0</v>
      </c>
      <c r="Z711" s="40">
        <f t="shared" si="127"/>
        <v>-38.88</v>
      </c>
      <c r="AA711" s="34">
        <f t="shared" si="128"/>
        <v>-9.12</v>
      </c>
      <c r="AB711" s="41">
        <f t="shared" si="109"/>
        <v>0</v>
      </c>
      <c r="AC711" s="42" t="b">
        <v>1</v>
      </c>
      <c r="AD711" s="42" t="s">
        <v>138</v>
      </c>
      <c r="AE711" s="42" t="s">
        <v>138</v>
      </c>
      <c r="AF711" s="42" t="str">
        <f t="array" ref="AF711">INDEX('Deal Info'!D:D, MATCH(A711,'Deal Info'!A:A, 0))</f>
        <v>Fix19</v>
      </c>
      <c r="AG711" s="43" t="str">
        <f t="array" ref="AG711">INDEX('Deal Info'!G:G, MATCH(A711,'Deal Info'!A:A, 0))</f>
        <v>None</v>
      </c>
    </row>
    <row r="712" hidden="1">
      <c r="A712" s="23" t="str">
        <f t="array" ref="A712">if(G712='Room Info'!$B$1, INDEX('Room Info'!$A$2:$A3446, MATCH(B712,'Room Info'!$B$2:$B3446, 0)),if(G712='Room Info'!$C$1, INDEX('Room Info'!$A$2:$A3446, MATCH(B712,'Room Info'!$C$2:$C3446, 0)),if(G712='Room Info'!$D$1, INDEX('Room Info'!$A$2:$A3446, MATCH(B712,'Room Info'!$D$2:$D3446, 0)),if(G712='Room Info'!$E$1, INDEX('Room Info'!$A$2:$A3446, MATCH(B712,'Room Info'!$E$2:$E3446, 0)),if(G712='Room Info'!$F$1, INDEX('Room Info'!$A$2:$A3446, MATCH(B712,'Room Info'!$F$2:$F3446, 0)),if(G712='Room Info'!$H$1, INDEX('Room Info'!$A$2:$A3446, MATCH(B712,'Room Info'!$H$2:$H3446, 0)),if(G712='Room Info'!$G$1, INDEX('Room Info'!$A$2:$A3446, MATCH(B712,'Room Info'!$G$2:$G3446, 0)))))))))</f>
        <v>dimasik</v>
      </c>
      <c r="B712" s="50" t="s">
        <v>189</v>
      </c>
      <c r="C712" s="51">
        <v>44896.0</v>
      </c>
      <c r="D712" s="51">
        <v>44926.0</v>
      </c>
      <c r="E712" s="52">
        <v>44896.0</v>
      </c>
      <c r="F712" s="50" t="s">
        <v>12</v>
      </c>
      <c r="G712" s="59" t="s">
        <v>5</v>
      </c>
      <c r="H712" s="54" t="s">
        <v>97</v>
      </c>
      <c r="I712" s="54" t="s">
        <v>11</v>
      </c>
      <c r="J712" s="55">
        <v>250.0</v>
      </c>
      <c r="K712" s="56">
        <v>1.0</v>
      </c>
      <c r="L712" s="57">
        <v>-250.0</v>
      </c>
      <c r="M712" s="58">
        <v>9.0</v>
      </c>
      <c r="N712" s="33">
        <f t="shared" si="13"/>
        <v>250</v>
      </c>
      <c r="O712" s="59">
        <v>213.0</v>
      </c>
      <c r="P712" s="34">
        <f t="shared" si="14"/>
        <v>213</v>
      </c>
      <c r="Q712" s="60"/>
      <c r="R712" s="36">
        <f t="shared" si="99"/>
        <v>9</v>
      </c>
      <c r="S712" s="71"/>
      <c r="T712" s="37">
        <f t="shared" si="100"/>
        <v>-241</v>
      </c>
      <c r="U712" s="62">
        <v>1.0</v>
      </c>
      <c r="V712" s="63"/>
      <c r="W712" s="63"/>
      <c r="X712" s="35">
        <f t="shared" si="126"/>
        <v>0.19</v>
      </c>
      <c r="Y712" s="35">
        <f t="shared" si="123"/>
        <v>0</v>
      </c>
      <c r="Z712" s="40">
        <f t="shared" si="127"/>
        <v>-195.21</v>
      </c>
      <c r="AA712" s="34">
        <f t="shared" si="128"/>
        <v>-45.79</v>
      </c>
      <c r="AB712" s="41">
        <f t="shared" si="109"/>
        <v>0</v>
      </c>
      <c r="AC712" s="42" t="b">
        <v>1</v>
      </c>
      <c r="AD712" s="42" t="s">
        <v>138</v>
      </c>
      <c r="AE712" s="42" t="s">
        <v>138</v>
      </c>
      <c r="AF712" s="42" t="str">
        <f t="array" ref="AF712">INDEX('Deal Info'!D:D, MATCH(A712,'Deal Info'!A:A, 0))</f>
        <v>Fix19</v>
      </c>
      <c r="AG712" s="43" t="str">
        <f t="array" ref="AG712">INDEX('Deal Info'!G:G, MATCH(A712,'Deal Info'!A:A, 0))</f>
        <v>None</v>
      </c>
    </row>
    <row r="713" hidden="1">
      <c r="A713" s="23" t="str">
        <f t="array" ref="A713">if(G713='Room Info'!$B$1, INDEX('Room Info'!$A$2:$A3446, MATCH(B713,'Room Info'!$B$2:$B3446, 0)),if(G713='Room Info'!$C$1, INDEX('Room Info'!$A$2:$A3446, MATCH(B713,'Room Info'!$C$2:$C3446, 0)),if(G713='Room Info'!$D$1, INDEX('Room Info'!$A$2:$A3446, MATCH(B713,'Room Info'!$D$2:$D3446, 0)),if(G713='Room Info'!$E$1, INDEX('Room Info'!$A$2:$A3446, MATCH(B713,'Room Info'!$E$2:$E3446, 0)),if(G713='Room Info'!$F$1, INDEX('Room Info'!$A$2:$A3446, MATCH(B713,'Room Info'!$F$2:$F3446, 0)),if(G713='Room Info'!$H$1, INDEX('Room Info'!$A$2:$A3446, MATCH(B713,'Room Info'!$H$2:$H3446, 0)),if(G713='Room Info'!$G$1, INDEX('Room Info'!$A$2:$A3446, MATCH(B713,'Room Info'!$G$2:$G3446, 0)))))))))</f>
        <v>dimasik</v>
      </c>
      <c r="B713" s="50" t="s">
        <v>189</v>
      </c>
      <c r="C713" s="51">
        <v>44896.0</v>
      </c>
      <c r="D713" s="51">
        <v>44926.0</v>
      </c>
      <c r="E713" s="52">
        <v>44896.0</v>
      </c>
      <c r="F713" s="50" t="s">
        <v>12</v>
      </c>
      <c r="G713" s="59" t="s">
        <v>5</v>
      </c>
      <c r="H713" s="54" t="s">
        <v>63</v>
      </c>
      <c r="I713" s="54" t="s">
        <v>11</v>
      </c>
      <c r="J713" s="55">
        <v>25.0</v>
      </c>
      <c r="K713" s="56">
        <v>7.0</v>
      </c>
      <c r="L713" s="57">
        <v>-25.0</v>
      </c>
      <c r="M713" s="58">
        <v>8.0</v>
      </c>
      <c r="N713" s="33">
        <f t="shared" si="13"/>
        <v>175</v>
      </c>
      <c r="O713" s="59">
        <v>5.0</v>
      </c>
      <c r="P713" s="34">
        <f t="shared" si="14"/>
        <v>0.7142857143</v>
      </c>
      <c r="Q713" s="60"/>
      <c r="R713" s="36">
        <f t="shared" si="99"/>
        <v>8</v>
      </c>
      <c r="S713" s="71"/>
      <c r="T713" s="37">
        <f t="shared" si="100"/>
        <v>-17</v>
      </c>
      <c r="U713" s="62">
        <v>1.0</v>
      </c>
      <c r="V713" s="63"/>
      <c r="W713" s="63"/>
      <c r="X713" s="35">
        <f t="shared" si="126"/>
        <v>0.19</v>
      </c>
      <c r="Y713" s="35">
        <f t="shared" si="123"/>
        <v>0</v>
      </c>
      <c r="Z713" s="40">
        <f t="shared" si="127"/>
        <v>-13.77</v>
      </c>
      <c r="AA713" s="34">
        <f t="shared" si="128"/>
        <v>-3.23</v>
      </c>
      <c r="AB713" s="41">
        <f t="shared" si="109"/>
        <v>0</v>
      </c>
      <c r="AC713" s="42" t="b">
        <v>1</v>
      </c>
      <c r="AD713" s="42" t="s">
        <v>138</v>
      </c>
      <c r="AE713" s="42" t="s">
        <v>138</v>
      </c>
      <c r="AF713" s="42" t="str">
        <f t="array" ref="AF713">INDEX('Deal Info'!D:D, MATCH(A713,'Deal Info'!A:A, 0))</f>
        <v>Fix19</v>
      </c>
      <c r="AG713" s="43" t="str">
        <f t="array" ref="AG713">INDEX('Deal Info'!G:G, MATCH(A713,'Deal Info'!A:A, 0))</f>
        <v>None</v>
      </c>
    </row>
    <row r="714" hidden="1">
      <c r="A714" s="23" t="str">
        <f t="array" ref="A714">if(G714='Room Info'!$B$1, INDEX('Room Info'!$A$2:$A3446, MATCH(B714,'Room Info'!$B$2:$B3446, 0)),if(G714='Room Info'!$C$1, INDEX('Room Info'!$A$2:$A3446, MATCH(B714,'Room Info'!$C$2:$C3446, 0)),if(G714='Room Info'!$D$1, INDEX('Room Info'!$A$2:$A3446, MATCH(B714,'Room Info'!$D$2:$D3446, 0)),if(G714='Room Info'!$E$1, INDEX('Room Info'!$A$2:$A3446, MATCH(B714,'Room Info'!$E$2:$E3446, 0)),if(G714='Room Info'!$F$1, INDEX('Room Info'!$A$2:$A3446, MATCH(B714,'Room Info'!$F$2:$F3446, 0)),if(G714='Room Info'!$H$1, INDEX('Room Info'!$A$2:$A3446, MATCH(B714,'Room Info'!$H$2:$H3446, 0)),if(G714='Room Info'!$G$1, INDEX('Room Info'!$A$2:$A3446, MATCH(B714,'Room Info'!$G$2:$G3446, 0)))))))))</f>
        <v>dimasik</v>
      </c>
      <c r="B714" s="50" t="s">
        <v>189</v>
      </c>
      <c r="C714" s="82">
        <v>44896.0</v>
      </c>
      <c r="D714" s="82">
        <v>44926.0</v>
      </c>
      <c r="E714" s="52">
        <v>44896.0</v>
      </c>
      <c r="F714" s="53" t="s">
        <v>12</v>
      </c>
      <c r="G714" s="50" t="s">
        <v>5</v>
      </c>
      <c r="H714" s="54" t="s">
        <v>86</v>
      </c>
      <c r="I714" s="54" t="s">
        <v>11</v>
      </c>
      <c r="J714" s="79">
        <v>100.0</v>
      </c>
      <c r="K714" s="80">
        <v>8.0</v>
      </c>
      <c r="L714" s="77">
        <v>-100.0</v>
      </c>
      <c r="M714" s="81">
        <v>30.0</v>
      </c>
      <c r="N714" s="33">
        <f t="shared" si="13"/>
        <v>800</v>
      </c>
      <c r="O714" s="50">
        <v>395.0</v>
      </c>
      <c r="P714" s="34">
        <f t="shared" si="14"/>
        <v>49.375</v>
      </c>
      <c r="Q714" s="60"/>
      <c r="R714" s="36">
        <f t="shared" si="99"/>
        <v>30</v>
      </c>
      <c r="S714" s="102"/>
      <c r="T714" s="37">
        <f t="shared" si="100"/>
        <v>-70</v>
      </c>
      <c r="U714" s="62">
        <v>1.0</v>
      </c>
      <c r="V714" s="63"/>
      <c r="W714" s="63"/>
      <c r="X714" s="35">
        <f t="shared" si="126"/>
        <v>0.19</v>
      </c>
      <c r="Y714" s="35">
        <f t="shared" si="123"/>
        <v>0</v>
      </c>
      <c r="Z714" s="40">
        <f t="shared" si="127"/>
        <v>-56.7</v>
      </c>
      <c r="AA714" s="34">
        <f t="shared" si="128"/>
        <v>-13.3</v>
      </c>
      <c r="AB714" s="41">
        <f t="shared" si="109"/>
        <v>0</v>
      </c>
      <c r="AC714" s="42" t="b">
        <v>1</v>
      </c>
      <c r="AD714" s="42" t="s">
        <v>138</v>
      </c>
      <c r="AE714" s="42" t="s">
        <v>138</v>
      </c>
      <c r="AF714" s="42" t="str">
        <f t="array" ref="AF714">INDEX('Deal Info'!D:D, MATCH(A714,'Deal Info'!A:A, 0))</f>
        <v>Fix19</v>
      </c>
      <c r="AG714" s="43" t="str">
        <f t="array" ref="AG714">INDEX('Deal Info'!G:G, MATCH(A714,'Deal Info'!A:A, 0))</f>
        <v>None</v>
      </c>
    </row>
    <row r="715" hidden="1">
      <c r="A715" s="23" t="str">
        <f t="array" ref="A715">if(G715='Room Info'!$B$1, INDEX('Room Info'!$A$2:$A3446, MATCH(B715,'Room Info'!$B$2:$B3446, 0)),if(G715='Room Info'!$C$1, INDEX('Room Info'!$A$2:$A3446, MATCH(B715,'Room Info'!$C$2:$C3446, 0)),if(G715='Room Info'!$D$1, INDEX('Room Info'!$A$2:$A3446, MATCH(B715,'Room Info'!$D$2:$D3446, 0)),if(G715='Room Info'!$E$1, INDEX('Room Info'!$A$2:$A3446, MATCH(B715,'Room Info'!$E$2:$E3446, 0)),if(G715='Room Info'!$F$1, INDEX('Room Info'!$A$2:$A3446, MATCH(B715,'Room Info'!$F$2:$F3446, 0)),if(G715='Room Info'!$H$1, INDEX('Room Info'!$A$2:$A3446, MATCH(B715,'Room Info'!$H$2:$H3446, 0)),if(G715='Room Info'!$G$1, INDEX('Room Info'!$A$2:$A3446, MATCH(B715,'Room Info'!$G$2:$G3446, 0)))))))))</f>
        <v>dimasik</v>
      </c>
      <c r="B715" s="50" t="s">
        <v>189</v>
      </c>
      <c r="C715" s="82">
        <v>44896.0</v>
      </c>
      <c r="D715" s="82">
        <v>44926.0</v>
      </c>
      <c r="E715" s="52">
        <v>44896.0</v>
      </c>
      <c r="F715" s="53" t="s">
        <v>12</v>
      </c>
      <c r="G715" s="50" t="s">
        <v>5</v>
      </c>
      <c r="H715" s="54" t="s">
        <v>96</v>
      </c>
      <c r="I715" s="54" t="s">
        <v>7</v>
      </c>
      <c r="J715" s="79">
        <v>250.0</v>
      </c>
      <c r="K715" s="80">
        <v>16.0</v>
      </c>
      <c r="L715" s="77">
        <v>2000.0</v>
      </c>
      <c r="M715" s="81">
        <v>148.0</v>
      </c>
      <c r="N715" s="33">
        <f t="shared" si="13"/>
        <v>4000</v>
      </c>
      <c r="O715" s="50">
        <v>3401.0</v>
      </c>
      <c r="P715" s="34">
        <f t="shared" si="14"/>
        <v>212.5625</v>
      </c>
      <c r="Q715" s="60"/>
      <c r="R715" s="36">
        <f t="shared" si="99"/>
        <v>148</v>
      </c>
      <c r="S715" s="102"/>
      <c r="T715" s="37">
        <f t="shared" si="100"/>
        <v>2148</v>
      </c>
      <c r="U715" s="62">
        <v>1.0</v>
      </c>
      <c r="V715" s="63"/>
      <c r="W715" s="63"/>
      <c r="X715" s="35">
        <f t="shared" si="126"/>
        <v>0.19</v>
      </c>
      <c r="Y715" s="35">
        <f t="shared" si="123"/>
        <v>0</v>
      </c>
      <c r="Z715" s="40">
        <f t="shared" si="127"/>
        <v>1739.88</v>
      </c>
      <c r="AA715" s="34">
        <f t="shared" si="128"/>
        <v>408.12</v>
      </c>
      <c r="AB715" s="41">
        <f t="shared" si="109"/>
        <v>0</v>
      </c>
      <c r="AC715" s="42" t="b">
        <v>1</v>
      </c>
      <c r="AD715" s="42" t="s">
        <v>138</v>
      </c>
      <c r="AE715" s="42" t="s">
        <v>138</v>
      </c>
      <c r="AF715" s="42" t="str">
        <f t="array" ref="AF715">INDEX('Deal Info'!D:D, MATCH(A715,'Deal Info'!A:A, 0))</f>
        <v>Fix19</v>
      </c>
      <c r="AG715" s="43" t="str">
        <f t="array" ref="AG715">INDEX('Deal Info'!G:G, MATCH(A715,'Deal Info'!A:A, 0))</f>
        <v>None</v>
      </c>
    </row>
    <row r="716" hidden="1">
      <c r="A716" s="23" t="str">
        <f t="array" ref="A716">if(G716='Room Info'!$B$1, INDEX('Room Info'!$A$2:$A3446, MATCH(B716,'Room Info'!$B$2:$B3446, 0)),if(G716='Room Info'!$C$1, INDEX('Room Info'!$A$2:$A3446, MATCH(B716,'Room Info'!$C$2:$C3446, 0)),if(G716='Room Info'!$D$1, INDEX('Room Info'!$A$2:$A3446, MATCH(B716,'Room Info'!$D$2:$D3446, 0)),if(G716='Room Info'!$E$1, INDEX('Room Info'!$A$2:$A3446, MATCH(B716,'Room Info'!$E$2:$E3446, 0)),if(G716='Room Info'!$F$1, INDEX('Room Info'!$A$2:$A3446, MATCH(B716,'Room Info'!$F$2:$F3446, 0)),if(G716='Room Info'!$H$1, INDEX('Room Info'!$A$2:$A3446, MATCH(B716,'Room Info'!$H$2:$H3446, 0)),if(G716='Room Info'!$G$1, INDEX('Room Info'!$A$2:$A3446, MATCH(B716,'Room Info'!$G$2:$G3446, 0)))))))))</f>
        <v>dimasik</v>
      </c>
      <c r="B716" s="50" t="s">
        <v>189</v>
      </c>
      <c r="C716" s="82">
        <v>44896.0</v>
      </c>
      <c r="D716" s="82">
        <v>44926.0</v>
      </c>
      <c r="E716" s="52">
        <v>44896.0</v>
      </c>
      <c r="F716" s="53" t="s">
        <v>12</v>
      </c>
      <c r="G716" s="50" t="s">
        <v>5</v>
      </c>
      <c r="H716" s="54" t="s">
        <v>85</v>
      </c>
      <c r="I716" s="54" t="s">
        <v>7</v>
      </c>
      <c r="J716" s="79">
        <v>100.0</v>
      </c>
      <c r="K716" s="80">
        <v>119.0</v>
      </c>
      <c r="L716" s="77">
        <v>1000.0</v>
      </c>
      <c r="M716" s="81">
        <v>440.0</v>
      </c>
      <c r="N716" s="33">
        <f t="shared" si="13"/>
        <v>11900</v>
      </c>
      <c r="O716" s="50">
        <v>5881.0</v>
      </c>
      <c r="P716" s="34">
        <f t="shared" si="14"/>
        <v>49.42016807</v>
      </c>
      <c r="Q716" s="60"/>
      <c r="R716" s="36">
        <f t="shared" si="99"/>
        <v>440</v>
      </c>
      <c r="S716" s="102"/>
      <c r="T716" s="37">
        <f t="shared" si="100"/>
        <v>1440</v>
      </c>
      <c r="U716" s="62">
        <v>1.0</v>
      </c>
      <c r="V716" s="63"/>
      <c r="W716" s="63"/>
      <c r="X716" s="35">
        <f t="shared" si="126"/>
        <v>0.19</v>
      </c>
      <c r="Y716" s="35">
        <f t="shared" si="123"/>
        <v>0</v>
      </c>
      <c r="Z716" s="40">
        <f t="shared" si="127"/>
        <v>1166.4</v>
      </c>
      <c r="AA716" s="34">
        <f t="shared" si="128"/>
        <v>273.6</v>
      </c>
      <c r="AB716" s="41">
        <f t="shared" si="109"/>
        <v>0</v>
      </c>
      <c r="AC716" s="42" t="b">
        <v>1</v>
      </c>
      <c r="AD716" s="42" t="s">
        <v>138</v>
      </c>
      <c r="AE716" s="42" t="s">
        <v>138</v>
      </c>
      <c r="AF716" s="42" t="str">
        <f t="array" ref="AF716">INDEX('Deal Info'!D:D, MATCH(A716,'Deal Info'!A:A, 0))</f>
        <v>Fix19</v>
      </c>
      <c r="AG716" s="43" t="str">
        <f t="array" ref="AG716">INDEX('Deal Info'!G:G, MATCH(A716,'Deal Info'!A:A, 0))</f>
        <v>None</v>
      </c>
    </row>
    <row r="717" hidden="1">
      <c r="A717" s="23" t="str">
        <f t="array" ref="A717">if(G717='Room Info'!$B$1, INDEX('Room Info'!$A$2:$A3446, MATCH(B717,'Room Info'!$B$2:$B3446, 0)),if(G717='Room Info'!$C$1, INDEX('Room Info'!$A$2:$A3446, MATCH(B717,'Room Info'!$C$2:$C3446, 0)),if(G717='Room Info'!$D$1, INDEX('Room Info'!$A$2:$A3446, MATCH(B717,'Room Info'!$D$2:$D3446, 0)),if(G717='Room Info'!$E$1, INDEX('Room Info'!$A$2:$A3446, MATCH(B717,'Room Info'!$E$2:$E3446, 0)),if(G717='Room Info'!$F$1, INDEX('Room Info'!$A$2:$A3446, MATCH(B717,'Room Info'!$F$2:$F3446, 0)),if(G717='Room Info'!$H$1, INDEX('Room Info'!$A$2:$A3446, MATCH(B717,'Room Info'!$H$2:$H3446, 0)),if(G717='Room Info'!$G$1, INDEX('Room Info'!$A$2:$A3446, MATCH(B717,'Room Info'!$G$2:$G3446, 0)))))))))</f>
        <v>dimasik</v>
      </c>
      <c r="B717" s="50" t="s">
        <v>189</v>
      </c>
      <c r="C717" s="82">
        <v>44896.0</v>
      </c>
      <c r="D717" s="82">
        <v>44926.0</v>
      </c>
      <c r="E717" s="52">
        <v>44896.0</v>
      </c>
      <c r="F717" s="53" t="s">
        <v>12</v>
      </c>
      <c r="G717" s="50" t="s">
        <v>5</v>
      </c>
      <c r="H717" s="54" t="s">
        <v>62</v>
      </c>
      <c r="I717" s="54" t="s">
        <v>7</v>
      </c>
      <c r="J717" s="79">
        <v>25.0</v>
      </c>
      <c r="K717" s="80">
        <v>120.0</v>
      </c>
      <c r="L717" s="77">
        <v>-125.0</v>
      </c>
      <c r="M717" s="81">
        <v>133.0</v>
      </c>
      <c r="N717" s="33">
        <f t="shared" si="13"/>
        <v>3000</v>
      </c>
      <c r="O717" s="50">
        <v>89.0</v>
      </c>
      <c r="P717" s="34">
        <f t="shared" si="14"/>
        <v>0.7416666667</v>
      </c>
      <c r="Q717" s="60"/>
      <c r="R717" s="36">
        <f t="shared" si="99"/>
        <v>133</v>
      </c>
      <c r="S717" s="102"/>
      <c r="T717" s="37">
        <f t="shared" si="100"/>
        <v>8</v>
      </c>
      <c r="U717" s="62">
        <v>1.0</v>
      </c>
      <c r="V717" s="63"/>
      <c r="W717" s="63"/>
      <c r="X717" s="35">
        <f t="shared" si="126"/>
        <v>0.19</v>
      </c>
      <c r="Y717" s="35">
        <f t="shared" si="123"/>
        <v>0</v>
      </c>
      <c r="Z717" s="40">
        <f t="shared" si="127"/>
        <v>6.48</v>
      </c>
      <c r="AA717" s="34">
        <f t="shared" si="128"/>
        <v>1.52</v>
      </c>
      <c r="AB717" s="41">
        <f t="shared" si="109"/>
        <v>0</v>
      </c>
      <c r="AC717" s="42" t="b">
        <v>1</v>
      </c>
      <c r="AD717" s="42" t="s">
        <v>138</v>
      </c>
      <c r="AE717" s="42" t="s">
        <v>138</v>
      </c>
      <c r="AF717" s="42" t="str">
        <f t="array" ref="AF717">INDEX('Deal Info'!D:D, MATCH(A717,'Deal Info'!A:A, 0))</f>
        <v>Fix19</v>
      </c>
      <c r="AG717" s="43" t="str">
        <f t="array" ref="AG717">INDEX('Deal Info'!G:G, MATCH(A717,'Deal Info'!A:A, 0))</f>
        <v>None</v>
      </c>
    </row>
    <row r="718" hidden="1">
      <c r="A718" s="23" t="str">
        <f t="array" ref="A718">if(G718='Room Info'!$B$1, INDEX('Room Info'!$A$2:$A3446, MATCH(B718,'Room Info'!$B$2:$B3446, 0)),if(G718='Room Info'!$C$1, INDEX('Room Info'!$A$2:$A3446, MATCH(B718,'Room Info'!$C$2:$C3446, 0)),if(G718='Room Info'!$D$1, INDEX('Room Info'!$A$2:$A3446, MATCH(B718,'Room Info'!$D$2:$D3446, 0)),if(G718='Room Info'!$E$1, INDEX('Room Info'!$A$2:$A3446, MATCH(B718,'Room Info'!$E$2:$E3446, 0)),if(G718='Room Info'!$F$1, INDEX('Room Info'!$A$2:$A3446, MATCH(B718,'Room Info'!$F$2:$F3446, 0)),if(G718='Room Info'!$H$1, INDEX('Room Info'!$A$2:$A3446, MATCH(B718,'Room Info'!$H$2:$H3446, 0)),if(G718='Room Info'!$G$1, INDEX('Room Info'!$A$2:$A3446, MATCH(B718,'Room Info'!$G$2:$G3446, 0)))))))))</f>
        <v>dimasik</v>
      </c>
      <c r="B718" s="50" t="s">
        <v>189</v>
      </c>
      <c r="C718" s="82">
        <v>44896.0</v>
      </c>
      <c r="D718" s="82">
        <v>44926.0</v>
      </c>
      <c r="E718" s="52">
        <v>44896.0</v>
      </c>
      <c r="F718" s="53" t="s">
        <v>12</v>
      </c>
      <c r="G718" s="50" t="s">
        <v>5</v>
      </c>
      <c r="H718" s="54" t="s">
        <v>74</v>
      </c>
      <c r="I718" s="54" t="s">
        <v>7</v>
      </c>
      <c r="J718" s="79">
        <v>50.0</v>
      </c>
      <c r="K718" s="80">
        <v>464.0</v>
      </c>
      <c r="L718" s="77">
        <v>-750.0</v>
      </c>
      <c r="M718" s="81">
        <v>1030.0</v>
      </c>
      <c r="N718" s="33">
        <f t="shared" si="13"/>
        <v>23200</v>
      </c>
      <c r="O718" s="50">
        <v>16747.0</v>
      </c>
      <c r="P718" s="34">
        <f t="shared" si="14"/>
        <v>36.09267241</v>
      </c>
      <c r="Q718" s="60"/>
      <c r="R718" s="36">
        <f t="shared" si="99"/>
        <v>1030</v>
      </c>
      <c r="S718" s="102"/>
      <c r="T718" s="37">
        <f t="shared" si="100"/>
        <v>280</v>
      </c>
      <c r="U718" s="62">
        <v>1.0</v>
      </c>
      <c r="V718" s="63"/>
      <c r="W718" s="63"/>
      <c r="X718" s="35">
        <f t="shared" si="126"/>
        <v>0.19</v>
      </c>
      <c r="Y718" s="35">
        <f t="shared" si="123"/>
        <v>0</v>
      </c>
      <c r="Z718" s="40">
        <f t="shared" si="127"/>
        <v>226.8</v>
      </c>
      <c r="AA718" s="34">
        <f t="shared" si="128"/>
        <v>53.2</v>
      </c>
      <c r="AB718" s="41">
        <f t="shared" si="109"/>
        <v>0</v>
      </c>
      <c r="AC718" s="42" t="b">
        <v>1</v>
      </c>
      <c r="AD718" s="42" t="s">
        <v>138</v>
      </c>
      <c r="AE718" s="42" t="s">
        <v>138</v>
      </c>
      <c r="AF718" s="42" t="str">
        <f t="array" ref="AF718">INDEX('Deal Info'!D:D, MATCH(A718,'Deal Info'!A:A, 0))</f>
        <v>Fix19</v>
      </c>
      <c r="AG718" s="43" t="str">
        <f t="array" ref="AG718">INDEX('Deal Info'!G:G, MATCH(A718,'Deal Info'!A:A, 0))</f>
        <v>None</v>
      </c>
    </row>
    <row r="719" hidden="1">
      <c r="A719" s="23" t="str">
        <f t="array" ref="A719">if(G719='Room Info'!$B$1, INDEX('Room Info'!$A$2:$A3446, MATCH(B719,'Room Info'!$B$2:$B3446, 0)),if(G719='Room Info'!$C$1, INDEX('Room Info'!$A$2:$A3446, MATCH(B719,'Room Info'!$C$2:$C3446, 0)),if(G719='Room Info'!$D$1, INDEX('Room Info'!$A$2:$A3446, MATCH(B719,'Room Info'!$D$2:$D3446, 0)),if(G719='Room Info'!$E$1, INDEX('Room Info'!$A$2:$A3446, MATCH(B719,'Room Info'!$E$2:$E3446, 0)),if(G719='Room Info'!$F$1, INDEX('Room Info'!$A$2:$A3446, MATCH(B719,'Room Info'!$F$2:$F3446, 0)),if(G719='Room Info'!$H$1, INDEX('Room Info'!$A$2:$A3446, MATCH(B719,'Room Info'!$H$2:$H3446, 0)),if(G719='Room Info'!$G$1, INDEX('Room Info'!$A$2:$A3446, MATCH(B719,'Room Info'!$G$2:$G3446, 0)))))))))</f>
        <v>dimasik</v>
      </c>
      <c r="B719" s="50" t="s">
        <v>189</v>
      </c>
      <c r="C719" s="51">
        <v>44927.0</v>
      </c>
      <c r="D719" s="51">
        <v>44957.0</v>
      </c>
      <c r="E719" s="52">
        <v>44927.0</v>
      </c>
      <c r="F719" s="53" t="s">
        <v>12</v>
      </c>
      <c r="G719" s="50" t="s">
        <v>5</v>
      </c>
      <c r="H719" s="54" t="s">
        <v>10</v>
      </c>
      <c r="I719" s="54" t="s">
        <v>11</v>
      </c>
      <c r="J719" s="55">
        <v>0.25</v>
      </c>
      <c r="K719" s="56">
        <v>4.0</v>
      </c>
      <c r="L719" s="57">
        <v>2.0</v>
      </c>
      <c r="M719" s="58">
        <v>0.0</v>
      </c>
      <c r="N719" s="33">
        <f t="shared" si="13"/>
        <v>1</v>
      </c>
      <c r="O719" s="59">
        <v>-93.0</v>
      </c>
      <c r="P719" s="34">
        <f t="shared" si="14"/>
        <v>-23.25</v>
      </c>
      <c r="Q719" s="60"/>
      <c r="R719" s="36">
        <f t="shared" si="99"/>
        <v>0</v>
      </c>
      <c r="S719" s="71"/>
      <c r="T719" s="37">
        <f t="shared" si="100"/>
        <v>2</v>
      </c>
      <c r="U719" s="62">
        <v>1.0</v>
      </c>
      <c r="V719" s="63"/>
      <c r="W719" s="63"/>
      <c r="X719" s="35">
        <f t="shared" si="126"/>
        <v>0.19</v>
      </c>
      <c r="Y719" s="35">
        <f t="shared" si="123"/>
        <v>0</v>
      </c>
      <c r="Z719" s="40">
        <f t="shared" si="127"/>
        <v>1.62</v>
      </c>
      <c r="AA719" s="34">
        <f t="shared" si="128"/>
        <v>0.38</v>
      </c>
      <c r="AB719" s="41">
        <f t="shared" si="109"/>
        <v>0</v>
      </c>
      <c r="AC719" s="42" t="b">
        <v>1</v>
      </c>
      <c r="AD719" s="42" t="s">
        <v>138</v>
      </c>
      <c r="AE719" s="42" t="s">
        <v>138</v>
      </c>
      <c r="AF719" s="42" t="str">
        <f t="array" ref="AF719">INDEX('Deal Info'!D:D, MATCH(A719,'Deal Info'!A:A, 0))</f>
        <v>Fix19</v>
      </c>
      <c r="AG719" s="43" t="str">
        <f t="array" ref="AG719">INDEX('Deal Info'!G:G, MATCH(A719,'Deal Info'!A:A, 0))</f>
        <v>None</v>
      </c>
    </row>
    <row r="720" hidden="1">
      <c r="A720" s="23" t="str">
        <f t="array" ref="A720">if(G720='Room Info'!$B$1, INDEX('Room Info'!$A$2:$A3446, MATCH(B720,'Room Info'!$B$2:$B3446, 0)),if(G720='Room Info'!$C$1, INDEX('Room Info'!$A$2:$A3446, MATCH(B720,'Room Info'!$C$2:$C3446, 0)),if(G720='Room Info'!$D$1, INDEX('Room Info'!$A$2:$A3446, MATCH(B720,'Room Info'!$D$2:$D3446, 0)),if(G720='Room Info'!$E$1, INDEX('Room Info'!$A$2:$A3446, MATCH(B720,'Room Info'!$E$2:$E3446, 0)),if(G720='Room Info'!$F$1, INDEX('Room Info'!$A$2:$A3446, MATCH(B720,'Room Info'!$F$2:$F3446, 0)),if(G720='Room Info'!$H$1, INDEX('Room Info'!$A$2:$A3446, MATCH(B720,'Room Info'!$H$2:$H3446, 0)),if(G720='Room Info'!$G$1, INDEX('Room Info'!$A$2:$A3446, MATCH(B720,'Room Info'!$G$2:$G3446, 0)))))))))</f>
        <v>dimasik</v>
      </c>
      <c r="B720" s="50" t="s">
        <v>189</v>
      </c>
      <c r="C720" s="51">
        <v>44927.0</v>
      </c>
      <c r="D720" s="51">
        <v>44957.0</v>
      </c>
      <c r="E720" s="52">
        <v>44927.0</v>
      </c>
      <c r="F720" s="53" t="s">
        <v>12</v>
      </c>
      <c r="G720" s="50" t="s">
        <v>5</v>
      </c>
      <c r="H720" s="54" t="s">
        <v>38</v>
      </c>
      <c r="I720" s="54" t="s">
        <v>11</v>
      </c>
      <c r="J720" s="55">
        <v>5.0</v>
      </c>
      <c r="K720" s="56">
        <v>1.0</v>
      </c>
      <c r="L720" s="57">
        <v>5.0</v>
      </c>
      <c r="M720" s="58">
        <v>0.0</v>
      </c>
      <c r="N720" s="33">
        <f t="shared" si="13"/>
        <v>5</v>
      </c>
      <c r="O720" s="59">
        <v>271.0</v>
      </c>
      <c r="P720" s="34">
        <f t="shared" si="14"/>
        <v>271</v>
      </c>
      <c r="Q720" s="60"/>
      <c r="R720" s="36">
        <f t="shared" si="99"/>
        <v>0</v>
      </c>
      <c r="S720" s="71"/>
      <c r="T720" s="37">
        <f t="shared" si="100"/>
        <v>5</v>
      </c>
      <c r="U720" s="62">
        <v>1.0</v>
      </c>
      <c r="V720" s="63"/>
      <c r="W720" s="63"/>
      <c r="X720" s="35">
        <f t="shared" si="126"/>
        <v>0.19</v>
      </c>
      <c r="Y720" s="35">
        <f t="shared" si="123"/>
        <v>0</v>
      </c>
      <c r="Z720" s="40">
        <f t="shared" si="127"/>
        <v>4.05</v>
      </c>
      <c r="AA720" s="34">
        <f t="shared" si="128"/>
        <v>0.95</v>
      </c>
      <c r="AB720" s="41">
        <f t="shared" si="109"/>
        <v>0</v>
      </c>
      <c r="AC720" s="42" t="b">
        <v>1</v>
      </c>
      <c r="AD720" s="42" t="s">
        <v>138</v>
      </c>
      <c r="AE720" s="42" t="s">
        <v>138</v>
      </c>
      <c r="AF720" s="42" t="str">
        <f t="array" ref="AF720">INDEX('Deal Info'!D:D, MATCH(A720,'Deal Info'!A:A, 0))</f>
        <v>Fix19</v>
      </c>
      <c r="AG720" s="43" t="str">
        <f t="array" ref="AG720">INDEX('Deal Info'!G:G, MATCH(A720,'Deal Info'!A:A, 0))</f>
        <v>None</v>
      </c>
    </row>
    <row r="721" hidden="1">
      <c r="A721" s="23" t="str">
        <f t="array" ref="A721">if(G721='Room Info'!$B$1, INDEX('Room Info'!$A$2:$A3446, MATCH(B721,'Room Info'!$B$2:$B3446, 0)),if(G721='Room Info'!$C$1, INDEX('Room Info'!$A$2:$A3446, MATCH(B721,'Room Info'!$C$2:$C3446, 0)),if(G721='Room Info'!$D$1, INDEX('Room Info'!$A$2:$A3446, MATCH(B721,'Room Info'!$D$2:$D3446, 0)),if(G721='Room Info'!$E$1, INDEX('Room Info'!$A$2:$A3446, MATCH(B721,'Room Info'!$E$2:$E3446, 0)),if(G721='Room Info'!$F$1, INDEX('Room Info'!$A$2:$A3446, MATCH(B721,'Room Info'!$F$2:$F3446, 0)),if(G721='Room Info'!$H$1, INDEX('Room Info'!$A$2:$A3446, MATCH(B721,'Room Info'!$H$2:$H3446, 0)),if(G721='Room Info'!$G$1, INDEX('Room Info'!$A$2:$A3446, MATCH(B721,'Room Info'!$G$2:$G3446, 0)))))))))</f>
        <v>dimasik</v>
      </c>
      <c r="B721" s="50" t="s">
        <v>189</v>
      </c>
      <c r="C721" s="51">
        <v>44927.0</v>
      </c>
      <c r="D721" s="51">
        <v>44957.0</v>
      </c>
      <c r="E721" s="52">
        <v>44927.0</v>
      </c>
      <c r="F721" s="53" t="s">
        <v>12</v>
      </c>
      <c r="G721" s="50" t="s">
        <v>5</v>
      </c>
      <c r="H721" s="54" t="s">
        <v>101</v>
      </c>
      <c r="I721" s="54" t="s">
        <v>7</v>
      </c>
      <c r="J721" s="55">
        <v>500.0</v>
      </c>
      <c r="K721" s="56">
        <v>3.0</v>
      </c>
      <c r="L721" s="57">
        <v>0.0</v>
      </c>
      <c r="M721" s="58">
        <v>55.0</v>
      </c>
      <c r="N721" s="33">
        <f t="shared" si="13"/>
        <v>1500</v>
      </c>
      <c r="O721" s="59">
        <v>-865.0</v>
      </c>
      <c r="P721" s="34">
        <f t="shared" si="14"/>
        <v>-288.3333333</v>
      </c>
      <c r="Q721" s="60"/>
      <c r="R721" s="36">
        <f t="shared" si="99"/>
        <v>55</v>
      </c>
      <c r="S721" s="71"/>
      <c r="T721" s="37">
        <f t="shared" si="100"/>
        <v>55</v>
      </c>
      <c r="U721" s="62">
        <v>1.0</v>
      </c>
      <c r="V721" s="63"/>
      <c r="W721" s="63"/>
      <c r="X721" s="35">
        <f t="shared" si="126"/>
        <v>0.19</v>
      </c>
      <c r="Y721" s="35">
        <f t="shared" si="123"/>
        <v>0</v>
      </c>
      <c r="Z721" s="40">
        <f t="shared" si="127"/>
        <v>44.55</v>
      </c>
      <c r="AA721" s="34">
        <f t="shared" si="128"/>
        <v>10.45</v>
      </c>
      <c r="AB721" s="41">
        <f t="shared" si="109"/>
        <v>0</v>
      </c>
      <c r="AC721" s="42" t="b">
        <v>1</v>
      </c>
      <c r="AD721" s="42" t="s">
        <v>138</v>
      </c>
      <c r="AE721" s="42" t="s">
        <v>138</v>
      </c>
      <c r="AF721" s="42" t="str">
        <f t="array" ref="AF721">INDEX('Deal Info'!D:D, MATCH(A721,'Deal Info'!A:A, 0))</f>
        <v>Fix19</v>
      </c>
      <c r="AG721" s="43" t="str">
        <f t="array" ref="AG721">INDEX('Deal Info'!G:G, MATCH(A721,'Deal Info'!A:A, 0))</f>
        <v>None</v>
      </c>
    </row>
    <row r="722" hidden="1">
      <c r="A722" s="23" t="str">
        <f t="array" ref="A722">if(G722='Room Info'!$B$1, INDEX('Room Info'!$A$2:$A3446, MATCH(B722,'Room Info'!$B$2:$B3446, 0)),if(G722='Room Info'!$C$1, INDEX('Room Info'!$A$2:$A3446, MATCH(B722,'Room Info'!$C$2:$C3446, 0)),if(G722='Room Info'!$D$1, INDEX('Room Info'!$A$2:$A3446, MATCH(B722,'Room Info'!$D$2:$D3446, 0)),if(G722='Room Info'!$E$1, INDEX('Room Info'!$A$2:$A3446, MATCH(B722,'Room Info'!$E$2:$E3446, 0)),if(G722='Room Info'!$F$1, INDEX('Room Info'!$A$2:$A3446, MATCH(B722,'Room Info'!$F$2:$F3446, 0)),if(G722='Room Info'!$H$1, INDEX('Room Info'!$A$2:$A3446, MATCH(B722,'Room Info'!$H$2:$H3446, 0)),if(G722='Room Info'!$G$1, INDEX('Room Info'!$A$2:$A3446, MATCH(B722,'Room Info'!$G$2:$G3446, 0)))))))))</f>
        <v>dimasik</v>
      </c>
      <c r="B722" s="50" t="s">
        <v>189</v>
      </c>
      <c r="C722" s="51">
        <v>44927.0</v>
      </c>
      <c r="D722" s="51">
        <v>44957.0</v>
      </c>
      <c r="E722" s="52">
        <v>44927.0</v>
      </c>
      <c r="F722" s="53" t="s">
        <v>12</v>
      </c>
      <c r="G722" s="50" t="s">
        <v>5</v>
      </c>
      <c r="H722" s="54" t="s">
        <v>86</v>
      </c>
      <c r="I722" s="54" t="s">
        <v>11</v>
      </c>
      <c r="J722" s="55">
        <v>100.0</v>
      </c>
      <c r="K722" s="56">
        <v>1966.0</v>
      </c>
      <c r="L722" s="57">
        <v>-14700.0</v>
      </c>
      <c r="M722" s="58">
        <v>7150.0</v>
      </c>
      <c r="N722" s="33">
        <f t="shared" si="13"/>
        <v>196600</v>
      </c>
      <c r="O722" s="59">
        <v>42109.0</v>
      </c>
      <c r="P722" s="34">
        <f t="shared" si="14"/>
        <v>21.41861648</v>
      </c>
      <c r="Q722" s="60"/>
      <c r="R722" s="36">
        <f t="shared" si="99"/>
        <v>7150</v>
      </c>
      <c r="S722" s="71"/>
      <c r="T722" s="37">
        <f t="shared" si="100"/>
        <v>-7550</v>
      </c>
      <c r="U722" s="62">
        <v>1.0</v>
      </c>
      <c r="V722" s="63"/>
      <c r="W722" s="63"/>
      <c r="X722" s="35">
        <f t="shared" si="126"/>
        <v>0.19</v>
      </c>
      <c r="Y722" s="35">
        <f t="shared" si="123"/>
        <v>0</v>
      </c>
      <c r="Z722" s="40">
        <f t="shared" si="127"/>
        <v>-6115.5</v>
      </c>
      <c r="AA722" s="34">
        <f t="shared" si="128"/>
        <v>-1434.5</v>
      </c>
      <c r="AB722" s="41">
        <f t="shared" si="109"/>
        <v>0</v>
      </c>
      <c r="AC722" s="42" t="b">
        <v>1</v>
      </c>
      <c r="AD722" s="42" t="s">
        <v>138</v>
      </c>
      <c r="AE722" s="42" t="s">
        <v>138</v>
      </c>
      <c r="AF722" s="42" t="str">
        <f t="array" ref="AF722">INDEX('Deal Info'!D:D, MATCH(A722,'Deal Info'!A:A, 0))</f>
        <v>Fix19</v>
      </c>
      <c r="AG722" s="43" t="str">
        <f t="array" ref="AG722">INDEX('Deal Info'!G:G, MATCH(A722,'Deal Info'!A:A, 0))</f>
        <v>None</v>
      </c>
    </row>
    <row r="723" hidden="1">
      <c r="A723" s="23" t="str">
        <f t="array" ref="A723">if(G723='Room Info'!$B$1, INDEX('Room Info'!$A$2:$A3446, MATCH(B723,'Room Info'!$B$2:$B3446, 0)),if(G723='Room Info'!$C$1, INDEX('Room Info'!$A$2:$A3446, MATCH(B723,'Room Info'!$C$2:$C3446, 0)),if(G723='Room Info'!$D$1, INDEX('Room Info'!$A$2:$A3446, MATCH(B723,'Room Info'!$D$2:$D3446, 0)),if(G723='Room Info'!$E$1, INDEX('Room Info'!$A$2:$A3446, MATCH(B723,'Room Info'!$E$2:$E3446, 0)),if(G723='Room Info'!$F$1, INDEX('Room Info'!$A$2:$A3446, MATCH(B723,'Room Info'!$F$2:$F3446, 0)),if(G723='Room Info'!$H$1, INDEX('Room Info'!$A$2:$A3446, MATCH(B723,'Room Info'!$H$2:$H3446, 0)),if(G723='Room Info'!$G$1, INDEX('Room Info'!$A$2:$A3446, MATCH(B723,'Room Info'!$G$2:$G3446, 0)))))))))</f>
        <v>dimasik</v>
      </c>
      <c r="B723" s="59" t="s">
        <v>189</v>
      </c>
      <c r="C723" s="51">
        <v>44927.0</v>
      </c>
      <c r="D723" s="51">
        <v>44957.0</v>
      </c>
      <c r="E723" s="52">
        <v>44927.0</v>
      </c>
      <c r="F723" s="50" t="s">
        <v>12</v>
      </c>
      <c r="G723" s="59" t="s">
        <v>5</v>
      </c>
      <c r="H723" s="54" t="s">
        <v>63</v>
      </c>
      <c r="I723" s="54" t="s">
        <v>11</v>
      </c>
      <c r="J723" s="55">
        <v>25.0</v>
      </c>
      <c r="K723" s="56">
        <v>2.0</v>
      </c>
      <c r="L723" s="57">
        <v>-50.0</v>
      </c>
      <c r="M723" s="58">
        <v>2.0</v>
      </c>
      <c r="N723" s="33">
        <f t="shared" si="13"/>
        <v>50</v>
      </c>
      <c r="O723" s="59">
        <v>-447.0</v>
      </c>
      <c r="P723" s="34">
        <f t="shared" si="14"/>
        <v>-223.5</v>
      </c>
      <c r="Q723" s="60"/>
      <c r="R723" s="36">
        <f t="shared" si="99"/>
        <v>2</v>
      </c>
      <c r="S723" s="71"/>
      <c r="T723" s="37">
        <f t="shared" si="100"/>
        <v>-48</v>
      </c>
      <c r="U723" s="62">
        <v>1.0</v>
      </c>
      <c r="V723" s="63"/>
      <c r="W723" s="63"/>
      <c r="X723" s="35">
        <f t="shared" si="126"/>
        <v>0.19</v>
      </c>
      <c r="Y723" s="35">
        <f t="shared" si="123"/>
        <v>0</v>
      </c>
      <c r="Z723" s="40">
        <f t="shared" si="127"/>
        <v>-38.88</v>
      </c>
      <c r="AA723" s="34">
        <f t="shared" si="128"/>
        <v>-9.12</v>
      </c>
      <c r="AB723" s="41">
        <f t="shared" si="109"/>
        <v>0</v>
      </c>
      <c r="AC723" s="42" t="b">
        <v>1</v>
      </c>
      <c r="AD723" s="42" t="s">
        <v>138</v>
      </c>
      <c r="AE723" s="42" t="s">
        <v>138</v>
      </c>
      <c r="AF723" s="42" t="str">
        <f t="array" ref="AF723">INDEX('Deal Info'!D:D, MATCH(A723,'Deal Info'!A:A, 0))</f>
        <v>Fix19</v>
      </c>
      <c r="AG723" s="43" t="str">
        <f t="array" ref="AG723">INDEX('Deal Info'!G:G, MATCH(A723,'Deal Info'!A:A, 0))</f>
        <v>None</v>
      </c>
    </row>
    <row r="724" hidden="1">
      <c r="A724" s="23" t="str">
        <f t="array" ref="A724">if(G724='Room Info'!$B$1, INDEX('Room Info'!$A$2:$A3446, MATCH(B724,'Room Info'!$B$2:$B3446, 0)),if(G724='Room Info'!$C$1, INDEX('Room Info'!$A$2:$A3446, MATCH(B724,'Room Info'!$C$2:$C3446, 0)),if(G724='Room Info'!$D$1, INDEX('Room Info'!$A$2:$A3446, MATCH(B724,'Room Info'!$D$2:$D3446, 0)),if(G724='Room Info'!$E$1, INDEX('Room Info'!$A$2:$A3446, MATCH(B724,'Room Info'!$E$2:$E3446, 0)),if(G724='Room Info'!$F$1, INDEX('Room Info'!$A$2:$A3446, MATCH(B724,'Room Info'!$F$2:$F3446, 0)),if(G724='Room Info'!$H$1, INDEX('Room Info'!$A$2:$A3446, MATCH(B724,'Room Info'!$H$2:$H3446, 0)),if(G724='Room Info'!$G$1, INDEX('Room Info'!$A$2:$A3446, MATCH(B724,'Room Info'!$G$2:$G3446, 0)))))))))</f>
        <v>dimasik</v>
      </c>
      <c r="B724" s="59" t="s">
        <v>189</v>
      </c>
      <c r="C724" s="51">
        <v>44927.0</v>
      </c>
      <c r="D724" s="51">
        <v>44957.0</v>
      </c>
      <c r="E724" s="52">
        <v>44927.0</v>
      </c>
      <c r="F724" s="50" t="s">
        <v>12</v>
      </c>
      <c r="G724" s="59" t="s">
        <v>5</v>
      </c>
      <c r="H724" s="54" t="s">
        <v>75</v>
      </c>
      <c r="I724" s="54" t="s">
        <v>11</v>
      </c>
      <c r="J724" s="55">
        <v>50.0</v>
      </c>
      <c r="K724" s="56">
        <v>1243.0</v>
      </c>
      <c r="L724" s="57">
        <v>1350.0</v>
      </c>
      <c r="M724" s="58">
        <v>2712.0</v>
      </c>
      <c r="N724" s="33">
        <f t="shared" si="13"/>
        <v>62150</v>
      </c>
      <c r="O724" s="59">
        <v>26615.0</v>
      </c>
      <c r="P724" s="34">
        <f t="shared" si="14"/>
        <v>21.41190668</v>
      </c>
      <c r="Q724" s="60"/>
      <c r="R724" s="36">
        <f t="shared" si="99"/>
        <v>2712</v>
      </c>
      <c r="S724" s="71"/>
      <c r="T724" s="37">
        <f t="shared" si="100"/>
        <v>4062</v>
      </c>
      <c r="U724" s="62">
        <v>1.0</v>
      </c>
      <c r="V724" s="63"/>
      <c r="W724" s="63"/>
      <c r="X724" s="35">
        <f t="shared" si="126"/>
        <v>0.19</v>
      </c>
      <c r="Y724" s="35">
        <f t="shared" si="123"/>
        <v>0</v>
      </c>
      <c r="Z724" s="40">
        <f t="shared" si="127"/>
        <v>3290.22</v>
      </c>
      <c r="AA724" s="34">
        <f t="shared" si="128"/>
        <v>771.78</v>
      </c>
      <c r="AB724" s="41">
        <f t="shared" si="109"/>
        <v>0</v>
      </c>
      <c r="AC724" s="42" t="b">
        <v>1</v>
      </c>
      <c r="AD724" s="42" t="s">
        <v>138</v>
      </c>
      <c r="AE724" s="42" t="s">
        <v>138</v>
      </c>
      <c r="AF724" s="42" t="str">
        <f t="array" ref="AF724">INDEX('Deal Info'!D:D, MATCH(A724,'Deal Info'!A:A, 0))</f>
        <v>Fix19</v>
      </c>
      <c r="AG724" s="43" t="str">
        <f t="array" ref="AG724">INDEX('Deal Info'!G:G, MATCH(A724,'Deal Info'!A:A, 0))</f>
        <v>None</v>
      </c>
    </row>
    <row r="725" hidden="1">
      <c r="A725" s="23" t="str">
        <f t="array" ref="A725">if(G725='Room Info'!$B$1, INDEX('Room Info'!$A$2:$A3446, MATCH(B725,'Room Info'!$B$2:$B3446, 0)),if(G725='Room Info'!$C$1, INDEX('Room Info'!$A$2:$A3446, MATCH(B725,'Room Info'!$C$2:$C3446, 0)),if(G725='Room Info'!$D$1, INDEX('Room Info'!$A$2:$A3446, MATCH(B725,'Room Info'!$D$2:$D3446, 0)),if(G725='Room Info'!$E$1, INDEX('Room Info'!$A$2:$A3446, MATCH(B725,'Room Info'!$E$2:$E3446, 0)),if(G725='Room Info'!$F$1, INDEX('Room Info'!$A$2:$A3446, MATCH(B725,'Room Info'!$F$2:$F3446, 0)),if(G725='Room Info'!$H$1, INDEX('Room Info'!$A$2:$A3446, MATCH(B725,'Room Info'!$H$2:$H3446, 0)),if(G725='Room Info'!$G$1, INDEX('Room Info'!$A$2:$A3446, MATCH(B725,'Room Info'!$G$2:$G3446, 0)))))))))</f>
        <v>dimasik</v>
      </c>
      <c r="B725" s="50" t="s">
        <v>189</v>
      </c>
      <c r="C725" s="51">
        <v>44927.0</v>
      </c>
      <c r="D725" s="51">
        <v>44957.0</v>
      </c>
      <c r="E725" s="52">
        <v>44927.0</v>
      </c>
      <c r="F725" s="53" t="s">
        <v>12</v>
      </c>
      <c r="G725" s="50" t="s">
        <v>5</v>
      </c>
      <c r="H725" s="54" t="s">
        <v>96</v>
      </c>
      <c r="I725" s="54" t="s">
        <v>7</v>
      </c>
      <c r="J725" s="55">
        <v>250.0</v>
      </c>
      <c r="K725" s="56">
        <v>112.0</v>
      </c>
      <c r="L725" s="57">
        <v>-250.0</v>
      </c>
      <c r="M725" s="58">
        <v>1018.0</v>
      </c>
      <c r="N725" s="33">
        <f t="shared" si="13"/>
        <v>28000</v>
      </c>
      <c r="O725" s="59">
        <v>994.0</v>
      </c>
      <c r="P725" s="34">
        <f t="shared" si="14"/>
        <v>8.875</v>
      </c>
      <c r="Q725" s="60"/>
      <c r="R725" s="36">
        <f t="shared" si="99"/>
        <v>1018</v>
      </c>
      <c r="S725" s="71"/>
      <c r="T725" s="37">
        <f t="shared" si="100"/>
        <v>768</v>
      </c>
      <c r="U725" s="62">
        <v>1.0</v>
      </c>
      <c r="V725" s="63"/>
      <c r="W725" s="63"/>
      <c r="X725" s="35">
        <f t="shared" si="126"/>
        <v>0.19</v>
      </c>
      <c r="Y725" s="35">
        <f t="shared" si="123"/>
        <v>0</v>
      </c>
      <c r="Z725" s="40">
        <f t="shared" si="127"/>
        <v>622.08</v>
      </c>
      <c r="AA725" s="34">
        <f t="shared" si="128"/>
        <v>145.92</v>
      </c>
      <c r="AB725" s="41">
        <f t="shared" si="109"/>
        <v>0</v>
      </c>
      <c r="AC725" s="42" t="b">
        <v>1</v>
      </c>
      <c r="AD725" s="42" t="s">
        <v>138</v>
      </c>
      <c r="AE725" s="42" t="s">
        <v>138</v>
      </c>
      <c r="AF725" s="42" t="str">
        <f t="array" ref="AF725">INDEX('Deal Info'!D:D, MATCH(A725,'Deal Info'!A:A, 0))</f>
        <v>Fix19</v>
      </c>
      <c r="AG725" s="43" t="str">
        <f t="array" ref="AG725">INDEX('Deal Info'!G:G, MATCH(A725,'Deal Info'!A:A, 0))</f>
        <v>None</v>
      </c>
    </row>
    <row r="726" hidden="1">
      <c r="A726" s="23" t="str">
        <f t="array" ref="A726">if(G726='Room Info'!$B$1, INDEX('Room Info'!$A$2:$A3446, MATCH(B726,'Room Info'!$B$2:$B3446, 0)),if(G726='Room Info'!$C$1, INDEX('Room Info'!$A$2:$A3446, MATCH(B726,'Room Info'!$C$2:$C3446, 0)),if(G726='Room Info'!$D$1, INDEX('Room Info'!$A$2:$A3446, MATCH(B726,'Room Info'!$D$2:$D3446, 0)),if(G726='Room Info'!$E$1, INDEX('Room Info'!$A$2:$A3446, MATCH(B726,'Room Info'!$E$2:$E3446, 0)),if(G726='Room Info'!$F$1, INDEX('Room Info'!$A$2:$A3446, MATCH(B726,'Room Info'!$F$2:$F3446, 0)),if(G726='Room Info'!$H$1, INDEX('Room Info'!$A$2:$A3446, MATCH(B726,'Room Info'!$H$2:$H3446, 0)),if(G726='Room Info'!$G$1, INDEX('Room Info'!$A$2:$A3446, MATCH(B726,'Room Info'!$G$2:$G3446, 0)))))))))</f>
        <v>dimasik</v>
      </c>
      <c r="B726" s="50" t="s">
        <v>189</v>
      </c>
      <c r="C726" s="51">
        <v>44927.0</v>
      </c>
      <c r="D726" s="51">
        <v>44957.0</v>
      </c>
      <c r="E726" s="52">
        <v>44927.0</v>
      </c>
      <c r="F726" s="53" t="s">
        <v>12</v>
      </c>
      <c r="G726" s="50" t="s">
        <v>5</v>
      </c>
      <c r="H726" s="54" t="s">
        <v>85</v>
      </c>
      <c r="I726" s="54" t="s">
        <v>7</v>
      </c>
      <c r="J726" s="55">
        <v>100.0</v>
      </c>
      <c r="K726" s="56">
        <v>1812.0</v>
      </c>
      <c r="L726" s="57">
        <v>7600.0</v>
      </c>
      <c r="M726" s="58">
        <v>6590.0</v>
      </c>
      <c r="N726" s="33">
        <f t="shared" si="13"/>
        <v>181200</v>
      </c>
      <c r="O726" s="59">
        <v>38810.0</v>
      </c>
      <c r="P726" s="34">
        <f t="shared" si="14"/>
        <v>21.4183223</v>
      </c>
      <c r="Q726" s="60"/>
      <c r="R726" s="36">
        <f t="shared" si="99"/>
        <v>6590</v>
      </c>
      <c r="S726" s="71"/>
      <c r="T726" s="37">
        <f t="shared" si="100"/>
        <v>14190</v>
      </c>
      <c r="U726" s="62">
        <v>1.0</v>
      </c>
      <c r="V726" s="63"/>
      <c r="W726" s="63"/>
      <c r="X726" s="35">
        <f t="shared" si="126"/>
        <v>0.19</v>
      </c>
      <c r="Y726" s="35">
        <f t="shared" si="123"/>
        <v>0</v>
      </c>
      <c r="Z726" s="40">
        <f t="shared" si="127"/>
        <v>11493.9</v>
      </c>
      <c r="AA726" s="34">
        <f t="shared" si="128"/>
        <v>2696.1</v>
      </c>
      <c r="AB726" s="41">
        <f t="shared" si="109"/>
        <v>0</v>
      </c>
      <c r="AC726" s="42" t="b">
        <v>1</v>
      </c>
      <c r="AD726" s="42" t="s">
        <v>138</v>
      </c>
      <c r="AE726" s="42" t="s">
        <v>138</v>
      </c>
      <c r="AF726" s="42" t="str">
        <f t="array" ref="AF726">INDEX('Deal Info'!D:D, MATCH(A726,'Deal Info'!A:A, 0))</f>
        <v>Fix19</v>
      </c>
      <c r="AG726" s="43" t="str">
        <f t="array" ref="AG726">INDEX('Deal Info'!G:G, MATCH(A726,'Deal Info'!A:A, 0))</f>
        <v>None</v>
      </c>
    </row>
    <row r="727" hidden="1">
      <c r="A727" s="23" t="str">
        <f t="array" ref="A727">if(G727='Room Info'!$B$1, INDEX('Room Info'!$A$2:$A3446, MATCH(B727,'Room Info'!$B$2:$B3446, 0)),if(G727='Room Info'!$C$1, INDEX('Room Info'!$A$2:$A3446, MATCH(B727,'Room Info'!$C$2:$C3446, 0)),if(G727='Room Info'!$D$1, INDEX('Room Info'!$A$2:$A3446, MATCH(B727,'Room Info'!$D$2:$D3446, 0)),if(G727='Room Info'!$E$1, INDEX('Room Info'!$A$2:$A3446, MATCH(B727,'Room Info'!$E$2:$E3446, 0)),if(G727='Room Info'!$F$1, INDEX('Room Info'!$A$2:$A3446, MATCH(B727,'Room Info'!$F$2:$F3446, 0)),if(G727='Room Info'!$H$1, INDEX('Room Info'!$A$2:$A3446, MATCH(B727,'Room Info'!$H$2:$H3446, 0)),if(G727='Room Info'!$G$1, INDEX('Room Info'!$A$2:$A3446, MATCH(B727,'Room Info'!$G$2:$G3446, 0)))))))))</f>
        <v>dimasik</v>
      </c>
      <c r="B727" s="50" t="s">
        <v>189</v>
      </c>
      <c r="C727" s="51">
        <v>44927.0</v>
      </c>
      <c r="D727" s="51">
        <v>44957.0</v>
      </c>
      <c r="E727" s="52">
        <v>44927.0</v>
      </c>
      <c r="F727" s="53" t="s">
        <v>12</v>
      </c>
      <c r="G727" s="50" t="s">
        <v>5</v>
      </c>
      <c r="H727" s="54" t="s">
        <v>97</v>
      </c>
      <c r="I727" s="54" t="s">
        <v>11</v>
      </c>
      <c r="J727" s="55">
        <v>250.0</v>
      </c>
      <c r="K727" s="56">
        <v>157.0</v>
      </c>
      <c r="L727" s="57">
        <v>-5250.0</v>
      </c>
      <c r="M727" s="58">
        <v>1427.0</v>
      </c>
      <c r="N727" s="33">
        <f t="shared" si="13"/>
        <v>39250</v>
      </c>
      <c r="O727" s="59">
        <v>1394.0</v>
      </c>
      <c r="P727" s="34">
        <f t="shared" si="14"/>
        <v>8.878980892</v>
      </c>
      <c r="Q727" s="60"/>
      <c r="R727" s="36">
        <f t="shared" si="99"/>
        <v>1427</v>
      </c>
      <c r="S727" s="71"/>
      <c r="T727" s="37">
        <f t="shared" si="100"/>
        <v>-3823</v>
      </c>
      <c r="U727" s="62">
        <v>1.0</v>
      </c>
      <c r="V727" s="63"/>
      <c r="W727" s="63"/>
      <c r="X727" s="35">
        <f t="shared" si="126"/>
        <v>0.19</v>
      </c>
      <c r="Y727" s="35">
        <f t="shared" si="123"/>
        <v>0</v>
      </c>
      <c r="Z727" s="40">
        <f t="shared" si="127"/>
        <v>-3096.63</v>
      </c>
      <c r="AA727" s="34">
        <f t="shared" si="128"/>
        <v>-726.37</v>
      </c>
      <c r="AB727" s="41">
        <f t="shared" si="109"/>
        <v>0</v>
      </c>
      <c r="AC727" s="42" t="b">
        <v>1</v>
      </c>
      <c r="AD727" s="42" t="s">
        <v>138</v>
      </c>
      <c r="AE727" s="42" t="s">
        <v>138</v>
      </c>
      <c r="AF727" s="42" t="str">
        <f t="array" ref="AF727">INDEX('Deal Info'!D:D, MATCH(A727,'Deal Info'!A:A, 0))</f>
        <v>Fix19</v>
      </c>
      <c r="AG727" s="43" t="str">
        <f t="array" ref="AG727">INDEX('Deal Info'!G:G, MATCH(A727,'Deal Info'!A:A, 0))</f>
        <v>None</v>
      </c>
    </row>
    <row r="728" hidden="1">
      <c r="A728" s="23" t="str">
        <f t="array" ref="A728">if(G728='Room Info'!$B$1, INDEX('Room Info'!$A$2:$A3446, MATCH(B728,'Room Info'!$B$2:$B3446, 0)),if(G728='Room Info'!$C$1, INDEX('Room Info'!$A$2:$A3446, MATCH(B728,'Room Info'!$C$2:$C3446, 0)),if(G728='Room Info'!$D$1, INDEX('Room Info'!$A$2:$A3446, MATCH(B728,'Room Info'!$D$2:$D3446, 0)),if(G728='Room Info'!$E$1, INDEX('Room Info'!$A$2:$A3446, MATCH(B728,'Room Info'!$E$2:$E3446, 0)),if(G728='Room Info'!$F$1, INDEX('Room Info'!$A$2:$A3446, MATCH(B728,'Room Info'!$F$2:$F3446, 0)),if(G728='Room Info'!$H$1, INDEX('Room Info'!$A$2:$A3446, MATCH(B728,'Room Info'!$H$2:$H3446, 0)),if(G728='Room Info'!$G$1, INDEX('Room Info'!$A$2:$A3446, MATCH(B728,'Room Info'!$G$2:$G3446, 0)))))))))</f>
        <v>ekomlev98</v>
      </c>
      <c r="B728" s="50" t="s">
        <v>190</v>
      </c>
      <c r="C728" s="51">
        <v>44733.0</v>
      </c>
      <c r="D728" s="51">
        <v>44762.0</v>
      </c>
      <c r="E728" s="95">
        <v>44743.0</v>
      </c>
      <c r="F728" s="50" t="s">
        <v>4</v>
      </c>
      <c r="G728" s="59" t="s">
        <v>5</v>
      </c>
      <c r="H728" s="54" t="s">
        <v>45</v>
      </c>
      <c r="I728" s="54" t="s">
        <v>7</v>
      </c>
      <c r="J728" s="55">
        <v>10.0</v>
      </c>
      <c r="K728" s="56">
        <v>2221.0</v>
      </c>
      <c r="L728" s="57">
        <v>100.0</v>
      </c>
      <c r="M728" s="58">
        <v>560.0</v>
      </c>
      <c r="N728" s="33">
        <f t="shared" si="13"/>
        <v>22210</v>
      </c>
      <c r="O728" s="59">
        <v>99244.0</v>
      </c>
      <c r="P728" s="34">
        <f t="shared" si="14"/>
        <v>44.68437641</v>
      </c>
      <c r="Q728" s="60"/>
      <c r="R728" s="36">
        <f t="shared" si="99"/>
        <v>560</v>
      </c>
      <c r="S728" s="61">
        <v>116.0</v>
      </c>
      <c r="T728" s="37">
        <f t="shared" si="100"/>
        <v>676</v>
      </c>
      <c r="U728" s="62">
        <v>1.0</v>
      </c>
      <c r="V728" s="63"/>
      <c r="W728" s="63"/>
      <c r="X728" s="83">
        <v>0.3</v>
      </c>
      <c r="Y728" s="35">
        <f t="shared" si="123"/>
        <v>0</v>
      </c>
      <c r="Z728" s="40">
        <f t="shared" si="127"/>
        <v>473.2</v>
      </c>
      <c r="AA728" s="34">
        <f t="shared" si="128"/>
        <v>202.8</v>
      </c>
      <c r="AB728" s="41">
        <f t="shared" si="109"/>
        <v>0</v>
      </c>
      <c r="AC728" s="42" t="b">
        <v>1</v>
      </c>
      <c r="AD728" s="42" t="s">
        <v>138</v>
      </c>
      <c r="AE728" s="42" t="s">
        <v>138</v>
      </c>
      <c r="AF728" s="42" t="str">
        <f t="array" ref="AF728">INDEX('Deal Info'!D:D, MATCH(A728,'Deal Info'!A:A, 0))</f>
        <v>SF</v>
      </c>
      <c r="AG728" s="43" t="str">
        <f t="array" ref="AG728">INDEX('Deal Info'!G:G, MATCH(A728,'Deal Info'!A:A, 0))</f>
        <v>None</v>
      </c>
    </row>
    <row r="729" hidden="1">
      <c r="A729" s="23" t="str">
        <f t="array" ref="A729">if(G729='Room Info'!$B$1, INDEX('Room Info'!$A$2:$A3446, MATCH(B729,'Room Info'!$B$2:$B3446, 0)),if(G729='Room Info'!$C$1, INDEX('Room Info'!$A$2:$A3446, MATCH(B729,'Room Info'!$C$2:$C3446, 0)),if(G729='Room Info'!$D$1, INDEX('Room Info'!$A$2:$A3446, MATCH(B729,'Room Info'!$D$2:$D3446, 0)),if(G729='Room Info'!$E$1, INDEX('Room Info'!$A$2:$A3446, MATCH(B729,'Room Info'!$E$2:$E3446, 0)),if(G729='Room Info'!$F$1, INDEX('Room Info'!$A$2:$A3446, MATCH(B729,'Room Info'!$F$2:$F3446, 0)),if(G729='Room Info'!$H$1, INDEX('Room Info'!$A$2:$A3446, MATCH(B729,'Room Info'!$H$2:$H3446, 0)),if(G729='Room Info'!$G$1, INDEX('Room Info'!$A$2:$A3446, MATCH(B729,'Room Info'!$G$2:$G3446, 0)))))))))</f>
        <v>ekomlev98</v>
      </c>
      <c r="B729" s="50" t="s">
        <v>190</v>
      </c>
      <c r="C729" s="51">
        <v>44733.0</v>
      </c>
      <c r="D729" s="51">
        <v>44762.0</v>
      </c>
      <c r="E729" s="52">
        <v>44743.0</v>
      </c>
      <c r="F729" s="50" t="s">
        <v>4</v>
      </c>
      <c r="G729" s="59" t="s">
        <v>5</v>
      </c>
      <c r="H729" s="54" t="s">
        <v>62</v>
      </c>
      <c r="I729" s="54" t="s">
        <v>7</v>
      </c>
      <c r="J729" s="55">
        <v>25.0</v>
      </c>
      <c r="K729" s="56">
        <v>1157.0</v>
      </c>
      <c r="L729" s="57">
        <v>325.0</v>
      </c>
      <c r="M729" s="58">
        <v>625.0</v>
      </c>
      <c r="N729" s="33">
        <f t="shared" si="13"/>
        <v>28925</v>
      </c>
      <c r="O729" s="59">
        <v>23770.0</v>
      </c>
      <c r="P729" s="34">
        <f t="shared" si="14"/>
        <v>20.54451167</v>
      </c>
      <c r="Q729" s="60"/>
      <c r="R729" s="36">
        <f t="shared" si="99"/>
        <v>625</v>
      </c>
      <c r="S729" s="61">
        <v>-827.0</v>
      </c>
      <c r="T729" s="37">
        <f t="shared" si="100"/>
        <v>-202</v>
      </c>
      <c r="U729" s="62">
        <v>1.0</v>
      </c>
      <c r="V729" s="63"/>
      <c r="W729" s="63"/>
      <c r="X729" s="83">
        <v>0.3</v>
      </c>
      <c r="Y729" s="35">
        <f t="shared" si="123"/>
        <v>0</v>
      </c>
      <c r="Z729" s="40">
        <f t="shared" si="127"/>
        <v>-141.4</v>
      </c>
      <c r="AA729" s="34">
        <f t="shared" si="128"/>
        <v>-60.6</v>
      </c>
      <c r="AB729" s="41">
        <f t="shared" si="109"/>
        <v>0</v>
      </c>
      <c r="AC729" s="42" t="b">
        <v>1</v>
      </c>
      <c r="AD729" s="42" t="s">
        <v>138</v>
      </c>
      <c r="AE729" s="42" t="s">
        <v>138</v>
      </c>
      <c r="AF729" s="42" t="str">
        <f t="array" ref="AF729">INDEX('Deal Info'!D:D, MATCH(A729,'Deal Info'!A:A, 0))</f>
        <v>SF</v>
      </c>
      <c r="AG729" s="43" t="str">
        <f t="array" ref="AG729">INDEX('Deal Info'!G:G, MATCH(A729,'Deal Info'!A:A, 0))</f>
        <v>None</v>
      </c>
    </row>
    <row r="730" hidden="1">
      <c r="A730" s="23" t="str">
        <f t="array" ref="A730">if(G730='Room Info'!$B$1, INDEX('Room Info'!$A$2:$A3446, MATCH(B730,'Room Info'!$B$2:$B3446, 0)),if(G730='Room Info'!$C$1, INDEX('Room Info'!$A$2:$A3446, MATCH(B730,'Room Info'!$C$2:$C3446, 0)),if(G730='Room Info'!$D$1, INDEX('Room Info'!$A$2:$A3446, MATCH(B730,'Room Info'!$D$2:$D3446, 0)),if(G730='Room Info'!$E$1, INDEX('Room Info'!$A$2:$A3446, MATCH(B730,'Room Info'!$E$2:$E3446, 0)),if(G730='Room Info'!$F$1, INDEX('Room Info'!$A$2:$A3446, MATCH(B730,'Room Info'!$F$2:$F3446, 0)),if(G730='Room Info'!$H$1, INDEX('Room Info'!$A$2:$A3446, MATCH(B730,'Room Info'!$H$2:$H3446, 0)),if(G730='Room Info'!$G$1, INDEX('Room Info'!$A$2:$A3446, MATCH(B730,'Room Info'!$G$2:$G3446, 0)))))))))</f>
        <v>ekomlev98</v>
      </c>
      <c r="B730" s="50" t="s">
        <v>190</v>
      </c>
      <c r="C730" s="51">
        <v>44763.0</v>
      </c>
      <c r="D730" s="51">
        <v>44793.0</v>
      </c>
      <c r="E730" s="52">
        <v>44774.0</v>
      </c>
      <c r="F730" s="50" t="s">
        <v>4</v>
      </c>
      <c r="G730" s="59" t="s">
        <v>5</v>
      </c>
      <c r="H730" s="54" t="s">
        <v>45</v>
      </c>
      <c r="I730" s="54" t="s">
        <v>7</v>
      </c>
      <c r="J730" s="55">
        <v>10.0</v>
      </c>
      <c r="K730" s="56">
        <v>4332.0</v>
      </c>
      <c r="L730" s="57">
        <v>-1010.0</v>
      </c>
      <c r="M730" s="58">
        <v>1080.0</v>
      </c>
      <c r="N730" s="33">
        <f t="shared" si="13"/>
        <v>43320</v>
      </c>
      <c r="O730" s="59">
        <v>209816.0</v>
      </c>
      <c r="P730" s="34">
        <f t="shared" si="14"/>
        <v>48.43397969</v>
      </c>
      <c r="Q730" s="60"/>
      <c r="R730" s="36">
        <f t="shared" si="99"/>
        <v>1080</v>
      </c>
      <c r="S730" s="61">
        <v>618.0</v>
      </c>
      <c r="T730" s="37">
        <f t="shared" si="100"/>
        <v>1698</v>
      </c>
      <c r="U730" s="62">
        <v>1.0</v>
      </c>
      <c r="V730" s="63"/>
      <c r="W730" s="63"/>
      <c r="X730" s="83">
        <v>0.25</v>
      </c>
      <c r="Y730" s="35">
        <f t="shared" si="123"/>
        <v>0</v>
      </c>
      <c r="Z730" s="40">
        <f t="shared" si="127"/>
        <v>1273.5</v>
      </c>
      <c r="AA730" s="34">
        <f t="shared" si="128"/>
        <v>424.5</v>
      </c>
      <c r="AB730" s="41">
        <f t="shared" si="109"/>
        <v>0</v>
      </c>
      <c r="AC730" s="42" t="b">
        <v>1</v>
      </c>
      <c r="AD730" s="42" t="s">
        <v>138</v>
      </c>
      <c r="AE730" s="42" t="s">
        <v>138</v>
      </c>
      <c r="AF730" s="42" t="str">
        <f t="array" ref="AF730">INDEX('Deal Info'!D:D, MATCH(A730,'Deal Info'!A:A, 0))</f>
        <v>SF</v>
      </c>
      <c r="AG730" s="43" t="str">
        <f t="array" ref="AG730">INDEX('Deal Info'!G:G, MATCH(A730,'Deal Info'!A:A, 0))</f>
        <v>None</v>
      </c>
    </row>
    <row r="731" hidden="1">
      <c r="A731" s="23" t="str">
        <f t="array" ref="A731">if(G731='Room Info'!$B$1, INDEX('Room Info'!$A$2:$A3446, MATCH(B731,'Room Info'!$B$2:$B3446, 0)),if(G731='Room Info'!$C$1, INDEX('Room Info'!$A$2:$A3446, MATCH(B731,'Room Info'!$C$2:$C3446, 0)),if(G731='Room Info'!$D$1, INDEX('Room Info'!$A$2:$A3446, MATCH(B731,'Room Info'!$D$2:$D3446, 0)),if(G731='Room Info'!$E$1, INDEX('Room Info'!$A$2:$A3446, MATCH(B731,'Room Info'!$E$2:$E3446, 0)),if(G731='Room Info'!$F$1, INDEX('Room Info'!$A$2:$A3446, MATCH(B731,'Room Info'!$F$2:$F3446, 0)),if(G731='Room Info'!$H$1, INDEX('Room Info'!$A$2:$A3446, MATCH(B731,'Room Info'!$H$2:$H3446, 0)),if(G731='Room Info'!$G$1, INDEX('Room Info'!$A$2:$A3446, MATCH(B731,'Room Info'!$G$2:$G3446, 0)))))))))</f>
        <v>ekomlev98</v>
      </c>
      <c r="B731" s="50" t="s">
        <v>190</v>
      </c>
      <c r="C731" s="51">
        <v>44763.0</v>
      </c>
      <c r="D731" s="51">
        <v>44793.0</v>
      </c>
      <c r="E731" s="52">
        <v>44774.0</v>
      </c>
      <c r="F731" s="50" t="s">
        <v>12</v>
      </c>
      <c r="G731" s="59" t="s">
        <v>5</v>
      </c>
      <c r="H731" s="54" t="s">
        <v>35</v>
      </c>
      <c r="I731" s="54" t="s">
        <v>7</v>
      </c>
      <c r="J731" s="55">
        <v>5.0</v>
      </c>
      <c r="K731" s="56">
        <v>3.0</v>
      </c>
      <c r="L731" s="57">
        <v>-15.0</v>
      </c>
      <c r="M731" s="58"/>
      <c r="N731" s="33">
        <f t="shared" si="13"/>
        <v>15</v>
      </c>
      <c r="O731" s="59"/>
      <c r="P731" s="34">
        <f t="shared" si="14"/>
        <v>0</v>
      </c>
      <c r="Q731" s="60"/>
      <c r="R731" s="36">
        <f t="shared" si="99"/>
        <v>0</v>
      </c>
      <c r="S731" s="61"/>
      <c r="T731" s="37">
        <f t="shared" si="100"/>
        <v>-15</v>
      </c>
      <c r="U731" s="62">
        <v>1.0</v>
      </c>
      <c r="V731" s="63"/>
      <c r="W731" s="63"/>
      <c r="X731" s="83">
        <v>0.25</v>
      </c>
      <c r="Y731" s="35">
        <f t="shared" si="123"/>
        <v>0</v>
      </c>
      <c r="Z731" s="40">
        <f t="shared" si="127"/>
        <v>-11.25</v>
      </c>
      <c r="AA731" s="34">
        <f t="shared" si="128"/>
        <v>-3.75</v>
      </c>
      <c r="AB731" s="41">
        <f t="shared" si="109"/>
        <v>0</v>
      </c>
      <c r="AC731" s="42" t="b">
        <v>1</v>
      </c>
      <c r="AD731" s="42" t="s">
        <v>138</v>
      </c>
      <c r="AE731" s="42" t="s">
        <v>138</v>
      </c>
      <c r="AF731" s="42" t="str">
        <f t="array" ref="AF731">INDEX('Deal Info'!D:D, MATCH(A731,'Deal Info'!A:A, 0))</f>
        <v>SF</v>
      </c>
      <c r="AG731" s="43" t="str">
        <f t="array" ref="AG731">INDEX('Deal Info'!G:G, MATCH(A731,'Deal Info'!A:A, 0))</f>
        <v>None</v>
      </c>
    </row>
    <row r="732" hidden="1">
      <c r="A732" s="23" t="str">
        <f t="array" ref="A732">if(G732='Room Info'!$B$1, INDEX('Room Info'!$A$2:$A3446, MATCH(B732,'Room Info'!$B$2:$B3446, 0)),if(G732='Room Info'!$C$1, INDEX('Room Info'!$A$2:$A3446, MATCH(B732,'Room Info'!$C$2:$C3446, 0)),if(G732='Room Info'!$D$1, INDEX('Room Info'!$A$2:$A3446, MATCH(B732,'Room Info'!$D$2:$D3446, 0)),if(G732='Room Info'!$E$1, INDEX('Room Info'!$A$2:$A3446, MATCH(B732,'Room Info'!$E$2:$E3446, 0)),if(G732='Room Info'!$F$1, INDEX('Room Info'!$A$2:$A3446, MATCH(B732,'Room Info'!$F$2:$F3446, 0)),if(G732='Room Info'!$H$1, INDEX('Room Info'!$A$2:$A3446, MATCH(B732,'Room Info'!$H$2:$H3446, 0)),if(G732='Room Info'!$G$1, INDEX('Room Info'!$A$2:$A3446, MATCH(B732,'Room Info'!$G$2:$G3446, 0)))))))))</f>
        <v>ekomlev98</v>
      </c>
      <c r="B732" s="50" t="s">
        <v>190</v>
      </c>
      <c r="C732" s="51">
        <v>44763.0</v>
      </c>
      <c r="D732" s="51">
        <v>44793.0</v>
      </c>
      <c r="E732" s="52">
        <v>44774.0</v>
      </c>
      <c r="F732" s="50" t="s">
        <v>12</v>
      </c>
      <c r="G732" s="59" t="s">
        <v>5</v>
      </c>
      <c r="H732" s="54" t="s">
        <v>20</v>
      </c>
      <c r="I732" s="54" t="s">
        <v>7</v>
      </c>
      <c r="J732" s="55">
        <v>1.0</v>
      </c>
      <c r="K732" s="56">
        <v>2.0</v>
      </c>
      <c r="L732" s="57">
        <v>3.0</v>
      </c>
      <c r="M732" s="58"/>
      <c r="N732" s="33">
        <f t="shared" si="13"/>
        <v>2</v>
      </c>
      <c r="O732" s="59"/>
      <c r="P732" s="34">
        <f t="shared" si="14"/>
        <v>0</v>
      </c>
      <c r="Q732" s="60"/>
      <c r="R732" s="36">
        <f t="shared" si="99"/>
        <v>0</v>
      </c>
      <c r="S732" s="61"/>
      <c r="T732" s="37">
        <f t="shared" si="100"/>
        <v>3</v>
      </c>
      <c r="U732" s="62">
        <v>1.0</v>
      </c>
      <c r="V732" s="63"/>
      <c r="W732" s="63"/>
      <c r="X732" s="83">
        <v>0.25</v>
      </c>
      <c r="Y732" s="35">
        <f t="shared" si="123"/>
        <v>0</v>
      </c>
      <c r="Z732" s="40">
        <f t="shared" si="127"/>
        <v>2.25</v>
      </c>
      <c r="AA732" s="34">
        <f t="shared" si="128"/>
        <v>0.75</v>
      </c>
      <c r="AB732" s="41">
        <f t="shared" si="109"/>
        <v>0</v>
      </c>
      <c r="AC732" s="42" t="b">
        <v>1</v>
      </c>
      <c r="AD732" s="42" t="s">
        <v>138</v>
      </c>
      <c r="AE732" s="42" t="s">
        <v>138</v>
      </c>
      <c r="AF732" s="42" t="str">
        <f t="array" ref="AF732">INDEX('Deal Info'!D:D, MATCH(A732,'Deal Info'!A:A, 0))</f>
        <v>SF</v>
      </c>
      <c r="AG732" s="43" t="str">
        <f t="array" ref="AG732">INDEX('Deal Info'!G:G, MATCH(A732,'Deal Info'!A:A, 0))</f>
        <v>None</v>
      </c>
    </row>
    <row r="733" hidden="1">
      <c r="A733" s="23" t="str">
        <f t="array" ref="A733">if(G733='Room Info'!$B$1, INDEX('Room Info'!$A$2:$A3446, MATCH(B733,'Room Info'!$B$2:$B3446, 0)),if(G733='Room Info'!$C$1, INDEX('Room Info'!$A$2:$A3446, MATCH(B733,'Room Info'!$C$2:$C3446, 0)),if(G733='Room Info'!$D$1, INDEX('Room Info'!$A$2:$A3446, MATCH(B733,'Room Info'!$D$2:$D3446, 0)),if(G733='Room Info'!$E$1, INDEX('Room Info'!$A$2:$A3446, MATCH(B733,'Room Info'!$E$2:$E3446, 0)),if(G733='Room Info'!$F$1, INDEX('Room Info'!$A$2:$A3446, MATCH(B733,'Room Info'!$F$2:$F3446, 0)),if(G733='Room Info'!$H$1, INDEX('Room Info'!$A$2:$A3446, MATCH(B733,'Room Info'!$H$2:$H3446, 0)),if(G733='Room Info'!$G$1, INDEX('Room Info'!$A$2:$A3446, MATCH(B733,'Room Info'!$G$2:$G3446, 0)))))))))</f>
        <v>ekomlev98</v>
      </c>
      <c r="B733" s="50" t="s">
        <v>190</v>
      </c>
      <c r="C733" s="51">
        <v>44794.0</v>
      </c>
      <c r="D733" s="51">
        <v>44824.0</v>
      </c>
      <c r="E733" s="52">
        <v>44805.0</v>
      </c>
      <c r="F733" s="50" t="s">
        <v>4</v>
      </c>
      <c r="G733" s="59" t="s">
        <v>5</v>
      </c>
      <c r="H733" s="54" t="s">
        <v>45</v>
      </c>
      <c r="I733" s="54" t="s">
        <v>7</v>
      </c>
      <c r="J733" s="55">
        <v>10.0</v>
      </c>
      <c r="K733" s="56">
        <v>4128.0</v>
      </c>
      <c r="L733" s="57">
        <v>550.0</v>
      </c>
      <c r="M733" s="58">
        <v>1103.0</v>
      </c>
      <c r="N733" s="33">
        <f t="shared" si="13"/>
        <v>41280</v>
      </c>
      <c r="O733" s="59">
        <v>140697.0</v>
      </c>
      <c r="P733" s="34">
        <f t="shared" si="14"/>
        <v>34.08357558</v>
      </c>
      <c r="Q733" s="60"/>
      <c r="R733" s="36">
        <f t="shared" si="99"/>
        <v>1103</v>
      </c>
      <c r="S733" s="61">
        <v>-555.0</v>
      </c>
      <c r="T733" s="37">
        <f t="shared" si="100"/>
        <v>548</v>
      </c>
      <c r="U733" s="62">
        <v>1.0</v>
      </c>
      <c r="V733" s="63"/>
      <c r="W733" s="63"/>
      <c r="X733" s="83">
        <v>0.25</v>
      </c>
      <c r="Y733" s="35">
        <f t="shared" si="123"/>
        <v>0</v>
      </c>
      <c r="Z733" s="40">
        <f t="shared" si="127"/>
        <v>411</v>
      </c>
      <c r="AA733" s="34">
        <f t="shared" si="128"/>
        <v>137</v>
      </c>
      <c r="AB733" s="41">
        <f t="shared" si="109"/>
        <v>0</v>
      </c>
      <c r="AC733" s="42" t="b">
        <v>1</v>
      </c>
      <c r="AD733" s="42" t="s">
        <v>138</v>
      </c>
      <c r="AE733" s="42" t="s">
        <v>138</v>
      </c>
      <c r="AF733" s="42" t="str">
        <f t="array" ref="AF733">INDEX('Deal Info'!D:D, MATCH(A733,'Deal Info'!A:A, 0))</f>
        <v>SF</v>
      </c>
      <c r="AG733" s="43" t="str">
        <f t="array" ref="AG733">INDEX('Deal Info'!G:G, MATCH(A733,'Deal Info'!A:A, 0))</f>
        <v>None</v>
      </c>
    </row>
    <row r="734" hidden="1">
      <c r="A734" s="23" t="str">
        <f t="array" ref="A734">if(G734='Room Info'!$B$1, INDEX('Room Info'!$A$2:$A3446, MATCH(B734,'Room Info'!$B$2:$B3446, 0)),if(G734='Room Info'!$C$1, INDEX('Room Info'!$A$2:$A3446, MATCH(B734,'Room Info'!$C$2:$C3446, 0)),if(G734='Room Info'!$D$1, INDEX('Room Info'!$A$2:$A3446, MATCH(B734,'Room Info'!$D$2:$D3446, 0)),if(G734='Room Info'!$E$1, INDEX('Room Info'!$A$2:$A3446, MATCH(B734,'Room Info'!$E$2:$E3446, 0)),if(G734='Room Info'!$F$1, INDEX('Room Info'!$A$2:$A3446, MATCH(B734,'Room Info'!$F$2:$F3446, 0)),if(G734='Room Info'!$H$1, INDEX('Room Info'!$A$2:$A3446, MATCH(B734,'Room Info'!$H$2:$H3446, 0)),if(G734='Room Info'!$G$1, INDEX('Room Info'!$A$2:$A3446, MATCH(B734,'Room Info'!$G$2:$G3446, 0)))))))))</f>
        <v>ekomlev98</v>
      </c>
      <c r="B734" s="50" t="s">
        <v>190</v>
      </c>
      <c r="C734" s="51">
        <v>44794.0</v>
      </c>
      <c r="D734" s="51">
        <v>44824.0</v>
      </c>
      <c r="E734" s="52">
        <v>44805.0</v>
      </c>
      <c r="F734" s="50" t="s">
        <v>4</v>
      </c>
      <c r="G734" s="59" t="s">
        <v>5</v>
      </c>
      <c r="H734" s="54" t="s">
        <v>62</v>
      </c>
      <c r="I734" s="54" t="s">
        <v>7</v>
      </c>
      <c r="J734" s="55">
        <v>25.0</v>
      </c>
      <c r="K734" s="56">
        <v>370.0</v>
      </c>
      <c r="L734" s="57">
        <v>-1350.0</v>
      </c>
      <c r="M734" s="58">
        <v>212.0</v>
      </c>
      <c r="N734" s="33">
        <f t="shared" si="13"/>
        <v>9250</v>
      </c>
      <c r="O734" s="59">
        <v>-6067.0</v>
      </c>
      <c r="P734" s="34">
        <f t="shared" si="14"/>
        <v>-16.3972973</v>
      </c>
      <c r="Q734" s="60"/>
      <c r="R734" s="36">
        <f t="shared" si="99"/>
        <v>212</v>
      </c>
      <c r="S734" s="61">
        <v>-891.0</v>
      </c>
      <c r="T734" s="37">
        <f t="shared" si="100"/>
        <v>-679</v>
      </c>
      <c r="U734" s="62">
        <v>1.0</v>
      </c>
      <c r="V734" s="63"/>
      <c r="W734" s="63"/>
      <c r="X734" s="83">
        <v>0.25</v>
      </c>
      <c r="Y734" s="35">
        <f t="shared" si="123"/>
        <v>0</v>
      </c>
      <c r="Z734" s="40">
        <f t="shared" si="127"/>
        <v>-509.25</v>
      </c>
      <c r="AA734" s="34">
        <f t="shared" si="128"/>
        <v>-169.75</v>
      </c>
      <c r="AB734" s="41">
        <f t="shared" si="109"/>
        <v>0</v>
      </c>
      <c r="AC734" s="42" t="b">
        <v>1</v>
      </c>
      <c r="AD734" s="42" t="s">
        <v>138</v>
      </c>
      <c r="AE734" s="42" t="s">
        <v>138</v>
      </c>
      <c r="AF734" s="42" t="str">
        <f t="array" ref="AF734">INDEX('Deal Info'!D:D, MATCH(A734,'Deal Info'!A:A, 0))</f>
        <v>SF</v>
      </c>
      <c r="AG734" s="43" t="str">
        <f t="array" ref="AG734">INDEX('Deal Info'!G:G, MATCH(A734,'Deal Info'!A:A, 0))</f>
        <v>None</v>
      </c>
    </row>
    <row r="735" hidden="1">
      <c r="A735" s="23" t="str">
        <f t="array" ref="A735">if(G735='Room Info'!$B$1, INDEX('Room Info'!$A$2:$A3446, MATCH(B735,'Room Info'!$B$2:$B3446, 0)),if(G735='Room Info'!$C$1, INDEX('Room Info'!$A$2:$A3446, MATCH(B735,'Room Info'!$C$2:$C3446, 0)),if(G735='Room Info'!$D$1, INDEX('Room Info'!$A$2:$A3446, MATCH(B735,'Room Info'!$D$2:$D3446, 0)),if(G735='Room Info'!$E$1, INDEX('Room Info'!$A$2:$A3446, MATCH(B735,'Room Info'!$E$2:$E3446, 0)),if(G735='Room Info'!$F$1, INDEX('Room Info'!$A$2:$A3446, MATCH(B735,'Room Info'!$F$2:$F3446, 0)),if(G735='Room Info'!$H$1, INDEX('Room Info'!$A$2:$A3446, MATCH(B735,'Room Info'!$H$2:$H3446, 0)),if(G735='Room Info'!$G$1, INDEX('Room Info'!$A$2:$A3446, MATCH(B735,'Room Info'!$G$2:$G3446, 0)))))))))</f>
        <v>ekomlev98</v>
      </c>
      <c r="B735" s="59" t="s">
        <v>190</v>
      </c>
      <c r="C735" s="51">
        <v>44825.0</v>
      </c>
      <c r="D735" s="51">
        <v>44854.0</v>
      </c>
      <c r="E735" s="52">
        <v>44835.0</v>
      </c>
      <c r="F735" s="53" t="s">
        <v>4</v>
      </c>
      <c r="G735" s="59" t="s">
        <v>5</v>
      </c>
      <c r="H735" s="54" t="s">
        <v>45</v>
      </c>
      <c r="I735" s="54" t="s">
        <v>7</v>
      </c>
      <c r="J735" s="55">
        <v>10.0</v>
      </c>
      <c r="K735" s="56">
        <v>4567.0</v>
      </c>
      <c r="L735" s="57">
        <v>-600.0</v>
      </c>
      <c r="M735" s="58">
        <v>1686.0</v>
      </c>
      <c r="N735" s="33">
        <f t="shared" si="13"/>
        <v>45670</v>
      </c>
      <c r="O735" s="59">
        <v>182401.0</v>
      </c>
      <c r="P735" s="34">
        <f t="shared" si="14"/>
        <v>39.93890957</v>
      </c>
      <c r="Q735" s="60"/>
      <c r="R735" s="36">
        <f t="shared" si="99"/>
        <v>1686</v>
      </c>
      <c r="S735" s="61">
        <v>-215.0</v>
      </c>
      <c r="T735" s="37">
        <f t="shared" si="100"/>
        <v>1471</v>
      </c>
      <c r="U735" s="62">
        <v>1.0</v>
      </c>
      <c r="V735" s="63"/>
      <c r="W735" s="63"/>
      <c r="X735" s="83">
        <v>0.25</v>
      </c>
      <c r="Y735" s="35">
        <f t="shared" si="123"/>
        <v>0</v>
      </c>
      <c r="Z735" s="40">
        <f t="shared" si="127"/>
        <v>1103.25</v>
      </c>
      <c r="AA735" s="34">
        <f t="shared" si="128"/>
        <v>367.75</v>
      </c>
      <c r="AB735" s="41">
        <f t="shared" si="109"/>
        <v>0</v>
      </c>
      <c r="AC735" s="42" t="b">
        <v>1</v>
      </c>
      <c r="AD735" s="42" t="s">
        <v>138</v>
      </c>
      <c r="AE735" s="42" t="s">
        <v>138</v>
      </c>
      <c r="AF735" s="42" t="str">
        <f t="array" ref="AF735">INDEX('Deal Info'!D:D, MATCH(A735,'Deal Info'!A:A, 0))</f>
        <v>SF</v>
      </c>
      <c r="AG735" s="43" t="str">
        <f t="array" ref="AG735">INDEX('Deal Info'!G:G, MATCH(A735,'Deal Info'!A:A, 0))</f>
        <v>None</v>
      </c>
    </row>
    <row r="736" hidden="1">
      <c r="A736" s="23" t="str">
        <f t="array" ref="A736">if(G736='Room Info'!$B$1, INDEX('Room Info'!$A$2:$A3446, MATCH(B736,'Room Info'!$B$2:$B3446, 0)),if(G736='Room Info'!$C$1, INDEX('Room Info'!$A$2:$A3446, MATCH(B736,'Room Info'!$C$2:$C3446, 0)),if(G736='Room Info'!$D$1, INDEX('Room Info'!$A$2:$A3446, MATCH(B736,'Room Info'!$D$2:$D3446, 0)),if(G736='Room Info'!$E$1, INDEX('Room Info'!$A$2:$A3446, MATCH(B736,'Room Info'!$E$2:$E3446, 0)),if(G736='Room Info'!$F$1, INDEX('Room Info'!$A$2:$A3446, MATCH(B736,'Room Info'!$F$2:$F3446, 0)),if(G736='Room Info'!$H$1, INDEX('Room Info'!$A$2:$A3446, MATCH(B736,'Room Info'!$H$2:$H3446, 0)),if(G736='Room Info'!$G$1, INDEX('Room Info'!$A$2:$A3446, MATCH(B736,'Room Info'!$G$2:$G3446, 0)))))))))</f>
        <v>ekomlev98</v>
      </c>
      <c r="B736" s="59" t="s">
        <v>190</v>
      </c>
      <c r="C736" s="51">
        <v>44825.0</v>
      </c>
      <c r="D736" s="51">
        <v>44854.0</v>
      </c>
      <c r="E736" s="52">
        <v>44835.0</v>
      </c>
      <c r="F736" s="53" t="s">
        <v>4</v>
      </c>
      <c r="G736" s="59" t="s">
        <v>5</v>
      </c>
      <c r="H736" s="54" t="s">
        <v>62</v>
      </c>
      <c r="I736" s="54" t="s">
        <v>7</v>
      </c>
      <c r="J736" s="55">
        <v>25.0</v>
      </c>
      <c r="K736" s="56">
        <v>233.0</v>
      </c>
      <c r="L736" s="57">
        <v>475.0</v>
      </c>
      <c r="M736" s="58">
        <v>184.0</v>
      </c>
      <c r="N736" s="33">
        <f t="shared" si="13"/>
        <v>5825</v>
      </c>
      <c r="O736" s="59">
        <v>8003.0</v>
      </c>
      <c r="P736" s="34">
        <f t="shared" si="14"/>
        <v>34.34763948</v>
      </c>
      <c r="Q736" s="60"/>
      <c r="R736" s="36">
        <f t="shared" si="99"/>
        <v>184</v>
      </c>
      <c r="S736" s="61">
        <v>-23.0</v>
      </c>
      <c r="T736" s="37">
        <f t="shared" si="100"/>
        <v>161</v>
      </c>
      <c r="U736" s="62">
        <v>1.0</v>
      </c>
      <c r="V736" s="63"/>
      <c r="W736" s="63"/>
      <c r="X736" s="83">
        <v>0.25</v>
      </c>
      <c r="Y736" s="35">
        <f t="shared" si="123"/>
        <v>0</v>
      </c>
      <c r="Z736" s="40">
        <f t="shared" si="127"/>
        <v>120.75</v>
      </c>
      <c r="AA736" s="34">
        <f t="shared" si="128"/>
        <v>40.25</v>
      </c>
      <c r="AB736" s="41">
        <f t="shared" si="109"/>
        <v>0</v>
      </c>
      <c r="AC736" s="42" t="b">
        <v>1</v>
      </c>
      <c r="AD736" s="42" t="s">
        <v>138</v>
      </c>
      <c r="AE736" s="42" t="s">
        <v>138</v>
      </c>
      <c r="AF736" s="42" t="str">
        <f t="array" ref="AF736">INDEX('Deal Info'!D:D, MATCH(A736,'Deal Info'!A:A, 0))</f>
        <v>SF</v>
      </c>
      <c r="AG736" s="43" t="str">
        <f t="array" ref="AG736">INDEX('Deal Info'!G:G, MATCH(A736,'Deal Info'!A:A, 0))</f>
        <v>None</v>
      </c>
    </row>
    <row r="737" hidden="1">
      <c r="A737" s="23" t="str">
        <f t="array" ref="A737">if(G737='Room Info'!$B$1, INDEX('Room Info'!$A$2:$A3446, MATCH(B737,'Room Info'!$B$2:$B3446, 0)),if(G737='Room Info'!$C$1, INDEX('Room Info'!$A$2:$A3446, MATCH(B737,'Room Info'!$C$2:$C3446, 0)),if(G737='Room Info'!$D$1, INDEX('Room Info'!$A$2:$A3446, MATCH(B737,'Room Info'!$D$2:$D3446, 0)),if(G737='Room Info'!$E$1, INDEX('Room Info'!$A$2:$A3446, MATCH(B737,'Room Info'!$E$2:$E3446, 0)),if(G737='Room Info'!$F$1, INDEX('Room Info'!$A$2:$A3446, MATCH(B737,'Room Info'!$F$2:$F3446, 0)),if(G737='Room Info'!$H$1, INDEX('Room Info'!$A$2:$A3446, MATCH(B737,'Room Info'!$H$2:$H3446, 0)),if(G737='Room Info'!$G$1, INDEX('Room Info'!$A$2:$A3446, MATCH(B737,'Room Info'!$G$2:$G3446, 0)))))))))</f>
        <v>ekomlev98</v>
      </c>
      <c r="B737" s="59" t="s">
        <v>190</v>
      </c>
      <c r="C737" s="51">
        <v>44855.0</v>
      </c>
      <c r="D737" s="51">
        <v>44885.0</v>
      </c>
      <c r="E737" s="52">
        <v>44866.0</v>
      </c>
      <c r="F737" s="53" t="s">
        <v>4</v>
      </c>
      <c r="G737" s="59" t="s">
        <v>5</v>
      </c>
      <c r="H737" s="54" t="s">
        <v>45</v>
      </c>
      <c r="I737" s="54" t="s">
        <v>7</v>
      </c>
      <c r="J737" s="55">
        <v>10.0</v>
      </c>
      <c r="K737" s="56">
        <v>3768.0</v>
      </c>
      <c r="L737" s="57">
        <v>140.0</v>
      </c>
      <c r="M737" s="58">
        <v>1685.0</v>
      </c>
      <c r="N737" s="33">
        <f t="shared" si="13"/>
        <v>37680</v>
      </c>
      <c r="O737" s="59">
        <v>202342.0</v>
      </c>
      <c r="P737" s="34">
        <f t="shared" si="14"/>
        <v>53.70010616</v>
      </c>
      <c r="Q737" s="60"/>
      <c r="R737" s="36">
        <f t="shared" si="99"/>
        <v>1685</v>
      </c>
      <c r="S737" s="61">
        <v>749.0</v>
      </c>
      <c r="T737" s="37">
        <f t="shared" si="100"/>
        <v>2434</v>
      </c>
      <c r="U737" s="62">
        <v>1.0</v>
      </c>
      <c r="V737" s="63"/>
      <c r="W737" s="63"/>
      <c r="X737" s="83">
        <v>0.25</v>
      </c>
      <c r="Y737" s="35">
        <f t="shared" si="123"/>
        <v>0</v>
      </c>
      <c r="Z737" s="40">
        <f t="shared" si="127"/>
        <v>1825.5</v>
      </c>
      <c r="AA737" s="34">
        <f t="shared" si="128"/>
        <v>608.5</v>
      </c>
      <c r="AB737" s="41">
        <f t="shared" si="109"/>
        <v>0</v>
      </c>
      <c r="AC737" s="42" t="b">
        <v>1</v>
      </c>
      <c r="AD737" s="42" t="s">
        <v>138</v>
      </c>
      <c r="AE737" s="42" t="s">
        <v>138</v>
      </c>
      <c r="AF737" s="42" t="str">
        <f t="array" ref="AF737">INDEX('Deal Info'!D:D, MATCH(A737,'Deal Info'!A:A, 0))</f>
        <v>SF</v>
      </c>
      <c r="AG737" s="43" t="str">
        <f t="array" ref="AG737">INDEX('Deal Info'!G:G, MATCH(A737,'Deal Info'!A:A, 0))</f>
        <v>None</v>
      </c>
    </row>
    <row r="738" hidden="1">
      <c r="A738" s="23" t="str">
        <f t="array" ref="A738">if(G738='Room Info'!$B$1, INDEX('Room Info'!$A$2:$A3446, MATCH(B738,'Room Info'!$B$2:$B3446, 0)),if(G738='Room Info'!$C$1, INDEX('Room Info'!$A$2:$A3446, MATCH(B738,'Room Info'!$C$2:$C3446, 0)),if(G738='Room Info'!$D$1, INDEX('Room Info'!$A$2:$A3446, MATCH(B738,'Room Info'!$D$2:$D3446, 0)),if(G738='Room Info'!$E$1, INDEX('Room Info'!$A$2:$A3446, MATCH(B738,'Room Info'!$E$2:$E3446, 0)),if(G738='Room Info'!$F$1, INDEX('Room Info'!$A$2:$A3446, MATCH(B738,'Room Info'!$F$2:$F3446, 0)),if(G738='Room Info'!$H$1, INDEX('Room Info'!$A$2:$A3446, MATCH(B738,'Room Info'!$H$2:$H3446, 0)),if(G738='Room Info'!$G$1, INDEX('Room Info'!$A$2:$A3446, MATCH(B738,'Room Info'!$G$2:$G3446, 0)))))))))</f>
        <v>ekomlev98</v>
      </c>
      <c r="B738" s="59" t="s">
        <v>190</v>
      </c>
      <c r="C738" s="51">
        <v>44886.0</v>
      </c>
      <c r="D738" s="51">
        <v>44915.0</v>
      </c>
      <c r="E738" s="52">
        <v>44896.0</v>
      </c>
      <c r="F738" s="53" t="s">
        <v>4</v>
      </c>
      <c r="G738" s="59" t="s">
        <v>5</v>
      </c>
      <c r="H738" s="54" t="s">
        <v>45</v>
      </c>
      <c r="I738" s="54" t="s">
        <v>7</v>
      </c>
      <c r="J738" s="55">
        <v>10.0</v>
      </c>
      <c r="K738" s="56">
        <v>3279.0</v>
      </c>
      <c r="L738" s="57">
        <v>980.0</v>
      </c>
      <c r="M738" s="58">
        <v>1463.0</v>
      </c>
      <c r="N738" s="33">
        <f t="shared" si="13"/>
        <v>32790</v>
      </c>
      <c r="O738" s="59">
        <v>144988.0</v>
      </c>
      <c r="P738" s="34">
        <f t="shared" si="14"/>
        <v>44.21713937</v>
      </c>
      <c r="Q738" s="60"/>
      <c r="R738" s="36">
        <f t="shared" si="99"/>
        <v>1463</v>
      </c>
      <c r="S738" s="61">
        <v>193.0</v>
      </c>
      <c r="T738" s="37">
        <f t="shared" si="100"/>
        <v>1656</v>
      </c>
      <c r="U738" s="62">
        <v>1.0</v>
      </c>
      <c r="V738" s="63"/>
      <c r="W738" s="63"/>
      <c r="X738" s="83">
        <v>0.25</v>
      </c>
      <c r="Y738" s="35">
        <f t="shared" si="123"/>
        <v>0</v>
      </c>
      <c r="Z738" s="40">
        <f t="shared" si="127"/>
        <v>1242</v>
      </c>
      <c r="AA738" s="34">
        <f t="shared" si="128"/>
        <v>414</v>
      </c>
      <c r="AB738" s="41">
        <f t="shared" si="109"/>
        <v>0</v>
      </c>
      <c r="AC738" s="42" t="b">
        <v>1</v>
      </c>
      <c r="AD738" s="42" t="s">
        <v>138</v>
      </c>
      <c r="AE738" s="42" t="s">
        <v>138</v>
      </c>
      <c r="AF738" s="42" t="str">
        <f t="array" ref="AF738">INDEX('Deal Info'!D:D, MATCH(A738,'Deal Info'!A:A, 0))</f>
        <v>SF</v>
      </c>
      <c r="AG738" s="43" t="str">
        <f t="array" ref="AG738">INDEX('Deal Info'!G:G, MATCH(A738,'Deal Info'!A:A, 0))</f>
        <v>None</v>
      </c>
    </row>
    <row r="739" hidden="1">
      <c r="A739" s="23" t="str">
        <f t="array" ref="A739">if(G739='Room Info'!$B$1, INDEX('Room Info'!$A$2:$A3446, MATCH(B739,'Room Info'!$B$2:$B3446, 0)),if(G739='Room Info'!$C$1, INDEX('Room Info'!$A$2:$A3446, MATCH(B739,'Room Info'!$C$2:$C3446, 0)),if(G739='Room Info'!$D$1, INDEX('Room Info'!$A$2:$A3446, MATCH(B739,'Room Info'!$D$2:$D3446, 0)),if(G739='Room Info'!$E$1, INDEX('Room Info'!$A$2:$A3446, MATCH(B739,'Room Info'!$E$2:$E3446, 0)),if(G739='Room Info'!$F$1, INDEX('Room Info'!$A$2:$A3446, MATCH(B739,'Room Info'!$F$2:$F3446, 0)),if(G739='Room Info'!$H$1, INDEX('Room Info'!$A$2:$A3446, MATCH(B739,'Room Info'!$H$2:$H3446, 0)),if(G739='Room Info'!$G$1, INDEX('Room Info'!$A$2:$A3446, MATCH(B739,'Room Info'!$G$2:$G3446, 0)))))))))</f>
        <v>ekomlev98</v>
      </c>
      <c r="B739" s="50" t="s">
        <v>190</v>
      </c>
      <c r="C739" s="51">
        <v>44886.0</v>
      </c>
      <c r="D739" s="51">
        <v>44915.0</v>
      </c>
      <c r="E739" s="52">
        <v>44896.0</v>
      </c>
      <c r="F739" s="53" t="s">
        <v>4</v>
      </c>
      <c r="G739" s="50" t="s">
        <v>5</v>
      </c>
      <c r="H739" s="54" t="s">
        <v>62</v>
      </c>
      <c r="I739" s="54" t="s">
        <v>7</v>
      </c>
      <c r="J739" s="55">
        <v>25.0</v>
      </c>
      <c r="K739" s="56">
        <v>405.0</v>
      </c>
      <c r="L739" s="57">
        <v>425.0</v>
      </c>
      <c r="M739" s="58">
        <v>387.0</v>
      </c>
      <c r="N739" s="33">
        <f t="shared" si="13"/>
        <v>10125</v>
      </c>
      <c r="O739" s="59">
        <v>32199.0</v>
      </c>
      <c r="P739" s="34">
        <f t="shared" si="14"/>
        <v>79.5037037</v>
      </c>
      <c r="Q739" s="60"/>
      <c r="R739" s="36">
        <f t="shared" si="99"/>
        <v>387</v>
      </c>
      <c r="S739" s="61">
        <v>832.0</v>
      </c>
      <c r="T739" s="37">
        <f t="shared" si="100"/>
        <v>1219</v>
      </c>
      <c r="U739" s="62">
        <v>1.0</v>
      </c>
      <c r="V739" s="63"/>
      <c r="W739" s="63"/>
      <c r="X739" s="83">
        <v>0.25</v>
      </c>
      <c r="Y739" s="35">
        <f t="shared" si="123"/>
        <v>0</v>
      </c>
      <c r="Z739" s="40">
        <f t="shared" si="127"/>
        <v>914.25</v>
      </c>
      <c r="AA739" s="34">
        <f t="shared" si="128"/>
        <v>304.75</v>
      </c>
      <c r="AB739" s="41">
        <f t="shared" si="109"/>
        <v>0</v>
      </c>
      <c r="AC739" s="42" t="b">
        <v>1</v>
      </c>
      <c r="AD739" s="42" t="s">
        <v>138</v>
      </c>
      <c r="AE739" s="42" t="s">
        <v>138</v>
      </c>
      <c r="AF739" s="42" t="str">
        <f t="array" ref="AF739">INDEX('Deal Info'!D:D, MATCH(A739,'Deal Info'!A:A, 0))</f>
        <v>SF</v>
      </c>
      <c r="AG739" s="43" t="str">
        <f t="array" ref="AG739">INDEX('Deal Info'!G:G, MATCH(A739,'Deal Info'!A:A, 0))</f>
        <v>None</v>
      </c>
    </row>
    <row r="740" hidden="1">
      <c r="A740" s="23" t="str">
        <f t="array" ref="A740">if(G740='Room Info'!$B$1, INDEX('Room Info'!$A$2:$A3446, MATCH(B740,'Room Info'!$B$2:$B3446, 0)),if(G740='Room Info'!$C$1, INDEX('Room Info'!$A$2:$A3446, MATCH(B740,'Room Info'!$C$2:$C3446, 0)),if(G740='Room Info'!$D$1, INDEX('Room Info'!$A$2:$A3446, MATCH(B740,'Room Info'!$D$2:$D3446, 0)),if(G740='Room Info'!$E$1, INDEX('Room Info'!$A$2:$A3446, MATCH(B740,'Room Info'!$E$2:$E3446, 0)),if(G740='Room Info'!$F$1, INDEX('Room Info'!$A$2:$A3446, MATCH(B740,'Room Info'!$F$2:$F3446, 0)),if(G740='Room Info'!$H$1, INDEX('Room Info'!$A$2:$A3446, MATCH(B740,'Room Info'!$H$2:$H3446, 0)),if(G740='Room Info'!$G$1, INDEX('Room Info'!$A$2:$A3446, MATCH(B740,'Room Info'!$G$2:$G3446, 0)))))))))</f>
        <v>ekomlev98</v>
      </c>
      <c r="B740" s="59" t="s">
        <v>190</v>
      </c>
      <c r="C740" s="51">
        <v>44916.0</v>
      </c>
      <c r="D740" s="51">
        <v>44946.0</v>
      </c>
      <c r="E740" s="52">
        <v>44927.0</v>
      </c>
      <c r="F740" s="50" t="s">
        <v>4</v>
      </c>
      <c r="G740" s="59" t="s">
        <v>5</v>
      </c>
      <c r="H740" s="54" t="s">
        <v>45</v>
      </c>
      <c r="I740" s="54" t="s">
        <v>7</v>
      </c>
      <c r="J740" s="55">
        <v>10.0</v>
      </c>
      <c r="K740" s="56">
        <v>46.0</v>
      </c>
      <c r="L740" s="57">
        <v>-40.0</v>
      </c>
      <c r="M740" s="58">
        <v>17.0</v>
      </c>
      <c r="N740" s="33">
        <f t="shared" si="13"/>
        <v>460</v>
      </c>
      <c r="O740" s="59">
        <v>192.0</v>
      </c>
      <c r="P740" s="34">
        <f t="shared" si="14"/>
        <v>4.173913043</v>
      </c>
      <c r="Q740" s="60"/>
      <c r="R740" s="36">
        <f t="shared" si="99"/>
        <v>17</v>
      </c>
      <c r="S740" s="61">
        <v>-30.0</v>
      </c>
      <c r="T740" s="37">
        <f t="shared" si="100"/>
        <v>-13</v>
      </c>
      <c r="U740" s="62">
        <v>1.0</v>
      </c>
      <c r="V740" s="63"/>
      <c r="W740" s="63"/>
      <c r="X740" s="83">
        <v>0.25</v>
      </c>
      <c r="Y740" s="35">
        <f t="shared" si="123"/>
        <v>0</v>
      </c>
      <c r="Z740" s="40">
        <f t="shared" si="127"/>
        <v>-9.75</v>
      </c>
      <c r="AA740" s="34">
        <f t="shared" si="128"/>
        <v>-3.25</v>
      </c>
      <c r="AB740" s="41">
        <f t="shared" si="109"/>
        <v>0</v>
      </c>
      <c r="AC740" s="42" t="b">
        <v>1</v>
      </c>
      <c r="AD740" s="42" t="s">
        <v>138</v>
      </c>
      <c r="AE740" s="42" t="s">
        <v>138</v>
      </c>
      <c r="AF740" s="42" t="str">
        <f t="array" ref="AF740">INDEX('Deal Info'!D:D, MATCH(A740,'Deal Info'!A:A, 0))</f>
        <v>SF</v>
      </c>
      <c r="AG740" s="43" t="str">
        <f t="array" ref="AG740">INDEX('Deal Info'!G:G, MATCH(A740,'Deal Info'!A:A, 0))</f>
        <v>None</v>
      </c>
    </row>
    <row r="741" hidden="1">
      <c r="A741" s="23" t="str">
        <f t="array" ref="A741">if(G741='Room Info'!$B$1, INDEX('Room Info'!$A$2:$A3446, MATCH(B741,'Room Info'!$B$2:$B3446, 0)),if(G741='Room Info'!$C$1, INDEX('Room Info'!$A$2:$A3446, MATCH(B741,'Room Info'!$C$2:$C3446, 0)),if(G741='Room Info'!$D$1, INDEX('Room Info'!$A$2:$A3446, MATCH(B741,'Room Info'!$D$2:$D3446, 0)),if(G741='Room Info'!$E$1, INDEX('Room Info'!$A$2:$A3446, MATCH(B741,'Room Info'!$E$2:$E3446, 0)),if(G741='Room Info'!$F$1, INDEX('Room Info'!$A$2:$A3446, MATCH(B741,'Room Info'!$F$2:$F3446, 0)),if(G741='Room Info'!$H$1, INDEX('Room Info'!$A$2:$A3446, MATCH(B741,'Room Info'!$H$2:$H3446, 0)),if(G741='Room Info'!$G$1, INDEX('Room Info'!$A$2:$A3446, MATCH(B741,'Room Info'!$G$2:$G3446, 0)))))))))</f>
        <v>ekomlev98</v>
      </c>
      <c r="B741" s="59" t="s">
        <v>190</v>
      </c>
      <c r="C741" s="51">
        <v>44916.0</v>
      </c>
      <c r="D741" s="51">
        <v>44946.0</v>
      </c>
      <c r="E741" s="52">
        <v>44927.0</v>
      </c>
      <c r="F741" s="50" t="s">
        <v>4</v>
      </c>
      <c r="G741" s="59" t="s">
        <v>5</v>
      </c>
      <c r="H741" s="54" t="s">
        <v>62</v>
      </c>
      <c r="I741" s="54" t="s">
        <v>7</v>
      </c>
      <c r="J741" s="55">
        <v>25.0</v>
      </c>
      <c r="K741" s="56">
        <v>3257.0</v>
      </c>
      <c r="L741" s="57">
        <v>-2400.0</v>
      </c>
      <c r="M741" s="58">
        <v>2553.0</v>
      </c>
      <c r="N741" s="33">
        <f t="shared" si="13"/>
        <v>81425</v>
      </c>
      <c r="O741" s="59">
        <v>104822.0</v>
      </c>
      <c r="P741" s="34">
        <f t="shared" si="14"/>
        <v>32.18360454</v>
      </c>
      <c r="Q741" s="60"/>
      <c r="R741" s="36">
        <f t="shared" si="99"/>
        <v>2553</v>
      </c>
      <c r="S741" s="61">
        <v>-308.0</v>
      </c>
      <c r="T741" s="37">
        <f t="shared" si="100"/>
        <v>2245</v>
      </c>
      <c r="U741" s="62">
        <v>1.0</v>
      </c>
      <c r="V741" s="63"/>
      <c r="W741" s="63"/>
      <c r="X741" s="83">
        <v>0.25</v>
      </c>
      <c r="Y741" s="35">
        <f t="shared" si="123"/>
        <v>0</v>
      </c>
      <c r="Z741" s="40">
        <f t="shared" si="127"/>
        <v>1683.75</v>
      </c>
      <c r="AA741" s="34">
        <f t="shared" si="128"/>
        <v>561.25</v>
      </c>
      <c r="AB741" s="41">
        <f t="shared" si="109"/>
        <v>0</v>
      </c>
      <c r="AC741" s="42" t="b">
        <v>1</v>
      </c>
      <c r="AD741" s="42" t="s">
        <v>138</v>
      </c>
      <c r="AE741" s="42" t="s">
        <v>138</v>
      </c>
      <c r="AF741" s="42" t="str">
        <f t="array" ref="AF741">INDEX('Deal Info'!D:D, MATCH(A741,'Deal Info'!A:A, 0))</f>
        <v>SF</v>
      </c>
      <c r="AG741" s="43" t="str">
        <f t="array" ref="AG741">INDEX('Deal Info'!G:G, MATCH(A741,'Deal Info'!A:A, 0))</f>
        <v>None</v>
      </c>
    </row>
    <row r="742" hidden="1">
      <c r="A742" s="23" t="str">
        <f t="array" ref="A742">if(G742='Room Info'!$B$1, INDEX('Room Info'!$A$2:$A3446, MATCH(B742,'Room Info'!$B$2:$B3446, 0)),if(G742='Room Info'!$C$1, INDEX('Room Info'!$A$2:$A3446, MATCH(B742,'Room Info'!$C$2:$C3446, 0)),if(G742='Room Info'!$D$1, INDEX('Room Info'!$A$2:$A3446, MATCH(B742,'Room Info'!$D$2:$D3446, 0)),if(G742='Room Info'!$E$1, INDEX('Room Info'!$A$2:$A3446, MATCH(B742,'Room Info'!$E$2:$E3446, 0)),if(G742='Room Info'!$F$1, INDEX('Room Info'!$A$2:$A3446, MATCH(B742,'Room Info'!$F$2:$F3446, 0)),if(G742='Room Info'!$H$1, INDEX('Room Info'!$A$2:$A3446, MATCH(B742,'Room Info'!$H$2:$H3446, 0)),if(G742='Room Info'!$G$1, INDEX('Room Info'!$A$2:$A3446, MATCH(B742,'Room Info'!$G$2:$G3446, 0)))))))))</f>
        <v>Ekx444</v>
      </c>
      <c r="B742" s="50" t="s">
        <v>191</v>
      </c>
      <c r="C742" s="51">
        <v>44833.0</v>
      </c>
      <c r="D742" s="51">
        <v>44854.0</v>
      </c>
      <c r="E742" s="52">
        <v>44835.0</v>
      </c>
      <c r="F742" s="53" t="s">
        <v>4</v>
      </c>
      <c r="G742" s="50" t="s">
        <v>22</v>
      </c>
      <c r="H742" s="54" t="s">
        <v>51</v>
      </c>
      <c r="I742" s="54" t="s">
        <v>7</v>
      </c>
      <c r="J742" s="55">
        <v>10.0</v>
      </c>
      <c r="K742" s="56">
        <v>352.0</v>
      </c>
      <c r="L742" s="57">
        <v>-110.0</v>
      </c>
      <c r="M742" s="58">
        <v>0.0</v>
      </c>
      <c r="N742" s="33">
        <f t="shared" si="13"/>
        <v>3520</v>
      </c>
      <c r="O742" s="59">
        <v>7000.0</v>
      </c>
      <c r="P742" s="34">
        <f t="shared" si="14"/>
        <v>19.88636364</v>
      </c>
      <c r="Q742" s="60"/>
      <c r="R742" s="36">
        <f t="shared" si="99"/>
        <v>0</v>
      </c>
      <c r="S742" s="61">
        <v>-132.0</v>
      </c>
      <c r="T742" s="37">
        <f t="shared" si="100"/>
        <v>-132</v>
      </c>
      <c r="U742" s="62">
        <v>1.0</v>
      </c>
      <c r="V742" s="63"/>
      <c r="W742" s="63"/>
      <c r="X742" s="83">
        <v>0.3</v>
      </c>
      <c r="Y742" s="35">
        <f t="shared" si="123"/>
        <v>0</v>
      </c>
      <c r="Z742" s="40">
        <f t="shared" si="127"/>
        <v>-92.4</v>
      </c>
      <c r="AA742" s="34">
        <f t="shared" si="128"/>
        <v>-39.6</v>
      </c>
      <c r="AB742" s="41">
        <f t="shared" si="109"/>
        <v>0</v>
      </c>
      <c r="AC742" s="42" t="b">
        <v>1</v>
      </c>
      <c r="AD742" s="42" t="s">
        <v>138</v>
      </c>
      <c r="AE742" s="42" t="s">
        <v>138</v>
      </c>
      <c r="AF742" s="42" t="str">
        <f t="array" ref="AF742">INDEX('Deal Info'!D:D, MATCH(A742,'Deal Info'!A:A, 0))</f>
        <v>DoEV</v>
      </c>
      <c r="AG742" s="43" t="str">
        <f t="array" ref="AG742">INDEX('Deal Info'!G:G, MATCH(A742,'Deal Info'!A:A, 0))</f>
        <v>None</v>
      </c>
    </row>
    <row r="743" hidden="1">
      <c r="A743" s="23" t="str">
        <f t="array" ref="A743">if(G743='Room Info'!$B$1, INDEX('Room Info'!$A$2:$A3446, MATCH(B743,'Room Info'!$B$2:$B3446, 0)),if(G743='Room Info'!$C$1, INDEX('Room Info'!$A$2:$A3446, MATCH(B743,'Room Info'!$C$2:$C3446, 0)),if(G743='Room Info'!$D$1, INDEX('Room Info'!$A$2:$A3446, MATCH(B743,'Room Info'!$D$2:$D3446, 0)),if(G743='Room Info'!$E$1, INDEX('Room Info'!$A$2:$A3446, MATCH(B743,'Room Info'!$E$2:$E3446, 0)),if(G743='Room Info'!$F$1, INDEX('Room Info'!$A$2:$A3446, MATCH(B743,'Room Info'!$F$2:$F3446, 0)),if(G743='Room Info'!$H$1, INDEX('Room Info'!$A$2:$A3446, MATCH(B743,'Room Info'!$H$2:$H3446, 0)),if(G743='Room Info'!$G$1, INDEX('Room Info'!$A$2:$A3446, MATCH(B743,'Room Info'!$G$2:$G3446, 0)))))))))</f>
        <v>Ekx444</v>
      </c>
      <c r="B743" s="50" t="s">
        <v>191</v>
      </c>
      <c r="C743" s="51">
        <v>44833.0</v>
      </c>
      <c r="D743" s="51">
        <v>44854.0</v>
      </c>
      <c r="E743" s="52">
        <v>44835.0</v>
      </c>
      <c r="F743" s="53" t="s">
        <v>4</v>
      </c>
      <c r="G743" s="50" t="s">
        <v>22</v>
      </c>
      <c r="H743" s="54" t="s">
        <v>64</v>
      </c>
      <c r="I743" s="54" t="s">
        <v>7</v>
      </c>
      <c r="J743" s="55">
        <v>25.0</v>
      </c>
      <c r="K743" s="56">
        <v>2798.0</v>
      </c>
      <c r="L743" s="57">
        <v>-400.0</v>
      </c>
      <c r="M743" s="58">
        <v>0.0</v>
      </c>
      <c r="N743" s="33">
        <f t="shared" si="13"/>
        <v>69950</v>
      </c>
      <c r="O743" s="59">
        <v>119500.0</v>
      </c>
      <c r="P743" s="34">
        <f t="shared" si="14"/>
        <v>42.70907791</v>
      </c>
      <c r="Q743" s="60"/>
      <c r="R743" s="36">
        <f t="shared" si="99"/>
        <v>0</v>
      </c>
      <c r="S743" s="61">
        <v>312.0</v>
      </c>
      <c r="T743" s="37">
        <f t="shared" si="100"/>
        <v>312</v>
      </c>
      <c r="U743" s="62">
        <v>1.0</v>
      </c>
      <c r="V743" s="63"/>
      <c r="W743" s="63"/>
      <c r="X743" s="83">
        <v>0.3</v>
      </c>
      <c r="Y743" s="35">
        <f t="shared" si="123"/>
        <v>0</v>
      </c>
      <c r="Z743" s="40">
        <f t="shared" si="127"/>
        <v>218.4</v>
      </c>
      <c r="AA743" s="34">
        <f t="shared" si="128"/>
        <v>93.6</v>
      </c>
      <c r="AB743" s="41">
        <f t="shared" si="109"/>
        <v>0</v>
      </c>
      <c r="AC743" s="42" t="b">
        <v>1</v>
      </c>
      <c r="AD743" s="42" t="s">
        <v>138</v>
      </c>
      <c r="AE743" s="42" t="s">
        <v>138</v>
      </c>
      <c r="AF743" s="42" t="str">
        <f t="array" ref="AF743">INDEX('Deal Info'!D:D, MATCH(A743,'Deal Info'!A:A, 0))</f>
        <v>DoEV</v>
      </c>
      <c r="AG743" s="43" t="str">
        <f t="array" ref="AG743">INDEX('Deal Info'!G:G, MATCH(A743,'Deal Info'!A:A, 0))</f>
        <v>None</v>
      </c>
    </row>
    <row r="744" hidden="1">
      <c r="A744" s="23" t="str">
        <f t="array" ref="A744">if(G744='Room Info'!$B$1, INDEX('Room Info'!$A$2:$A3446, MATCH(B744,'Room Info'!$B$2:$B3446, 0)),if(G744='Room Info'!$C$1, INDEX('Room Info'!$A$2:$A3446, MATCH(B744,'Room Info'!$C$2:$C3446, 0)),if(G744='Room Info'!$D$1, INDEX('Room Info'!$A$2:$A3446, MATCH(B744,'Room Info'!$D$2:$D3446, 0)),if(G744='Room Info'!$E$1, INDEX('Room Info'!$A$2:$A3446, MATCH(B744,'Room Info'!$E$2:$E3446, 0)),if(G744='Room Info'!$F$1, INDEX('Room Info'!$A$2:$A3446, MATCH(B744,'Room Info'!$F$2:$F3446, 0)),if(G744='Room Info'!$H$1, INDEX('Room Info'!$A$2:$A3446, MATCH(B744,'Room Info'!$H$2:$H3446, 0)),if(G744='Room Info'!$G$1, INDEX('Room Info'!$A$2:$A3446, MATCH(B744,'Room Info'!$G$2:$G3446, 0)))))))))</f>
        <v>Ekx444</v>
      </c>
      <c r="B744" s="50" t="s">
        <v>191</v>
      </c>
      <c r="C744" s="51">
        <v>44833.0</v>
      </c>
      <c r="D744" s="51">
        <v>44854.0</v>
      </c>
      <c r="E744" s="52">
        <v>44835.0</v>
      </c>
      <c r="F744" s="53" t="s">
        <v>12</v>
      </c>
      <c r="G744" s="50" t="s">
        <v>22</v>
      </c>
      <c r="H744" s="54" t="s">
        <v>14</v>
      </c>
      <c r="I744" s="54" t="s">
        <v>11</v>
      </c>
      <c r="J744" s="55">
        <v>0.25</v>
      </c>
      <c r="K744" s="56">
        <v>7.0</v>
      </c>
      <c r="L744" s="57">
        <v>-0.25</v>
      </c>
      <c r="M744" s="58">
        <v>0.0</v>
      </c>
      <c r="N744" s="33">
        <f t="shared" si="13"/>
        <v>1.75</v>
      </c>
      <c r="O744" s="70"/>
      <c r="P744" s="34">
        <f t="shared" si="14"/>
        <v>0</v>
      </c>
      <c r="Q744" s="60"/>
      <c r="R744" s="36">
        <f t="shared" si="99"/>
        <v>0</v>
      </c>
      <c r="S744" s="71"/>
      <c r="T744" s="37">
        <f t="shared" si="100"/>
        <v>-0.25</v>
      </c>
      <c r="U744" s="62">
        <v>1.0</v>
      </c>
      <c r="V744" s="63"/>
      <c r="W744" s="63"/>
      <c r="X744" s="83">
        <v>0.3</v>
      </c>
      <c r="Y744" s="35">
        <f t="shared" si="123"/>
        <v>0</v>
      </c>
      <c r="Z744" s="40">
        <f t="shared" si="127"/>
        <v>-0.175</v>
      </c>
      <c r="AA744" s="34">
        <f t="shared" si="128"/>
        <v>-0.075</v>
      </c>
      <c r="AB744" s="41">
        <f t="shared" si="109"/>
        <v>0</v>
      </c>
      <c r="AC744" s="42" t="b">
        <v>1</v>
      </c>
      <c r="AD744" s="42" t="s">
        <v>138</v>
      </c>
      <c r="AE744" s="42" t="s">
        <v>138</v>
      </c>
      <c r="AF744" s="42" t="str">
        <f t="array" ref="AF744">INDEX('Deal Info'!D:D, MATCH(A744,'Deal Info'!A:A, 0))</f>
        <v>DoEV</v>
      </c>
      <c r="AG744" s="43" t="str">
        <f t="array" ref="AG744">INDEX('Deal Info'!G:G, MATCH(A744,'Deal Info'!A:A, 0))</f>
        <v>None</v>
      </c>
    </row>
    <row r="745" hidden="1">
      <c r="A745" s="23" t="str">
        <f t="array" ref="A745">if(G745='Room Info'!$B$1, INDEX('Room Info'!$A$2:$A3446, MATCH(B745,'Room Info'!$B$2:$B3446, 0)),if(G745='Room Info'!$C$1, INDEX('Room Info'!$A$2:$A3446, MATCH(B745,'Room Info'!$C$2:$C3446, 0)),if(G745='Room Info'!$D$1, INDEX('Room Info'!$A$2:$A3446, MATCH(B745,'Room Info'!$D$2:$D3446, 0)),if(G745='Room Info'!$E$1, INDEX('Room Info'!$A$2:$A3446, MATCH(B745,'Room Info'!$E$2:$E3446, 0)),if(G745='Room Info'!$F$1, INDEX('Room Info'!$A$2:$A3446, MATCH(B745,'Room Info'!$F$2:$F3446, 0)),if(G745='Room Info'!$H$1, INDEX('Room Info'!$A$2:$A3446, MATCH(B745,'Room Info'!$H$2:$H3446, 0)),if(G745='Room Info'!$G$1, INDEX('Room Info'!$A$2:$A3446, MATCH(B745,'Room Info'!$G$2:$G3446, 0)))))))))</f>
        <v>Ekx444</v>
      </c>
      <c r="B745" s="50" t="s">
        <v>191</v>
      </c>
      <c r="C745" s="51">
        <v>44855.0</v>
      </c>
      <c r="D745" s="51">
        <v>44885.0</v>
      </c>
      <c r="E745" s="52">
        <v>44866.0</v>
      </c>
      <c r="F745" s="53" t="s">
        <v>4</v>
      </c>
      <c r="G745" s="50" t="s">
        <v>22</v>
      </c>
      <c r="H745" s="54" t="s">
        <v>51</v>
      </c>
      <c r="I745" s="54" t="s">
        <v>7</v>
      </c>
      <c r="J745" s="55">
        <v>10.0</v>
      </c>
      <c r="K745" s="56">
        <v>76.0</v>
      </c>
      <c r="L745" s="57">
        <v>339.0</v>
      </c>
      <c r="M745" s="67"/>
      <c r="N745" s="33">
        <f t="shared" si="13"/>
        <v>760</v>
      </c>
      <c r="O745" s="59">
        <v>13600.0</v>
      </c>
      <c r="P745" s="34">
        <f t="shared" si="14"/>
        <v>178.9473684</v>
      </c>
      <c r="Q745" s="60"/>
      <c r="R745" s="36">
        <f t="shared" si="99"/>
        <v>0</v>
      </c>
      <c r="S745" s="61">
        <v>196.0</v>
      </c>
      <c r="T745" s="37">
        <f t="shared" si="100"/>
        <v>196</v>
      </c>
      <c r="U745" s="62">
        <v>1.0</v>
      </c>
      <c r="V745" s="63"/>
      <c r="W745" s="63"/>
      <c r="X745" s="83">
        <v>0.3</v>
      </c>
      <c r="Y745" s="35">
        <f t="shared" si="123"/>
        <v>0</v>
      </c>
      <c r="Z745" s="40">
        <f t="shared" si="127"/>
        <v>137.2</v>
      </c>
      <c r="AA745" s="34">
        <f t="shared" si="128"/>
        <v>58.8</v>
      </c>
      <c r="AB745" s="41">
        <f t="shared" si="109"/>
        <v>0</v>
      </c>
      <c r="AC745" s="42" t="b">
        <v>1</v>
      </c>
      <c r="AD745" s="42" t="s">
        <v>138</v>
      </c>
      <c r="AE745" s="42" t="s">
        <v>138</v>
      </c>
      <c r="AF745" s="42" t="str">
        <f t="array" ref="AF745">INDEX('Deal Info'!D:D, MATCH(A745,'Deal Info'!A:A, 0))</f>
        <v>DoEV</v>
      </c>
      <c r="AG745" s="43" t="str">
        <f t="array" ref="AG745">INDEX('Deal Info'!G:G, MATCH(A745,'Deal Info'!A:A, 0))</f>
        <v>None</v>
      </c>
    </row>
    <row r="746" hidden="1">
      <c r="A746" s="23" t="str">
        <f t="array" ref="A746">if(G746='Room Info'!$B$1, INDEX('Room Info'!$A$2:$A3446, MATCH(B746,'Room Info'!$B$2:$B3446, 0)),if(G746='Room Info'!$C$1, INDEX('Room Info'!$A$2:$A3446, MATCH(B746,'Room Info'!$C$2:$C3446, 0)),if(G746='Room Info'!$D$1, INDEX('Room Info'!$A$2:$A3446, MATCH(B746,'Room Info'!$D$2:$D3446, 0)),if(G746='Room Info'!$E$1, INDEX('Room Info'!$A$2:$A3446, MATCH(B746,'Room Info'!$E$2:$E3446, 0)),if(G746='Room Info'!$F$1, INDEX('Room Info'!$A$2:$A3446, MATCH(B746,'Room Info'!$F$2:$F3446, 0)),if(G746='Room Info'!$H$1, INDEX('Room Info'!$A$2:$A3446, MATCH(B746,'Room Info'!$H$2:$H3446, 0)),if(G746='Room Info'!$G$1, INDEX('Room Info'!$A$2:$A3446, MATCH(B746,'Room Info'!$G$2:$G3446, 0)))))))))</f>
        <v>Ekx444</v>
      </c>
      <c r="B746" s="50" t="s">
        <v>191</v>
      </c>
      <c r="C746" s="51">
        <v>44855.0</v>
      </c>
      <c r="D746" s="51">
        <v>44885.0</v>
      </c>
      <c r="E746" s="52">
        <v>44866.0</v>
      </c>
      <c r="F746" s="53" t="s">
        <v>4</v>
      </c>
      <c r="G746" s="50" t="s">
        <v>22</v>
      </c>
      <c r="H746" s="54" t="s">
        <v>64</v>
      </c>
      <c r="I746" s="54" t="s">
        <v>7</v>
      </c>
      <c r="J746" s="55">
        <v>25.0</v>
      </c>
      <c r="K746" s="56">
        <v>3157.0</v>
      </c>
      <c r="L746" s="57">
        <v>-643.0</v>
      </c>
      <c r="M746" s="67"/>
      <c r="N746" s="33">
        <f t="shared" si="13"/>
        <v>78925</v>
      </c>
      <c r="O746" s="59">
        <v>116538.0</v>
      </c>
      <c r="P746" s="34">
        <f t="shared" si="14"/>
        <v>36.91415901</v>
      </c>
      <c r="Q746" s="60"/>
      <c r="R746" s="36">
        <f t="shared" si="99"/>
        <v>0</v>
      </c>
      <c r="S746" s="61">
        <v>-506.0</v>
      </c>
      <c r="T746" s="37">
        <f t="shared" si="100"/>
        <v>-506</v>
      </c>
      <c r="U746" s="62">
        <v>1.0</v>
      </c>
      <c r="V746" s="63"/>
      <c r="W746" s="63"/>
      <c r="X746" s="83">
        <v>0.3</v>
      </c>
      <c r="Y746" s="35">
        <f t="shared" si="123"/>
        <v>0</v>
      </c>
      <c r="Z746" s="40">
        <f t="shared" si="127"/>
        <v>-354.2</v>
      </c>
      <c r="AA746" s="34">
        <f t="shared" si="128"/>
        <v>-151.8</v>
      </c>
      <c r="AB746" s="41">
        <f t="shared" si="109"/>
        <v>0</v>
      </c>
      <c r="AC746" s="42" t="b">
        <v>1</v>
      </c>
      <c r="AD746" s="42" t="s">
        <v>138</v>
      </c>
      <c r="AE746" s="42" t="s">
        <v>138</v>
      </c>
      <c r="AF746" s="42" t="str">
        <f t="array" ref="AF746">INDEX('Deal Info'!D:D, MATCH(A746,'Deal Info'!A:A, 0))</f>
        <v>DoEV</v>
      </c>
      <c r="AG746" s="43" t="str">
        <f t="array" ref="AG746">INDEX('Deal Info'!G:G, MATCH(A746,'Deal Info'!A:A, 0))</f>
        <v>None</v>
      </c>
    </row>
    <row r="747" hidden="1">
      <c r="A747" s="23" t="str">
        <f t="array" ref="A747">if(G747='Room Info'!$B$1, INDEX('Room Info'!$A$2:$A3446, MATCH(B747,'Room Info'!$B$2:$B3446, 0)),if(G747='Room Info'!$C$1, INDEX('Room Info'!$A$2:$A3446, MATCH(B747,'Room Info'!$C$2:$C3446, 0)),if(G747='Room Info'!$D$1, INDEX('Room Info'!$A$2:$A3446, MATCH(B747,'Room Info'!$D$2:$D3446, 0)),if(G747='Room Info'!$E$1, INDEX('Room Info'!$A$2:$A3446, MATCH(B747,'Room Info'!$E$2:$E3446, 0)),if(G747='Room Info'!$F$1, INDEX('Room Info'!$A$2:$A3446, MATCH(B747,'Room Info'!$F$2:$F3446, 0)),if(G747='Room Info'!$H$1, INDEX('Room Info'!$A$2:$A3446, MATCH(B747,'Room Info'!$H$2:$H3446, 0)),if(G747='Room Info'!$G$1, INDEX('Room Info'!$A$2:$A3446, MATCH(B747,'Room Info'!$G$2:$G3446, 0)))))))))</f>
        <v>Ekx444</v>
      </c>
      <c r="B747" s="50" t="s">
        <v>192</v>
      </c>
      <c r="C747" s="51">
        <v>44886.0</v>
      </c>
      <c r="D747" s="51">
        <v>44915.0</v>
      </c>
      <c r="E747" s="52">
        <v>44896.0</v>
      </c>
      <c r="F747" s="53" t="s">
        <v>4</v>
      </c>
      <c r="G747" s="50" t="s">
        <v>5</v>
      </c>
      <c r="H747" s="54" t="s">
        <v>29</v>
      </c>
      <c r="I747" s="54" t="s">
        <v>11</v>
      </c>
      <c r="J747" s="55">
        <v>2.0</v>
      </c>
      <c r="K747" s="56">
        <v>10.0</v>
      </c>
      <c r="L747" s="57">
        <v>-10.0</v>
      </c>
      <c r="M747" s="58">
        <v>1.0</v>
      </c>
      <c r="N747" s="33">
        <f t="shared" si="13"/>
        <v>20</v>
      </c>
      <c r="O747" s="59">
        <v>46.0</v>
      </c>
      <c r="P747" s="34">
        <f t="shared" si="14"/>
        <v>4.6</v>
      </c>
      <c r="Q747" s="60"/>
      <c r="R747" s="36">
        <f t="shared" si="99"/>
        <v>1</v>
      </c>
      <c r="S747" s="61">
        <v>-1.0</v>
      </c>
      <c r="T747" s="37">
        <f t="shared" si="100"/>
        <v>0</v>
      </c>
      <c r="U747" s="62">
        <v>1.0</v>
      </c>
      <c r="V747" s="63"/>
      <c r="W747" s="63"/>
      <c r="X747" s="83">
        <v>0.3</v>
      </c>
      <c r="Y747" s="35">
        <f t="shared" si="123"/>
        <v>0</v>
      </c>
      <c r="Z747" s="40">
        <f t="shared" si="127"/>
        <v>0</v>
      </c>
      <c r="AA747" s="34">
        <f t="shared" si="128"/>
        <v>0</v>
      </c>
      <c r="AB747" s="41">
        <f t="shared" si="109"/>
        <v>0</v>
      </c>
      <c r="AC747" s="42" t="b">
        <v>1</v>
      </c>
      <c r="AD747" s="42" t="s">
        <v>138</v>
      </c>
      <c r="AE747" s="42" t="s">
        <v>138</v>
      </c>
      <c r="AF747" s="42" t="str">
        <f t="array" ref="AF747">INDEX('Deal Info'!D:D, MATCH(A747,'Deal Info'!A:A, 0))</f>
        <v>DoEV</v>
      </c>
      <c r="AG747" s="43" t="str">
        <f t="array" ref="AG747">INDEX('Deal Info'!G:G, MATCH(A747,'Deal Info'!A:A, 0))</f>
        <v>None</v>
      </c>
    </row>
    <row r="748" hidden="1">
      <c r="A748" s="23" t="str">
        <f t="array" ref="A748">if(G748='Room Info'!$B$1, INDEX('Room Info'!$A$2:$A3446, MATCH(B748,'Room Info'!$B$2:$B3446, 0)),if(G748='Room Info'!$C$1, INDEX('Room Info'!$A$2:$A3446, MATCH(B748,'Room Info'!$C$2:$C3446, 0)),if(G748='Room Info'!$D$1, INDEX('Room Info'!$A$2:$A3446, MATCH(B748,'Room Info'!$D$2:$D3446, 0)),if(G748='Room Info'!$E$1, INDEX('Room Info'!$A$2:$A3446, MATCH(B748,'Room Info'!$E$2:$E3446, 0)),if(G748='Room Info'!$F$1, INDEX('Room Info'!$A$2:$A3446, MATCH(B748,'Room Info'!$F$2:$F3446, 0)),if(G748='Room Info'!$H$1, INDEX('Room Info'!$A$2:$A3446, MATCH(B748,'Room Info'!$H$2:$H3446, 0)),if(G748='Room Info'!$G$1, INDEX('Room Info'!$A$2:$A3446, MATCH(B748,'Room Info'!$G$2:$G3446, 0)))))))))</f>
        <v>Ekx444</v>
      </c>
      <c r="B748" s="50" t="s">
        <v>192</v>
      </c>
      <c r="C748" s="51">
        <v>44886.0</v>
      </c>
      <c r="D748" s="51">
        <v>44915.0</v>
      </c>
      <c r="E748" s="52">
        <v>44896.0</v>
      </c>
      <c r="F748" s="53" t="s">
        <v>4</v>
      </c>
      <c r="G748" s="50" t="s">
        <v>5</v>
      </c>
      <c r="H748" s="54" t="s">
        <v>35</v>
      </c>
      <c r="I748" s="54" t="s">
        <v>7</v>
      </c>
      <c r="J748" s="55">
        <v>5.0</v>
      </c>
      <c r="K748" s="56">
        <v>13.0</v>
      </c>
      <c r="L748" s="57">
        <v>25.0</v>
      </c>
      <c r="M748" s="58">
        <v>3.0</v>
      </c>
      <c r="N748" s="33">
        <f t="shared" si="13"/>
        <v>65</v>
      </c>
      <c r="O748" s="59">
        <v>1113.0</v>
      </c>
      <c r="P748" s="34">
        <f t="shared" si="14"/>
        <v>85.61538462</v>
      </c>
      <c r="Q748" s="60"/>
      <c r="R748" s="36">
        <f t="shared" si="99"/>
        <v>3</v>
      </c>
      <c r="S748" s="61">
        <v>4.0</v>
      </c>
      <c r="T748" s="37">
        <f t="shared" si="100"/>
        <v>7</v>
      </c>
      <c r="U748" s="62">
        <v>1.0</v>
      </c>
      <c r="V748" s="63"/>
      <c r="W748" s="63"/>
      <c r="X748" s="83">
        <v>0.3</v>
      </c>
      <c r="Y748" s="35">
        <f t="shared" si="123"/>
        <v>0</v>
      </c>
      <c r="Z748" s="40">
        <f t="shared" si="127"/>
        <v>4.9</v>
      </c>
      <c r="AA748" s="34">
        <f t="shared" si="128"/>
        <v>2.1</v>
      </c>
      <c r="AB748" s="41">
        <f t="shared" si="109"/>
        <v>0</v>
      </c>
      <c r="AC748" s="42" t="b">
        <v>1</v>
      </c>
      <c r="AD748" s="42" t="s">
        <v>138</v>
      </c>
      <c r="AE748" s="42" t="s">
        <v>138</v>
      </c>
      <c r="AF748" s="42" t="str">
        <f t="array" ref="AF748">INDEX('Deal Info'!D:D, MATCH(A748,'Deal Info'!A:A, 0))</f>
        <v>DoEV</v>
      </c>
      <c r="AG748" s="43" t="str">
        <f t="array" ref="AG748">INDEX('Deal Info'!G:G, MATCH(A748,'Deal Info'!A:A, 0))</f>
        <v>None</v>
      </c>
    </row>
    <row r="749" hidden="1">
      <c r="A749" s="23" t="str">
        <f t="array" ref="A749">if(G749='Room Info'!$B$1, INDEX('Room Info'!$A$2:$A3446, MATCH(B749,'Room Info'!$B$2:$B3446, 0)),if(G749='Room Info'!$C$1, INDEX('Room Info'!$A$2:$A3446, MATCH(B749,'Room Info'!$C$2:$C3446, 0)),if(G749='Room Info'!$D$1, INDEX('Room Info'!$A$2:$A3446, MATCH(B749,'Room Info'!$D$2:$D3446, 0)),if(G749='Room Info'!$E$1, INDEX('Room Info'!$A$2:$A3446, MATCH(B749,'Room Info'!$E$2:$E3446, 0)),if(G749='Room Info'!$F$1, INDEX('Room Info'!$A$2:$A3446, MATCH(B749,'Room Info'!$F$2:$F3446, 0)),if(G749='Room Info'!$H$1, INDEX('Room Info'!$A$2:$A3446, MATCH(B749,'Room Info'!$H$2:$H3446, 0)),if(G749='Room Info'!$G$1, INDEX('Room Info'!$A$2:$A3446, MATCH(B749,'Room Info'!$G$2:$G3446, 0)))))))))</f>
        <v>Ekx444</v>
      </c>
      <c r="B749" s="50" t="s">
        <v>192</v>
      </c>
      <c r="C749" s="51">
        <v>44886.0</v>
      </c>
      <c r="D749" s="51">
        <v>44915.0</v>
      </c>
      <c r="E749" s="52">
        <v>44896.0</v>
      </c>
      <c r="F749" s="53" t="s">
        <v>4</v>
      </c>
      <c r="G749" s="50" t="s">
        <v>5</v>
      </c>
      <c r="H749" s="54" t="s">
        <v>45</v>
      </c>
      <c r="I749" s="54" t="s">
        <v>7</v>
      </c>
      <c r="J749" s="55">
        <v>10.0</v>
      </c>
      <c r="K749" s="56">
        <v>803.0</v>
      </c>
      <c r="L749" s="57">
        <v>260.0</v>
      </c>
      <c r="M749" s="58">
        <v>292.0</v>
      </c>
      <c r="N749" s="33">
        <f t="shared" si="13"/>
        <v>8030</v>
      </c>
      <c r="O749" s="59">
        <v>49802.0</v>
      </c>
      <c r="P749" s="34">
        <f t="shared" si="14"/>
        <v>62.01992528</v>
      </c>
      <c r="Q749" s="60"/>
      <c r="R749" s="36">
        <f t="shared" si="99"/>
        <v>292</v>
      </c>
      <c r="S749" s="61">
        <v>333.0</v>
      </c>
      <c r="T749" s="37">
        <f t="shared" si="100"/>
        <v>625</v>
      </c>
      <c r="U749" s="62">
        <v>1.0</v>
      </c>
      <c r="V749" s="63"/>
      <c r="W749" s="63"/>
      <c r="X749" s="83">
        <v>0.3</v>
      </c>
      <c r="Y749" s="35">
        <f t="shared" si="123"/>
        <v>0</v>
      </c>
      <c r="Z749" s="40">
        <f t="shared" si="127"/>
        <v>437.5</v>
      </c>
      <c r="AA749" s="34">
        <f t="shared" si="128"/>
        <v>187.5</v>
      </c>
      <c r="AB749" s="41">
        <f t="shared" si="109"/>
        <v>0</v>
      </c>
      <c r="AC749" s="42" t="b">
        <v>1</v>
      </c>
      <c r="AD749" s="42" t="s">
        <v>138</v>
      </c>
      <c r="AE749" s="42" t="s">
        <v>138</v>
      </c>
      <c r="AF749" s="42" t="str">
        <f t="array" ref="AF749">INDEX('Deal Info'!D:D, MATCH(A749,'Deal Info'!A:A, 0))</f>
        <v>DoEV</v>
      </c>
      <c r="AG749" s="43" t="str">
        <f t="array" ref="AG749">INDEX('Deal Info'!G:G, MATCH(A749,'Deal Info'!A:A, 0))</f>
        <v>None</v>
      </c>
    </row>
    <row r="750" hidden="1">
      <c r="A750" s="23" t="str">
        <f t="array" ref="A750">if(G750='Room Info'!$B$1, INDEX('Room Info'!$A$2:$A3446, MATCH(B750,'Room Info'!$B$2:$B3446, 0)),if(G750='Room Info'!$C$1, INDEX('Room Info'!$A$2:$A3446, MATCH(B750,'Room Info'!$C$2:$C3446, 0)),if(G750='Room Info'!$D$1, INDEX('Room Info'!$A$2:$A3446, MATCH(B750,'Room Info'!$D$2:$D3446, 0)),if(G750='Room Info'!$E$1, INDEX('Room Info'!$A$2:$A3446, MATCH(B750,'Room Info'!$E$2:$E3446, 0)),if(G750='Room Info'!$F$1, INDEX('Room Info'!$A$2:$A3446, MATCH(B750,'Room Info'!$F$2:$F3446, 0)),if(G750='Room Info'!$H$1, INDEX('Room Info'!$A$2:$A3446, MATCH(B750,'Room Info'!$H$2:$H3446, 0)),if(G750='Room Info'!$G$1, INDEX('Room Info'!$A$2:$A3446, MATCH(B750,'Room Info'!$G$2:$G3446, 0)))))))))</f>
        <v>Ekx444</v>
      </c>
      <c r="B750" s="50" t="s">
        <v>192</v>
      </c>
      <c r="C750" s="82">
        <v>44886.0</v>
      </c>
      <c r="D750" s="82">
        <v>44915.0</v>
      </c>
      <c r="E750" s="52">
        <v>44896.0</v>
      </c>
      <c r="F750" s="53" t="s">
        <v>4</v>
      </c>
      <c r="G750" s="50" t="s">
        <v>5</v>
      </c>
      <c r="H750" s="54" t="s">
        <v>62</v>
      </c>
      <c r="I750" s="54" t="s">
        <v>7</v>
      </c>
      <c r="J750" s="79">
        <v>25.0</v>
      </c>
      <c r="K750" s="80">
        <v>2814.0</v>
      </c>
      <c r="L750" s="77">
        <v>-225.0</v>
      </c>
      <c r="M750" s="81">
        <v>2195.0</v>
      </c>
      <c r="N750" s="33">
        <f t="shared" si="13"/>
        <v>70350</v>
      </c>
      <c r="O750" s="50">
        <v>91887.0</v>
      </c>
      <c r="P750" s="34">
        <f t="shared" si="14"/>
        <v>32.65351812</v>
      </c>
      <c r="Q750" s="60"/>
      <c r="R750" s="36">
        <f t="shared" si="99"/>
        <v>2195</v>
      </c>
      <c r="S750" s="78">
        <v>-138.0</v>
      </c>
      <c r="T750" s="37">
        <f t="shared" si="100"/>
        <v>2057</v>
      </c>
      <c r="U750" s="62">
        <v>1.0</v>
      </c>
      <c r="V750" s="63"/>
      <c r="W750" s="63"/>
      <c r="X750" s="83">
        <v>0.3</v>
      </c>
      <c r="Y750" s="35">
        <f t="shared" si="123"/>
        <v>0</v>
      </c>
      <c r="Z750" s="40">
        <f t="shared" si="127"/>
        <v>1439.9</v>
      </c>
      <c r="AA750" s="34">
        <f t="shared" si="128"/>
        <v>617.1</v>
      </c>
      <c r="AB750" s="41">
        <f t="shared" si="109"/>
        <v>0</v>
      </c>
      <c r="AC750" s="42" t="b">
        <v>1</v>
      </c>
      <c r="AD750" s="42" t="s">
        <v>138</v>
      </c>
      <c r="AE750" s="42" t="s">
        <v>138</v>
      </c>
      <c r="AF750" s="42" t="str">
        <f t="array" ref="AF750">INDEX('Deal Info'!D:D, MATCH(A750,'Deal Info'!A:A, 0))</f>
        <v>DoEV</v>
      </c>
      <c r="AG750" s="43" t="str">
        <f t="array" ref="AG750">INDEX('Deal Info'!G:G, MATCH(A750,'Deal Info'!A:A, 0))</f>
        <v>None</v>
      </c>
    </row>
    <row r="751" hidden="1">
      <c r="A751" s="23" t="str">
        <f t="array" ref="A751">if(G751='Room Info'!$B$1, INDEX('Room Info'!$A$2:$A3446, MATCH(B751,'Room Info'!$B$2:$B3446, 0)),if(G751='Room Info'!$C$1, INDEX('Room Info'!$A$2:$A3446, MATCH(B751,'Room Info'!$C$2:$C3446, 0)),if(G751='Room Info'!$D$1, INDEX('Room Info'!$A$2:$A3446, MATCH(B751,'Room Info'!$D$2:$D3446, 0)),if(G751='Room Info'!$E$1, INDEX('Room Info'!$A$2:$A3446, MATCH(B751,'Room Info'!$E$2:$E3446, 0)),if(G751='Room Info'!$F$1, INDEX('Room Info'!$A$2:$A3446, MATCH(B751,'Room Info'!$F$2:$F3446, 0)),if(G751='Room Info'!$H$1, INDEX('Room Info'!$A$2:$A3446, MATCH(B751,'Room Info'!$H$2:$H3446, 0)),if(G751='Room Info'!$G$1, INDEX('Room Info'!$A$2:$A3446, MATCH(B751,'Room Info'!$G$2:$G3446, 0)))))))))</f>
        <v>Ekx444</v>
      </c>
      <c r="B751" s="50" t="s">
        <v>192</v>
      </c>
      <c r="C751" s="82">
        <v>44886.0</v>
      </c>
      <c r="D751" s="82">
        <v>44915.0</v>
      </c>
      <c r="E751" s="52">
        <v>44896.0</v>
      </c>
      <c r="F751" s="53" t="s">
        <v>4</v>
      </c>
      <c r="G751" s="50" t="s">
        <v>5</v>
      </c>
      <c r="H751" s="54" t="s">
        <v>74</v>
      </c>
      <c r="I751" s="54" t="s">
        <v>7</v>
      </c>
      <c r="J751" s="79">
        <v>50.0</v>
      </c>
      <c r="K751" s="80">
        <v>102.0</v>
      </c>
      <c r="L751" s="77">
        <v>-2050.0</v>
      </c>
      <c r="M751" s="81">
        <v>159.0</v>
      </c>
      <c r="N751" s="33">
        <f t="shared" si="13"/>
        <v>5100</v>
      </c>
      <c r="O751" s="50">
        <v>-4048.0</v>
      </c>
      <c r="P751" s="34">
        <f t="shared" si="14"/>
        <v>-39.68627451</v>
      </c>
      <c r="Q751" s="60"/>
      <c r="R751" s="36">
        <f t="shared" si="99"/>
        <v>159</v>
      </c>
      <c r="S751" s="78">
        <v>-694.0</v>
      </c>
      <c r="T751" s="37">
        <f t="shared" si="100"/>
        <v>-535</v>
      </c>
      <c r="U751" s="62">
        <v>1.0</v>
      </c>
      <c r="V751" s="63"/>
      <c r="W751" s="63"/>
      <c r="X751" s="83">
        <v>0.3</v>
      </c>
      <c r="Y751" s="35">
        <f t="shared" si="123"/>
        <v>0</v>
      </c>
      <c r="Z751" s="40">
        <f t="shared" si="127"/>
        <v>-374.5</v>
      </c>
      <c r="AA751" s="34">
        <f t="shared" si="128"/>
        <v>-160.5</v>
      </c>
      <c r="AB751" s="41">
        <f t="shared" si="109"/>
        <v>0</v>
      </c>
      <c r="AC751" s="42" t="b">
        <v>1</v>
      </c>
      <c r="AD751" s="42" t="s">
        <v>138</v>
      </c>
      <c r="AE751" s="42" t="s">
        <v>138</v>
      </c>
      <c r="AF751" s="42" t="str">
        <f t="array" ref="AF751">INDEX('Deal Info'!D:D, MATCH(A751,'Deal Info'!A:A, 0))</f>
        <v>DoEV</v>
      </c>
      <c r="AG751" s="43" t="str">
        <f t="array" ref="AG751">INDEX('Deal Info'!G:G, MATCH(A751,'Deal Info'!A:A, 0))</f>
        <v>None</v>
      </c>
    </row>
    <row r="752" hidden="1">
      <c r="A752" s="23" t="str">
        <f t="array" ref="A752">if(G752='Room Info'!$B$1, INDEX('Room Info'!$A$2:$A3446, MATCH(B752,'Room Info'!$B$2:$B3446, 0)),if(G752='Room Info'!$C$1, INDEX('Room Info'!$A$2:$A3446, MATCH(B752,'Room Info'!$C$2:$C3446, 0)),if(G752='Room Info'!$D$1, INDEX('Room Info'!$A$2:$A3446, MATCH(B752,'Room Info'!$D$2:$D3446, 0)),if(G752='Room Info'!$E$1, INDEX('Room Info'!$A$2:$A3446, MATCH(B752,'Room Info'!$E$2:$E3446, 0)),if(G752='Room Info'!$F$1, INDEX('Room Info'!$A$2:$A3446, MATCH(B752,'Room Info'!$F$2:$F3446, 0)),if(G752='Room Info'!$H$1, INDEX('Room Info'!$A$2:$A3446, MATCH(B752,'Room Info'!$H$2:$H3446, 0)),if(G752='Room Info'!$G$1, INDEX('Room Info'!$A$2:$A3446, MATCH(B752,'Room Info'!$G$2:$G3446, 0)))))))))</f>
        <v>Ekx444</v>
      </c>
      <c r="B752" s="50" t="s">
        <v>192</v>
      </c>
      <c r="C752" s="51">
        <v>44886.0</v>
      </c>
      <c r="D752" s="51">
        <v>44915.0</v>
      </c>
      <c r="E752" s="52">
        <v>44896.0</v>
      </c>
      <c r="F752" s="50" t="s">
        <v>4</v>
      </c>
      <c r="G752" s="59" t="s">
        <v>5</v>
      </c>
      <c r="H752" s="54" t="s">
        <v>96</v>
      </c>
      <c r="I752" s="54" t="s">
        <v>7</v>
      </c>
      <c r="J752" s="55">
        <v>250.0</v>
      </c>
      <c r="K752" s="56">
        <v>3.0</v>
      </c>
      <c r="L752" s="57">
        <v>-750.0</v>
      </c>
      <c r="M752" s="58">
        <v>20.0</v>
      </c>
      <c r="N752" s="33">
        <f t="shared" si="13"/>
        <v>750</v>
      </c>
      <c r="O752" s="59">
        <v>-297.0</v>
      </c>
      <c r="P752" s="34">
        <f t="shared" si="14"/>
        <v>-99</v>
      </c>
      <c r="Q752" s="60"/>
      <c r="R752" s="36">
        <f t="shared" si="99"/>
        <v>20</v>
      </c>
      <c r="S752" s="61">
        <v>-177.0</v>
      </c>
      <c r="T752" s="37">
        <f t="shared" si="100"/>
        <v>-157</v>
      </c>
      <c r="U752" s="62">
        <v>1.0</v>
      </c>
      <c r="V752" s="63"/>
      <c r="W752" s="63"/>
      <c r="X752" s="83">
        <v>0.3</v>
      </c>
      <c r="Y752" s="35">
        <f t="shared" si="123"/>
        <v>0</v>
      </c>
      <c r="Z752" s="40">
        <f t="shared" si="127"/>
        <v>-109.9</v>
      </c>
      <c r="AA752" s="34">
        <f t="shared" si="128"/>
        <v>-47.1</v>
      </c>
      <c r="AB752" s="41">
        <f t="shared" si="109"/>
        <v>0</v>
      </c>
      <c r="AC752" s="42" t="b">
        <v>1</v>
      </c>
      <c r="AD752" s="42" t="s">
        <v>138</v>
      </c>
      <c r="AE752" s="42" t="s">
        <v>138</v>
      </c>
      <c r="AF752" s="42" t="str">
        <f t="array" ref="AF752">INDEX('Deal Info'!D:D, MATCH(A752,'Deal Info'!A:A, 0))</f>
        <v>DoEV</v>
      </c>
      <c r="AG752" s="43" t="str">
        <f t="array" ref="AG752">INDEX('Deal Info'!G:G, MATCH(A752,'Deal Info'!A:A, 0))</f>
        <v>None</v>
      </c>
    </row>
    <row r="753" hidden="1">
      <c r="A753" s="23" t="str">
        <f t="array" ref="A753">if(G753='Room Info'!$B$1, INDEX('Room Info'!$A$2:$A3446, MATCH(B753,'Room Info'!$B$2:$B3446, 0)),if(G753='Room Info'!$C$1, INDEX('Room Info'!$A$2:$A3446, MATCH(B753,'Room Info'!$C$2:$C3446, 0)),if(G753='Room Info'!$D$1, INDEX('Room Info'!$A$2:$A3446, MATCH(B753,'Room Info'!$D$2:$D3446, 0)),if(G753='Room Info'!$E$1, INDEX('Room Info'!$A$2:$A3446, MATCH(B753,'Room Info'!$E$2:$E3446, 0)),if(G753='Room Info'!$F$1, INDEX('Room Info'!$A$2:$A3446, MATCH(B753,'Room Info'!$F$2:$F3446, 0)),if(G753='Room Info'!$H$1, INDEX('Room Info'!$A$2:$A3446, MATCH(B753,'Room Info'!$H$2:$H3446, 0)),if(G753='Room Info'!$G$1, INDEX('Room Info'!$A$2:$A3446, MATCH(B753,'Room Info'!$G$2:$G3446, 0)))))))))</f>
        <v>Ekx444</v>
      </c>
      <c r="B753" s="50" t="s">
        <v>192</v>
      </c>
      <c r="C753" s="51">
        <v>44886.0</v>
      </c>
      <c r="D753" s="51">
        <v>44915.0</v>
      </c>
      <c r="E753" s="52">
        <v>44896.0</v>
      </c>
      <c r="F753" s="53" t="s">
        <v>12</v>
      </c>
      <c r="G753" s="59" t="s">
        <v>5</v>
      </c>
      <c r="H753" s="54" t="s">
        <v>20</v>
      </c>
      <c r="I753" s="54" t="s">
        <v>7</v>
      </c>
      <c r="J753" s="55">
        <v>1.0</v>
      </c>
      <c r="K753" s="56">
        <v>11.0</v>
      </c>
      <c r="L753" s="57">
        <v>-3.0</v>
      </c>
      <c r="M753" s="67"/>
      <c r="N753" s="33">
        <f t="shared" si="13"/>
        <v>11</v>
      </c>
      <c r="O753" s="70"/>
      <c r="P753" s="34">
        <f t="shared" si="14"/>
        <v>0</v>
      </c>
      <c r="Q753" s="60"/>
      <c r="R753" s="36">
        <f t="shared" si="99"/>
        <v>0</v>
      </c>
      <c r="S753" s="71"/>
      <c r="T753" s="37">
        <f t="shared" si="100"/>
        <v>-3</v>
      </c>
      <c r="U753" s="62">
        <v>1.0</v>
      </c>
      <c r="V753" s="63"/>
      <c r="W753" s="63"/>
      <c r="X753" s="83">
        <v>0.3</v>
      </c>
      <c r="Y753" s="35">
        <f t="shared" si="123"/>
        <v>0</v>
      </c>
      <c r="Z753" s="40">
        <f t="shared" si="127"/>
        <v>-2.1</v>
      </c>
      <c r="AA753" s="34">
        <f t="shared" si="128"/>
        <v>-0.9</v>
      </c>
      <c r="AB753" s="41">
        <f t="shared" si="109"/>
        <v>0</v>
      </c>
      <c r="AC753" s="42" t="b">
        <v>1</v>
      </c>
      <c r="AD753" s="42" t="s">
        <v>138</v>
      </c>
      <c r="AE753" s="42" t="s">
        <v>138</v>
      </c>
      <c r="AF753" s="42" t="str">
        <f t="array" ref="AF753">INDEX('Deal Info'!D:D, MATCH(A753,'Deal Info'!A:A, 0))</f>
        <v>DoEV</v>
      </c>
      <c r="AG753" s="43" t="str">
        <f t="array" ref="AG753">INDEX('Deal Info'!G:G, MATCH(A753,'Deal Info'!A:A, 0))</f>
        <v>None</v>
      </c>
    </row>
    <row r="754" hidden="1">
      <c r="A754" s="23" t="str">
        <f t="array" ref="A754">if(G754='Room Info'!$B$1, INDEX('Room Info'!$A$2:$A3446, MATCH(B754,'Room Info'!$B$2:$B3446, 0)),if(G754='Room Info'!$C$1, INDEX('Room Info'!$A$2:$A3446, MATCH(B754,'Room Info'!$C$2:$C3446, 0)),if(G754='Room Info'!$D$1, INDEX('Room Info'!$A$2:$A3446, MATCH(B754,'Room Info'!$D$2:$D3446, 0)),if(G754='Room Info'!$E$1, INDEX('Room Info'!$A$2:$A3446, MATCH(B754,'Room Info'!$E$2:$E3446, 0)),if(G754='Room Info'!$F$1, INDEX('Room Info'!$A$2:$A3446, MATCH(B754,'Room Info'!$F$2:$F3446, 0)),if(G754='Room Info'!$H$1, INDEX('Room Info'!$A$2:$A3446, MATCH(B754,'Room Info'!$H$2:$H3446, 0)),if(G754='Room Info'!$G$1, INDEX('Room Info'!$A$2:$A3446, MATCH(B754,'Room Info'!$G$2:$G3446, 0)))))))))</f>
        <v>Ekx444</v>
      </c>
      <c r="B754" s="50" t="s">
        <v>192</v>
      </c>
      <c r="C754" s="51">
        <v>44886.0</v>
      </c>
      <c r="D754" s="51">
        <v>44915.0</v>
      </c>
      <c r="E754" s="52">
        <v>44896.0</v>
      </c>
      <c r="F754" s="53" t="s">
        <v>12</v>
      </c>
      <c r="G754" s="50" t="s">
        <v>5</v>
      </c>
      <c r="H754" s="54" t="s">
        <v>6</v>
      </c>
      <c r="I754" s="54" t="s">
        <v>7</v>
      </c>
      <c r="J754" s="55">
        <v>0.25</v>
      </c>
      <c r="K754" s="56">
        <v>8.0</v>
      </c>
      <c r="L754" s="57">
        <v>-2.0</v>
      </c>
      <c r="M754" s="67"/>
      <c r="N754" s="33">
        <f t="shared" si="13"/>
        <v>2</v>
      </c>
      <c r="O754" s="70"/>
      <c r="P754" s="34">
        <f t="shared" si="14"/>
        <v>0</v>
      </c>
      <c r="Q754" s="60"/>
      <c r="R754" s="36">
        <f t="shared" si="99"/>
        <v>0</v>
      </c>
      <c r="S754" s="71"/>
      <c r="T754" s="37">
        <f t="shared" si="100"/>
        <v>-2</v>
      </c>
      <c r="U754" s="62">
        <v>1.0</v>
      </c>
      <c r="V754" s="63"/>
      <c r="W754" s="63"/>
      <c r="X754" s="83">
        <v>0.3</v>
      </c>
      <c r="Y754" s="35">
        <f t="shared" si="123"/>
        <v>0</v>
      </c>
      <c r="Z754" s="40">
        <f t="shared" si="127"/>
        <v>-1.4</v>
      </c>
      <c r="AA754" s="34">
        <f t="shared" si="128"/>
        <v>-0.6</v>
      </c>
      <c r="AB754" s="41">
        <f t="shared" si="109"/>
        <v>0</v>
      </c>
      <c r="AC754" s="42" t="b">
        <v>1</v>
      </c>
      <c r="AD754" s="42" t="s">
        <v>138</v>
      </c>
      <c r="AE754" s="42" t="s">
        <v>138</v>
      </c>
      <c r="AF754" s="42" t="str">
        <f t="array" ref="AF754">INDEX('Deal Info'!D:D, MATCH(A754,'Deal Info'!A:A, 0))</f>
        <v>DoEV</v>
      </c>
      <c r="AG754" s="43" t="str">
        <f t="array" ref="AG754">INDEX('Deal Info'!G:G, MATCH(A754,'Deal Info'!A:A, 0))</f>
        <v>None</v>
      </c>
    </row>
    <row r="755" hidden="1">
      <c r="A755" s="23" t="str">
        <f t="array" ref="A755">if(G755='Room Info'!$B$1, INDEX('Room Info'!$A$2:$A3446, MATCH(B755,'Room Info'!$B$2:$B3446, 0)),if(G755='Room Info'!$C$1, INDEX('Room Info'!$A$2:$A3446, MATCH(B755,'Room Info'!$C$2:$C3446, 0)),if(G755='Room Info'!$D$1, INDEX('Room Info'!$A$2:$A3446, MATCH(B755,'Room Info'!$D$2:$D3446, 0)),if(G755='Room Info'!$E$1, INDEX('Room Info'!$A$2:$A3446, MATCH(B755,'Room Info'!$E$2:$E3446, 0)),if(G755='Room Info'!$F$1, INDEX('Room Info'!$A$2:$A3446, MATCH(B755,'Room Info'!$F$2:$F3446, 0)),if(G755='Room Info'!$H$1, INDEX('Room Info'!$A$2:$A3446, MATCH(B755,'Room Info'!$H$2:$H3446, 0)),if(G755='Room Info'!$G$1, INDEX('Room Info'!$A$2:$A3446, MATCH(B755,'Room Info'!$G$2:$G3446, 0)))))))))</f>
        <v>Ekx444</v>
      </c>
      <c r="B755" s="50" t="s">
        <v>192</v>
      </c>
      <c r="C755" s="51">
        <v>44886.0</v>
      </c>
      <c r="D755" s="51">
        <v>44915.0</v>
      </c>
      <c r="E755" s="52">
        <v>44896.0</v>
      </c>
      <c r="F755" s="53" t="s">
        <v>12</v>
      </c>
      <c r="G755" s="50" t="s">
        <v>5</v>
      </c>
      <c r="H755" s="54" t="s">
        <v>10</v>
      </c>
      <c r="I755" s="54" t="s">
        <v>11</v>
      </c>
      <c r="J755" s="55">
        <v>0.25</v>
      </c>
      <c r="K755" s="56">
        <v>1.0</v>
      </c>
      <c r="L755" s="57">
        <v>0.0</v>
      </c>
      <c r="M755" s="67"/>
      <c r="N755" s="33">
        <f t="shared" si="13"/>
        <v>0.25</v>
      </c>
      <c r="O755" s="70"/>
      <c r="P755" s="34">
        <f t="shared" si="14"/>
        <v>0</v>
      </c>
      <c r="Q755" s="60"/>
      <c r="R755" s="36">
        <f t="shared" si="99"/>
        <v>0</v>
      </c>
      <c r="S755" s="71"/>
      <c r="T755" s="37">
        <f t="shared" si="100"/>
        <v>0</v>
      </c>
      <c r="U755" s="62">
        <v>1.0</v>
      </c>
      <c r="V755" s="63"/>
      <c r="W755" s="63"/>
      <c r="X755" s="83">
        <v>0.3</v>
      </c>
      <c r="Y755" s="35">
        <f t="shared" si="123"/>
        <v>0</v>
      </c>
      <c r="Z755" s="40">
        <f t="shared" si="127"/>
        <v>0</v>
      </c>
      <c r="AA755" s="34">
        <f t="shared" si="128"/>
        <v>0</v>
      </c>
      <c r="AB755" s="41">
        <f t="shared" si="109"/>
        <v>0</v>
      </c>
      <c r="AC755" s="42" t="b">
        <v>1</v>
      </c>
      <c r="AD755" s="42" t="s">
        <v>138</v>
      </c>
      <c r="AE755" s="42" t="s">
        <v>138</v>
      </c>
      <c r="AF755" s="42" t="str">
        <f t="array" ref="AF755">INDEX('Deal Info'!D:D, MATCH(A755,'Deal Info'!A:A, 0))</f>
        <v>DoEV</v>
      </c>
      <c r="AG755" s="43" t="str">
        <f t="array" ref="AG755">INDEX('Deal Info'!G:G, MATCH(A755,'Deal Info'!A:A, 0))</f>
        <v>None</v>
      </c>
    </row>
    <row r="756" hidden="1">
      <c r="A756" s="23" t="str">
        <f t="array" ref="A756">if(G756='Room Info'!$B$1, INDEX('Room Info'!$A$2:$A3446, MATCH(B756,'Room Info'!$B$2:$B3446, 0)),if(G756='Room Info'!$C$1, INDEX('Room Info'!$A$2:$A3446, MATCH(B756,'Room Info'!$C$2:$C3446, 0)),if(G756='Room Info'!$D$1, INDEX('Room Info'!$A$2:$A3446, MATCH(B756,'Room Info'!$D$2:$D3446, 0)),if(G756='Room Info'!$E$1, INDEX('Room Info'!$A$2:$A3446, MATCH(B756,'Room Info'!$E$2:$E3446, 0)),if(G756='Room Info'!$F$1, INDEX('Room Info'!$A$2:$A3446, MATCH(B756,'Room Info'!$F$2:$F3446, 0)),if(G756='Room Info'!$H$1, INDEX('Room Info'!$A$2:$A3446, MATCH(B756,'Room Info'!$H$2:$H3446, 0)),if(G756='Room Info'!$G$1, INDEX('Room Info'!$A$2:$A3446, MATCH(B756,'Room Info'!$G$2:$G3446, 0)))))))))</f>
        <v>Ekx444</v>
      </c>
      <c r="B756" s="50" t="s">
        <v>192</v>
      </c>
      <c r="C756" s="51">
        <v>44916.0</v>
      </c>
      <c r="D756" s="51">
        <v>44946.0</v>
      </c>
      <c r="E756" s="52">
        <v>44927.0</v>
      </c>
      <c r="F756" s="53" t="s">
        <v>4</v>
      </c>
      <c r="G756" s="50" t="s">
        <v>5</v>
      </c>
      <c r="H756" s="54" t="s">
        <v>35</v>
      </c>
      <c r="I756" s="54" t="s">
        <v>7</v>
      </c>
      <c r="J756" s="55">
        <v>5.0</v>
      </c>
      <c r="K756" s="56">
        <v>4.0</v>
      </c>
      <c r="L756" s="57">
        <v>-10.0</v>
      </c>
      <c r="M756" s="58">
        <v>1.0</v>
      </c>
      <c r="N756" s="33">
        <f t="shared" si="13"/>
        <v>20</v>
      </c>
      <c r="O756" s="59">
        <v>-521.0</v>
      </c>
      <c r="P756" s="34">
        <f t="shared" si="14"/>
        <v>-130.25</v>
      </c>
      <c r="Q756" s="60"/>
      <c r="R756" s="36">
        <f t="shared" si="99"/>
        <v>1</v>
      </c>
      <c r="S756" s="61">
        <v>-6.0</v>
      </c>
      <c r="T756" s="37">
        <f t="shared" si="100"/>
        <v>-5</v>
      </c>
      <c r="U756" s="62">
        <v>1.0</v>
      </c>
      <c r="V756" s="63"/>
      <c r="W756" s="63"/>
      <c r="X756" s="83">
        <v>0.3</v>
      </c>
      <c r="Y756" s="35">
        <f t="shared" si="123"/>
        <v>0</v>
      </c>
      <c r="Z756" s="40">
        <f t="shared" si="127"/>
        <v>-3.5</v>
      </c>
      <c r="AA756" s="34">
        <f t="shared" si="128"/>
        <v>-1.5</v>
      </c>
      <c r="AB756" s="41">
        <f t="shared" si="109"/>
        <v>0</v>
      </c>
      <c r="AC756" s="42" t="b">
        <v>1</v>
      </c>
      <c r="AD756" s="42" t="s">
        <v>138</v>
      </c>
      <c r="AE756" s="42" t="s">
        <v>138</v>
      </c>
      <c r="AF756" s="42" t="str">
        <f t="array" ref="AF756">INDEX('Deal Info'!D:D, MATCH(A756,'Deal Info'!A:A, 0))</f>
        <v>DoEV</v>
      </c>
      <c r="AG756" s="43" t="str">
        <f t="array" ref="AG756">INDEX('Deal Info'!G:G, MATCH(A756,'Deal Info'!A:A, 0))</f>
        <v>None</v>
      </c>
    </row>
    <row r="757" hidden="1">
      <c r="A757" s="23" t="str">
        <f t="array" ref="A757">if(G757='Room Info'!$B$1, INDEX('Room Info'!$A$2:$A3446, MATCH(B757,'Room Info'!$B$2:$B3446, 0)),if(G757='Room Info'!$C$1, INDEX('Room Info'!$A$2:$A3446, MATCH(B757,'Room Info'!$C$2:$C3446, 0)),if(G757='Room Info'!$D$1, INDEX('Room Info'!$A$2:$A3446, MATCH(B757,'Room Info'!$D$2:$D3446, 0)),if(G757='Room Info'!$E$1, INDEX('Room Info'!$A$2:$A3446, MATCH(B757,'Room Info'!$E$2:$E3446, 0)),if(G757='Room Info'!$F$1, INDEX('Room Info'!$A$2:$A3446, MATCH(B757,'Room Info'!$F$2:$F3446, 0)),if(G757='Room Info'!$H$1, INDEX('Room Info'!$A$2:$A3446, MATCH(B757,'Room Info'!$H$2:$H3446, 0)),if(G757='Room Info'!$G$1, INDEX('Room Info'!$A$2:$A3446, MATCH(B757,'Room Info'!$G$2:$G3446, 0)))))))))</f>
        <v>Ekx444</v>
      </c>
      <c r="B757" s="50" t="s">
        <v>192</v>
      </c>
      <c r="C757" s="51">
        <v>44916.0</v>
      </c>
      <c r="D757" s="51">
        <v>44946.0</v>
      </c>
      <c r="E757" s="52">
        <v>44927.0</v>
      </c>
      <c r="F757" s="53" t="s">
        <v>4</v>
      </c>
      <c r="G757" s="50" t="s">
        <v>5</v>
      </c>
      <c r="H757" s="54" t="s">
        <v>45</v>
      </c>
      <c r="I757" s="54" t="s">
        <v>7</v>
      </c>
      <c r="J757" s="55">
        <v>10.0</v>
      </c>
      <c r="K757" s="56">
        <v>1421.0</v>
      </c>
      <c r="L757" s="57">
        <v>40.0</v>
      </c>
      <c r="M757" s="58">
        <v>653.0</v>
      </c>
      <c r="N757" s="33">
        <f t="shared" si="13"/>
        <v>14210</v>
      </c>
      <c r="O757" s="59">
        <v>70804.0</v>
      </c>
      <c r="P757" s="34">
        <f t="shared" si="14"/>
        <v>49.82688248</v>
      </c>
      <c r="Q757" s="60"/>
      <c r="R757" s="36">
        <f t="shared" si="99"/>
        <v>653</v>
      </c>
      <c r="S757" s="61">
        <v>275.0</v>
      </c>
      <c r="T757" s="37">
        <f t="shared" si="100"/>
        <v>928</v>
      </c>
      <c r="U757" s="62">
        <v>1.0</v>
      </c>
      <c r="V757" s="63"/>
      <c r="W757" s="63"/>
      <c r="X757" s="83">
        <v>0.3</v>
      </c>
      <c r="Y757" s="35">
        <f t="shared" si="123"/>
        <v>0</v>
      </c>
      <c r="Z757" s="40">
        <f t="shared" si="127"/>
        <v>649.6</v>
      </c>
      <c r="AA757" s="34">
        <f t="shared" si="128"/>
        <v>278.4</v>
      </c>
      <c r="AB757" s="41">
        <f t="shared" si="109"/>
        <v>0</v>
      </c>
      <c r="AC757" s="42" t="b">
        <v>1</v>
      </c>
      <c r="AD757" s="42" t="s">
        <v>138</v>
      </c>
      <c r="AE757" s="42" t="s">
        <v>138</v>
      </c>
      <c r="AF757" s="42" t="str">
        <f t="array" ref="AF757">INDEX('Deal Info'!D:D, MATCH(A757,'Deal Info'!A:A, 0))</f>
        <v>DoEV</v>
      </c>
      <c r="AG757" s="43" t="str">
        <f t="array" ref="AG757">INDEX('Deal Info'!G:G, MATCH(A757,'Deal Info'!A:A, 0))</f>
        <v>None</v>
      </c>
    </row>
    <row r="758" hidden="1">
      <c r="A758" s="23" t="str">
        <f t="array" ref="A758">if(G758='Room Info'!$B$1, INDEX('Room Info'!$A$2:$A3446, MATCH(B758,'Room Info'!$B$2:$B3446, 0)),if(G758='Room Info'!$C$1, INDEX('Room Info'!$A$2:$A3446, MATCH(B758,'Room Info'!$C$2:$C3446, 0)),if(G758='Room Info'!$D$1, INDEX('Room Info'!$A$2:$A3446, MATCH(B758,'Room Info'!$D$2:$D3446, 0)),if(G758='Room Info'!$E$1, INDEX('Room Info'!$A$2:$A3446, MATCH(B758,'Room Info'!$E$2:$E3446, 0)),if(G758='Room Info'!$F$1, INDEX('Room Info'!$A$2:$A3446, MATCH(B758,'Room Info'!$F$2:$F3446, 0)),if(G758='Room Info'!$H$1, INDEX('Room Info'!$A$2:$A3446, MATCH(B758,'Room Info'!$H$2:$H3446, 0)),if(G758='Room Info'!$G$1, INDEX('Room Info'!$A$2:$A3446, MATCH(B758,'Room Info'!$G$2:$G3446, 0)))))))))</f>
        <v>Ekx444</v>
      </c>
      <c r="B758" s="50" t="s">
        <v>192</v>
      </c>
      <c r="C758" s="51">
        <v>44916.0</v>
      </c>
      <c r="D758" s="51">
        <v>44946.0</v>
      </c>
      <c r="E758" s="52">
        <v>44927.0</v>
      </c>
      <c r="F758" s="53" t="s">
        <v>4</v>
      </c>
      <c r="G758" s="50" t="s">
        <v>5</v>
      </c>
      <c r="H758" s="54" t="s">
        <v>62</v>
      </c>
      <c r="I758" s="54" t="s">
        <v>7</v>
      </c>
      <c r="J758" s="55">
        <v>25.0</v>
      </c>
      <c r="K758" s="56">
        <v>2900.0</v>
      </c>
      <c r="L758" s="57">
        <v>-375.0</v>
      </c>
      <c r="M758" s="58">
        <v>2858.0</v>
      </c>
      <c r="N758" s="33">
        <f t="shared" si="13"/>
        <v>72500</v>
      </c>
      <c r="O758" s="59">
        <v>105017.0</v>
      </c>
      <c r="P758" s="34">
        <f t="shared" si="14"/>
        <v>36.21275862</v>
      </c>
      <c r="Q758" s="60"/>
      <c r="R758" s="36">
        <f t="shared" si="99"/>
        <v>2858</v>
      </c>
      <c r="S758" s="61">
        <v>368.0</v>
      </c>
      <c r="T758" s="37">
        <f t="shared" si="100"/>
        <v>3226</v>
      </c>
      <c r="U758" s="62">
        <v>1.0</v>
      </c>
      <c r="V758" s="63"/>
      <c r="W758" s="63"/>
      <c r="X758" s="83">
        <v>0.3</v>
      </c>
      <c r="Y758" s="35">
        <f t="shared" si="123"/>
        <v>0</v>
      </c>
      <c r="Z758" s="40">
        <f t="shared" si="127"/>
        <v>2258.2</v>
      </c>
      <c r="AA758" s="34">
        <f t="shared" si="128"/>
        <v>967.8</v>
      </c>
      <c r="AB758" s="41">
        <f t="shared" si="109"/>
        <v>0</v>
      </c>
      <c r="AC758" s="42" t="b">
        <v>1</v>
      </c>
      <c r="AD758" s="42" t="s">
        <v>138</v>
      </c>
      <c r="AE758" s="42" t="s">
        <v>138</v>
      </c>
      <c r="AF758" s="42" t="str">
        <f t="array" ref="AF758">INDEX('Deal Info'!D:D, MATCH(A758,'Deal Info'!A:A, 0))</f>
        <v>DoEV</v>
      </c>
      <c r="AG758" s="43" t="str">
        <f t="array" ref="AG758">INDEX('Deal Info'!G:G, MATCH(A758,'Deal Info'!A:A, 0))</f>
        <v>None</v>
      </c>
    </row>
    <row r="759" hidden="1">
      <c r="A759" s="23" t="str">
        <f t="array" ref="A759">if(G759='Room Info'!$B$1, INDEX('Room Info'!$A$2:$A3446, MATCH(B759,'Room Info'!$B$2:$B3446, 0)),if(G759='Room Info'!$C$1, INDEX('Room Info'!$A$2:$A3446, MATCH(B759,'Room Info'!$C$2:$C3446, 0)),if(G759='Room Info'!$D$1, INDEX('Room Info'!$A$2:$A3446, MATCH(B759,'Room Info'!$D$2:$D3446, 0)),if(G759='Room Info'!$E$1, INDEX('Room Info'!$A$2:$A3446, MATCH(B759,'Room Info'!$E$2:$E3446, 0)),if(G759='Room Info'!$F$1, INDEX('Room Info'!$A$2:$A3446, MATCH(B759,'Room Info'!$F$2:$F3446, 0)),if(G759='Room Info'!$H$1, INDEX('Room Info'!$A$2:$A3446, MATCH(B759,'Room Info'!$H$2:$H3446, 0)),if(G759='Room Info'!$G$1, INDEX('Room Info'!$A$2:$A3446, MATCH(B759,'Room Info'!$G$2:$G3446, 0)))))))))</f>
        <v>Ekx444</v>
      </c>
      <c r="B759" s="50" t="s">
        <v>192</v>
      </c>
      <c r="C759" s="51">
        <v>44916.0</v>
      </c>
      <c r="D759" s="51">
        <v>44946.0</v>
      </c>
      <c r="E759" s="52">
        <v>44927.0</v>
      </c>
      <c r="F759" s="53" t="s">
        <v>4</v>
      </c>
      <c r="G759" s="50" t="s">
        <v>5</v>
      </c>
      <c r="H759" s="54" t="s">
        <v>74</v>
      </c>
      <c r="I759" s="54" t="s">
        <v>7</v>
      </c>
      <c r="J759" s="55">
        <v>50.0</v>
      </c>
      <c r="K759" s="56">
        <v>930.0</v>
      </c>
      <c r="L759" s="57">
        <v>-7750.0</v>
      </c>
      <c r="M759" s="58">
        <v>1833.0</v>
      </c>
      <c r="N759" s="33">
        <f t="shared" si="13"/>
        <v>46500</v>
      </c>
      <c r="O759" s="59">
        <v>-20402.0</v>
      </c>
      <c r="P759" s="34">
        <f t="shared" si="14"/>
        <v>-21.93763441</v>
      </c>
      <c r="Q759" s="60"/>
      <c r="R759" s="36">
        <f t="shared" si="99"/>
        <v>1833</v>
      </c>
      <c r="S759" s="61">
        <v>-4778.0</v>
      </c>
      <c r="T759" s="37">
        <f t="shared" si="100"/>
        <v>-2945</v>
      </c>
      <c r="U759" s="62">
        <v>1.0</v>
      </c>
      <c r="V759" s="63"/>
      <c r="W759" s="63"/>
      <c r="X759" s="83">
        <v>0.3</v>
      </c>
      <c r="Y759" s="35">
        <f t="shared" si="123"/>
        <v>0</v>
      </c>
      <c r="Z759" s="40">
        <f t="shared" si="127"/>
        <v>-2061.5</v>
      </c>
      <c r="AA759" s="34">
        <f t="shared" si="128"/>
        <v>-883.5</v>
      </c>
      <c r="AB759" s="41">
        <f t="shared" si="109"/>
        <v>0</v>
      </c>
      <c r="AC759" s="42" t="b">
        <v>1</v>
      </c>
      <c r="AD759" s="42" t="s">
        <v>138</v>
      </c>
      <c r="AE759" s="42" t="s">
        <v>138</v>
      </c>
      <c r="AF759" s="42" t="str">
        <f t="array" ref="AF759">INDEX('Deal Info'!D:D, MATCH(A759,'Deal Info'!A:A, 0))</f>
        <v>DoEV</v>
      </c>
      <c r="AG759" s="43" t="str">
        <f t="array" ref="AG759">INDEX('Deal Info'!G:G, MATCH(A759,'Deal Info'!A:A, 0))</f>
        <v>None</v>
      </c>
    </row>
    <row r="760" hidden="1">
      <c r="A760" s="23" t="str">
        <f t="array" ref="A760">if(G760='Room Info'!$B$1, INDEX('Room Info'!$A$2:$A3446, MATCH(B760,'Room Info'!$B$2:$B3446, 0)),if(G760='Room Info'!$C$1, INDEX('Room Info'!$A$2:$A3446, MATCH(B760,'Room Info'!$C$2:$C3446, 0)),if(G760='Room Info'!$D$1, INDEX('Room Info'!$A$2:$A3446, MATCH(B760,'Room Info'!$D$2:$D3446, 0)),if(G760='Room Info'!$E$1, INDEX('Room Info'!$A$2:$A3446, MATCH(B760,'Room Info'!$E$2:$E3446, 0)),if(G760='Room Info'!$F$1, INDEX('Room Info'!$A$2:$A3446, MATCH(B760,'Room Info'!$F$2:$F3446, 0)),if(G760='Room Info'!$H$1, INDEX('Room Info'!$A$2:$A3446, MATCH(B760,'Room Info'!$H$2:$H3446, 0)),if(G760='Room Info'!$G$1, INDEX('Room Info'!$A$2:$A3446, MATCH(B760,'Room Info'!$G$2:$G3446, 0)))))))))</f>
        <v>Farodit</v>
      </c>
      <c r="B760" s="50" t="s">
        <v>193</v>
      </c>
      <c r="C760" s="51">
        <v>44825.0</v>
      </c>
      <c r="D760" s="51">
        <v>44854.0</v>
      </c>
      <c r="E760" s="52">
        <v>44835.0</v>
      </c>
      <c r="F760" s="53" t="s">
        <v>4</v>
      </c>
      <c r="G760" s="59" t="s">
        <v>5</v>
      </c>
      <c r="H760" s="54" t="s">
        <v>45</v>
      </c>
      <c r="I760" s="54" t="s">
        <v>7</v>
      </c>
      <c r="J760" s="55">
        <v>10.0</v>
      </c>
      <c r="K760" s="56">
        <v>23.0</v>
      </c>
      <c r="L760" s="57">
        <v>-40.0</v>
      </c>
      <c r="M760" s="58">
        <v>6.0</v>
      </c>
      <c r="N760" s="33">
        <f t="shared" si="13"/>
        <v>230</v>
      </c>
      <c r="O760" s="59">
        <v>863.0</v>
      </c>
      <c r="P760" s="34">
        <f t="shared" si="14"/>
        <v>37.52173913</v>
      </c>
      <c r="Q760" s="60"/>
      <c r="R760" s="36">
        <f t="shared" si="99"/>
        <v>6</v>
      </c>
      <c r="S760" s="61">
        <v>-11.0</v>
      </c>
      <c r="T760" s="37">
        <f t="shared" si="100"/>
        <v>-5</v>
      </c>
      <c r="U760" s="62">
        <v>1.0</v>
      </c>
      <c r="V760" s="63"/>
      <c r="W760" s="63"/>
      <c r="X760" s="83">
        <v>0.17</v>
      </c>
      <c r="Y760" s="35">
        <f t="shared" si="123"/>
        <v>0</v>
      </c>
      <c r="Z760" s="40">
        <f t="shared" si="127"/>
        <v>-4.15</v>
      </c>
      <c r="AA760" s="34">
        <f t="shared" si="128"/>
        <v>-0.85</v>
      </c>
      <c r="AB760" s="41">
        <f t="shared" si="109"/>
        <v>0</v>
      </c>
      <c r="AC760" s="42" t="b">
        <v>1</v>
      </c>
      <c r="AD760" s="42" t="s">
        <v>138</v>
      </c>
      <c r="AE760" s="42" t="s">
        <v>138</v>
      </c>
      <c r="AF760" s="42" t="str">
        <f t="array" ref="AF760">INDEX('Deal Info'!D:D, MATCH(A760,'Deal Info'!A:A, 0))</f>
        <v>DoEV</v>
      </c>
      <c r="AG760" s="43" t="str">
        <f t="array" ref="AG760">INDEX('Deal Info'!G:G, MATCH(A760,'Deal Info'!A:A, 0))</f>
        <v>None</v>
      </c>
    </row>
    <row r="761" hidden="1">
      <c r="A761" s="23" t="str">
        <f t="array" ref="A761">if(G761='Room Info'!$B$1, INDEX('Room Info'!$A$2:$A3446, MATCH(B761,'Room Info'!$B$2:$B3446, 0)),if(G761='Room Info'!$C$1, INDEX('Room Info'!$A$2:$A3446, MATCH(B761,'Room Info'!$C$2:$C3446, 0)),if(G761='Room Info'!$D$1, INDEX('Room Info'!$A$2:$A3446, MATCH(B761,'Room Info'!$D$2:$D3446, 0)),if(G761='Room Info'!$E$1, INDEX('Room Info'!$A$2:$A3446, MATCH(B761,'Room Info'!$E$2:$E3446, 0)),if(G761='Room Info'!$F$1, INDEX('Room Info'!$A$2:$A3446, MATCH(B761,'Room Info'!$F$2:$F3446, 0)),if(G761='Room Info'!$H$1, INDEX('Room Info'!$A$2:$A3446, MATCH(B761,'Room Info'!$H$2:$H3446, 0)),if(G761='Room Info'!$G$1, INDEX('Room Info'!$A$2:$A3446, MATCH(B761,'Room Info'!$G$2:$G3446, 0)))))))))</f>
        <v>Farodit</v>
      </c>
      <c r="B761" s="50" t="s">
        <v>193</v>
      </c>
      <c r="C761" s="51">
        <v>44825.0</v>
      </c>
      <c r="D761" s="51">
        <v>44854.0</v>
      </c>
      <c r="E761" s="52">
        <v>44835.0</v>
      </c>
      <c r="F761" s="53" t="s">
        <v>4</v>
      </c>
      <c r="G761" s="59" t="s">
        <v>5</v>
      </c>
      <c r="H761" s="54" t="s">
        <v>62</v>
      </c>
      <c r="I761" s="54" t="s">
        <v>7</v>
      </c>
      <c r="J761" s="55">
        <v>25.0</v>
      </c>
      <c r="K761" s="56">
        <v>1502.0</v>
      </c>
      <c r="L761" s="57">
        <v>2250.0</v>
      </c>
      <c r="M761" s="58">
        <v>893.0</v>
      </c>
      <c r="N761" s="33">
        <f t="shared" si="13"/>
        <v>37550</v>
      </c>
      <c r="O761" s="59">
        <v>70542.0</v>
      </c>
      <c r="P761" s="34">
        <f t="shared" si="14"/>
        <v>46.96537949</v>
      </c>
      <c r="Q761" s="60"/>
      <c r="R761" s="36">
        <f t="shared" si="99"/>
        <v>893</v>
      </c>
      <c r="S761" s="61">
        <v>861.0</v>
      </c>
      <c r="T761" s="37">
        <f t="shared" si="100"/>
        <v>1754</v>
      </c>
      <c r="U761" s="62">
        <v>1.0</v>
      </c>
      <c r="V761" s="63"/>
      <c r="W761" s="63"/>
      <c r="X761" s="83">
        <v>0.17</v>
      </c>
      <c r="Y761" s="35">
        <f t="shared" si="123"/>
        <v>0</v>
      </c>
      <c r="Z761" s="40">
        <f t="shared" si="127"/>
        <v>1455.82</v>
      </c>
      <c r="AA761" s="34">
        <f t="shared" si="128"/>
        <v>298.18</v>
      </c>
      <c r="AB761" s="41">
        <f t="shared" si="109"/>
        <v>0</v>
      </c>
      <c r="AC761" s="42" t="b">
        <v>1</v>
      </c>
      <c r="AD761" s="42" t="s">
        <v>138</v>
      </c>
      <c r="AE761" s="42" t="s">
        <v>138</v>
      </c>
      <c r="AF761" s="42" t="str">
        <f t="array" ref="AF761">INDEX('Deal Info'!D:D, MATCH(A761,'Deal Info'!A:A, 0))</f>
        <v>DoEV</v>
      </c>
      <c r="AG761" s="43" t="str">
        <f t="array" ref="AG761">INDEX('Deal Info'!G:G, MATCH(A761,'Deal Info'!A:A, 0))</f>
        <v>None</v>
      </c>
    </row>
    <row r="762" hidden="1">
      <c r="A762" s="23" t="str">
        <f t="array" ref="A762">if(G762='Room Info'!$B$1, INDEX('Room Info'!$A$2:$A3446, MATCH(B762,'Room Info'!$B$2:$B3446, 0)),if(G762='Room Info'!$C$1, INDEX('Room Info'!$A$2:$A3446, MATCH(B762,'Room Info'!$C$2:$C3446, 0)),if(G762='Room Info'!$D$1, INDEX('Room Info'!$A$2:$A3446, MATCH(B762,'Room Info'!$D$2:$D3446, 0)),if(G762='Room Info'!$E$1, INDEX('Room Info'!$A$2:$A3446, MATCH(B762,'Room Info'!$E$2:$E3446, 0)),if(G762='Room Info'!$F$1, INDEX('Room Info'!$A$2:$A3446, MATCH(B762,'Room Info'!$F$2:$F3446, 0)),if(G762='Room Info'!$H$1, INDEX('Room Info'!$A$2:$A3446, MATCH(B762,'Room Info'!$H$2:$H3446, 0)),if(G762='Room Info'!$G$1, INDEX('Room Info'!$A$2:$A3446, MATCH(B762,'Room Info'!$G$2:$G3446, 0)))))))))</f>
        <v>Farodit</v>
      </c>
      <c r="B762" s="50" t="s">
        <v>194</v>
      </c>
      <c r="C762" s="51">
        <v>44825.0</v>
      </c>
      <c r="D762" s="51">
        <v>44854.0</v>
      </c>
      <c r="E762" s="52">
        <v>44835.0</v>
      </c>
      <c r="F762" s="53" t="s">
        <v>4</v>
      </c>
      <c r="G762" s="59" t="s">
        <v>22</v>
      </c>
      <c r="H762" s="54" t="s">
        <v>51</v>
      </c>
      <c r="I762" s="54" t="s">
        <v>7</v>
      </c>
      <c r="J762" s="55">
        <v>10.0</v>
      </c>
      <c r="K762" s="56">
        <v>574.0</v>
      </c>
      <c r="L762" s="57">
        <v>350.0</v>
      </c>
      <c r="M762" s="67"/>
      <c r="N762" s="33">
        <f t="shared" si="13"/>
        <v>5740</v>
      </c>
      <c r="O762" s="59">
        <v>37687.0</v>
      </c>
      <c r="P762" s="34">
        <f t="shared" si="14"/>
        <v>65.65679443</v>
      </c>
      <c r="Q762" s="60"/>
      <c r="R762" s="36">
        <f t="shared" si="99"/>
        <v>0</v>
      </c>
      <c r="S762" s="61">
        <v>257.0</v>
      </c>
      <c r="T762" s="37">
        <f t="shared" si="100"/>
        <v>257</v>
      </c>
      <c r="U762" s="62">
        <v>1.024</v>
      </c>
      <c r="V762" s="63"/>
      <c r="W762" s="63"/>
      <c r="X762" s="83">
        <v>0.17</v>
      </c>
      <c r="Y762" s="35">
        <f t="shared" si="123"/>
        <v>0</v>
      </c>
      <c r="Z762" s="40">
        <f t="shared" si="127"/>
        <v>213.31</v>
      </c>
      <c r="AA762" s="34">
        <f t="shared" si="128"/>
        <v>43.69</v>
      </c>
      <c r="AB762" s="41">
        <f t="shared" si="109"/>
        <v>0</v>
      </c>
      <c r="AC762" s="42" t="b">
        <v>1</v>
      </c>
      <c r="AD762" s="42" t="s">
        <v>138</v>
      </c>
      <c r="AE762" s="42" t="s">
        <v>138</v>
      </c>
      <c r="AF762" s="42" t="str">
        <f t="array" ref="AF762">INDEX('Deal Info'!D:D, MATCH(A762,'Deal Info'!A:A, 0))</f>
        <v>DoEV</v>
      </c>
      <c r="AG762" s="43" t="str">
        <f t="array" ref="AG762">INDEX('Deal Info'!G:G, MATCH(A762,'Deal Info'!A:A, 0))</f>
        <v>None</v>
      </c>
    </row>
    <row r="763" hidden="1">
      <c r="A763" s="23" t="str">
        <f t="array" ref="A763">if(G763='Room Info'!$B$1, INDEX('Room Info'!$A$2:$A3446, MATCH(B763,'Room Info'!$B$2:$B3446, 0)),if(G763='Room Info'!$C$1, INDEX('Room Info'!$A$2:$A3446, MATCH(B763,'Room Info'!$C$2:$C3446, 0)),if(G763='Room Info'!$D$1, INDEX('Room Info'!$A$2:$A3446, MATCH(B763,'Room Info'!$D$2:$D3446, 0)),if(G763='Room Info'!$E$1, INDEX('Room Info'!$A$2:$A3446, MATCH(B763,'Room Info'!$E$2:$E3446, 0)),if(G763='Room Info'!$F$1, INDEX('Room Info'!$A$2:$A3446, MATCH(B763,'Room Info'!$F$2:$F3446, 0)),if(G763='Room Info'!$H$1, INDEX('Room Info'!$A$2:$A3446, MATCH(B763,'Room Info'!$H$2:$H3446, 0)),if(G763='Room Info'!$G$1, INDEX('Room Info'!$A$2:$A3446, MATCH(B763,'Room Info'!$G$2:$G3446, 0)))))))))</f>
        <v>Farodit</v>
      </c>
      <c r="B763" s="50" t="s">
        <v>193</v>
      </c>
      <c r="C763" s="51">
        <v>44855.0</v>
      </c>
      <c r="D763" s="51">
        <v>44885.0</v>
      </c>
      <c r="E763" s="52">
        <v>44866.0</v>
      </c>
      <c r="F763" s="53" t="s">
        <v>4</v>
      </c>
      <c r="G763" s="59" t="s">
        <v>5</v>
      </c>
      <c r="H763" s="54" t="s">
        <v>62</v>
      </c>
      <c r="I763" s="54" t="s">
        <v>7</v>
      </c>
      <c r="J763" s="55">
        <v>25.0</v>
      </c>
      <c r="K763" s="56">
        <v>1665.0</v>
      </c>
      <c r="L763" s="57">
        <v>-625.0</v>
      </c>
      <c r="M763" s="58">
        <v>774.0</v>
      </c>
      <c r="N763" s="33">
        <f t="shared" si="13"/>
        <v>41625</v>
      </c>
      <c r="O763" s="59">
        <v>45283.0</v>
      </c>
      <c r="P763" s="34">
        <f t="shared" si="14"/>
        <v>27.196997</v>
      </c>
      <c r="Q763" s="60"/>
      <c r="R763" s="36">
        <f t="shared" si="99"/>
        <v>774</v>
      </c>
      <c r="S763" s="61">
        <v>-628.0</v>
      </c>
      <c r="T763" s="37">
        <f t="shared" si="100"/>
        <v>146</v>
      </c>
      <c r="U763" s="62">
        <v>1.0</v>
      </c>
      <c r="V763" s="63"/>
      <c r="W763" s="63"/>
      <c r="X763" s="83">
        <v>0.3</v>
      </c>
      <c r="Y763" s="35">
        <f t="shared" si="123"/>
        <v>0</v>
      </c>
      <c r="Z763" s="40">
        <f t="shared" si="127"/>
        <v>102.2</v>
      </c>
      <c r="AA763" s="34">
        <f t="shared" si="128"/>
        <v>43.8</v>
      </c>
      <c r="AB763" s="41">
        <f t="shared" si="109"/>
        <v>0</v>
      </c>
      <c r="AC763" s="42" t="b">
        <v>1</v>
      </c>
      <c r="AD763" s="42" t="s">
        <v>138</v>
      </c>
      <c r="AE763" s="42" t="s">
        <v>138</v>
      </c>
      <c r="AF763" s="42" t="str">
        <f t="array" ref="AF763">INDEX('Deal Info'!D:D, MATCH(A763,'Deal Info'!A:A, 0))</f>
        <v>DoEV</v>
      </c>
      <c r="AG763" s="43" t="str">
        <f t="array" ref="AG763">INDEX('Deal Info'!G:G, MATCH(A763,'Deal Info'!A:A, 0))</f>
        <v>None</v>
      </c>
    </row>
    <row r="764" hidden="1">
      <c r="A764" s="23" t="str">
        <f t="array" ref="A764">if(G764='Room Info'!$B$1, INDEX('Room Info'!$A$2:$A3446, MATCH(B764,'Room Info'!$B$2:$B3446, 0)),if(G764='Room Info'!$C$1, INDEX('Room Info'!$A$2:$A3446, MATCH(B764,'Room Info'!$C$2:$C3446, 0)),if(G764='Room Info'!$D$1, INDEX('Room Info'!$A$2:$A3446, MATCH(B764,'Room Info'!$D$2:$D3446, 0)),if(G764='Room Info'!$E$1, INDEX('Room Info'!$A$2:$A3446, MATCH(B764,'Room Info'!$E$2:$E3446, 0)),if(G764='Room Info'!$F$1, INDEX('Room Info'!$A$2:$A3446, MATCH(B764,'Room Info'!$F$2:$F3446, 0)),if(G764='Room Info'!$H$1, INDEX('Room Info'!$A$2:$A3446, MATCH(B764,'Room Info'!$H$2:$H3446, 0)),if(G764='Room Info'!$G$1, INDEX('Room Info'!$A$2:$A3446, MATCH(B764,'Room Info'!$G$2:$G3446, 0)))))))))</f>
        <v>Farodit</v>
      </c>
      <c r="B764" s="59" t="s">
        <v>194</v>
      </c>
      <c r="C764" s="82">
        <v>44855.0</v>
      </c>
      <c r="D764" s="82">
        <v>44885.0</v>
      </c>
      <c r="E764" s="52">
        <v>44866.0</v>
      </c>
      <c r="F764" s="50" t="s">
        <v>4</v>
      </c>
      <c r="G764" s="59" t="s">
        <v>22</v>
      </c>
      <c r="H764" s="54" t="s">
        <v>51</v>
      </c>
      <c r="I764" s="54" t="s">
        <v>7</v>
      </c>
      <c r="J764" s="55">
        <v>10.0</v>
      </c>
      <c r="K764" s="56">
        <v>868.0</v>
      </c>
      <c r="L764" s="57">
        <v>560.0</v>
      </c>
      <c r="M764" s="67"/>
      <c r="N764" s="33">
        <f t="shared" si="13"/>
        <v>8680</v>
      </c>
      <c r="O764" s="59">
        <v>57388.0</v>
      </c>
      <c r="P764" s="34">
        <f t="shared" si="14"/>
        <v>66.11520737</v>
      </c>
      <c r="Q764" s="60"/>
      <c r="R764" s="36">
        <f t="shared" si="99"/>
        <v>0</v>
      </c>
      <c r="S764" s="61">
        <v>397.0</v>
      </c>
      <c r="T764" s="37">
        <f t="shared" si="100"/>
        <v>397</v>
      </c>
      <c r="U764" s="62">
        <v>1.028</v>
      </c>
      <c r="V764" s="63"/>
      <c r="W764" s="63"/>
      <c r="X764" s="83">
        <v>0.3</v>
      </c>
      <c r="Y764" s="35">
        <f t="shared" si="123"/>
        <v>0</v>
      </c>
      <c r="Z764" s="40">
        <f t="shared" si="127"/>
        <v>277.9</v>
      </c>
      <c r="AA764" s="34">
        <f t="shared" si="128"/>
        <v>119.1</v>
      </c>
      <c r="AB764" s="41">
        <f t="shared" si="109"/>
        <v>0</v>
      </c>
      <c r="AC764" s="42" t="b">
        <v>1</v>
      </c>
      <c r="AD764" s="42" t="s">
        <v>138</v>
      </c>
      <c r="AE764" s="42" t="s">
        <v>138</v>
      </c>
      <c r="AF764" s="42" t="str">
        <f t="array" ref="AF764">INDEX('Deal Info'!D:D, MATCH(A764,'Deal Info'!A:A, 0))</f>
        <v>DoEV</v>
      </c>
      <c r="AG764" s="43" t="str">
        <f t="array" ref="AG764">INDEX('Deal Info'!G:G, MATCH(A764,'Deal Info'!A:A, 0))</f>
        <v>None</v>
      </c>
    </row>
    <row r="765" hidden="1">
      <c r="A765" s="23" t="str">
        <f t="array" ref="A765">if(G765='Room Info'!$B$1, INDEX('Room Info'!$A$2:$A3446, MATCH(B765,'Room Info'!$B$2:$B3446, 0)),if(G765='Room Info'!$C$1, INDEX('Room Info'!$A$2:$A3446, MATCH(B765,'Room Info'!$C$2:$C3446, 0)),if(G765='Room Info'!$D$1, INDEX('Room Info'!$A$2:$A3446, MATCH(B765,'Room Info'!$D$2:$D3446, 0)),if(G765='Room Info'!$E$1, INDEX('Room Info'!$A$2:$A3446, MATCH(B765,'Room Info'!$E$2:$E3446, 0)),if(G765='Room Info'!$F$1, INDEX('Room Info'!$A$2:$A3446, MATCH(B765,'Room Info'!$F$2:$F3446, 0)),if(G765='Room Info'!$H$1, INDEX('Room Info'!$A$2:$A3446, MATCH(B765,'Room Info'!$H$2:$H3446, 0)),if(G765='Room Info'!$G$1, INDEX('Room Info'!$A$2:$A3446, MATCH(B765,'Room Info'!$G$2:$G3446, 0)))))))))</f>
        <v>Farodit</v>
      </c>
      <c r="B765" s="50" t="s">
        <v>193</v>
      </c>
      <c r="C765" s="51">
        <v>44855.0</v>
      </c>
      <c r="D765" s="51">
        <v>44885.0</v>
      </c>
      <c r="E765" s="52">
        <v>44866.0</v>
      </c>
      <c r="F765" s="53" t="s">
        <v>12</v>
      </c>
      <c r="G765" s="50" t="s">
        <v>5</v>
      </c>
      <c r="H765" s="54" t="s">
        <v>35</v>
      </c>
      <c r="I765" s="54" t="s">
        <v>7</v>
      </c>
      <c r="J765" s="55">
        <v>5.0</v>
      </c>
      <c r="K765" s="56">
        <v>5.0</v>
      </c>
      <c r="L765" s="57">
        <v>15.0</v>
      </c>
      <c r="M765" s="58">
        <v>1.0</v>
      </c>
      <c r="N765" s="33">
        <f t="shared" si="13"/>
        <v>25</v>
      </c>
      <c r="O765" s="70"/>
      <c r="P765" s="34">
        <f t="shared" si="14"/>
        <v>0</v>
      </c>
      <c r="Q765" s="60"/>
      <c r="R765" s="36">
        <f t="shared" si="99"/>
        <v>1</v>
      </c>
      <c r="S765" s="71"/>
      <c r="T765" s="37">
        <f t="shared" si="100"/>
        <v>16</v>
      </c>
      <c r="U765" s="62">
        <v>1.0</v>
      </c>
      <c r="V765" s="63"/>
      <c r="W765" s="63"/>
      <c r="X765" s="83">
        <v>0.3</v>
      </c>
      <c r="Y765" s="35">
        <f t="shared" si="123"/>
        <v>0</v>
      </c>
      <c r="Z765" s="40">
        <f t="shared" si="127"/>
        <v>11.2</v>
      </c>
      <c r="AA765" s="34">
        <f t="shared" si="128"/>
        <v>4.8</v>
      </c>
      <c r="AB765" s="41">
        <f t="shared" si="109"/>
        <v>0</v>
      </c>
      <c r="AC765" s="42" t="b">
        <v>1</v>
      </c>
      <c r="AD765" s="42" t="s">
        <v>138</v>
      </c>
      <c r="AE765" s="42" t="s">
        <v>138</v>
      </c>
      <c r="AF765" s="42" t="str">
        <f t="array" ref="AF765">INDEX('Deal Info'!D:D, MATCH(A765,'Deal Info'!A:A, 0))</f>
        <v>DoEV</v>
      </c>
      <c r="AG765" s="43" t="str">
        <f t="array" ref="AG765">INDEX('Deal Info'!G:G, MATCH(A765,'Deal Info'!A:A, 0))</f>
        <v>None</v>
      </c>
    </row>
    <row r="766" hidden="1">
      <c r="A766" s="23" t="str">
        <f t="array" ref="A766">if(G766='Room Info'!$B$1, INDEX('Room Info'!$A$2:$A3446, MATCH(B766,'Room Info'!$B$2:$B3446, 0)),if(G766='Room Info'!$C$1, INDEX('Room Info'!$A$2:$A3446, MATCH(B766,'Room Info'!$C$2:$C3446, 0)),if(G766='Room Info'!$D$1, INDEX('Room Info'!$A$2:$A3446, MATCH(B766,'Room Info'!$D$2:$D3446, 0)),if(G766='Room Info'!$E$1, INDEX('Room Info'!$A$2:$A3446, MATCH(B766,'Room Info'!$E$2:$E3446, 0)),if(G766='Room Info'!$F$1, INDEX('Room Info'!$A$2:$A3446, MATCH(B766,'Room Info'!$F$2:$F3446, 0)),if(G766='Room Info'!$H$1, INDEX('Room Info'!$A$2:$A3446, MATCH(B766,'Room Info'!$H$2:$H3446, 0)),if(G766='Room Info'!$G$1, INDEX('Room Info'!$A$2:$A3446, MATCH(B766,'Room Info'!$G$2:$G3446, 0)))))))))</f>
        <v>Farodit</v>
      </c>
      <c r="B766" s="50" t="s">
        <v>193</v>
      </c>
      <c r="C766" s="51">
        <v>44855.0</v>
      </c>
      <c r="D766" s="51">
        <v>44885.0</v>
      </c>
      <c r="E766" s="52">
        <v>44866.0</v>
      </c>
      <c r="F766" s="53" t="s">
        <v>12</v>
      </c>
      <c r="G766" s="50" t="s">
        <v>5</v>
      </c>
      <c r="H766" s="54" t="s">
        <v>63</v>
      </c>
      <c r="I766" s="54" t="s">
        <v>11</v>
      </c>
      <c r="J766" s="55">
        <v>25.0</v>
      </c>
      <c r="K766" s="56">
        <v>1.0</v>
      </c>
      <c r="L766" s="57">
        <v>-25.0</v>
      </c>
      <c r="M766" s="67"/>
      <c r="N766" s="33">
        <f t="shared" si="13"/>
        <v>25</v>
      </c>
      <c r="O766" s="70"/>
      <c r="P766" s="34">
        <f t="shared" si="14"/>
        <v>0</v>
      </c>
      <c r="Q766" s="60"/>
      <c r="R766" s="36">
        <f t="shared" si="99"/>
        <v>0</v>
      </c>
      <c r="S766" s="71"/>
      <c r="T766" s="37">
        <f t="shared" si="100"/>
        <v>-25</v>
      </c>
      <c r="U766" s="62">
        <v>1.0</v>
      </c>
      <c r="V766" s="63"/>
      <c r="W766" s="63"/>
      <c r="X766" s="83">
        <v>0.3</v>
      </c>
      <c r="Y766" s="35">
        <f t="shared" si="123"/>
        <v>0</v>
      </c>
      <c r="Z766" s="40">
        <f t="shared" si="127"/>
        <v>-17.5</v>
      </c>
      <c r="AA766" s="34">
        <f t="shared" si="128"/>
        <v>-7.5</v>
      </c>
      <c r="AB766" s="41">
        <f t="shared" si="109"/>
        <v>0</v>
      </c>
      <c r="AC766" s="42" t="b">
        <v>1</v>
      </c>
      <c r="AD766" s="42" t="s">
        <v>138</v>
      </c>
      <c r="AE766" s="42" t="s">
        <v>138</v>
      </c>
      <c r="AF766" s="42" t="str">
        <f t="array" ref="AF766">INDEX('Deal Info'!D:D, MATCH(A766,'Deal Info'!A:A, 0))</f>
        <v>DoEV</v>
      </c>
      <c r="AG766" s="43" t="str">
        <f t="array" ref="AG766">INDEX('Deal Info'!G:G, MATCH(A766,'Deal Info'!A:A, 0))</f>
        <v>None</v>
      </c>
    </row>
    <row r="767" hidden="1">
      <c r="A767" s="23" t="str">
        <f t="array" ref="A767">if(G767='Room Info'!$B$1, INDEX('Room Info'!$A$2:$A3446, MATCH(B767,'Room Info'!$B$2:$B3446, 0)),if(G767='Room Info'!$C$1, INDEX('Room Info'!$A$2:$A3446, MATCH(B767,'Room Info'!$C$2:$C3446, 0)),if(G767='Room Info'!$D$1, INDEX('Room Info'!$A$2:$A3446, MATCH(B767,'Room Info'!$D$2:$D3446, 0)),if(G767='Room Info'!$E$1, INDEX('Room Info'!$A$2:$A3446, MATCH(B767,'Room Info'!$E$2:$E3446, 0)),if(G767='Room Info'!$F$1, INDEX('Room Info'!$A$2:$A3446, MATCH(B767,'Room Info'!$F$2:$F3446, 0)),if(G767='Room Info'!$H$1, INDEX('Room Info'!$A$2:$A3446, MATCH(B767,'Room Info'!$H$2:$H3446, 0)),if(G767='Room Info'!$G$1, INDEX('Room Info'!$A$2:$A3446, MATCH(B767,'Room Info'!$G$2:$G3446, 0)))))))))</f>
        <v>Farodit</v>
      </c>
      <c r="B767" s="50" t="s">
        <v>193</v>
      </c>
      <c r="C767" s="51">
        <v>44886.0</v>
      </c>
      <c r="D767" s="51">
        <v>44915.0</v>
      </c>
      <c r="E767" s="52">
        <v>44896.0</v>
      </c>
      <c r="F767" s="53" t="s">
        <v>4</v>
      </c>
      <c r="G767" s="50" t="s">
        <v>5</v>
      </c>
      <c r="H767" s="54" t="s">
        <v>62</v>
      </c>
      <c r="I767" s="54" t="s">
        <v>7</v>
      </c>
      <c r="J767" s="55">
        <v>25.0</v>
      </c>
      <c r="K767" s="56">
        <v>1125.0</v>
      </c>
      <c r="L767" s="57">
        <v>1175.0</v>
      </c>
      <c r="M767" s="58">
        <v>375.0</v>
      </c>
      <c r="N767" s="33">
        <f t="shared" si="13"/>
        <v>28125</v>
      </c>
      <c r="O767" s="59">
        <v>67985.0</v>
      </c>
      <c r="P767" s="34">
        <f t="shared" si="14"/>
        <v>60.43111111</v>
      </c>
      <c r="Q767" s="60"/>
      <c r="R767" s="36">
        <f t="shared" si="99"/>
        <v>375</v>
      </c>
      <c r="S767" s="61">
        <v>1357.0</v>
      </c>
      <c r="T767" s="37">
        <f t="shared" si="100"/>
        <v>1732</v>
      </c>
      <c r="U767" s="62">
        <v>1.0</v>
      </c>
      <c r="V767" s="63"/>
      <c r="W767" s="63"/>
      <c r="X767" s="83">
        <v>0.17</v>
      </c>
      <c r="Y767" s="35">
        <f t="shared" si="123"/>
        <v>0</v>
      </c>
      <c r="Z767" s="40">
        <f t="shared" si="127"/>
        <v>1437.56</v>
      </c>
      <c r="AA767" s="34">
        <f t="shared" si="128"/>
        <v>294.44</v>
      </c>
      <c r="AB767" s="41">
        <f t="shared" si="109"/>
        <v>0</v>
      </c>
      <c r="AC767" s="42" t="b">
        <v>1</v>
      </c>
      <c r="AD767" s="42" t="s">
        <v>138</v>
      </c>
      <c r="AE767" s="42" t="s">
        <v>138</v>
      </c>
      <c r="AF767" s="42" t="str">
        <f t="array" ref="AF767">INDEX('Deal Info'!D:D, MATCH(A767,'Deal Info'!A:A, 0))</f>
        <v>DoEV</v>
      </c>
      <c r="AG767" s="43" t="str">
        <f t="array" ref="AG767">INDEX('Deal Info'!G:G, MATCH(A767,'Deal Info'!A:A, 0))</f>
        <v>None</v>
      </c>
    </row>
    <row r="768" hidden="1">
      <c r="A768" s="23" t="str">
        <f t="array" ref="A768">if(G768='Room Info'!$B$1, INDEX('Room Info'!$A$2:$A3446, MATCH(B768,'Room Info'!$B$2:$B3446, 0)),if(G768='Room Info'!$C$1, INDEX('Room Info'!$A$2:$A3446, MATCH(B768,'Room Info'!$C$2:$C3446, 0)),if(G768='Room Info'!$D$1, INDEX('Room Info'!$A$2:$A3446, MATCH(B768,'Room Info'!$D$2:$D3446, 0)),if(G768='Room Info'!$E$1, INDEX('Room Info'!$A$2:$A3446, MATCH(B768,'Room Info'!$E$2:$E3446, 0)),if(G768='Room Info'!$F$1, INDEX('Room Info'!$A$2:$A3446, MATCH(B768,'Room Info'!$F$2:$F3446, 0)),if(G768='Room Info'!$H$1, INDEX('Room Info'!$A$2:$A3446, MATCH(B768,'Room Info'!$H$2:$H3446, 0)),if(G768='Room Info'!$G$1, INDEX('Room Info'!$A$2:$A3446, MATCH(B768,'Room Info'!$G$2:$G3446, 0)))))))))</f>
        <v>Farodit</v>
      </c>
      <c r="B768" s="50" t="s">
        <v>194</v>
      </c>
      <c r="C768" s="82">
        <v>44886.0</v>
      </c>
      <c r="D768" s="82">
        <v>44915.0</v>
      </c>
      <c r="E768" s="52">
        <v>44896.0</v>
      </c>
      <c r="F768" s="53" t="s">
        <v>4</v>
      </c>
      <c r="G768" s="50" t="s">
        <v>22</v>
      </c>
      <c r="H768" s="54" t="s">
        <v>51</v>
      </c>
      <c r="I768" s="54" t="s">
        <v>7</v>
      </c>
      <c r="J768" s="79">
        <v>10.0</v>
      </c>
      <c r="K768" s="80">
        <v>872.0</v>
      </c>
      <c r="L768" s="77">
        <v>2120.0</v>
      </c>
      <c r="M768" s="84"/>
      <c r="N768" s="33">
        <f t="shared" si="13"/>
        <v>8720</v>
      </c>
      <c r="O768" s="50">
        <v>64059.0</v>
      </c>
      <c r="P768" s="34">
        <f t="shared" si="14"/>
        <v>73.46215596</v>
      </c>
      <c r="Q768" s="60"/>
      <c r="R768" s="36">
        <f t="shared" si="99"/>
        <v>0</v>
      </c>
      <c r="S768" s="78">
        <v>531.0</v>
      </c>
      <c r="T768" s="37">
        <f t="shared" si="100"/>
        <v>531</v>
      </c>
      <c r="U768" s="62">
        <v>1.0</v>
      </c>
      <c r="V768" s="63"/>
      <c r="W768" s="63"/>
      <c r="X768" s="83">
        <v>0.17</v>
      </c>
      <c r="Y768" s="35">
        <f t="shared" si="123"/>
        <v>0</v>
      </c>
      <c r="Z768" s="40">
        <f t="shared" si="127"/>
        <v>440.73</v>
      </c>
      <c r="AA768" s="34">
        <f t="shared" si="128"/>
        <v>90.27</v>
      </c>
      <c r="AB768" s="41">
        <f t="shared" si="109"/>
        <v>0</v>
      </c>
      <c r="AC768" s="42" t="b">
        <v>1</v>
      </c>
      <c r="AD768" s="42" t="s">
        <v>138</v>
      </c>
      <c r="AE768" s="42" t="s">
        <v>138</v>
      </c>
      <c r="AF768" s="42" t="str">
        <f t="array" ref="AF768">INDEX('Deal Info'!D:D, MATCH(A768,'Deal Info'!A:A, 0))</f>
        <v>DoEV</v>
      </c>
      <c r="AG768" s="43" t="str">
        <f t="array" ref="AG768">INDEX('Deal Info'!G:G, MATCH(A768,'Deal Info'!A:A, 0))</f>
        <v>None</v>
      </c>
    </row>
    <row r="769" hidden="1">
      <c r="A769" s="23" t="str">
        <f t="array" ref="A769">if(G769='Room Info'!$B$1, INDEX('Room Info'!$A$2:$A3446, MATCH(B769,'Room Info'!$B$2:$B3446, 0)),if(G769='Room Info'!$C$1, INDEX('Room Info'!$A$2:$A3446, MATCH(B769,'Room Info'!$C$2:$C3446, 0)),if(G769='Room Info'!$D$1, INDEX('Room Info'!$A$2:$A3446, MATCH(B769,'Room Info'!$D$2:$D3446, 0)),if(G769='Room Info'!$E$1, INDEX('Room Info'!$A$2:$A3446, MATCH(B769,'Room Info'!$E$2:$E3446, 0)),if(G769='Room Info'!$F$1, INDEX('Room Info'!$A$2:$A3446, MATCH(B769,'Room Info'!$F$2:$F3446, 0)),if(G769='Room Info'!$H$1, INDEX('Room Info'!$A$2:$A3446, MATCH(B769,'Room Info'!$H$2:$H3446, 0)),if(G769='Room Info'!$G$1, INDEX('Room Info'!$A$2:$A3446, MATCH(B769,'Room Info'!$G$2:$G3446, 0)))))))))</f>
        <v>Farodit</v>
      </c>
      <c r="B769" s="50" t="s">
        <v>193</v>
      </c>
      <c r="C769" s="82">
        <v>44916.0</v>
      </c>
      <c r="D769" s="82">
        <v>44946.0</v>
      </c>
      <c r="E769" s="52">
        <v>44927.0</v>
      </c>
      <c r="F769" s="53" t="s">
        <v>4</v>
      </c>
      <c r="G769" s="50" t="s">
        <v>5</v>
      </c>
      <c r="H769" s="54" t="s">
        <v>45</v>
      </c>
      <c r="I769" s="54" t="s">
        <v>7</v>
      </c>
      <c r="J769" s="79">
        <v>10.0</v>
      </c>
      <c r="K769" s="80">
        <v>241.0</v>
      </c>
      <c r="L769" s="77">
        <v>-90.0</v>
      </c>
      <c r="M769" s="81">
        <v>86.0</v>
      </c>
      <c r="N769" s="33">
        <f t="shared" si="13"/>
        <v>2410</v>
      </c>
      <c r="O769" s="50">
        <v>9442.0</v>
      </c>
      <c r="P769" s="34">
        <f t="shared" si="14"/>
        <v>39.17842324</v>
      </c>
      <c r="Q769" s="60"/>
      <c r="R769" s="36">
        <f t="shared" si="99"/>
        <v>86</v>
      </c>
      <c r="S769" s="78">
        <v>-3.0</v>
      </c>
      <c r="T769" s="37">
        <f t="shared" si="100"/>
        <v>83</v>
      </c>
      <c r="U769" s="62">
        <v>1.0</v>
      </c>
      <c r="V769" s="63"/>
      <c r="W769" s="63"/>
      <c r="X769" s="83">
        <v>0.23</v>
      </c>
      <c r="Y769" s="35">
        <f t="shared" si="123"/>
        <v>0</v>
      </c>
      <c r="Z769" s="40">
        <f t="shared" si="127"/>
        <v>63.91</v>
      </c>
      <c r="AA769" s="34">
        <f t="shared" si="128"/>
        <v>19.09</v>
      </c>
      <c r="AB769" s="41">
        <f t="shared" si="109"/>
        <v>0</v>
      </c>
      <c r="AC769" s="42" t="b">
        <v>1</v>
      </c>
      <c r="AD769" s="42" t="s">
        <v>138</v>
      </c>
      <c r="AE769" s="42" t="s">
        <v>138</v>
      </c>
      <c r="AF769" s="42" t="str">
        <f t="array" ref="AF769">INDEX('Deal Info'!D:D, MATCH(A769,'Deal Info'!A:A, 0))</f>
        <v>DoEV</v>
      </c>
      <c r="AG769" s="43" t="str">
        <f t="array" ref="AG769">INDEX('Deal Info'!G:G, MATCH(A769,'Deal Info'!A:A, 0))</f>
        <v>None</v>
      </c>
    </row>
    <row r="770" hidden="1">
      <c r="A770" s="23" t="str">
        <f t="array" ref="A770">if(G770='Room Info'!$B$1, INDEX('Room Info'!$A$2:$A3446, MATCH(B770,'Room Info'!$B$2:$B3446, 0)),if(G770='Room Info'!$C$1, INDEX('Room Info'!$A$2:$A3446, MATCH(B770,'Room Info'!$C$2:$C3446, 0)),if(G770='Room Info'!$D$1, INDEX('Room Info'!$A$2:$A3446, MATCH(B770,'Room Info'!$D$2:$D3446, 0)),if(G770='Room Info'!$E$1, INDEX('Room Info'!$A$2:$A3446, MATCH(B770,'Room Info'!$E$2:$E3446, 0)),if(G770='Room Info'!$F$1, INDEX('Room Info'!$A$2:$A3446, MATCH(B770,'Room Info'!$F$2:$F3446, 0)),if(G770='Room Info'!$H$1, INDEX('Room Info'!$A$2:$A3446, MATCH(B770,'Room Info'!$H$2:$H3446, 0)),if(G770='Room Info'!$G$1, INDEX('Room Info'!$A$2:$A3446, MATCH(B770,'Room Info'!$G$2:$G3446, 0)))))))))</f>
        <v>Farodit</v>
      </c>
      <c r="B770" s="50" t="s">
        <v>193</v>
      </c>
      <c r="C770" s="82">
        <v>44916.0</v>
      </c>
      <c r="D770" s="82">
        <v>44946.0</v>
      </c>
      <c r="E770" s="52">
        <v>44927.0</v>
      </c>
      <c r="F770" s="53" t="s">
        <v>4</v>
      </c>
      <c r="G770" s="59" t="s">
        <v>5</v>
      </c>
      <c r="H770" s="54" t="s">
        <v>62</v>
      </c>
      <c r="I770" s="54" t="s">
        <v>7</v>
      </c>
      <c r="J770" s="55">
        <v>25.0</v>
      </c>
      <c r="K770" s="56">
        <v>539.0</v>
      </c>
      <c r="L770" s="57">
        <v>-175.0</v>
      </c>
      <c r="M770" s="58">
        <v>413.0</v>
      </c>
      <c r="N770" s="33">
        <f t="shared" si="13"/>
        <v>13475</v>
      </c>
      <c r="O770" s="59">
        <v>18652.0</v>
      </c>
      <c r="P770" s="34">
        <f t="shared" si="14"/>
        <v>34.60482375</v>
      </c>
      <c r="Q770" s="60"/>
      <c r="R770" s="36">
        <f t="shared" si="99"/>
        <v>413</v>
      </c>
      <c r="S770" s="61">
        <v>17.0</v>
      </c>
      <c r="T770" s="37">
        <f t="shared" si="100"/>
        <v>430</v>
      </c>
      <c r="U770" s="62">
        <v>1.0</v>
      </c>
      <c r="V770" s="63"/>
      <c r="W770" s="63"/>
      <c r="X770" s="83">
        <v>0.23</v>
      </c>
      <c r="Y770" s="35">
        <f t="shared" si="123"/>
        <v>0</v>
      </c>
      <c r="Z770" s="40">
        <f t="shared" si="127"/>
        <v>331.1</v>
      </c>
      <c r="AA770" s="34">
        <f t="shared" si="128"/>
        <v>98.9</v>
      </c>
      <c r="AB770" s="41">
        <f t="shared" si="109"/>
        <v>0</v>
      </c>
      <c r="AC770" s="42" t="b">
        <v>1</v>
      </c>
      <c r="AD770" s="42" t="s">
        <v>138</v>
      </c>
      <c r="AE770" s="42" t="s">
        <v>138</v>
      </c>
      <c r="AF770" s="42" t="str">
        <f t="array" ref="AF770">INDEX('Deal Info'!D:D, MATCH(A770,'Deal Info'!A:A, 0))</f>
        <v>DoEV</v>
      </c>
      <c r="AG770" s="43" t="str">
        <f t="array" ref="AG770">INDEX('Deal Info'!G:G, MATCH(A770,'Deal Info'!A:A, 0))</f>
        <v>None</v>
      </c>
    </row>
    <row r="771" hidden="1">
      <c r="A771" s="23" t="str">
        <f t="array" ref="A771">if(G771='Room Info'!$B$1, INDEX('Room Info'!$A$2:$A3446, MATCH(B771,'Room Info'!$B$2:$B3446, 0)),if(G771='Room Info'!$C$1, INDEX('Room Info'!$A$2:$A3446, MATCH(B771,'Room Info'!$C$2:$C3446, 0)),if(G771='Room Info'!$D$1, INDEX('Room Info'!$A$2:$A3446, MATCH(B771,'Room Info'!$D$2:$D3446, 0)),if(G771='Room Info'!$E$1, INDEX('Room Info'!$A$2:$A3446, MATCH(B771,'Room Info'!$E$2:$E3446, 0)),if(G771='Room Info'!$F$1, INDEX('Room Info'!$A$2:$A3446, MATCH(B771,'Room Info'!$F$2:$F3446, 0)),if(G771='Room Info'!$H$1, INDEX('Room Info'!$A$2:$A3446, MATCH(B771,'Room Info'!$H$2:$H3446, 0)),if(G771='Room Info'!$G$1, INDEX('Room Info'!$A$2:$A3446, MATCH(B771,'Room Info'!$G$2:$G3446, 0)))))))))</f>
        <v>Farodit</v>
      </c>
      <c r="B771" s="50" t="s">
        <v>194</v>
      </c>
      <c r="C771" s="82">
        <v>44916.0</v>
      </c>
      <c r="D771" s="82">
        <v>44946.0</v>
      </c>
      <c r="E771" s="52">
        <v>44927.0</v>
      </c>
      <c r="F771" s="53" t="s">
        <v>4</v>
      </c>
      <c r="G771" s="59" t="s">
        <v>22</v>
      </c>
      <c r="H771" s="54" t="s">
        <v>51</v>
      </c>
      <c r="I771" s="54" t="s">
        <v>7</v>
      </c>
      <c r="J771" s="55">
        <v>10.0</v>
      </c>
      <c r="K771" s="56">
        <v>51.0</v>
      </c>
      <c r="L771" s="57">
        <v>40.0</v>
      </c>
      <c r="M771" s="67"/>
      <c r="N771" s="33">
        <f t="shared" si="13"/>
        <v>510</v>
      </c>
      <c r="O771" s="59">
        <v>3693.0</v>
      </c>
      <c r="P771" s="34">
        <f t="shared" si="14"/>
        <v>72.41176471</v>
      </c>
      <c r="Q771" s="60"/>
      <c r="R771" s="36">
        <f t="shared" si="99"/>
        <v>0</v>
      </c>
      <c r="S771" s="61">
        <v>31.0</v>
      </c>
      <c r="T771" s="37">
        <f t="shared" si="100"/>
        <v>31</v>
      </c>
      <c r="U771" s="62">
        <v>1.086</v>
      </c>
      <c r="V771" s="63"/>
      <c r="W771" s="63"/>
      <c r="X771" s="83">
        <v>0.23</v>
      </c>
      <c r="Y771" s="35">
        <f t="shared" si="123"/>
        <v>0</v>
      </c>
      <c r="Z771" s="40">
        <f t="shared" si="127"/>
        <v>23.87</v>
      </c>
      <c r="AA771" s="34">
        <f t="shared" si="128"/>
        <v>7.13</v>
      </c>
      <c r="AB771" s="41">
        <f t="shared" si="109"/>
        <v>0</v>
      </c>
      <c r="AC771" s="42" t="b">
        <v>1</v>
      </c>
      <c r="AD771" s="42" t="s">
        <v>138</v>
      </c>
      <c r="AE771" s="42" t="s">
        <v>138</v>
      </c>
      <c r="AF771" s="42" t="str">
        <f t="array" ref="AF771">INDEX('Deal Info'!D:D, MATCH(A771,'Deal Info'!A:A, 0))</f>
        <v>DoEV</v>
      </c>
      <c r="AG771" s="43" t="str">
        <f t="array" ref="AG771">INDEX('Deal Info'!G:G, MATCH(A771,'Deal Info'!A:A, 0))</f>
        <v>None</v>
      </c>
    </row>
    <row r="772" hidden="1">
      <c r="A772" s="23" t="str">
        <f t="array" ref="A772">if(G772='Room Info'!$B$1, INDEX('Room Info'!$A$2:$A3446, MATCH(B772,'Room Info'!$B$2:$B3446, 0)),if(G772='Room Info'!$C$1, INDEX('Room Info'!$A$2:$A3446, MATCH(B772,'Room Info'!$C$2:$C3446, 0)),if(G772='Room Info'!$D$1, INDEX('Room Info'!$A$2:$A3446, MATCH(B772,'Room Info'!$D$2:$D3446, 0)),if(G772='Room Info'!$E$1, INDEX('Room Info'!$A$2:$A3446, MATCH(B772,'Room Info'!$E$2:$E3446, 0)),if(G772='Room Info'!$F$1, INDEX('Room Info'!$A$2:$A3446, MATCH(B772,'Room Info'!$F$2:$F3446, 0)),if(G772='Room Info'!$H$1, INDEX('Room Info'!$A$2:$A3446, MATCH(B772,'Room Info'!$H$2:$H3446, 0)),if(G772='Room Info'!$G$1, INDEX('Room Info'!$A$2:$A3446, MATCH(B772,'Room Info'!$G$2:$G3446, 0)))))))))</f>
        <v>Farodit</v>
      </c>
      <c r="B772" s="50" t="s">
        <v>194</v>
      </c>
      <c r="C772" s="82">
        <v>44916.0</v>
      </c>
      <c r="D772" s="82">
        <v>44946.0</v>
      </c>
      <c r="E772" s="52">
        <v>44927.0</v>
      </c>
      <c r="F772" s="53" t="s">
        <v>4</v>
      </c>
      <c r="G772" s="50" t="s">
        <v>22</v>
      </c>
      <c r="H772" s="54" t="s">
        <v>64</v>
      </c>
      <c r="I772" s="54" t="s">
        <v>7</v>
      </c>
      <c r="J772" s="79">
        <v>25.0</v>
      </c>
      <c r="K772" s="80">
        <v>1582.0</v>
      </c>
      <c r="L772" s="77">
        <v>-25.0</v>
      </c>
      <c r="M772" s="84"/>
      <c r="N772" s="33">
        <f t="shared" si="13"/>
        <v>39550</v>
      </c>
      <c r="O772" s="50">
        <v>86923.0</v>
      </c>
      <c r="P772" s="34">
        <f t="shared" si="14"/>
        <v>54.94500632</v>
      </c>
      <c r="Q772" s="60"/>
      <c r="R772" s="36">
        <f t="shared" si="99"/>
        <v>0</v>
      </c>
      <c r="S772" s="78">
        <v>1099.0</v>
      </c>
      <c r="T772" s="37">
        <f t="shared" si="100"/>
        <v>1099</v>
      </c>
      <c r="U772" s="62">
        <v>1.086</v>
      </c>
      <c r="V772" s="63"/>
      <c r="W772" s="63"/>
      <c r="X772" s="83">
        <v>0.23</v>
      </c>
      <c r="Y772" s="35">
        <f t="shared" si="123"/>
        <v>0</v>
      </c>
      <c r="Z772" s="40">
        <f t="shared" si="127"/>
        <v>846.23</v>
      </c>
      <c r="AA772" s="34">
        <f t="shared" si="128"/>
        <v>252.77</v>
      </c>
      <c r="AB772" s="41">
        <f t="shared" si="109"/>
        <v>0</v>
      </c>
      <c r="AC772" s="42" t="b">
        <v>1</v>
      </c>
      <c r="AD772" s="42" t="s">
        <v>138</v>
      </c>
      <c r="AE772" s="42" t="s">
        <v>138</v>
      </c>
      <c r="AF772" s="42" t="str">
        <f t="array" ref="AF772">INDEX('Deal Info'!D:D, MATCH(A772,'Deal Info'!A:A, 0))</f>
        <v>DoEV</v>
      </c>
      <c r="AG772" s="43" t="str">
        <f t="array" ref="AG772">INDEX('Deal Info'!G:G, MATCH(A772,'Deal Info'!A:A, 0))</f>
        <v>None</v>
      </c>
    </row>
    <row r="773" hidden="1">
      <c r="A773" s="23" t="str">
        <f t="array" ref="A773">if(G773='Room Info'!$B$1, INDEX('Room Info'!$A$2:$A3446, MATCH(B773,'Room Info'!$B$2:$B3446, 0)),if(G773='Room Info'!$C$1, INDEX('Room Info'!$A$2:$A3446, MATCH(B773,'Room Info'!$C$2:$C3446, 0)),if(G773='Room Info'!$D$1, INDEX('Room Info'!$A$2:$A3446, MATCH(B773,'Room Info'!$D$2:$D3446, 0)),if(G773='Room Info'!$E$1, INDEX('Room Info'!$A$2:$A3446, MATCH(B773,'Room Info'!$E$2:$E3446, 0)),if(G773='Room Info'!$F$1, INDEX('Room Info'!$A$2:$A3446, MATCH(B773,'Room Info'!$F$2:$F3446, 0)),if(G773='Room Info'!$H$1, INDEX('Room Info'!$A$2:$A3446, MATCH(B773,'Room Info'!$H$2:$H3446, 0)),if(G773='Room Info'!$G$1, INDEX('Room Info'!$A$2:$A3446, MATCH(B773,'Room Info'!$G$2:$G3446, 0)))))))))</f>
        <v>fig6</v>
      </c>
      <c r="B773" s="50" t="s">
        <v>195</v>
      </c>
      <c r="C773" s="82">
        <v>44620.0</v>
      </c>
      <c r="D773" s="82">
        <v>44640.0</v>
      </c>
      <c r="E773" s="52">
        <v>44621.0</v>
      </c>
      <c r="F773" s="53" t="s">
        <v>4</v>
      </c>
      <c r="G773" s="50" t="s">
        <v>5</v>
      </c>
      <c r="H773" s="54" t="s">
        <v>85</v>
      </c>
      <c r="I773" s="54" t="s">
        <v>7</v>
      </c>
      <c r="J773" s="79">
        <v>100.0</v>
      </c>
      <c r="K773" s="80">
        <v>3553.0</v>
      </c>
      <c r="L773" s="77">
        <v>-8200.0</v>
      </c>
      <c r="M773" s="81">
        <v>4649.0</v>
      </c>
      <c r="N773" s="33">
        <f t="shared" si="13"/>
        <v>355300</v>
      </c>
      <c r="O773" s="50">
        <v>91182.0</v>
      </c>
      <c r="P773" s="34">
        <f t="shared" si="14"/>
        <v>25.66338306</v>
      </c>
      <c r="Q773" s="60"/>
      <c r="R773" s="36">
        <f t="shared" si="99"/>
        <v>4649</v>
      </c>
      <c r="S773" s="78">
        <v>-2387.0</v>
      </c>
      <c r="T773" s="37">
        <f t="shared" si="100"/>
        <v>2262</v>
      </c>
      <c r="U773" s="62">
        <v>1.0</v>
      </c>
      <c r="V773" s="63"/>
      <c r="W773" s="63"/>
      <c r="X773" s="35">
        <f t="shared" ref="X773:X811" si="129">IF(AF773="DoEV",IF(AND(V773&lt;20,W773&lt;55),0.3,0)+IF(AND(V773&lt;20,W773&gt;=55,W773&lt;105),0.23,0)+IF(AND(V773&lt;20,W773&gt;=105),0.17,0)+IF(AND(V773&gt;=20,V773&lt;40,W773&lt;45),0.3,0)+IF(AND(V773&gt;=20,V773&lt;40,W773&gt;=45,W773&lt;95),0.23,0)+IF(AND(V773&gt;=20,V773&lt;40,W773&gt;=95),0.17,0)+IF(AND(V773&gt;=40,V773&lt;75,W773&lt;35),0.3,0)+IF(AND(V773&gt;=40,V773&lt;75,W773&gt;=35,W773&lt;75),0.23,0)+IF(AND(V773&gt;=40,V773&lt;75,W773&gt;=75,W773&lt;120),0.17,0)+IF(AND(V773&gt;=40,V773&lt;75,W773&gt;=120),0.12,0)+IF(AND(V773&gt;=75,V773&lt;175,W773&lt;35),0.3,0)+IF(AND(V773&gt;=75,V773&lt;=175,W773&gt;=35,W773&lt;65),0.23,0)+IF(AND(V773&gt;=75,V773&lt;=175,W773&gt;=65,W773&lt;110),0.17,0)+IF(AND(V773&gt;=75,V773&lt;=175,W773&gt;=110),0.12,0)+IF(AND(V773&gt;175,W773&lt;25),0.3,0)+IF(AND(V773&gt;175,W773&gt;=25,W773&lt;55),0.23,0)+IF(AND(V773&gt;175,W773&gt;=55,W773&lt;95),0.17,0)+IF(AND(V773&gt;175,W773&gt;=95),0.12,0),
IF(AF773="Fix15",0.15,
if(AF773="Fix18.75",0.1875,
IF(AF773="Fix11.25",0.1125,
IF(AF773="Fix10",0.1,
IF(AF773="Fix9",0.09,
IF(AF773="Fix19",0.19,
IF(AF773="DoEV2017",IF(AND(W773&lt;74),0.2,0)+IF(AND(W773&gt;=74),0.17,0),
IF(AF773="SF",IF(AND(V773&lt;20,W773&lt;89),0.3,0)+IF(AND(V773&lt;20,W773&gt;=89),0.25,0)+IF(AND(V773&gt;=20,V773&lt;40,W773&lt;74),0.3,0)+IF(AND(V773&gt;=20,V773&lt;40,W773&gt;=75),0.22,0)+IF(AND(V773&gt;=40,V773&lt;75,W773&lt;75),0.26,0)+IF(AND(V773&gt;=40,V773&lt;75,W773&gt;=75),0.22,0)+IF(V773&gt;=75,0.22,0),
IF(AF773="DoEVold",IF(AND(V773&lt;40,W773&lt;35),0.35,0)+IF(AND(V773&lt;40,W773&gt;=35,W773&lt;75),0.25,0)+IF(AND(V773&lt;40,W773&gt;=75),0.17,0)+IF(AND(V773&gt;=40,V773&lt;75,W773&lt;25),0.35,0)+IF(AND(V773&gt;=40,V773&lt;75,W773&gt;=25,W773&lt;65),0.25,0)+IF(AND(V773&gt;=40,V773&lt;75,W773&gt;=65,W773&lt;100),0.17,0)+IF(AND(V773&gt;=40,V773&lt;75,W773&gt;=100),0.1,0)+IF(AND(V773&gt;=75,W773&lt;25),0.35,0)+IF(AND(V773&gt;=75,W773&gt;=25,W773&lt;60),0.25,0)+IF(AND(V773&gt;=75,W773&gt;=60,W773&lt;95),0.17,0)+IF(AND(V773&gt;=75,W773&gt;=95),0.1,0),
IF(AF773="DoEVold15",IF(AND(V773&lt;=40,W773&lt;35),0.35,0)+IF(AND(V773&lt;=40,W773&gt;=35,W773&lt;75),0.25,0)+IF(AND(V773&lt;=40,W773&gt;=75,W773&lt;120),0.17,0)+IF(AND(V773&lt;=40,W773&gt;=120),0.15,0)+IF(AND(V773&gt;40,V773&lt;75,W773&lt;25),0.35,0)+IF(AND(V773&gt;=40,V773&lt;75,W773&gt;=25,W773&lt;65),0.25,0)+IF(AND(V773&gt;=40,V773&lt;75,W773&gt;=65,W773&lt;100),0.17,0)+IF(AND(V773&gt;=40,V773&lt;75,W773&gt;=100),0.1,0)+IF(AND(V773&gt;=75,W773&lt;25),0.35,0)+IF(AND(V773&gt;=75,W773&gt;=25,W773&lt;60),0.25,0)+IF(AND(V773&gt;=75,W773&gt;=60,W773&lt;95),0.17,0)+IF(AND(V773&gt;=75,W773&gt;=95),0.1,0),
IF(AF773="DoEVba",IF(AND(V773&lt;20,W773&lt;105),0.2,0)+IF(AND(V773&lt;20,W773&gt;=105),0.15,0)+IF(AND(V773&gt;=20,V773&lt;40,W773&lt;95),0.2,0)+IF(AND(V773&gt;=20,V773&lt;40,W773&gt;=95,W773&lt;150),0.15,0)+IF(AND(V773&gt;=20,V773&lt;40,W773&gt;=150),0.12,0)+IF(AND(V773&gt;=40,V773&lt;75,W773&lt;75),0.2,0)+IF(AND(V773&gt;=40,V773&lt;75,W773&gt;=75,W773&lt;120),0.15,0)+IF(AND(V773&gt;=40,V773&lt;75,W773&gt;=120),0.12,0)+IF(AND(V773&gt;=75,V773&lt;175,W773&lt;65),0.2,0)+IF(AND(V773&gt;=75,V773&lt;175,W773&gt;=65,W773&lt;110),0.15,0)+IF(AND(V773&gt;=75,V773&lt;175,W773&gt;=110),0.12,0)+IF(AND(V773&gt;=175,W773&lt;55),0.2,0)+IF(AND(V773&gt;=175,W773&gt;=55,W773&lt;95),0.15,0)+IF(AND(V773&gt;=175,W773&gt;=95),0.12,0),
IF(AF773="DoEVku",IF(AND(V773&lt;20,W773&lt;55),0.23,0)+IF(AND(V773&lt;20,W773&gt;=55,W773&lt;105),0.2,0)+IF(AND(V773&lt;20,W773&gt;=105),0.17,0)+IF(AND(V773&gt;=20,V773&lt;40,W773&lt;45),0.23,0)+IF(AND(V773&gt;=20,V773&lt;40,W773&gt;=45,W773&lt;95),0.2,0)+IF(AND(V773&gt;=20,V773&lt;40,W773&gt;=95,W773&lt;=150),0.17,0)+IF(AND(V773&gt;=20,V773&lt;40,W773&gt;=150),0.12,0)+IF(AND(V773&gt;=40,V773&lt;75,W773&lt;35),0.23,0)+IF(AND(V773&gt;=40,V773&lt;75,W773&gt;=35,W773&lt;75),0.2,0)+IF(AND(V773&gt;=40,V773&lt;75,W773&gt;=75,W773&lt;120),0.17,0)+IF(AND(V773&gt;=40,V773&lt;75,W773&gt;=120),0.12,0)+IF(AND(V773&gt;=75,V773&lt;175,W773&lt;35),0.23,0)+IF(AND(V773&gt;=75,V773&lt;=175,W773&gt;=35,W773&lt;65),0.2,0)+IF(AND(V773&gt;=75,V773&lt;=175,W773&gt;=65,W773&lt;110),0.17,0)+IF(AND(V773&gt;=75,V773&lt;=175,W773&gt;=110),0.12,0)+IF(AND(V773&gt;175,W773&lt;25),0.23,0)+IF(AND(V773&gt;175,W773&gt;=25,W773&lt;55),0.2,0)+IF(AND(V773&gt;175,W773&gt;=55,W773&lt;95),0.17,0)+IF(AND(V773&gt;175,W773&gt;=95),0.12,0),
IF(AF773="DoEVs1",IF(AND(V773&lt;20,W773&lt;55),0.3,0)+IF(AND(V773&lt;20,W773&gt;=55,W773&lt;105),0.23,0)+IF(AND(V773&lt;20,W773&gt;=105),0.17,0)+IF(AND(V773&gt;=20,V773&lt;40,W773&lt;45),0.3,0)+IF(AND(V773&gt;=20,V773&lt;40,W773&gt;=45,W773&lt;95),0.23,0)+IF(AND(V773&gt;=20,V773&lt;40,W773&gt;=95,W773&lt;=150),0.17,0)+IF(AND(V773&gt;=20,V773&lt;40,W773&gt;=150),0.12,0)+IF(AND(V773&gt;=40,V773&lt;75,W773&lt;35),0.3,0)+IF(AND(V773&gt;=40,V773&lt;75,W773&gt;=35,W773&lt;75),0.23,0)+IF(AND(V773&gt;=40,V773&lt;75,W773&gt;=75,W773&lt;120),0.17,0)+IF(AND(V773&gt;=40,V773&lt;75,W773&gt;=120),0.12,0)+IF(AND(V773&gt;=75,V773&lt;175,W773&lt;35),0.3,0)+IF(AND(V773&gt;=75,V773&lt;=175,W773&gt;=35,W773&lt;65),0.23,0)+IF(AND(V773&gt;=75,V773&lt;=175,W773&gt;=65,W773&lt;110),0.17,0)+IF(AND(V773&gt;=75,V773&lt;=175,W773&gt;=110),0.12,0)+IF(AND(V773&gt;175,W773&lt;25),0.3,0)+IF(AND(V773&gt;175,W773&gt;=25,W773&lt;55),0.23,0)+IF(AND(V773&gt;175,W773&gt;=55,W773&lt;95),0.17,0)+IF(AND(V773&gt;175,W773&gt;=95),0.12,0),
IF(AF773="DoEVsu",IF(AND(V773&lt;20,W773&lt;55),0.3,0)+IF(AND(V773&lt;20,W773&gt;=55,W773&lt;105),0.23,0)+IF(AND(V773&lt;20,W773&gt;=105),0.17,0)+IF(AND(V773&gt;=20,V773&lt;40,W773&lt;45),0.3,0)+IF(AND(V773&gt;=20,V773&lt;40,W773&gt;=45,W773&lt;95),0.23,0)+IF(AND(V773&gt;=20,V773&lt;40,W773&gt;=95,W773&lt;=250),0.17,0)+IF(AND(V773&gt;=20,V773&lt;40,W773&gt;=250),0.12,0)+IF(AND(V773&gt;=40,V773&lt;75,W773&lt;35),0.3,0)+IF(AND(V773&gt;=40,V773&lt;75,W773&gt;=35,W773&lt;75),0.23,0)+IF(AND(V773&gt;=40,V773&lt;75,W773&gt;=75,W773&lt;120),0.17,0)+IF(AND(V773&gt;=40,V773&lt;75,W773&gt;=120),0.12,0)+IF(AND(V773&gt;=75,V773&lt;175,W773&lt;35),0.3,0)+IF(AND(V773&gt;=75,V773&lt;=175,W773&gt;=35,W773&lt;65),0.23,0)+IF(AND(V773&gt;=75,V773&lt;=175,W773&gt;=65,W773&lt;110),0.17,0)+IF(AND(V773&gt;=75,V773&lt;=175,W773&gt;=110),0.12,0)+IF(AND(V773&gt;175,W773&lt;25),0.3,0)+IF(AND(V773&gt;175,W773&gt;=25,W773&lt;55),0.23,0)+IF(AND(V773&gt;175,W773&gt;=55,W773&lt;95),0.17,0)+IF(AND(V773&gt;175,W773&gt;=95),0.12,0),
IF(AF773="DoEVni",IF(AND(V773&lt;20,W773&lt;55),0.3,0)+IF(AND(V773&lt;20,W773&gt;=55,W773&lt;105),0.23,0)+IF(AND(V773&lt;20,W773&gt;=105),0.17,0)+IF(AND(V773&gt;=20,V773&lt;40,W773&lt;45),0.3,0)+IF(AND(V773&gt;=20,V773&lt;40,W773&gt;=45,W773&lt;95),0.23,0)+IF(AND(V773&gt;=20,V773&lt;40,W773&gt;=95,W773&lt;=200),0.17,0)+IF(AND(V773&gt;=20,V773&lt;40,W773&gt;=200),0.12,0)+IF(AND(V773&gt;=40,V773&lt;75,W773&lt;35),0.3,0)+IF(AND(V773&gt;=40,V773&lt;75,W773&gt;=35,W773&lt;75),0.23,0)+IF(AND(V773&gt;=40,V773&lt;75,W773&gt;=75,W773&lt;120),0.17,0)+IF(AND(V773&gt;=40,V773&lt;75,W773&gt;=120),0.12,0)+IF(AND(V773&gt;=75,V773&lt;175,W773&lt;35),0.3,0)+IF(AND(V773&gt;=75,V773&lt;=175,W773&gt;=35,W773&lt;65),0.23,0)+IF(AND(V773&gt;=75,V773&lt;=175,W773&gt;=65,W773&lt;110),0.17,0)+IF(AND(V773&gt;=75,V773&lt;=175,W773&gt;=110),0.12,0)+IF(AND(V773&gt;175,W773&lt;25),0.3,0)+IF(AND(V773&gt;175,W773&gt;=25,W773&lt;55),0.23,0)+IF(AND(V773&gt;175,W773&gt;=55,W773&lt;95),0.17,0)+IF(AND(V773&gt;175,W773&gt;=95),0.12,0),
IF(AF773="DoEVLo",IF(AND(V773&lt;20,W773&lt;55),0.25,0)+IF(AND(V773&lt;20,W773&gt;=55,W773&lt;105),0.2,0)+IF(AND(V773&lt;20,W773&gt;=105),0.15,0)+IF(AND(V773&gt;=20,V773&lt;40,W773&lt;45),0.25,0)+IF(AND(V773&gt;=20,V773&lt;40,W773&gt;=45,W773&lt;95),0.2,0)+IF(AND(V773&gt;=20,V773&lt;40,W773&gt;=95),0.15,0)+IF(AND(V773&gt;=40,V773&lt;75,W773&lt;35),0.25,0)+IF(AND(V773&gt;=40,V773&lt;75,W773&gt;=35,W773&lt;75),0.2,0)+IF(AND(V773&gt;=40,V773&lt;75,W773&gt;=75,W773&lt;120),0.15,0)+IF(AND(V773&gt;=40,V773&lt;75,W773&gt;=120),0.1,0)+IF(AND(V773&gt;=75,V773&lt;175,W773&lt;35),0.25,0)+IF(AND(V773&gt;=75,V773&lt;=175,W773&gt;=35,W773&lt;65),0.2,0)+IF(AND(V773&gt;=75,V773&lt;=175,W773&gt;=65,W773&lt;110),0.15,0)+IF(AND(V773&gt;=75,V773&lt;=175,W773&gt;=110),0.1,0)+IF(AND(V773&gt;175,W773&lt;25),0.25,0)+IF(AND(V773&gt;175,W773&gt;=25,W773&lt;55),0.2,0)+IF(AND(V773&gt;175,W773&gt;=55,W773&lt;95),0.15,0)+IF(AND(V773&gt;175,W773&gt;=95),0.1,0))))))))))))))))))</f>
        <v>0.1125</v>
      </c>
      <c r="Y773" s="35">
        <f t="shared" si="123"/>
        <v>0.0375</v>
      </c>
      <c r="Z773" s="40">
        <f t="shared" si="127"/>
        <v>1555.525</v>
      </c>
      <c r="AA773" s="34">
        <f t="shared" si="128"/>
        <v>254.475</v>
      </c>
      <c r="AB773" s="108">
        <v>452.0</v>
      </c>
      <c r="AC773" s="42" t="b">
        <v>1</v>
      </c>
      <c r="AD773" s="42" t="s">
        <v>138</v>
      </c>
      <c r="AE773" s="42" t="s">
        <v>138</v>
      </c>
      <c r="AF773" s="42" t="str">
        <f t="array" ref="AF773">INDEX('Deal Info'!D:D, MATCH(A773,'Deal Info'!A:A, 0))</f>
        <v>Fix11.25</v>
      </c>
      <c r="AG773" s="43" t="str">
        <f t="array" ref="AG773">INDEX('Deal Info'!G:G, MATCH(A773,'Deal Info'!A:A, 0))</f>
        <v>Fix3.75</v>
      </c>
    </row>
    <row r="774" hidden="1">
      <c r="A774" s="23" t="str">
        <f t="array" ref="A774">if(G774='Room Info'!$B$1, INDEX('Room Info'!$A$2:$A3446, MATCH(B774,'Room Info'!$B$2:$B3446, 0)),if(G774='Room Info'!$C$1, INDEX('Room Info'!$A$2:$A3446, MATCH(B774,'Room Info'!$C$2:$C3446, 0)),if(G774='Room Info'!$D$1, INDEX('Room Info'!$A$2:$A3446, MATCH(B774,'Room Info'!$D$2:$D3446, 0)),if(G774='Room Info'!$E$1, INDEX('Room Info'!$A$2:$A3446, MATCH(B774,'Room Info'!$E$2:$E3446, 0)),if(G774='Room Info'!$F$1, INDEX('Room Info'!$A$2:$A3446, MATCH(B774,'Room Info'!$F$2:$F3446, 0)),if(G774='Room Info'!$H$1, INDEX('Room Info'!$A$2:$A3446, MATCH(B774,'Room Info'!$H$2:$H3446, 0)),if(G774='Room Info'!$G$1, INDEX('Room Info'!$A$2:$A3446, MATCH(B774,'Room Info'!$G$2:$G3446, 0)))))))))</f>
        <v>fig6</v>
      </c>
      <c r="B774" s="50" t="s">
        <v>195</v>
      </c>
      <c r="C774" s="51">
        <v>44620.0</v>
      </c>
      <c r="D774" s="51">
        <v>44640.0</v>
      </c>
      <c r="E774" s="52">
        <v>44621.0</v>
      </c>
      <c r="F774" s="53" t="s">
        <v>4</v>
      </c>
      <c r="G774" s="50" t="s">
        <v>5</v>
      </c>
      <c r="H774" s="54" t="s">
        <v>86</v>
      </c>
      <c r="I774" s="54" t="s">
        <v>11</v>
      </c>
      <c r="J774" s="55">
        <v>100.0</v>
      </c>
      <c r="K774" s="56">
        <v>3781.0</v>
      </c>
      <c r="L774" s="57">
        <v>-16300.0</v>
      </c>
      <c r="M774" s="58">
        <v>4947.0</v>
      </c>
      <c r="N774" s="33">
        <f t="shared" si="13"/>
        <v>378100</v>
      </c>
      <c r="O774" s="59">
        <v>13796.0</v>
      </c>
      <c r="P774" s="34">
        <f t="shared" si="14"/>
        <v>3.648770167</v>
      </c>
      <c r="Q774" s="60"/>
      <c r="R774" s="36">
        <f t="shared" si="99"/>
        <v>4947</v>
      </c>
      <c r="S774" s="61">
        <v>-16418.0</v>
      </c>
      <c r="T774" s="37">
        <f t="shared" si="100"/>
        <v>-11471</v>
      </c>
      <c r="U774" s="62">
        <v>1.0</v>
      </c>
      <c r="V774" s="63"/>
      <c r="W774" s="63"/>
      <c r="X774" s="35">
        <f t="shared" si="129"/>
        <v>0.1125</v>
      </c>
      <c r="Y774" s="35">
        <f t="shared" si="123"/>
        <v>0.0375</v>
      </c>
      <c r="Z774" s="40">
        <f t="shared" si="127"/>
        <v>-7886.5125</v>
      </c>
      <c r="AA774" s="34">
        <f t="shared" si="128"/>
        <v>-1290.4875</v>
      </c>
      <c r="AB774" s="108">
        <v>-2294.0</v>
      </c>
      <c r="AC774" s="42" t="b">
        <v>1</v>
      </c>
      <c r="AD774" s="42" t="s">
        <v>138</v>
      </c>
      <c r="AE774" s="42" t="s">
        <v>138</v>
      </c>
      <c r="AF774" s="42" t="str">
        <f t="array" ref="AF774">INDEX('Deal Info'!D:D, MATCH(A774,'Deal Info'!A:A, 0))</f>
        <v>Fix11.25</v>
      </c>
      <c r="AG774" s="43" t="str">
        <f t="array" ref="AG774">INDEX('Deal Info'!G:G, MATCH(A774,'Deal Info'!A:A, 0))</f>
        <v>Fix3.75</v>
      </c>
    </row>
    <row r="775" hidden="1">
      <c r="A775" s="23" t="str">
        <f t="array" ref="A775">if(G775='Room Info'!$B$1, INDEX('Room Info'!$A$2:$A3446, MATCH(B775,'Room Info'!$B$2:$B3446, 0)),if(G775='Room Info'!$C$1, INDEX('Room Info'!$A$2:$A3446, MATCH(B775,'Room Info'!$C$2:$C3446, 0)),if(G775='Room Info'!$D$1, INDEX('Room Info'!$A$2:$A3446, MATCH(B775,'Room Info'!$D$2:$D3446, 0)),if(G775='Room Info'!$E$1, INDEX('Room Info'!$A$2:$A3446, MATCH(B775,'Room Info'!$E$2:$E3446, 0)),if(G775='Room Info'!$F$1, INDEX('Room Info'!$A$2:$A3446, MATCH(B775,'Room Info'!$F$2:$F3446, 0)),if(G775='Room Info'!$H$1, INDEX('Room Info'!$A$2:$A3446, MATCH(B775,'Room Info'!$H$2:$H3446, 0)),if(G775='Room Info'!$G$1, INDEX('Room Info'!$A$2:$A3446, MATCH(B775,'Room Info'!$G$2:$G3446, 0)))))))))</f>
        <v>fig6</v>
      </c>
      <c r="B775" s="50" t="s">
        <v>195</v>
      </c>
      <c r="C775" s="82">
        <v>44733.0</v>
      </c>
      <c r="D775" s="82">
        <v>44762.0</v>
      </c>
      <c r="E775" s="52">
        <v>44743.0</v>
      </c>
      <c r="F775" s="53" t="s">
        <v>4</v>
      </c>
      <c r="G775" s="50" t="s">
        <v>5</v>
      </c>
      <c r="H775" s="54" t="s">
        <v>85</v>
      </c>
      <c r="I775" s="54" t="s">
        <v>7</v>
      </c>
      <c r="J775" s="79">
        <v>100.0</v>
      </c>
      <c r="K775" s="80">
        <v>11801.0</v>
      </c>
      <c r="L775" s="77">
        <v>-18600.0</v>
      </c>
      <c r="M775" s="81">
        <v>47624.0</v>
      </c>
      <c r="N775" s="33">
        <f t="shared" si="13"/>
        <v>1180100</v>
      </c>
      <c r="O775" s="50">
        <v>272805.0</v>
      </c>
      <c r="P775" s="34">
        <f t="shared" si="14"/>
        <v>23.11710872</v>
      </c>
      <c r="Q775" s="60"/>
      <c r="R775" s="36">
        <f t="shared" si="99"/>
        <v>47624</v>
      </c>
      <c r="S775" s="78">
        <v>-14364.0</v>
      </c>
      <c r="T775" s="37">
        <f t="shared" si="100"/>
        <v>33260</v>
      </c>
      <c r="U775" s="62">
        <v>1.0</v>
      </c>
      <c r="V775" s="63"/>
      <c r="W775" s="63"/>
      <c r="X775" s="35">
        <f t="shared" si="129"/>
        <v>0.1125</v>
      </c>
      <c r="Y775" s="35">
        <f t="shared" si="123"/>
        <v>0.0375</v>
      </c>
      <c r="Z775" s="40">
        <f t="shared" si="127"/>
        <v>24529.25</v>
      </c>
      <c r="AA775" s="34">
        <f t="shared" si="128"/>
        <v>3741.75</v>
      </c>
      <c r="AB775" s="108">
        <v>4989.0</v>
      </c>
      <c r="AC775" s="42" t="b">
        <v>1</v>
      </c>
      <c r="AD775" s="42" t="s">
        <v>138</v>
      </c>
      <c r="AE775" s="42" t="s">
        <v>138</v>
      </c>
      <c r="AF775" s="42" t="str">
        <f t="array" ref="AF775">INDEX('Deal Info'!D:D, MATCH(A775,'Deal Info'!A:A, 0))</f>
        <v>Fix11.25</v>
      </c>
      <c r="AG775" s="43" t="str">
        <f t="array" ref="AG775">INDEX('Deal Info'!G:G, MATCH(A775,'Deal Info'!A:A, 0))</f>
        <v>Fix3.75</v>
      </c>
    </row>
    <row r="776" hidden="1">
      <c r="A776" s="23" t="str">
        <f t="array" ref="A776">if(G776='Room Info'!$B$1, INDEX('Room Info'!$A$2:$A3446, MATCH(B776,'Room Info'!$B$2:$B3446, 0)),if(G776='Room Info'!$C$1, INDEX('Room Info'!$A$2:$A3446, MATCH(B776,'Room Info'!$C$2:$C3446, 0)),if(G776='Room Info'!$D$1, INDEX('Room Info'!$A$2:$A3446, MATCH(B776,'Room Info'!$D$2:$D3446, 0)),if(G776='Room Info'!$E$1, INDEX('Room Info'!$A$2:$A3446, MATCH(B776,'Room Info'!$E$2:$E3446, 0)),if(G776='Room Info'!$F$1, INDEX('Room Info'!$A$2:$A3446, MATCH(B776,'Room Info'!$F$2:$F3446, 0)),if(G776='Room Info'!$H$1, INDEX('Room Info'!$A$2:$A3446, MATCH(B776,'Room Info'!$H$2:$H3446, 0)),if(G776='Room Info'!$G$1, INDEX('Room Info'!$A$2:$A3446, MATCH(B776,'Room Info'!$G$2:$G3446, 0)))))))))</f>
        <v>fig6</v>
      </c>
      <c r="B776" s="59" t="s">
        <v>195</v>
      </c>
      <c r="C776" s="51">
        <v>44733.0</v>
      </c>
      <c r="D776" s="51">
        <v>44762.0</v>
      </c>
      <c r="E776" s="52">
        <v>44743.0</v>
      </c>
      <c r="F776" s="50" t="s">
        <v>4</v>
      </c>
      <c r="G776" s="59" t="s">
        <v>5</v>
      </c>
      <c r="H776" s="54" t="s">
        <v>86</v>
      </c>
      <c r="I776" s="54" t="s">
        <v>11</v>
      </c>
      <c r="J776" s="55">
        <v>100.0</v>
      </c>
      <c r="K776" s="56">
        <v>32.0</v>
      </c>
      <c r="L776" s="57">
        <v>300.0</v>
      </c>
      <c r="M776" s="58">
        <v>129.0</v>
      </c>
      <c r="N776" s="33">
        <f t="shared" si="13"/>
        <v>3200</v>
      </c>
      <c r="O776" s="59">
        <v>1045.0</v>
      </c>
      <c r="P776" s="34">
        <f t="shared" si="14"/>
        <v>32.65625</v>
      </c>
      <c r="Q776" s="60"/>
      <c r="R776" s="36">
        <f t="shared" si="99"/>
        <v>129</v>
      </c>
      <c r="S776" s="61">
        <v>149.0</v>
      </c>
      <c r="T776" s="37">
        <f t="shared" si="100"/>
        <v>278</v>
      </c>
      <c r="U776" s="62">
        <v>1.0</v>
      </c>
      <c r="V776" s="63"/>
      <c r="W776" s="63"/>
      <c r="X776" s="35">
        <f t="shared" si="129"/>
        <v>0.1125</v>
      </c>
      <c r="Y776" s="35">
        <f t="shared" si="123"/>
        <v>0.0375</v>
      </c>
      <c r="Z776" s="40">
        <f t="shared" si="127"/>
        <v>204.725</v>
      </c>
      <c r="AA776" s="34">
        <f t="shared" si="128"/>
        <v>31.275</v>
      </c>
      <c r="AB776" s="108">
        <v>42.0</v>
      </c>
      <c r="AC776" s="42" t="b">
        <v>1</v>
      </c>
      <c r="AD776" s="42" t="s">
        <v>138</v>
      </c>
      <c r="AE776" s="42" t="s">
        <v>138</v>
      </c>
      <c r="AF776" s="42" t="str">
        <f t="array" ref="AF776">INDEX('Deal Info'!D:D, MATCH(A776,'Deal Info'!A:A, 0))</f>
        <v>Fix11.25</v>
      </c>
      <c r="AG776" s="43" t="str">
        <f t="array" ref="AG776">INDEX('Deal Info'!G:G, MATCH(A776,'Deal Info'!A:A, 0))</f>
        <v>Fix3.75</v>
      </c>
    </row>
    <row r="777" hidden="1">
      <c r="A777" s="23" t="str">
        <f t="array" ref="A777">if(G777='Room Info'!$B$1, INDEX('Room Info'!$A$2:$A3446, MATCH(B777,'Room Info'!$B$2:$B3446, 0)),if(G777='Room Info'!$C$1, INDEX('Room Info'!$A$2:$A3446, MATCH(B777,'Room Info'!$C$2:$C3446, 0)),if(G777='Room Info'!$D$1, INDEX('Room Info'!$A$2:$A3446, MATCH(B777,'Room Info'!$D$2:$D3446, 0)),if(G777='Room Info'!$E$1, INDEX('Room Info'!$A$2:$A3446, MATCH(B777,'Room Info'!$E$2:$E3446, 0)),if(G777='Room Info'!$F$1, INDEX('Room Info'!$A$2:$A3446, MATCH(B777,'Room Info'!$F$2:$F3446, 0)),if(G777='Room Info'!$H$1, INDEX('Room Info'!$A$2:$A3446, MATCH(B777,'Room Info'!$H$2:$H3446, 0)),if(G777='Room Info'!$G$1, INDEX('Room Info'!$A$2:$A3446, MATCH(B777,'Room Info'!$G$2:$G3446, 0)))))))))</f>
        <v>fig6</v>
      </c>
      <c r="B777" s="50" t="s">
        <v>195</v>
      </c>
      <c r="C777" s="82">
        <v>44733.0</v>
      </c>
      <c r="D777" s="82">
        <v>44762.0</v>
      </c>
      <c r="E777" s="52">
        <v>44743.0</v>
      </c>
      <c r="F777" s="53" t="s">
        <v>4</v>
      </c>
      <c r="G777" s="50" t="s">
        <v>5</v>
      </c>
      <c r="H777" s="54" t="s">
        <v>96</v>
      </c>
      <c r="I777" s="54" t="s">
        <v>7</v>
      </c>
      <c r="J777" s="79">
        <v>250.0</v>
      </c>
      <c r="K777" s="80">
        <v>503.0</v>
      </c>
      <c r="L777" s="77">
        <v>-24000.0</v>
      </c>
      <c r="M777" s="81">
        <v>5075.0</v>
      </c>
      <c r="N777" s="33">
        <f t="shared" si="13"/>
        <v>125750</v>
      </c>
      <c r="O777" s="50">
        <v>1075.0</v>
      </c>
      <c r="P777" s="34">
        <f t="shared" si="14"/>
        <v>2.137176938</v>
      </c>
      <c r="Q777" s="60"/>
      <c r="R777" s="36">
        <f t="shared" si="99"/>
        <v>5075</v>
      </c>
      <c r="S777" s="78">
        <v>-6172.0</v>
      </c>
      <c r="T777" s="37">
        <f t="shared" si="100"/>
        <v>-1097</v>
      </c>
      <c r="U777" s="62">
        <v>1.0</v>
      </c>
      <c r="V777" s="63"/>
      <c r="W777" s="63"/>
      <c r="X777" s="35">
        <f t="shared" si="129"/>
        <v>0.1125</v>
      </c>
      <c r="Y777" s="35">
        <f t="shared" si="123"/>
        <v>0.0375</v>
      </c>
      <c r="Z777" s="40">
        <f t="shared" si="127"/>
        <v>-808.5875</v>
      </c>
      <c r="AA777" s="34">
        <f t="shared" si="128"/>
        <v>-123.4125</v>
      </c>
      <c r="AB777" s="108">
        <v>-165.0</v>
      </c>
      <c r="AC777" s="42" t="b">
        <v>1</v>
      </c>
      <c r="AD777" s="42" t="s">
        <v>138</v>
      </c>
      <c r="AE777" s="42" t="s">
        <v>138</v>
      </c>
      <c r="AF777" s="42" t="str">
        <f t="array" ref="AF777">INDEX('Deal Info'!D:D, MATCH(A777,'Deal Info'!A:A, 0))</f>
        <v>Fix11.25</v>
      </c>
      <c r="AG777" s="43" t="str">
        <f t="array" ref="AG777">INDEX('Deal Info'!G:G, MATCH(A777,'Deal Info'!A:A, 0))</f>
        <v>Fix3.75</v>
      </c>
    </row>
    <row r="778" hidden="1">
      <c r="A778" s="23" t="str">
        <f t="array" ref="A778">if(G778='Room Info'!$B$1, INDEX('Room Info'!$A$2:$A3446, MATCH(B778,'Room Info'!$B$2:$B3446, 0)),if(G778='Room Info'!$C$1, INDEX('Room Info'!$A$2:$A3446, MATCH(B778,'Room Info'!$C$2:$C3446, 0)),if(G778='Room Info'!$D$1, INDEX('Room Info'!$A$2:$A3446, MATCH(B778,'Room Info'!$D$2:$D3446, 0)),if(G778='Room Info'!$E$1, INDEX('Room Info'!$A$2:$A3446, MATCH(B778,'Room Info'!$E$2:$E3446, 0)),if(G778='Room Info'!$F$1, INDEX('Room Info'!$A$2:$A3446, MATCH(B778,'Room Info'!$F$2:$F3446, 0)),if(G778='Room Info'!$H$1, INDEX('Room Info'!$A$2:$A3446, MATCH(B778,'Room Info'!$H$2:$H3446, 0)),if(G778='Room Info'!$G$1, INDEX('Room Info'!$A$2:$A3446, MATCH(B778,'Room Info'!$G$2:$G3446, 0)))))))))</f>
        <v>fig6</v>
      </c>
      <c r="B778" s="50" t="s">
        <v>195</v>
      </c>
      <c r="C778" s="51">
        <v>44733.0</v>
      </c>
      <c r="D778" s="51">
        <v>44762.0</v>
      </c>
      <c r="E778" s="52">
        <v>44743.0</v>
      </c>
      <c r="F778" s="53" t="s">
        <v>4</v>
      </c>
      <c r="G778" s="59" t="s">
        <v>5</v>
      </c>
      <c r="H778" s="54" t="s">
        <v>101</v>
      </c>
      <c r="I778" s="54" t="s">
        <v>7</v>
      </c>
      <c r="J778" s="55">
        <v>500.0</v>
      </c>
      <c r="K778" s="56">
        <v>1.0</v>
      </c>
      <c r="L778" s="57">
        <v>-500.0</v>
      </c>
      <c r="M778" s="58">
        <v>20.0</v>
      </c>
      <c r="N778" s="33">
        <f t="shared" si="13"/>
        <v>500</v>
      </c>
      <c r="O778" s="59">
        <v>-54.0</v>
      </c>
      <c r="P778" s="34">
        <f t="shared" si="14"/>
        <v>-54</v>
      </c>
      <c r="Q778" s="60"/>
      <c r="R778" s="36">
        <f t="shared" si="99"/>
        <v>20</v>
      </c>
      <c r="S778" s="61">
        <v>-77.0</v>
      </c>
      <c r="T778" s="37">
        <f t="shared" si="100"/>
        <v>-57</v>
      </c>
      <c r="U778" s="62">
        <v>1.0</v>
      </c>
      <c r="V778" s="63"/>
      <c r="W778" s="63"/>
      <c r="X778" s="35">
        <f t="shared" si="129"/>
        <v>0.1125</v>
      </c>
      <c r="Y778" s="35">
        <f t="shared" si="123"/>
        <v>0.0375</v>
      </c>
      <c r="Z778" s="40">
        <f t="shared" si="127"/>
        <v>-41.5875</v>
      </c>
      <c r="AA778" s="34">
        <f t="shared" si="128"/>
        <v>-6.4125</v>
      </c>
      <c r="AB778" s="108">
        <v>-9.0</v>
      </c>
      <c r="AC778" s="42" t="b">
        <v>1</v>
      </c>
      <c r="AD778" s="42" t="s">
        <v>138</v>
      </c>
      <c r="AE778" s="42" t="s">
        <v>138</v>
      </c>
      <c r="AF778" s="42" t="str">
        <f t="array" ref="AF778">INDEX('Deal Info'!D:D, MATCH(A778,'Deal Info'!A:A, 0))</f>
        <v>Fix11.25</v>
      </c>
      <c r="AG778" s="43" t="str">
        <f t="array" ref="AG778">INDEX('Deal Info'!G:G, MATCH(A778,'Deal Info'!A:A, 0))</f>
        <v>Fix3.75</v>
      </c>
    </row>
    <row r="779" hidden="1">
      <c r="A779" s="23" t="str">
        <f t="array" ref="A779">if(G779='Room Info'!$B$1, INDEX('Room Info'!$A$2:$A3446, MATCH(B779,'Room Info'!$B$2:$B3446, 0)),if(G779='Room Info'!$C$1, INDEX('Room Info'!$A$2:$A3446, MATCH(B779,'Room Info'!$C$2:$C3446, 0)),if(G779='Room Info'!$D$1, INDEX('Room Info'!$A$2:$A3446, MATCH(B779,'Room Info'!$D$2:$D3446, 0)),if(G779='Room Info'!$E$1, INDEX('Room Info'!$A$2:$A3446, MATCH(B779,'Room Info'!$E$2:$E3446, 0)),if(G779='Room Info'!$F$1, INDEX('Room Info'!$A$2:$A3446, MATCH(B779,'Room Info'!$F$2:$F3446, 0)),if(G779='Room Info'!$H$1, INDEX('Room Info'!$A$2:$A3446, MATCH(B779,'Room Info'!$H$2:$H3446, 0)),if(G779='Room Info'!$G$1, INDEX('Room Info'!$A$2:$A3446, MATCH(B779,'Room Info'!$G$2:$G3446, 0)))))))))</f>
        <v>fig6</v>
      </c>
      <c r="B779" s="50" t="s">
        <v>195</v>
      </c>
      <c r="C779" s="51">
        <v>44733.0</v>
      </c>
      <c r="D779" s="51">
        <v>44762.0</v>
      </c>
      <c r="E779" s="52">
        <v>44743.0</v>
      </c>
      <c r="F779" s="53" t="s">
        <v>12</v>
      </c>
      <c r="G779" s="59" t="s">
        <v>5</v>
      </c>
      <c r="H779" s="54" t="s">
        <v>75</v>
      </c>
      <c r="I779" s="54" t="s">
        <v>11</v>
      </c>
      <c r="J779" s="55">
        <v>50.0</v>
      </c>
      <c r="K779" s="56">
        <v>1.0</v>
      </c>
      <c r="L779" s="57">
        <v>-50.0</v>
      </c>
      <c r="M779" s="58">
        <v>2.0</v>
      </c>
      <c r="N779" s="33">
        <f t="shared" si="13"/>
        <v>50</v>
      </c>
      <c r="O779" s="70"/>
      <c r="P779" s="34">
        <f t="shared" si="14"/>
        <v>0</v>
      </c>
      <c r="Q779" s="60"/>
      <c r="R779" s="36">
        <f t="shared" si="99"/>
        <v>2</v>
      </c>
      <c r="S779" s="71"/>
      <c r="T779" s="37">
        <f t="shared" si="100"/>
        <v>-48</v>
      </c>
      <c r="U779" s="62">
        <v>1.0</v>
      </c>
      <c r="V779" s="63"/>
      <c r="W779" s="63"/>
      <c r="X779" s="35">
        <f t="shared" si="129"/>
        <v>0.1125</v>
      </c>
      <c r="Y779" s="35">
        <f t="shared" si="123"/>
        <v>0.0375</v>
      </c>
      <c r="Z779" s="40">
        <f t="shared" si="127"/>
        <v>-35.6</v>
      </c>
      <c r="AA779" s="34">
        <f t="shared" si="128"/>
        <v>-5.4</v>
      </c>
      <c r="AB779" s="108">
        <v>-7.0</v>
      </c>
      <c r="AC779" s="42" t="b">
        <v>1</v>
      </c>
      <c r="AD779" s="42" t="s">
        <v>138</v>
      </c>
      <c r="AE779" s="42" t="s">
        <v>138</v>
      </c>
      <c r="AF779" s="42" t="str">
        <f t="array" ref="AF779">INDEX('Deal Info'!D:D, MATCH(A779,'Deal Info'!A:A, 0))</f>
        <v>Fix11.25</v>
      </c>
      <c r="AG779" s="43" t="str">
        <f t="array" ref="AG779">INDEX('Deal Info'!G:G, MATCH(A779,'Deal Info'!A:A, 0))</f>
        <v>Fix3.75</v>
      </c>
    </row>
    <row r="780" hidden="1">
      <c r="A780" s="23" t="str">
        <f t="array" ref="A780">if(G780='Room Info'!$B$1, INDEX('Room Info'!$A$2:$A3446, MATCH(B780,'Room Info'!$B$2:$B3446, 0)),if(G780='Room Info'!$C$1, INDEX('Room Info'!$A$2:$A3446, MATCH(B780,'Room Info'!$C$2:$C3446, 0)),if(G780='Room Info'!$D$1, INDEX('Room Info'!$A$2:$A3446, MATCH(B780,'Room Info'!$D$2:$D3446, 0)),if(G780='Room Info'!$E$1, INDEX('Room Info'!$A$2:$A3446, MATCH(B780,'Room Info'!$E$2:$E3446, 0)),if(G780='Room Info'!$F$1, INDEX('Room Info'!$A$2:$A3446, MATCH(B780,'Room Info'!$F$2:$F3446, 0)),if(G780='Room Info'!$H$1, INDEX('Room Info'!$A$2:$A3446, MATCH(B780,'Room Info'!$H$2:$H3446, 0)),if(G780='Room Info'!$G$1, INDEX('Room Info'!$A$2:$A3446, MATCH(B780,'Room Info'!$G$2:$G3446, 0)))))))))</f>
        <v>fig6</v>
      </c>
      <c r="B780" s="50" t="s">
        <v>195</v>
      </c>
      <c r="C780" s="51">
        <v>44794.0</v>
      </c>
      <c r="D780" s="51">
        <v>44824.0</v>
      </c>
      <c r="E780" s="52">
        <v>44805.0</v>
      </c>
      <c r="F780" s="53" t="s">
        <v>4</v>
      </c>
      <c r="G780" s="50" t="s">
        <v>5</v>
      </c>
      <c r="H780" s="54" t="s">
        <v>74</v>
      </c>
      <c r="I780" s="54" t="s">
        <v>7</v>
      </c>
      <c r="J780" s="55">
        <v>50.0</v>
      </c>
      <c r="K780" s="56">
        <v>1656.0</v>
      </c>
      <c r="L780" s="57">
        <v>-5400.0</v>
      </c>
      <c r="M780" s="58">
        <v>3271.0</v>
      </c>
      <c r="N780" s="33">
        <f t="shared" si="13"/>
        <v>82800</v>
      </c>
      <c r="O780" s="59">
        <v>13328.0</v>
      </c>
      <c r="P780" s="34">
        <f t="shared" si="14"/>
        <v>8.048309179</v>
      </c>
      <c r="Q780" s="60"/>
      <c r="R780" s="36">
        <f t="shared" si="99"/>
        <v>3271</v>
      </c>
      <c r="S780" s="61">
        <v>-4188.0</v>
      </c>
      <c r="T780" s="37">
        <f t="shared" si="100"/>
        <v>-917</v>
      </c>
      <c r="U780" s="62">
        <v>1.0</v>
      </c>
      <c r="V780" s="63"/>
      <c r="W780" s="63"/>
      <c r="X780" s="35">
        <f t="shared" si="129"/>
        <v>0.1125</v>
      </c>
      <c r="Y780" s="35">
        <f t="shared" si="123"/>
        <v>0.0375</v>
      </c>
      <c r="Z780" s="40">
        <f t="shared" si="127"/>
        <v>-675.8375</v>
      </c>
      <c r="AA780" s="34">
        <f t="shared" si="128"/>
        <v>-103.1625</v>
      </c>
      <c r="AB780" s="108">
        <v>-138.0</v>
      </c>
      <c r="AC780" s="42" t="b">
        <v>1</v>
      </c>
      <c r="AD780" s="42" t="s">
        <v>138</v>
      </c>
      <c r="AE780" s="42" t="s">
        <v>138</v>
      </c>
      <c r="AF780" s="42" t="str">
        <f t="array" ref="AF780">INDEX('Deal Info'!D:D, MATCH(A780,'Deal Info'!A:A, 0))</f>
        <v>Fix11.25</v>
      </c>
      <c r="AG780" s="43" t="str">
        <f t="array" ref="AG780">INDEX('Deal Info'!G:G, MATCH(A780,'Deal Info'!A:A, 0))</f>
        <v>Fix3.75</v>
      </c>
    </row>
    <row r="781" hidden="1">
      <c r="A781" s="23" t="str">
        <f t="array" ref="A781">if(G781='Room Info'!$B$1, INDEX('Room Info'!$A$2:$A3446, MATCH(B781,'Room Info'!$B$2:$B3446, 0)),if(G781='Room Info'!$C$1, INDEX('Room Info'!$A$2:$A3446, MATCH(B781,'Room Info'!$C$2:$C3446, 0)),if(G781='Room Info'!$D$1, INDEX('Room Info'!$A$2:$A3446, MATCH(B781,'Room Info'!$D$2:$D3446, 0)),if(G781='Room Info'!$E$1, INDEX('Room Info'!$A$2:$A3446, MATCH(B781,'Room Info'!$E$2:$E3446, 0)),if(G781='Room Info'!$F$1, INDEX('Room Info'!$A$2:$A3446, MATCH(B781,'Room Info'!$F$2:$F3446, 0)),if(G781='Room Info'!$H$1, INDEX('Room Info'!$A$2:$A3446, MATCH(B781,'Room Info'!$H$2:$H3446, 0)),if(G781='Room Info'!$G$1, INDEX('Room Info'!$A$2:$A3446, MATCH(B781,'Room Info'!$G$2:$G3446, 0)))))))))</f>
        <v>fig6</v>
      </c>
      <c r="B781" s="50" t="s">
        <v>195</v>
      </c>
      <c r="C781" s="51">
        <v>44794.0</v>
      </c>
      <c r="D781" s="51">
        <v>44824.0</v>
      </c>
      <c r="E781" s="52">
        <v>44805.0</v>
      </c>
      <c r="F781" s="53" t="s">
        <v>4</v>
      </c>
      <c r="G781" s="50" t="s">
        <v>5</v>
      </c>
      <c r="H781" s="54" t="s">
        <v>75</v>
      </c>
      <c r="I781" s="54" t="s">
        <v>11</v>
      </c>
      <c r="J781" s="55">
        <v>50.0</v>
      </c>
      <c r="K781" s="56">
        <v>260.0</v>
      </c>
      <c r="L781" s="57">
        <v>300.0</v>
      </c>
      <c r="M781" s="58">
        <v>513.0</v>
      </c>
      <c r="N781" s="33">
        <f t="shared" si="13"/>
        <v>13000</v>
      </c>
      <c r="O781" s="59">
        <v>3621.0</v>
      </c>
      <c r="P781" s="34">
        <f t="shared" si="14"/>
        <v>13.92692308</v>
      </c>
      <c r="Q781" s="60"/>
      <c r="R781" s="36">
        <f t="shared" si="99"/>
        <v>513</v>
      </c>
      <c r="S781" s="61">
        <v>-292.0</v>
      </c>
      <c r="T781" s="37">
        <f t="shared" si="100"/>
        <v>221</v>
      </c>
      <c r="U781" s="62">
        <v>1.0</v>
      </c>
      <c r="V781" s="63"/>
      <c r="W781" s="63"/>
      <c r="X781" s="35">
        <f t="shared" si="129"/>
        <v>0.1125</v>
      </c>
      <c r="Y781" s="35">
        <f t="shared" si="123"/>
        <v>0.0375</v>
      </c>
      <c r="Z781" s="40">
        <f t="shared" si="127"/>
        <v>163.1375</v>
      </c>
      <c r="AA781" s="34">
        <f t="shared" si="128"/>
        <v>24.8625</v>
      </c>
      <c r="AB781" s="108">
        <v>33.0</v>
      </c>
      <c r="AC781" s="42" t="b">
        <v>1</v>
      </c>
      <c r="AD781" s="42" t="s">
        <v>138</v>
      </c>
      <c r="AE781" s="42" t="s">
        <v>138</v>
      </c>
      <c r="AF781" s="42" t="str">
        <f t="array" ref="AF781">INDEX('Deal Info'!D:D, MATCH(A781,'Deal Info'!A:A, 0))</f>
        <v>Fix11.25</v>
      </c>
      <c r="AG781" s="43" t="str">
        <f t="array" ref="AG781">INDEX('Deal Info'!G:G, MATCH(A781,'Deal Info'!A:A, 0))</f>
        <v>Fix3.75</v>
      </c>
    </row>
    <row r="782" hidden="1">
      <c r="A782" s="23" t="str">
        <f t="array" ref="A782">if(G782='Room Info'!$B$1, INDEX('Room Info'!$A$2:$A3446, MATCH(B782,'Room Info'!$B$2:$B3446, 0)),if(G782='Room Info'!$C$1, INDEX('Room Info'!$A$2:$A3446, MATCH(B782,'Room Info'!$C$2:$C3446, 0)),if(G782='Room Info'!$D$1, INDEX('Room Info'!$A$2:$A3446, MATCH(B782,'Room Info'!$D$2:$D3446, 0)),if(G782='Room Info'!$E$1, INDEX('Room Info'!$A$2:$A3446, MATCH(B782,'Room Info'!$E$2:$E3446, 0)),if(G782='Room Info'!$F$1, INDEX('Room Info'!$A$2:$A3446, MATCH(B782,'Room Info'!$F$2:$F3446, 0)),if(G782='Room Info'!$H$1, INDEX('Room Info'!$A$2:$A3446, MATCH(B782,'Room Info'!$H$2:$H3446, 0)),if(G782='Room Info'!$G$1, INDEX('Room Info'!$A$2:$A3446, MATCH(B782,'Room Info'!$G$2:$G3446, 0)))))))))</f>
        <v>fig6</v>
      </c>
      <c r="B782" s="50" t="s">
        <v>195</v>
      </c>
      <c r="C782" s="51">
        <v>44794.0</v>
      </c>
      <c r="D782" s="51">
        <v>44824.0</v>
      </c>
      <c r="E782" s="52">
        <v>44805.0</v>
      </c>
      <c r="F782" s="53" t="s">
        <v>4</v>
      </c>
      <c r="G782" s="50" t="s">
        <v>5</v>
      </c>
      <c r="H782" s="54" t="s">
        <v>85</v>
      </c>
      <c r="I782" s="54" t="s">
        <v>7</v>
      </c>
      <c r="J782" s="55">
        <v>100.0</v>
      </c>
      <c r="K782" s="56">
        <v>5742.0</v>
      </c>
      <c r="L782" s="57">
        <v>8400.0</v>
      </c>
      <c r="M782" s="58">
        <v>18902.0</v>
      </c>
      <c r="N782" s="33">
        <f t="shared" si="13"/>
        <v>574200</v>
      </c>
      <c r="O782" s="59">
        <v>87189.0</v>
      </c>
      <c r="P782" s="34">
        <f t="shared" si="14"/>
        <v>15.18443051</v>
      </c>
      <c r="Q782" s="60"/>
      <c r="R782" s="36">
        <f t="shared" si="99"/>
        <v>18902</v>
      </c>
      <c r="S782" s="61">
        <v>-15526.0</v>
      </c>
      <c r="T782" s="37">
        <f t="shared" si="100"/>
        <v>3376</v>
      </c>
      <c r="U782" s="62">
        <v>1.0</v>
      </c>
      <c r="V782" s="63"/>
      <c r="W782" s="63"/>
      <c r="X782" s="35">
        <f t="shared" si="129"/>
        <v>0.1125</v>
      </c>
      <c r="Y782" s="35">
        <f t="shared" si="123"/>
        <v>0.0375</v>
      </c>
      <c r="Z782" s="40">
        <f t="shared" si="127"/>
        <v>2490.2</v>
      </c>
      <c r="AA782" s="34">
        <f t="shared" si="128"/>
        <v>379.8</v>
      </c>
      <c r="AB782" s="108">
        <v>506.0</v>
      </c>
      <c r="AC782" s="42" t="b">
        <v>1</v>
      </c>
      <c r="AD782" s="42" t="s">
        <v>138</v>
      </c>
      <c r="AE782" s="42" t="s">
        <v>138</v>
      </c>
      <c r="AF782" s="42" t="str">
        <f t="array" ref="AF782">INDEX('Deal Info'!D:D, MATCH(A782,'Deal Info'!A:A, 0))</f>
        <v>Fix11.25</v>
      </c>
      <c r="AG782" s="43" t="str">
        <f t="array" ref="AG782">INDEX('Deal Info'!G:G, MATCH(A782,'Deal Info'!A:A, 0))</f>
        <v>Fix3.75</v>
      </c>
    </row>
    <row r="783" hidden="1">
      <c r="A783" s="23" t="str">
        <f t="array" ref="A783">if(G783='Room Info'!$B$1, INDEX('Room Info'!$A$2:$A3446, MATCH(B783,'Room Info'!$B$2:$B3446, 0)),if(G783='Room Info'!$C$1, INDEX('Room Info'!$A$2:$A3446, MATCH(B783,'Room Info'!$C$2:$C3446, 0)),if(G783='Room Info'!$D$1, INDEX('Room Info'!$A$2:$A3446, MATCH(B783,'Room Info'!$D$2:$D3446, 0)),if(G783='Room Info'!$E$1, INDEX('Room Info'!$A$2:$A3446, MATCH(B783,'Room Info'!$E$2:$E3446, 0)),if(G783='Room Info'!$F$1, INDEX('Room Info'!$A$2:$A3446, MATCH(B783,'Room Info'!$F$2:$F3446, 0)),if(G783='Room Info'!$H$1, INDEX('Room Info'!$A$2:$A3446, MATCH(B783,'Room Info'!$H$2:$H3446, 0)),if(G783='Room Info'!$G$1, INDEX('Room Info'!$A$2:$A3446, MATCH(B783,'Room Info'!$G$2:$G3446, 0)))))))))</f>
        <v>fig6</v>
      </c>
      <c r="B783" s="50" t="s">
        <v>195</v>
      </c>
      <c r="C783" s="51">
        <v>44794.0</v>
      </c>
      <c r="D783" s="51">
        <v>44824.0</v>
      </c>
      <c r="E783" s="52">
        <v>44805.0</v>
      </c>
      <c r="F783" s="53" t="s">
        <v>4</v>
      </c>
      <c r="G783" s="50" t="s">
        <v>5</v>
      </c>
      <c r="H783" s="54" t="s">
        <v>86</v>
      </c>
      <c r="I783" s="54" t="s">
        <v>11</v>
      </c>
      <c r="J783" s="55">
        <v>100.0</v>
      </c>
      <c r="K783" s="56">
        <v>938.0</v>
      </c>
      <c r="L783" s="57">
        <v>500.0</v>
      </c>
      <c r="M783" s="58">
        <v>3088.0</v>
      </c>
      <c r="N783" s="33">
        <f t="shared" si="13"/>
        <v>93800</v>
      </c>
      <c r="O783" s="59">
        <v>5828.0</v>
      </c>
      <c r="P783" s="34">
        <f t="shared" si="14"/>
        <v>6.213219616</v>
      </c>
      <c r="Q783" s="60"/>
      <c r="R783" s="36">
        <f t="shared" si="99"/>
        <v>3088</v>
      </c>
      <c r="S783" s="61">
        <v>-3385.0</v>
      </c>
      <c r="T783" s="37">
        <f t="shared" si="100"/>
        <v>-297</v>
      </c>
      <c r="U783" s="62">
        <v>1.0</v>
      </c>
      <c r="V783" s="63"/>
      <c r="W783" s="63"/>
      <c r="X783" s="35">
        <f t="shared" si="129"/>
        <v>0.1125</v>
      </c>
      <c r="Y783" s="35">
        <f t="shared" si="123"/>
        <v>0.0375</v>
      </c>
      <c r="Z783" s="40">
        <f t="shared" si="127"/>
        <v>-218.5875</v>
      </c>
      <c r="AA783" s="34">
        <f t="shared" si="128"/>
        <v>-33.4125</v>
      </c>
      <c r="AB783" s="108">
        <v>-45.0</v>
      </c>
      <c r="AC783" s="42" t="b">
        <v>1</v>
      </c>
      <c r="AD783" s="42" t="s">
        <v>138</v>
      </c>
      <c r="AE783" s="42" t="s">
        <v>138</v>
      </c>
      <c r="AF783" s="42" t="str">
        <f t="array" ref="AF783">INDEX('Deal Info'!D:D, MATCH(A783,'Deal Info'!A:A, 0))</f>
        <v>Fix11.25</v>
      </c>
      <c r="AG783" s="43" t="str">
        <f t="array" ref="AG783">INDEX('Deal Info'!G:G, MATCH(A783,'Deal Info'!A:A, 0))</f>
        <v>Fix3.75</v>
      </c>
    </row>
    <row r="784" hidden="1">
      <c r="A784" s="23" t="str">
        <f t="array" ref="A784">if(G784='Room Info'!$B$1, INDEX('Room Info'!$A$2:$A3446, MATCH(B784,'Room Info'!$B$2:$B3446, 0)),if(G784='Room Info'!$C$1, INDEX('Room Info'!$A$2:$A3446, MATCH(B784,'Room Info'!$C$2:$C3446, 0)),if(G784='Room Info'!$D$1, INDEX('Room Info'!$A$2:$A3446, MATCH(B784,'Room Info'!$D$2:$D3446, 0)),if(G784='Room Info'!$E$1, INDEX('Room Info'!$A$2:$A3446, MATCH(B784,'Room Info'!$E$2:$E3446, 0)),if(G784='Room Info'!$F$1, INDEX('Room Info'!$A$2:$A3446, MATCH(B784,'Room Info'!$F$2:$F3446, 0)),if(G784='Room Info'!$H$1, INDEX('Room Info'!$A$2:$A3446, MATCH(B784,'Room Info'!$H$2:$H3446, 0)),if(G784='Room Info'!$G$1, INDEX('Room Info'!$A$2:$A3446, MATCH(B784,'Room Info'!$G$2:$G3446, 0)))))))))</f>
        <v>fig6</v>
      </c>
      <c r="B784" s="50" t="s">
        <v>195</v>
      </c>
      <c r="C784" s="51">
        <v>44794.0</v>
      </c>
      <c r="D784" s="51">
        <v>44824.0</v>
      </c>
      <c r="E784" s="52">
        <v>44805.0</v>
      </c>
      <c r="F784" s="53" t="s">
        <v>4</v>
      </c>
      <c r="G784" s="50" t="s">
        <v>5</v>
      </c>
      <c r="H784" s="54" t="s">
        <v>96</v>
      </c>
      <c r="I784" s="54" t="s">
        <v>7</v>
      </c>
      <c r="J784" s="55">
        <v>250.0</v>
      </c>
      <c r="K784" s="56">
        <v>967.0</v>
      </c>
      <c r="L784" s="57">
        <v>19500.0</v>
      </c>
      <c r="M784" s="58">
        <v>7958.0</v>
      </c>
      <c r="N784" s="33">
        <f t="shared" si="13"/>
        <v>241750</v>
      </c>
      <c r="O784" s="59">
        <v>25598.0</v>
      </c>
      <c r="P784" s="34">
        <f t="shared" si="14"/>
        <v>26.47156153</v>
      </c>
      <c r="Q784" s="60"/>
      <c r="R784" s="36">
        <f t="shared" si="99"/>
        <v>7958</v>
      </c>
      <c r="S784" s="61">
        <v>-812.0</v>
      </c>
      <c r="T784" s="37">
        <f t="shared" si="100"/>
        <v>7146</v>
      </c>
      <c r="U784" s="62">
        <v>1.0</v>
      </c>
      <c r="V784" s="63"/>
      <c r="W784" s="63"/>
      <c r="X784" s="35">
        <f t="shared" si="129"/>
        <v>0.1125</v>
      </c>
      <c r="Y784" s="35">
        <f t="shared" si="123"/>
        <v>0.0375</v>
      </c>
      <c r="Z784" s="40">
        <f t="shared" si="127"/>
        <v>5270.075</v>
      </c>
      <c r="AA784" s="34">
        <f t="shared" si="128"/>
        <v>803.925</v>
      </c>
      <c r="AB784" s="108">
        <v>1072.0</v>
      </c>
      <c r="AC784" s="42" t="b">
        <v>1</v>
      </c>
      <c r="AD784" s="42" t="s">
        <v>138</v>
      </c>
      <c r="AE784" s="42" t="s">
        <v>138</v>
      </c>
      <c r="AF784" s="42" t="str">
        <f t="array" ref="AF784">INDEX('Deal Info'!D:D, MATCH(A784,'Deal Info'!A:A, 0))</f>
        <v>Fix11.25</v>
      </c>
      <c r="AG784" s="43" t="str">
        <f t="array" ref="AG784">INDEX('Deal Info'!G:G, MATCH(A784,'Deal Info'!A:A, 0))</f>
        <v>Fix3.75</v>
      </c>
    </row>
    <row r="785" hidden="1">
      <c r="A785" s="23" t="str">
        <f t="array" ref="A785">if(G785='Room Info'!$B$1, INDEX('Room Info'!$A$2:$A3446, MATCH(B785,'Room Info'!$B$2:$B3446, 0)),if(G785='Room Info'!$C$1, INDEX('Room Info'!$A$2:$A3446, MATCH(B785,'Room Info'!$C$2:$C3446, 0)),if(G785='Room Info'!$D$1, INDEX('Room Info'!$A$2:$A3446, MATCH(B785,'Room Info'!$D$2:$D3446, 0)),if(G785='Room Info'!$E$1, INDEX('Room Info'!$A$2:$A3446, MATCH(B785,'Room Info'!$E$2:$E3446, 0)),if(G785='Room Info'!$F$1, INDEX('Room Info'!$A$2:$A3446, MATCH(B785,'Room Info'!$F$2:$F3446, 0)),if(G785='Room Info'!$H$1, INDEX('Room Info'!$A$2:$A3446, MATCH(B785,'Room Info'!$H$2:$H3446, 0)),if(G785='Room Info'!$G$1, INDEX('Room Info'!$A$2:$A3446, MATCH(B785,'Room Info'!$G$2:$G3446, 0)))))))))</f>
        <v>fig6</v>
      </c>
      <c r="B785" s="50" t="s">
        <v>195</v>
      </c>
      <c r="C785" s="51">
        <v>44794.0</v>
      </c>
      <c r="D785" s="51">
        <v>44824.0</v>
      </c>
      <c r="E785" s="52">
        <v>44805.0</v>
      </c>
      <c r="F785" s="53" t="s">
        <v>4</v>
      </c>
      <c r="G785" s="50" t="s">
        <v>5</v>
      </c>
      <c r="H785" s="54" t="s">
        <v>97</v>
      </c>
      <c r="I785" s="54" t="s">
        <v>11</v>
      </c>
      <c r="J785" s="55">
        <v>250.0</v>
      </c>
      <c r="K785" s="56">
        <v>50.0</v>
      </c>
      <c r="L785" s="57">
        <v>4500.0</v>
      </c>
      <c r="M785" s="58">
        <v>411.0</v>
      </c>
      <c r="N785" s="33">
        <f t="shared" si="13"/>
        <v>12500</v>
      </c>
      <c r="O785" s="59">
        <v>1925.0</v>
      </c>
      <c r="P785" s="34">
        <f t="shared" si="14"/>
        <v>38.5</v>
      </c>
      <c r="Q785" s="60"/>
      <c r="R785" s="36">
        <f t="shared" si="99"/>
        <v>411</v>
      </c>
      <c r="S785" s="61">
        <v>843.0</v>
      </c>
      <c r="T785" s="37">
        <f t="shared" si="100"/>
        <v>1254</v>
      </c>
      <c r="U785" s="62">
        <v>1.0</v>
      </c>
      <c r="V785" s="63"/>
      <c r="W785" s="63"/>
      <c r="X785" s="35">
        <f t="shared" si="129"/>
        <v>0.1125</v>
      </c>
      <c r="Y785" s="35">
        <f t="shared" si="123"/>
        <v>0.0375</v>
      </c>
      <c r="Z785" s="40">
        <f t="shared" si="127"/>
        <v>924.925</v>
      </c>
      <c r="AA785" s="34">
        <f t="shared" si="128"/>
        <v>141.075</v>
      </c>
      <c r="AB785" s="108">
        <v>188.0</v>
      </c>
      <c r="AC785" s="42" t="b">
        <v>1</v>
      </c>
      <c r="AD785" s="42" t="s">
        <v>138</v>
      </c>
      <c r="AE785" s="42" t="s">
        <v>138</v>
      </c>
      <c r="AF785" s="42" t="str">
        <f t="array" ref="AF785">INDEX('Deal Info'!D:D, MATCH(A785,'Deal Info'!A:A, 0))</f>
        <v>Fix11.25</v>
      </c>
      <c r="AG785" s="43" t="str">
        <f t="array" ref="AG785">INDEX('Deal Info'!G:G, MATCH(A785,'Deal Info'!A:A, 0))</f>
        <v>Fix3.75</v>
      </c>
    </row>
    <row r="786" hidden="1">
      <c r="A786" s="23" t="str">
        <f t="array" ref="A786">if(G786='Room Info'!$B$1, INDEX('Room Info'!$A$2:$A3446, MATCH(B786,'Room Info'!$B$2:$B3446, 0)),if(G786='Room Info'!$C$1, INDEX('Room Info'!$A$2:$A3446, MATCH(B786,'Room Info'!$C$2:$C3446, 0)),if(G786='Room Info'!$D$1, INDEX('Room Info'!$A$2:$A3446, MATCH(B786,'Room Info'!$D$2:$D3446, 0)),if(G786='Room Info'!$E$1, INDEX('Room Info'!$A$2:$A3446, MATCH(B786,'Room Info'!$E$2:$E3446, 0)),if(G786='Room Info'!$F$1, INDEX('Room Info'!$A$2:$A3446, MATCH(B786,'Room Info'!$F$2:$F3446, 0)),if(G786='Room Info'!$H$1, INDEX('Room Info'!$A$2:$A3446, MATCH(B786,'Room Info'!$H$2:$H3446, 0)),if(G786='Room Info'!$G$1, INDEX('Room Info'!$A$2:$A3446, MATCH(B786,'Room Info'!$G$2:$G3446, 0)))))))))</f>
        <v>fig6</v>
      </c>
      <c r="B786" s="50" t="s">
        <v>195</v>
      </c>
      <c r="C786" s="51">
        <v>44825.0</v>
      </c>
      <c r="D786" s="51">
        <v>44854.0</v>
      </c>
      <c r="E786" s="52">
        <v>44835.0</v>
      </c>
      <c r="F786" s="53" t="s">
        <v>4</v>
      </c>
      <c r="G786" s="50" t="s">
        <v>5</v>
      </c>
      <c r="H786" s="54" t="s">
        <v>74</v>
      </c>
      <c r="I786" s="54" t="s">
        <v>7</v>
      </c>
      <c r="J786" s="55">
        <v>50.0</v>
      </c>
      <c r="K786" s="56">
        <v>1080.0</v>
      </c>
      <c r="L786" s="57">
        <v>-100.0</v>
      </c>
      <c r="M786" s="58">
        <v>2314.0</v>
      </c>
      <c r="N786" s="33">
        <f t="shared" si="13"/>
        <v>54000</v>
      </c>
      <c r="O786" s="59">
        <v>30519.0</v>
      </c>
      <c r="P786" s="34">
        <f t="shared" si="14"/>
        <v>28.25833333</v>
      </c>
      <c r="Q786" s="60"/>
      <c r="R786" s="36">
        <f t="shared" si="99"/>
        <v>2314</v>
      </c>
      <c r="S786" s="61">
        <v>-743.0</v>
      </c>
      <c r="T786" s="37">
        <f t="shared" si="100"/>
        <v>1571</v>
      </c>
      <c r="U786" s="62">
        <v>1.0</v>
      </c>
      <c r="V786" s="63"/>
      <c r="W786" s="63"/>
      <c r="X786" s="35">
        <f t="shared" si="129"/>
        <v>0.1125</v>
      </c>
      <c r="Y786" s="35">
        <f t="shared" si="123"/>
        <v>0.0375</v>
      </c>
      <c r="Z786" s="40">
        <f t="shared" si="127"/>
        <v>1158.2625</v>
      </c>
      <c r="AA786" s="34">
        <f t="shared" si="128"/>
        <v>176.7375</v>
      </c>
      <c r="AB786" s="108">
        <v>236.0</v>
      </c>
      <c r="AC786" s="42" t="b">
        <v>1</v>
      </c>
      <c r="AD786" s="42" t="s">
        <v>138</v>
      </c>
      <c r="AE786" s="42" t="s">
        <v>138</v>
      </c>
      <c r="AF786" s="42" t="str">
        <f t="array" ref="AF786">INDEX('Deal Info'!D:D, MATCH(A786,'Deal Info'!A:A, 0))</f>
        <v>Fix11.25</v>
      </c>
      <c r="AG786" s="43" t="str">
        <f t="array" ref="AG786">INDEX('Deal Info'!G:G, MATCH(A786,'Deal Info'!A:A, 0))</f>
        <v>Fix3.75</v>
      </c>
    </row>
    <row r="787" hidden="1">
      <c r="A787" s="23" t="str">
        <f t="array" ref="A787">if(G787='Room Info'!$B$1, INDEX('Room Info'!$A$2:$A3446, MATCH(B787,'Room Info'!$B$2:$B3446, 0)),if(G787='Room Info'!$C$1, INDEX('Room Info'!$A$2:$A3446, MATCH(B787,'Room Info'!$C$2:$C3446, 0)),if(G787='Room Info'!$D$1, INDEX('Room Info'!$A$2:$A3446, MATCH(B787,'Room Info'!$D$2:$D3446, 0)),if(G787='Room Info'!$E$1, INDEX('Room Info'!$A$2:$A3446, MATCH(B787,'Room Info'!$E$2:$E3446, 0)),if(G787='Room Info'!$F$1, INDEX('Room Info'!$A$2:$A3446, MATCH(B787,'Room Info'!$F$2:$F3446, 0)),if(G787='Room Info'!$H$1, INDEX('Room Info'!$A$2:$A3446, MATCH(B787,'Room Info'!$H$2:$H3446, 0)),if(G787='Room Info'!$G$1, INDEX('Room Info'!$A$2:$A3446, MATCH(B787,'Room Info'!$G$2:$G3446, 0)))))))))</f>
        <v>fig6</v>
      </c>
      <c r="B787" s="50" t="s">
        <v>195</v>
      </c>
      <c r="C787" s="82">
        <v>44825.0</v>
      </c>
      <c r="D787" s="82">
        <v>44854.0</v>
      </c>
      <c r="E787" s="52">
        <v>44835.0</v>
      </c>
      <c r="F787" s="53" t="s">
        <v>4</v>
      </c>
      <c r="G787" s="50" t="s">
        <v>5</v>
      </c>
      <c r="H787" s="54" t="s">
        <v>75</v>
      </c>
      <c r="I787" s="54" t="s">
        <v>11</v>
      </c>
      <c r="J787" s="79">
        <v>50.0</v>
      </c>
      <c r="K787" s="80">
        <v>27.0</v>
      </c>
      <c r="L787" s="77">
        <v>-750.0</v>
      </c>
      <c r="M787" s="81">
        <v>58.0</v>
      </c>
      <c r="N787" s="33">
        <f t="shared" si="13"/>
        <v>1350</v>
      </c>
      <c r="O787" s="50">
        <v>-718.0</v>
      </c>
      <c r="P787" s="34">
        <f t="shared" si="14"/>
        <v>-26.59259259</v>
      </c>
      <c r="Q787" s="60"/>
      <c r="R787" s="36">
        <f t="shared" si="99"/>
        <v>58</v>
      </c>
      <c r="S787" s="78">
        <v>-200.0</v>
      </c>
      <c r="T787" s="37">
        <f t="shared" si="100"/>
        <v>-142</v>
      </c>
      <c r="U787" s="62">
        <v>1.0</v>
      </c>
      <c r="V787" s="63"/>
      <c r="W787" s="63"/>
      <c r="X787" s="35">
        <f t="shared" si="129"/>
        <v>0.1125</v>
      </c>
      <c r="Y787" s="35">
        <f t="shared" si="123"/>
        <v>0.0375</v>
      </c>
      <c r="Z787" s="40">
        <f t="shared" si="127"/>
        <v>-105.025</v>
      </c>
      <c r="AA787" s="34">
        <f t="shared" si="128"/>
        <v>-15.975</v>
      </c>
      <c r="AB787" s="108">
        <v>-21.0</v>
      </c>
      <c r="AC787" s="42" t="b">
        <v>1</v>
      </c>
      <c r="AD787" s="42" t="s">
        <v>138</v>
      </c>
      <c r="AE787" s="42" t="s">
        <v>138</v>
      </c>
      <c r="AF787" s="42" t="str">
        <f t="array" ref="AF787">INDEX('Deal Info'!D:D, MATCH(A787,'Deal Info'!A:A, 0))</f>
        <v>Fix11.25</v>
      </c>
      <c r="AG787" s="43" t="str">
        <f t="array" ref="AG787">INDEX('Deal Info'!G:G, MATCH(A787,'Deal Info'!A:A, 0))</f>
        <v>Fix3.75</v>
      </c>
    </row>
    <row r="788" hidden="1">
      <c r="A788" s="23" t="str">
        <f t="array" ref="A788">if(G788='Room Info'!$B$1, INDEX('Room Info'!$A$2:$A3446, MATCH(B788,'Room Info'!$B$2:$B3446, 0)),if(G788='Room Info'!$C$1, INDEX('Room Info'!$A$2:$A3446, MATCH(B788,'Room Info'!$C$2:$C3446, 0)),if(G788='Room Info'!$D$1, INDEX('Room Info'!$A$2:$A3446, MATCH(B788,'Room Info'!$D$2:$D3446, 0)),if(G788='Room Info'!$E$1, INDEX('Room Info'!$A$2:$A3446, MATCH(B788,'Room Info'!$E$2:$E3446, 0)),if(G788='Room Info'!$F$1, INDEX('Room Info'!$A$2:$A3446, MATCH(B788,'Room Info'!$F$2:$F3446, 0)),if(G788='Room Info'!$H$1, INDEX('Room Info'!$A$2:$A3446, MATCH(B788,'Room Info'!$H$2:$H3446, 0)),if(G788='Room Info'!$G$1, INDEX('Room Info'!$A$2:$A3446, MATCH(B788,'Room Info'!$G$2:$G3446, 0)))))))))</f>
        <v>fig6</v>
      </c>
      <c r="B788" s="50" t="s">
        <v>195</v>
      </c>
      <c r="C788" s="82">
        <v>44825.0</v>
      </c>
      <c r="D788" s="82">
        <v>44854.0</v>
      </c>
      <c r="E788" s="52">
        <v>44835.0</v>
      </c>
      <c r="F788" s="53" t="s">
        <v>4</v>
      </c>
      <c r="G788" s="50" t="s">
        <v>5</v>
      </c>
      <c r="H788" s="54" t="s">
        <v>85</v>
      </c>
      <c r="I788" s="54" t="s">
        <v>7</v>
      </c>
      <c r="J788" s="79">
        <v>100.0</v>
      </c>
      <c r="K788" s="80">
        <v>6912.0</v>
      </c>
      <c r="L788" s="77">
        <v>-20500.0</v>
      </c>
      <c r="M788" s="81">
        <v>24678.0</v>
      </c>
      <c r="N788" s="33">
        <f t="shared" si="13"/>
        <v>691200</v>
      </c>
      <c r="O788" s="50">
        <v>131361.0</v>
      </c>
      <c r="P788" s="34">
        <f t="shared" si="14"/>
        <v>19.00477431</v>
      </c>
      <c r="Q788" s="60"/>
      <c r="R788" s="36">
        <f t="shared" si="99"/>
        <v>24678</v>
      </c>
      <c r="S788" s="78">
        <v>-14116.0</v>
      </c>
      <c r="T788" s="37">
        <f t="shared" si="100"/>
        <v>10562</v>
      </c>
      <c r="U788" s="62">
        <v>1.0</v>
      </c>
      <c r="V788" s="63"/>
      <c r="W788" s="63"/>
      <c r="X788" s="35">
        <f t="shared" si="129"/>
        <v>0.1125</v>
      </c>
      <c r="Y788" s="35">
        <f t="shared" si="123"/>
        <v>0.0375</v>
      </c>
      <c r="Z788" s="40">
        <f t="shared" si="127"/>
        <v>7789.775</v>
      </c>
      <c r="AA788" s="34">
        <f t="shared" si="128"/>
        <v>1188.225</v>
      </c>
      <c r="AB788" s="108">
        <v>1584.0</v>
      </c>
      <c r="AC788" s="42" t="b">
        <v>1</v>
      </c>
      <c r="AD788" s="42" t="s">
        <v>138</v>
      </c>
      <c r="AE788" s="42" t="s">
        <v>138</v>
      </c>
      <c r="AF788" s="42" t="str">
        <f t="array" ref="AF788">INDEX('Deal Info'!D:D, MATCH(A788,'Deal Info'!A:A, 0))</f>
        <v>Fix11.25</v>
      </c>
      <c r="AG788" s="43" t="str">
        <f t="array" ref="AG788">INDEX('Deal Info'!G:G, MATCH(A788,'Deal Info'!A:A, 0))</f>
        <v>Fix3.75</v>
      </c>
    </row>
    <row r="789" hidden="1">
      <c r="A789" s="23" t="str">
        <f t="array" ref="A789">if(G789='Room Info'!$B$1, INDEX('Room Info'!$A$2:$A3446, MATCH(B789,'Room Info'!$B$2:$B3446, 0)),if(G789='Room Info'!$C$1, INDEX('Room Info'!$A$2:$A3446, MATCH(B789,'Room Info'!$C$2:$C3446, 0)),if(G789='Room Info'!$D$1, INDEX('Room Info'!$A$2:$A3446, MATCH(B789,'Room Info'!$D$2:$D3446, 0)),if(G789='Room Info'!$E$1, INDEX('Room Info'!$A$2:$A3446, MATCH(B789,'Room Info'!$E$2:$E3446, 0)),if(G789='Room Info'!$F$1, INDEX('Room Info'!$A$2:$A3446, MATCH(B789,'Room Info'!$F$2:$F3446, 0)),if(G789='Room Info'!$H$1, INDEX('Room Info'!$A$2:$A3446, MATCH(B789,'Room Info'!$H$2:$H3446, 0)),if(G789='Room Info'!$G$1, INDEX('Room Info'!$A$2:$A3446, MATCH(B789,'Room Info'!$G$2:$G3446, 0)))))))))</f>
        <v>fig6</v>
      </c>
      <c r="B789" s="50" t="s">
        <v>195</v>
      </c>
      <c r="C789" s="82">
        <v>44825.0</v>
      </c>
      <c r="D789" s="82">
        <v>44854.0</v>
      </c>
      <c r="E789" s="52">
        <v>44835.0</v>
      </c>
      <c r="F789" s="53" t="s">
        <v>4</v>
      </c>
      <c r="G789" s="50" t="s">
        <v>5</v>
      </c>
      <c r="H789" s="54" t="s">
        <v>86</v>
      </c>
      <c r="I789" s="54" t="s">
        <v>11</v>
      </c>
      <c r="J789" s="79">
        <v>100.0</v>
      </c>
      <c r="K789" s="80">
        <v>250.0</v>
      </c>
      <c r="L789" s="77">
        <v>-1000.0</v>
      </c>
      <c r="M789" s="81">
        <v>893.0</v>
      </c>
      <c r="N789" s="33">
        <f t="shared" si="13"/>
        <v>25000</v>
      </c>
      <c r="O789" s="50">
        <v>4047.0</v>
      </c>
      <c r="P789" s="34">
        <f t="shared" si="14"/>
        <v>16.188</v>
      </c>
      <c r="Q789" s="60"/>
      <c r="R789" s="36">
        <f t="shared" si="99"/>
        <v>893</v>
      </c>
      <c r="S789" s="78">
        <v>-137.0</v>
      </c>
      <c r="T789" s="37">
        <f t="shared" si="100"/>
        <v>756</v>
      </c>
      <c r="U789" s="62">
        <v>1.0</v>
      </c>
      <c r="V789" s="63"/>
      <c r="W789" s="63"/>
      <c r="X789" s="35">
        <f t="shared" si="129"/>
        <v>0.1125</v>
      </c>
      <c r="Y789" s="35">
        <f t="shared" si="123"/>
        <v>0.0375</v>
      </c>
      <c r="Z789" s="40">
        <f t="shared" si="127"/>
        <v>557.95</v>
      </c>
      <c r="AA789" s="34">
        <f t="shared" si="128"/>
        <v>85.05</v>
      </c>
      <c r="AB789" s="108">
        <v>113.0</v>
      </c>
      <c r="AC789" s="42" t="b">
        <v>1</v>
      </c>
      <c r="AD789" s="42" t="s">
        <v>138</v>
      </c>
      <c r="AE789" s="42" t="s">
        <v>138</v>
      </c>
      <c r="AF789" s="42" t="str">
        <f t="array" ref="AF789">INDEX('Deal Info'!D:D, MATCH(A789,'Deal Info'!A:A, 0))</f>
        <v>Fix11.25</v>
      </c>
      <c r="AG789" s="43" t="str">
        <f t="array" ref="AG789">INDEX('Deal Info'!G:G, MATCH(A789,'Deal Info'!A:A, 0))</f>
        <v>Fix3.75</v>
      </c>
    </row>
    <row r="790" hidden="1">
      <c r="A790" s="23" t="str">
        <f t="array" ref="A790">if(G790='Room Info'!$B$1, INDEX('Room Info'!$A$2:$A3446, MATCH(B790,'Room Info'!$B$2:$B3446, 0)),if(G790='Room Info'!$C$1, INDEX('Room Info'!$A$2:$A3446, MATCH(B790,'Room Info'!$C$2:$C3446, 0)),if(G790='Room Info'!$D$1, INDEX('Room Info'!$A$2:$A3446, MATCH(B790,'Room Info'!$D$2:$D3446, 0)),if(G790='Room Info'!$E$1, INDEX('Room Info'!$A$2:$A3446, MATCH(B790,'Room Info'!$E$2:$E3446, 0)),if(G790='Room Info'!$F$1, INDEX('Room Info'!$A$2:$A3446, MATCH(B790,'Room Info'!$F$2:$F3446, 0)),if(G790='Room Info'!$H$1, INDEX('Room Info'!$A$2:$A3446, MATCH(B790,'Room Info'!$H$2:$H3446, 0)),if(G790='Room Info'!$G$1, INDEX('Room Info'!$A$2:$A3446, MATCH(B790,'Room Info'!$G$2:$G3446, 0)))))))))</f>
        <v>fig6</v>
      </c>
      <c r="B790" s="50" t="s">
        <v>195</v>
      </c>
      <c r="C790" s="82">
        <v>44825.0</v>
      </c>
      <c r="D790" s="82">
        <v>44854.0</v>
      </c>
      <c r="E790" s="52">
        <v>44835.0</v>
      </c>
      <c r="F790" s="53" t="s">
        <v>4</v>
      </c>
      <c r="G790" s="50" t="s">
        <v>5</v>
      </c>
      <c r="H790" s="54" t="s">
        <v>96</v>
      </c>
      <c r="I790" s="54" t="s">
        <v>7</v>
      </c>
      <c r="J790" s="79">
        <v>250.0</v>
      </c>
      <c r="K790" s="80">
        <v>213.0</v>
      </c>
      <c r="L790" s="77">
        <v>1750.0</v>
      </c>
      <c r="M790" s="81">
        <v>1901.0</v>
      </c>
      <c r="N790" s="33">
        <f t="shared" si="13"/>
        <v>53250</v>
      </c>
      <c r="O790" s="50">
        <v>16667.0</v>
      </c>
      <c r="P790" s="34">
        <f t="shared" si="14"/>
        <v>78.24882629</v>
      </c>
      <c r="Q790" s="60"/>
      <c r="R790" s="36">
        <f t="shared" si="99"/>
        <v>1901</v>
      </c>
      <c r="S790" s="78">
        <v>4973.0</v>
      </c>
      <c r="T790" s="37">
        <f t="shared" si="100"/>
        <v>6874</v>
      </c>
      <c r="U790" s="62">
        <v>1.0</v>
      </c>
      <c r="V790" s="63"/>
      <c r="W790" s="63"/>
      <c r="X790" s="35">
        <f t="shared" si="129"/>
        <v>0.1125</v>
      </c>
      <c r="Y790" s="35">
        <f t="shared" si="123"/>
        <v>0.0375</v>
      </c>
      <c r="Z790" s="40">
        <f t="shared" si="127"/>
        <v>5069.675</v>
      </c>
      <c r="AA790" s="34">
        <f t="shared" si="128"/>
        <v>773.325</v>
      </c>
      <c r="AB790" s="108">
        <v>1031.0</v>
      </c>
      <c r="AC790" s="42" t="b">
        <v>1</v>
      </c>
      <c r="AD790" s="42" t="s">
        <v>138</v>
      </c>
      <c r="AE790" s="42" t="s">
        <v>138</v>
      </c>
      <c r="AF790" s="42" t="str">
        <f t="array" ref="AF790">INDEX('Deal Info'!D:D, MATCH(A790,'Deal Info'!A:A, 0))</f>
        <v>Fix11.25</v>
      </c>
      <c r="AG790" s="43" t="str">
        <f t="array" ref="AG790">INDEX('Deal Info'!G:G, MATCH(A790,'Deal Info'!A:A, 0))</f>
        <v>Fix3.75</v>
      </c>
    </row>
    <row r="791" hidden="1">
      <c r="A791" s="23" t="str">
        <f t="array" ref="A791">if(G791='Room Info'!$B$1, INDEX('Room Info'!$A$2:$A3446, MATCH(B791,'Room Info'!$B$2:$B3446, 0)),if(G791='Room Info'!$C$1, INDEX('Room Info'!$A$2:$A3446, MATCH(B791,'Room Info'!$C$2:$C3446, 0)),if(G791='Room Info'!$D$1, INDEX('Room Info'!$A$2:$A3446, MATCH(B791,'Room Info'!$D$2:$D3446, 0)),if(G791='Room Info'!$E$1, INDEX('Room Info'!$A$2:$A3446, MATCH(B791,'Room Info'!$E$2:$E3446, 0)),if(G791='Room Info'!$F$1, INDEX('Room Info'!$A$2:$A3446, MATCH(B791,'Room Info'!$F$2:$F3446, 0)),if(G791='Room Info'!$H$1, INDEX('Room Info'!$A$2:$A3446, MATCH(B791,'Room Info'!$H$2:$H3446, 0)),if(G791='Room Info'!$G$1, INDEX('Room Info'!$A$2:$A3446, MATCH(B791,'Room Info'!$G$2:$G3446, 0)))))))))</f>
        <v>fig6</v>
      </c>
      <c r="B791" s="50" t="s">
        <v>195</v>
      </c>
      <c r="C791" s="51">
        <v>44825.0</v>
      </c>
      <c r="D791" s="51">
        <v>44854.0</v>
      </c>
      <c r="E791" s="52">
        <v>44835.0</v>
      </c>
      <c r="F791" s="53" t="s">
        <v>4</v>
      </c>
      <c r="G791" s="50" t="s">
        <v>5</v>
      </c>
      <c r="H791" s="54" t="s">
        <v>97</v>
      </c>
      <c r="I791" s="54" t="s">
        <v>11</v>
      </c>
      <c r="J791" s="55">
        <v>250.0</v>
      </c>
      <c r="K791" s="56">
        <v>32.0</v>
      </c>
      <c r="L791" s="57">
        <v>-3500.0</v>
      </c>
      <c r="M791" s="58">
        <v>286.0</v>
      </c>
      <c r="N791" s="33">
        <f t="shared" si="13"/>
        <v>8000</v>
      </c>
      <c r="O791" s="59">
        <v>-1729.0</v>
      </c>
      <c r="P791" s="34">
        <f t="shared" si="14"/>
        <v>-54.03125</v>
      </c>
      <c r="Q791" s="60"/>
      <c r="R791" s="36">
        <f t="shared" si="99"/>
        <v>286</v>
      </c>
      <c r="S791" s="61">
        <v>-1783.0</v>
      </c>
      <c r="T791" s="37">
        <f t="shared" si="100"/>
        <v>-1497</v>
      </c>
      <c r="U791" s="62">
        <v>1.0</v>
      </c>
      <c r="V791" s="63"/>
      <c r="W791" s="63"/>
      <c r="X791" s="35">
        <f t="shared" si="129"/>
        <v>0.1125</v>
      </c>
      <c r="Y791" s="35">
        <f t="shared" si="123"/>
        <v>0.0375</v>
      </c>
      <c r="Z791" s="40">
        <f t="shared" si="127"/>
        <v>-1103.5875</v>
      </c>
      <c r="AA791" s="34">
        <f t="shared" si="128"/>
        <v>-168.4125</v>
      </c>
      <c r="AB791" s="108">
        <v>-225.0</v>
      </c>
      <c r="AC791" s="42" t="b">
        <v>1</v>
      </c>
      <c r="AD791" s="42" t="s">
        <v>138</v>
      </c>
      <c r="AE791" s="42" t="s">
        <v>138</v>
      </c>
      <c r="AF791" s="42" t="str">
        <f t="array" ref="AF791">INDEX('Deal Info'!D:D, MATCH(A791,'Deal Info'!A:A, 0))</f>
        <v>Fix11.25</v>
      </c>
      <c r="AG791" s="43" t="str">
        <f t="array" ref="AG791">INDEX('Deal Info'!G:G, MATCH(A791,'Deal Info'!A:A, 0))</f>
        <v>Fix3.75</v>
      </c>
    </row>
    <row r="792" hidden="1">
      <c r="A792" s="23" t="str">
        <f t="array" ref="A792">if(G792='Room Info'!$B$1, INDEX('Room Info'!$A$2:$A3446, MATCH(B792,'Room Info'!$B$2:$B3446, 0)),if(G792='Room Info'!$C$1, INDEX('Room Info'!$A$2:$A3446, MATCH(B792,'Room Info'!$C$2:$C3446, 0)),if(G792='Room Info'!$D$1, INDEX('Room Info'!$A$2:$A3446, MATCH(B792,'Room Info'!$D$2:$D3446, 0)),if(G792='Room Info'!$E$1, INDEX('Room Info'!$A$2:$A3446, MATCH(B792,'Room Info'!$E$2:$E3446, 0)),if(G792='Room Info'!$F$1, INDEX('Room Info'!$A$2:$A3446, MATCH(B792,'Room Info'!$F$2:$F3446, 0)),if(G792='Room Info'!$H$1, INDEX('Room Info'!$A$2:$A3446, MATCH(B792,'Room Info'!$H$2:$H3446, 0)),if(G792='Room Info'!$G$1, INDEX('Room Info'!$A$2:$A3446, MATCH(B792,'Room Info'!$G$2:$G3446, 0)))))))))</f>
        <v>fig6</v>
      </c>
      <c r="B792" s="50" t="s">
        <v>195</v>
      </c>
      <c r="C792" s="51">
        <v>44855.0</v>
      </c>
      <c r="D792" s="51">
        <v>44885.0</v>
      </c>
      <c r="E792" s="52">
        <v>44866.0</v>
      </c>
      <c r="F792" s="53" t="s">
        <v>4</v>
      </c>
      <c r="G792" s="50" t="s">
        <v>5</v>
      </c>
      <c r="H792" s="54" t="s">
        <v>74</v>
      </c>
      <c r="I792" s="54" t="s">
        <v>7</v>
      </c>
      <c r="J792" s="55">
        <v>50.0</v>
      </c>
      <c r="K792" s="56">
        <v>769.0</v>
      </c>
      <c r="L792" s="57">
        <v>-1900.0</v>
      </c>
      <c r="M792" s="58">
        <v>1731.0</v>
      </c>
      <c r="N792" s="33">
        <f t="shared" si="13"/>
        <v>38450</v>
      </c>
      <c r="O792" s="59">
        <v>13128.0</v>
      </c>
      <c r="P792" s="34">
        <f t="shared" si="14"/>
        <v>17.07152146</v>
      </c>
      <c r="Q792" s="60"/>
      <c r="R792" s="36">
        <f t="shared" si="99"/>
        <v>1731</v>
      </c>
      <c r="S792" s="61">
        <v>-1299.0</v>
      </c>
      <c r="T792" s="37">
        <f t="shared" si="100"/>
        <v>432</v>
      </c>
      <c r="U792" s="62">
        <v>1.0</v>
      </c>
      <c r="V792" s="63"/>
      <c r="W792" s="63"/>
      <c r="X792" s="35">
        <f t="shared" si="129"/>
        <v>0.1125</v>
      </c>
      <c r="Y792" s="35">
        <f t="shared" si="123"/>
        <v>0.0375</v>
      </c>
      <c r="Z792" s="40">
        <f t="shared" si="127"/>
        <v>318.4</v>
      </c>
      <c r="AA792" s="34">
        <f t="shared" si="128"/>
        <v>48.6</v>
      </c>
      <c r="AB792" s="108">
        <v>65.0</v>
      </c>
      <c r="AC792" s="42" t="b">
        <v>1</v>
      </c>
      <c r="AD792" s="42" t="s">
        <v>138</v>
      </c>
      <c r="AE792" s="42" t="s">
        <v>138</v>
      </c>
      <c r="AF792" s="42" t="str">
        <f t="array" ref="AF792">INDEX('Deal Info'!D:D, MATCH(A792,'Deal Info'!A:A, 0))</f>
        <v>Fix11.25</v>
      </c>
      <c r="AG792" s="43" t="str">
        <f t="array" ref="AG792">INDEX('Deal Info'!G:G, MATCH(A792,'Deal Info'!A:A, 0))</f>
        <v>Fix3.75</v>
      </c>
    </row>
    <row r="793" hidden="1">
      <c r="A793" s="23" t="str">
        <f t="array" ref="A793">if(G793='Room Info'!$B$1, INDEX('Room Info'!$A$2:$A3446, MATCH(B793,'Room Info'!$B$2:$B3446, 0)),if(G793='Room Info'!$C$1, INDEX('Room Info'!$A$2:$A3446, MATCH(B793,'Room Info'!$C$2:$C3446, 0)),if(G793='Room Info'!$D$1, INDEX('Room Info'!$A$2:$A3446, MATCH(B793,'Room Info'!$D$2:$D3446, 0)),if(G793='Room Info'!$E$1, INDEX('Room Info'!$A$2:$A3446, MATCH(B793,'Room Info'!$E$2:$E3446, 0)),if(G793='Room Info'!$F$1, INDEX('Room Info'!$A$2:$A3446, MATCH(B793,'Room Info'!$F$2:$F3446, 0)),if(G793='Room Info'!$H$1, INDEX('Room Info'!$A$2:$A3446, MATCH(B793,'Room Info'!$H$2:$H3446, 0)),if(G793='Room Info'!$G$1, INDEX('Room Info'!$A$2:$A3446, MATCH(B793,'Room Info'!$G$2:$G3446, 0)))))))))</f>
        <v>fig6</v>
      </c>
      <c r="B793" s="50" t="s">
        <v>195</v>
      </c>
      <c r="C793" s="51">
        <v>44855.0</v>
      </c>
      <c r="D793" s="51">
        <v>44885.0</v>
      </c>
      <c r="E793" s="52">
        <v>44866.0</v>
      </c>
      <c r="F793" s="53" t="s">
        <v>4</v>
      </c>
      <c r="G793" s="50" t="s">
        <v>5</v>
      </c>
      <c r="H793" s="54" t="s">
        <v>75</v>
      </c>
      <c r="I793" s="54" t="s">
        <v>11</v>
      </c>
      <c r="J793" s="55">
        <v>50.0</v>
      </c>
      <c r="K793" s="56">
        <v>57.0</v>
      </c>
      <c r="L793" s="57">
        <v>100.0</v>
      </c>
      <c r="M793" s="58">
        <v>128.0</v>
      </c>
      <c r="N793" s="33">
        <f t="shared" si="13"/>
        <v>2850</v>
      </c>
      <c r="O793" s="59">
        <v>2792.0</v>
      </c>
      <c r="P793" s="34">
        <f t="shared" si="14"/>
        <v>48.98245614</v>
      </c>
      <c r="Q793" s="60"/>
      <c r="R793" s="36">
        <f t="shared" si="99"/>
        <v>128</v>
      </c>
      <c r="S793" s="61">
        <v>245.0</v>
      </c>
      <c r="T793" s="37">
        <f t="shared" si="100"/>
        <v>373</v>
      </c>
      <c r="U793" s="62">
        <v>1.0</v>
      </c>
      <c r="V793" s="63"/>
      <c r="W793" s="63"/>
      <c r="X793" s="35">
        <f t="shared" si="129"/>
        <v>0.1125</v>
      </c>
      <c r="Y793" s="35">
        <f t="shared" si="123"/>
        <v>0.0375</v>
      </c>
      <c r="Z793" s="40">
        <f t="shared" si="127"/>
        <v>275.0375</v>
      </c>
      <c r="AA793" s="34">
        <f t="shared" si="128"/>
        <v>41.9625</v>
      </c>
      <c r="AB793" s="108">
        <v>56.0</v>
      </c>
      <c r="AC793" s="42" t="b">
        <v>1</v>
      </c>
      <c r="AD793" s="42" t="s">
        <v>138</v>
      </c>
      <c r="AE793" s="42" t="s">
        <v>138</v>
      </c>
      <c r="AF793" s="42" t="str">
        <f t="array" ref="AF793">INDEX('Deal Info'!D:D, MATCH(A793,'Deal Info'!A:A, 0))</f>
        <v>Fix11.25</v>
      </c>
      <c r="AG793" s="43" t="str">
        <f t="array" ref="AG793">INDEX('Deal Info'!G:G, MATCH(A793,'Deal Info'!A:A, 0))</f>
        <v>Fix3.75</v>
      </c>
    </row>
    <row r="794" hidden="1">
      <c r="A794" s="23" t="str">
        <f t="array" ref="A794">if(G794='Room Info'!$B$1, INDEX('Room Info'!$A$2:$A3446, MATCH(B794,'Room Info'!$B$2:$B3446, 0)),if(G794='Room Info'!$C$1, INDEX('Room Info'!$A$2:$A3446, MATCH(B794,'Room Info'!$C$2:$C3446, 0)),if(G794='Room Info'!$D$1, INDEX('Room Info'!$A$2:$A3446, MATCH(B794,'Room Info'!$D$2:$D3446, 0)),if(G794='Room Info'!$E$1, INDEX('Room Info'!$A$2:$A3446, MATCH(B794,'Room Info'!$E$2:$E3446, 0)),if(G794='Room Info'!$F$1, INDEX('Room Info'!$A$2:$A3446, MATCH(B794,'Room Info'!$F$2:$F3446, 0)),if(G794='Room Info'!$H$1, INDEX('Room Info'!$A$2:$A3446, MATCH(B794,'Room Info'!$H$2:$H3446, 0)),if(G794='Room Info'!$G$1, INDEX('Room Info'!$A$2:$A3446, MATCH(B794,'Room Info'!$G$2:$G3446, 0)))))))))</f>
        <v>fig6</v>
      </c>
      <c r="B794" s="50" t="s">
        <v>195</v>
      </c>
      <c r="C794" s="51">
        <v>44855.0</v>
      </c>
      <c r="D794" s="51">
        <v>44885.0</v>
      </c>
      <c r="E794" s="52">
        <v>44866.0</v>
      </c>
      <c r="F794" s="53" t="s">
        <v>4</v>
      </c>
      <c r="G794" s="50" t="s">
        <v>5</v>
      </c>
      <c r="H794" s="54" t="s">
        <v>85</v>
      </c>
      <c r="I794" s="54" t="s">
        <v>7</v>
      </c>
      <c r="J794" s="55">
        <v>100.0</v>
      </c>
      <c r="K794" s="56">
        <v>3053.0</v>
      </c>
      <c r="L794" s="57">
        <v>1800.0</v>
      </c>
      <c r="M794" s="58">
        <v>11455.0</v>
      </c>
      <c r="N794" s="33">
        <f t="shared" si="13"/>
        <v>305300</v>
      </c>
      <c r="O794" s="59">
        <v>82890.0</v>
      </c>
      <c r="P794" s="34">
        <f t="shared" si="14"/>
        <v>27.15034392</v>
      </c>
      <c r="Q794" s="60"/>
      <c r="R794" s="36">
        <f t="shared" si="99"/>
        <v>11455</v>
      </c>
      <c r="S794" s="61">
        <v>-1393.0</v>
      </c>
      <c r="T794" s="37">
        <f t="shared" si="100"/>
        <v>10062</v>
      </c>
      <c r="U794" s="62">
        <v>1.0</v>
      </c>
      <c r="V794" s="63"/>
      <c r="W794" s="63"/>
      <c r="X794" s="35">
        <f t="shared" si="129"/>
        <v>0.1125</v>
      </c>
      <c r="Y794" s="35">
        <f t="shared" si="123"/>
        <v>0.0375</v>
      </c>
      <c r="Z794" s="40">
        <f t="shared" si="127"/>
        <v>7421.025</v>
      </c>
      <c r="AA794" s="34">
        <f t="shared" si="128"/>
        <v>1131.975</v>
      </c>
      <c r="AB794" s="108">
        <v>1509.0</v>
      </c>
      <c r="AC794" s="42" t="b">
        <v>1</v>
      </c>
      <c r="AD794" s="42" t="s">
        <v>138</v>
      </c>
      <c r="AE794" s="42" t="s">
        <v>138</v>
      </c>
      <c r="AF794" s="42" t="str">
        <f t="array" ref="AF794">INDEX('Deal Info'!D:D, MATCH(A794,'Deal Info'!A:A, 0))</f>
        <v>Fix11.25</v>
      </c>
      <c r="AG794" s="43" t="str">
        <f t="array" ref="AG794">INDEX('Deal Info'!G:G, MATCH(A794,'Deal Info'!A:A, 0))</f>
        <v>Fix3.75</v>
      </c>
    </row>
    <row r="795" hidden="1">
      <c r="A795" s="23" t="str">
        <f t="array" ref="A795">if(G795='Room Info'!$B$1, INDEX('Room Info'!$A$2:$A3446, MATCH(B795,'Room Info'!$B$2:$B3446, 0)),if(G795='Room Info'!$C$1, INDEX('Room Info'!$A$2:$A3446, MATCH(B795,'Room Info'!$C$2:$C3446, 0)),if(G795='Room Info'!$D$1, INDEX('Room Info'!$A$2:$A3446, MATCH(B795,'Room Info'!$D$2:$D3446, 0)),if(G795='Room Info'!$E$1, INDEX('Room Info'!$A$2:$A3446, MATCH(B795,'Room Info'!$E$2:$E3446, 0)),if(G795='Room Info'!$F$1, INDEX('Room Info'!$A$2:$A3446, MATCH(B795,'Room Info'!$F$2:$F3446, 0)),if(G795='Room Info'!$H$1, INDEX('Room Info'!$A$2:$A3446, MATCH(B795,'Room Info'!$H$2:$H3446, 0)),if(G795='Room Info'!$G$1, INDEX('Room Info'!$A$2:$A3446, MATCH(B795,'Room Info'!$G$2:$G3446, 0)))))))))</f>
        <v>fig6</v>
      </c>
      <c r="B795" s="50" t="s">
        <v>195</v>
      </c>
      <c r="C795" s="51">
        <v>44855.0</v>
      </c>
      <c r="D795" s="51">
        <v>44885.0</v>
      </c>
      <c r="E795" s="52">
        <v>44866.0</v>
      </c>
      <c r="F795" s="53" t="s">
        <v>4</v>
      </c>
      <c r="G795" s="50" t="s">
        <v>5</v>
      </c>
      <c r="H795" s="54" t="s">
        <v>86</v>
      </c>
      <c r="I795" s="54" t="s">
        <v>11</v>
      </c>
      <c r="J795" s="55">
        <v>100.0</v>
      </c>
      <c r="K795" s="56">
        <v>381.0</v>
      </c>
      <c r="L795" s="57">
        <v>-1900.0</v>
      </c>
      <c r="M795" s="58">
        <v>1429.0</v>
      </c>
      <c r="N795" s="33">
        <f t="shared" si="13"/>
        <v>38100</v>
      </c>
      <c r="O795" s="59">
        <v>3583.0</v>
      </c>
      <c r="P795" s="34">
        <f t="shared" si="14"/>
        <v>9.404199475</v>
      </c>
      <c r="Q795" s="60"/>
      <c r="R795" s="36">
        <f t="shared" si="99"/>
        <v>1429</v>
      </c>
      <c r="S795" s="61">
        <v>-993.0</v>
      </c>
      <c r="T795" s="37">
        <f t="shared" si="100"/>
        <v>436</v>
      </c>
      <c r="U795" s="62">
        <v>1.0</v>
      </c>
      <c r="V795" s="63"/>
      <c r="W795" s="63"/>
      <c r="X795" s="35">
        <f t="shared" si="129"/>
        <v>0.1125</v>
      </c>
      <c r="Y795" s="35">
        <f t="shared" si="123"/>
        <v>0.0375</v>
      </c>
      <c r="Z795" s="40">
        <f t="shared" si="127"/>
        <v>321.95</v>
      </c>
      <c r="AA795" s="34">
        <f t="shared" si="128"/>
        <v>49.05</v>
      </c>
      <c r="AB795" s="108">
        <v>65.0</v>
      </c>
      <c r="AC795" s="42" t="b">
        <v>1</v>
      </c>
      <c r="AD795" s="42" t="s">
        <v>138</v>
      </c>
      <c r="AE795" s="42" t="s">
        <v>138</v>
      </c>
      <c r="AF795" s="42" t="str">
        <f t="array" ref="AF795">INDEX('Deal Info'!D:D, MATCH(A795,'Deal Info'!A:A, 0))</f>
        <v>Fix11.25</v>
      </c>
      <c r="AG795" s="43" t="str">
        <f t="array" ref="AG795">INDEX('Deal Info'!G:G, MATCH(A795,'Deal Info'!A:A, 0))</f>
        <v>Fix3.75</v>
      </c>
    </row>
    <row r="796" hidden="1">
      <c r="A796" s="23" t="str">
        <f t="array" ref="A796">if(G796='Room Info'!$B$1, INDEX('Room Info'!$A$2:$A3446, MATCH(B796,'Room Info'!$B$2:$B3446, 0)),if(G796='Room Info'!$C$1, INDEX('Room Info'!$A$2:$A3446, MATCH(B796,'Room Info'!$C$2:$C3446, 0)),if(G796='Room Info'!$D$1, INDEX('Room Info'!$A$2:$A3446, MATCH(B796,'Room Info'!$D$2:$D3446, 0)),if(G796='Room Info'!$E$1, INDEX('Room Info'!$A$2:$A3446, MATCH(B796,'Room Info'!$E$2:$E3446, 0)),if(G796='Room Info'!$F$1, INDEX('Room Info'!$A$2:$A3446, MATCH(B796,'Room Info'!$F$2:$F3446, 0)),if(G796='Room Info'!$H$1, INDEX('Room Info'!$A$2:$A3446, MATCH(B796,'Room Info'!$H$2:$H3446, 0)),if(G796='Room Info'!$G$1, INDEX('Room Info'!$A$2:$A3446, MATCH(B796,'Room Info'!$G$2:$G3446, 0)))))))))</f>
        <v>fig6</v>
      </c>
      <c r="B796" s="50" t="s">
        <v>195</v>
      </c>
      <c r="C796" s="51">
        <v>44855.0</v>
      </c>
      <c r="D796" s="51">
        <v>44885.0</v>
      </c>
      <c r="E796" s="52">
        <v>44866.0</v>
      </c>
      <c r="F796" s="53" t="s">
        <v>4</v>
      </c>
      <c r="G796" s="50" t="s">
        <v>5</v>
      </c>
      <c r="H796" s="54" t="s">
        <v>96</v>
      </c>
      <c r="I796" s="54" t="s">
        <v>7</v>
      </c>
      <c r="J796" s="55">
        <v>250.0</v>
      </c>
      <c r="K796" s="56">
        <v>633.0</v>
      </c>
      <c r="L796" s="57">
        <v>-6250.0</v>
      </c>
      <c r="M796" s="58">
        <v>5936.0</v>
      </c>
      <c r="N796" s="33">
        <f t="shared" si="13"/>
        <v>158250</v>
      </c>
      <c r="O796" s="59">
        <v>21112.0</v>
      </c>
      <c r="P796" s="34">
        <f t="shared" si="14"/>
        <v>33.35229068</v>
      </c>
      <c r="Q796" s="60"/>
      <c r="R796" s="36">
        <f t="shared" si="99"/>
        <v>5936</v>
      </c>
      <c r="S796" s="61">
        <v>1523.0</v>
      </c>
      <c r="T796" s="37">
        <f t="shared" si="100"/>
        <v>7459</v>
      </c>
      <c r="U796" s="62">
        <v>1.0</v>
      </c>
      <c r="V796" s="63"/>
      <c r="W796" s="63"/>
      <c r="X796" s="35">
        <f t="shared" si="129"/>
        <v>0.1125</v>
      </c>
      <c r="Y796" s="35">
        <f t="shared" si="123"/>
        <v>0.0375</v>
      </c>
      <c r="Z796" s="40">
        <f t="shared" si="127"/>
        <v>5500.8625</v>
      </c>
      <c r="AA796" s="34">
        <f t="shared" si="128"/>
        <v>839.1375</v>
      </c>
      <c r="AB796" s="108">
        <v>1119.0</v>
      </c>
      <c r="AC796" s="42" t="b">
        <v>1</v>
      </c>
      <c r="AD796" s="42" t="s">
        <v>138</v>
      </c>
      <c r="AE796" s="42" t="s">
        <v>138</v>
      </c>
      <c r="AF796" s="42" t="str">
        <f t="array" ref="AF796">INDEX('Deal Info'!D:D, MATCH(A796,'Deal Info'!A:A, 0))</f>
        <v>Fix11.25</v>
      </c>
      <c r="AG796" s="43" t="str">
        <f t="array" ref="AG796">INDEX('Deal Info'!G:G, MATCH(A796,'Deal Info'!A:A, 0))</f>
        <v>Fix3.75</v>
      </c>
    </row>
    <row r="797" hidden="1">
      <c r="A797" s="23" t="str">
        <f t="array" ref="A797">if(G797='Room Info'!$B$1, INDEX('Room Info'!$A$2:$A3446, MATCH(B797,'Room Info'!$B$2:$B3446, 0)),if(G797='Room Info'!$C$1, INDEX('Room Info'!$A$2:$A3446, MATCH(B797,'Room Info'!$C$2:$C3446, 0)),if(G797='Room Info'!$D$1, INDEX('Room Info'!$A$2:$A3446, MATCH(B797,'Room Info'!$D$2:$D3446, 0)),if(G797='Room Info'!$E$1, INDEX('Room Info'!$A$2:$A3446, MATCH(B797,'Room Info'!$E$2:$E3446, 0)),if(G797='Room Info'!$F$1, INDEX('Room Info'!$A$2:$A3446, MATCH(B797,'Room Info'!$F$2:$F3446, 0)),if(G797='Room Info'!$H$1, INDEX('Room Info'!$A$2:$A3446, MATCH(B797,'Room Info'!$H$2:$H3446, 0)),if(G797='Room Info'!$G$1, INDEX('Room Info'!$A$2:$A3446, MATCH(B797,'Room Info'!$G$2:$G3446, 0)))))))))</f>
        <v>fig6</v>
      </c>
      <c r="B797" s="50" t="s">
        <v>195</v>
      </c>
      <c r="C797" s="82">
        <v>44855.0</v>
      </c>
      <c r="D797" s="51">
        <v>44885.0</v>
      </c>
      <c r="E797" s="52">
        <v>44866.0</v>
      </c>
      <c r="F797" s="53" t="s">
        <v>4</v>
      </c>
      <c r="G797" s="59" t="s">
        <v>5</v>
      </c>
      <c r="H797" s="54" t="s">
        <v>97</v>
      </c>
      <c r="I797" s="54" t="s">
        <v>11</v>
      </c>
      <c r="J797" s="55">
        <v>250.0</v>
      </c>
      <c r="K797" s="56">
        <v>711.0</v>
      </c>
      <c r="L797" s="57">
        <v>2750.0</v>
      </c>
      <c r="M797" s="58">
        <v>6663.0</v>
      </c>
      <c r="N797" s="33">
        <f t="shared" si="13"/>
        <v>177750</v>
      </c>
      <c r="O797" s="59">
        <v>4138.0</v>
      </c>
      <c r="P797" s="34">
        <f t="shared" si="14"/>
        <v>5.819971871</v>
      </c>
      <c r="Q797" s="60"/>
      <c r="R797" s="36">
        <f t="shared" si="99"/>
        <v>6663</v>
      </c>
      <c r="S797" s="61">
        <v>-6190.0</v>
      </c>
      <c r="T797" s="37">
        <f t="shared" si="100"/>
        <v>473</v>
      </c>
      <c r="U797" s="62">
        <v>1.0</v>
      </c>
      <c r="V797" s="63"/>
      <c r="W797" s="63"/>
      <c r="X797" s="35">
        <f t="shared" si="129"/>
        <v>0.1125</v>
      </c>
      <c r="Y797" s="35">
        <f t="shared" si="123"/>
        <v>0.0375</v>
      </c>
      <c r="Z797" s="40">
        <f t="shared" si="127"/>
        <v>348.7875</v>
      </c>
      <c r="AA797" s="34">
        <f t="shared" si="128"/>
        <v>53.2125</v>
      </c>
      <c r="AB797" s="108">
        <v>71.0</v>
      </c>
      <c r="AC797" s="42" t="b">
        <v>1</v>
      </c>
      <c r="AD797" s="42" t="s">
        <v>138</v>
      </c>
      <c r="AE797" s="42" t="s">
        <v>138</v>
      </c>
      <c r="AF797" s="42" t="str">
        <f t="array" ref="AF797">INDEX('Deal Info'!D:D, MATCH(A797,'Deal Info'!A:A, 0))</f>
        <v>Fix11.25</v>
      </c>
      <c r="AG797" s="43" t="str">
        <f t="array" ref="AG797">INDEX('Deal Info'!G:G, MATCH(A797,'Deal Info'!A:A, 0))</f>
        <v>Fix3.75</v>
      </c>
    </row>
    <row r="798" hidden="1">
      <c r="A798" s="23" t="str">
        <f t="array" ref="A798">if(G798='Room Info'!$B$1, INDEX('Room Info'!$A$2:$A3446, MATCH(B798,'Room Info'!$B$2:$B3446, 0)),if(G798='Room Info'!$C$1, INDEX('Room Info'!$A$2:$A3446, MATCH(B798,'Room Info'!$C$2:$C3446, 0)),if(G798='Room Info'!$D$1, INDEX('Room Info'!$A$2:$A3446, MATCH(B798,'Room Info'!$D$2:$D3446, 0)),if(G798='Room Info'!$E$1, INDEX('Room Info'!$A$2:$A3446, MATCH(B798,'Room Info'!$E$2:$E3446, 0)),if(G798='Room Info'!$F$1, INDEX('Room Info'!$A$2:$A3446, MATCH(B798,'Room Info'!$F$2:$F3446, 0)),if(G798='Room Info'!$H$1, INDEX('Room Info'!$A$2:$A3446, MATCH(B798,'Room Info'!$H$2:$H3446, 0)),if(G798='Room Info'!$G$1, INDEX('Room Info'!$A$2:$A3446, MATCH(B798,'Room Info'!$G$2:$G3446, 0)))))))))</f>
        <v>fig6</v>
      </c>
      <c r="B798" s="50" t="s">
        <v>195</v>
      </c>
      <c r="C798" s="82">
        <v>44855.0</v>
      </c>
      <c r="D798" s="82">
        <v>44885.0</v>
      </c>
      <c r="E798" s="52">
        <v>44866.0</v>
      </c>
      <c r="F798" s="53" t="s">
        <v>12</v>
      </c>
      <c r="G798" s="50" t="s">
        <v>5</v>
      </c>
      <c r="H798" s="54" t="s">
        <v>196</v>
      </c>
      <c r="I798" s="28" t="s">
        <v>15</v>
      </c>
      <c r="J798" s="79">
        <v>100.0</v>
      </c>
      <c r="K798" s="80">
        <v>5.0</v>
      </c>
      <c r="L798" s="77">
        <v>285.0</v>
      </c>
      <c r="M798" s="81">
        <v>7.0</v>
      </c>
      <c r="N798" s="33">
        <f t="shared" si="13"/>
        <v>500</v>
      </c>
      <c r="O798" s="101"/>
      <c r="P798" s="34">
        <f t="shared" si="14"/>
        <v>0</v>
      </c>
      <c r="Q798" s="60"/>
      <c r="R798" s="36">
        <f t="shared" si="99"/>
        <v>7</v>
      </c>
      <c r="S798" s="102"/>
      <c r="T798" s="37">
        <f t="shared" si="100"/>
        <v>292</v>
      </c>
      <c r="U798" s="62">
        <v>1.0</v>
      </c>
      <c r="V798" s="63"/>
      <c r="W798" s="63"/>
      <c r="X798" s="35">
        <f t="shared" si="129"/>
        <v>0.1125</v>
      </c>
      <c r="Y798" s="35">
        <f t="shared" si="123"/>
        <v>0.0375</v>
      </c>
      <c r="Z798" s="40">
        <f t="shared" si="127"/>
        <v>215.15</v>
      </c>
      <c r="AA798" s="34">
        <f t="shared" si="128"/>
        <v>32.85</v>
      </c>
      <c r="AB798" s="108">
        <v>44.0</v>
      </c>
      <c r="AC798" s="42" t="b">
        <v>1</v>
      </c>
      <c r="AD798" s="42" t="s">
        <v>138</v>
      </c>
      <c r="AE798" s="42" t="s">
        <v>138</v>
      </c>
      <c r="AF798" s="42" t="str">
        <f t="array" ref="AF798">INDEX('Deal Info'!D:D, MATCH(A798,'Deal Info'!A:A, 0))</f>
        <v>Fix11.25</v>
      </c>
      <c r="AG798" s="43" t="str">
        <f t="array" ref="AG798">INDEX('Deal Info'!G:G, MATCH(A798,'Deal Info'!A:A, 0))</f>
        <v>Fix3.75</v>
      </c>
    </row>
    <row r="799" hidden="1">
      <c r="A799" s="23" t="str">
        <f t="array" ref="A799">if(G799='Room Info'!$B$1, INDEX('Room Info'!$A$2:$A3446, MATCH(B799,'Room Info'!$B$2:$B3446, 0)),if(G799='Room Info'!$C$1, INDEX('Room Info'!$A$2:$A3446, MATCH(B799,'Room Info'!$C$2:$C3446, 0)),if(G799='Room Info'!$D$1, INDEX('Room Info'!$A$2:$A3446, MATCH(B799,'Room Info'!$D$2:$D3446, 0)),if(G799='Room Info'!$E$1, INDEX('Room Info'!$A$2:$A3446, MATCH(B799,'Room Info'!$E$2:$E3446, 0)),if(G799='Room Info'!$F$1, INDEX('Room Info'!$A$2:$A3446, MATCH(B799,'Room Info'!$F$2:$F3446, 0)),if(G799='Room Info'!$H$1, INDEX('Room Info'!$A$2:$A3446, MATCH(B799,'Room Info'!$H$2:$H3446, 0)),if(G799='Room Info'!$G$1, INDEX('Room Info'!$A$2:$A3446, MATCH(B799,'Room Info'!$G$2:$G3446, 0)))))))))</f>
        <v>fig6</v>
      </c>
      <c r="B799" s="50" t="s">
        <v>195</v>
      </c>
      <c r="C799" s="82">
        <v>44886.0</v>
      </c>
      <c r="D799" s="82">
        <v>44915.0</v>
      </c>
      <c r="E799" s="52">
        <v>44896.0</v>
      </c>
      <c r="F799" s="53" t="s">
        <v>4</v>
      </c>
      <c r="G799" s="50" t="s">
        <v>5</v>
      </c>
      <c r="H799" s="54" t="s">
        <v>75</v>
      </c>
      <c r="I799" s="54" t="s">
        <v>11</v>
      </c>
      <c r="J799" s="79">
        <v>50.0</v>
      </c>
      <c r="K799" s="80">
        <v>29.0</v>
      </c>
      <c r="L799" s="77">
        <v>-50.0</v>
      </c>
      <c r="M799" s="81">
        <v>71.0</v>
      </c>
      <c r="N799" s="33">
        <f t="shared" si="13"/>
        <v>1450</v>
      </c>
      <c r="O799" s="50">
        <v>551.0</v>
      </c>
      <c r="P799" s="34">
        <f t="shared" si="14"/>
        <v>19</v>
      </c>
      <c r="Q799" s="60"/>
      <c r="R799" s="36">
        <f t="shared" si="99"/>
        <v>71</v>
      </c>
      <c r="S799" s="78">
        <v>-10.0</v>
      </c>
      <c r="T799" s="37">
        <f t="shared" si="100"/>
        <v>61</v>
      </c>
      <c r="U799" s="62">
        <v>1.0</v>
      </c>
      <c r="V799" s="63"/>
      <c r="W799" s="63"/>
      <c r="X799" s="35">
        <f t="shared" si="129"/>
        <v>0.1125</v>
      </c>
      <c r="Y799" s="35">
        <f t="shared" si="123"/>
        <v>0.0375</v>
      </c>
      <c r="Z799" s="40">
        <f t="shared" si="127"/>
        <v>45.1375</v>
      </c>
      <c r="AA799" s="34">
        <f t="shared" si="128"/>
        <v>6.8625</v>
      </c>
      <c r="AB799" s="108">
        <v>9.0</v>
      </c>
      <c r="AC799" s="42" t="b">
        <v>1</v>
      </c>
      <c r="AD799" s="42" t="s">
        <v>138</v>
      </c>
      <c r="AE799" s="42" t="s">
        <v>138</v>
      </c>
      <c r="AF799" s="42" t="str">
        <f t="array" ref="AF799">INDEX('Deal Info'!D:D, MATCH(A799,'Deal Info'!A:A, 0))</f>
        <v>Fix11.25</v>
      </c>
      <c r="AG799" s="43" t="str">
        <f t="array" ref="AG799">INDEX('Deal Info'!G:G, MATCH(A799,'Deal Info'!A:A, 0))</f>
        <v>Fix3.75</v>
      </c>
    </row>
    <row r="800" hidden="1">
      <c r="A800" s="23" t="str">
        <f t="array" ref="A800">if(G800='Room Info'!$B$1, INDEX('Room Info'!$A$2:$A3446, MATCH(B800,'Room Info'!$B$2:$B3446, 0)),if(G800='Room Info'!$C$1, INDEX('Room Info'!$A$2:$A3446, MATCH(B800,'Room Info'!$C$2:$C3446, 0)),if(G800='Room Info'!$D$1, INDEX('Room Info'!$A$2:$A3446, MATCH(B800,'Room Info'!$D$2:$D3446, 0)),if(G800='Room Info'!$E$1, INDEX('Room Info'!$A$2:$A3446, MATCH(B800,'Room Info'!$E$2:$E3446, 0)),if(G800='Room Info'!$F$1, INDEX('Room Info'!$A$2:$A3446, MATCH(B800,'Room Info'!$F$2:$F3446, 0)),if(G800='Room Info'!$H$1, INDEX('Room Info'!$A$2:$A3446, MATCH(B800,'Room Info'!$H$2:$H3446, 0)),if(G800='Room Info'!$G$1, INDEX('Room Info'!$A$2:$A3446, MATCH(B800,'Room Info'!$G$2:$G3446, 0)))))))))</f>
        <v>fig6</v>
      </c>
      <c r="B800" s="50" t="s">
        <v>195</v>
      </c>
      <c r="C800" s="82">
        <v>44886.0</v>
      </c>
      <c r="D800" s="82">
        <v>44915.0</v>
      </c>
      <c r="E800" s="52">
        <v>44896.0</v>
      </c>
      <c r="F800" s="53" t="s">
        <v>4</v>
      </c>
      <c r="G800" s="50" t="s">
        <v>5</v>
      </c>
      <c r="H800" s="54" t="s">
        <v>85</v>
      </c>
      <c r="I800" s="54" t="s">
        <v>7</v>
      </c>
      <c r="J800" s="79">
        <v>100.0</v>
      </c>
      <c r="K800" s="80">
        <v>2235.0</v>
      </c>
      <c r="L800" s="77">
        <v>10400.0</v>
      </c>
      <c r="M800" s="81">
        <v>9143.0</v>
      </c>
      <c r="N800" s="33">
        <f t="shared" si="13"/>
        <v>223500</v>
      </c>
      <c r="O800" s="50">
        <v>65014.0</v>
      </c>
      <c r="P800" s="34">
        <f t="shared" si="14"/>
        <v>29.08903803</v>
      </c>
      <c r="Q800" s="60"/>
      <c r="R800" s="36">
        <f t="shared" si="99"/>
        <v>9143</v>
      </c>
      <c r="S800" s="78">
        <v>-219.0</v>
      </c>
      <c r="T800" s="37">
        <f t="shared" si="100"/>
        <v>8924</v>
      </c>
      <c r="U800" s="62">
        <v>1.0</v>
      </c>
      <c r="V800" s="63"/>
      <c r="W800" s="63"/>
      <c r="X800" s="35">
        <f t="shared" si="129"/>
        <v>0.1125</v>
      </c>
      <c r="Y800" s="35">
        <f t="shared" si="123"/>
        <v>0.0375</v>
      </c>
      <c r="Z800" s="40">
        <f t="shared" si="127"/>
        <v>6581.05</v>
      </c>
      <c r="AA800" s="34">
        <f t="shared" si="128"/>
        <v>1003.95</v>
      </c>
      <c r="AB800" s="108">
        <v>1339.0</v>
      </c>
      <c r="AC800" s="42" t="b">
        <v>1</v>
      </c>
      <c r="AD800" s="42" t="s">
        <v>138</v>
      </c>
      <c r="AE800" s="42" t="s">
        <v>138</v>
      </c>
      <c r="AF800" s="42" t="str">
        <f t="array" ref="AF800">INDEX('Deal Info'!D:D, MATCH(A800,'Deal Info'!A:A, 0))</f>
        <v>Fix11.25</v>
      </c>
      <c r="AG800" s="43" t="str">
        <f t="array" ref="AG800">INDEX('Deal Info'!G:G, MATCH(A800,'Deal Info'!A:A, 0))</f>
        <v>Fix3.75</v>
      </c>
    </row>
    <row r="801" hidden="1">
      <c r="A801" s="23" t="str">
        <f t="array" ref="A801">if(G801='Room Info'!$B$1, INDEX('Room Info'!$A$2:$A3446, MATCH(B801,'Room Info'!$B$2:$B3446, 0)),if(G801='Room Info'!$C$1, INDEX('Room Info'!$A$2:$A3446, MATCH(B801,'Room Info'!$C$2:$C3446, 0)),if(G801='Room Info'!$D$1, INDEX('Room Info'!$A$2:$A3446, MATCH(B801,'Room Info'!$D$2:$D3446, 0)),if(G801='Room Info'!$E$1, INDEX('Room Info'!$A$2:$A3446, MATCH(B801,'Room Info'!$E$2:$E3446, 0)),if(G801='Room Info'!$F$1, INDEX('Room Info'!$A$2:$A3446, MATCH(B801,'Room Info'!$F$2:$F3446, 0)),if(G801='Room Info'!$H$1, INDEX('Room Info'!$A$2:$A3446, MATCH(B801,'Room Info'!$H$2:$H3446, 0)),if(G801='Room Info'!$G$1, INDEX('Room Info'!$A$2:$A3446, MATCH(B801,'Room Info'!$G$2:$G3446, 0)))))))))</f>
        <v>fig6</v>
      </c>
      <c r="B801" s="50" t="s">
        <v>195</v>
      </c>
      <c r="C801" s="51">
        <v>44886.0</v>
      </c>
      <c r="D801" s="51">
        <v>44915.0</v>
      </c>
      <c r="E801" s="52">
        <v>44896.0</v>
      </c>
      <c r="F801" s="53" t="s">
        <v>4</v>
      </c>
      <c r="G801" s="50" t="s">
        <v>5</v>
      </c>
      <c r="H801" s="54" t="s">
        <v>86</v>
      </c>
      <c r="I801" s="54" t="s">
        <v>11</v>
      </c>
      <c r="J801" s="55">
        <v>100.0</v>
      </c>
      <c r="K801" s="56">
        <v>746.0</v>
      </c>
      <c r="L801" s="57">
        <v>-1800.0</v>
      </c>
      <c r="M801" s="58">
        <v>3052.0</v>
      </c>
      <c r="N801" s="33">
        <f t="shared" si="13"/>
        <v>74600</v>
      </c>
      <c r="O801" s="59">
        <v>4799.0</v>
      </c>
      <c r="P801" s="34">
        <f t="shared" si="14"/>
        <v>6.432975871</v>
      </c>
      <c r="Q801" s="60"/>
      <c r="R801" s="36">
        <f t="shared" si="99"/>
        <v>3052</v>
      </c>
      <c r="S801" s="61">
        <v>-2641.0</v>
      </c>
      <c r="T801" s="37">
        <f t="shared" si="100"/>
        <v>411</v>
      </c>
      <c r="U801" s="62">
        <v>1.0</v>
      </c>
      <c r="V801" s="63"/>
      <c r="W801" s="63"/>
      <c r="X801" s="35">
        <f t="shared" si="129"/>
        <v>0.1125</v>
      </c>
      <c r="Y801" s="35">
        <f t="shared" si="123"/>
        <v>0.0375</v>
      </c>
      <c r="Z801" s="40">
        <f t="shared" si="127"/>
        <v>302.7625</v>
      </c>
      <c r="AA801" s="34">
        <f t="shared" si="128"/>
        <v>46.2375</v>
      </c>
      <c r="AB801" s="108">
        <v>62.0</v>
      </c>
      <c r="AC801" s="42" t="b">
        <v>1</v>
      </c>
      <c r="AD801" s="42" t="s">
        <v>138</v>
      </c>
      <c r="AE801" s="42" t="s">
        <v>138</v>
      </c>
      <c r="AF801" s="42" t="str">
        <f t="array" ref="AF801">INDEX('Deal Info'!D:D, MATCH(A801,'Deal Info'!A:A, 0))</f>
        <v>Fix11.25</v>
      </c>
      <c r="AG801" s="43" t="str">
        <f t="array" ref="AG801">INDEX('Deal Info'!G:G, MATCH(A801,'Deal Info'!A:A, 0))</f>
        <v>Fix3.75</v>
      </c>
    </row>
    <row r="802" hidden="1">
      <c r="A802" s="23" t="str">
        <f t="array" ref="A802">if(G802='Room Info'!$B$1, INDEX('Room Info'!$A$2:$A3446, MATCH(B802,'Room Info'!$B$2:$B3446, 0)),if(G802='Room Info'!$C$1, INDEX('Room Info'!$A$2:$A3446, MATCH(B802,'Room Info'!$C$2:$C3446, 0)),if(G802='Room Info'!$D$1, INDEX('Room Info'!$A$2:$A3446, MATCH(B802,'Room Info'!$D$2:$D3446, 0)),if(G802='Room Info'!$E$1, INDEX('Room Info'!$A$2:$A3446, MATCH(B802,'Room Info'!$E$2:$E3446, 0)),if(G802='Room Info'!$F$1, INDEX('Room Info'!$A$2:$A3446, MATCH(B802,'Room Info'!$F$2:$F3446, 0)),if(G802='Room Info'!$H$1, INDEX('Room Info'!$A$2:$A3446, MATCH(B802,'Room Info'!$H$2:$H3446, 0)),if(G802='Room Info'!$G$1, INDEX('Room Info'!$A$2:$A3446, MATCH(B802,'Room Info'!$G$2:$G3446, 0)))))))))</f>
        <v>fig6</v>
      </c>
      <c r="B802" s="50" t="s">
        <v>195</v>
      </c>
      <c r="C802" s="82">
        <v>44886.0</v>
      </c>
      <c r="D802" s="82">
        <v>44915.0</v>
      </c>
      <c r="E802" s="52">
        <v>44896.0</v>
      </c>
      <c r="F802" s="53" t="s">
        <v>4</v>
      </c>
      <c r="G802" s="50" t="s">
        <v>5</v>
      </c>
      <c r="H802" s="54" t="s">
        <v>96</v>
      </c>
      <c r="I802" s="54" t="s">
        <v>7</v>
      </c>
      <c r="J802" s="79">
        <v>250.0</v>
      </c>
      <c r="K802" s="80">
        <v>1110.0</v>
      </c>
      <c r="L802" s="77">
        <v>14750.0</v>
      </c>
      <c r="M802" s="81">
        <v>11352.0</v>
      </c>
      <c r="N802" s="33">
        <f t="shared" si="13"/>
        <v>277500</v>
      </c>
      <c r="O802" s="50">
        <v>40697.0</v>
      </c>
      <c r="P802" s="34">
        <f t="shared" si="14"/>
        <v>36.66396396</v>
      </c>
      <c r="Q802" s="60"/>
      <c r="R802" s="36">
        <f t="shared" si="99"/>
        <v>11352</v>
      </c>
      <c r="S802" s="78">
        <v>4383.0</v>
      </c>
      <c r="T802" s="37">
        <f t="shared" si="100"/>
        <v>15735</v>
      </c>
      <c r="U802" s="62">
        <v>1.0</v>
      </c>
      <c r="V802" s="63"/>
      <c r="W802" s="63"/>
      <c r="X802" s="35">
        <f t="shared" si="129"/>
        <v>0.1125</v>
      </c>
      <c r="Y802" s="35">
        <f t="shared" si="123"/>
        <v>0.0375</v>
      </c>
      <c r="Z802" s="40">
        <f t="shared" si="127"/>
        <v>11604.8125</v>
      </c>
      <c r="AA802" s="34">
        <f t="shared" si="128"/>
        <v>1770.1875</v>
      </c>
      <c r="AB802" s="108">
        <v>2360.0</v>
      </c>
      <c r="AC802" s="42" t="b">
        <v>1</v>
      </c>
      <c r="AD802" s="42" t="s">
        <v>138</v>
      </c>
      <c r="AE802" s="42" t="s">
        <v>138</v>
      </c>
      <c r="AF802" s="42" t="str">
        <f t="array" ref="AF802">INDEX('Deal Info'!D:D, MATCH(A802,'Deal Info'!A:A, 0))</f>
        <v>Fix11.25</v>
      </c>
      <c r="AG802" s="43" t="str">
        <f t="array" ref="AG802">INDEX('Deal Info'!G:G, MATCH(A802,'Deal Info'!A:A, 0))</f>
        <v>Fix3.75</v>
      </c>
    </row>
    <row r="803" hidden="1">
      <c r="A803" s="23" t="str">
        <f t="array" ref="A803">if(G803='Room Info'!$B$1, INDEX('Room Info'!$A$2:$A3446, MATCH(B803,'Room Info'!$B$2:$B3446, 0)),if(G803='Room Info'!$C$1, INDEX('Room Info'!$A$2:$A3446, MATCH(B803,'Room Info'!$C$2:$C3446, 0)),if(G803='Room Info'!$D$1, INDEX('Room Info'!$A$2:$A3446, MATCH(B803,'Room Info'!$D$2:$D3446, 0)),if(G803='Room Info'!$E$1, INDEX('Room Info'!$A$2:$A3446, MATCH(B803,'Room Info'!$E$2:$E3446, 0)),if(G803='Room Info'!$F$1, INDEX('Room Info'!$A$2:$A3446, MATCH(B803,'Room Info'!$F$2:$F3446, 0)),if(G803='Room Info'!$H$1, INDEX('Room Info'!$A$2:$A3446, MATCH(B803,'Room Info'!$H$2:$H3446, 0)),if(G803='Room Info'!$G$1, INDEX('Room Info'!$A$2:$A3446, MATCH(B803,'Room Info'!$G$2:$G3446, 0)))))))))</f>
        <v>fig6</v>
      </c>
      <c r="B803" s="59" t="s">
        <v>195</v>
      </c>
      <c r="C803" s="51">
        <v>44886.0</v>
      </c>
      <c r="D803" s="51">
        <v>44915.0</v>
      </c>
      <c r="E803" s="52">
        <v>44896.0</v>
      </c>
      <c r="F803" s="50" t="s">
        <v>4</v>
      </c>
      <c r="G803" s="59" t="s">
        <v>5</v>
      </c>
      <c r="H803" s="54" t="s">
        <v>97</v>
      </c>
      <c r="I803" s="54" t="s">
        <v>11</v>
      </c>
      <c r="J803" s="79">
        <v>250.0</v>
      </c>
      <c r="K803" s="80">
        <v>372.0</v>
      </c>
      <c r="L803" s="77">
        <v>-2750.0</v>
      </c>
      <c r="M803" s="58">
        <v>3805.0</v>
      </c>
      <c r="N803" s="33">
        <f t="shared" si="13"/>
        <v>93000</v>
      </c>
      <c r="O803" s="50">
        <v>3480.0</v>
      </c>
      <c r="P803" s="34">
        <f t="shared" si="14"/>
        <v>9.35483871</v>
      </c>
      <c r="Q803" s="60"/>
      <c r="R803" s="36">
        <f t="shared" si="99"/>
        <v>3805</v>
      </c>
      <c r="S803" s="78">
        <v>-2214.0</v>
      </c>
      <c r="T803" s="37">
        <f t="shared" si="100"/>
        <v>1591</v>
      </c>
      <c r="U803" s="62">
        <v>1.0</v>
      </c>
      <c r="V803" s="63"/>
      <c r="W803" s="63"/>
      <c r="X803" s="35">
        <f t="shared" si="129"/>
        <v>0.1125</v>
      </c>
      <c r="Y803" s="35">
        <f t="shared" si="123"/>
        <v>0.0375</v>
      </c>
      <c r="Z803" s="40">
        <f t="shared" si="127"/>
        <v>1173.0125</v>
      </c>
      <c r="AA803" s="34">
        <f t="shared" si="128"/>
        <v>178.9875</v>
      </c>
      <c r="AB803" s="108">
        <v>239.0</v>
      </c>
      <c r="AC803" s="42" t="b">
        <v>1</v>
      </c>
      <c r="AD803" s="42" t="s">
        <v>138</v>
      </c>
      <c r="AE803" s="42" t="s">
        <v>138</v>
      </c>
      <c r="AF803" s="42" t="str">
        <f t="array" ref="AF803">INDEX('Deal Info'!D:D, MATCH(A803,'Deal Info'!A:A, 0))</f>
        <v>Fix11.25</v>
      </c>
      <c r="AG803" s="43" t="str">
        <f t="array" ref="AG803">INDEX('Deal Info'!G:G, MATCH(A803,'Deal Info'!A:A, 0))</f>
        <v>Fix3.75</v>
      </c>
    </row>
    <row r="804" hidden="1">
      <c r="A804" s="23" t="str">
        <f t="array" ref="A804">if(G804='Room Info'!$B$1, INDEX('Room Info'!$A$2:$A3446, MATCH(B804,'Room Info'!$B$2:$B3446, 0)),if(G804='Room Info'!$C$1, INDEX('Room Info'!$A$2:$A3446, MATCH(B804,'Room Info'!$C$2:$C3446, 0)),if(G804='Room Info'!$D$1, INDEX('Room Info'!$A$2:$A3446, MATCH(B804,'Room Info'!$D$2:$D3446, 0)),if(G804='Room Info'!$E$1, INDEX('Room Info'!$A$2:$A3446, MATCH(B804,'Room Info'!$E$2:$E3446, 0)),if(G804='Room Info'!$F$1, INDEX('Room Info'!$A$2:$A3446, MATCH(B804,'Room Info'!$F$2:$F3446, 0)),if(G804='Room Info'!$H$1, INDEX('Room Info'!$A$2:$A3446, MATCH(B804,'Room Info'!$H$2:$H3446, 0)),if(G804='Room Info'!$G$1, INDEX('Room Info'!$A$2:$A3446, MATCH(B804,'Room Info'!$G$2:$G3446, 0)))))))))</f>
        <v>fig6</v>
      </c>
      <c r="B804" s="59" t="s">
        <v>195</v>
      </c>
      <c r="C804" s="51">
        <v>44886.0</v>
      </c>
      <c r="D804" s="51">
        <v>44915.0</v>
      </c>
      <c r="E804" s="52">
        <v>44896.0</v>
      </c>
      <c r="F804" s="50" t="s">
        <v>12</v>
      </c>
      <c r="G804" s="59" t="s">
        <v>5</v>
      </c>
      <c r="H804" s="54" t="s">
        <v>196</v>
      </c>
      <c r="I804" s="28" t="s">
        <v>15</v>
      </c>
      <c r="J804" s="79">
        <v>100.0</v>
      </c>
      <c r="K804" s="80">
        <v>1.0</v>
      </c>
      <c r="L804" s="77">
        <v>96.0</v>
      </c>
      <c r="M804" s="58">
        <v>2.0</v>
      </c>
      <c r="N804" s="33">
        <f t="shared" si="13"/>
        <v>100</v>
      </c>
      <c r="O804" s="101"/>
      <c r="P804" s="34">
        <f t="shared" si="14"/>
        <v>0</v>
      </c>
      <c r="Q804" s="60"/>
      <c r="R804" s="36">
        <f t="shared" si="99"/>
        <v>2</v>
      </c>
      <c r="S804" s="102"/>
      <c r="T804" s="37">
        <f t="shared" si="100"/>
        <v>98</v>
      </c>
      <c r="U804" s="62">
        <v>1.0</v>
      </c>
      <c r="V804" s="63"/>
      <c r="W804" s="63"/>
      <c r="X804" s="35">
        <f t="shared" si="129"/>
        <v>0.1125</v>
      </c>
      <c r="Y804" s="35">
        <f t="shared" si="123"/>
        <v>0.0375</v>
      </c>
      <c r="Z804" s="40">
        <f t="shared" si="127"/>
        <v>71.975</v>
      </c>
      <c r="AA804" s="34">
        <f t="shared" si="128"/>
        <v>11.025</v>
      </c>
      <c r="AB804" s="108">
        <v>15.0</v>
      </c>
      <c r="AC804" s="42" t="b">
        <v>1</v>
      </c>
      <c r="AD804" s="42" t="s">
        <v>138</v>
      </c>
      <c r="AE804" s="42" t="s">
        <v>138</v>
      </c>
      <c r="AF804" s="42" t="str">
        <f t="array" ref="AF804">INDEX('Deal Info'!D:D, MATCH(A804,'Deal Info'!A:A, 0))</f>
        <v>Fix11.25</v>
      </c>
      <c r="AG804" s="43" t="str">
        <f t="array" ref="AG804">INDEX('Deal Info'!G:G, MATCH(A804,'Deal Info'!A:A, 0))</f>
        <v>Fix3.75</v>
      </c>
    </row>
    <row r="805" hidden="1">
      <c r="A805" s="23" t="str">
        <f t="array" ref="A805">if(G805='Room Info'!$B$1, INDEX('Room Info'!$A$2:$A3446, MATCH(B805,'Room Info'!$B$2:$B3446, 0)),if(G805='Room Info'!$C$1, INDEX('Room Info'!$A$2:$A3446, MATCH(B805,'Room Info'!$C$2:$C3446, 0)),if(G805='Room Info'!$D$1, INDEX('Room Info'!$A$2:$A3446, MATCH(B805,'Room Info'!$D$2:$D3446, 0)),if(G805='Room Info'!$E$1, INDEX('Room Info'!$A$2:$A3446, MATCH(B805,'Room Info'!$E$2:$E3446, 0)),if(G805='Room Info'!$F$1, INDEX('Room Info'!$A$2:$A3446, MATCH(B805,'Room Info'!$F$2:$F3446, 0)),if(G805='Room Info'!$H$1, INDEX('Room Info'!$A$2:$A3446, MATCH(B805,'Room Info'!$H$2:$H3446, 0)),if(G805='Room Info'!$G$1, INDEX('Room Info'!$A$2:$A3446, MATCH(B805,'Room Info'!$G$2:$G3446, 0)))))))))</f>
        <v>fig6</v>
      </c>
      <c r="B805" s="59" t="s">
        <v>195</v>
      </c>
      <c r="C805" s="51">
        <v>44886.0</v>
      </c>
      <c r="D805" s="51">
        <v>44915.0</v>
      </c>
      <c r="E805" s="52">
        <v>44896.0</v>
      </c>
      <c r="F805" s="50" t="s">
        <v>12</v>
      </c>
      <c r="G805" s="59" t="s">
        <v>5</v>
      </c>
      <c r="H805" s="54" t="s">
        <v>6</v>
      </c>
      <c r="I805" s="54" t="s">
        <v>7</v>
      </c>
      <c r="J805" s="55">
        <v>0.25</v>
      </c>
      <c r="K805" s="56">
        <v>9.0</v>
      </c>
      <c r="L805" s="57">
        <v>0.0</v>
      </c>
      <c r="M805" s="58">
        <v>0.0</v>
      </c>
      <c r="N805" s="33">
        <f t="shared" si="13"/>
        <v>2.25</v>
      </c>
      <c r="O805" s="70"/>
      <c r="P805" s="34">
        <f t="shared" si="14"/>
        <v>0</v>
      </c>
      <c r="Q805" s="60"/>
      <c r="R805" s="36">
        <f t="shared" si="99"/>
        <v>0</v>
      </c>
      <c r="S805" s="71"/>
      <c r="T805" s="37">
        <f t="shared" si="100"/>
        <v>0</v>
      </c>
      <c r="U805" s="62">
        <v>1.0</v>
      </c>
      <c r="V805" s="63"/>
      <c r="W805" s="63"/>
      <c r="X805" s="35">
        <f t="shared" si="129"/>
        <v>0.1125</v>
      </c>
      <c r="Y805" s="35">
        <f t="shared" si="123"/>
        <v>0.0375</v>
      </c>
      <c r="Z805" s="40">
        <f t="shared" si="127"/>
        <v>0</v>
      </c>
      <c r="AA805" s="34">
        <f t="shared" si="128"/>
        <v>0</v>
      </c>
      <c r="AB805" s="108">
        <v>0.0</v>
      </c>
      <c r="AC805" s="42" t="b">
        <v>1</v>
      </c>
      <c r="AD805" s="42" t="s">
        <v>138</v>
      </c>
      <c r="AE805" s="42" t="s">
        <v>138</v>
      </c>
      <c r="AF805" s="42" t="str">
        <f t="array" ref="AF805">INDEX('Deal Info'!D:D, MATCH(A805,'Deal Info'!A:A, 0))</f>
        <v>Fix11.25</v>
      </c>
      <c r="AG805" s="43" t="str">
        <f t="array" ref="AG805">INDEX('Deal Info'!G:G, MATCH(A805,'Deal Info'!A:A, 0))</f>
        <v>Fix3.75</v>
      </c>
    </row>
    <row r="806" hidden="1">
      <c r="A806" s="23" t="str">
        <f t="array" ref="A806">if(G806='Room Info'!$B$1, INDEX('Room Info'!$A$2:$A3446, MATCH(B806,'Room Info'!$B$2:$B3446, 0)),if(G806='Room Info'!$C$1, INDEX('Room Info'!$A$2:$A3446, MATCH(B806,'Room Info'!$C$2:$C3446, 0)),if(G806='Room Info'!$D$1, INDEX('Room Info'!$A$2:$A3446, MATCH(B806,'Room Info'!$D$2:$D3446, 0)),if(G806='Room Info'!$E$1, INDEX('Room Info'!$A$2:$A3446, MATCH(B806,'Room Info'!$E$2:$E3446, 0)),if(G806='Room Info'!$F$1, INDEX('Room Info'!$A$2:$A3446, MATCH(B806,'Room Info'!$F$2:$F3446, 0)),if(G806='Room Info'!$H$1, INDEX('Room Info'!$A$2:$A3446, MATCH(B806,'Room Info'!$H$2:$H3446, 0)),if(G806='Room Info'!$G$1, INDEX('Room Info'!$A$2:$A3446, MATCH(B806,'Room Info'!$G$2:$G3446, 0)))))))))</f>
        <v>fig6</v>
      </c>
      <c r="B806" s="50" t="s">
        <v>195</v>
      </c>
      <c r="C806" s="82">
        <v>44916.0</v>
      </c>
      <c r="D806" s="82">
        <v>44946.0</v>
      </c>
      <c r="E806" s="52">
        <v>44927.0</v>
      </c>
      <c r="F806" s="53" t="s">
        <v>4</v>
      </c>
      <c r="G806" s="50" t="s">
        <v>5</v>
      </c>
      <c r="H806" s="54" t="s">
        <v>74</v>
      </c>
      <c r="I806" s="54" t="s">
        <v>7</v>
      </c>
      <c r="J806" s="79">
        <v>50.0</v>
      </c>
      <c r="K806" s="80">
        <v>146.0</v>
      </c>
      <c r="L806" s="77">
        <v>-450.0</v>
      </c>
      <c r="M806" s="81">
        <v>202.0</v>
      </c>
      <c r="N806" s="33">
        <f t="shared" si="13"/>
        <v>7300</v>
      </c>
      <c r="O806" s="50">
        <v>8216.0</v>
      </c>
      <c r="P806" s="34">
        <f t="shared" si="14"/>
        <v>56.2739726</v>
      </c>
      <c r="Q806" s="60"/>
      <c r="R806" s="36">
        <f t="shared" si="99"/>
        <v>202</v>
      </c>
      <c r="S806" s="78">
        <v>252.0</v>
      </c>
      <c r="T806" s="37">
        <f t="shared" si="100"/>
        <v>454</v>
      </c>
      <c r="U806" s="62">
        <v>1.0</v>
      </c>
      <c r="V806" s="63"/>
      <c r="W806" s="63"/>
      <c r="X806" s="35">
        <f t="shared" si="129"/>
        <v>0.1125</v>
      </c>
      <c r="Y806" s="35">
        <f t="shared" si="123"/>
        <v>0.0375</v>
      </c>
      <c r="Z806" s="40">
        <f t="shared" si="127"/>
        <v>334.925</v>
      </c>
      <c r="AA806" s="34">
        <f t="shared" si="128"/>
        <v>51.075</v>
      </c>
      <c r="AB806" s="108">
        <v>68.0</v>
      </c>
      <c r="AC806" s="42" t="b">
        <v>1</v>
      </c>
      <c r="AD806" s="42" t="s">
        <v>138</v>
      </c>
      <c r="AE806" s="42" t="s">
        <v>138</v>
      </c>
      <c r="AF806" s="42" t="str">
        <f t="array" ref="AF806">INDEX('Deal Info'!D:D, MATCH(A806,'Deal Info'!A:A, 0))</f>
        <v>Fix11.25</v>
      </c>
      <c r="AG806" s="43" t="str">
        <f t="array" ref="AG806">INDEX('Deal Info'!G:G, MATCH(A806,'Deal Info'!A:A, 0))</f>
        <v>Fix3.75</v>
      </c>
    </row>
    <row r="807" hidden="1">
      <c r="A807" s="23" t="str">
        <f t="array" ref="A807">if(G807='Room Info'!$B$1, INDEX('Room Info'!$A$2:$A3446, MATCH(B807,'Room Info'!$B$2:$B3446, 0)),if(G807='Room Info'!$C$1, INDEX('Room Info'!$A$2:$A3446, MATCH(B807,'Room Info'!$C$2:$C3446, 0)),if(G807='Room Info'!$D$1, INDEX('Room Info'!$A$2:$A3446, MATCH(B807,'Room Info'!$D$2:$D3446, 0)),if(G807='Room Info'!$E$1, INDEX('Room Info'!$A$2:$A3446, MATCH(B807,'Room Info'!$E$2:$E3446, 0)),if(G807='Room Info'!$F$1, INDEX('Room Info'!$A$2:$A3446, MATCH(B807,'Room Info'!$F$2:$F3446, 0)),if(G807='Room Info'!$H$1, INDEX('Room Info'!$A$2:$A3446, MATCH(B807,'Room Info'!$H$2:$H3446, 0)),if(G807='Room Info'!$G$1, INDEX('Room Info'!$A$2:$A3446, MATCH(B807,'Room Info'!$G$2:$G3446, 0)))))))))</f>
        <v>fig6</v>
      </c>
      <c r="B807" s="50" t="s">
        <v>195</v>
      </c>
      <c r="C807" s="82">
        <v>44916.0</v>
      </c>
      <c r="D807" s="82">
        <v>44946.0</v>
      </c>
      <c r="E807" s="52">
        <v>44927.0</v>
      </c>
      <c r="F807" s="53" t="s">
        <v>4</v>
      </c>
      <c r="G807" s="50" t="s">
        <v>5</v>
      </c>
      <c r="H807" s="54" t="s">
        <v>85</v>
      </c>
      <c r="I807" s="54" t="s">
        <v>7</v>
      </c>
      <c r="J807" s="79">
        <v>100.0</v>
      </c>
      <c r="K807" s="80">
        <v>2214.0</v>
      </c>
      <c r="L807" s="77">
        <v>6500.0</v>
      </c>
      <c r="M807" s="81">
        <v>5100.0</v>
      </c>
      <c r="N807" s="33">
        <f t="shared" si="13"/>
        <v>221400</v>
      </c>
      <c r="O807" s="50">
        <v>57772.0</v>
      </c>
      <c r="P807" s="34">
        <f t="shared" si="14"/>
        <v>26.09394761</v>
      </c>
      <c r="Q807" s="60"/>
      <c r="R807" s="36">
        <f t="shared" si="99"/>
        <v>5100</v>
      </c>
      <c r="S807" s="78">
        <v>-2257.0</v>
      </c>
      <c r="T807" s="37">
        <f t="shared" si="100"/>
        <v>2843</v>
      </c>
      <c r="U807" s="62">
        <v>1.0</v>
      </c>
      <c r="V807" s="63"/>
      <c r="W807" s="63"/>
      <c r="X807" s="35">
        <f t="shared" si="129"/>
        <v>0.1125</v>
      </c>
      <c r="Y807" s="35">
        <f t="shared" si="123"/>
        <v>0.0375</v>
      </c>
      <c r="Z807" s="40">
        <f t="shared" si="127"/>
        <v>2096.1625</v>
      </c>
      <c r="AA807" s="34">
        <f t="shared" si="128"/>
        <v>319.8375</v>
      </c>
      <c r="AB807" s="108">
        <v>427.0</v>
      </c>
      <c r="AC807" s="42" t="b">
        <v>1</v>
      </c>
      <c r="AD807" s="42" t="s">
        <v>138</v>
      </c>
      <c r="AE807" s="42" t="s">
        <v>138</v>
      </c>
      <c r="AF807" s="42" t="str">
        <f t="array" ref="AF807">INDEX('Deal Info'!D:D, MATCH(A807,'Deal Info'!A:A, 0))</f>
        <v>Fix11.25</v>
      </c>
      <c r="AG807" s="43" t="str">
        <f t="array" ref="AG807">INDEX('Deal Info'!G:G, MATCH(A807,'Deal Info'!A:A, 0))</f>
        <v>Fix3.75</v>
      </c>
    </row>
    <row r="808" hidden="1">
      <c r="A808" s="23" t="str">
        <f t="array" ref="A808">if(G808='Room Info'!$B$1, INDEX('Room Info'!$A$2:$A3446, MATCH(B808,'Room Info'!$B$2:$B3446, 0)),if(G808='Room Info'!$C$1, INDEX('Room Info'!$A$2:$A3446, MATCH(B808,'Room Info'!$C$2:$C3446, 0)),if(G808='Room Info'!$D$1, INDEX('Room Info'!$A$2:$A3446, MATCH(B808,'Room Info'!$D$2:$D3446, 0)),if(G808='Room Info'!$E$1, INDEX('Room Info'!$A$2:$A3446, MATCH(B808,'Room Info'!$E$2:$E3446, 0)),if(G808='Room Info'!$F$1, INDEX('Room Info'!$A$2:$A3446, MATCH(B808,'Room Info'!$F$2:$F3446, 0)),if(G808='Room Info'!$H$1, INDEX('Room Info'!$A$2:$A3446, MATCH(B808,'Room Info'!$H$2:$H3446, 0)),if(G808='Room Info'!$G$1, INDEX('Room Info'!$A$2:$A3446, MATCH(B808,'Room Info'!$G$2:$G3446, 0)))))))))</f>
        <v>fig6</v>
      </c>
      <c r="B808" s="50" t="s">
        <v>195</v>
      </c>
      <c r="C808" s="51">
        <v>44916.0</v>
      </c>
      <c r="D808" s="51">
        <v>44946.0</v>
      </c>
      <c r="E808" s="52">
        <v>44927.0</v>
      </c>
      <c r="F808" s="53" t="s">
        <v>4</v>
      </c>
      <c r="G808" s="59" t="s">
        <v>5</v>
      </c>
      <c r="H808" s="54" t="s">
        <v>86</v>
      </c>
      <c r="I808" s="54" t="s">
        <v>11</v>
      </c>
      <c r="J808" s="55">
        <v>100.0</v>
      </c>
      <c r="K808" s="56">
        <v>1.0</v>
      </c>
      <c r="L808" s="57">
        <v>100.0</v>
      </c>
      <c r="M808" s="58">
        <v>2.0</v>
      </c>
      <c r="N808" s="33">
        <f t="shared" si="13"/>
        <v>100</v>
      </c>
      <c r="O808" s="59">
        <v>243.0</v>
      </c>
      <c r="P808" s="34">
        <f t="shared" si="14"/>
        <v>243</v>
      </c>
      <c r="Q808" s="60"/>
      <c r="R808" s="36">
        <f t="shared" si="99"/>
        <v>2</v>
      </c>
      <c r="S808" s="61">
        <v>70.0</v>
      </c>
      <c r="T808" s="37">
        <f t="shared" si="100"/>
        <v>72</v>
      </c>
      <c r="U808" s="62">
        <v>1.0</v>
      </c>
      <c r="V808" s="63"/>
      <c r="W808" s="63"/>
      <c r="X808" s="35">
        <f t="shared" si="129"/>
        <v>0.1125</v>
      </c>
      <c r="Y808" s="35">
        <f t="shared" si="123"/>
        <v>0.0375</v>
      </c>
      <c r="Z808" s="40">
        <f t="shared" si="127"/>
        <v>52.9</v>
      </c>
      <c r="AA808" s="34">
        <f t="shared" si="128"/>
        <v>8.1</v>
      </c>
      <c r="AB808" s="108">
        <v>11.0</v>
      </c>
      <c r="AC808" s="42" t="b">
        <v>1</v>
      </c>
      <c r="AD808" s="42" t="s">
        <v>138</v>
      </c>
      <c r="AE808" s="42" t="s">
        <v>138</v>
      </c>
      <c r="AF808" s="42" t="str">
        <f t="array" ref="AF808">INDEX('Deal Info'!D:D, MATCH(A808,'Deal Info'!A:A, 0))</f>
        <v>Fix11.25</v>
      </c>
      <c r="AG808" s="43" t="str">
        <f t="array" ref="AG808">INDEX('Deal Info'!G:G, MATCH(A808,'Deal Info'!A:A, 0))</f>
        <v>Fix3.75</v>
      </c>
    </row>
    <row r="809" hidden="1">
      <c r="A809" s="23" t="str">
        <f t="array" ref="A809">if(G809='Room Info'!$B$1, INDEX('Room Info'!$A$2:$A3446, MATCH(B809,'Room Info'!$B$2:$B3446, 0)),if(G809='Room Info'!$C$1, INDEX('Room Info'!$A$2:$A3446, MATCH(B809,'Room Info'!$C$2:$C3446, 0)),if(G809='Room Info'!$D$1, INDEX('Room Info'!$A$2:$A3446, MATCH(B809,'Room Info'!$D$2:$D3446, 0)),if(G809='Room Info'!$E$1, INDEX('Room Info'!$A$2:$A3446, MATCH(B809,'Room Info'!$E$2:$E3446, 0)),if(G809='Room Info'!$F$1, INDEX('Room Info'!$A$2:$A3446, MATCH(B809,'Room Info'!$F$2:$F3446, 0)),if(G809='Room Info'!$H$1, INDEX('Room Info'!$A$2:$A3446, MATCH(B809,'Room Info'!$H$2:$H3446, 0)),if(G809='Room Info'!$G$1, INDEX('Room Info'!$A$2:$A3446, MATCH(B809,'Room Info'!$G$2:$G3446, 0)))))))))</f>
        <v>fig6</v>
      </c>
      <c r="B809" s="50" t="s">
        <v>195</v>
      </c>
      <c r="C809" s="51">
        <v>44916.0</v>
      </c>
      <c r="D809" s="51">
        <v>44946.0</v>
      </c>
      <c r="E809" s="52">
        <v>44927.0</v>
      </c>
      <c r="F809" s="53" t="s">
        <v>4</v>
      </c>
      <c r="G809" s="59" t="s">
        <v>5</v>
      </c>
      <c r="H809" s="54" t="s">
        <v>96</v>
      </c>
      <c r="I809" s="54" t="s">
        <v>7</v>
      </c>
      <c r="J809" s="55">
        <v>250.0</v>
      </c>
      <c r="K809" s="56">
        <v>1421.0</v>
      </c>
      <c r="L809" s="57">
        <v>-15500.0</v>
      </c>
      <c r="M809" s="58">
        <v>8184.0</v>
      </c>
      <c r="N809" s="33">
        <f t="shared" si="13"/>
        <v>355250</v>
      </c>
      <c r="O809" s="59">
        <v>41567.0</v>
      </c>
      <c r="P809" s="34">
        <f t="shared" si="14"/>
        <v>29.25193526</v>
      </c>
      <c r="Q809" s="60"/>
      <c r="R809" s="36">
        <f t="shared" si="99"/>
        <v>8184</v>
      </c>
      <c r="S809" s="61">
        <v>-616.0</v>
      </c>
      <c r="T809" s="37">
        <f t="shared" si="100"/>
        <v>7568</v>
      </c>
      <c r="U809" s="62">
        <v>1.0</v>
      </c>
      <c r="V809" s="63"/>
      <c r="W809" s="63"/>
      <c r="X809" s="35">
        <f t="shared" si="129"/>
        <v>0.1125</v>
      </c>
      <c r="Y809" s="35">
        <f t="shared" si="123"/>
        <v>0.0375</v>
      </c>
      <c r="Z809" s="40">
        <f t="shared" si="127"/>
        <v>5581.6</v>
      </c>
      <c r="AA809" s="34">
        <f t="shared" si="128"/>
        <v>851.4</v>
      </c>
      <c r="AB809" s="108">
        <v>1135.0</v>
      </c>
      <c r="AC809" s="42" t="b">
        <v>1</v>
      </c>
      <c r="AD809" s="42" t="s">
        <v>138</v>
      </c>
      <c r="AE809" s="42" t="s">
        <v>138</v>
      </c>
      <c r="AF809" s="42" t="str">
        <f t="array" ref="AF809">INDEX('Deal Info'!D:D, MATCH(A809,'Deal Info'!A:A, 0))</f>
        <v>Fix11.25</v>
      </c>
      <c r="AG809" s="43" t="str">
        <f t="array" ref="AG809">INDEX('Deal Info'!G:G, MATCH(A809,'Deal Info'!A:A, 0))</f>
        <v>Fix3.75</v>
      </c>
    </row>
    <row r="810" hidden="1">
      <c r="A810" s="23" t="str">
        <f t="array" ref="A810">if(G810='Room Info'!$B$1, INDEX('Room Info'!$A$2:$A3446, MATCH(B810,'Room Info'!$B$2:$B3446, 0)),if(G810='Room Info'!$C$1, INDEX('Room Info'!$A$2:$A3446, MATCH(B810,'Room Info'!$C$2:$C3446, 0)),if(G810='Room Info'!$D$1, INDEX('Room Info'!$A$2:$A3446, MATCH(B810,'Room Info'!$D$2:$D3446, 0)),if(G810='Room Info'!$E$1, INDEX('Room Info'!$A$2:$A3446, MATCH(B810,'Room Info'!$E$2:$E3446, 0)),if(G810='Room Info'!$F$1, INDEX('Room Info'!$A$2:$A3446, MATCH(B810,'Room Info'!$F$2:$F3446, 0)),if(G810='Room Info'!$H$1, INDEX('Room Info'!$A$2:$A3446, MATCH(B810,'Room Info'!$H$2:$H3446, 0)),if(G810='Room Info'!$G$1, INDEX('Room Info'!$A$2:$A3446, MATCH(B810,'Room Info'!$G$2:$G3446, 0)))))))))</f>
        <v>fig6</v>
      </c>
      <c r="B810" s="50" t="s">
        <v>195</v>
      </c>
      <c r="C810" s="51">
        <v>44916.0</v>
      </c>
      <c r="D810" s="51">
        <v>44946.0</v>
      </c>
      <c r="E810" s="52">
        <v>44927.0</v>
      </c>
      <c r="F810" s="53" t="s">
        <v>12</v>
      </c>
      <c r="G810" s="50" t="s">
        <v>5</v>
      </c>
      <c r="H810" s="54" t="s">
        <v>196</v>
      </c>
      <c r="I810" s="28" t="s">
        <v>15</v>
      </c>
      <c r="J810" s="55">
        <v>100.0</v>
      </c>
      <c r="K810" s="56">
        <v>12.0</v>
      </c>
      <c r="L810" s="57">
        <v>566.0</v>
      </c>
      <c r="M810" s="58">
        <v>10.0</v>
      </c>
      <c r="N810" s="33">
        <f t="shared" si="13"/>
        <v>1200</v>
      </c>
      <c r="O810" s="70"/>
      <c r="P810" s="34">
        <f t="shared" si="14"/>
        <v>0</v>
      </c>
      <c r="Q810" s="60"/>
      <c r="R810" s="36">
        <f t="shared" si="99"/>
        <v>10</v>
      </c>
      <c r="S810" s="71"/>
      <c r="T810" s="37">
        <f t="shared" si="100"/>
        <v>576</v>
      </c>
      <c r="U810" s="62">
        <v>1.0</v>
      </c>
      <c r="V810" s="63"/>
      <c r="W810" s="63"/>
      <c r="X810" s="35">
        <f t="shared" si="129"/>
        <v>0.1125</v>
      </c>
      <c r="Y810" s="35">
        <f t="shared" si="123"/>
        <v>0.0375</v>
      </c>
      <c r="Z810" s="40">
        <f t="shared" si="127"/>
        <v>425.2</v>
      </c>
      <c r="AA810" s="34">
        <f t="shared" si="128"/>
        <v>64.8</v>
      </c>
      <c r="AB810" s="108">
        <v>86.0</v>
      </c>
      <c r="AC810" s="42" t="b">
        <v>1</v>
      </c>
      <c r="AD810" s="42" t="s">
        <v>138</v>
      </c>
      <c r="AE810" s="42" t="s">
        <v>138</v>
      </c>
      <c r="AF810" s="42" t="str">
        <f t="array" ref="AF810">INDEX('Deal Info'!D:D, MATCH(A810,'Deal Info'!A:A, 0))</f>
        <v>Fix11.25</v>
      </c>
      <c r="AG810" s="43" t="str">
        <f t="array" ref="AG810">INDEX('Deal Info'!G:G, MATCH(A810,'Deal Info'!A:A, 0))</f>
        <v>Fix3.75</v>
      </c>
    </row>
    <row r="811" hidden="1">
      <c r="A811" s="23" t="str">
        <f t="array" ref="A811">if(G811='Room Info'!$B$1, INDEX('Room Info'!$A$2:$A3446, MATCH(B811,'Room Info'!$B$2:$B3446, 0)),if(G811='Room Info'!$C$1, INDEX('Room Info'!$A$2:$A3446, MATCH(B811,'Room Info'!$C$2:$C3446, 0)),if(G811='Room Info'!$D$1, INDEX('Room Info'!$A$2:$A3446, MATCH(B811,'Room Info'!$D$2:$D3446, 0)),if(G811='Room Info'!$E$1, INDEX('Room Info'!$A$2:$A3446, MATCH(B811,'Room Info'!$E$2:$E3446, 0)),if(G811='Room Info'!$F$1, INDEX('Room Info'!$A$2:$A3446, MATCH(B811,'Room Info'!$F$2:$F3446, 0)),if(G811='Room Info'!$H$1, INDEX('Room Info'!$A$2:$A3446, MATCH(B811,'Room Info'!$H$2:$H3446, 0)),if(G811='Room Info'!$G$1, INDEX('Room Info'!$A$2:$A3446, MATCH(B811,'Room Info'!$G$2:$G3446, 0)))))))))</f>
        <v>fig6</v>
      </c>
      <c r="B811" s="50" t="s">
        <v>195</v>
      </c>
      <c r="C811" s="51">
        <v>44916.0</v>
      </c>
      <c r="D811" s="51">
        <v>44946.0</v>
      </c>
      <c r="E811" s="52">
        <v>44927.0</v>
      </c>
      <c r="F811" s="53" t="s">
        <v>12</v>
      </c>
      <c r="G811" s="50" t="s">
        <v>5</v>
      </c>
      <c r="H811" s="54" t="s">
        <v>35</v>
      </c>
      <c r="I811" s="54" t="s">
        <v>7</v>
      </c>
      <c r="J811" s="55">
        <v>5.0</v>
      </c>
      <c r="K811" s="56">
        <v>7.0</v>
      </c>
      <c r="L811" s="57">
        <v>25.0</v>
      </c>
      <c r="M811" s="58">
        <v>1.0</v>
      </c>
      <c r="N811" s="33">
        <f t="shared" si="13"/>
        <v>35</v>
      </c>
      <c r="O811" s="70"/>
      <c r="P811" s="34">
        <f t="shared" si="14"/>
        <v>0</v>
      </c>
      <c r="Q811" s="60"/>
      <c r="R811" s="36">
        <f t="shared" si="99"/>
        <v>1</v>
      </c>
      <c r="S811" s="71"/>
      <c r="T811" s="37">
        <f t="shared" si="100"/>
        <v>26</v>
      </c>
      <c r="U811" s="62">
        <v>1.0</v>
      </c>
      <c r="V811" s="63"/>
      <c r="W811" s="63"/>
      <c r="X811" s="35">
        <f t="shared" si="129"/>
        <v>0.1125</v>
      </c>
      <c r="Y811" s="35">
        <f t="shared" si="123"/>
        <v>0.0375</v>
      </c>
      <c r="Z811" s="40">
        <f t="shared" si="127"/>
        <v>19.075</v>
      </c>
      <c r="AA811" s="34">
        <f t="shared" si="128"/>
        <v>2.925</v>
      </c>
      <c r="AB811" s="108">
        <v>4.0</v>
      </c>
      <c r="AC811" s="42" t="b">
        <v>1</v>
      </c>
      <c r="AD811" s="42" t="s">
        <v>138</v>
      </c>
      <c r="AE811" s="42" t="s">
        <v>138</v>
      </c>
      <c r="AF811" s="42" t="str">
        <f t="array" ref="AF811">INDEX('Deal Info'!D:D, MATCH(A811,'Deal Info'!A:A, 0))</f>
        <v>Fix11.25</v>
      </c>
      <c r="AG811" s="43" t="str">
        <f t="array" ref="AG811">INDEX('Deal Info'!G:G, MATCH(A811,'Deal Info'!A:A, 0))</f>
        <v>Fix3.75</v>
      </c>
    </row>
    <row r="812" hidden="1">
      <c r="A812" s="23" t="str">
        <f t="array" ref="A812">if(G812='Room Info'!$B$1, INDEX('Room Info'!$A$2:$A3446, MATCH(B812,'Room Info'!$B$2:$B3446, 0)),if(G812='Room Info'!$C$1, INDEX('Room Info'!$A$2:$A3446, MATCH(B812,'Room Info'!$C$2:$C3446, 0)),if(G812='Room Info'!$D$1, INDEX('Room Info'!$A$2:$A3446, MATCH(B812,'Room Info'!$D$2:$D3446, 0)),if(G812='Room Info'!$E$1, INDEX('Room Info'!$A$2:$A3446, MATCH(B812,'Room Info'!$E$2:$E3446, 0)),if(G812='Room Info'!$F$1, INDEX('Room Info'!$A$2:$A3446, MATCH(B812,'Room Info'!$F$2:$F3446, 0)),if(G812='Room Info'!$H$1, INDEX('Room Info'!$A$2:$A3446, MATCH(B812,'Room Info'!$H$2:$H3446, 0)),if(G812='Room Info'!$G$1, INDEX('Room Info'!$A$2:$A3446, MATCH(B812,'Room Info'!$G$2:$G3446, 0)))))))))</f>
        <v>kttweek1</v>
      </c>
      <c r="B812" s="50" t="s">
        <v>197</v>
      </c>
      <c r="C812" s="51">
        <v>44440.0</v>
      </c>
      <c r="D812" s="51">
        <v>44469.0</v>
      </c>
      <c r="E812" s="52">
        <v>44440.0</v>
      </c>
      <c r="F812" s="53" t="s">
        <v>8</v>
      </c>
      <c r="G812" s="50" t="s">
        <v>5</v>
      </c>
      <c r="H812" s="54" t="s">
        <v>34</v>
      </c>
      <c r="I812" s="54" t="s">
        <v>7</v>
      </c>
      <c r="J812" s="55">
        <v>5.0</v>
      </c>
      <c r="K812" s="56">
        <v>2.0</v>
      </c>
      <c r="L812" s="57">
        <v>15.0</v>
      </c>
      <c r="M812" s="67"/>
      <c r="N812" s="33">
        <f t="shared" si="13"/>
        <v>10</v>
      </c>
      <c r="O812" s="59">
        <v>1286.0</v>
      </c>
      <c r="P812" s="34">
        <f t="shared" si="14"/>
        <v>643</v>
      </c>
      <c r="Q812" s="60"/>
      <c r="R812" s="36">
        <f t="shared" si="99"/>
        <v>0</v>
      </c>
      <c r="S812" s="61">
        <v>11.0</v>
      </c>
      <c r="T812" s="37">
        <f t="shared" si="100"/>
        <v>11</v>
      </c>
      <c r="U812" s="62">
        <v>1.0</v>
      </c>
      <c r="V812" s="63"/>
      <c r="W812" s="63"/>
      <c r="X812" s="83">
        <v>0.17</v>
      </c>
      <c r="Y812" s="35">
        <f t="shared" si="123"/>
        <v>0</v>
      </c>
      <c r="Z812" s="40">
        <f t="shared" si="127"/>
        <v>9.13</v>
      </c>
      <c r="AA812" s="34">
        <f t="shared" si="128"/>
        <v>1.87</v>
      </c>
      <c r="AB812" s="41">
        <f t="shared" ref="AB812:AB943" si="130">if(AD812="EUR",((T812-R812)*Y812)*U812+(R812*Y812),(T812*Y812))</f>
        <v>0</v>
      </c>
      <c r="AC812" s="42" t="b">
        <v>1</v>
      </c>
      <c r="AD812" s="42" t="s">
        <v>138</v>
      </c>
      <c r="AE812" s="42" t="s">
        <v>138</v>
      </c>
      <c r="AF812" s="42" t="str">
        <f t="array" ref="AF812">INDEX('Deal Info'!D:D, MATCH(A812,'Deal Info'!A:A, 0))</f>
        <v>DoEVold</v>
      </c>
      <c r="AG812" s="43" t="str">
        <f t="array" ref="AG812">INDEX('Deal Info'!G:G, MATCH(A812,'Deal Info'!A:A, 0))</f>
        <v>None</v>
      </c>
    </row>
    <row r="813" hidden="1">
      <c r="A813" s="23" t="str">
        <f t="array" ref="A813">if(G813='Room Info'!$B$1, INDEX('Room Info'!$A$2:$A3446, MATCH(B813,'Room Info'!$B$2:$B3446, 0)),if(G813='Room Info'!$C$1, INDEX('Room Info'!$A$2:$A3446, MATCH(B813,'Room Info'!$C$2:$C3446, 0)),if(G813='Room Info'!$D$1, INDEX('Room Info'!$A$2:$A3446, MATCH(B813,'Room Info'!$D$2:$D3446, 0)),if(G813='Room Info'!$E$1, INDEX('Room Info'!$A$2:$A3446, MATCH(B813,'Room Info'!$E$2:$E3446, 0)),if(G813='Room Info'!$F$1, INDEX('Room Info'!$A$2:$A3446, MATCH(B813,'Room Info'!$F$2:$F3446, 0)),if(G813='Room Info'!$H$1, INDEX('Room Info'!$A$2:$A3446, MATCH(B813,'Room Info'!$H$2:$H3446, 0)),if(G813='Room Info'!$G$1, INDEX('Room Info'!$A$2:$A3446, MATCH(B813,'Room Info'!$G$2:$G3446, 0)))))))))</f>
        <v>kttweek1</v>
      </c>
      <c r="B813" s="50" t="s">
        <v>197</v>
      </c>
      <c r="C813" s="82">
        <v>44440.0</v>
      </c>
      <c r="D813" s="82">
        <v>44469.0</v>
      </c>
      <c r="E813" s="52">
        <v>44440.0</v>
      </c>
      <c r="F813" s="53" t="s">
        <v>8</v>
      </c>
      <c r="G813" s="50" t="s">
        <v>5</v>
      </c>
      <c r="H813" s="54" t="s">
        <v>45</v>
      </c>
      <c r="I813" s="54" t="s">
        <v>7</v>
      </c>
      <c r="J813" s="79">
        <v>10.0</v>
      </c>
      <c r="K813" s="80">
        <v>73.0</v>
      </c>
      <c r="L813" s="77">
        <v>-50.0</v>
      </c>
      <c r="M813" s="81">
        <v>30.0</v>
      </c>
      <c r="N813" s="33">
        <f t="shared" si="13"/>
        <v>730</v>
      </c>
      <c r="O813" s="50">
        <v>2578.0</v>
      </c>
      <c r="P813" s="34">
        <f t="shared" si="14"/>
        <v>35.31506849</v>
      </c>
      <c r="Q813" s="60"/>
      <c r="R813" s="36">
        <f t="shared" si="99"/>
        <v>30</v>
      </c>
      <c r="S813" s="78">
        <v>-6.0</v>
      </c>
      <c r="T813" s="37">
        <f t="shared" si="100"/>
        <v>24</v>
      </c>
      <c r="U813" s="62">
        <v>1.0</v>
      </c>
      <c r="V813" s="63"/>
      <c r="W813" s="63"/>
      <c r="X813" s="83">
        <v>0.17</v>
      </c>
      <c r="Y813" s="35">
        <f t="shared" si="123"/>
        <v>0</v>
      </c>
      <c r="Z813" s="40">
        <f t="shared" si="127"/>
        <v>19.92</v>
      </c>
      <c r="AA813" s="34">
        <f t="shared" si="128"/>
        <v>4.08</v>
      </c>
      <c r="AB813" s="41">
        <f t="shared" si="130"/>
        <v>0</v>
      </c>
      <c r="AC813" s="42" t="b">
        <v>1</v>
      </c>
      <c r="AD813" s="42" t="s">
        <v>138</v>
      </c>
      <c r="AE813" s="42" t="s">
        <v>138</v>
      </c>
      <c r="AF813" s="42" t="str">
        <f t="array" ref="AF813">INDEX('Deal Info'!D:D, MATCH(A813,'Deal Info'!A:A, 0))</f>
        <v>DoEVold</v>
      </c>
      <c r="AG813" s="43" t="str">
        <f t="array" ref="AG813">INDEX('Deal Info'!G:G, MATCH(A813,'Deal Info'!A:A, 0))</f>
        <v>None</v>
      </c>
    </row>
    <row r="814" hidden="1">
      <c r="A814" s="23" t="str">
        <f t="array" ref="A814">if(G814='Room Info'!$B$1, INDEX('Room Info'!$A$2:$A3446, MATCH(B814,'Room Info'!$B$2:$B3446, 0)),if(G814='Room Info'!$C$1, INDEX('Room Info'!$A$2:$A3446, MATCH(B814,'Room Info'!$C$2:$C3446, 0)),if(G814='Room Info'!$D$1, INDEX('Room Info'!$A$2:$A3446, MATCH(B814,'Room Info'!$D$2:$D3446, 0)),if(G814='Room Info'!$E$1, INDEX('Room Info'!$A$2:$A3446, MATCH(B814,'Room Info'!$E$2:$E3446, 0)),if(G814='Room Info'!$F$1, INDEX('Room Info'!$A$2:$A3446, MATCH(B814,'Room Info'!$F$2:$F3446, 0)),if(G814='Room Info'!$H$1, INDEX('Room Info'!$A$2:$A3446, MATCH(B814,'Room Info'!$H$2:$H3446, 0)),if(G814='Room Info'!$G$1, INDEX('Room Info'!$A$2:$A3446, MATCH(B814,'Room Info'!$G$2:$G3446, 0)))))))))</f>
        <v>kttweek1</v>
      </c>
      <c r="B814" s="50" t="s">
        <v>197</v>
      </c>
      <c r="C814" s="82">
        <v>44440.0</v>
      </c>
      <c r="D814" s="82">
        <v>44469.0</v>
      </c>
      <c r="E814" s="52">
        <v>44440.0</v>
      </c>
      <c r="F814" s="53" t="s">
        <v>8</v>
      </c>
      <c r="G814" s="50" t="s">
        <v>5</v>
      </c>
      <c r="H814" s="54" t="s">
        <v>62</v>
      </c>
      <c r="I814" s="54" t="s">
        <v>7</v>
      </c>
      <c r="J814" s="79">
        <v>25.0</v>
      </c>
      <c r="K814" s="80">
        <v>2804.0</v>
      </c>
      <c r="L814" s="77">
        <v>2925.0</v>
      </c>
      <c r="M814" s="81">
        <v>2441.0</v>
      </c>
      <c r="N814" s="33">
        <f t="shared" si="13"/>
        <v>70100</v>
      </c>
      <c r="O814" s="50">
        <v>114153.0</v>
      </c>
      <c r="P814" s="34">
        <f t="shared" si="14"/>
        <v>40.71077033</v>
      </c>
      <c r="Q814" s="60"/>
      <c r="R814" s="36">
        <f t="shared" si="99"/>
        <v>2441</v>
      </c>
      <c r="S814" s="78">
        <v>933.0</v>
      </c>
      <c r="T814" s="37">
        <f t="shared" si="100"/>
        <v>3374</v>
      </c>
      <c r="U814" s="62">
        <v>1.0</v>
      </c>
      <c r="V814" s="63"/>
      <c r="W814" s="63"/>
      <c r="X814" s="83">
        <v>0.17</v>
      </c>
      <c r="Y814" s="35">
        <f t="shared" si="123"/>
        <v>0</v>
      </c>
      <c r="Z814" s="40">
        <f t="shared" si="127"/>
        <v>2800.42</v>
      </c>
      <c r="AA814" s="34">
        <f t="shared" si="128"/>
        <v>573.58</v>
      </c>
      <c r="AB814" s="41">
        <f t="shared" si="130"/>
        <v>0</v>
      </c>
      <c r="AC814" s="42" t="b">
        <v>1</v>
      </c>
      <c r="AD814" s="42" t="s">
        <v>138</v>
      </c>
      <c r="AE814" s="42" t="s">
        <v>138</v>
      </c>
      <c r="AF814" s="42" t="str">
        <f t="array" ref="AF814">INDEX('Deal Info'!D:D, MATCH(A814,'Deal Info'!A:A, 0))</f>
        <v>DoEVold</v>
      </c>
      <c r="AG814" s="43" t="str">
        <f t="array" ref="AG814">INDEX('Deal Info'!G:G, MATCH(A814,'Deal Info'!A:A, 0))</f>
        <v>None</v>
      </c>
    </row>
    <row r="815" hidden="1">
      <c r="A815" s="23" t="str">
        <f t="array" ref="A815">if(G815='Room Info'!$B$1, INDEX('Room Info'!$A$2:$A3446, MATCH(B815,'Room Info'!$B$2:$B3446, 0)),if(G815='Room Info'!$C$1, INDEX('Room Info'!$A$2:$A3446, MATCH(B815,'Room Info'!$C$2:$C3446, 0)),if(G815='Room Info'!$D$1, INDEX('Room Info'!$A$2:$A3446, MATCH(B815,'Room Info'!$D$2:$D3446, 0)),if(G815='Room Info'!$E$1, INDEX('Room Info'!$A$2:$A3446, MATCH(B815,'Room Info'!$E$2:$E3446, 0)),if(G815='Room Info'!$F$1, INDEX('Room Info'!$A$2:$A3446, MATCH(B815,'Room Info'!$F$2:$F3446, 0)),if(G815='Room Info'!$H$1, INDEX('Room Info'!$A$2:$A3446, MATCH(B815,'Room Info'!$H$2:$H3446, 0)),if(G815='Room Info'!$G$1, INDEX('Room Info'!$A$2:$A3446, MATCH(B815,'Room Info'!$G$2:$G3446, 0)))))))))</f>
        <v>kttweek1</v>
      </c>
      <c r="B815" s="50" t="s">
        <v>197</v>
      </c>
      <c r="C815" s="82">
        <v>44440.0</v>
      </c>
      <c r="D815" s="82">
        <v>44469.0</v>
      </c>
      <c r="E815" s="52">
        <v>44440.0</v>
      </c>
      <c r="F815" s="53" t="s">
        <v>8</v>
      </c>
      <c r="G815" s="50" t="s">
        <v>5</v>
      </c>
      <c r="H815" s="54" t="s">
        <v>74</v>
      </c>
      <c r="I815" s="54" t="s">
        <v>7</v>
      </c>
      <c r="J815" s="79">
        <v>50.0</v>
      </c>
      <c r="K815" s="80">
        <v>82.0</v>
      </c>
      <c r="L815" s="77">
        <v>-1150.0</v>
      </c>
      <c r="M815" s="81">
        <v>143.0</v>
      </c>
      <c r="N815" s="33">
        <f t="shared" si="13"/>
        <v>4100</v>
      </c>
      <c r="O815" s="50">
        <v>-455.0</v>
      </c>
      <c r="P815" s="34">
        <f t="shared" si="14"/>
        <v>-5.548780488</v>
      </c>
      <c r="Q815" s="60"/>
      <c r="R815" s="36">
        <f t="shared" si="99"/>
        <v>143</v>
      </c>
      <c r="S815" s="78">
        <v>-298.0</v>
      </c>
      <c r="T815" s="37">
        <f t="shared" si="100"/>
        <v>-155</v>
      </c>
      <c r="U815" s="62">
        <v>1.0</v>
      </c>
      <c r="V815" s="63"/>
      <c r="W815" s="63"/>
      <c r="X815" s="83">
        <v>0.17</v>
      </c>
      <c r="Y815" s="35">
        <f t="shared" si="123"/>
        <v>0</v>
      </c>
      <c r="Z815" s="40">
        <f t="shared" si="127"/>
        <v>-128.65</v>
      </c>
      <c r="AA815" s="34">
        <f t="shared" si="128"/>
        <v>-26.35</v>
      </c>
      <c r="AB815" s="41">
        <f t="shared" si="130"/>
        <v>0</v>
      </c>
      <c r="AC815" s="42" t="b">
        <v>1</v>
      </c>
      <c r="AD815" s="42" t="s">
        <v>138</v>
      </c>
      <c r="AE815" s="42" t="s">
        <v>138</v>
      </c>
      <c r="AF815" s="42" t="str">
        <f t="array" ref="AF815">INDEX('Deal Info'!D:D, MATCH(A815,'Deal Info'!A:A, 0))</f>
        <v>DoEVold</v>
      </c>
      <c r="AG815" s="43" t="str">
        <f t="array" ref="AG815">INDEX('Deal Info'!G:G, MATCH(A815,'Deal Info'!A:A, 0))</f>
        <v>None</v>
      </c>
    </row>
    <row r="816" hidden="1">
      <c r="A816" s="23" t="str">
        <f t="array" ref="A816">if(G816='Room Info'!$B$1, INDEX('Room Info'!$A$2:$A3446, MATCH(B816,'Room Info'!$B$2:$B3446, 0)),if(G816='Room Info'!$C$1, INDEX('Room Info'!$A$2:$A3446, MATCH(B816,'Room Info'!$C$2:$C3446, 0)),if(G816='Room Info'!$D$1, INDEX('Room Info'!$A$2:$A3446, MATCH(B816,'Room Info'!$D$2:$D3446, 0)),if(G816='Room Info'!$E$1, INDEX('Room Info'!$A$2:$A3446, MATCH(B816,'Room Info'!$E$2:$E3446, 0)),if(G816='Room Info'!$F$1, INDEX('Room Info'!$A$2:$A3446, MATCH(B816,'Room Info'!$F$2:$F3446, 0)),if(G816='Room Info'!$H$1, INDEX('Room Info'!$A$2:$A3446, MATCH(B816,'Room Info'!$H$2:$H3446, 0)),if(G816='Room Info'!$G$1, INDEX('Room Info'!$A$2:$A3446, MATCH(B816,'Room Info'!$G$2:$G3446, 0)))))))))</f>
        <v>kttweek1</v>
      </c>
      <c r="B816" s="50" t="s">
        <v>197</v>
      </c>
      <c r="C816" s="82">
        <v>44470.0</v>
      </c>
      <c r="D816" s="82">
        <v>44500.0</v>
      </c>
      <c r="E816" s="52">
        <v>44470.0</v>
      </c>
      <c r="F816" s="53" t="s">
        <v>8</v>
      </c>
      <c r="G816" s="50" t="s">
        <v>5</v>
      </c>
      <c r="H816" s="54" t="s">
        <v>62</v>
      </c>
      <c r="I816" s="54" t="s">
        <v>7</v>
      </c>
      <c r="J816" s="79">
        <v>25.0</v>
      </c>
      <c r="K816" s="80">
        <v>2460.0</v>
      </c>
      <c r="L816" s="77">
        <v>-150.0</v>
      </c>
      <c r="M816" s="81">
        <v>507.0</v>
      </c>
      <c r="N816" s="33">
        <f t="shared" si="13"/>
        <v>61500</v>
      </c>
      <c r="O816" s="50">
        <v>96504.0</v>
      </c>
      <c r="P816" s="34">
        <f t="shared" si="14"/>
        <v>39.22926829</v>
      </c>
      <c r="Q816" s="60"/>
      <c r="R816" s="36">
        <f t="shared" si="99"/>
        <v>507</v>
      </c>
      <c r="S816" s="78">
        <v>409.0</v>
      </c>
      <c r="T816" s="37">
        <f t="shared" si="100"/>
        <v>916</v>
      </c>
      <c r="U816" s="62">
        <v>1.0</v>
      </c>
      <c r="V816" s="63"/>
      <c r="W816" s="63"/>
      <c r="X816" s="83">
        <v>0.17</v>
      </c>
      <c r="Y816" s="35">
        <f t="shared" si="123"/>
        <v>0</v>
      </c>
      <c r="Z816" s="40">
        <f t="shared" si="127"/>
        <v>760.28</v>
      </c>
      <c r="AA816" s="34">
        <f t="shared" si="128"/>
        <v>155.72</v>
      </c>
      <c r="AB816" s="41">
        <f t="shared" si="130"/>
        <v>0</v>
      </c>
      <c r="AC816" s="42" t="b">
        <v>1</v>
      </c>
      <c r="AD816" s="42" t="s">
        <v>138</v>
      </c>
      <c r="AE816" s="42" t="s">
        <v>138</v>
      </c>
      <c r="AF816" s="42" t="str">
        <f t="array" ref="AF816">INDEX('Deal Info'!D:D, MATCH(A816,'Deal Info'!A:A, 0))</f>
        <v>DoEVold</v>
      </c>
      <c r="AG816" s="43" t="str">
        <f t="array" ref="AG816">INDEX('Deal Info'!G:G, MATCH(A816,'Deal Info'!A:A, 0))</f>
        <v>None</v>
      </c>
    </row>
    <row r="817" hidden="1">
      <c r="A817" s="23" t="str">
        <f t="array" ref="A817">if(G817='Room Info'!$B$1, INDEX('Room Info'!$A$2:$A3446, MATCH(B817,'Room Info'!$B$2:$B3446, 0)),if(G817='Room Info'!$C$1, INDEX('Room Info'!$A$2:$A3446, MATCH(B817,'Room Info'!$C$2:$C3446, 0)),if(G817='Room Info'!$D$1, INDEX('Room Info'!$A$2:$A3446, MATCH(B817,'Room Info'!$D$2:$D3446, 0)),if(G817='Room Info'!$E$1, INDEX('Room Info'!$A$2:$A3446, MATCH(B817,'Room Info'!$E$2:$E3446, 0)),if(G817='Room Info'!$F$1, INDEX('Room Info'!$A$2:$A3446, MATCH(B817,'Room Info'!$F$2:$F3446, 0)),if(G817='Room Info'!$H$1, INDEX('Room Info'!$A$2:$A3446, MATCH(B817,'Room Info'!$H$2:$H3446, 0)),if(G817='Room Info'!$G$1, INDEX('Room Info'!$A$2:$A3446, MATCH(B817,'Room Info'!$G$2:$G3446, 0)))))))))</f>
        <v>kttweek1</v>
      </c>
      <c r="B817" s="50" t="s">
        <v>197</v>
      </c>
      <c r="C817" s="82">
        <v>44470.0</v>
      </c>
      <c r="D817" s="82">
        <v>44500.0</v>
      </c>
      <c r="E817" s="52">
        <v>44470.0</v>
      </c>
      <c r="F817" s="53" t="s">
        <v>8</v>
      </c>
      <c r="G817" s="59" t="s">
        <v>5</v>
      </c>
      <c r="H817" s="54" t="s">
        <v>74</v>
      </c>
      <c r="I817" s="54" t="s">
        <v>7</v>
      </c>
      <c r="J817" s="79">
        <v>50.0</v>
      </c>
      <c r="K817" s="80">
        <v>270.0</v>
      </c>
      <c r="L817" s="77">
        <v>-150.0</v>
      </c>
      <c r="M817" s="58">
        <v>2318.0</v>
      </c>
      <c r="N817" s="33">
        <f t="shared" si="13"/>
        <v>13500</v>
      </c>
      <c r="O817" s="50">
        <v>7104.0</v>
      </c>
      <c r="P817" s="34">
        <f t="shared" si="14"/>
        <v>26.31111111</v>
      </c>
      <c r="Q817" s="60"/>
      <c r="R817" s="36">
        <f t="shared" si="99"/>
        <v>2318</v>
      </c>
      <c r="S817" s="78">
        <v>-233.0</v>
      </c>
      <c r="T817" s="37">
        <f t="shared" si="100"/>
        <v>2085</v>
      </c>
      <c r="U817" s="62">
        <v>1.0</v>
      </c>
      <c r="V817" s="63"/>
      <c r="W817" s="63"/>
      <c r="X817" s="83">
        <v>0.17</v>
      </c>
      <c r="Y817" s="35">
        <f t="shared" si="123"/>
        <v>0</v>
      </c>
      <c r="Z817" s="40">
        <f t="shared" si="127"/>
        <v>1730.55</v>
      </c>
      <c r="AA817" s="34">
        <f t="shared" si="128"/>
        <v>354.45</v>
      </c>
      <c r="AB817" s="41">
        <f t="shared" si="130"/>
        <v>0</v>
      </c>
      <c r="AC817" s="42" t="b">
        <v>1</v>
      </c>
      <c r="AD817" s="42" t="s">
        <v>138</v>
      </c>
      <c r="AE817" s="42" t="s">
        <v>138</v>
      </c>
      <c r="AF817" s="42" t="str">
        <f t="array" ref="AF817">INDEX('Deal Info'!D:D, MATCH(A817,'Deal Info'!A:A, 0))</f>
        <v>DoEVold</v>
      </c>
      <c r="AG817" s="43" t="str">
        <f t="array" ref="AG817">INDEX('Deal Info'!G:G, MATCH(A817,'Deal Info'!A:A, 0))</f>
        <v>None</v>
      </c>
    </row>
    <row r="818" hidden="1">
      <c r="A818" s="23" t="str">
        <f t="array" ref="A818">if(G818='Room Info'!$B$1, INDEX('Room Info'!$A$2:$A3446, MATCH(B818,'Room Info'!$B$2:$B3446, 0)),if(G818='Room Info'!$C$1, INDEX('Room Info'!$A$2:$A3446, MATCH(B818,'Room Info'!$C$2:$C3446, 0)),if(G818='Room Info'!$D$1, INDEX('Room Info'!$A$2:$A3446, MATCH(B818,'Room Info'!$D$2:$D3446, 0)),if(G818='Room Info'!$E$1, INDEX('Room Info'!$A$2:$A3446, MATCH(B818,'Room Info'!$E$2:$E3446, 0)),if(G818='Room Info'!$F$1, INDEX('Room Info'!$A$2:$A3446, MATCH(B818,'Room Info'!$F$2:$F3446, 0)),if(G818='Room Info'!$H$1, INDEX('Room Info'!$A$2:$A3446, MATCH(B818,'Room Info'!$H$2:$H3446, 0)),if(G818='Room Info'!$G$1, INDEX('Room Info'!$A$2:$A3446, MATCH(B818,'Room Info'!$G$2:$G3446, 0)))))))))</f>
        <v>kttweek1</v>
      </c>
      <c r="B818" s="50" t="s">
        <v>198</v>
      </c>
      <c r="C818" s="82">
        <v>44501.0</v>
      </c>
      <c r="D818" s="82">
        <v>44530.0</v>
      </c>
      <c r="E818" s="52">
        <v>44501.0</v>
      </c>
      <c r="F818" s="53" t="s">
        <v>8</v>
      </c>
      <c r="G818" s="59" t="s">
        <v>22</v>
      </c>
      <c r="H818" s="54" t="s">
        <v>50</v>
      </c>
      <c r="I818" s="54" t="s">
        <v>7</v>
      </c>
      <c r="J818" s="79">
        <v>10.0</v>
      </c>
      <c r="K818" s="80">
        <v>21.0</v>
      </c>
      <c r="L818" s="77">
        <v>-60.0</v>
      </c>
      <c r="M818" s="67"/>
      <c r="N818" s="33">
        <f t="shared" si="13"/>
        <v>210</v>
      </c>
      <c r="O818" s="50">
        <v>-55.0</v>
      </c>
      <c r="P818" s="34">
        <f t="shared" si="14"/>
        <v>-2.619047619</v>
      </c>
      <c r="Q818" s="60"/>
      <c r="R818" s="36">
        <f t="shared" si="99"/>
        <v>0</v>
      </c>
      <c r="S818" s="78">
        <v>-17.0</v>
      </c>
      <c r="T818" s="37">
        <f t="shared" si="100"/>
        <v>-17</v>
      </c>
      <c r="U818" s="62">
        <v>1.0</v>
      </c>
      <c r="V818" s="63"/>
      <c r="W818" s="63"/>
      <c r="X818" s="83">
        <v>0.25</v>
      </c>
      <c r="Y818" s="35">
        <f t="shared" si="123"/>
        <v>0</v>
      </c>
      <c r="Z818" s="40">
        <f t="shared" si="127"/>
        <v>-12.75</v>
      </c>
      <c r="AA818" s="34">
        <f t="shared" si="128"/>
        <v>-4.25</v>
      </c>
      <c r="AB818" s="41">
        <f t="shared" si="130"/>
        <v>0</v>
      </c>
      <c r="AC818" s="42" t="b">
        <v>1</v>
      </c>
      <c r="AD818" s="42" t="s">
        <v>138</v>
      </c>
      <c r="AE818" s="42" t="s">
        <v>138</v>
      </c>
      <c r="AF818" s="42" t="str">
        <f t="array" ref="AF818">INDEX('Deal Info'!D:D, MATCH(A818,'Deal Info'!A:A, 0))</f>
        <v>DoEVold</v>
      </c>
      <c r="AG818" s="43" t="str">
        <f t="array" ref="AG818">INDEX('Deal Info'!G:G, MATCH(A818,'Deal Info'!A:A, 0))</f>
        <v>None</v>
      </c>
    </row>
    <row r="819" hidden="1">
      <c r="A819" s="23" t="str">
        <f t="array" ref="A819">if(G819='Room Info'!$B$1, INDEX('Room Info'!$A$2:$A3446, MATCH(B819,'Room Info'!$B$2:$B3446, 0)),if(G819='Room Info'!$C$1, INDEX('Room Info'!$A$2:$A3446, MATCH(B819,'Room Info'!$C$2:$C3446, 0)),if(G819='Room Info'!$D$1, INDEX('Room Info'!$A$2:$A3446, MATCH(B819,'Room Info'!$D$2:$D3446, 0)),if(G819='Room Info'!$E$1, INDEX('Room Info'!$A$2:$A3446, MATCH(B819,'Room Info'!$E$2:$E3446, 0)),if(G819='Room Info'!$F$1, INDEX('Room Info'!$A$2:$A3446, MATCH(B819,'Room Info'!$F$2:$F3446, 0)),if(G819='Room Info'!$H$1, INDEX('Room Info'!$A$2:$A3446, MATCH(B819,'Room Info'!$H$2:$H3446, 0)),if(G819='Room Info'!$G$1, INDEX('Room Info'!$A$2:$A3446, MATCH(B819,'Room Info'!$G$2:$G3446, 0)))))))))</f>
        <v>kttweek1</v>
      </c>
      <c r="B819" s="50" t="s">
        <v>198</v>
      </c>
      <c r="C819" s="82">
        <v>44501.0</v>
      </c>
      <c r="D819" s="82">
        <v>44530.0</v>
      </c>
      <c r="E819" s="52">
        <v>44501.0</v>
      </c>
      <c r="F819" s="53" t="s">
        <v>12</v>
      </c>
      <c r="G819" s="59" t="s">
        <v>22</v>
      </c>
      <c r="H819" s="54" t="s">
        <v>14</v>
      </c>
      <c r="I819" s="54" t="s">
        <v>11</v>
      </c>
      <c r="J819" s="79">
        <v>0.25</v>
      </c>
      <c r="K819" s="80">
        <v>4.0</v>
      </c>
      <c r="L819" s="77">
        <v>0.75</v>
      </c>
      <c r="M819" s="67"/>
      <c r="N819" s="33">
        <f t="shared" si="13"/>
        <v>1</v>
      </c>
      <c r="O819" s="101"/>
      <c r="P819" s="34">
        <f t="shared" si="14"/>
        <v>0</v>
      </c>
      <c r="Q819" s="60"/>
      <c r="R819" s="36">
        <f t="shared" si="99"/>
        <v>0</v>
      </c>
      <c r="S819" s="102"/>
      <c r="T819" s="37">
        <f t="shared" si="100"/>
        <v>0.75</v>
      </c>
      <c r="U819" s="62">
        <v>1.0</v>
      </c>
      <c r="V819" s="63"/>
      <c r="W819" s="63"/>
      <c r="X819" s="83">
        <v>0.25</v>
      </c>
      <c r="Y819" s="35">
        <f t="shared" si="123"/>
        <v>0</v>
      </c>
      <c r="Z819" s="40">
        <f t="shared" si="127"/>
        <v>0.5625</v>
      </c>
      <c r="AA819" s="34">
        <f t="shared" si="128"/>
        <v>0.1875</v>
      </c>
      <c r="AB819" s="41">
        <f t="shared" si="130"/>
        <v>0</v>
      </c>
      <c r="AC819" s="42" t="b">
        <v>1</v>
      </c>
      <c r="AD819" s="42" t="s">
        <v>138</v>
      </c>
      <c r="AE819" s="42" t="s">
        <v>138</v>
      </c>
      <c r="AF819" s="42" t="str">
        <f t="array" ref="AF819">INDEX('Deal Info'!D:D, MATCH(A819,'Deal Info'!A:A, 0))</f>
        <v>DoEVold</v>
      </c>
      <c r="AG819" s="43" t="str">
        <f t="array" ref="AG819">INDEX('Deal Info'!G:G, MATCH(A819,'Deal Info'!A:A, 0))</f>
        <v>None</v>
      </c>
    </row>
    <row r="820" hidden="1">
      <c r="A820" s="23" t="str">
        <f t="array" ref="A820">if(G820='Room Info'!$B$1, INDEX('Room Info'!$A$2:$A3446, MATCH(B820,'Room Info'!$B$2:$B3446, 0)),if(G820='Room Info'!$C$1, INDEX('Room Info'!$A$2:$A3446, MATCH(B820,'Room Info'!$C$2:$C3446, 0)),if(G820='Room Info'!$D$1, INDEX('Room Info'!$A$2:$A3446, MATCH(B820,'Room Info'!$D$2:$D3446, 0)),if(G820='Room Info'!$E$1, INDEX('Room Info'!$A$2:$A3446, MATCH(B820,'Room Info'!$E$2:$E3446, 0)),if(G820='Room Info'!$F$1, INDEX('Room Info'!$A$2:$A3446, MATCH(B820,'Room Info'!$F$2:$F3446, 0)),if(G820='Room Info'!$H$1, INDEX('Room Info'!$A$2:$A3446, MATCH(B820,'Room Info'!$H$2:$H3446, 0)),if(G820='Room Info'!$G$1, INDEX('Room Info'!$A$2:$A3446, MATCH(B820,'Room Info'!$G$2:$G3446, 0)))))))))</f>
        <v>kttweek1</v>
      </c>
      <c r="B820" s="50" t="s">
        <v>197</v>
      </c>
      <c r="C820" s="82">
        <v>44501.0</v>
      </c>
      <c r="D820" s="82">
        <v>44530.0</v>
      </c>
      <c r="E820" s="52">
        <v>44501.0</v>
      </c>
      <c r="F820" s="53" t="s">
        <v>8</v>
      </c>
      <c r="G820" s="59" t="s">
        <v>5</v>
      </c>
      <c r="H820" s="54" t="s">
        <v>45</v>
      </c>
      <c r="I820" s="54" t="s">
        <v>7</v>
      </c>
      <c r="J820" s="79">
        <v>10.0</v>
      </c>
      <c r="K820" s="80">
        <v>19.0</v>
      </c>
      <c r="L820" s="77">
        <v>60.0</v>
      </c>
      <c r="M820" s="58">
        <v>10.0</v>
      </c>
      <c r="N820" s="33">
        <f t="shared" si="13"/>
        <v>190</v>
      </c>
      <c r="O820" s="50">
        <v>1056.0</v>
      </c>
      <c r="P820" s="34">
        <f t="shared" si="14"/>
        <v>55.57894737</v>
      </c>
      <c r="Q820" s="60"/>
      <c r="R820" s="36">
        <f t="shared" si="99"/>
        <v>10</v>
      </c>
      <c r="S820" s="78">
        <v>5.0</v>
      </c>
      <c r="T820" s="37">
        <f t="shared" si="100"/>
        <v>15</v>
      </c>
      <c r="U820" s="62">
        <v>1.0</v>
      </c>
      <c r="V820" s="63"/>
      <c r="W820" s="63"/>
      <c r="X820" s="83">
        <v>0.25</v>
      </c>
      <c r="Y820" s="35">
        <f t="shared" si="123"/>
        <v>0</v>
      </c>
      <c r="Z820" s="40">
        <f t="shared" si="127"/>
        <v>11.25</v>
      </c>
      <c r="AA820" s="34">
        <f t="shared" si="128"/>
        <v>3.75</v>
      </c>
      <c r="AB820" s="41">
        <f t="shared" si="130"/>
        <v>0</v>
      </c>
      <c r="AC820" s="42" t="b">
        <v>1</v>
      </c>
      <c r="AD820" s="42" t="s">
        <v>138</v>
      </c>
      <c r="AE820" s="42" t="s">
        <v>138</v>
      </c>
      <c r="AF820" s="42" t="str">
        <f t="array" ref="AF820">INDEX('Deal Info'!D:D, MATCH(A820,'Deal Info'!A:A, 0))</f>
        <v>DoEVold</v>
      </c>
      <c r="AG820" s="43" t="str">
        <f t="array" ref="AG820">INDEX('Deal Info'!G:G, MATCH(A820,'Deal Info'!A:A, 0))</f>
        <v>None</v>
      </c>
    </row>
    <row r="821" hidden="1">
      <c r="A821" s="23" t="str">
        <f t="array" ref="A821">if(G821='Room Info'!$B$1, INDEX('Room Info'!$A$2:$A3446, MATCH(B821,'Room Info'!$B$2:$B3446, 0)),if(G821='Room Info'!$C$1, INDEX('Room Info'!$A$2:$A3446, MATCH(B821,'Room Info'!$C$2:$C3446, 0)),if(G821='Room Info'!$D$1, INDEX('Room Info'!$A$2:$A3446, MATCH(B821,'Room Info'!$D$2:$D3446, 0)),if(G821='Room Info'!$E$1, INDEX('Room Info'!$A$2:$A3446, MATCH(B821,'Room Info'!$E$2:$E3446, 0)),if(G821='Room Info'!$F$1, INDEX('Room Info'!$A$2:$A3446, MATCH(B821,'Room Info'!$F$2:$F3446, 0)),if(G821='Room Info'!$H$1, INDEX('Room Info'!$A$2:$A3446, MATCH(B821,'Room Info'!$H$2:$H3446, 0)),if(G821='Room Info'!$G$1, INDEX('Room Info'!$A$2:$A3446, MATCH(B821,'Room Info'!$G$2:$G3446, 0)))))))))</f>
        <v>kttweek1</v>
      </c>
      <c r="B821" s="50" t="s">
        <v>197</v>
      </c>
      <c r="C821" s="51">
        <v>44501.0</v>
      </c>
      <c r="D821" s="51">
        <v>44530.0</v>
      </c>
      <c r="E821" s="52">
        <v>44501.0</v>
      </c>
      <c r="F821" s="53" t="s">
        <v>8</v>
      </c>
      <c r="G821" s="50" t="s">
        <v>5</v>
      </c>
      <c r="H821" s="54" t="s">
        <v>63</v>
      </c>
      <c r="I821" s="54" t="s">
        <v>11</v>
      </c>
      <c r="J821" s="55">
        <v>25.0</v>
      </c>
      <c r="K821" s="56">
        <v>40.0</v>
      </c>
      <c r="L821" s="57">
        <v>50.0</v>
      </c>
      <c r="M821" s="58">
        <v>44.0</v>
      </c>
      <c r="N821" s="33">
        <f t="shared" si="13"/>
        <v>1000</v>
      </c>
      <c r="O821" s="59">
        <v>1448.0</v>
      </c>
      <c r="P821" s="34">
        <f t="shared" si="14"/>
        <v>36.2</v>
      </c>
      <c r="Q821" s="60"/>
      <c r="R821" s="36">
        <f t="shared" si="99"/>
        <v>44</v>
      </c>
      <c r="S821" s="61">
        <v>44.0</v>
      </c>
      <c r="T821" s="37">
        <f t="shared" si="100"/>
        <v>88</v>
      </c>
      <c r="U821" s="62">
        <v>1.0</v>
      </c>
      <c r="V821" s="63"/>
      <c r="W821" s="63"/>
      <c r="X821" s="83">
        <v>0.25</v>
      </c>
      <c r="Y821" s="35">
        <f t="shared" si="123"/>
        <v>0</v>
      </c>
      <c r="Z821" s="40">
        <f t="shared" si="127"/>
        <v>66</v>
      </c>
      <c r="AA821" s="34">
        <f t="shared" si="128"/>
        <v>22</v>
      </c>
      <c r="AB821" s="41">
        <f t="shared" si="130"/>
        <v>0</v>
      </c>
      <c r="AC821" s="42" t="b">
        <v>1</v>
      </c>
      <c r="AD821" s="42" t="s">
        <v>138</v>
      </c>
      <c r="AE821" s="42" t="s">
        <v>138</v>
      </c>
      <c r="AF821" s="42" t="str">
        <f t="array" ref="AF821">INDEX('Deal Info'!D:D, MATCH(A821,'Deal Info'!A:A, 0))</f>
        <v>DoEVold</v>
      </c>
      <c r="AG821" s="43" t="str">
        <f t="array" ref="AG821">INDEX('Deal Info'!G:G, MATCH(A821,'Deal Info'!A:A, 0))</f>
        <v>None</v>
      </c>
    </row>
    <row r="822" hidden="1">
      <c r="A822" s="23" t="str">
        <f t="array" ref="A822">if(G822='Room Info'!$B$1, INDEX('Room Info'!$A$2:$A3446, MATCH(B822,'Room Info'!$B$2:$B3446, 0)),if(G822='Room Info'!$C$1, INDEX('Room Info'!$A$2:$A3446, MATCH(B822,'Room Info'!$C$2:$C3446, 0)),if(G822='Room Info'!$D$1, INDEX('Room Info'!$A$2:$A3446, MATCH(B822,'Room Info'!$D$2:$D3446, 0)),if(G822='Room Info'!$E$1, INDEX('Room Info'!$A$2:$A3446, MATCH(B822,'Room Info'!$E$2:$E3446, 0)),if(G822='Room Info'!$F$1, INDEX('Room Info'!$A$2:$A3446, MATCH(B822,'Room Info'!$F$2:$F3446, 0)),if(G822='Room Info'!$H$1, INDEX('Room Info'!$A$2:$A3446, MATCH(B822,'Room Info'!$H$2:$H3446, 0)),if(G822='Room Info'!$G$1, INDEX('Room Info'!$A$2:$A3446, MATCH(B822,'Room Info'!$G$2:$G3446, 0)))))))))</f>
        <v>kttweek1</v>
      </c>
      <c r="B822" s="50" t="s">
        <v>197</v>
      </c>
      <c r="C822" s="51">
        <v>44501.0</v>
      </c>
      <c r="D822" s="51">
        <v>44530.0</v>
      </c>
      <c r="E822" s="52">
        <v>44501.0</v>
      </c>
      <c r="F822" s="53" t="s">
        <v>8</v>
      </c>
      <c r="G822" s="50" t="s">
        <v>5</v>
      </c>
      <c r="H822" s="54" t="s">
        <v>62</v>
      </c>
      <c r="I822" s="54" t="s">
        <v>7</v>
      </c>
      <c r="J822" s="55">
        <v>25.0</v>
      </c>
      <c r="K822" s="56">
        <v>160.0</v>
      </c>
      <c r="L822" s="57">
        <v>550.0</v>
      </c>
      <c r="M822" s="58">
        <v>181.0</v>
      </c>
      <c r="N822" s="33">
        <f t="shared" si="13"/>
        <v>4000</v>
      </c>
      <c r="O822" s="59">
        <v>9218.0</v>
      </c>
      <c r="P822" s="34">
        <f t="shared" si="14"/>
        <v>57.6125</v>
      </c>
      <c r="Q822" s="60"/>
      <c r="R822" s="36">
        <f t="shared" si="99"/>
        <v>181</v>
      </c>
      <c r="S822" s="61">
        <v>157.0</v>
      </c>
      <c r="T822" s="37">
        <f t="shared" si="100"/>
        <v>338</v>
      </c>
      <c r="U822" s="62">
        <v>1.0</v>
      </c>
      <c r="V822" s="63"/>
      <c r="W822" s="63"/>
      <c r="X822" s="83">
        <v>0.25</v>
      </c>
      <c r="Y822" s="35">
        <f t="shared" si="123"/>
        <v>0</v>
      </c>
      <c r="Z822" s="40">
        <f t="shared" si="127"/>
        <v>253.5</v>
      </c>
      <c r="AA822" s="34">
        <f t="shared" si="128"/>
        <v>84.5</v>
      </c>
      <c r="AB822" s="41">
        <f t="shared" si="130"/>
        <v>0</v>
      </c>
      <c r="AC822" s="42" t="b">
        <v>1</v>
      </c>
      <c r="AD822" s="42" t="s">
        <v>138</v>
      </c>
      <c r="AE822" s="42" t="s">
        <v>138</v>
      </c>
      <c r="AF822" s="42" t="str">
        <f t="array" ref="AF822">INDEX('Deal Info'!D:D, MATCH(A822,'Deal Info'!A:A, 0))</f>
        <v>DoEVold</v>
      </c>
      <c r="AG822" s="43" t="str">
        <f t="array" ref="AG822">INDEX('Deal Info'!G:G, MATCH(A822,'Deal Info'!A:A, 0))</f>
        <v>None</v>
      </c>
    </row>
    <row r="823" hidden="1">
      <c r="A823" s="23" t="str">
        <f t="array" ref="A823">if(G823='Room Info'!$B$1, INDEX('Room Info'!$A$2:$A3446, MATCH(B823,'Room Info'!$B$2:$B3446, 0)),if(G823='Room Info'!$C$1, INDEX('Room Info'!$A$2:$A3446, MATCH(B823,'Room Info'!$C$2:$C3446, 0)),if(G823='Room Info'!$D$1, INDEX('Room Info'!$A$2:$A3446, MATCH(B823,'Room Info'!$D$2:$D3446, 0)),if(G823='Room Info'!$E$1, INDEX('Room Info'!$A$2:$A3446, MATCH(B823,'Room Info'!$E$2:$E3446, 0)),if(G823='Room Info'!$F$1, INDEX('Room Info'!$A$2:$A3446, MATCH(B823,'Room Info'!$F$2:$F3446, 0)),if(G823='Room Info'!$H$1, INDEX('Room Info'!$A$2:$A3446, MATCH(B823,'Room Info'!$H$2:$H3446, 0)),if(G823='Room Info'!$G$1, INDEX('Room Info'!$A$2:$A3446, MATCH(B823,'Room Info'!$G$2:$G3446, 0)))))))))</f>
        <v>kttweek1</v>
      </c>
      <c r="B823" s="50" t="s">
        <v>197</v>
      </c>
      <c r="C823" s="51">
        <v>44501.0</v>
      </c>
      <c r="D823" s="51">
        <v>44530.0</v>
      </c>
      <c r="E823" s="52">
        <v>44501.0</v>
      </c>
      <c r="F823" s="53" t="s">
        <v>8</v>
      </c>
      <c r="G823" s="50" t="s">
        <v>5</v>
      </c>
      <c r="H823" s="54" t="s">
        <v>48</v>
      </c>
      <c r="I823" s="54" t="s">
        <v>11</v>
      </c>
      <c r="J823" s="55">
        <v>10.0</v>
      </c>
      <c r="K823" s="56">
        <v>235.0</v>
      </c>
      <c r="L823" s="57">
        <v>100.0</v>
      </c>
      <c r="M823" s="58">
        <v>120.0</v>
      </c>
      <c r="N823" s="33">
        <f t="shared" si="13"/>
        <v>2350</v>
      </c>
      <c r="O823" s="59">
        <v>6618.0</v>
      </c>
      <c r="P823" s="34">
        <f t="shared" si="14"/>
        <v>28.16170213</v>
      </c>
      <c r="Q823" s="60"/>
      <c r="R823" s="36">
        <f t="shared" si="99"/>
        <v>120</v>
      </c>
      <c r="S823" s="61">
        <v>21.0</v>
      </c>
      <c r="T823" s="37">
        <f t="shared" si="100"/>
        <v>141</v>
      </c>
      <c r="U823" s="62">
        <v>1.0</v>
      </c>
      <c r="V823" s="63"/>
      <c r="W823" s="63"/>
      <c r="X823" s="83">
        <v>0.25</v>
      </c>
      <c r="Y823" s="35">
        <f t="shared" si="123"/>
        <v>0</v>
      </c>
      <c r="Z823" s="40">
        <f t="shared" si="127"/>
        <v>105.75</v>
      </c>
      <c r="AA823" s="34">
        <f t="shared" si="128"/>
        <v>35.25</v>
      </c>
      <c r="AB823" s="41">
        <f t="shared" si="130"/>
        <v>0</v>
      </c>
      <c r="AC823" s="42" t="b">
        <v>1</v>
      </c>
      <c r="AD823" s="42" t="s">
        <v>138</v>
      </c>
      <c r="AE823" s="42" t="s">
        <v>138</v>
      </c>
      <c r="AF823" s="42" t="str">
        <f t="array" ref="AF823">INDEX('Deal Info'!D:D, MATCH(A823,'Deal Info'!A:A, 0))</f>
        <v>DoEVold</v>
      </c>
      <c r="AG823" s="43" t="str">
        <f t="array" ref="AG823">INDEX('Deal Info'!G:G, MATCH(A823,'Deal Info'!A:A, 0))</f>
        <v>None</v>
      </c>
    </row>
    <row r="824" hidden="1">
      <c r="A824" s="23" t="str">
        <f t="array" ref="A824">if(G824='Room Info'!$B$1, INDEX('Room Info'!$A$2:$A3446, MATCH(B824,'Room Info'!$B$2:$B3446, 0)),if(G824='Room Info'!$C$1, INDEX('Room Info'!$A$2:$A3446, MATCH(B824,'Room Info'!$C$2:$C3446, 0)),if(G824='Room Info'!$D$1, INDEX('Room Info'!$A$2:$A3446, MATCH(B824,'Room Info'!$D$2:$D3446, 0)),if(G824='Room Info'!$E$1, INDEX('Room Info'!$A$2:$A3446, MATCH(B824,'Room Info'!$E$2:$E3446, 0)),if(G824='Room Info'!$F$1, INDEX('Room Info'!$A$2:$A3446, MATCH(B824,'Room Info'!$F$2:$F3446, 0)),if(G824='Room Info'!$H$1, INDEX('Room Info'!$A$2:$A3446, MATCH(B824,'Room Info'!$H$2:$H3446, 0)),if(G824='Room Info'!$G$1, INDEX('Room Info'!$A$2:$A3446, MATCH(B824,'Room Info'!$G$2:$G3446, 0)))))))))</f>
        <v>kttweek1</v>
      </c>
      <c r="B824" s="50" t="s">
        <v>197</v>
      </c>
      <c r="C824" s="51">
        <v>44501.0</v>
      </c>
      <c r="D824" s="51">
        <v>44530.0</v>
      </c>
      <c r="E824" s="52">
        <v>44501.0</v>
      </c>
      <c r="F824" s="53" t="s">
        <v>12</v>
      </c>
      <c r="G824" s="50" t="s">
        <v>5</v>
      </c>
      <c r="H824" s="54" t="s">
        <v>10</v>
      </c>
      <c r="I824" s="54" t="s">
        <v>11</v>
      </c>
      <c r="J824" s="55">
        <v>0.25</v>
      </c>
      <c r="K824" s="56">
        <v>3.0</v>
      </c>
      <c r="L824" s="57">
        <v>-0.75</v>
      </c>
      <c r="M824" s="67"/>
      <c r="N824" s="33">
        <f t="shared" si="13"/>
        <v>0.75</v>
      </c>
      <c r="O824" s="70"/>
      <c r="P824" s="34">
        <f t="shared" si="14"/>
        <v>0</v>
      </c>
      <c r="Q824" s="60"/>
      <c r="R824" s="36">
        <f t="shared" si="99"/>
        <v>0</v>
      </c>
      <c r="S824" s="71"/>
      <c r="T824" s="37">
        <f t="shared" si="100"/>
        <v>-0.75</v>
      </c>
      <c r="U824" s="62">
        <v>1.0</v>
      </c>
      <c r="V824" s="63"/>
      <c r="W824" s="63"/>
      <c r="X824" s="83">
        <v>0.25</v>
      </c>
      <c r="Y824" s="35">
        <f t="shared" si="123"/>
        <v>0</v>
      </c>
      <c r="Z824" s="40">
        <f t="shared" si="127"/>
        <v>-0.5625</v>
      </c>
      <c r="AA824" s="34">
        <f t="shared" si="128"/>
        <v>-0.1875</v>
      </c>
      <c r="AB824" s="41">
        <f t="shared" si="130"/>
        <v>0</v>
      </c>
      <c r="AC824" s="42" t="b">
        <v>1</v>
      </c>
      <c r="AD824" s="42" t="s">
        <v>138</v>
      </c>
      <c r="AE824" s="42" t="s">
        <v>138</v>
      </c>
      <c r="AF824" s="42" t="str">
        <f t="array" ref="AF824">INDEX('Deal Info'!D:D, MATCH(A824,'Deal Info'!A:A, 0))</f>
        <v>DoEVold</v>
      </c>
      <c r="AG824" s="43" t="str">
        <f t="array" ref="AG824">INDEX('Deal Info'!G:G, MATCH(A824,'Deal Info'!A:A, 0))</f>
        <v>None</v>
      </c>
    </row>
    <row r="825" hidden="1">
      <c r="A825" s="23" t="str">
        <f t="array" ref="A825">if(G825='Room Info'!$B$1, INDEX('Room Info'!$A$2:$A3446, MATCH(B825,'Room Info'!$B$2:$B3446, 0)),if(G825='Room Info'!$C$1, INDEX('Room Info'!$A$2:$A3446, MATCH(B825,'Room Info'!$C$2:$C3446, 0)),if(G825='Room Info'!$D$1, INDEX('Room Info'!$A$2:$A3446, MATCH(B825,'Room Info'!$D$2:$D3446, 0)),if(G825='Room Info'!$E$1, INDEX('Room Info'!$A$2:$A3446, MATCH(B825,'Room Info'!$E$2:$E3446, 0)),if(G825='Room Info'!$F$1, INDEX('Room Info'!$A$2:$A3446, MATCH(B825,'Room Info'!$F$2:$F3446, 0)),if(G825='Room Info'!$H$1, INDEX('Room Info'!$A$2:$A3446, MATCH(B825,'Room Info'!$H$2:$H3446, 0)),if(G825='Room Info'!$G$1, INDEX('Room Info'!$A$2:$A3446, MATCH(B825,'Room Info'!$G$2:$G3446, 0)))))))))</f>
        <v>kttweek1</v>
      </c>
      <c r="B825" s="50" t="s">
        <v>197</v>
      </c>
      <c r="C825" s="51">
        <v>44531.0</v>
      </c>
      <c r="D825" s="51">
        <v>44550.0</v>
      </c>
      <c r="E825" s="52">
        <v>44531.0</v>
      </c>
      <c r="F825" s="53" t="s">
        <v>8</v>
      </c>
      <c r="G825" s="50" t="s">
        <v>5</v>
      </c>
      <c r="H825" s="54" t="s">
        <v>48</v>
      </c>
      <c r="I825" s="54" t="s">
        <v>11</v>
      </c>
      <c r="J825" s="55">
        <v>10.0</v>
      </c>
      <c r="K825" s="56">
        <v>1359.0</v>
      </c>
      <c r="L825" s="57">
        <v>-1100.0</v>
      </c>
      <c r="M825" s="58">
        <v>350.0</v>
      </c>
      <c r="N825" s="33">
        <f t="shared" si="13"/>
        <v>13590</v>
      </c>
      <c r="O825" s="59">
        <v>15763.0</v>
      </c>
      <c r="P825" s="34">
        <f t="shared" si="14"/>
        <v>11.59896983</v>
      </c>
      <c r="Q825" s="60"/>
      <c r="R825" s="36">
        <f t="shared" si="99"/>
        <v>350</v>
      </c>
      <c r="S825" s="61">
        <v>-582.0</v>
      </c>
      <c r="T825" s="37">
        <f t="shared" si="100"/>
        <v>-232</v>
      </c>
      <c r="U825" s="62">
        <v>1.0</v>
      </c>
      <c r="V825" s="63"/>
      <c r="W825" s="63"/>
      <c r="X825" s="83">
        <v>0.25</v>
      </c>
      <c r="Y825" s="35">
        <f t="shared" si="123"/>
        <v>0</v>
      </c>
      <c r="Z825" s="40">
        <f t="shared" si="127"/>
        <v>-174</v>
      </c>
      <c r="AA825" s="34">
        <f t="shared" si="128"/>
        <v>-58</v>
      </c>
      <c r="AB825" s="41">
        <f t="shared" si="130"/>
        <v>0</v>
      </c>
      <c r="AC825" s="42" t="b">
        <v>1</v>
      </c>
      <c r="AD825" s="42" t="s">
        <v>138</v>
      </c>
      <c r="AE825" s="42" t="s">
        <v>138</v>
      </c>
      <c r="AF825" s="42" t="str">
        <f t="array" ref="AF825">INDEX('Deal Info'!D:D, MATCH(A825,'Deal Info'!A:A, 0))</f>
        <v>DoEVold</v>
      </c>
      <c r="AG825" s="43" t="str">
        <f t="array" ref="AG825">INDEX('Deal Info'!G:G, MATCH(A825,'Deal Info'!A:A, 0))</f>
        <v>None</v>
      </c>
    </row>
    <row r="826" hidden="1">
      <c r="A826" s="23" t="str">
        <f t="array" ref="A826">if(G826='Room Info'!$B$1, INDEX('Room Info'!$A$2:$A3446, MATCH(B826,'Room Info'!$B$2:$B3446, 0)),if(G826='Room Info'!$C$1, INDEX('Room Info'!$A$2:$A3446, MATCH(B826,'Room Info'!$C$2:$C3446, 0)),if(G826='Room Info'!$D$1, INDEX('Room Info'!$A$2:$A3446, MATCH(B826,'Room Info'!$D$2:$D3446, 0)),if(G826='Room Info'!$E$1, INDEX('Room Info'!$A$2:$A3446, MATCH(B826,'Room Info'!$E$2:$E3446, 0)),if(G826='Room Info'!$F$1, INDEX('Room Info'!$A$2:$A3446, MATCH(B826,'Room Info'!$F$2:$F3446, 0)),if(G826='Room Info'!$H$1, INDEX('Room Info'!$A$2:$A3446, MATCH(B826,'Room Info'!$H$2:$H3446, 0)),if(G826='Room Info'!$G$1, INDEX('Room Info'!$A$2:$A3446, MATCH(B826,'Room Info'!$G$2:$G3446, 0)))))))))</f>
        <v>kttweek1</v>
      </c>
      <c r="B826" s="50" t="s">
        <v>197</v>
      </c>
      <c r="C826" s="51">
        <v>44531.0</v>
      </c>
      <c r="D826" s="51">
        <v>44550.0</v>
      </c>
      <c r="E826" s="52">
        <v>44531.0</v>
      </c>
      <c r="F826" s="53" t="s">
        <v>8</v>
      </c>
      <c r="G826" s="50" t="s">
        <v>5</v>
      </c>
      <c r="H826" s="54" t="s">
        <v>45</v>
      </c>
      <c r="I826" s="54" t="s">
        <v>7</v>
      </c>
      <c r="J826" s="55">
        <v>10.0</v>
      </c>
      <c r="K826" s="56">
        <v>5.0</v>
      </c>
      <c r="L826" s="57">
        <v>-20.0</v>
      </c>
      <c r="M826" s="58">
        <v>1.0</v>
      </c>
      <c r="N826" s="33">
        <f t="shared" si="13"/>
        <v>50</v>
      </c>
      <c r="O826" s="59">
        <v>-1027.0</v>
      </c>
      <c r="P826" s="34">
        <f t="shared" si="14"/>
        <v>-205.4</v>
      </c>
      <c r="Q826" s="60"/>
      <c r="R826" s="36">
        <f t="shared" si="99"/>
        <v>1</v>
      </c>
      <c r="S826" s="61">
        <v>-23.0</v>
      </c>
      <c r="T826" s="37">
        <f t="shared" si="100"/>
        <v>-22</v>
      </c>
      <c r="U826" s="62">
        <v>1.0</v>
      </c>
      <c r="V826" s="63"/>
      <c r="W826" s="63"/>
      <c r="X826" s="83">
        <v>0.25</v>
      </c>
      <c r="Y826" s="35">
        <f t="shared" si="123"/>
        <v>0</v>
      </c>
      <c r="Z826" s="40">
        <f t="shared" si="127"/>
        <v>-16.5</v>
      </c>
      <c r="AA826" s="34">
        <f t="shared" si="128"/>
        <v>-5.5</v>
      </c>
      <c r="AB826" s="41">
        <f t="shared" si="130"/>
        <v>0</v>
      </c>
      <c r="AC826" s="42" t="b">
        <v>1</v>
      </c>
      <c r="AD826" s="42" t="s">
        <v>138</v>
      </c>
      <c r="AE826" s="42" t="s">
        <v>138</v>
      </c>
      <c r="AF826" s="42" t="str">
        <f t="array" ref="AF826">INDEX('Deal Info'!D:D, MATCH(A826,'Deal Info'!A:A, 0))</f>
        <v>DoEVold</v>
      </c>
      <c r="AG826" s="43" t="str">
        <f t="array" ref="AG826">INDEX('Deal Info'!G:G, MATCH(A826,'Deal Info'!A:A, 0))</f>
        <v>None</v>
      </c>
    </row>
    <row r="827" hidden="1">
      <c r="A827" s="23" t="str">
        <f t="array" ref="A827">if(G827='Room Info'!$B$1, INDEX('Room Info'!$A$2:$A3446, MATCH(B827,'Room Info'!$B$2:$B3446, 0)),if(G827='Room Info'!$C$1, INDEX('Room Info'!$A$2:$A3446, MATCH(B827,'Room Info'!$C$2:$C3446, 0)),if(G827='Room Info'!$D$1, INDEX('Room Info'!$A$2:$A3446, MATCH(B827,'Room Info'!$D$2:$D3446, 0)),if(G827='Room Info'!$E$1, INDEX('Room Info'!$A$2:$A3446, MATCH(B827,'Room Info'!$E$2:$E3446, 0)),if(G827='Room Info'!$F$1, INDEX('Room Info'!$A$2:$A3446, MATCH(B827,'Room Info'!$F$2:$F3446, 0)),if(G827='Room Info'!$H$1, INDEX('Room Info'!$A$2:$A3446, MATCH(B827,'Room Info'!$H$2:$H3446, 0)),if(G827='Room Info'!$G$1, INDEX('Room Info'!$A$2:$A3446, MATCH(B827,'Room Info'!$G$2:$G3446, 0)))))))))</f>
        <v>kttweek1</v>
      </c>
      <c r="B827" s="59" t="s">
        <v>197</v>
      </c>
      <c r="C827" s="82">
        <v>44531.0</v>
      </c>
      <c r="D827" s="82">
        <v>44550.0</v>
      </c>
      <c r="E827" s="52">
        <v>44531.0</v>
      </c>
      <c r="F827" s="53" t="s">
        <v>8</v>
      </c>
      <c r="G827" s="50" t="s">
        <v>5</v>
      </c>
      <c r="H827" s="54" t="s">
        <v>74</v>
      </c>
      <c r="I827" s="54" t="s">
        <v>7</v>
      </c>
      <c r="J827" s="79">
        <v>50.0</v>
      </c>
      <c r="K827" s="80">
        <v>60.0</v>
      </c>
      <c r="L827" s="77">
        <v>700.0</v>
      </c>
      <c r="M827" s="81">
        <v>66.0</v>
      </c>
      <c r="N827" s="33">
        <f t="shared" si="13"/>
        <v>3000</v>
      </c>
      <c r="O827" s="109">
        <v>2002.0</v>
      </c>
      <c r="P827" s="34">
        <f t="shared" si="14"/>
        <v>33.36666667</v>
      </c>
      <c r="Q827" s="60"/>
      <c r="R827" s="36">
        <f t="shared" si="99"/>
        <v>66</v>
      </c>
      <c r="S827" s="78">
        <v>-20.0</v>
      </c>
      <c r="T827" s="37">
        <f t="shared" si="100"/>
        <v>46</v>
      </c>
      <c r="U827" s="62">
        <v>1.0</v>
      </c>
      <c r="V827" s="63"/>
      <c r="W827" s="63"/>
      <c r="X827" s="83">
        <v>0.25</v>
      </c>
      <c r="Y827" s="35">
        <f t="shared" si="123"/>
        <v>0</v>
      </c>
      <c r="Z827" s="40">
        <f t="shared" si="127"/>
        <v>34.5</v>
      </c>
      <c r="AA827" s="34">
        <f t="shared" si="128"/>
        <v>11.5</v>
      </c>
      <c r="AB827" s="41">
        <f t="shared" si="130"/>
        <v>0</v>
      </c>
      <c r="AC827" s="42" t="b">
        <v>1</v>
      </c>
      <c r="AD827" s="42" t="s">
        <v>138</v>
      </c>
      <c r="AE827" s="42" t="s">
        <v>138</v>
      </c>
      <c r="AF827" s="42" t="str">
        <f t="array" ref="AF827">INDEX('Deal Info'!D:D, MATCH(A827,'Deal Info'!A:A, 0))</f>
        <v>DoEVold</v>
      </c>
      <c r="AG827" s="43" t="str">
        <f t="array" ref="AG827">INDEX('Deal Info'!G:G, MATCH(A827,'Deal Info'!A:A, 0))</f>
        <v>None</v>
      </c>
    </row>
    <row r="828" hidden="1">
      <c r="A828" s="23" t="str">
        <f t="array" ref="A828">if(G828='Room Info'!$B$1, INDEX('Room Info'!$A$2:$A3446, MATCH(B828,'Room Info'!$B$2:$B3446, 0)),if(G828='Room Info'!$C$1, INDEX('Room Info'!$A$2:$A3446, MATCH(B828,'Room Info'!$C$2:$C3446, 0)),if(G828='Room Info'!$D$1, INDEX('Room Info'!$A$2:$A3446, MATCH(B828,'Room Info'!$D$2:$D3446, 0)),if(G828='Room Info'!$E$1, INDEX('Room Info'!$A$2:$A3446, MATCH(B828,'Room Info'!$E$2:$E3446, 0)),if(G828='Room Info'!$F$1, INDEX('Room Info'!$A$2:$A3446, MATCH(B828,'Room Info'!$F$2:$F3446, 0)),if(G828='Room Info'!$H$1, INDEX('Room Info'!$A$2:$A3446, MATCH(B828,'Room Info'!$H$2:$H3446, 0)),if(G828='Room Info'!$G$1, INDEX('Room Info'!$A$2:$A3446, MATCH(B828,'Room Info'!$G$2:$G3446, 0)))))))))</f>
        <v>kttweek1</v>
      </c>
      <c r="B828" s="59" t="s">
        <v>197</v>
      </c>
      <c r="C828" s="82">
        <v>44531.0</v>
      </c>
      <c r="D828" s="82">
        <v>44550.0</v>
      </c>
      <c r="E828" s="52">
        <v>44531.0</v>
      </c>
      <c r="F828" s="53" t="s">
        <v>8</v>
      </c>
      <c r="G828" s="50" t="s">
        <v>5</v>
      </c>
      <c r="H828" s="54" t="s">
        <v>62</v>
      </c>
      <c r="I828" s="54" t="s">
        <v>7</v>
      </c>
      <c r="J828" s="79">
        <v>25.0</v>
      </c>
      <c r="K828" s="80">
        <v>730.0</v>
      </c>
      <c r="L828" s="110">
        <v>1375.0</v>
      </c>
      <c r="M828" s="81">
        <v>404.0</v>
      </c>
      <c r="N828" s="33">
        <f t="shared" si="13"/>
        <v>18250</v>
      </c>
      <c r="O828" s="109">
        <v>31388.0</v>
      </c>
      <c r="P828" s="34">
        <f t="shared" si="14"/>
        <v>42.99726027</v>
      </c>
      <c r="Q828" s="60"/>
      <c r="R828" s="36">
        <f t="shared" si="99"/>
        <v>404</v>
      </c>
      <c r="S828" s="78">
        <v>204.0</v>
      </c>
      <c r="T828" s="37">
        <f t="shared" si="100"/>
        <v>608</v>
      </c>
      <c r="U828" s="62">
        <v>1.0</v>
      </c>
      <c r="V828" s="63"/>
      <c r="W828" s="63"/>
      <c r="X828" s="83">
        <v>0.25</v>
      </c>
      <c r="Y828" s="35">
        <f t="shared" si="123"/>
        <v>0</v>
      </c>
      <c r="Z828" s="40">
        <f t="shared" si="127"/>
        <v>456</v>
      </c>
      <c r="AA828" s="34">
        <f t="shared" si="128"/>
        <v>152</v>
      </c>
      <c r="AB828" s="41">
        <f t="shared" si="130"/>
        <v>0</v>
      </c>
      <c r="AC828" s="42" t="b">
        <v>1</v>
      </c>
      <c r="AD828" s="42" t="s">
        <v>138</v>
      </c>
      <c r="AE828" s="42" t="s">
        <v>138</v>
      </c>
      <c r="AF828" s="42" t="str">
        <f t="array" ref="AF828">INDEX('Deal Info'!D:D, MATCH(A828,'Deal Info'!A:A, 0))</f>
        <v>DoEVold</v>
      </c>
      <c r="AG828" s="43" t="str">
        <f t="array" ref="AG828">INDEX('Deal Info'!G:G, MATCH(A828,'Deal Info'!A:A, 0))</f>
        <v>None</v>
      </c>
    </row>
    <row r="829" hidden="1">
      <c r="A829" s="23" t="str">
        <f t="array" ref="A829">if(G829='Room Info'!$B$1, INDEX('Room Info'!$A$2:$A3446, MATCH(B829,'Room Info'!$B$2:$B3446, 0)),if(G829='Room Info'!$C$1, INDEX('Room Info'!$A$2:$A3446, MATCH(B829,'Room Info'!$C$2:$C3446, 0)),if(G829='Room Info'!$D$1, INDEX('Room Info'!$A$2:$A3446, MATCH(B829,'Room Info'!$D$2:$D3446, 0)),if(G829='Room Info'!$E$1, INDEX('Room Info'!$A$2:$A3446, MATCH(B829,'Room Info'!$E$2:$E3446, 0)),if(G829='Room Info'!$F$1, INDEX('Room Info'!$A$2:$A3446, MATCH(B829,'Room Info'!$F$2:$F3446, 0)),if(G829='Room Info'!$H$1, INDEX('Room Info'!$A$2:$A3446, MATCH(B829,'Room Info'!$H$2:$H3446, 0)),if(G829='Room Info'!$G$1, INDEX('Room Info'!$A$2:$A3446, MATCH(B829,'Room Info'!$G$2:$G3446, 0)))))))))</f>
        <v>kttweek1</v>
      </c>
      <c r="B829" s="50" t="s">
        <v>197</v>
      </c>
      <c r="C829" s="51">
        <v>44531.0</v>
      </c>
      <c r="D829" s="51">
        <v>44550.0</v>
      </c>
      <c r="E829" s="52">
        <v>44531.0</v>
      </c>
      <c r="F829" s="53" t="s">
        <v>12</v>
      </c>
      <c r="G829" s="50" t="s">
        <v>5</v>
      </c>
      <c r="H829" s="54" t="s">
        <v>37</v>
      </c>
      <c r="I829" s="54" t="s">
        <v>11</v>
      </c>
      <c r="J829" s="55">
        <v>5.0</v>
      </c>
      <c r="K829" s="56">
        <v>24.0</v>
      </c>
      <c r="L829" s="57">
        <v>-20.0</v>
      </c>
      <c r="M829" s="58">
        <v>3.0</v>
      </c>
      <c r="N829" s="33">
        <f t="shared" si="13"/>
        <v>120</v>
      </c>
      <c r="O829" s="70"/>
      <c r="P829" s="34">
        <f t="shared" si="14"/>
        <v>0</v>
      </c>
      <c r="Q829" s="60"/>
      <c r="R829" s="36">
        <f t="shared" si="99"/>
        <v>3</v>
      </c>
      <c r="S829" s="71"/>
      <c r="T829" s="37">
        <f t="shared" si="100"/>
        <v>-17</v>
      </c>
      <c r="U829" s="62">
        <v>1.0</v>
      </c>
      <c r="V829" s="63"/>
      <c r="W829" s="63"/>
      <c r="X829" s="83">
        <v>0.25</v>
      </c>
      <c r="Y829" s="35">
        <f t="shared" si="123"/>
        <v>0</v>
      </c>
      <c r="Z829" s="40">
        <f t="shared" si="127"/>
        <v>-12.75</v>
      </c>
      <c r="AA829" s="34">
        <f t="shared" si="128"/>
        <v>-4.25</v>
      </c>
      <c r="AB829" s="41">
        <f t="shared" si="130"/>
        <v>0</v>
      </c>
      <c r="AC829" s="42" t="b">
        <v>1</v>
      </c>
      <c r="AD829" s="42" t="s">
        <v>138</v>
      </c>
      <c r="AE829" s="42" t="s">
        <v>138</v>
      </c>
      <c r="AF829" s="42" t="str">
        <f t="array" ref="AF829">INDEX('Deal Info'!D:D, MATCH(A829,'Deal Info'!A:A, 0))</f>
        <v>DoEVold</v>
      </c>
      <c r="AG829" s="43" t="str">
        <f t="array" ref="AG829">INDEX('Deal Info'!G:G, MATCH(A829,'Deal Info'!A:A, 0))</f>
        <v>None</v>
      </c>
    </row>
    <row r="830" hidden="1">
      <c r="A830" s="23" t="str">
        <f t="array" ref="A830">if(G830='Room Info'!$B$1, INDEX('Room Info'!$A$2:$A3446, MATCH(B830,'Room Info'!$B$2:$B3446, 0)),if(G830='Room Info'!$C$1, INDEX('Room Info'!$A$2:$A3446, MATCH(B830,'Room Info'!$C$2:$C3446, 0)),if(G830='Room Info'!$D$1, INDEX('Room Info'!$A$2:$A3446, MATCH(B830,'Room Info'!$D$2:$D3446, 0)),if(G830='Room Info'!$E$1, INDEX('Room Info'!$A$2:$A3446, MATCH(B830,'Room Info'!$E$2:$E3446, 0)),if(G830='Room Info'!$F$1, INDEX('Room Info'!$A$2:$A3446, MATCH(B830,'Room Info'!$F$2:$F3446, 0)),if(G830='Room Info'!$H$1, INDEX('Room Info'!$A$2:$A3446, MATCH(B830,'Room Info'!$H$2:$H3446, 0)),if(G830='Room Info'!$G$1, INDEX('Room Info'!$A$2:$A3446, MATCH(B830,'Room Info'!$G$2:$G3446, 0)))))))))</f>
        <v>kttweek1</v>
      </c>
      <c r="B830" s="50" t="s">
        <v>197</v>
      </c>
      <c r="C830" s="51">
        <v>44551.0</v>
      </c>
      <c r="D830" s="51">
        <v>44592.0</v>
      </c>
      <c r="E830" s="52">
        <v>44562.0</v>
      </c>
      <c r="F830" s="53" t="s">
        <v>8</v>
      </c>
      <c r="G830" s="50" t="s">
        <v>5</v>
      </c>
      <c r="H830" s="54" t="s">
        <v>48</v>
      </c>
      <c r="I830" s="54" t="s">
        <v>11</v>
      </c>
      <c r="J830" s="55">
        <v>10.0</v>
      </c>
      <c r="K830" s="56">
        <v>42.0</v>
      </c>
      <c r="L830" s="57">
        <v>120.0</v>
      </c>
      <c r="M830" s="58">
        <v>31.0</v>
      </c>
      <c r="N830" s="33">
        <f t="shared" si="13"/>
        <v>420</v>
      </c>
      <c r="O830" s="59">
        <v>1229.0</v>
      </c>
      <c r="P830" s="34">
        <f t="shared" si="14"/>
        <v>29.26190476</v>
      </c>
      <c r="Q830" s="60"/>
      <c r="R830" s="36">
        <f t="shared" si="99"/>
        <v>31</v>
      </c>
      <c r="S830" s="61">
        <v>7.0</v>
      </c>
      <c r="T830" s="37">
        <f t="shared" si="100"/>
        <v>38</v>
      </c>
      <c r="U830" s="62">
        <v>1.0</v>
      </c>
      <c r="V830" s="63"/>
      <c r="W830" s="63"/>
      <c r="X830" s="83">
        <v>0.17</v>
      </c>
      <c r="Y830" s="35">
        <f t="shared" si="123"/>
        <v>0</v>
      </c>
      <c r="Z830" s="40">
        <f t="shared" si="127"/>
        <v>31.54</v>
      </c>
      <c r="AA830" s="34">
        <f t="shared" si="128"/>
        <v>6.46</v>
      </c>
      <c r="AB830" s="41">
        <f t="shared" si="130"/>
        <v>0</v>
      </c>
      <c r="AC830" s="66" t="b">
        <v>1</v>
      </c>
      <c r="AD830" s="42" t="s">
        <v>138</v>
      </c>
      <c r="AE830" s="42" t="s">
        <v>138</v>
      </c>
      <c r="AF830" s="42" t="str">
        <f t="array" ref="AF830">INDEX('Deal Info'!D:D, MATCH(A830,'Deal Info'!A:A, 0))</f>
        <v>DoEVold</v>
      </c>
      <c r="AG830" s="43" t="str">
        <f t="array" ref="AG830">INDEX('Deal Info'!G:G, MATCH(A830,'Deal Info'!A:A, 0))</f>
        <v>None</v>
      </c>
    </row>
    <row r="831" hidden="1">
      <c r="A831" s="23" t="str">
        <f t="array" ref="A831">if(G831='Room Info'!$B$1, INDEX('Room Info'!$A$2:$A3446, MATCH(B831,'Room Info'!$B$2:$B3446, 0)),if(G831='Room Info'!$C$1, INDEX('Room Info'!$A$2:$A3446, MATCH(B831,'Room Info'!$C$2:$C3446, 0)),if(G831='Room Info'!$D$1, INDEX('Room Info'!$A$2:$A3446, MATCH(B831,'Room Info'!$D$2:$D3446, 0)),if(G831='Room Info'!$E$1, INDEX('Room Info'!$A$2:$A3446, MATCH(B831,'Room Info'!$E$2:$E3446, 0)),if(G831='Room Info'!$F$1, INDEX('Room Info'!$A$2:$A3446, MATCH(B831,'Room Info'!$F$2:$F3446, 0)),if(G831='Room Info'!$H$1, INDEX('Room Info'!$A$2:$A3446, MATCH(B831,'Room Info'!$H$2:$H3446, 0)),if(G831='Room Info'!$G$1, INDEX('Room Info'!$A$2:$A3446, MATCH(B831,'Room Info'!$G$2:$G3446, 0)))))))))</f>
        <v>kttweek1</v>
      </c>
      <c r="B831" s="59" t="s">
        <v>197</v>
      </c>
      <c r="C831" s="51">
        <v>44551.0</v>
      </c>
      <c r="D831" s="51">
        <v>44592.0</v>
      </c>
      <c r="E831" s="52">
        <v>44562.0</v>
      </c>
      <c r="F831" s="53" t="s">
        <v>8</v>
      </c>
      <c r="G831" s="50" t="s">
        <v>5</v>
      </c>
      <c r="H831" s="54" t="s">
        <v>45</v>
      </c>
      <c r="I831" s="54" t="s">
        <v>7</v>
      </c>
      <c r="J831" s="55">
        <v>10.0</v>
      </c>
      <c r="K831" s="56">
        <v>107.0</v>
      </c>
      <c r="L831" s="57">
        <v>-90.0</v>
      </c>
      <c r="M831" s="58">
        <v>80.0</v>
      </c>
      <c r="N831" s="33">
        <f t="shared" si="13"/>
        <v>1070</v>
      </c>
      <c r="O831" s="59">
        <v>5211.0</v>
      </c>
      <c r="P831" s="34">
        <f t="shared" si="14"/>
        <v>48.70093458</v>
      </c>
      <c r="Q831" s="60"/>
      <c r="R831" s="36">
        <f t="shared" si="99"/>
        <v>80</v>
      </c>
      <c r="S831" s="61">
        <v>17.0</v>
      </c>
      <c r="T831" s="37">
        <f t="shared" si="100"/>
        <v>97</v>
      </c>
      <c r="U831" s="62">
        <v>1.0</v>
      </c>
      <c r="V831" s="63"/>
      <c r="W831" s="63"/>
      <c r="X831" s="83">
        <v>0.17</v>
      </c>
      <c r="Y831" s="35">
        <f t="shared" si="123"/>
        <v>0</v>
      </c>
      <c r="Z831" s="40">
        <f t="shared" si="127"/>
        <v>80.51</v>
      </c>
      <c r="AA831" s="34">
        <f t="shared" si="128"/>
        <v>16.49</v>
      </c>
      <c r="AB831" s="41">
        <f t="shared" si="130"/>
        <v>0</v>
      </c>
      <c r="AC831" s="66" t="b">
        <v>1</v>
      </c>
      <c r="AD831" s="42" t="s">
        <v>138</v>
      </c>
      <c r="AE831" s="42" t="s">
        <v>138</v>
      </c>
      <c r="AF831" s="42" t="str">
        <f t="array" ref="AF831">INDEX('Deal Info'!D:D, MATCH(A831,'Deal Info'!A:A, 0))</f>
        <v>DoEVold</v>
      </c>
      <c r="AG831" s="43" t="str">
        <f t="array" ref="AG831">INDEX('Deal Info'!G:G, MATCH(A831,'Deal Info'!A:A, 0))</f>
        <v>None</v>
      </c>
    </row>
    <row r="832" hidden="1">
      <c r="A832" s="23" t="str">
        <f t="array" ref="A832">if(G832='Room Info'!$B$1, INDEX('Room Info'!$A$2:$A3446, MATCH(B832,'Room Info'!$B$2:$B3446, 0)),if(G832='Room Info'!$C$1, INDEX('Room Info'!$A$2:$A3446, MATCH(B832,'Room Info'!$C$2:$C3446, 0)),if(G832='Room Info'!$D$1, INDEX('Room Info'!$A$2:$A3446, MATCH(B832,'Room Info'!$D$2:$D3446, 0)),if(G832='Room Info'!$E$1, INDEX('Room Info'!$A$2:$A3446, MATCH(B832,'Room Info'!$E$2:$E3446, 0)),if(G832='Room Info'!$F$1, INDEX('Room Info'!$A$2:$A3446, MATCH(B832,'Room Info'!$F$2:$F3446, 0)),if(G832='Room Info'!$H$1, INDEX('Room Info'!$A$2:$A3446, MATCH(B832,'Room Info'!$H$2:$H3446, 0)),if(G832='Room Info'!$G$1, INDEX('Room Info'!$A$2:$A3446, MATCH(B832,'Room Info'!$G$2:$G3446, 0)))))))))</f>
        <v>kttweek1</v>
      </c>
      <c r="B832" s="59" t="s">
        <v>197</v>
      </c>
      <c r="C832" s="51">
        <v>44551.0</v>
      </c>
      <c r="D832" s="51">
        <v>44592.0</v>
      </c>
      <c r="E832" s="52">
        <v>44562.0</v>
      </c>
      <c r="F832" s="53" t="s">
        <v>8</v>
      </c>
      <c r="G832" s="50" t="s">
        <v>5</v>
      </c>
      <c r="H832" s="54" t="s">
        <v>62</v>
      </c>
      <c r="I832" s="54" t="s">
        <v>7</v>
      </c>
      <c r="J832" s="55">
        <v>25.0</v>
      </c>
      <c r="K832" s="56">
        <v>855.0</v>
      </c>
      <c r="L832" s="57">
        <v>-575.0</v>
      </c>
      <c r="M832" s="58">
        <v>1369.0</v>
      </c>
      <c r="N832" s="33">
        <f t="shared" si="13"/>
        <v>21375</v>
      </c>
      <c r="O832" s="59">
        <v>37237.0</v>
      </c>
      <c r="P832" s="34">
        <f t="shared" si="14"/>
        <v>43.55204678</v>
      </c>
      <c r="Q832" s="60"/>
      <c r="R832" s="36">
        <f t="shared" si="99"/>
        <v>1369</v>
      </c>
      <c r="S832" s="61">
        <v>366.0</v>
      </c>
      <c r="T832" s="37">
        <f t="shared" si="100"/>
        <v>1735</v>
      </c>
      <c r="U832" s="62">
        <v>1.0</v>
      </c>
      <c r="V832" s="63"/>
      <c r="W832" s="63"/>
      <c r="X832" s="83">
        <v>0.17</v>
      </c>
      <c r="Y832" s="35">
        <f t="shared" si="123"/>
        <v>0</v>
      </c>
      <c r="Z832" s="40">
        <f t="shared" si="127"/>
        <v>1440.05</v>
      </c>
      <c r="AA832" s="34">
        <f t="shared" si="128"/>
        <v>294.95</v>
      </c>
      <c r="AB832" s="41">
        <f t="shared" si="130"/>
        <v>0</v>
      </c>
      <c r="AC832" s="66" t="b">
        <v>1</v>
      </c>
      <c r="AD832" s="42" t="s">
        <v>138</v>
      </c>
      <c r="AE832" s="42" t="s">
        <v>138</v>
      </c>
      <c r="AF832" s="42" t="str">
        <f t="array" ref="AF832">INDEX('Deal Info'!D:D, MATCH(A832,'Deal Info'!A:A, 0))</f>
        <v>DoEVold</v>
      </c>
      <c r="AG832" s="43" t="str">
        <f t="array" ref="AG832">INDEX('Deal Info'!G:G, MATCH(A832,'Deal Info'!A:A, 0))</f>
        <v>None</v>
      </c>
    </row>
    <row r="833" hidden="1">
      <c r="A833" s="23" t="str">
        <f t="array" ref="A833">if(G833='Room Info'!$B$1, INDEX('Room Info'!$A$2:$A3446, MATCH(B833,'Room Info'!$B$2:$B3446, 0)),if(G833='Room Info'!$C$1, INDEX('Room Info'!$A$2:$A3446, MATCH(B833,'Room Info'!$C$2:$C3446, 0)),if(G833='Room Info'!$D$1, INDEX('Room Info'!$A$2:$A3446, MATCH(B833,'Room Info'!$D$2:$D3446, 0)),if(G833='Room Info'!$E$1, INDEX('Room Info'!$A$2:$A3446, MATCH(B833,'Room Info'!$E$2:$E3446, 0)),if(G833='Room Info'!$F$1, INDEX('Room Info'!$A$2:$A3446, MATCH(B833,'Room Info'!$F$2:$F3446, 0)),if(G833='Room Info'!$H$1, INDEX('Room Info'!$A$2:$A3446, MATCH(B833,'Room Info'!$H$2:$H3446, 0)),if(G833='Room Info'!$G$1, INDEX('Room Info'!$A$2:$A3446, MATCH(B833,'Room Info'!$G$2:$G3446, 0)))))))))</f>
        <v>kttweek1</v>
      </c>
      <c r="B833" s="50" t="s">
        <v>197</v>
      </c>
      <c r="C833" s="51">
        <v>44551.0</v>
      </c>
      <c r="D833" s="51">
        <v>44592.0</v>
      </c>
      <c r="E833" s="52">
        <v>44562.0</v>
      </c>
      <c r="F833" s="53" t="s">
        <v>8</v>
      </c>
      <c r="G833" s="50" t="s">
        <v>5</v>
      </c>
      <c r="H833" s="54" t="s">
        <v>74</v>
      </c>
      <c r="I833" s="54" t="s">
        <v>7</v>
      </c>
      <c r="J833" s="55">
        <v>50.0</v>
      </c>
      <c r="K833" s="56">
        <v>392.0</v>
      </c>
      <c r="L833" s="57">
        <v>950.0</v>
      </c>
      <c r="M833" s="58">
        <v>1254.0</v>
      </c>
      <c r="N833" s="33">
        <f t="shared" si="13"/>
        <v>19600</v>
      </c>
      <c r="O833" s="59">
        <v>24052.0</v>
      </c>
      <c r="P833" s="34">
        <f t="shared" si="14"/>
        <v>61.35714286</v>
      </c>
      <c r="Q833" s="60"/>
      <c r="R833" s="36">
        <f t="shared" si="99"/>
        <v>1254</v>
      </c>
      <c r="S833" s="61">
        <v>983.0</v>
      </c>
      <c r="T833" s="37">
        <f t="shared" si="100"/>
        <v>2237</v>
      </c>
      <c r="U833" s="62">
        <v>1.0</v>
      </c>
      <c r="V833" s="63"/>
      <c r="W833" s="63"/>
      <c r="X833" s="83">
        <v>0.17</v>
      </c>
      <c r="Y833" s="35">
        <f t="shared" si="123"/>
        <v>0</v>
      </c>
      <c r="Z833" s="40">
        <f t="shared" si="127"/>
        <v>1856.71</v>
      </c>
      <c r="AA833" s="34">
        <f t="shared" si="128"/>
        <v>380.29</v>
      </c>
      <c r="AB833" s="41">
        <f t="shared" si="130"/>
        <v>0</v>
      </c>
      <c r="AC833" s="66" t="b">
        <v>1</v>
      </c>
      <c r="AD833" s="42" t="s">
        <v>138</v>
      </c>
      <c r="AE833" s="42" t="s">
        <v>138</v>
      </c>
      <c r="AF833" s="42" t="str">
        <f t="array" ref="AF833">INDEX('Deal Info'!D:D, MATCH(A833,'Deal Info'!A:A, 0))</f>
        <v>DoEVold</v>
      </c>
      <c r="AG833" s="43" t="str">
        <f t="array" ref="AG833">INDEX('Deal Info'!G:G, MATCH(A833,'Deal Info'!A:A, 0))</f>
        <v>None</v>
      </c>
    </row>
    <row r="834" hidden="1">
      <c r="A834" s="23" t="str">
        <f t="array" ref="A834">if(G834='Room Info'!$B$1, INDEX('Room Info'!$A$2:$A3446, MATCH(B834,'Room Info'!$B$2:$B3446, 0)),if(G834='Room Info'!$C$1, INDEX('Room Info'!$A$2:$A3446, MATCH(B834,'Room Info'!$C$2:$C3446, 0)),if(G834='Room Info'!$D$1, INDEX('Room Info'!$A$2:$A3446, MATCH(B834,'Room Info'!$D$2:$D3446, 0)),if(G834='Room Info'!$E$1, INDEX('Room Info'!$A$2:$A3446, MATCH(B834,'Room Info'!$E$2:$E3446, 0)),if(G834='Room Info'!$F$1, INDEX('Room Info'!$A$2:$A3446, MATCH(B834,'Room Info'!$F$2:$F3446, 0)),if(G834='Room Info'!$H$1, INDEX('Room Info'!$A$2:$A3446, MATCH(B834,'Room Info'!$H$2:$H3446, 0)),if(G834='Room Info'!$G$1, INDEX('Room Info'!$A$2:$A3446, MATCH(B834,'Room Info'!$G$2:$G3446, 0)))))))))</f>
        <v>kttweek1</v>
      </c>
      <c r="B834" s="50" t="s">
        <v>197</v>
      </c>
      <c r="C834" s="51">
        <v>44593.0</v>
      </c>
      <c r="D834" s="51">
        <v>44620.0</v>
      </c>
      <c r="E834" s="52">
        <v>44593.0</v>
      </c>
      <c r="F834" s="53" t="s">
        <v>8</v>
      </c>
      <c r="G834" s="50" t="s">
        <v>5</v>
      </c>
      <c r="H834" s="54" t="s">
        <v>62</v>
      </c>
      <c r="I834" s="54" t="s">
        <v>7</v>
      </c>
      <c r="J834" s="55">
        <v>25.0</v>
      </c>
      <c r="K834" s="56">
        <v>1387.0</v>
      </c>
      <c r="L834" s="57">
        <v>-325.0</v>
      </c>
      <c r="M834" s="58">
        <v>1181.0</v>
      </c>
      <c r="N834" s="33">
        <f t="shared" si="13"/>
        <v>34675</v>
      </c>
      <c r="O834" s="59">
        <v>69084.0</v>
      </c>
      <c r="P834" s="34">
        <f t="shared" si="14"/>
        <v>49.80821918</v>
      </c>
      <c r="Q834" s="60"/>
      <c r="R834" s="36">
        <f t="shared" si="99"/>
        <v>1181</v>
      </c>
      <c r="S834" s="61">
        <v>1054.0</v>
      </c>
      <c r="T834" s="37">
        <f t="shared" si="100"/>
        <v>2235</v>
      </c>
      <c r="U834" s="62">
        <v>1.0</v>
      </c>
      <c r="V834" s="63"/>
      <c r="W834" s="63"/>
      <c r="X834" s="83">
        <v>0.17</v>
      </c>
      <c r="Y834" s="35">
        <f t="shared" si="123"/>
        <v>0</v>
      </c>
      <c r="Z834" s="40">
        <f t="shared" si="127"/>
        <v>1855.05</v>
      </c>
      <c r="AA834" s="34">
        <f t="shared" si="128"/>
        <v>379.95</v>
      </c>
      <c r="AB834" s="41">
        <f t="shared" si="130"/>
        <v>0</v>
      </c>
      <c r="AC834" s="42" t="b">
        <v>1</v>
      </c>
      <c r="AD834" s="42" t="s">
        <v>138</v>
      </c>
      <c r="AE834" s="42" t="s">
        <v>138</v>
      </c>
      <c r="AF834" s="42" t="str">
        <f t="array" ref="AF834">INDEX('Deal Info'!D:D, MATCH(A834,'Deal Info'!A:A, 0))</f>
        <v>DoEVold</v>
      </c>
      <c r="AG834" s="43" t="str">
        <f t="array" ref="AG834">INDEX('Deal Info'!G:G, MATCH(A834,'Deal Info'!A:A, 0))</f>
        <v>None</v>
      </c>
    </row>
    <row r="835" hidden="1">
      <c r="A835" s="23" t="str">
        <f t="array" ref="A835">if(G835='Room Info'!$B$1, INDEX('Room Info'!$A$2:$A3446, MATCH(B835,'Room Info'!$B$2:$B3446, 0)),if(G835='Room Info'!$C$1, INDEX('Room Info'!$A$2:$A3446, MATCH(B835,'Room Info'!$C$2:$C3446, 0)),if(G835='Room Info'!$D$1, INDEX('Room Info'!$A$2:$A3446, MATCH(B835,'Room Info'!$D$2:$D3446, 0)),if(G835='Room Info'!$E$1, INDEX('Room Info'!$A$2:$A3446, MATCH(B835,'Room Info'!$E$2:$E3446, 0)),if(G835='Room Info'!$F$1, INDEX('Room Info'!$A$2:$A3446, MATCH(B835,'Room Info'!$F$2:$F3446, 0)),if(G835='Room Info'!$H$1, INDEX('Room Info'!$A$2:$A3446, MATCH(B835,'Room Info'!$H$2:$H3446, 0)),if(G835='Room Info'!$G$1, INDEX('Room Info'!$A$2:$A3446, MATCH(B835,'Room Info'!$G$2:$G3446, 0)))))))))</f>
        <v>kttweek1</v>
      </c>
      <c r="B835" s="50" t="s">
        <v>197</v>
      </c>
      <c r="C835" s="51">
        <v>44593.0</v>
      </c>
      <c r="D835" s="51">
        <v>44620.0</v>
      </c>
      <c r="E835" s="52">
        <v>44593.0</v>
      </c>
      <c r="F835" s="53" t="s">
        <v>8</v>
      </c>
      <c r="G835" s="50" t="s">
        <v>5</v>
      </c>
      <c r="H835" s="54" t="s">
        <v>74</v>
      </c>
      <c r="I835" s="54" t="s">
        <v>7</v>
      </c>
      <c r="J835" s="55">
        <v>50.0</v>
      </c>
      <c r="K835" s="56">
        <v>443.0</v>
      </c>
      <c r="L835" s="57">
        <v>250.0</v>
      </c>
      <c r="M835" s="58">
        <v>754.0</v>
      </c>
      <c r="N835" s="33">
        <f t="shared" si="13"/>
        <v>22150</v>
      </c>
      <c r="O835" s="59">
        <v>15161.0</v>
      </c>
      <c r="P835" s="34">
        <f t="shared" si="14"/>
        <v>34.2234763</v>
      </c>
      <c r="Q835" s="60"/>
      <c r="R835" s="36">
        <f t="shared" si="99"/>
        <v>754</v>
      </c>
      <c r="S835" s="61">
        <v>32.0</v>
      </c>
      <c r="T835" s="37">
        <f t="shared" si="100"/>
        <v>786</v>
      </c>
      <c r="U835" s="62">
        <v>1.0</v>
      </c>
      <c r="V835" s="63"/>
      <c r="W835" s="63"/>
      <c r="X835" s="83">
        <v>0.17</v>
      </c>
      <c r="Y835" s="35">
        <f t="shared" si="123"/>
        <v>0</v>
      </c>
      <c r="Z835" s="40">
        <f t="shared" si="127"/>
        <v>652.38</v>
      </c>
      <c r="AA835" s="34">
        <f t="shared" si="128"/>
        <v>133.62</v>
      </c>
      <c r="AB835" s="41">
        <f t="shared" si="130"/>
        <v>0</v>
      </c>
      <c r="AC835" s="42" t="b">
        <v>1</v>
      </c>
      <c r="AD835" s="42" t="s">
        <v>138</v>
      </c>
      <c r="AE835" s="42" t="s">
        <v>138</v>
      </c>
      <c r="AF835" s="42" t="str">
        <f t="array" ref="AF835">INDEX('Deal Info'!D:D, MATCH(A835,'Deal Info'!A:A, 0))</f>
        <v>DoEVold</v>
      </c>
      <c r="AG835" s="43" t="str">
        <f t="array" ref="AG835">INDEX('Deal Info'!G:G, MATCH(A835,'Deal Info'!A:A, 0))</f>
        <v>None</v>
      </c>
    </row>
    <row r="836" hidden="1">
      <c r="A836" s="23" t="str">
        <f t="array" ref="A836">if(G836='Room Info'!$B$1, INDEX('Room Info'!$A$2:$A3446, MATCH(B836,'Room Info'!$B$2:$B3446, 0)),if(G836='Room Info'!$C$1, INDEX('Room Info'!$A$2:$A3446, MATCH(B836,'Room Info'!$C$2:$C3446, 0)),if(G836='Room Info'!$D$1, INDEX('Room Info'!$A$2:$A3446, MATCH(B836,'Room Info'!$D$2:$D3446, 0)),if(G836='Room Info'!$E$1, INDEX('Room Info'!$A$2:$A3446, MATCH(B836,'Room Info'!$E$2:$E3446, 0)),if(G836='Room Info'!$F$1, INDEX('Room Info'!$A$2:$A3446, MATCH(B836,'Room Info'!$F$2:$F3446, 0)),if(G836='Room Info'!$H$1, INDEX('Room Info'!$A$2:$A3446, MATCH(B836,'Room Info'!$H$2:$H3446, 0)),if(G836='Room Info'!$G$1, INDEX('Room Info'!$A$2:$A3446, MATCH(B836,'Room Info'!$G$2:$G3446, 0)))))))))</f>
        <v>kttweek1</v>
      </c>
      <c r="B836" s="50" t="s">
        <v>197</v>
      </c>
      <c r="C836" s="82">
        <v>44593.0</v>
      </c>
      <c r="D836" s="82">
        <v>44620.0</v>
      </c>
      <c r="E836" s="52">
        <v>44593.0</v>
      </c>
      <c r="F836" s="53" t="s">
        <v>8</v>
      </c>
      <c r="G836" s="50" t="s">
        <v>5</v>
      </c>
      <c r="H836" s="54" t="s">
        <v>75</v>
      </c>
      <c r="I836" s="54" t="s">
        <v>11</v>
      </c>
      <c r="J836" s="79">
        <v>50.0</v>
      </c>
      <c r="K836" s="80">
        <v>364.0</v>
      </c>
      <c r="L836" s="77">
        <v>-1050.0</v>
      </c>
      <c r="M836" s="81">
        <v>620.0</v>
      </c>
      <c r="N836" s="33">
        <f t="shared" si="13"/>
        <v>18200</v>
      </c>
      <c r="O836" s="50">
        <v>5410.0</v>
      </c>
      <c r="P836" s="34">
        <f t="shared" si="14"/>
        <v>14.86263736</v>
      </c>
      <c r="Q836" s="60"/>
      <c r="R836" s="36">
        <f t="shared" si="99"/>
        <v>620</v>
      </c>
      <c r="S836" s="78">
        <v>-294.0</v>
      </c>
      <c r="T836" s="37">
        <f t="shared" si="100"/>
        <v>326</v>
      </c>
      <c r="U836" s="62">
        <v>1.0</v>
      </c>
      <c r="V836" s="63"/>
      <c r="W836" s="63"/>
      <c r="X836" s="83">
        <v>0.17</v>
      </c>
      <c r="Y836" s="35">
        <f t="shared" si="123"/>
        <v>0</v>
      </c>
      <c r="Z836" s="40">
        <f t="shared" si="127"/>
        <v>270.58</v>
      </c>
      <c r="AA836" s="34">
        <f t="shared" si="128"/>
        <v>55.42</v>
      </c>
      <c r="AB836" s="41">
        <f t="shared" si="130"/>
        <v>0</v>
      </c>
      <c r="AC836" s="42" t="b">
        <v>1</v>
      </c>
      <c r="AD836" s="42" t="s">
        <v>138</v>
      </c>
      <c r="AE836" s="42" t="s">
        <v>138</v>
      </c>
      <c r="AF836" s="42" t="str">
        <f t="array" ref="AF836">INDEX('Deal Info'!D:D, MATCH(A836,'Deal Info'!A:A, 0))</f>
        <v>DoEVold</v>
      </c>
      <c r="AG836" s="43" t="str">
        <f t="array" ref="AG836">INDEX('Deal Info'!G:G, MATCH(A836,'Deal Info'!A:A, 0))</f>
        <v>None</v>
      </c>
    </row>
    <row r="837" hidden="1">
      <c r="A837" s="23" t="str">
        <f t="array" ref="A837">if(G837='Room Info'!$B$1, INDEX('Room Info'!$A$2:$A3446, MATCH(B837,'Room Info'!$B$2:$B3446, 0)),if(G837='Room Info'!$C$1, INDEX('Room Info'!$A$2:$A3446, MATCH(B837,'Room Info'!$C$2:$C3446, 0)),if(G837='Room Info'!$D$1, INDEX('Room Info'!$A$2:$A3446, MATCH(B837,'Room Info'!$D$2:$D3446, 0)),if(G837='Room Info'!$E$1, INDEX('Room Info'!$A$2:$A3446, MATCH(B837,'Room Info'!$E$2:$E3446, 0)),if(G837='Room Info'!$F$1, INDEX('Room Info'!$A$2:$A3446, MATCH(B837,'Room Info'!$F$2:$F3446, 0)),if(G837='Room Info'!$H$1, INDEX('Room Info'!$A$2:$A3446, MATCH(B837,'Room Info'!$H$2:$H3446, 0)),if(G837='Room Info'!$G$1, INDEX('Room Info'!$A$2:$A3446, MATCH(B837,'Room Info'!$G$2:$G3446, 0)))))))))</f>
        <v>kttweek1</v>
      </c>
      <c r="B837" s="50" t="s">
        <v>197</v>
      </c>
      <c r="C837" s="82">
        <v>44621.0</v>
      </c>
      <c r="D837" s="82">
        <v>44651.0</v>
      </c>
      <c r="E837" s="52">
        <v>44621.0</v>
      </c>
      <c r="F837" s="53" t="s">
        <v>8</v>
      </c>
      <c r="G837" s="50" t="s">
        <v>5</v>
      </c>
      <c r="H837" s="54" t="s">
        <v>62</v>
      </c>
      <c r="I837" s="54" t="s">
        <v>7</v>
      </c>
      <c r="J837" s="79">
        <v>25.0</v>
      </c>
      <c r="K837" s="80">
        <v>124.0</v>
      </c>
      <c r="L837" s="77">
        <v>375.0</v>
      </c>
      <c r="M837" s="81">
        <v>126.0</v>
      </c>
      <c r="N837" s="33">
        <f t="shared" si="13"/>
        <v>3100</v>
      </c>
      <c r="O837" s="50">
        <v>5389.0</v>
      </c>
      <c r="P837" s="34">
        <f t="shared" si="14"/>
        <v>43.45967742</v>
      </c>
      <c r="Q837" s="60"/>
      <c r="R837" s="36">
        <f t="shared" si="99"/>
        <v>126</v>
      </c>
      <c r="S837" s="78">
        <v>55.0</v>
      </c>
      <c r="T837" s="37">
        <f t="shared" si="100"/>
        <v>181</v>
      </c>
      <c r="U837" s="62">
        <v>1.0</v>
      </c>
      <c r="V837" s="63"/>
      <c r="W837" s="63"/>
      <c r="X837" s="83">
        <v>0.17</v>
      </c>
      <c r="Y837" s="35">
        <f t="shared" si="123"/>
        <v>0</v>
      </c>
      <c r="Z837" s="40">
        <f t="shared" si="127"/>
        <v>150.23</v>
      </c>
      <c r="AA837" s="34">
        <f t="shared" si="128"/>
        <v>30.77</v>
      </c>
      <c r="AB837" s="41">
        <f t="shared" si="130"/>
        <v>0</v>
      </c>
      <c r="AC837" s="42" t="b">
        <v>1</v>
      </c>
      <c r="AD837" s="42" t="s">
        <v>138</v>
      </c>
      <c r="AE837" s="42" t="s">
        <v>138</v>
      </c>
      <c r="AF837" s="42" t="str">
        <f t="array" ref="AF837">INDEX('Deal Info'!D:D, MATCH(A837,'Deal Info'!A:A, 0))</f>
        <v>DoEVold</v>
      </c>
      <c r="AG837" s="43" t="str">
        <f t="array" ref="AG837">INDEX('Deal Info'!G:G, MATCH(A837,'Deal Info'!A:A, 0))</f>
        <v>None</v>
      </c>
    </row>
    <row r="838" hidden="1">
      <c r="A838" s="23" t="str">
        <f t="array" ref="A838">if(G838='Room Info'!$B$1, INDEX('Room Info'!$A$2:$A3446, MATCH(B838,'Room Info'!$B$2:$B3446, 0)),if(G838='Room Info'!$C$1, INDEX('Room Info'!$A$2:$A3446, MATCH(B838,'Room Info'!$C$2:$C3446, 0)),if(G838='Room Info'!$D$1, INDEX('Room Info'!$A$2:$A3446, MATCH(B838,'Room Info'!$D$2:$D3446, 0)),if(G838='Room Info'!$E$1, INDEX('Room Info'!$A$2:$A3446, MATCH(B838,'Room Info'!$E$2:$E3446, 0)),if(G838='Room Info'!$F$1, INDEX('Room Info'!$A$2:$A3446, MATCH(B838,'Room Info'!$F$2:$F3446, 0)),if(G838='Room Info'!$H$1, INDEX('Room Info'!$A$2:$A3446, MATCH(B838,'Room Info'!$H$2:$H3446, 0)),if(G838='Room Info'!$G$1, INDEX('Room Info'!$A$2:$A3446, MATCH(B838,'Room Info'!$G$2:$G3446, 0)))))))))</f>
        <v>kttweek1</v>
      </c>
      <c r="B838" s="50" t="s">
        <v>197</v>
      </c>
      <c r="C838" s="82">
        <v>44621.0</v>
      </c>
      <c r="D838" s="82">
        <v>44651.0</v>
      </c>
      <c r="E838" s="52">
        <v>44621.0</v>
      </c>
      <c r="F838" s="53" t="s">
        <v>8</v>
      </c>
      <c r="G838" s="50" t="s">
        <v>5</v>
      </c>
      <c r="H838" s="54" t="s">
        <v>74</v>
      </c>
      <c r="I838" s="54" t="s">
        <v>7</v>
      </c>
      <c r="J838" s="79">
        <v>50.0</v>
      </c>
      <c r="K838" s="80">
        <v>1164.0</v>
      </c>
      <c r="L838" s="77">
        <v>-700.0</v>
      </c>
      <c r="M838" s="81">
        <v>2364.0</v>
      </c>
      <c r="N838" s="33">
        <f t="shared" si="13"/>
        <v>58200</v>
      </c>
      <c r="O838" s="50">
        <v>40928.0</v>
      </c>
      <c r="P838" s="34">
        <f t="shared" si="14"/>
        <v>35.16151203</v>
      </c>
      <c r="Q838" s="60"/>
      <c r="R838" s="36">
        <f t="shared" si="99"/>
        <v>2364</v>
      </c>
      <c r="S838" s="78">
        <v>140.0</v>
      </c>
      <c r="T838" s="37">
        <f t="shared" si="100"/>
        <v>2504</v>
      </c>
      <c r="U838" s="62">
        <v>1.0</v>
      </c>
      <c r="V838" s="63"/>
      <c r="W838" s="63"/>
      <c r="X838" s="83">
        <v>0.17</v>
      </c>
      <c r="Y838" s="35">
        <f t="shared" si="123"/>
        <v>0</v>
      </c>
      <c r="Z838" s="40">
        <f t="shared" si="127"/>
        <v>2078.32</v>
      </c>
      <c r="AA838" s="34">
        <f t="shared" si="128"/>
        <v>425.68</v>
      </c>
      <c r="AB838" s="41">
        <f t="shared" si="130"/>
        <v>0</v>
      </c>
      <c r="AC838" s="42" t="b">
        <v>1</v>
      </c>
      <c r="AD838" s="42" t="s">
        <v>138</v>
      </c>
      <c r="AE838" s="42" t="s">
        <v>138</v>
      </c>
      <c r="AF838" s="42" t="str">
        <f t="array" ref="AF838">INDEX('Deal Info'!D:D, MATCH(A838,'Deal Info'!A:A, 0))</f>
        <v>DoEVold</v>
      </c>
      <c r="AG838" s="43" t="str">
        <f t="array" ref="AG838">INDEX('Deal Info'!G:G, MATCH(A838,'Deal Info'!A:A, 0))</f>
        <v>None</v>
      </c>
    </row>
    <row r="839" hidden="1">
      <c r="A839" s="23" t="str">
        <f t="array" ref="A839">if(G839='Room Info'!$B$1, INDEX('Room Info'!$A$2:$A3446, MATCH(B839,'Room Info'!$B$2:$B3446, 0)),if(G839='Room Info'!$C$1, INDEX('Room Info'!$A$2:$A3446, MATCH(B839,'Room Info'!$C$2:$C3446, 0)),if(G839='Room Info'!$D$1, INDEX('Room Info'!$A$2:$A3446, MATCH(B839,'Room Info'!$D$2:$D3446, 0)),if(G839='Room Info'!$E$1, INDEX('Room Info'!$A$2:$A3446, MATCH(B839,'Room Info'!$E$2:$E3446, 0)),if(G839='Room Info'!$F$1, INDEX('Room Info'!$A$2:$A3446, MATCH(B839,'Room Info'!$F$2:$F3446, 0)),if(G839='Room Info'!$H$1, INDEX('Room Info'!$A$2:$A3446, MATCH(B839,'Room Info'!$H$2:$H3446, 0)),if(G839='Room Info'!$G$1, INDEX('Room Info'!$A$2:$A3446, MATCH(B839,'Room Info'!$G$2:$G3446, 0)))))))))</f>
        <v>kttweek1</v>
      </c>
      <c r="B839" s="50" t="s">
        <v>197</v>
      </c>
      <c r="C839" s="82">
        <v>44621.0</v>
      </c>
      <c r="D839" s="82">
        <v>44651.0</v>
      </c>
      <c r="E839" s="52">
        <v>44621.0</v>
      </c>
      <c r="F839" s="53" t="s">
        <v>8</v>
      </c>
      <c r="G839" s="59" t="s">
        <v>5</v>
      </c>
      <c r="H839" s="54" t="s">
        <v>75</v>
      </c>
      <c r="I839" s="54" t="s">
        <v>11</v>
      </c>
      <c r="J839" s="79">
        <v>50.0</v>
      </c>
      <c r="K839" s="80">
        <v>276.0</v>
      </c>
      <c r="L839" s="77">
        <v>-1350.0</v>
      </c>
      <c r="M839" s="58">
        <v>560.0</v>
      </c>
      <c r="N839" s="33">
        <f t="shared" si="13"/>
        <v>13800</v>
      </c>
      <c r="O839" s="50">
        <v>-1304.0</v>
      </c>
      <c r="P839" s="34">
        <f t="shared" si="14"/>
        <v>-4.724637681</v>
      </c>
      <c r="Q839" s="60"/>
      <c r="R839" s="36">
        <f t="shared" si="99"/>
        <v>560</v>
      </c>
      <c r="S839" s="78">
        <v>-1069.0</v>
      </c>
      <c r="T839" s="37">
        <f t="shared" si="100"/>
        <v>-509</v>
      </c>
      <c r="U839" s="62">
        <v>1.0</v>
      </c>
      <c r="V839" s="63"/>
      <c r="W839" s="63"/>
      <c r="X839" s="83">
        <v>0.17</v>
      </c>
      <c r="Y839" s="35">
        <f t="shared" si="123"/>
        <v>0</v>
      </c>
      <c r="Z839" s="40">
        <f t="shared" si="127"/>
        <v>-422.47</v>
      </c>
      <c r="AA839" s="34">
        <f t="shared" si="128"/>
        <v>-86.53</v>
      </c>
      <c r="AB839" s="41">
        <f t="shared" si="130"/>
        <v>0</v>
      </c>
      <c r="AC839" s="42" t="b">
        <v>1</v>
      </c>
      <c r="AD839" s="42" t="s">
        <v>138</v>
      </c>
      <c r="AE839" s="42" t="s">
        <v>138</v>
      </c>
      <c r="AF839" s="42" t="str">
        <f t="array" ref="AF839">INDEX('Deal Info'!D:D, MATCH(A839,'Deal Info'!A:A, 0))</f>
        <v>DoEVold</v>
      </c>
      <c r="AG839" s="43" t="str">
        <f t="array" ref="AG839">INDEX('Deal Info'!G:G, MATCH(A839,'Deal Info'!A:A, 0))</f>
        <v>None</v>
      </c>
    </row>
    <row r="840" hidden="1">
      <c r="A840" s="23" t="str">
        <f t="array" ref="A840">if(G840='Room Info'!$B$1, INDEX('Room Info'!$A$2:$A3446, MATCH(B840,'Room Info'!$B$2:$B3446, 0)),if(G840='Room Info'!$C$1, INDEX('Room Info'!$A$2:$A3446, MATCH(B840,'Room Info'!$C$2:$C3446, 0)),if(G840='Room Info'!$D$1, INDEX('Room Info'!$A$2:$A3446, MATCH(B840,'Room Info'!$D$2:$D3446, 0)),if(G840='Room Info'!$E$1, INDEX('Room Info'!$A$2:$A3446, MATCH(B840,'Room Info'!$E$2:$E3446, 0)),if(G840='Room Info'!$F$1, INDEX('Room Info'!$A$2:$A3446, MATCH(B840,'Room Info'!$F$2:$F3446, 0)),if(G840='Room Info'!$H$1, INDEX('Room Info'!$A$2:$A3446, MATCH(B840,'Room Info'!$H$2:$H3446, 0)),if(G840='Room Info'!$G$1, INDEX('Room Info'!$A$2:$A3446, MATCH(B840,'Room Info'!$G$2:$G3446, 0)))))))))</f>
        <v>kttweek1</v>
      </c>
      <c r="B840" s="50" t="s">
        <v>197</v>
      </c>
      <c r="C840" s="82">
        <v>44652.0</v>
      </c>
      <c r="D840" s="82">
        <v>44681.0</v>
      </c>
      <c r="E840" s="52">
        <v>44652.0</v>
      </c>
      <c r="F840" s="53" t="s">
        <v>8</v>
      </c>
      <c r="G840" s="59" t="s">
        <v>5</v>
      </c>
      <c r="H840" s="54" t="s">
        <v>48</v>
      </c>
      <c r="I840" s="54" t="s">
        <v>11</v>
      </c>
      <c r="J840" s="79">
        <v>10.0</v>
      </c>
      <c r="K840" s="80">
        <v>2.0</v>
      </c>
      <c r="L840" s="77">
        <v>-20.0</v>
      </c>
      <c r="M840" s="67"/>
      <c r="N840" s="33">
        <f t="shared" si="13"/>
        <v>20</v>
      </c>
      <c r="O840" s="50">
        <v>-204.0</v>
      </c>
      <c r="P840" s="34">
        <f t="shared" si="14"/>
        <v>-102</v>
      </c>
      <c r="Q840" s="60"/>
      <c r="R840" s="36">
        <f t="shared" si="99"/>
        <v>0</v>
      </c>
      <c r="S840" s="78">
        <v>-8.0</v>
      </c>
      <c r="T840" s="37">
        <f t="shared" si="100"/>
        <v>-8</v>
      </c>
      <c r="U840" s="62">
        <v>1.0</v>
      </c>
      <c r="V840" s="63"/>
      <c r="W840" s="63"/>
      <c r="X840" s="83">
        <v>0.25</v>
      </c>
      <c r="Y840" s="35">
        <f t="shared" si="123"/>
        <v>0</v>
      </c>
      <c r="Z840" s="40">
        <f t="shared" si="127"/>
        <v>-6</v>
      </c>
      <c r="AA840" s="34">
        <f t="shared" si="128"/>
        <v>-2</v>
      </c>
      <c r="AB840" s="41">
        <f t="shared" si="130"/>
        <v>0</v>
      </c>
      <c r="AC840" s="42" t="b">
        <v>1</v>
      </c>
      <c r="AD840" s="42" t="s">
        <v>138</v>
      </c>
      <c r="AE840" s="42" t="s">
        <v>138</v>
      </c>
      <c r="AF840" s="42" t="str">
        <f t="array" ref="AF840">INDEX('Deal Info'!D:D, MATCH(A840,'Deal Info'!A:A, 0))</f>
        <v>DoEVold</v>
      </c>
      <c r="AG840" s="43" t="str">
        <f t="array" ref="AG840">INDEX('Deal Info'!G:G, MATCH(A840,'Deal Info'!A:A, 0))</f>
        <v>None</v>
      </c>
    </row>
    <row r="841" hidden="1">
      <c r="A841" s="23" t="str">
        <f t="array" ref="A841">if(G841='Room Info'!$B$1, INDEX('Room Info'!$A$2:$A3446, MATCH(B841,'Room Info'!$B$2:$B3446, 0)),if(G841='Room Info'!$C$1, INDEX('Room Info'!$A$2:$A3446, MATCH(B841,'Room Info'!$C$2:$C3446, 0)),if(G841='Room Info'!$D$1, INDEX('Room Info'!$A$2:$A3446, MATCH(B841,'Room Info'!$D$2:$D3446, 0)),if(G841='Room Info'!$E$1, INDEX('Room Info'!$A$2:$A3446, MATCH(B841,'Room Info'!$E$2:$E3446, 0)),if(G841='Room Info'!$F$1, INDEX('Room Info'!$A$2:$A3446, MATCH(B841,'Room Info'!$F$2:$F3446, 0)),if(G841='Room Info'!$H$1, INDEX('Room Info'!$A$2:$A3446, MATCH(B841,'Room Info'!$H$2:$H3446, 0)),if(G841='Room Info'!$G$1, INDEX('Room Info'!$A$2:$A3446, MATCH(B841,'Room Info'!$G$2:$G3446, 0)))))))))</f>
        <v>kttweek1</v>
      </c>
      <c r="B841" s="50" t="s">
        <v>197</v>
      </c>
      <c r="C841" s="51">
        <v>44652.0</v>
      </c>
      <c r="D841" s="51">
        <v>44681.0</v>
      </c>
      <c r="E841" s="52">
        <v>44652.0</v>
      </c>
      <c r="F841" s="53" t="s">
        <v>8</v>
      </c>
      <c r="G841" s="50" t="s">
        <v>5</v>
      </c>
      <c r="H841" s="54" t="s">
        <v>62</v>
      </c>
      <c r="I841" s="54" t="s">
        <v>7</v>
      </c>
      <c r="J841" s="55">
        <v>25.0</v>
      </c>
      <c r="K841" s="56">
        <v>390.0</v>
      </c>
      <c r="L841" s="57">
        <v>-1025.0</v>
      </c>
      <c r="M841" s="58">
        <v>364.0</v>
      </c>
      <c r="N841" s="33">
        <f t="shared" si="13"/>
        <v>9750</v>
      </c>
      <c r="O841" s="59">
        <v>10022.0</v>
      </c>
      <c r="P841" s="34">
        <f t="shared" si="14"/>
        <v>25.6974359</v>
      </c>
      <c r="Q841" s="60"/>
      <c r="R841" s="36">
        <f t="shared" si="99"/>
        <v>364</v>
      </c>
      <c r="S841" s="61">
        <v>-156.0</v>
      </c>
      <c r="T841" s="37">
        <f t="shared" si="100"/>
        <v>208</v>
      </c>
      <c r="U841" s="62">
        <v>1.0</v>
      </c>
      <c r="V841" s="63"/>
      <c r="W841" s="63"/>
      <c r="X841" s="83">
        <v>0.25</v>
      </c>
      <c r="Y841" s="35">
        <f t="shared" si="123"/>
        <v>0</v>
      </c>
      <c r="Z841" s="40">
        <f t="shared" si="127"/>
        <v>156</v>
      </c>
      <c r="AA841" s="34">
        <f t="shared" si="128"/>
        <v>52</v>
      </c>
      <c r="AB841" s="41">
        <f t="shared" si="130"/>
        <v>0</v>
      </c>
      <c r="AC841" s="42" t="b">
        <v>1</v>
      </c>
      <c r="AD841" s="42" t="s">
        <v>138</v>
      </c>
      <c r="AE841" s="42" t="s">
        <v>138</v>
      </c>
      <c r="AF841" s="42" t="str">
        <f t="array" ref="AF841">INDEX('Deal Info'!D:D, MATCH(A841,'Deal Info'!A:A, 0))</f>
        <v>DoEVold</v>
      </c>
      <c r="AG841" s="43" t="str">
        <f t="array" ref="AG841">INDEX('Deal Info'!G:G, MATCH(A841,'Deal Info'!A:A, 0))</f>
        <v>None</v>
      </c>
    </row>
    <row r="842" hidden="1">
      <c r="A842" s="23" t="str">
        <f t="array" ref="A842">if(G842='Room Info'!$B$1, INDEX('Room Info'!$A$2:$A3446, MATCH(B842,'Room Info'!$B$2:$B3446, 0)),if(G842='Room Info'!$C$1, INDEX('Room Info'!$A$2:$A3446, MATCH(B842,'Room Info'!$C$2:$C3446, 0)),if(G842='Room Info'!$D$1, INDEX('Room Info'!$A$2:$A3446, MATCH(B842,'Room Info'!$D$2:$D3446, 0)),if(G842='Room Info'!$E$1, INDEX('Room Info'!$A$2:$A3446, MATCH(B842,'Room Info'!$E$2:$E3446, 0)),if(G842='Room Info'!$F$1, INDEX('Room Info'!$A$2:$A3446, MATCH(B842,'Room Info'!$F$2:$F3446, 0)),if(G842='Room Info'!$H$1, INDEX('Room Info'!$A$2:$A3446, MATCH(B842,'Room Info'!$H$2:$H3446, 0)),if(G842='Room Info'!$G$1, INDEX('Room Info'!$A$2:$A3446, MATCH(B842,'Room Info'!$G$2:$G3446, 0)))))))))</f>
        <v>kttweek1</v>
      </c>
      <c r="B842" s="50" t="s">
        <v>197</v>
      </c>
      <c r="C842" s="51">
        <v>44652.0</v>
      </c>
      <c r="D842" s="51">
        <v>44681.0</v>
      </c>
      <c r="E842" s="52">
        <v>44652.0</v>
      </c>
      <c r="F842" s="53" t="s">
        <v>8</v>
      </c>
      <c r="G842" s="50" t="s">
        <v>5</v>
      </c>
      <c r="H842" s="54" t="s">
        <v>63</v>
      </c>
      <c r="I842" s="54" t="s">
        <v>11</v>
      </c>
      <c r="J842" s="55">
        <v>25.0</v>
      </c>
      <c r="K842" s="56">
        <v>1.0</v>
      </c>
      <c r="L842" s="57">
        <v>-25.0</v>
      </c>
      <c r="M842" s="67"/>
      <c r="N842" s="33">
        <f t="shared" si="13"/>
        <v>25</v>
      </c>
      <c r="O842" s="59">
        <v>-8.0</v>
      </c>
      <c r="P842" s="34">
        <f t="shared" si="14"/>
        <v>-8</v>
      </c>
      <c r="Q842" s="60"/>
      <c r="R842" s="36">
        <f t="shared" si="99"/>
        <v>0</v>
      </c>
      <c r="S842" s="61">
        <v>-2.0</v>
      </c>
      <c r="T842" s="37">
        <f t="shared" si="100"/>
        <v>-2</v>
      </c>
      <c r="U842" s="62">
        <v>1.0</v>
      </c>
      <c r="V842" s="63"/>
      <c r="W842" s="63"/>
      <c r="X842" s="83">
        <v>0.25</v>
      </c>
      <c r="Y842" s="35">
        <f t="shared" si="123"/>
        <v>0</v>
      </c>
      <c r="Z842" s="40">
        <f t="shared" si="127"/>
        <v>-1.5</v>
      </c>
      <c r="AA842" s="34">
        <f t="shared" si="128"/>
        <v>-0.5</v>
      </c>
      <c r="AB842" s="41">
        <f t="shared" si="130"/>
        <v>0</v>
      </c>
      <c r="AC842" s="42" t="b">
        <v>1</v>
      </c>
      <c r="AD842" s="42" t="s">
        <v>138</v>
      </c>
      <c r="AE842" s="42" t="s">
        <v>138</v>
      </c>
      <c r="AF842" s="42" t="str">
        <f t="array" ref="AF842">INDEX('Deal Info'!D:D, MATCH(A842,'Deal Info'!A:A, 0))</f>
        <v>DoEVold</v>
      </c>
      <c r="AG842" s="43" t="str">
        <f t="array" ref="AG842">INDEX('Deal Info'!G:G, MATCH(A842,'Deal Info'!A:A, 0))</f>
        <v>None</v>
      </c>
    </row>
    <row r="843" hidden="1">
      <c r="A843" s="23" t="str">
        <f t="array" ref="A843">if(G843='Room Info'!$B$1, INDEX('Room Info'!$A$2:$A3446, MATCH(B843,'Room Info'!$B$2:$B3446, 0)),if(G843='Room Info'!$C$1, INDEX('Room Info'!$A$2:$A3446, MATCH(B843,'Room Info'!$C$2:$C3446, 0)),if(G843='Room Info'!$D$1, INDEX('Room Info'!$A$2:$A3446, MATCH(B843,'Room Info'!$D$2:$D3446, 0)),if(G843='Room Info'!$E$1, INDEX('Room Info'!$A$2:$A3446, MATCH(B843,'Room Info'!$E$2:$E3446, 0)),if(G843='Room Info'!$F$1, INDEX('Room Info'!$A$2:$A3446, MATCH(B843,'Room Info'!$F$2:$F3446, 0)),if(G843='Room Info'!$H$1, INDEX('Room Info'!$A$2:$A3446, MATCH(B843,'Room Info'!$H$2:$H3446, 0)),if(G843='Room Info'!$G$1, INDEX('Room Info'!$A$2:$A3446, MATCH(B843,'Room Info'!$G$2:$G3446, 0)))))))))</f>
        <v>kttweek1</v>
      </c>
      <c r="B843" s="50" t="s">
        <v>197</v>
      </c>
      <c r="C843" s="51">
        <v>44652.0</v>
      </c>
      <c r="D843" s="51">
        <v>44681.0</v>
      </c>
      <c r="E843" s="52">
        <v>44652.0</v>
      </c>
      <c r="F843" s="53" t="s">
        <v>8</v>
      </c>
      <c r="G843" s="50" t="s">
        <v>5</v>
      </c>
      <c r="H843" s="54" t="s">
        <v>75</v>
      </c>
      <c r="I843" s="54" t="s">
        <v>11</v>
      </c>
      <c r="J843" s="55">
        <v>50.0</v>
      </c>
      <c r="K843" s="56">
        <v>326.0</v>
      </c>
      <c r="L843" s="57">
        <v>-100.0</v>
      </c>
      <c r="M843" s="58">
        <v>609.0</v>
      </c>
      <c r="N843" s="33">
        <f t="shared" si="13"/>
        <v>16300</v>
      </c>
      <c r="O843" s="59">
        <v>116.0</v>
      </c>
      <c r="P843" s="34">
        <f t="shared" si="14"/>
        <v>0.3558282209</v>
      </c>
      <c r="Q843" s="60"/>
      <c r="R843" s="36">
        <f t="shared" si="99"/>
        <v>609</v>
      </c>
      <c r="S843" s="61">
        <v>-1020.0</v>
      </c>
      <c r="T843" s="37">
        <f t="shared" si="100"/>
        <v>-411</v>
      </c>
      <c r="U843" s="62">
        <v>1.0</v>
      </c>
      <c r="V843" s="63"/>
      <c r="W843" s="63"/>
      <c r="X843" s="83">
        <v>0.25</v>
      </c>
      <c r="Y843" s="35">
        <f t="shared" si="123"/>
        <v>0</v>
      </c>
      <c r="Z843" s="40">
        <f t="shared" si="127"/>
        <v>-308.25</v>
      </c>
      <c r="AA843" s="34">
        <f t="shared" si="128"/>
        <v>-102.75</v>
      </c>
      <c r="AB843" s="41">
        <f t="shared" si="130"/>
        <v>0</v>
      </c>
      <c r="AC843" s="42" t="b">
        <v>1</v>
      </c>
      <c r="AD843" s="42" t="s">
        <v>138</v>
      </c>
      <c r="AE843" s="42" t="s">
        <v>138</v>
      </c>
      <c r="AF843" s="42" t="str">
        <f t="array" ref="AF843">INDEX('Deal Info'!D:D, MATCH(A843,'Deal Info'!A:A, 0))</f>
        <v>DoEVold</v>
      </c>
      <c r="AG843" s="43" t="str">
        <f t="array" ref="AG843">INDEX('Deal Info'!G:G, MATCH(A843,'Deal Info'!A:A, 0))</f>
        <v>None</v>
      </c>
    </row>
    <row r="844" hidden="1">
      <c r="A844" s="23" t="str">
        <f t="array" ref="A844">if(G844='Room Info'!$B$1, INDEX('Room Info'!$A$2:$A3446, MATCH(B844,'Room Info'!$B$2:$B3446, 0)),if(G844='Room Info'!$C$1, INDEX('Room Info'!$A$2:$A3446, MATCH(B844,'Room Info'!$C$2:$C3446, 0)),if(G844='Room Info'!$D$1, INDEX('Room Info'!$A$2:$A3446, MATCH(B844,'Room Info'!$D$2:$D3446, 0)),if(G844='Room Info'!$E$1, INDEX('Room Info'!$A$2:$A3446, MATCH(B844,'Room Info'!$E$2:$E3446, 0)),if(G844='Room Info'!$F$1, INDEX('Room Info'!$A$2:$A3446, MATCH(B844,'Room Info'!$F$2:$F3446, 0)),if(G844='Room Info'!$H$1, INDEX('Room Info'!$A$2:$A3446, MATCH(B844,'Room Info'!$H$2:$H3446, 0)),if(G844='Room Info'!$G$1, INDEX('Room Info'!$A$2:$A3446, MATCH(B844,'Room Info'!$G$2:$G3446, 0)))))))))</f>
        <v>kttweek1</v>
      </c>
      <c r="B844" s="50" t="s">
        <v>197</v>
      </c>
      <c r="C844" s="51">
        <v>44652.0</v>
      </c>
      <c r="D844" s="51">
        <v>44681.0</v>
      </c>
      <c r="E844" s="52">
        <v>44652.0</v>
      </c>
      <c r="F844" s="53" t="s">
        <v>8</v>
      </c>
      <c r="G844" s="50" t="s">
        <v>5</v>
      </c>
      <c r="H844" s="54" t="s">
        <v>74</v>
      </c>
      <c r="I844" s="54" t="s">
        <v>7</v>
      </c>
      <c r="J844" s="55">
        <v>50.0</v>
      </c>
      <c r="K844" s="56">
        <v>978.0</v>
      </c>
      <c r="L844" s="57">
        <v>-2350.0</v>
      </c>
      <c r="M844" s="58">
        <v>1827.0</v>
      </c>
      <c r="N844" s="33">
        <f t="shared" si="13"/>
        <v>48900</v>
      </c>
      <c r="O844" s="59">
        <v>27373.0</v>
      </c>
      <c r="P844" s="34">
        <f t="shared" si="14"/>
        <v>27.98875256</v>
      </c>
      <c r="Q844" s="60"/>
      <c r="R844" s="36">
        <f t="shared" si="99"/>
        <v>1827</v>
      </c>
      <c r="S844" s="61">
        <v>-576.0</v>
      </c>
      <c r="T844" s="37">
        <f t="shared" si="100"/>
        <v>1251</v>
      </c>
      <c r="U844" s="62">
        <v>1.0</v>
      </c>
      <c r="V844" s="63"/>
      <c r="W844" s="63"/>
      <c r="X844" s="83">
        <v>0.25</v>
      </c>
      <c r="Y844" s="35">
        <f t="shared" si="123"/>
        <v>0</v>
      </c>
      <c r="Z844" s="40">
        <f t="shared" si="127"/>
        <v>938.25</v>
      </c>
      <c r="AA844" s="34">
        <f t="shared" si="128"/>
        <v>312.75</v>
      </c>
      <c r="AB844" s="41">
        <f t="shared" si="130"/>
        <v>0</v>
      </c>
      <c r="AC844" s="42" t="b">
        <v>1</v>
      </c>
      <c r="AD844" s="42" t="s">
        <v>138</v>
      </c>
      <c r="AE844" s="42" t="s">
        <v>138</v>
      </c>
      <c r="AF844" s="42" t="str">
        <f t="array" ref="AF844">INDEX('Deal Info'!D:D, MATCH(A844,'Deal Info'!A:A, 0))</f>
        <v>DoEVold</v>
      </c>
      <c r="AG844" s="43" t="str">
        <f t="array" ref="AG844">INDEX('Deal Info'!G:G, MATCH(A844,'Deal Info'!A:A, 0))</f>
        <v>None</v>
      </c>
    </row>
    <row r="845" hidden="1">
      <c r="A845" s="23" t="str">
        <f t="array" ref="A845">if(G845='Room Info'!$B$1, INDEX('Room Info'!$A$2:$A3446, MATCH(B845,'Room Info'!$B$2:$B3446, 0)),if(G845='Room Info'!$C$1, INDEX('Room Info'!$A$2:$A3446, MATCH(B845,'Room Info'!$C$2:$C3446, 0)),if(G845='Room Info'!$D$1, INDEX('Room Info'!$A$2:$A3446, MATCH(B845,'Room Info'!$D$2:$D3446, 0)),if(G845='Room Info'!$E$1, INDEX('Room Info'!$A$2:$A3446, MATCH(B845,'Room Info'!$E$2:$E3446, 0)),if(G845='Room Info'!$F$1, INDEX('Room Info'!$A$2:$A3446, MATCH(B845,'Room Info'!$F$2:$F3446, 0)),if(G845='Room Info'!$H$1, INDEX('Room Info'!$A$2:$A3446, MATCH(B845,'Room Info'!$H$2:$H3446, 0)),if(G845='Room Info'!$G$1, INDEX('Room Info'!$A$2:$A3446, MATCH(B845,'Room Info'!$G$2:$G3446, 0)))))))))</f>
        <v>kttweek1</v>
      </c>
      <c r="B845" s="50" t="s">
        <v>197</v>
      </c>
      <c r="C845" s="51">
        <v>44682.0</v>
      </c>
      <c r="D845" s="51">
        <v>44712.0</v>
      </c>
      <c r="E845" s="52">
        <v>44682.0</v>
      </c>
      <c r="F845" s="53" t="s">
        <v>8</v>
      </c>
      <c r="G845" s="50" t="s">
        <v>5</v>
      </c>
      <c r="H845" s="54" t="s">
        <v>48</v>
      </c>
      <c r="I845" s="54" t="s">
        <v>11</v>
      </c>
      <c r="J845" s="55">
        <v>10.0</v>
      </c>
      <c r="K845" s="56">
        <v>25.0</v>
      </c>
      <c r="L845" s="57">
        <v>-40.0</v>
      </c>
      <c r="M845" s="58">
        <v>12.0</v>
      </c>
      <c r="N845" s="33">
        <f t="shared" si="13"/>
        <v>250</v>
      </c>
      <c r="O845" s="59">
        <v>964.0</v>
      </c>
      <c r="P845" s="34">
        <f t="shared" si="14"/>
        <v>38.56</v>
      </c>
      <c r="Q845" s="60"/>
      <c r="R845" s="36">
        <f t="shared" si="99"/>
        <v>12</v>
      </c>
      <c r="S845" s="61">
        <v>11.0</v>
      </c>
      <c r="T845" s="37">
        <f t="shared" si="100"/>
        <v>23</v>
      </c>
      <c r="U845" s="62">
        <v>1.0</v>
      </c>
      <c r="V845" s="63"/>
      <c r="W845" s="63"/>
      <c r="X845" s="83">
        <v>0.25</v>
      </c>
      <c r="Y845" s="35">
        <f t="shared" si="123"/>
        <v>0</v>
      </c>
      <c r="Z845" s="40">
        <f t="shared" si="127"/>
        <v>17.25</v>
      </c>
      <c r="AA845" s="34">
        <f t="shared" si="128"/>
        <v>5.75</v>
      </c>
      <c r="AB845" s="41">
        <f t="shared" si="130"/>
        <v>0</v>
      </c>
      <c r="AC845" s="42" t="b">
        <v>1</v>
      </c>
      <c r="AD845" s="42" t="s">
        <v>138</v>
      </c>
      <c r="AE845" s="42" t="s">
        <v>138</v>
      </c>
      <c r="AF845" s="42" t="str">
        <f t="array" ref="AF845">INDEX('Deal Info'!D:D, MATCH(A845,'Deal Info'!A:A, 0))</f>
        <v>DoEVold</v>
      </c>
      <c r="AG845" s="43" t="str">
        <f t="array" ref="AG845">INDEX('Deal Info'!G:G, MATCH(A845,'Deal Info'!A:A, 0))</f>
        <v>None</v>
      </c>
    </row>
    <row r="846" hidden="1">
      <c r="A846" s="23" t="str">
        <f t="array" ref="A846">if(G846='Room Info'!$B$1, INDEX('Room Info'!$A$2:$A3446, MATCH(B846,'Room Info'!$B$2:$B3446, 0)),if(G846='Room Info'!$C$1, INDEX('Room Info'!$A$2:$A3446, MATCH(B846,'Room Info'!$C$2:$C3446, 0)),if(G846='Room Info'!$D$1, INDEX('Room Info'!$A$2:$A3446, MATCH(B846,'Room Info'!$D$2:$D3446, 0)),if(G846='Room Info'!$E$1, INDEX('Room Info'!$A$2:$A3446, MATCH(B846,'Room Info'!$E$2:$E3446, 0)),if(G846='Room Info'!$F$1, INDEX('Room Info'!$A$2:$A3446, MATCH(B846,'Room Info'!$F$2:$F3446, 0)),if(G846='Room Info'!$H$1, INDEX('Room Info'!$A$2:$A3446, MATCH(B846,'Room Info'!$H$2:$H3446, 0)),if(G846='Room Info'!$G$1, INDEX('Room Info'!$A$2:$A3446, MATCH(B846,'Room Info'!$G$2:$G3446, 0)))))))))</f>
        <v>kttweek1</v>
      </c>
      <c r="B846" s="50" t="s">
        <v>197</v>
      </c>
      <c r="C846" s="51">
        <v>44682.0</v>
      </c>
      <c r="D846" s="51">
        <v>44712.0</v>
      </c>
      <c r="E846" s="52">
        <v>44682.0</v>
      </c>
      <c r="F846" s="53" t="s">
        <v>8</v>
      </c>
      <c r="G846" s="50" t="s">
        <v>5</v>
      </c>
      <c r="H846" s="54" t="s">
        <v>62</v>
      </c>
      <c r="I846" s="54" t="s">
        <v>7</v>
      </c>
      <c r="J846" s="55">
        <v>25.0</v>
      </c>
      <c r="K846" s="56">
        <v>600.0</v>
      </c>
      <c r="L846" s="57">
        <v>-1350.0</v>
      </c>
      <c r="M846" s="58">
        <v>610.0</v>
      </c>
      <c r="N846" s="33">
        <f t="shared" si="13"/>
        <v>15000</v>
      </c>
      <c r="O846" s="59">
        <v>-5346.0</v>
      </c>
      <c r="P846" s="34">
        <f t="shared" si="14"/>
        <v>-8.91</v>
      </c>
      <c r="Q846" s="60"/>
      <c r="R846" s="36">
        <f t="shared" si="99"/>
        <v>610</v>
      </c>
      <c r="S846" s="61">
        <v>-1221.0</v>
      </c>
      <c r="T846" s="37">
        <f t="shared" si="100"/>
        <v>-611</v>
      </c>
      <c r="U846" s="62">
        <v>1.0</v>
      </c>
      <c r="V846" s="63"/>
      <c r="W846" s="63"/>
      <c r="X846" s="83">
        <v>0.25</v>
      </c>
      <c r="Y846" s="35">
        <f t="shared" si="123"/>
        <v>0</v>
      </c>
      <c r="Z846" s="40">
        <f t="shared" si="127"/>
        <v>-458.25</v>
      </c>
      <c r="AA846" s="34">
        <f t="shared" si="128"/>
        <v>-152.75</v>
      </c>
      <c r="AB846" s="41">
        <f t="shared" si="130"/>
        <v>0</v>
      </c>
      <c r="AC846" s="42" t="b">
        <v>1</v>
      </c>
      <c r="AD846" s="42" t="s">
        <v>138</v>
      </c>
      <c r="AE846" s="42" t="s">
        <v>138</v>
      </c>
      <c r="AF846" s="42" t="str">
        <f t="array" ref="AF846">INDEX('Deal Info'!D:D, MATCH(A846,'Deal Info'!A:A, 0))</f>
        <v>DoEVold</v>
      </c>
      <c r="AG846" s="43" t="str">
        <f t="array" ref="AG846">INDEX('Deal Info'!G:G, MATCH(A846,'Deal Info'!A:A, 0))</f>
        <v>None</v>
      </c>
    </row>
    <row r="847" hidden="1">
      <c r="A847" s="23" t="str">
        <f t="array" ref="A847">if(G847='Room Info'!$B$1, INDEX('Room Info'!$A$2:$A3446, MATCH(B847,'Room Info'!$B$2:$B3446, 0)),if(G847='Room Info'!$C$1, INDEX('Room Info'!$A$2:$A3446, MATCH(B847,'Room Info'!$C$2:$C3446, 0)),if(G847='Room Info'!$D$1, INDEX('Room Info'!$A$2:$A3446, MATCH(B847,'Room Info'!$D$2:$D3446, 0)),if(G847='Room Info'!$E$1, INDEX('Room Info'!$A$2:$A3446, MATCH(B847,'Room Info'!$E$2:$E3446, 0)),if(G847='Room Info'!$F$1, INDEX('Room Info'!$A$2:$A3446, MATCH(B847,'Room Info'!$F$2:$F3446, 0)),if(G847='Room Info'!$H$1, INDEX('Room Info'!$A$2:$A3446, MATCH(B847,'Room Info'!$H$2:$H3446, 0)),if(G847='Room Info'!$G$1, INDEX('Room Info'!$A$2:$A3446, MATCH(B847,'Room Info'!$G$2:$G3446, 0)))))))))</f>
        <v>kttweek1</v>
      </c>
      <c r="B847" s="50" t="s">
        <v>197</v>
      </c>
      <c r="C847" s="51">
        <v>44682.0</v>
      </c>
      <c r="D847" s="51">
        <v>44712.0</v>
      </c>
      <c r="E847" s="52">
        <v>44682.0</v>
      </c>
      <c r="F847" s="53" t="s">
        <v>8</v>
      </c>
      <c r="G847" s="50" t="s">
        <v>5</v>
      </c>
      <c r="H847" s="54" t="s">
        <v>74</v>
      </c>
      <c r="I847" s="54" t="s">
        <v>7</v>
      </c>
      <c r="J847" s="55">
        <v>50.0</v>
      </c>
      <c r="K847" s="56">
        <v>1195.0</v>
      </c>
      <c r="L847" s="57">
        <v>-5250.0</v>
      </c>
      <c r="M847" s="58">
        <v>2428.0</v>
      </c>
      <c r="N847" s="33">
        <f t="shared" si="13"/>
        <v>59750</v>
      </c>
      <c r="O847" s="59">
        <v>40816.0</v>
      </c>
      <c r="P847" s="34">
        <f t="shared" si="14"/>
        <v>34.15564854</v>
      </c>
      <c r="Q847" s="60"/>
      <c r="R847" s="36">
        <f t="shared" si="99"/>
        <v>2428</v>
      </c>
      <c r="S847" s="61">
        <v>-92.0</v>
      </c>
      <c r="T847" s="37">
        <f t="shared" si="100"/>
        <v>2336</v>
      </c>
      <c r="U847" s="62">
        <v>1.0</v>
      </c>
      <c r="V847" s="63"/>
      <c r="W847" s="63"/>
      <c r="X847" s="83">
        <v>0.25</v>
      </c>
      <c r="Y847" s="35">
        <f t="shared" si="123"/>
        <v>0</v>
      </c>
      <c r="Z847" s="40">
        <f t="shared" si="127"/>
        <v>1752</v>
      </c>
      <c r="AA847" s="34">
        <f t="shared" si="128"/>
        <v>584</v>
      </c>
      <c r="AB847" s="41">
        <f t="shared" si="130"/>
        <v>0</v>
      </c>
      <c r="AC847" s="42" t="b">
        <v>1</v>
      </c>
      <c r="AD847" s="42" t="s">
        <v>138</v>
      </c>
      <c r="AE847" s="42" t="s">
        <v>138</v>
      </c>
      <c r="AF847" s="42" t="str">
        <f t="array" ref="AF847">INDEX('Deal Info'!D:D, MATCH(A847,'Deal Info'!A:A, 0))</f>
        <v>DoEVold</v>
      </c>
      <c r="AG847" s="43" t="str">
        <f t="array" ref="AG847">INDEX('Deal Info'!G:G, MATCH(A847,'Deal Info'!A:A, 0))</f>
        <v>None</v>
      </c>
    </row>
    <row r="848" hidden="1">
      <c r="A848" s="23" t="str">
        <f t="array" ref="A848">if(G848='Room Info'!$B$1, INDEX('Room Info'!$A$2:$A3446, MATCH(B848,'Room Info'!$B$2:$B3446, 0)),if(G848='Room Info'!$C$1, INDEX('Room Info'!$A$2:$A3446, MATCH(B848,'Room Info'!$C$2:$C3446, 0)),if(G848='Room Info'!$D$1, INDEX('Room Info'!$A$2:$A3446, MATCH(B848,'Room Info'!$D$2:$D3446, 0)),if(G848='Room Info'!$E$1, INDEX('Room Info'!$A$2:$A3446, MATCH(B848,'Room Info'!$E$2:$E3446, 0)),if(G848='Room Info'!$F$1, INDEX('Room Info'!$A$2:$A3446, MATCH(B848,'Room Info'!$F$2:$F3446, 0)),if(G848='Room Info'!$H$1, INDEX('Room Info'!$A$2:$A3446, MATCH(B848,'Room Info'!$H$2:$H3446, 0)),if(G848='Room Info'!$G$1, INDEX('Room Info'!$A$2:$A3446, MATCH(B848,'Room Info'!$G$2:$G3446, 0)))))))))</f>
        <v>kttweek1</v>
      </c>
      <c r="B848" s="50" t="s">
        <v>197</v>
      </c>
      <c r="C848" s="82">
        <v>44713.0</v>
      </c>
      <c r="D848" s="82">
        <v>44742.0</v>
      </c>
      <c r="E848" s="52">
        <v>44713.0</v>
      </c>
      <c r="F848" s="53" t="s">
        <v>8</v>
      </c>
      <c r="G848" s="50" t="s">
        <v>5</v>
      </c>
      <c r="H848" s="54" t="s">
        <v>74</v>
      </c>
      <c r="I848" s="54" t="s">
        <v>7</v>
      </c>
      <c r="J848" s="79">
        <v>50.0</v>
      </c>
      <c r="K848" s="80">
        <v>275.0</v>
      </c>
      <c r="L848" s="77">
        <v>-1050.0</v>
      </c>
      <c r="M848" s="81">
        <v>512.0</v>
      </c>
      <c r="N848" s="33">
        <f t="shared" si="13"/>
        <v>13750</v>
      </c>
      <c r="O848" s="50">
        <v>-1134.0</v>
      </c>
      <c r="P848" s="34">
        <f t="shared" si="14"/>
        <v>-4.123636364</v>
      </c>
      <c r="Q848" s="60"/>
      <c r="R848" s="36">
        <f t="shared" si="99"/>
        <v>512</v>
      </c>
      <c r="S848" s="78">
        <v>-1051.0</v>
      </c>
      <c r="T848" s="37">
        <f t="shared" si="100"/>
        <v>-539</v>
      </c>
      <c r="U848" s="62">
        <v>1.0</v>
      </c>
      <c r="V848" s="63"/>
      <c r="W848" s="63"/>
      <c r="X848" s="83">
        <v>0.25</v>
      </c>
      <c r="Y848" s="35">
        <f t="shared" si="123"/>
        <v>0</v>
      </c>
      <c r="Z848" s="40">
        <f t="shared" si="127"/>
        <v>-404.25</v>
      </c>
      <c r="AA848" s="34">
        <f t="shared" si="128"/>
        <v>-134.75</v>
      </c>
      <c r="AB848" s="41">
        <f t="shared" si="130"/>
        <v>0</v>
      </c>
      <c r="AC848" s="42" t="b">
        <v>1</v>
      </c>
      <c r="AD848" s="42" t="s">
        <v>138</v>
      </c>
      <c r="AE848" s="42" t="s">
        <v>138</v>
      </c>
      <c r="AF848" s="42" t="str">
        <f t="array" ref="AF848">INDEX('Deal Info'!D:D, MATCH(A848,'Deal Info'!A:A, 0))</f>
        <v>DoEVold</v>
      </c>
      <c r="AG848" s="43" t="str">
        <f t="array" ref="AG848">INDEX('Deal Info'!G:G, MATCH(A848,'Deal Info'!A:A, 0))</f>
        <v>None</v>
      </c>
    </row>
    <row r="849" hidden="1">
      <c r="A849" s="23" t="str">
        <f t="array" ref="A849">if(G849='Room Info'!$B$1, INDEX('Room Info'!$A$2:$A3446, MATCH(B849,'Room Info'!$B$2:$B3446, 0)),if(G849='Room Info'!$C$1, INDEX('Room Info'!$A$2:$A3446, MATCH(B849,'Room Info'!$C$2:$C3446, 0)),if(G849='Room Info'!$D$1, INDEX('Room Info'!$A$2:$A3446, MATCH(B849,'Room Info'!$D$2:$D3446, 0)),if(G849='Room Info'!$E$1, INDEX('Room Info'!$A$2:$A3446, MATCH(B849,'Room Info'!$E$2:$E3446, 0)),if(G849='Room Info'!$F$1, INDEX('Room Info'!$A$2:$A3446, MATCH(B849,'Room Info'!$F$2:$F3446, 0)),if(G849='Room Info'!$H$1, INDEX('Room Info'!$A$2:$A3446, MATCH(B849,'Room Info'!$H$2:$H3446, 0)),if(G849='Room Info'!$G$1, INDEX('Room Info'!$A$2:$A3446, MATCH(B849,'Room Info'!$G$2:$G3446, 0)))))))))</f>
        <v>kttweek1</v>
      </c>
      <c r="B849" s="50" t="s">
        <v>197</v>
      </c>
      <c r="C849" s="82">
        <v>44713.0</v>
      </c>
      <c r="D849" s="82">
        <v>44742.0</v>
      </c>
      <c r="E849" s="52">
        <v>44713.0</v>
      </c>
      <c r="F849" s="53" t="s">
        <v>8</v>
      </c>
      <c r="G849" s="50" t="s">
        <v>5</v>
      </c>
      <c r="H849" s="54" t="s">
        <v>75</v>
      </c>
      <c r="I849" s="54" t="s">
        <v>11</v>
      </c>
      <c r="J849" s="79">
        <v>50.0</v>
      </c>
      <c r="K849" s="80">
        <v>1229.0</v>
      </c>
      <c r="L849" s="77">
        <v>-600.0</v>
      </c>
      <c r="M849" s="81">
        <v>2288.0</v>
      </c>
      <c r="N849" s="33">
        <f t="shared" si="13"/>
        <v>61450</v>
      </c>
      <c r="O849" s="50">
        <v>1202.0</v>
      </c>
      <c r="P849" s="34">
        <f t="shared" si="14"/>
        <v>0.9780309194</v>
      </c>
      <c r="Q849" s="60"/>
      <c r="R849" s="36">
        <f t="shared" si="99"/>
        <v>2288</v>
      </c>
      <c r="S849" s="78">
        <v>-4043.0</v>
      </c>
      <c r="T849" s="37">
        <f t="shared" si="100"/>
        <v>-1755</v>
      </c>
      <c r="U849" s="62">
        <v>1.0</v>
      </c>
      <c r="V849" s="63"/>
      <c r="W849" s="63"/>
      <c r="X849" s="83">
        <v>0.25</v>
      </c>
      <c r="Y849" s="35">
        <f t="shared" si="123"/>
        <v>0</v>
      </c>
      <c r="Z849" s="40">
        <f t="shared" si="127"/>
        <v>-1316.25</v>
      </c>
      <c r="AA849" s="34">
        <f t="shared" si="128"/>
        <v>-438.75</v>
      </c>
      <c r="AB849" s="41">
        <f t="shared" si="130"/>
        <v>0</v>
      </c>
      <c r="AC849" s="42" t="b">
        <v>1</v>
      </c>
      <c r="AD849" s="42" t="s">
        <v>138</v>
      </c>
      <c r="AE849" s="42" t="s">
        <v>138</v>
      </c>
      <c r="AF849" s="42" t="str">
        <f t="array" ref="AF849">INDEX('Deal Info'!D:D, MATCH(A849,'Deal Info'!A:A, 0))</f>
        <v>DoEVold</v>
      </c>
      <c r="AG849" s="43" t="str">
        <f t="array" ref="AG849">INDEX('Deal Info'!G:G, MATCH(A849,'Deal Info'!A:A, 0))</f>
        <v>None</v>
      </c>
    </row>
    <row r="850" hidden="1">
      <c r="A850" s="23" t="str">
        <f t="array" ref="A850">if(G850='Room Info'!$B$1, INDEX('Room Info'!$A$2:$A3446, MATCH(B850,'Room Info'!$B$2:$B3446, 0)),if(G850='Room Info'!$C$1, INDEX('Room Info'!$A$2:$A3446, MATCH(B850,'Room Info'!$C$2:$C3446, 0)),if(G850='Room Info'!$D$1, INDEX('Room Info'!$A$2:$A3446, MATCH(B850,'Room Info'!$D$2:$D3446, 0)),if(G850='Room Info'!$E$1, INDEX('Room Info'!$A$2:$A3446, MATCH(B850,'Room Info'!$E$2:$E3446, 0)),if(G850='Room Info'!$F$1, INDEX('Room Info'!$A$2:$A3446, MATCH(B850,'Room Info'!$F$2:$F3446, 0)),if(G850='Room Info'!$H$1, INDEX('Room Info'!$A$2:$A3446, MATCH(B850,'Room Info'!$H$2:$H3446, 0)),if(G850='Room Info'!$G$1, INDEX('Room Info'!$A$2:$A3446, MATCH(B850,'Room Info'!$G$2:$G3446, 0)))))))))</f>
        <v>kttweek1</v>
      </c>
      <c r="B850" s="50" t="s">
        <v>197</v>
      </c>
      <c r="C850" s="82">
        <v>44743.0</v>
      </c>
      <c r="D850" s="82">
        <v>44773.0</v>
      </c>
      <c r="E850" s="52">
        <v>44743.0</v>
      </c>
      <c r="F850" s="53" t="s">
        <v>8</v>
      </c>
      <c r="G850" s="50" t="s">
        <v>5</v>
      </c>
      <c r="H850" s="54" t="s">
        <v>45</v>
      </c>
      <c r="I850" s="54" t="s">
        <v>7</v>
      </c>
      <c r="J850" s="79">
        <v>10.0</v>
      </c>
      <c r="K850" s="80">
        <v>1.0</v>
      </c>
      <c r="L850" s="77">
        <v>20.0</v>
      </c>
      <c r="M850" s="81">
        <v>1.0</v>
      </c>
      <c r="N850" s="33">
        <f t="shared" si="13"/>
        <v>10</v>
      </c>
      <c r="O850" s="50">
        <v>1022.0</v>
      </c>
      <c r="P850" s="34">
        <f t="shared" si="14"/>
        <v>1022</v>
      </c>
      <c r="Q850" s="60"/>
      <c r="R850" s="36">
        <f t="shared" si="99"/>
        <v>1</v>
      </c>
      <c r="S850" s="78">
        <v>18.0</v>
      </c>
      <c r="T850" s="37">
        <f t="shared" si="100"/>
        <v>19</v>
      </c>
      <c r="U850" s="62">
        <v>1.0</v>
      </c>
      <c r="V850" s="63"/>
      <c r="W850" s="63"/>
      <c r="X850" s="83">
        <v>0.25</v>
      </c>
      <c r="Y850" s="35">
        <f t="shared" si="123"/>
        <v>0</v>
      </c>
      <c r="Z850" s="40">
        <f t="shared" si="127"/>
        <v>14.25</v>
      </c>
      <c r="AA850" s="34">
        <f t="shared" si="128"/>
        <v>4.75</v>
      </c>
      <c r="AB850" s="41">
        <f t="shared" si="130"/>
        <v>0</v>
      </c>
      <c r="AC850" s="42" t="b">
        <v>1</v>
      </c>
      <c r="AD850" s="42" t="s">
        <v>138</v>
      </c>
      <c r="AE850" s="42" t="s">
        <v>138</v>
      </c>
      <c r="AF850" s="42" t="str">
        <f t="array" ref="AF850">INDEX('Deal Info'!D:D, MATCH(A850,'Deal Info'!A:A, 0))</f>
        <v>DoEVold</v>
      </c>
      <c r="AG850" s="43" t="str">
        <f t="array" ref="AG850">INDEX('Deal Info'!G:G, MATCH(A850,'Deal Info'!A:A, 0))</f>
        <v>None</v>
      </c>
    </row>
    <row r="851" hidden="1">
      <c r="A851" s="23" t="str">
        <f t="array" ref="A851">if(G851='Room Info'!$B$1, INDEX('Room Info'!$A$2:$A3446, MATCH(B851,'Room Info'!$B$2:$B3446, 0)),if(G851='Room Info'!$C$1, INDEX('Room Info'!$A$2:$A3446, MATCH(B851,'Room Info'!$C$2:$C3446, 0)),if(G851='Room Info'!$D$1, INDEX('Room Info'!$A$2:$A3446, MATCH(B851,'Room Info'!$D$2:$D3446, 0)),if(G851='Room Info'!$E$1, INDEX('Room Info'!$A$2:$A3446, MATCH(B851,'Room Info'!$E$2:$E3446, 0)),if(G851='Room Info'!$F$1, INDEX('Room Info'!$A$2:$A3446, MATCH(B851,'Room Info'!$F$2:$F3446, 0)),if(G851='Room Info'!$H$1, INDEX('Room Info'!$A$2:$A3446, MATCH(B851,'Room Info'!$H$2:$H3446, 0)),if(G851='Room Info'!$G$1, INDEX('Room Info'!$A$2:$A3446, MATCH(B851,'Room Info'!$G$2:$G3446, 0)))))))))</f>
        <v>kttweek1</v>
      </c>
      <c r="B851" s="50" t="s">
        <v>197</v>
      </c>
      <c r="C851" s="82">
        <v>44743.0</v>
      </c>
      <c r="D851" s="82">
        <v>44773.0</v>
      </c>
      <c r="E851" s="52">
        <v>44743.0</v>
      </c>
      <c r="F851" s="53" t="s">
        <v>8</v>
      </c>
      <c r="G851" s="50" t="s">
        <v>5</v>
      </c>
      <c r="H851" s="54" t="s">
        <v>62</v>
      </c>
      <c r="I851" s="54" t="s">
        <v>7</v>
      </c>
      <c r="J851" s="79">
        <v>25.0</v>
      </c>
      <c r="K851" s="80">
        <v>524.0</v>
      </c>
      <c r="L851" s="77">
        <v>450.0</v>
      </c>
      <c r="M851" s="81">
        <v>680.0</v>
      </c>
      <c r="N851" s="33">
        <f t="shared" si="13"/>
        <v>13100</v>
      </c>
      <c r="O851" s="50">
        <v>14655.0</v>
      </c>
      <c r="P851" s="34">
        <f t="shared" si="14"/>
        <v>27.96755725</v>
      </c>
      <c r="Q851" s="60"/>
      <c r="R851" s="36">
        <f t="shared" si="99"/>
        <v>680</v>
      </c>
      <c r="S851" s="78">
        <v>-138.0</v>
      </c>
      <c r="T851" s="37">
        <f t="shared" si="100"/>
        <v>542</v>
      </c>
      <c r="U851" s="62">
        <v>1.0</v>
      </c>
      <c r="V851" s="63"/>
      <c r="W851" s="63"/>
      <c r="X851" s="83">
        <v>0.25</v>
      </c>
      <c r="Y851" s="35">
        <f t="shared" si="123"/>
        <v>0</v>
      </c>
      <c r="Z851" s="40">
        <f t="shared" si="127"/>
        <v>406.5</v>
      </c>
      <c r="AA851" s="34">
        <f t="shared" si="128"/>
        <v>135.5</v>
      </c>
      <c r="AB851" s="41">
        <f t="shared" si="130"/>
        <v>0</v>
      </c>
      <c r="AC851" s="42" t="b">
        <v>1</v>
      </c>
      <c r="AD851" s="42" t="s">
        <v>138</v>
      </c>
      <c r="AE851" s="42" t="s">
        <v>138</v>
      </c>
      <c r="AF851" s="42" t="str">
        <f t="array" ref="AF851">INDEX('Deal Info'!D:D, MATCH(A851,'Deal Info'!A:A, 0))</f>
        <v>DoEVold</v>
      </c>
      <c r="AG851" s="43" t="str">
        <f t="array" ref="AG851">INDEX('Deal Info'!G:G, MATCH(A851,'Deal Info'!A:A, 0))</f>
        <v>None</v>
      </c>
    </row>
    <row r="852" hidden="1">
      <c r="A852" s="23" t="str">
        <f t="array" ref="A852">if(G852='Room Info'!$B$1, INDEX('Room Info'!$A$2:$A3446, MATCH(B852,'Room Info'!$B$2:$B3446, 0)),if(G852='Room Info'!$C$1, INDEX('Room Info'!$A$2:$A3446, MATCH(B852,'Room Info'!$C$2:$C3446, 0)),if(G852='Room Info'!$D$1, INDEX('Room Info'!$A$2:$A3446, MATCH(B852,'Room Info'!$D$2:$D3446, 0)),if(G852='Room Info'!$E$1, INDEX('Room Info'!$A$2:$A3446, MATCH(B852,'Room Info'!$E$2:$E3446, 0)),if(G852='Room Info'!$F$1, INDEX('Room Info'!$A$2:$A3446, MATCH(B852,'Room Info'!$F$2:$F3446, 0)),if(G852='Room Info'!$H$1, INDEX('Room Info'!$A$2:$A3446, MATCH(B852,'Room Info'!$H$2:$H3446, 0)),if(G852='Room Info'!$G$1, INDEX('Room Info'!$A$2:$A3446, MATCH(B852,'Room Info'!$G$2:$G3446, 0)))))))))</f>
        <v>kttweek1</v>
      </c>
      <c r="B852" s="50" t="s">
        <v>197</v>
      </c>
      <c r="C852" s="82">
        <v>44743.0</v>
      </c>
      <c r="D852" s="82">
        <v>44773.0</v>
      </c>
      <c r="E852" s="52">
        <v>44743.0</v>
      </c>
      <c r="F852" s="53" t="s">
        <v>8</v>
      </c>
      <c r="G852" s="50" t="s">
        <v>5</v>
      </c>
      <c r="H852" s="54" t="s">
        <v>74</v>
      </c>
      <c r="I852" s="54" t="s">
        <v>7</v>
      </c>
      <c r="J852" s="79">
        <v>50.0</v>
      </c>
      <c r="K852" s="80">
        <v>1238.0</v>
      </c>
      <c r="L852" s="77">
        <v>-2900.0</v>
      </c>
      <c r="M852" s="81">
        <v>3217.0</v>
      </c>
      <c r="N852" s="33">
        <f t="shared" si="13"/>
        <v>61900</v>
      </c>
      <c r="O852" s="50">
        <v>3440.0</v>
      </c>
      <c r="P852" s="34">
        <f t="shared" si="14"/>
        <v>2.778675283</v>
      </c>
      <c r="Q852" s="60"/>
      <c r="R852" s="36">
        <f t="shared" si="99"/>
        <v>3217</v>
      </c>
      <c r="S852" s="78">
        <v>-3526.0</v>
      </c>
      <c r="T852" s="37">
        <f t="shared" si="100"/>
        <v>-309</v>
      </c>
      <c r="U852" s="62">
        <v>1.0</v>
      </c>
      <c r="V852" s="63"/>
      <c r="W852" s="63"/>
      <c r="X852" s="83">
        <v>0.25</v>
      </c>
      <c r="Y852" s="35">
        <f t="shared" si="123"/>
        <v>0</v>
      </c>
      <c r="Z852" s="40">
        <f t="shared" si="127"/>
        <v>-231.75</v>
      </c>
      <c r="AA852" s="34">
        <f t="shared" si="128"/>
        <v>-77.25</v>
      </c>
      <c r="AB852" s="41">
        <f t="shared" si="130"/>
        <v>0</v>
      </c>
      <c r="AC852" s="42" t="b">
        <v>1</v>
      </c>
      <c r="AD852" s="42" t="s">
        <v>138</v>
      </c>
      <c r="AE852" s="42" t="s">
        <v>138</v>
      </c>
      <c r="AF852" s="42" t="str">
        <f t="array" ref="AF852">INDEX('Deal Info'!D:D, MATCH(A852,'Deal Info'!A:A, 0))</f>
        <v>DoEVold</v>
      </c>
      <c r="AG852" s="43" t="str">
        <f t="array" ref="AG852">INDEX('Deal Info'!G:G, MATCH(A852,'Deal Info'!A:A, 0))</f>
        <v>None</v>
      </c>
    </row>
    <row r="853" hidden="1">
      <c r="A853" s="23" t="str">
        <f t="array" ref="A853">if(G853='Room Info'!$B$1, INDEX('Room Info'!$A$2:$A3446, MATCH(B853,'Room Info'!$B$2:$B3446, 0)),if(G853='Room Info'!$C$1, INDEX('Room Info'!$A$2:$A3446, MATCH(B853,'Room Info'!$C$2:$C3446, 0)),if(G853='Room Info'!$D$1, INDEX('Room Info'!$A$2:$A3446, MATCH(B853,'Room Info'!$D$2:$D3446, 0)),if(G853='Room Info'!$E$1, INDEX('Room Info'!$A$2:$A3446, MATCH(B853,'Room Info'!$E$2:$E3446, 0)),if(G853='Room Info'!$F$1, INDEX('Room Info'!$A$2:$A3446, MATCH(B853,'Room Info'!$F$2:$F3446, 0)),if(G853='Room Info'!$H$1, INDEX('Room Info'!$A$2:$A3446, MATCH(B853,'Room Info'!$H$2:$H3446, 0)),if(G853='Room Info'!$G$1, INDEX('Room Info'!$A$2:$A3446, MATCH(B853,'Room Info'!$G$2:$G3446, 0)))))))))</f>
        <v>kttweek1</v>
      </c>
      <c r="B853" s="50" t="s">
        <v>197</v>
      </c>
      <c r="C853" s="82">
        <v>44743.0</v>
      </c>
      <c r="D853" s="82">
        <v>44773.0</v>
      </c>
      <c r="E853" s="52">
        <v>44743.0</v>
      </c>
      <c r="F853" s="53" t="s">
        <v>12</v>
      </c>
      <c r="G853" s="50" t="s">
        <v>5</v>
      </c>
      <c r="H853" s="54" t="s">
        <v>20</v>
      </c>
      <c r="I853" s="54" t="s">
        <v>7</v>
      </c>
      <c r="J853" s="79">
        <v>1.0</v>
      </c>
      <c r="K853" s="80">
        <v>3.0</v>
      </c>
      <c r="L853" s="77">
        <v>0.0</v>
      </c>
      <c r="M853" s="84"/>
      <c r="N853" s="33">
        <f t="shared" si="13"/>
        <v>3</v>
      </c>
      <c r="O853" s="101"/>
      <c r="P853" s="34">
        <f t="shared" si="14"/>
        <v>0</v>
      </c>
      <c r="Q853" s="60"/>
      <c r="R853" s="36">
        <f t="shared" si="99"/>
        <v>0</v>
      </c>
      <c r="S853" s="102"/>
      <c r="T853" s="37">
        <f t="shared" si="100"/>
        <v>0</v>
      </c>
      <c r="U853" s="62">
        <v>1.0</v>
      </c>
      <c r="V853" s="63"/>
      <c r="W853" s="63"/>
      <c r="X853" s="83">
        <v>0.25</v>
      </c>
      <c r="Y853" s="35">
        <f t="shared" si="123"/>
        <v>0</v>
      </c>
      <c r="Z853" s="40">
        <f t="shared" si="127"/>
        <v>0</v>
      </c>
      <c r="AA853" s="34">
        <f t="shared" si="128"/>
        <v>0</v>
      </c>
      <c r="AB853" s="41">
        <f t="shared" si="130"/>
        <v>0</v>
      </c>
      <c r="AC853" s="42" t="b">
        <v>1</v>
      </c>
      <c r="AD853" s="42" t="s">
        <v>138</v>
      </c>
      <c r="AE853" s="42" t="s">
        <v>138</v>
      </c>
      <c r="AF853" s="42" t="str">
        <f t="array" ref="AF853">INDEX('Deal Info'!D:D, MATCH(A853,'Deal Info'!A:A, 0))</f>
        <v>DoEVold</v>
      </c>
      <c r="AG853" s="43" t="str">
        <f t="array" ref="AG853">INDEX('Deal Info'!G:G, MATCH(A853,'Deal Info'!A:A, 0))</f>
        <v>None</v>
      </c>
    </row>
    <row r="854" hidden="1">
      <c r="A854" s="23" t="str">
        <f t="array" ref="A854">if(G854='Room Info'!$B$1, INDEX('Room Info'!$A$2:$A3446, MATCH(B854,'Room Info'!$B$2:$B3446, 0)),if(G854='Room Info'!$C$1, INDEX('Room Info'!$A$2:$A3446, MATCH(B854,'Room Info'!$C$2:$C3446, 0)),if(G854='Room Info'!$D$1, INDEX('Room Info'!$A$2:$A3446, MATCH(B854,'Room Info'!$D$2:$D3446, 0)),if(G854='Room Info'!$E$1, INDEX('Room Info'!$A$2:$A3446, MATCH(B854,'Room Info'!$E$2:$E3446, 0)),if(G854='Room Info'!$F$1, INDEX('Room Info'!$A$2:$A3446, MATCH(B854,'Room Info'!$F$2:$F3446, 0)),if(G854='Room Info'!$H$1, INDEX('Room Info'!$A$2:$A3446, MATCH(B854,'Room Info'!$H$2:$H3446, 0)),if(G854='Room Info'!$G$1, INDEX('Room Info'!$A$2:$A3446, MATCH(B854,'Room Info'!$G$2:$G3446, 0)))))))))</f>
        <v>kttweek1</v>
      </c>
      <c r="B854" s="50" t="s">
        <v>197</v>
      </c>
      <c r="C854" s="82">
        <v>44743.0</v>
      </c>
      <c r="D854" s="82">
        <v>44773.0</v>
      </c>
      <c r="E854" s="52">
        <v>44743.0</v>
      </c>
      <c r="F854" s="53" t="s">
        <v>12</v>
      </c>
      <c r="G854" s="50" t="s">
        <v>5</v>
      </c>
      <c r="H854" s="54" t="s">
        <v>28</v>
      </c>
      <c r="I854" s="54" t="s">
        <v>7</v>
      </c>
      <c r="J854" s="79">
        <v>2.0</v>
      </c>
      <c r="K854" s="80">
        <v>3.0</v>
      </c>
      <c r="L854" s="77">
        <v>2.0</v>
      </c>
      <c r="M854" s="84"/>
      <c r="N854" s="33">
        <f t="shared" si="13"/>
        <v>6</v>
      </c>
      <c r="O854" s="101"/>
      <c r="P854" s="34">
        <f t="shared" si="14"/>
        <v>0</v>
      </c>
      <c r="Q854" s="60"/>
      <c r="R854" s="36">
        <f t="shared" si="99"/>
        <v>0</v>
      </c>
      <c r="S854" s="102"/>
      <c r="T854" s="37">
        <f t="shared" si="100"/>
        <v>2</v>
      </c>
      <c r="U854" s="62">
        <v>1.0</v>
      </c>
      <c r="V854" s="63"/>
      <c r="W854" s="63"/>
      <c r="X854" s="83">
        <v>0.25</v>
      </c>
      <c r="Y854" s="35">
        <f t="shared" si="123"/>
        <v>0</v>
      </c>
      <c r="Z854" s="40">
        <f t="shared" si="127"/>
        <v>1.5</v>
      </c>
      <c r="AA854" s="34">
        <f t="shared" si="128"/>
        <v>0.5</v>
      </c>
      <c r="AB854" s="41">
        <f t="shared" si="130"/>
        <v>0</v>
      </c>
      <c r="AC854" s="42" t="b">
        <v>1</v>
      </c>
      <c r="AD854" s="42" t="s">
        <v>138</v>
      </c>
      <c r="AE854" s="42" t="s">
        <v>138</v>
      </c>
      <c r="AF854" s="42" t="str">
        <f t="array" ref="AF854">INDEX('Deal Info'!D:D, MATCH(A854,'Deal Info'!A:A, 0))</f>
        <v>DoEVold</v>
      </c>
      <c r="AG854" s="43" t="str">
        <f t="array" ref="AG854">INDEX('Deal Info'!G:G, MATCH(A854,'Deal Info'!A:A, 0))</f>
        <v>None</v>
      </c>
    </row>
    <row r="855" hidden="1">
      <c r="A855" s="23" t="str">
        <f t="array" ref="A855">if(G855='Room Info'!$B$1, INDEX('Room Info'!$A$2:$A3446, MATCH(B855,'Room Info'!$B$2:$B3446, 0)),if(G855='Room Info'!$C$1, INDEX('Room Info'!$A$2:$A3446, MATCH(B855,'Room Info'!$C$2:$C3446, 0)),if(G855='Room Info'!$D$1, INDEX('Room Info'!$A$2:$A3446, MATCH(B855,'Room Info'!$D$2:$D3446, 0)),if(G855='Room Info'!$E$1, INDEX('Room Info'!$A$2:$A3446, MATCH(B855,'Room Info'!$E$2:$E3446, 0)),if(G855='Room Info'!$F$1, INDEX('Room Info'!$A$2:$A3446, MATCH(B855,'Room Info'!$F$2:$F3446, 0)),if(G855='Room Info'!$H$1, INDEX('Room Info'!$A$2:$A3446, MATCH(B855,'Room Info'!$H$2:$H3446, 0)),if(G855='Room Info'!$G$1, INDEX('Room Info'!$A$2:$A3446, MATCH(B855,'Room Info'!$G$2:$G3446, 0)))))))))</f>
        <v>kttweek1</v>
      </c>
      <c r="B855" s="50" t="s">
        <v>197</v>
      </c>
      <c r="C855" s="82">
        <v>44743.0</v>
      </c>
      <c r="D855" s="82">
        <v>44773.0</v>
      </c>
      <c r="E855" s="52">
        <v>44743.0</v>
      </c>
      <c r="F855" s="53" t="s">
        <v>12</v>
      </c>
      <c r="G855" s="50" t="s">
        <v>5</v>
      </c>
      <c r="H855" s="54" t="s">
        <v>35</v>
      </c>
      <c r="I855" s="54" t="s">
        <v>7</v>
      </c>
      <c r="J855" s="79">
        <v>5.0</v>
      </c>
      <c r="K855" s="80">
        <v>3.0</v>
      </c>
      <c r="L855" s="77">
        <v>-15.0</v>
      </c>
      <c r="M855" s="81">
        <v>1.0</v>
      </c>
      <c r="N855" s="33">
        <f t="shared" si="13"/>
        <v>15</v>
      </c>
      <c r="O855" s="101"/>
      <c r="P855" s="34">
        <f t="shared" si="14"/>
        <v>0</v>
      </c>
      <c r="Q855" s="60"/>
      <c r="R855" s="36">
        <f t="shared" si="99"/>
        <v>1</v>
      </c>
      <c r="S855" s="102"/>
      <c r="T855" s="37">
        <f t="shared" si="100"/>
        <v>-14</v>
      </c>
      <c r="U855" s="62">
        <v>1.0</v>
      </c>
      <c r="V855" s="63"/>
      <c r="W855" s="63"/>
      <c r="X855" s="83">
        <v>0.25</v>
      </c>
      <c r="Y855" s="35">
        <f t="shared" si="123"/>
        <v>0</v>
      </c>
      <c r="Z855" s="40">
        <f t="shared" si="127"/>
        <v>-10.5</v>
      </c>
      <c r="AA855" s="34">
        <f t="shared" si="128"/>
        <v>-3.5</v>
      </c>
      <c r="AB855" s="41">
        <f t="shared" si="130"/>
        <v>0</v>
      </c>
      <c r="AC855" s="42" t="b">
        <v>1</v>
      </c>
      <c r="AD855" s="42" t="s">
        <v>138</v>
      </c>
      <c r="AE855" s="42" t="s">
        <v>138</v>
      </c>
      <c r="AF855" s="42" t="str">
        <f t="array" ref="AF855">INDEX('Deal Info'!D:D, MATCH(A855,'Deal Info'!A:A, 0))</f>
        <v>DoEVold</v>
      </c>
      <c r="AG855" s="43" t="str">
        <f t="array" ref="AG855">INDEX('Deal Info'!G:G, MATCH(A855,'Deal Info'!A:A, 0))</f>
        <v>None</v>
      </c>
    </row>
    <row r="856" hidden="1">
      <c r="A856" s="23" t="str">
        <f t="array" ref="A856">if(G856='Room Info'!$B$1, INDEX('Room Info'!$A$2:$A3446, MATCH(B856,'Room Info'!$B$2:$B3446, 0)),if(G856='Room Info'!$C$1, INDEX('Room Info'!$A$2:$A3446, MATCH(B856,'Room Info'!$C$2:$C3446, 0)),if(G856='Room Info'!$D$1, INDEX('Room Info'!$A$2:$A3446, MATCH(B856,'Room Info'!$D$2:$D3446, 0)),if(G856='Room Info'!$E$1, INDEX('Room Info'!$A$2:$A3446, MATCH(B856,'Room Info'!$E$2:$E3446, 0)),if(G856='Room Info'!$F$1, INDEX('Room Info'!$A$2:$A3446, MATCH(B856,'Room Info'!$F$2:$F3446, 0)),if(G856='Room Info'!$H$1, INDEX('Room Info'!$A$2:$A3446, MATCH(B856,'Room Info'!$H$2:$H3446, 0)),if(G856='Room Info'!$G$1, INDEX('Room Info'!$A$2:$A3446, MATCH(B856,'Room Info'!$G$2:$G3446, 0)))))))))</f>
        <v>kttweek1</v>
      </c>
      <c r="B856" s="50" t="s">
        <v>197</v>
      </c>
      <c r="C856" s="82">
        <v>44774.0</v>
      </c>
      <c r="D856" s="82">
        <v>44804.0</v>
      </c>
      <c r="E856" s="52">
        <v>44774.0</v>
      </c>
      <c r="F856" s="53" t="s">
        <v>8</v>
      </c>
      <c r="G856" s="50" t="s">
        <v>5</v>
      </c>
      <c r="H856" s="54" t="s">
        <v>45</v>
      </c>
      <c r="I856" s="54" t="s">
        <v>7</v>
      </c>
      <c r="J856" s="79">
        <v>10.0</v>
      </c>
      <c r="K856" s="80">
        <v>12.0</v>
      </c>
      <c r="L856" s="77">
        <v>20.0</v>
      </c>
      <c r="M856" s="81">
        <v>6.0</v>
      </c>
      <c r="N856" s="33">
        <f t="shared" si="13"/>
        <v>120</v>
      </c>
      <c r="O856" s="50">
        <v>633.0</v>
      </c>
      <c r="P856" s="34">
        <f t="shared" si="14"/>
        <v>52.75</v>
      </c>
      <c r="Q856" s="60"/>
      <c r="R856" s="36">
        <f t="shared" si="99"/>
        <v>6</v>
      </c>
      <c r="S856" s="78">
        <v>3.0</v>
      </c>
      <c r="T856" s="37">
        <f t="shared" si="100"/>
        <v>9</v>
      </c>
      <c r="U856" s="62">
        <v>1.0</v>
      </c>
      <c r="V856" s="63"/>
      <c r="W856" s="63"/>
      <c r="X856" s="83">
        <v>0.25</v>
      </c>
      <c r="Y856" s="35">
        <f t="shared" si="123"/>
        <v>0</v>
      </c>
      <c r="Z856" s="40">
        <f t="shared" si="127"/>
        <v>6.75</v>
      </c>
      <c r="AA856" s="34">
        <f t="shared" si="128"/>
        <v>2.25</v>
      </c>
      <c r="AB856" s="41">
        <f t="shared" si="130"/>
        <v>0</v>
      </c>
      <c r="AC856" s="42" t="b">
        <v>1</v>
      </c>
      <c r="AD856" s="42" t="s">
        <v>138</v>
      </c>
      <c r="AE856" s="42" t="s">
        <v>138</v>
      </c>
      <c r="AF856" s="42" t="str">
        <f t="array" ref="AF856">INDEX('Deal Info'!D:D, MATCH(A856,'Deal Info'!A:A, 0))</f>
        <v>DoEVold</v>
      </c>
      <c r="AG856" s="43" t="str">
        <f t="array" ref="AG856">INDEX('Deal Info'!G:G, MATCH(A856,'Deal Info'!A:A, 0))</f>
        <v>None</v>
      </c>
    </row>
    <row r="857" hidden="1">
      <c r="A857" s="23" t="str">
        <f t="array" ref="A857">if(G857='Room Info'!$B$1, INDEX('Room Info'!$A$2:$A3446, MATCH(B857,'Room Info'!$B$2:$B3446, 0)),if(G857='Room Info'!$C$1, INDEX('Room Info'!$A$2:$A3446, MATCH(B857,'Room Info'!$C$2:$C3446, 0)),if(G857='Room Info'!$D$1, INDEX('Room Info'!$A$2:$A3446, MATCH(B857,'Room Info'!$D$2:$D3446, 0)),if(G857='Room Info'!$E$1, INDEX('Room Info'!$A$2:$A3446, MATCH(B857,'Room Info'!$E$2:$E3446, 0)),if(G857='Room Info'!$F$1, INDEX('Room Info'!$A$2:$A3446, MATCH(B857,'Room Info'!$F$2:$F3446, 0)),if(G857='Room Info'!$H$1, INDEX('Room Info'!$A$2:$A3446, MATCH(B857,'Room Info'!$H$2:$H3446, 0)),if(G857='Room Info'!$G$1, INDEX('Room Info'!$A$2:$A3446, MATCH(B857,'Room Info'!$G$2:$G3446, 0)))))))))</f>
        <v>kttweek1</v>
      </c>
      <c r="B857" s="50" t="s">
        <v>197</v>
      </c>
      <c r="C857" s="82">
        <v>44774.0</v>
      </c>
      <c r="D857" s="82">
        <v>44804.0</v>
      </c>
      <c r="E857" s="52">
        <v>44774.0</v>
      </c>
      <c r="F857" s="53" t="s">
        <v>8</v>
      </c>
      <c r="G857" s="50" t="s">
        <v>5</v>
      </c>
      <c r="H857" s="54" t="s">
        <v>62</v>
      </c>
      <c r="I857" s="54" t="s">
        <v>7</v>
      </c>
      <c r="J857" s="79">
        <v>25.0</v>
      </c>
      <c r="K857" s="80">
        <v>1972.0</v>
      </c>
      <c r="L857" s="77">
        <v>-250.0</v>
      </c>
      <c r="M857" s="81">
        <v>2011.0</v>
      </c>
      <c r="N857" s="33">
        <f t="shared" si="13"/>
        <v>49300</v>
      </c>
      <c r="O857" s="50">
        <v>67894.0</v>
      </c>
      <c r="P857" s="34">
        <f t="shared" si="14"/>
        <v>34.42900609</v>
      </c>
      <c r="Q857" s="60"/>
      <c r="R857" s="36">
        <f t="shared" si="99"/>
        <v>2011</v>
      </c>
      <c r="S857" s="78">
        <v>-43.0</v>
      </c>
      <c r="T857" s="37">
        <f t="shared" si="100"/>
        <v>1968</v>
      </c>
      <c r="U857" s="62">
        <v>1.0</v>
      </c>
      <c r="V857" s="63"/>
      <c r="W857" s="63"/>
      <c r="X857" s="83">
        <v>0.25</v>
      </c>
      <c r="Y857" s="35">
        <f t="shared" si="123"/>
        <v>0</v>
      </c>
      <c r="Z857" s="40">
        <f t="shared" si="127"/>
        <v>1476</v>
      </c>
      <c r="AA857" s="34">
        <f t="shared" si="128"/>
        <v>492</v>
      </c>
      <c r="AB857" s="41">
        <f t="shared" si="130"/>
        <v>0</v>
      </c>
      <c r="AC857" s="42" t="b">
        <v>1</v>
      </c>
      <c r="AD857" s="42" t="s">
        <v>138</v>
      </c>
      <c r="AE857" s="42" t="s">
        <v>138</v>
      </c>
      <c r="AF857" s="42" t="str">
        <f t="array" ref="AF857">INDEX('Deal Info'!D:D, MATCH(A857,'Deal Info'!A:A, 0))</f>
        <v>DoEVold</v>
      </c>
      <c r="AG857" s="43" t="str">
        <f t="array" ref="AG857">INDEX('Deal Info'!G:G, MATCH(A857,'Deal Info'!A:A, 0))</f>
        <v>None</v>
      </c>
    </row>
    <row r="858" hidden="1">
      <c r="A858" s="23" t="str">
        <f t="array" ref="A858">if(G858='Room Info'!$B$1, INDEX('Room Info'!$A$2:$A3446, MATCH(B858,'Room Info'!$B$2:$B3446, 0)),if(G858='Room Info'!$C$1, INDEX('Room Info'!$A$2:$A3446, MATCH(B858,'Room Info'!$C$2:$C3446, 0)),if(G858='Room Info'!$D$1, INDEX('Room Info'!$A$2:$A3446, MATCH(B858,'Room Info'!$D$2:$D3446, 0)),if(G858='Room Info'!$E$1, INDEX('Room Info'!$A$2:$A3446, MATCH(B858,'Room Info'!$E$2:$E3446, 0)),if(G858='Room Info'!$F$1, INDEX('Room Info'!$A$2:$A3446, MATCH(B858,'Room Info'!$F$2:$F3446, 0)),if(G858='Room Info'!$H$1, INDEX('Room Info'!$A$2:$A3446, MATCH(B858,'Room Info'!$H$2:$H3446, 0)),if(G858='Room Info'!$G$1, INDEX('Room Info'!$A$2:$A3446, MATCH(B858,'Room Info'!$G$2:$G3446, 0)))))))))</f>
        <v>kttweek1</v>
      </c>
      <c r="B858" s="50" t="s">
        <v>197</v>
      </c>
      <c r="C858" s="82">
        <v>44774.0</v>
      </c>
      <c r="D858" s="82">
        <v>44804.0</v>
      </c>
      <c r="E858" s="52">
        <v>44774.0</v>
      </c>
      <c r="F858" s="53" t="s">
        <v>8</v>
      </c>
      <c r="G858" s="50" t="s">
        <v>5</v>
      </c>
      <c r="H858" s="54" t="s">
        <v>74</v>
      </c>
      <c r="I858" s="54" t="s">
        <v>7</v>
      </c>
      <c r="J858" s="79">
        <v>50.0</v>
      </c>
      <c r="K858" s="80">
        <v>511.0</v>
      </c>
      <c r="L858" s="77">
        <v>-800.0</v>
      </c>
      <c r="M858" s="81">
        <v>1042.0</v>
      </c>
      <c r="N858" s="33">
        <f t="shared" si="13"/>
        <v>25550</v>
      </c>
      <c r="O858" s="50">
        <v>3602.0</v>
      </c>
      <c r="P858" s="34">
        <f t="shared" si="14"/>
        <v>7.048923679</v>
      </c>
      <c r="Q858" s="60"/>
      <c r="R858" s="36">
        <f t="shared" si="99"/>
        <v>1042</v>
      </c>
      <c r="S858" s="78">
        <v>-1319.0</v>
      </c>
      <c r="T858" s="37">
        <f t="shared" si="100"/>
        <v>-277</v>
      </c>
      <c r="U858" s="62">
        <v>1.0</v>
      </c>
      <c r="V858" s="63"/>
      <c r="W858" s="63"/>
      <c r="X858" s="83">
        <v>0.25</v>
      </c>
      <c r="Y858" s="35">
        <f t="shared" si="123"/>
        <v>0</v>
      </c>
      <c r="Z858" s="40">
        <f t="shared" si="127"/>
        <v>-207.75</v>
      </c>
      <c r="AA858" s="34">
        <f t="shared" si="128"/>
        <v>-69.25</v>
      </c>
      <c r="AB858" s="41">
        <f t="shared" si="130"/>
        <v>0</v>
      </c>
      <c r="AC858" s="42" t="b">
        <v>1</v>
      </c>
      <c r="AD858" s="42" t="s">
        <v>138</v>
      </c>
      <c r="AE858" s="42" t="s">
        <v>138</v>
      </c>
      <c r="AF858" s="42" t="str">
        <f t="array" ref="AF858">INDEX('Deal Info'!D:D, MATCH(A858,'Deal Info'!A:A, 0))</f>
        <v>DoEVold</v>
      </c>
      <c r="AG858" s="43" t="str">
        <f t="array" ref="AG858">INDEX('Deal Info'!G:G, MATCH(A858,'Deal Info'!A:A, 0))</f>
        <v>None</v>
      </c>
    </row>
    <row r="859" hidden="1">
      <c r="A859" s="23" t="str">
        <f t="array" ref="A859">if(G859='Room Info'!$B$1, INDEX('Room Info'!$A$2:$A3446, MATCH(B859,'Room Info'!$B$2:$B3446, 0)),if(G859='Room Info'!$C$1, INDEX('Room Info'!$A$2:$A3446, MATCH(B859,'Room Info'!$C$2:$C3446, 0)),if(G859='Room Info'!$D$1, INDEX('Room Info'!$A$2:$A3446, MATCH(B859,'Room Info'!$D$2:$D3446, 0)),if(G859='Room Info'!$E$1, INDEX('Room Info'!$A$2:$A3446, MATCH(B859,'Room Info'!$E$2:$E3446, 0)),if(G859='Room Info'!$F$1, INDEX('Room Info'!$A$2:$A3446, MATCH(B859,'Room Info'!$F$2:$F3446, 0)),if(G859='Room Info'!$H$1, INDEX('Room Info'!$A$2:$A3446, MATCH(B859,'Room Info'!$H$2:$H3446, 0)),if(G859='Room Info'!$G$1, INDEX('Room Info'!$A$2:$A3446, MATCH(B859,'Room Info'!$G$2:$G3446, 0)))))))))</f>
        <v>kttweek1</v>
      </c>
      <c r="B859" s="50" t="s">
        <v>197</v>
      </c>
      <c r="C859" s="82">
        <v>44774.0</v>
      </c>
      <c r="D859" s="82">
        <v>44804.0</v>
      </c>
      <c r="E859" s="52">
        <v>44774.0</v>
      </c>
      <c r="F859" s="53" t="s">
        <v>12</v>
      </c>
      <c r="G859" s="50" t="s">
        <v>5</v>
      </c>
      <c r="H859" s="54" t="s">
        <v>35</v>
      </c>
      <c r="I859" s="54" t="s">
        <v>7</v>
      </c>
      <c r="J859" s="79">
        <v>5.0</v>
      </c>
      <c r="K859" s="80">
        <v>2.0</v>
      </c>
      <c r="L859" s="77">
        <v>5.0</v>
      </c>
      <c r="M859" s="81">
        <v>0.0</v>
      </c>
      <c r="N859" s="33">
        <f t="shared" si="13"/>
        <v>10</v>
      </c>
      <c r="O859" s="101"/>
      <c r="P859" s="34">
        <f t="shared" si="14"/>
        <v>0</v>
      </c>
      <c r="Q859" s="60"/>
      <c r="R859" s="36">
        <f t="shared" si="99"/>
        <v>0</v>
      </c>
      <c r="S859" s="102"/>
      <c r="T859" s="37">
        <f t="shared" si="100"/>
        <v>5</v>
      </c>
      <c r="U859" s="62">
        <v>1.0</v>
      </c>
      <c r="V859" s="63"/>
      <c r="W859" s="63"/>
      <c r="X859" s="83">
        <v>0.25</v>
      </c>
      <c r="Y859" s="35">
        <f t="shared" si="123"/>
        <v>0</v>
      </c>
      <c r="Z859" s="40">
        <f t="shared" si="127"/>
        <v>3.75</v>
      </c>
      <c r="AA859" s="34">
        <f t="shared" si="128"/>
        <v>1.25</v>
      </c>
      <c r="AB859" s="41">
        <f t="shared" si="130"/>
        <v>0</v>
      </c>
      <c r="AC859" s="42" t="b">
        <v>1</v>
      </c>
      <c r="AD859" s="42" t="s">
        <v>138</v>
      </c>
      <c r="AE859" s="42" t="s">
        <v>138</v>
      </c>
      <c r="AF859" s="42" t="str">
        <f t="array" ref="AF859">INDEX('Deal Info'!D:D, MATCH(A859,'Deal Info'!A:A, 0))</f>
        <v>DoEVold</v>
      </c>
      <c r="AG859" s="43" t="str">
        <f t="array" ref="AG859">INDEX('Deal Info'!G:G, MATCH(A859,'Deal Info'!A:A, 0))</f>
        <v>None</v>
      </c>
    </row>
    <row r="860" hidden="1">
      <c r="A860" s="23" t="str">
        <f t="array" ref="A860">if(G860='Room Info'!$B$1, INDEX('Room Info'!$A$2:$A3446, MATCH(B860,'Room Info'!$B$2:$B3446, 0)),if(G860='Room Info'!$C$1, INDEX('Room Info'!$A$2:$A3446, MATCH(B860,'Room Info'!$C$2:$C3446, 0)),if(G860='Room Info'!$D$1, INDEX('Room Info'!$A$2:$A3446, MATCH(B860,'Room Info'!$D$2:$D3446, 0)),if(G860='Room Info'!$E$1, INDEX('Room Info'!$A$2:$A3446, MATCH(B860,'Room Info'!$E$2:$E3446, 0)),if(G860='Room Info'!$F$1, INDEX('Room Info'!$A$2:$A3446, MATCH(B860,'Room Info'!$F$2:$F3446, 0)),if(G860='Room Info'!$H$1, INDEX('Room Info'!$A$2:$A3446, MATCH(B860,'Room Info'!$H$2:$H3446, 0)),if(G860='Room Info'!$G$1, INDEX('Room Info'!$A$2:$A3446, MATCH(B860,'Room Info'!$G$2:$G3446, 0)))))))))</f>
        <v>kttweek1</v>
      </c>
      <c r="B860" s="50" t="s">
        <v>197</v>
      </c>
      <c r="C860" s="82">
        <v>44805.0</v>
      </c>
      <c r="D860" s="82">
        <v>44834.0</v>
      </c>
      <c r="E860" s="52">
        <v>44805.0</v>
      </c>
      <c r="F860" s="53" t="s">
        <v>8</v>
      </c>
      <c r="G860" s="50" t="s">
        <v>5</v>
      </c>
      <c r="H860" s="54" t="s">
        <v>45</v>
      </c>
      <c r="I860" s="54" t="s">
        <v>7</v>
      </c>
      <c r="J860" s="79">
        <v>10.0</v>
      </c>
      <c r="K860" s="80">
        <v>166.0</v>
      </c>
      <c r="L860" s="77">
        <v>-230.0</v>
      </c>
      <c r="M860" s="81">
        <v>78.0</v>
      </c>
      <c r="N860" s="33">
        <f t="shared" si="13"/>
        <v>1660</v>
      </c>
      <c r="O860" s="50">
        <v>972.0</v>
      </c>
      <c r="P860" s="34">
        <f t="shared" si="14"/>
        <v>5.855421687</v>
      </c>
      <c r="Q860" s="60"/>
      <c r="R860" s="36">
        <f t="shared" si="99"/>
        <v>78</v>
      </c>
      <c r="S860" s="78">
        <v>-100.0</v>
      </c>
      <c r="T860" s="37">
        <f t="shared" si="100"/>
        <v>-22</v>
      </c>
      <c r="U860" s="62">
        <v>1.0</v>
      </c>
      <c r="V860" s="63"/>
      <c r="W860" s="63"/>
      <c r="X860" s="83">
        <v>0.25</v>
      </c>
      <c r="Y860" s="35">
        <f t="shared" si="123"/>
        <v>0</v>
      </c>
      <c r="Z860" s="40">
        <f t="shared" si="127"/>
        <v>-16.5</v>
      </c>
      <c r="AA860" s="34">
        <f t="shared" si="128"/>
        <v>-5.5</v>
      </c>
      <c r="AB860" s="41">
        <f t="shared" si="130"/>
        <v>0</v>
      </c>
      <c r="AC860" s="42" t="b">
        <v>1</v>
      </c>
      <c r="AD860" s="42" t="s">
        <v>138</v>
      </c>
      <c r="AE860" s="42" t="s">
        <v>138</v>
      </c>
      <c r="AF860" s="42" t="str">
        <f t="array" ref="AF860">INDEX('Deal Info'!D:D, MATCH(A860,'Deal Info'!A:A, 0))</f>
        <v>DoEVold</v>
      </c>
      <c r="AG860" s="43" t="str">
        <f t="array" ref="AG860">INDEX('Deal Info'!G:G, MATCH(A860,'Deal Info'!A:A, 0))</f>
        <v>None</v>
      </c>
    </row>
    <row r="861" hidden="1">
      <c r="A861" s="23" t="str">
        <f t="array" ref="A861">if(G861='Room Info'!$B$1, INDEX('Room Info'!$A$2:$A3446, MATCH(B861,'Room Info'!$B$2:$B3446, 0)),if(G861='Room Info'!$C$1, INDEX('Room Info'!$A$2:$A3446, MATCH(B861,'Room Info'!$C$2:$C3446, 0)),if(G861='Room Info'!$D$1, INDEX('Room Info'!$A$2:$A3446, MATCH(B861,'Room Info'!$D$2:$D3446, 0)),if(G861='Room Info'!$E$1, INDEX('Room Info'!$A$2:$A3446, MATCH(B861,'Room Info'!$E$2:$E3446, 0)),if(G861='Room Info'!$F$1, INDEX('Room Info'!$A$2:$A3446, MATCH(B861,'Room Info'!$F$2:$F3446, 0)),if(G861='Room Info'!$H$1, INDEX('Room Info'!$A$2:$A3446, MATCH(B861,'Room Info'!$H$2:$H3446, 0)),if(G861='Room Info'!$G$1, INDEX('Room Info'!$A$2:$A3446, MATCH(B861,'Room Info'!$G$2:$G3446, 0)))))))))</f>
        <v>kttweek1</v>
      </c>
      <c r="B861" s="50" t="s">
        <v>197</v>
      </c>
      <c r="C861" s="82">
        <v>44805.0</v>
      </c>
      <c r="D861" s="82">
        <v>44834.0</v>
      </c>
      <c r="E861" s="52">
        <v>44805.0</v>
      </c>
      <c r="F861" s="53" t="s">
        <v>8</v>
      </c>
      <c r="G861" s="50" t="s">
        <v>5</v>
      </c>
      <c r="H861" s="54" t="s">
        <v>62</v>
      </c>
      <c r="I861" s="54" t="s">
        <v>7</v>
      </c>
      <c r="J861" s="79">
        <v>25.0</v>
      </c>
      <c r="K861" s="80">
        <v>3160.0</v>
      </c>
      <c r="L861" s="77">
        <v>-3075.0</v>
      </c>
      <c r="M861" s="81">
        <v>3191.0</v>
      </c>
      <c r="N861" s="33">
        <f t="shared" si="13"/>
        <v>79000</v>
      </c>
      <c r="O861" s="50">
        <v>114035.0</v>
      </c>
      <c r="P861" s="34">
        <f t="shared" si="14"/>
        <v>36.08702532</v>
      </c>
      <c r="Q861" s="60"/>
      <c r="R861" s="36">
        <f t="shared" si="99"/>
        <v>3191</v>
      </c>
      <c r="S861" s="78">
        <v>558.0</v>
      </c>
      <c r="T861" s="37">
        <f t="shared" si="100"/>
        <v>3749</v>
      </c>
      <c r="U861" s="62">
        <v>1.0</v>
      </c>
      <c r="V861" s="63"/>
      <c r="W861" s="63"/>
      <c r="X861" s="83">
        <v>0.25</v>
      </c>
      <c r="Y861" s="35">
        <f t="shared" si="123"/>
        <v>0</v>
      </c>
      <c r="Z861" s="40">
        <f t="shared" si="127"/>
        <v>2811.75</v>
      </c>
      <c r="AA861" s="34">
        <f t="shared" si="128"/>
        <v>937.25</v>
      </c>
      <c r="AB861" s="41">
        <f t="shared" si="130"/>
        <v>0</v>
      </c>
      <c r="AC861" s="42" t="b">
        <v>1</v>
      </c>
      <c r="AD861" s="42" t="s">
        <v>138</v>
      </c>
      <c r="AE861" s="42" t="s">
        <v>138</v>
      </c>
      <c r="AF861" s="42" t="str">
        <f t="array" ref="AF861">INDEX('Deal Info'!D:D, MATCH(A861,'Deal Info'!A:A, 0))</f>
        <v>DoEVold</v>
      </c>
      <c r="AG861" s="43" t="str">
        <f t="array" ref="AG861">INDEX('Deal Info'!G:G, MATCH(A861,'Deal Info'!A:A, 0))</f>
        <v>None</v>
      </c>
    </row>
    <row r="862" hidden="1">
      <c r="A862" s="23" t="str">
        <f t="array" ref="A862">if(G862='Room Info'!$B$1, INDEX('Room Info'!$A$2:$A3446, MATCH(B862,'Room Info'!$B$2:$B3446, 0)),if(G862='Room Info'!$C$1, INDEX('Room Info'!$A$2:$A3446, MATCH(B862,'Room Info'!$C$2:$C3446, 0)),if(G862='Room Info'!$D$1, INDEX('Room Info'!$A$2:$A3446, MATCH(B862,'Room Info'!$D$2:$D3446, 0)),if(G862='Room Info'!$E$1, INDEX('Room Info'!$A$2:$A3446, MATCH(B862,'Room Info'!$E$2:$E3446, 0)),if(G862='Room Info'!$F$1, INDEX('Room Info'!$A$2:$A3446, MATCH(B862,'Room Info'!$F$2:$F3446, 0)),if(G862='Room Info'!$H$1, INDEX('Room Info'!$A$2:$A3446, MATCH(B862,'Room Info'!$H$2:$H3446, 0)),if(G862='Room Info'!$G$1, INDEX('Room Info'!$A$2:$A3446, MATCH(B862,'Room Info'!$G$2:$G3446, 0)))))))))</f>
        <v>kttweek1</v>
      </c>
      <c r="B862" s="50" t="s">
        <v>197</v>
      </c>
      <c r="C862" s="82">
        <v>44805.0</v>
      </c>
      <c r="D862" s="82">
        <v>44834.0</v>
      </c>
      <c r="E862" s="52">
        <v>44805.0</v>
      </c>
      <c r="F862" s="53" t="s">
        <v>12</v>
      </c>
      <c r="G862" s="50" t="s">
        <v>5</v>
      </c>
      <c r="H862" s="54" t="s">
        <v>35</v>
      </c>
      <c r="I862" s="54" t="s">
        <v>7</v>
      </c>
      <c r="J862" s="55">
        <v>5.0</v>
      </c>
      <c r="K862" s="56">
        <v>3.0</v>
      </c>
      <c r="L862" s="57">
        <v>-15.0</v>
      </c>
      <c r="M862" s="67"/>
      <c r="N862" s="33">
        <f t="shared" si="13"/>
        <v>15</v>
      </c>
      <c r="O862" s="70"/>
      <c r="P862" s="34">
        <f t="shared" si="14"/>
        <v>0</v>
      </c>
      <c r="Q862" s="60"/>
      <c r="R862" s="36">
        <f t="shared" si="99"/>
        <v>0</v>
      </c>
      <c r="S862" s="71"/>
      <c r="T862" s="37">
        <f t="shared" si="100"/>
        <v>-15</v>
      </c>
      <c r="U862" s="62">
        <v>1.0</v>
      </c>
      <c r="V862" s="63"/>
      <c r="W862" s="63"/>
      <c r="X862" s="83">
        <v>0.25</v>
      </c>
      <c r="Y862" s="35">
        <f t="shared" si="123"/>
        <v>0</v>
      </c>
      <c r="Z862" s="40">
        <f t="shared" si="127"/>
        <v>-11.25</v>
      </c>
      <c r="AA862" s="34">
        <f t="shared" si="128"/>
        <v>-3.75</v>
      </c>
      <c r="AB862" s="41">
        <f t="shared" si="130"/>
        <v>0</v>
      </c>
      <c r="AC862" s="42" t="b">
        <v>1</v>
      </c>
      <c r="AD862" s="42" t="s">
        <v>138</v>
      </c>
      <c r="AE862" s="42" t="s">
        <v>138</v>
      </c>
      <c r="AF862" s="42" t="str">
        <f t="array" ref="AF862">INDEX('Deal Info'!D:D, MATCH(A862,'Deal Info'!A:A, 0))</f>
        <v>DoEVold</v>
      </c>
      <c r="AG862" s="43" t="str">
        <f t="array" ref="AG862">INDEX('Deal Info'!G:G, MATCH(A862,'Deal Info'!A:A, 0))</f>
        <v>None</v>
      </c>
    </row>
    <row r="863" hidden="1">
      <c r="A863" s="23" t="str">
        <f t="array" ref="A863">if(G863='Room Info'!$B$1, INDEX('Room Info'!$A$2:$A3446, MATCH(B863,'Room Info'!$B$2:$B3446, 0)),if(G863='Room Info'!$C$1, INDEX('Room Info'!$A$2:$A3446, MATCH(B863,'Room Info'!$C$2:$C3446, 0)),if(G863='Room Info'!$D$1, INDEX('Room Info'!$A$2:$A3446, MATCH(B863,'Room Info'!$D$2:$D3446, 0)),if(G863='Room Info'!$E$1, INDEX('Room Info'!$A$2:$A3446, MATCH(B863,'Room Info'!$E$2:$E3446, 0)),if(G863='Room Info'!$F$1, INDEX('Room Info'!$A$2:$A3446, MATCH(B863,'Room Info'!$F$2:$F3446, 0)),if(G863='Room Info'!$H$1, INDEX('Room Info'!$A$2:$A3446, MATCH(B863,'Room Info'!$H$2:$H3446, 0)),if(G863='Room Info'!$G$1, INDEX('Room Info'!$A$2:$A3446, MATCH(B863,'Room Info'!$G$2:$G3446, 0)))))))))</f>
        <v>kttweek1</v>
      </c>
      <c r="B863" s="50" t="s">
        <v>197</v>
      </c>
      <c r="C863" s="82">
        <v>44835.0</v>
      </c>
      <c r="D863" s="82">
        <v>44865.0</v>
      </c>
      <c r="E863" s="52">
        <v>44835.0</v>
      </c>
      <c r="F863" s="53" t="s">
        <v>8</v>
      </c>
      <c r="G863" s="50" t="s">
        <v>5</v>
      </c>
      <c r="H863" s="54" t="s">
        <v>45</v>
      </c>
      <c r="I863" s="54" t="s">
        <v>7</v>
      </c>
      <c r="J863" s="55">
        <v>10.0</v>
      </c>
      <c r="K863" s="56">
        <v>21.0</v>
      </c>
      <c r="L863" s="57">
        <v>-30.0</v>
      </c>
      <c r="M863" s="58">
        <v>8.0</v>
      </c>
      <c r="N863" s="33">
        <f t="shared" si="13"/>
        <v>210</v>
      </c>
      <c r="O863" s="59">
        <v>-736.0</v>
      </c>
      <c r="P863" s="34">
        <f t="shared" si="14"/>
        <v>-35.04761905</v>
      </c>
      <c r="Q863" s="60"/>
      <c r="R863" s="36">
        <f t="shared" si="99"/>
        <v>8</v>
      </c>
      <c r="S863" s="61">
        <v>-29.0</v>
      </c>
      <c r="T863" s="37">
        <f t="shared" si="100"/>
        <v>-21</v>
      </c>
      <c r="U863" s="62">
        <v>1.0</v>
      </c>
      <c r="V863" s="63"/>
      <c r="W863" s="63"/>
      <c r="X863" s="83">
        <v>0.25</v>
      </c>
      <c r="Y863" s="35">
        <f t="shared" si="123"/>
        <v>0</v>
      </c>
      <c r="Z863" s="40">
        <f t="shared" si="127"/>
        <v>-15.75</v>
      </c>
      <c r="AA863" s="34">
        <f t="shared" si="128"/>
        <v>-5.25</v>
      </c>
      <c r="AB863" s="41">
        <f t="shared" si="130"/>
        <v>0</v>
      </c>
      <c r="AC863" s="42" t="b">
        <v>1</v>
      </c>
      <c r="AD863" s="42" t="s">
        <v>138</v>
      </c>
      <c r="AE863" s="42" t="s">
        <v>138</v>
      </c>
      <c r="AF863" s="42" t="str">
        <f t="array" ref="AF863">INDEX('Deal Info'!D:D, MATCH(A863,'Deal Info'!A:A, 0))</f>
        <v>DoEVold</v>
      </c>
      <c r="AG863" s="43" t="str">
        <f t="array" ref="AG863">INDEX('Deal Info'!G:G, MATCH(A863,'Deal Info'!A:A, 0))</f>
        <v>None</v>
      </c>
    </row>
    <row r="864" hidden="1">
      <c r="A864" s="23" t="str">
        <f t="array" ref="A864">if(G864='Room Info'!$B$1, INDEX('Room Info'!$A$2:$A3446, MATCH(B864,'Room Info'!$B$2:$B3446, 0)),if(G864='Room Info'!$C$1, INDEX('Room Info'!$A$2:$A3446, MATCH(B864,'Room Info'!$C$2:$C3446, 0)),if(G864='Room Info'!$D$1, INDEX('Room Info'!$A$2:$A3446, MATCH(B864,'Room Info'!$D$2:$D3446, 0)),if(G864='Room Info'!$E$1, INDEX('Room Info'!$A$2:$A3446, MATCH(B864,'Room Info'!$E$2:$E3446, 0)),if(G864='Room Info'!$F$1, INDEX('Room Info'!$A$2:$A3446, MATCH(B864,'Room Info'!$F$2:$F3446, 0)),if(G864='Room Info'!$H$1, INDEX('Room Info'!$A$2:$A3446, MATCH(B864,'Room Info'!$H$2:$H3446, 0)),if(G864='Room Info'!$G$1, INDEX('Room Info'!$A$2:$A3446, MATCH(B864,'Room Info'!$G$2:$G3446, 0)))))))))</f>
        <v>kttweek1</v>
      </c>
      <c r="B864" s="50" t="s">
        <v>197</v>
      </c>
      <c r="C864" s="82">
        <v>44835.0</v>
      </c>
      <c r="D864" s="82">
        <v>44865.0</v>
      </c>
      <c r="E864" s="52">
        <v>44835.0</v>
      </c>
      <c r="F864" s="53" t="s">
        <v>8</v>
      </c>
      <c r="G864" s="50" t="s">
        <v>5</v>
      </c>
      <c r="H864" s="54" t="s">
        <v>62</v>
      </c>
      <c r="I864" s="54" t="s">
        <v>7</v>
      </c>
      <c r="J864" s="79">
        <v>25.0</v>
      </c>
      <c r="K864" s="80">
        <v>989.0</v>
      </c>
      <c r="L864" s="77">
        <v>-425.0</v>
      </c>
      <c r="M864" s="81">
        <v>787.0</v>
      </c>
      <c r="N864" s="33">
        <f t="shared" si="13"/>
        <v>24725</v>
      </c>
      <c r="O864" s="50">
        <v>44880.0</v>
      </c>
      <c r="P864" s="34">
        <f t="shared" si="14"/>
        <v>45.37917088</v>
      </c>
      <c r="Q864" s="60"/>
      <c r="R864" s="36">
        <f t="shared" si="99"/>
        <v>787</v>
      </c>
      <c r="S864" s="78">
        <v>378.0</v>
      </c>
      <c r="T864" s="37">
        <f t="shared" si="100"/>
        <v>1165</v>
      </c>
      <c r="U864" s="62">
        <v>1.0</v>
      </c>
      <c r="V864" s="63"/>
      <c r="W864" s="63"/>
      <c r="X864" s="83">
        <v>0.25</v>
      </c>
      <c r="Y864" s="35">
        <f t="shared" si="123"/>
        <v>0</v>
      </c>
      <c r="Z864" s="40">
        <f t="shared" si="127"/>
        <v>873.75</v>
      </c>
      <c r="AA864" s="34">
        <f t="shared" si="128"/>
        <v>291.25</v>
      </c>
      <c r="AB864" s="41">
        <f t="shared" si="130"/>
        <v>0</v>
      </c>
      <c r="AC864" s="42" t="b">
        <v>1</v>
      </c>
      <c r="AD864" s="42" t="s">
        <v>138</v>
      </c>
      <c r="AE864" s="42" t="s">
        <v>138</v>
      </c>
      <c r="AF864" s="42" t="str">
        <f t="array" ref="AF864">INDEX('Deal Info'!D:D, MATCH(A864,'Deal Info'!A:A, 0))</f>
        <v>DoEVold</v>
      </c>
      <c r="AG864" s="43" t="str">
        <f t="array" ref="AG864">INDEX('Deal Info'!G:G, MATCH(A864,'Deal Info'!A:A, 0))</f>
        <v>None</v>
      </c>
    </row>
    <row r="865" hidden="1">
      <c r="A865" s="23" t="str">
        <f t="array" ref="A865">if(G865='Room Info'!$B$1, INDEX('Room Info'!$A$2:$A3446, MATCH(B865,'Room Info'!$B$2:$B3446, 0)),if(G865='Room Info'!$C$1, INDEX('Room Info'!$A$2:$A3446, MATCH(B865,'Room Info'!$C$2:$C3446, 0)),if(G865='Room Info'!$D$1, INDEX('Room Info'!$A$2:$A3446, MATCH(B865,'Room Info'!$D$2:$D3446, 0)),if(G865='Room Info'!$E$1, INDEX('Room Info'!$A$2:$A3446, MATCH(B865,'Room Info'!$E$2:$E3446, 0)),if(G865='Room Info'!$F$1, INDEX('Room Info'!$A$2:$A3446, MATCH(B865,'Room Info'!$F$2:$F3446, 0)),if(G865='Room Info'!$H$1, INDEX('Room Info'!$A$2:$A3446, MATCH(B865,'Room Info'!$H$2:$H3446, 0)),if(G865='Room Info'!$G$1, INDEX('Room Info'!$A$2:$A3446, MATCH(B865,'Room Info'!$G$2:$G3446, 0)))))))))</f>
        <v>kttweek1</v>
      </c>
      <c r="B865" s="50" t="s">
        <v>197</v>
      </c>
      <c r="C865" s="82">
        <v>44866.0</v>
      </c>
      <c r="D865" s="82">
        <v>44895.0</v>
      </c>
      <c r="E865" s="52">
        <v>44866.0</v>
      </c>
      <c r="F865" s="53" t="s">
        <v>8</v>
      </c>
      <c r="G865" s="50" t="s">
        <v>5</v>
      </c>
      <c r="H865" s="54" t="s">
        <v>45</v>
      </c>
      <c r="I865" s="54" t="s">
        <v>7</v>
      </c>
      <c r="J865" s="79">
        <v>10.0</v>
      </c>
      <c r="K865" s="80">
        <v>2.0</v>
      </c>
      <c r="L865" s="77">
        <v>30.0</v>
      </c>
      <c r="M865" s="81">
        <v>1.0</v>
      </c>
      <c r="N865" s="33">
        <f t="shared" si="13"/>
        <v>20</v>
      </c>
      <c r="O865" s="50">
        <v>1475.0</v>
      </c>
      <c r="P865" s="34">
        <f t="shared" si="14"/>
        <v>737.5</v>
      </c>
      <c r="Q865" s="60"/>
      <c r="R865" s="36">
        <f t="shared" si="99"/>
        <v>1</v>
      </c>
      <c r="S865" s="78">
        <v>25.0</v>
      </c>
      <c r="T865" s="37">
        <f t="shared" si="100"/>
        <v>26</v>
      </c>
      <c r="U865" s="62">
        <v>1.0</v>
      </c>
      <c r="V865" s="63"/>
      <c r="W865" s="63"/>
      <c r="X865" s="83">
        <v>0.17</v>
      </c>
      <c r="Y865" s="35">
        <f t="shared" si="123"/>
        <v>0</v>
      </c>
      <c r="Z865" s="40">
        <f t="shared" si="127"/>
        <v>21.58</v>
      </c>
      <c r="AA865" s="34">
        <f t="shared" si="128"/>
        <v>4.42</v>
      </c>
      <c r="AB865" s="41">
        <f t="shared" si="130"/>
        <v>0</v>
      </c>
      <c r="AC865" s="42" t="b">
        <v>1</v>
      </c>
      <c r="AD865" s="42" t="s">
        <v>138</v>
      </c>
      <c r="AE865" s="42" t="s">
        <v>138</v>
      </c>
      <c r="AF865" s="42" t="str">
        <f t="array" ref="AF865">INDEX('Deal Info'!D:D, MATCH(A865,'Deal Info'!A:A, 0))</f>
        <v>DoEVold</v>
      </c>
      <c r="AG865" s="43" t="str">
        <f t="array" ref="AG865">INDEX('Deal Info'!G:G, MATCH(A865,'Deal Info'!A:A, 0))</f>
        <v>None</v>
      </c>
    </row>
    <row r="866" hidden="1">
      <c r="A866" s="23" t="str">
        <f t="array" ref="A866">if(G866='Room Info'!$B$1, INDEX('Room Info'!$A$2:$A3446, MATCH(B866,'Room Info'!$B$2:$B3446, 0)),if(G866='Room Info'!$C$1, INDEX('Room Info'!$A$2:$A3446, MATCH(B866,'Room Info'!$C$2:$C3446, 0)),if(G866='Room Info'!$D$1, INDEX('Room Info'!$A$2:$A3446, MATCH(B866,'Room Info'!$D$2:$D3446, 0)),if(G866='Room Info'!$E$1, INDEX('Room Info'!$A$2:$A3446, MATCH(B866,'Room Info'!$E$2:$E3446, 0)),if(G866='Room Info'!$F$1, INDEX('Room Info'!$A$2:$A3446, MATCH(B866,'Room Info'!$F$2:$F3446, 0)),if(G866='Room Info'!$H$1, INDEX('Room Info'!$A$2:$A3446, MATCH(B866,'Room Info'!$H$2:$H3446, 0)),if(G866='Room Info'!$G$1, INDEX('Room Info'!$A$2:$A3446, MATCH(B866,'Room Info'!$G$2:$G3446, 0)))))))))</f>
        <v>kttweek1</v>
      </c>
      <c r="B866" s="59" t="s">
        <v>197</v>
      </c>
      <c r="C866" s="82">
        <v>44866.0</v>
      </c>
      <c r="D866" s="82">
        <v>44895.0</v>
      </c>
      <c r="E866" s="52">
        <v>44866.0</v>
      </c>
      <c r="F866" s="53" t="s">
        <v>8</v>
      </c>
      <c r="G866" s="59" t="s">
        <v>5</v>
      </c>
      <c r="H866" s="54" t="s">
        <v>75</v>
      </c>
      <c r="I866" s="54" t="s">
        <v>11</v>
      </c>
      <c r="J866" s="55">
        <v>50.0</v>
      </c>
      <c r="K866" s="56">
        <v>234.0</v>
      </c>
      <c r="L866" s="57">
        <v>-450.0</v>
      </c>
      <c r="M866" s="58">
        <v>448.0</v>
      </c>
      <c r="N866" s="33">
        <f t="shared" si="13"/>
        <v>11700</v>
      </c>
      <c r="O866" s="59">
        <v>3896.0</v>
      </c>
      <c r="P866" s="34">
        <f t="shared" si="14"/>
        <v>16.64957265</v>
      </c>
      <c r="Q866" s="60"/>
      <c r="R866" s="36">
        <f t="shared" si="99"/>
        <v>448</v>
      </c>
      <c r="S866" s="61">
        <v>-183.0</v>
      </c>
      <c r="T866" s="37">
        <f t="shared" si="100"/>
        <v>265</v>
      </c>
      <c r="U866" s="62">
        <v>1.0</v>
      </c>
      <c r="V866" s="63"/>
      <c r="W866" s="63"/>
      <c r="X866" s="83">
        <v>0.17</v>
      </c>
      <c r="Y866" s="35">
        <f t="shared" si="123"/>
        <v>0</v>
      </c>
      <c r="Z866" s="40">
        <f t="shared" si="127"/>
        <v>219.95</v>
      </c>
      <c r="AA866" s="34">
        <f t="shared" si="128"/>
        <v>45.05</v>
      </c>
      <c r="AB866" s="41">
        <f t="shared" si="130"/>
        <v>0</v>
      </c>
      <c r="AC866" s="42" t="b">
        <v>1</v>
      </c>
      <c r="AD866" s="42" t="s">
        <v>138</v>
      </c>
      <c r="AE866" s="42" t="s">
        <v>138</v>
      </c>
      <c r="AF866" s="42" t="str">
        <f t="array" ref="AF866">INDEX('Deal Info'!D:D, MATCH(A866,'Deal Info'!A:A, 0))</f>
        <v>DoEVold</v>
      </c>
      <c r="AG866" s="43" t="str">
        <f t="array" ref="AG866">INDEX('Deal Info'!G:G, MATCH(A866,'Deal Info'!A:A, 0))</f>
        <v>None</v>
      </c>
    </row>
    <row r="867" hidden="1">
      <c r="A867" s="23" t="str">
        <f t="array" ref="A867">if(G867='Room Info'!$B$1, INDEX('Room Info'!$A$2:$A3446, MATCH(B867,'Room Info'!$B$2:$B3446, 0)),if(G867='Room Info'!$C$1, INDEX('Room Info'!$A$2:$A3446, MATCH(B867,'Room Info'!$C$2:$C3446, 0)),if(G867='Room Info'!$D$1, INDEX('Room Info'!$A$2:$A3446, MATCH(B867,'Room Info'!$D$2:$D3446, 0)),if(G867='Room Info'!$E$1, INDEX('Room Info'!$A$2:$A3446, MATCH(B867,'Room Info'!$E$2:$E3446, 0)),if(G867='Room Info'!$F$1, INDEX('Room Info'!$A$2:$A3446, MATCH(B867,'Room Info'!$F$2:$F3446, 0)),if(G867='Room Info'!$H$1, INDEX('Room Info'!$A$2:$A3446, MATCH(B867,'Room Info'!$H$2:$H3446, 0)),if(G867='Room Info'!$G$1, INDEX('Room Info'!$A$2:$A3446, MATCH(B867,'Room Info'!$G$2:$G3446, 0)))))))))</f>
        <v>kttweek1</v>
      </c>
      <c r="B867" s="50" t="s">
        <v>197</v>
      </c>
      <c r="C867" s="51">
        <v>44866.0</v>
      </c>
      <c r="D867" s="51">
        <v>44895.0</v>
      </c>
      <c r="E867" s="52">
        <v>44866.0</v>
      </c>
      <c r="F867" s="53" t="s">
        <v>8</v>
      </c>
      <c r="G867" s="50" t="s">
        <v>5</v>
      </c>
      <c r="H867" s="54" t="s">
        <v>74</v>
      </c>
      <c r="I867" s="54" t="s">
        <v>7</v>
      </c>
      <c r="J867" s="55">
        <v>50.0</v>
      </c>
      <c r="K867" s="56">
        <v>300.0</v>
      </c>
      <c r="L867" s="57">
        <v>2800.0</v>
      </c>
      <c r="M867" s="58">
        <v>574.0</v>
      </c>
      <c r="N867" s="33">
        <f t="shared" si="13"/>
        <v>15000</v>
      </c>
      <c r="O867" s="59">
        <v>12424.0</v>
      </c>
      <c r="P867" s="34">
        <f t="shared" si="14"/>
        <v>41.41333333</v>
      </c>
      <c r="Q867" s="60"/>
      <c r="R867" s="36">
        <f t="shared" si="99"/>
        <v>574</v>
      </c>
      <c r="S867" s="61">
        <v>144.0</v>
      </c>
      <c r="T867" s="37">
        <f t="shared" si="100"/>
        <v>718</v>
      </c>
      <c r="U867" s="62">
        <v>1.0</v>
      </c>
      <c r="V867" s="63"/>
      <c r="W867" s="63"/>
      <c r="X867" s="83">
        <v>0.17</v>
      </c>
      <c r="Y867" s="35">
        <f t="shared" si="123"/>
        <v>0</v>
      </c>
      <c r="Z867" s="40">
        <f t="shared" si="127"/>
        <v>595.94</v>
      </c>
      <c r="AA867" s="34">
        <f t="shared" si="128"/>
        <v>122.06</v>
      </c>
      <c r="AB867" s="41">
        <f t="shared" si="130"/>
        <v>0</v>
      </c>
      <c r="AC867" s="42" t="b">
        <v>1</v>
      </c>
      <c r="AD867" s="42" t="s">
        <v>138</v>
      </c>
      <c r="AE867" s="42" t="s">
        <v>138</v>
      </c>
      <c r="AF867" s="42" t="str">
        <f t="array" ref="AF867">INDEX('Deal Info'!D:D, MATCH(A867,'Deal Info'!A:A, 0))</f>
        <v>DoEVold</v>
      </c>
      <c r="AG867" s="43" t="str">
        <f t="array" ref="AG867">INDEX('Deal Info'!G:G, MATCH(A867,'Deal Info'!A:A, 0))</f>
        <v>None</v>
      </c>
    </row>
    <row r="868" hidden="1">
      <c r="A868" s="23" t="str">
        <f t="array" ref="A868">if(G868='Room Info'!$B$1, INDEX('Room Info'!$A$2:$A3446, MATCH(B868,'Room Info'!$B$2:$B3446, 0)),if(G868='Room Info'!$C$1, INDEX('Room Info'!$A$2:$A3446, MATCH(B868,'Room Info'!$C$2:$C3446, 0)),if(G868='Room Info'!$D$1, INDEX('Room Info'!$A$2:$A3446, MATCH(B868,'Room Info'!$D$2:$D3446, 0)),if(G868='Room Info'!$E$1, INDEX('Room Info'!$A$2:$A3446, MATCH(B868,'Room Info'!$E$2:$E3446, 0)),if(G868='Room Info'!$F$1, INDEX('Room Info'!$A$2:$A3446, MATCH(B868,'Room Info'!$F$2:$F3446, 0)),if(G868='Room Info'!$H$1, INDEX('Room Info'!$A$2:$A3446, MATCH(B868,'Room Info'!$H$2:$H3446, 0)),if(G868='Room Info'!$G$1, INDEX('Room Info'!$A$2:$A3446, MATCH(B868,'Room Info'!$G$2:$G3446, 0)))))))))</f>
        <v>kttweek1</v>
      </c>
      <c r="B868" s="50" t="s">
        <v>197</v>
      </c>
      <c r="C868" s="82">
        <v>44866.0</v>
      </c>
      <c r="D868" s="82">
        <v>44895.0</v>
      </c>
      <c r="E868" s="52">
        <v>44866.0</v>
      </c>
      <c r="F868" s="53" t="s">
        <v>8</v>
      </c>
      <c r="G868" s="50" t="s">
        <v>5</v>
      </c>
      <c r="H868" s="54" t="s">
        <v>62</v>
      </c>
      <c r="I868" s="54" t="s">
        <v>7</v>
      </c>
      <c r="J868" s="79">
        <v>25.0</v>
      </c>
      <c r="K868" s="80">
        <v>1936.0</v>
      </c>
      <c r="L868" s="77">
        <v>2000.0</v>
      </c>
      <c r="M868" s="81">
        <v>1852.0</v>
      </c>
      <c r="N868" s="33">
        <f t="shared" si="13"/>
        <v>48400</v>
      </c>
      <c r="O868" s="50">
        <v>80387.0</v>
      </c>
      <c r="P868" s="34">
        <f t="shared" si="14"/>
        <v>41.52221074</v>
      </c>
      <c r="Q868" s="60"/>
      <c r="R868" s="36">
        <f t="shared" si="99"/>
        <v>1852</v>
      </c>
      <c r="S868" s="78">
        <v>475.0</v>
      </c>
      <c r="T868" s="37">
        <f t="shared" si="100"/>
        <v>2327</v>
      </c>
      <c r="U868" s="62">
        <v>1.0</v>
      </c>
      <c r="V868" s="63"/>
      <c r="W868" s="63"/>
      <c r="X868" s="83">
        <v>0.17</v>
      </c>
      <c r="Y868" s="35">
        <f t="shared" si="123"/>
        <v>0</v>
      </c>
      <c r="Z868" s="40">
        <f t="shared" si="127"/>
        <v>1931.41</v>
      </c>
      <c r="AA868" s="34">
        <f t="shared" si="128"/>
        <v>395.59</v>
      </c>
      <c r="AB868" s="41">
        <f t="shared" si="130"/>
        <v>0</v>
      </c>
      <c r="AC868" s="42" t="b">
        <v>1</v>
      </c>
      <c r="AD868" s="42" t="s">
        <v>138</v>
      </c>
      <c r="AE868" s="42" t="s">
        <v>138</v>
      </c>
      <c r="AF868" s="42" t="str">
        <f t="array" ref="AF868">INDEX('Deal Info'!D:D, MATCH(A868,'Deal Info'!A:A, 0))</f>
        <v>DoEVold</v>
      </c>
      <c r="AG868" s="43" t="str">
        <f t="array" ref="AG868">INDEX('Deal Info'!G:G, MATCH(A868,'Deal Info'!A:A, 0))</f>
        <v>None</v>
      </c>
    </row>
    <row r="869" hidden="1">
      <c r="A869" s="23" t="str">
        <f t="array" ref="A869">if(G869='Room Info'!$B$1, INDEX('Room Info'!$A$2:$A3446, MATCH(B869,'Room Info'!$B$2:$B3446, 0)),if(G869='Room Info'!$C$1, INDEX('Room Info'!$A$2:$A3446, MATCH(B869,'Room Info'!$C$2:$C3446, 0)),if(G869='Room Info'!$D$1, INDEX('Room Info'!$A$2:$A3446, MATCH(B869,'Room Info'!$D$2:$D3446, 0)),if(G869='Room Info'!$E$1, INDEX('Room Info'!$A$2:$A3446, MATCH(B869,'Room Info'!$E$2:$E3446, 0)),if(G869='Room Info'!$F$1, INDEX('Room Info'!$A$2:$A3446, MATCH(B869,'Room Info'!$F$2:$F3446, 0)),if(G869='Room Info'!$H$1, INDEX('Room Info'!$A$2:$A3446, MATCH(B869,'Room Info'!$H$2:$H3446, 0)),if(G869='Room Info'!$G$1, INDEX('Room Info'!$A$2:$A3446, MATCH(B869,'Room Info'!$G$2:$G3446, 0)))))))))</f>
        <v>kttweek1</v>
      </c>
      <c r="B869" s="50" t="s">
        <v>197</v>
      </c>
      <c r="C869" s="82">
        <v>44866.0</v>
      </c>
      <c r="D869" s="82">
        <v>44895.0</v>
      </c>
      <c r="E869" s="52">
        <v>44866.0</v>
      </c>
      <c r="F869" s="53" t="s">
        <v>12</v>
      </c>
      <c r="G869" s="50" t="s">
        <v>5</v>
      </c>
      <c r="H869" s="54" t="s">
        <v>35</v>
      </c>
      <c r="I869" s="54" t="s">
        <v>7</v>
      </c>
      <c r="J869" s="79">
        <v>5.0</v>
      </c>
      <c r="K869" s="80">
        <v>1.0</v>
      </c>
      <c r="L869" s="77">
        <v>10.0</v>
      </c>
      <c r="M869" s="84"/>
      <c r="N869" s="33">
        <f t="shared" si="13"/>
        <v>5</v>
      </c>
      <c r="O869" s="101"/>
      <c r="P869" s="34">
        <f t="shared" si="14"/>
        <v>0</v>
      </c>
      <c r="Q869" s="60"/>
      <c r="R869" s="36">
        <f t="shared" si="99"/>
        <v>0</v>
      </c>
      <c r="S869" s="102"/>
      <c r="T869" s="37">
        <f t="shared" si="100"/>
        <v>10</v>
      </c>
      <c r="U869" s="62">
        <v>1.0</v>
      </c>
      <c r="V869" s="63"/>
      <c r="W869" s="63"/>
      <c r="X869" s="83">
        <v>0.17</v>
      </c>
      <c r="Y869" s="35">
        <f t="shared" si="123"/>
        <v>0</v>
      </c>
      <c r="Z869" s="40">
        <f t="shared" si="127"/>
        <v>8.3</v>
      </c>
      <c r="AA869" s="34">
        <f t="shared" si="128"/>
        <v>1.7</v>
      </c>
      <c r="AB869" s="41">
        <f t="shared" si="130"/>
        <v>0</v>
      </c>
      <c r="AC869" s="42" t="b">
        <v>1</v>
      </c>
      <c r="AD869" s="42" t="s">
        <v>138</v>
      </c>
      <c r="AE869" s="42" t="s">
        <v>138</v>
      </c>
      <c r="AF869" s="42" t="str">
        <f t="array" ref="AF869">INDEX('Deal Info'!D:D, MATCH(A869,'Deal Info'!A:A, 0))</f>
        <v>DoEVold</v>
      </c>
      <c r="AG869" s="43" t="str">
        <f t="array" ref="AG869">INDEX('Deal Info'!G:G, MATCH(A869,'Deal Info'!A:A, 0))</f>
        <v>None</v>
      </c>
    </row>
    <row r="870" hidden="1">
      <c r="A870" s="23" t="str">
        <f t="array" ref="A870">if(G870='Room Info'!$B$1, INDEX('Room Info'!$A$2:$A3446, MATCH(B870,'Room Info'!$B$2:$B3446, 0)),if(G870='Room Info'!$C$1, INDEX('Room Info'!$A$2:$A3446, MATCH(B870,'Room Info'!$C$2:$C3446, 0)),if(G870='Room Info'!$D$1, INDEX('Room Info'!$A$2:$A3446, MATCH(B870,'Room Info'!$D$2:$D3446, 0)),if(G870='Room Info'!$E$1, INDEX('Room Info'!$A$2:$A3446, MATCH(B870,'Room Info'!$E$2:$E3446, 0)),if(G870='Room Info'!$F$1, INDEX('Room Info'!$A$2:$A3446, MATCH(B870,'Room Info'!$F$2:$F3446, 0)),if(G870='Room Info'!$H$1, INDEX('Room Info'!$A$2:$A3446, MATCH(B870,'Room Info'!$H$2:$H3446, 0)),if(G870='Room Info'!$G$1, INDEX('Room Info'!$A$2:$A3446, MATCH(B870,'Room Info'!$G$2:$G3446, 0)))))))))</f>
        <v>kttweek1</v>
      </c>
      <c r="B870" s="59" t="s">
        <v>197</v>
      </c>
      <c r="C870" s="51">
        <v>44896.0</v>
      </c>
      <c r="D870" s="51">
        <v>44915.0</v>
      </c>
      <c r="E870" s="52">
        <v>44896.0</v>
      </c>
      <c r="F870" s="50" t="s">
        <v>8</v>
      </c>
      <c r="G870" s="59" t="s">
        <v>5</v>
      </c>
      <c r="H870" s="54" t="s">
        <v>45</v>
      </c>
      <c r="I870" s="54" t="s">
        <v>7</v>
      </c>
      <c r="J870" s="79">
        <v>10.0</v>
      </c>
      <c r="K870" s="80">
        <v>15.0</v>
      </c>
      <c r="L870" s="77">
        <v>20.0</v>
      </c>
      <c r="M870" s="58">
        <v>5.0</v>
      </c>
      <c r="N870" s="33">
        <f t="shared" si="13"/>
        <v>150</v>
      </c>
      <c r="O870" s="50">
        <v>1598.0</v>
      </c>
      <c r="P870" s="34">
        <f t="shared" si="14"/>
        <v>106.5333333</v>
      </c>
      <c r="Q870" s="60"/>
      <c r="R870" s="36">
        <f t="shared" si="99"/>
        <v>5</v>
      </c>
      <c r="S870" s="78">
        <v>18.0</v>
      </c>
      <c r="T870" s="37">
        <f t="shared" si="100"/>
        <v>23</v>
      </c>
      <c r="U870" s="62">
        <v>1.0</v>
      </c>
      <c r="V870" s="63"/>
      <c r="W870" s="63"/>
      <c r="X870" s="83">
        <v>0.35</v>
      </c>
      <c r="Y870" s="35">
        <f t="shared" si="123"/>
        <v>0</v>
      </c>
      <c r="Z870" s="40">
        <f t="shared" si="127"/>
        <v>14.95</v>
      </c>
      <c r="AA870" s="34">
        <f t="shared" si="128"/>
        <v>8.05</v>
      </c>
      <c r="AB870" s="41">
        <f t="shared" si="130"/>
        <v>0</v>
      </c>
      <c r="AC870" s="42" t="b">
        <v>1</v>
      </c>
      <c r="AD870" s="42" t="s">
        <v>138</v>
      </c>
      <c r="AE870" s="42" t="s">
        <v>138</v>
      </c>
      <c r="AF870" s="42" t="str">
        <f t="array" ref="AF870">INDEX('Deal Info'!D:D, MATCH(A870,'Deal Info'!A:A, 0))</f>
        <v>DoEVold</v>
      </c>
      <c r="AG870" s="43" t="str">
        <f t="array" ref="AG870">INDEX('Deal Info'!G:G, MATCH(A870,'Deal Info'!A:A, 0))</f>
        <v>None</v>
      </c>
    </row>
    <row r="871" hidden="1">
      <c r="A871" s="23" t="str">
        <f t="array" ref="A871">if(G871='Room Info'!$B$1, INDEX('Room Info'!$A$2:$A3446, MATCH(B871,'Room Info'!$B$2:$B3446, 0)),if(G871='Room Info'!$C$1, INDEX('Room Info'!$A$2:$A3446, MATCH(B871,'Room Info'!$C$2:$C3446, 0)),if(G871='Room Info'!$D$1, INDEX('Room Info'!$A$2:$A3446, MATCH(B871,'Room Info'!$D$2:$D3446, 0)),if(G871='Room Info'!$E$1, INDEX('Room Info'!$A$2:$A3446, MATCH(B871,'Room Info'!$E$2:$E3446, 0)),if(G871='Room Info'!$F$1, INDEX('Room Info'!$A$2:$A3446, MATCH(B871,'Room Info'!$F$2:$F3446, 0)),if(G871='Room Info'!$H$1, INDEX('Room Info'!$A$2:$A3446, MATCH(B871,'Room Info'!$H$2:$H3446, 0)),if(G871='Room Info'!$G$1, INDEX('Room Info'!$A$2:$A3446, MATCH(B871,'Room Info'!$G$2:$G3446, 0)))))))))</f>
        <v>kttweek1</v>
      </c>
      <c r="B871" s="50" t="s">
        <v>197</v>
      </c>
      <c r="C871" s="82">
        <v>44896.0</v>
      </c>
      <c r="D871" s="82">
        <v>44915.0</v>
      </c>
      <c r="E871" s="52">
        <v>44896.0</v>
      </c>
      <c r="F871" s="53" t="s">
        <v>8</v>
      </c>
      <c r="G871" s="50" t="s">
        <v>5</v>
      </c>
      <c r="H871" s="54" t="s">
        <v>62</v>
      </c>
      <c r="I871" s="54" t="s">
        <v>7</v>
      </c>
      <c r="J871" s="79">
        <v>25.0</v>
      </c>
      <c r="K871" s="80">
        <v>324.0</v>
      </c>
      <c r="L871" s="77">
        <v>25.0</v>
      </c>
      <c r="M871" s="81">
        <v>244.0</v>
      </c>
      <c r="N871" s="33">
        <f t="shared" si="13"/>
        <v>8100</v>
      </c>
      <c r="O871" s="50">
        <v>5351.0</v>
      </c>
      <c r="P871" s="34">
        <f t="shared" si="14"/>
        <v>16.5154321</v>
      </c>
      <c r="Q871" s="60"/>
      <c r="R871" s="36">
        <f t="shared" si="99"/>
        <v>244</v>
      </c>
      <c r="S871" s="78">
        <v>-277.0</v>
      </c>
      <c r="T871" s="37">
        <f t="shared" si="100"/>
        <v>-33</v>
      </c>
      <c r="U871" s="62">
        <v>1.0</v>
      </c>
      <c r="V871" s="63"/>
      <c r="W871" s="63"/>
      <c r="X871" s="83">
        <v>0.35</v>
      </c>
      <c r="Y871" s="35">
        <f t="shared" si="123"/>
        <v>0</v>
      </c>
      <c r="Z871" s="40">
        <f t="shared" si="127"/>
        <v>-21.45</v>
      </c>
      <c r="AA871" s="34">
        <f t="shared" si="128"/>
        <v>-11.55</v>
      </c>
      <c r="AB871" s="41">
        <f t="shared" si="130"/>
        <v>0</v>
      </c>
      <c r="AC871" s="42" t="b">
        <v>1</v>
      </c>
      <c r="AD871" s="42" t="s">
        <v>138</v>
      </c>
      <c r="AE871" s="42" t="s">
        <v>138</v>
      </c>
      <c r="AF871" s="42" t="str">
        <f t="array" ref="AF871">INDEX('Deal Info'!D:D, MATCH(A871,'Deal Info'!A:A, 0))</f>
        <v>DoEVold</v>
      </c>
      <c r="AG871" s="43" t="str">
        <f t="array" ref="AG871">INDEX('Deal Info'!G:G, MATCH(A871,'Deal Info'!A:A, 0))</f>
        <v>None</v>
      </c>
    </row>
    <row r="872" hidden="1">
      <c r="A872" s="23" t="str">
        <f t="array" ref="A872">if(G872='Room Info'!$B$1, INDEX('Room Info'!$A$2:$A3446, MATCH(B872,'Room Info'!$B$2:$B3446, 0)),if(G872='Room Info'!$C$1, INDEX('Room Info'!$A$2:$A3446, MATCH(B872,'Room Info'!$C$2:$C3446, 0)),if(G872='Room Info'!$D$1, INDEX('Room Info'!$A$2:$A3446, MATCH(B872,'Room Info'!$D$2:$D3446, 0)),if(G872='Room Info'!$E$1, INDEX('Room Info'!$A$2:$A3446, MATCH(B872,'Room Info'!$E$2:$E3446, 0)),if(G872='Room Info'!$F$1, INDEX('Room Info'!$A$2:$A3446, MATCH(B872,'Room Info'!$F$2:$F3446, 0)),if(G872='Room Info'!$H$1, INDEX('Room Info'!$A$2:$A3446, MATCH(B872,'Room Info'!$H$2:$H3446, 0)),if(G872='Room Info'!$G$1, INDEX('Room Info'!$A$2:$A3446, MATCH(B872,'Room Info'!$G$2:$G3446, 0)))))))))</f>
        <v>kttweek1</v>
      </c>
      <c r="B872" s="50" t="s">
        <v>197</v>
      </c>
      <c r="C872" s="82">
        <v>44916.0</v>
      </c>
      <c r="D872" s="82">
        <v>44957.0</v>
      </c>
      <c r="E872" s="52">
        <v>44927.0</v>
      </c>
      <c r="F872" s="53" t="s">
        <v>8</v>
      </c>
      <c r="G872" s="50" t="s">
        <v>5</v>
      </c>
      <c r="H872" s="54" t="s">
        <v>48</v>
      </c>
      <c r="I872" s="54" t="s">
        <v>11</v>
      </c>
      <c r="J872" s="79">
        <v>10.0</v>
      </c>
      <c r="K872" s="80">
        <v>25.0</v>
      </c>
      <c r="L872" s="77">
        <v>-40.0</v>
      </c>
      <c r="M872" s="81">
        <v>11.0</v>
      </c>
      <c r="N872" s="33">
        <f t="shared" si="13"/>
        <v>250</v>
      </c>
      <c r="O872" s="50">
        <v>-1587.0</v>
      </c>
      <c r="P872" s="34">
        <f t="shared" si="14"/>
        <v>-63.48</v>
      </c>
      <c r="Q872" s="60"/>
      <c r="R872" s="36">
        <f t="shared" si="99"/>
        <v>11</v>
      </c>
      <c r="S872" s="78">
        <v>-67.0</v>
      </c>
      <c r="T872" s="37">
        <f t="shared" si="100"/>
        <v>-56</v>
      </c>
      <c r="U872" s="62">
        <v>1.0</v>
      </c>
      <c r="V872" s="63"/>
      <c r="W872" s="63"/>
      <c r="X872" s="83">
        <v>0.35</v>
      </c>
      <c r="Y872" s="35">
        <f t="shared" si="123"/>
        <v>0</v>
      </c>
      <c r="Z872" s="40">
        <f t="shared" si="127"/>
        <v>-36.4</v>
      </c>
      <c r="AA872" s="34">
        <f t="shared" si="128"/>
        <v>-19.6</v>
      </c>
      <c r="AB872" s="41">
        <f t="shared" si="130"/>
        <v>0</v>
      </c>
      <c r="AC872" s="42" t="b">
        <v>1</v>
      </c>
      <c r="AD872" s="42" t="s">
        <v>138</v>
      </c>
      <c r="AE872" s="42" t="s">
        <v>138</v>
      </c>
      <c r="AF872" s="42" t="str">
        <f t="array" ref="AF872">INDEX('Deal Info'!D:D, MATCH(A872,'Deal Info'!A:A, 0))</f>
        <v>DoEVold</v>
      </c>
      <c r="AG872" s="43" t="str">
        <f t="array" ref="AG872">INDEX('Deal Info'!G:G, MATCH(A872,'Deal Info'!A:A, 0))</f>
        <v>None</v>
      </c>
    </row>
    <row r="873" hidden="1">
      <c r="A873" s="23" t="str">
        <f t="array" ref="A873">if(G873='Room Info'!$B$1, INDEX('Room Info'!$A$2:$A3446, MATCH(B873,'Room Info'!$B$2:$B3446, 0)),if(G873='Room Info'!$C$1, INDEX('Room Info'!$A$2:$A3446, MATCH(B873,'Room Info'!$C$2:$C3446, 0)),if(G873='Room Info'!$D$1, INDEX('Room Info'!$A$2:$A3446, MATCH(B873,'Room Info'!$D$2:$D3446, 0)),if(G873='Room Info'!$E$1, INDEX('Room Info'!$A$2:$A3446, MATCH(B873,'Room Info'!$E$2:$E3446, 0)),if(G873='Room Info'!$F$1, INDEX('Room Info'!$A$2:$A3446, MATCH(B873,'Room Info'!$F$2:$F3446, 0)),if(G873='Room Info'!$H$1, INDEX('Room Info'!$A$2:$A3446, MATCH(B873,'Room Info'!$H$2:$H3446, 0)),if(G873='Room Info'!$G$1, INDEX('Room Info'!$A$2:$A3446, MATCH(B873,'Room Info'!$G$2:$G3446, 0)))))))))</f>
        <v>kttweek1</v>
      </c>
      <c r="B873" s="50" t="s">
        <v>197</v>
      </c>
      <c r="C873" s="82">
        <v>44916.0</v>
      </c>
      <c r="D873" s="82">
        <v>44957.0</v>
      </c>
      <c r="E873" s="52">
        <v>44927.0</v>
      </c>
      <c r="F873" s="53" t="s">
        <v>8</v>
      </c>
      <c r="G873" s="50" t="s">
        <v>5</v>
      </c>
      <c r="H873" s="54" t="s">
        <v>45</v>
      </c>
      <c r="I873" s="54" t="s">
        <v>7</v>
      </c>
      <c r="J873" s="79">
        <v>10.0</v>
      </c>
      <c r="K873" s="80">
        <v>267.0</v>
      </c>
      <c r="L873" s="77">
        <v>40.0</v>
      </c>
      <c r="M873" s="81">
        <v>120.0</v>
      </c>
      <c r="N873" s="33">
        <f t="shared" si="13"/>
        <v>2670</v>
      </c>
      <c r="O873" s="50">
        <v>13655.0</v>
      </c>
      <c r="P873" s="34">
        <f t="shared" si="14"/>
        <v>51.1423221</v>
      </c>
      <c r="Q873" s="60"/>
      <c r="R873" s="36">
        <f t="shared" si="99"/>
        <v>120</v>
      </c>
      <c r="S873" s="78">
        <v>58.0</v>
      </c>
      <c r="T873" s="37">
        <f t="shared" si="100"/>
        <v>178</v>
      </c>
      <c r="U873" s="62">
        <v>1.0</v>
      </c>
      <c r="V873" s="63"/>
      <c r="W873" s="63"/>
      <c r="X873" s="83">
        <v>0.35</v>
      </c>
      <c r="Y873" s="35">
        <f t="shared" si="123"/>
        <v>0</v>
      </c>
      <c r="Z873" s="40">
        <f t="shared" si="127"/>
        <v>115.7</v>
      </c>
      <c r="AA873" s="34">
        <f t="shared" si="128"/>
        <v>62.3</v>
      </c>
      <c r="AB873" s="41">
        <f t="shared" si="130"/>
        <v>0</v>
      </c>
      <c r="AC873" s="42" t="b">
        <v>1</v>
      </c>
      <c r="AD873" s="42" t="s">
        <v>138</v>
      </c>
      <c r="AE873" s="42" t="s">
        <v>138</v>
      </c>
      <c r="AF873" s="42" t="str">
        <f t="array" ref="AF873">INDEX('Deal Info'!D:D, MATCH(A873,'Deal Info'!A:A, 0))</f>
        <v>DoEVold</v>
      </c>
      <c r="AG873" s="43" t="str">
        <f t="array" ref="AG873">INDEX('Deal Info'!G:G, MATCH(A873,'Deal Info'!A:A, 0))</f>
        <v>None</v>
      </c>
    </row>
    <row r="874" hidden="1">
      <c r="A874" s="23" t="str">
        <f t="array" ref="A874">if(G874='Room Info'!$B$1, INDEX('Room Info'!$A$2:$A3446, MATCH(B874,'Room Info'!$B$2:$B3446, 0)),if(G874='Room Info'!$C$1, INDEX('Room Info'!$A$2:$A3446, MATCH(B874,'Room Info'!$C$2:$C3446, 0)),if(G874='Room Info'!$D$1, INDEX('Room Info'!$A$2:$A3446, MATCH(B874,'Room Info'!$D$2:$D3446, 0)),if(G874='Room Info'!$E$1, INDEX('Room Info'!$A$2:$A3446, MATCH(B874,'Room Info'!$E$2:$E3446, 0)),if(G874='Room Info'!$F$1, INDEX('Room Info'!$A$2:$A3446, MATCH(B874,'Room Info'!$F$2:$F3446, 0)),if(G874='Room Info'!$H$1, INDEX('Room Info'!$A$2:$A3446, MATCH(B874,'Room Info'!$H$2:$H3446, 0)),if(G874='Room Info'!$G$1, INDEX('Room Info'!$A$2:$A3446, MATCH(B874,'Room Info'!$G$2:$G3446, 0)))))))))</f>
        <v>kttweek1</v>
      </c>
      <c r="B874" s="50" t="s">
        <v>197</v>
      </c>
      <c r="C874" s="82">
        <v>44916.0</v>
      </c>
      <c r="D874" s="82">
        <v>44957.0</v>
      </c>
      <c r="E874" s="52">
        <v>44927.0</v>
      </c>
      <c r="F874" s="53" t="s">
        <v>8</v>
      </c>
      <c r="G874" s="50" t="s">
        <v>5</v>
      </c>
      <c r="H874" s="54" t="s">
        <v>62</v>
      </c>
      <c r="I874" s="54" t="s">
        <v>7</v>
      </c>
      <c r="J874" s="79">
        <v>25.0</v>
      </c>
      <c r="K874" s="80">
        <v>1402.0</v>
      </c>
      <c r="L874" s="77">
        <v>-700.0</v>
      </c>
      <c r="M874" s="81">
        <v>1354.0</v>
      </c>
      <c r="N874" s="33">
        <f t="shared" si="13"/>
        <v>35050</v>
      </c>
      <c r="O874" s="50">
        <v>52776.0</v>
      </c>
      <c r="P874" s="34">
        <f t="shared" si="14"/>
        <v>37.64336662</v>
      </c>
      <c r="Q874" s="60"/>
      <c r="R874" s="36">
        <f t="shared" si="99"/>
        <v>1354</v>
      </c>
      <c r="S874" s="78">
        <v>266.0</v>
      </c>
      <c r="T874" s="37">
        <f t="shared" si="100"/>
        <v>1620</v>
      </c>
      <c r="U874" s="62">
        <v>1.0</v>
      </c>
      <c r="V874" s="63"/>
      <c r="W874" s="63"/>
      <c r="X874" s="83">
        <v>0.35</v>
      </c>
      <c r="Y874" s="35">
        <f t="shared" si="123"/>
        <v>0</v>
      </c>
      <c r="Z874" s="40">
        <f t="shared" si="127"/>
        <v>1053</v>
      </c>
      <c r="AA874" s="34">
        <f t="shared" si="128"/>
        <v>567</v>
      </c>
      <c r="AB874" s="41">
        <f t="shared" si="130"/>
        <v>0</v>
      </c>
      <c r="AC874" s="42" t="b">
        <v>1</v>
      </c>
      <c r="AD874" s="42" t="s">
        <v>138</v>
      </c>
      <c r="AE874" s="42" t="s">
        <v>138</v>
      </c>
      <c r="AF874" s="42" t="str">
        <f t="array" ref="AF874">INDEX('Deal Info'!D:D, MATCH(A874,'Deal Info'!A:A, 0))</f>
        <v>DoEVold</v>
      </c>
      <c r="AG874" s="43" t="str">
        <f t="array" ref="AG874">INDEX('Deal Info'!G:G, MATCH(A874,'Deal Info'!A:A, 0))</f>
        <v>None</v>
      </c>
    </row>
    <row r="875" hidden="1">
      <c r="A875" s="23" t="str">
        <f t="array" ref="A875">if(G875='Room Info'!$B$1, INDEX('Room Info'!$A$2:$A3446, MATCH(B875,'Room Info'!$B$2:$B3446, 0)),if(G875='Room Info'!$C$1, INDEX('Room Info'!$A$2:$A3446, MATCH(B875,'Room Info'!$C$2:$C3446, 0)),if(G875='Room Info'!$D$1, INDEX('Room Info'!$A$2:$A3446, MATCH(B875,'Room Info'!$D$2:$D3446, 0)),if(G875='Room Info'!$E$1, INDEX('Room Info'!$A$2:$A3446, MATCH(B875,'Room Info'!$E$2:$E3446, 0)),if(G875='Room Info'!$F$1, INDEX('Room Info'!$A$2:$A3446, MATCH(B875,'Room Info'!$F$2:$F3446, 0)),if(G875='Room Info'!$H$1, INDEX('Room Info'!$A$2:$A3446, MATCH(B875,'Room Info'!$H$2:$H3446, 0)),if(G875='Room Info'!$G$1, INDEX('Room Info'!$A$2:$A3446, MATCH(B875,'Room Info'!$G$2:$G3446, 0)))))))))</f>
        <v>kttweek1</v>
      </c>
      <c r="B875" s="50" t="s">
        <v>197</v>
      </c>
      <c r="C875" s="82">
        <v>44916.0</v>
      </c>
      <c r="D875" s="82">
        <v>44957.0</v>
      </c>
      <c r="E875" s="52">
        <v>44927.0</v>
      </c>
      <c r="F875" s="53" t="s">
        <v>8</v>
      </c>
      <c r="G875" s="50" t="s">
        <v>5</v>
      </c>
      <c r="H875" s="54" t="s">
        <v>63</v>
      </c>
      <c r="I875" s="54" t="s">
        <v>11</v>
      </c>
      <c r="J875" s="79">
        <v>25.0</v>
      </c>
      <c r="K875" s="80">
        <v>73.0</v>
      </c>
      <c r="L875" s="77">
        <v>-150.0</v>
      </c>
      <c r="M875" s="81">
        <v>70.0</v>
      </c>
      <c r="N875" s="33">
        <f t="shared" si="13"/>
        <v>1825</v>
      </c>
      <c r="O875" s="50">
        <v>1430.0</v>
      </c>
      <c r="P875" s="34">
        <f t="shared" si="14"/>
        <v>19.5890411</v>
      </c>
      <c r="Q875" s="60"/>
      <c r="R875" s="36">
        <f t="shared" si="99"/>
        <v>70</v>
      </c>
      <c r="S875" s="78">
        <v>-3.0</v>
      </c>
      <c r="T875" s="37">
        <f t="shared" si="100"/>
        <v>67</v>
      </c>
      <c r="U875" s="62">
        <v>1.0</v>
      </c>
      <c r="V875" s="63"/>
      <c r="W875" s="63"/>
      <c r="X875" s="83">
        <v>0.35</v>
      </c>
      <c r="Y875" s="35">
        <f t="shared" si="123"/>
        <v>0</v>
      </c>
      <c r="Z875" s="40">
        <f t="shared" si="127"/>
        <v>43.55</v>
      </c>
      <c r="AA875" s="34">
        <f t="shared" si="128"/>
        <v>23.45</v>
      </c>
      <c r="AB875" s="41">
        <f t="shared" si="130"/>
        <v>0</v>
      </c>
      <c r="AC875" s="42" t="b">
        <v>1</v>
      </c>
      <c r="AD875" s="42" t="s">
        <v>138</v>
      </c>
      <c r="AE875" s="42" t="s">
        <v>138</v>
      </c>
      <c r="AF875" s="42" t="str">
        <f t="array" ref="AF875">INDEX('Deal Info'!D:D, MATCH(A875,'Deal Info'!A:A, 0))</f>
        <v>DoEVold</v>
      </c>
      <c r="AG875" s="43" t="str">
        <f t="array" ref="AG875">INDEX('Deal Info'!G:G, MATCH(A875,'Deal Info'!A:A, 0))</f>
        <v>None</v>
      </c>
    </row>
    <row r="876" hidden="1">
      <c r="A876" s="23" t="str">
        <f t="array" ref="A876">if(G876='Room Info'!$B$1, INDEX('Room Info'!$A$2:$A3446, MATCH(B876,'Room Info'!$B$2:$B3446, 0)),if(G876='Room Info'!$C$1, INDEX('Room Info'!$A$2:$A3446, MATCH(B876,'Room Info'!$C$2:$C3446, 0)),if(G876='Room Info'!$D$1, INDEX('Room Info'!$A$2:$A3446, MATCH(B876,'Room Info'!$D$2:$D3446, 0)),if(G876='Room Info'!$E$1, INDEX('Room Info'!$A$2:$A3446, MATCH(B876,'Room Info'!$E$2:$E3446, 0)),if(G876='Room Info'!$F$1, INDEX('Room Info'!$A$2:$A3446, MATCH(B876,'Room Info'!$F$2:$F3446, 0)),if(G876='Room Info'!$H$1, INDEX('Room Info'!$A$2:$A3446, MATCH(B876,'Room Info'!$H$2:$H3446, 0)),if(G876='Room Info'!$G$1, INDEX('Room Info'!$A$2:$A3446, MATCH(B876,'Room Info'!$G$2:$G3446, 0)))))))))</f>
        <v>kttweek1</v>
      </c>
      <c r="B876" s="50" t="s">
        <v>197</v>
      </c>
      <c r="C876" s="51">
        <v>44916.0</v>
      </c>
      <c r="D876" s="51">
        <v>44957.0</v>
      </c>
      <c r="E876" s="52">
        <v>44927.0</v>
      </c>
      <c r="F876" s="53" t="s">
        <v>8</v>
      </c>
      <c r="G876" s="59" t="s">
        <v>5</v>
      </c>
      <c r="H876" s="54" t="s">
        <v>75</v>
      </c>
      <c r="I876" s="54" t="s">
        <v>11</v>
      </c>
      <c r="J876" s="55">
        <v>50.0</v>
      </c>
      <c r="K876" s="56">
        <v>187.0</v>
      </c>
      <c r="L876" s="57">
        <v>-2200.0</v>
      </c>
      <c r="M876" s="58">
        <v>361.0</v>
      </c>
      <c r="N876" s="33">
        <f t="shared" si="13"/>
        <v>9350</v>
      </c>
      <c r="O876" s="59">
        <v>-3505.0</v>
      </c>
      <c r="P876" s="34">
        <f t="shared" si="14"/>
        <v>-18.74331551</v>
      </c>
      <c r="Q876" s="60"/>
      <c r="R876" s="36">
        <f t="shared" si="99"/>
        <v>361</v>
      </c>
      <c r="S876" s="61">
        <v>-1124.0</v>
      </c>
      <c r="T876" s="37">
        <f t="shared" si="100"/>
        <v>-763</v>
      </c>
      <c r="U876" s="62">
        <v>1.0</v>
      </c>
      <c r="V876" s="63"/>
      <c r="W876" s="63"/>
      <c r="X876" s="83">
        <v>0.35</v>
      </c>
      <c r="Y876" s="35">
        <f t="shared" si="123"/>
        <v>0</v>
      </c>
      <c r="Z876" s="40">
        <f t="shared" si="127"/>
        <v>-495.95</v>
      </c>
      <c r="AA876" s="34">
        <f t="shared" si="128"/>
        <v>-267.05</v>
      </c>
      <c r="AB876" s="41">
        <f t="shared" si="130"/>
        <v>0</v>
      </c>
      <c r="AC876" s="42" t="b">
        <v>1</v>
      </c>
      <c r="AD876" s="42" t="s">
        <v>138</v>
      </c>
      <c r="AE876" s="42" t="s">
        <v>138</v>
      </c>
      <c r="AF876" s="42" t="str">
        <f t="array" ref="AF876">INDEX('Deal Info'!D:D, MATCH(A876,'Deal Info'!A:A, 0))</f>
        <v>DoEVold</v>
      </c>
      <c r="AG876" s="43" t="str">
        <f t="array" ref="AG876">INDEX('Deal Info'!G:G, MATCH(A876,'Deal Info'!A:A, 0))</f>
        <v>None</v>
      </c>
    </row>
    <row r="877" hidden="1">
      <c r="A877" s="23" t="str">
        <f t="array" ref="A877">if(G877='Room Info'!$B$1, INDEX('Room Info'!$A$2:$A3446, MATCH(B877,'Room Info'!$B$2:$B3446, 0)),if(G877='Room Info'!$C$1, INDEX('Room Info'!$A$2:$A3446, MATCH(B877,'Room Info'!$C$2:$C3446, 0)),if(G877='Room Info'!$D$1, INDEX('Room Info'!$A$2:$A3446, MATCH(B877,'Room Info'!$D$2:$D3446, 0)),if(G877='Room Info'!$E$1, INDEX('Room Info'!$A$2:$A3446, MATCH(B877,'Room Info'!$E$2:$E3446, 0)),if(G877='Room Info'!$F$1, INDEX('Room Info'!$A$2:$A3446, MATCH(B877,'Room Info'!$F$2:$F3446, 0)),if(G877='Room Info'!$H$1, INDEX('Room Info'!$A$2:$A3446, MATCH(B877,'Room Info'!$H$2:$H3446, 0)),if(G877='Room Info'!$G$1, INDEX('Room Info'!$A$2:$A3446, MATCH(B877,'Room Info'!$G$2:$G3446, 0)))))))))</f>
        <v>kttweek1</v>
      </c>
      <c r="B877" s="50" t="s">
        <v>197</v>
      </c>
      <c r="C877" s="51">
        <v>44916.0</v>
      </c>
      <c r="D877" s="51">
        <v>44957.0</v>
      </c>
      <c r="E877" s="52">
        <v>44927.0</v>
      </c>
      <c r="F877" s="53" t="s">
        <v>8</v>
      </c>
      <c r="G877" s="50" t="s">
        <v>5</v>
      </c>
      <c r="H877" s="54" t="s">
        <v>74</v>
      </c>
      <c r="I877" s="54" t="s">
        <v>7</v>
      </c>
      <c r="J877" s="55">
        <v>50.0</v>
      </c>
      <c r="K877" s="56">
        <v>1041.0</v>
      </c>
      <c r="L877" s="57">
        <v>-1950.0</v>
      </c>
      <c r="M877" s="58">
        <v>2010.0</v>
      </c>
      <c r="N877" s="33">
        <f t="shared" si="13"/>
        <v>52050</v>
      </c>
      <c r="O877" s="59">
        <v>11915.0</v>
      </c>
      <c r="P877" s="34">
        <f t="shared" si="14"/>
        <v>11.44572526</v>
      </c>
      <c r="Q877" s="60"/>
      <c r="R877" s="36">
        <f t="shared" si="99"/>
        <v>2010</v>
      </c>
      <c r="S877" s="61">
        <v>-2135.0</v>
      </c>
      <c r="T877" s="37">
        <f t="shared" si="100"/>
        <v>-125</v>
      </c>
      <c r="U877" s="62">
        <v>1.0</v>
      </c>
      <c r="V877" s="63"/>
      <c r="W877" s="63"/>
      <c r="X877" s="83">
        <v>0.35</v>
      </c>
      <c r="Y877" s="35">
        <f t="shared" si="123"/>
        <v>0</v>
      </c>
      <c r="Z877" s="40">
        <f t="shared" si="127"/>
        <v>-81.25</v>
      </c>
      <c r="AA877" s="34">
        <f t="shared" si="128"/>
        <v>-43.75</v>
      </c>
      <c r="AB877" s="41">
        <f t="shared" si="130"/>
        <v>0</v>
      </c>
      <c r="AC877" s="42" t="b">
        <v>1</v>
      </c>
      <c r="AD877" s="42" t="s">
        <v>138</v>
      </c>
      <c r="AE877" s="42" t="s">
        <v>138</v>
      </c>
      <c r="AF877" s="42" t="str">
        <f t="array" ref="AF877">INDEX('Deal Info'!D:D, MATCH(A877,'Deal Info'!A:A, 0))</f>
        <v>DoEVold</v>
      </c>
      <c r="AG877" s="43" t="str">
        <f t="array" ref="AG877">INDEX('Deal Info'!G:G, MATCH(A877,'Deal Info'!A:A, 0))</f>
        <v>None</v>
      </c>
    </row>
    <row r="878" hidden="1">
      <c r="A878" s="23" t="str">
        <f t="array" ref="A878">if(G878='Room Info'!$B$1, INDEX('Room Info'!$A$2:$A3446, MATCH(B878,'Room Info'!$B$2:$B3446, 0)),if(G878='Room Info'!$C$1, INDEX('Room Info'!$A$2:$A3446, MATCH(B878,'Room Info'!$C$2:$C3446, 0)),if(G878='Room Info'!$D$1, INDEX('Room Info'!$A$2:$A3446, MATCH(B878,'Room Info'!$D$2:$D3446, 0)),if(G878='Room Info'!$E$1, INDEX('Room Info'!$A$2:$A3446, MATCH(B878,'Room Info'!$E$2:$E3446, 0)),if(G878='Room Info'!$F$1, INDEX('Room Info'!$A$2:$A3446, MATCH(B878,'Room Info'!$F$2:$F3446, 0)),if(G878='Room Info'!$H$1, INDEX('Room Info'!$A$2:$A3446, MATCH(B878,'Room Info'!$H$2:$H3446, 0)),if(G878='Room Info'!$G$1, INDEX('Room Info'!$A$2:$A3446, MATCH(B878,'Room Info'!$G$2:$G3446, 0)))))))))</f>
        <v>kttweek1</v>
      </c>
      <c r="B878" s="50" t="s">
        <v>197</v>
      </c>
      <c r="C878" s="51">
        <v>44916.0</v>
      </c>
      <c r="D878" s="51">
        <v>44957.0</v>
      </c>
      <c r="E878" s="52">
        <v>44927.0</v>
      </c>
      <c r="F878" s="53" t="s">
        <v>12</v>
      </c>
      <c r="G878" s="50" t="s">
        <v>5</v>
      </c>
      <c r="H878" s="54" t="s">
        <v>23</v>
      </c>
      <c r="I878" s="54" t="s">
        <v>11</v>
      </c>
      <c r="J878" s="55">
        <v>1.0</v>
      </c>
      <c r="K878" s="56">
        <v>40.0</v>
      </c>
      <c r="L878" s="57">
        <v>9.0</v>
      </c>
      <c r="M878" s="58">
        <v>2.0</v>
      </c>
      <c r="N878" s="33">
        <f t="shared" si="13"/>
        <v>40</v>
      </c>
      <c r="O878" s="70"/>
      <c r="P878" s="34">
        <f t="shared" si="14"/>
        <v>0</v>
      </c>
      <c r="Q878" s="60"/>
      <c r="R878" s="36">
        <f t="shared" si="99"/>
        <v>2</v>
      </c>
      <c r="S878" s="71"/>
      <c r="T878" s="37">
        <f t="shared" si="100"/>
        <v>11</v>
      </c>
      <c r="U878" s="62">
        <v>1.0</v>
      </c>
      <c r="V878" s="63"/>
      <c r="W878" s="63"/>
      <c r="X878" s="83">
        <v>0.35</v>
      </c>
      <c r="Y878" s="35">
        <f t="shared" si="123"/>
        <v>0</v>
      </c>
      <c r="Z878" s="40">
        <f t="shared" si="127"/>
        <v>7.15</v>
      </c>
      <c r="AA878" s="34">
        <f t="shared" si="128"/>
        <v>3.85</v>
      </c>
      <c r="AB878" s="41">
        <f t="shared" si="130"/>
        <v>0</v>
      </c>
      <c r="AC878" s="42" t="b">
        <v>1</v>
      </c>
      <c r="AD878" s="42" t="s">
        <v>138</v>
      </c>
      <c r="AE878" s="42" t="s">
        <v>138</v>
      </c>
      <c r="AF878" s="42" t="str">
        <f t="array" ref="AF878">INDEX('Deal Info'!D:D, MATCH(A878,'Deal Info'!A:A, 0))</f>
        <v>DoEVold</v>
      </c>
      <c r="AG878" s="43" t="str">
        <f t="array" ref="AG878">INDEX('Deal Info'!G:G, MATCH(A878,'Deal Info'!A:A, 0))</f>
        <v>None</v>
      </c>
    </row>
    <row r="879" hidden="1">
      <c r="A879" s="23" t="str">
        <f t="array" ref="A879">if(G879='Room Info'!$B$1, INDEX('Room Info'!$A$2:$A3446, MATCH(B879,'Room Info'!$B$2:$B3446, 0)),if(G879='Room Info'!$C$1, INDEX('Room Info'!$A$2:$A3446, MATCH(B879,'Room Info'!$C$2:$C3446, 0)),if(G879='Room Info'!$D$1, INDEX('Room Info'!$A$2:$A3446, MATCH(B879,'Room Info'!$D$2:$D3446, 0)),if(G879='Room Info'!$E$1, INDEX('Room Info'!$A$2:$A3446, MATCH(B879,'Room Info'!$E$2:$E3446, 0)),if(G879='Room Info'!$F$1, INDEX('Room Info'!$A$2:$A3446, MATCH(B879,'Room Info'!$F$2:$F3446, 0)),if(G879='Room Info'!$H$1, INDEX('Room Info'!$A$2:$A3446, MATCH(B879,'Room Info'!$H$2:$H3446, 0)),if(G879='Room Info'!$G$1, INDEX('Room Info'!$A$2:$A3446, MATCH(B879,'Room Info'!$G$2:$G3446, 0)))))))))</f>
        <v>kttweek1</v>
      </c>
      <c r="B879" s="50" t="s">
        <v>197</v>
      </c>
      <c r="C879" s="51">
        <v>44916.0</v>
      </c>
      <c r="D879" s="51">
        <v>44957.0</v>
      </c>
      <c r="E879" s="52">
        <v>44927.0</v>
      </c>
      <c r="F879" s="53" t="s">
        <v>12</v>
      </c>
      <c r="G879" s="50" t="s">
        <v>5</v>
      </c>
      <c r="H879" s="54" t="s">
        <v>10</v>
      </c>
      <c r="I879" s="54" t="s">
        <v>11</v>
      </c>
      <c r="J879" s="55">
        <v>0.25</v>
      </c>
      <c r="K879" s="56">
        <v>8.0</v>
      </c>
      <c r="L879" s="57">
        <v>0.0</v>
      </c>
      <c r="M879" s="58">
        <v>1.0</v>
      </c>
      <c r="N879" s="33">
        <f t="shared" si="13"/>
        <v>2</v>
      </c>
      <c r="O879" s="70"/>
      <c r="P879" s="34">
        <f t="shared" si="14"/>
        <v>0</v>
      </c>
      <c r="Q879" s="60"/>
      <c r="R879" s="36">
        <f t="shared" si="99"/>
        <v>1</v>
      </c>
      <c r="S879" s="71"/>
      <c r="T879" s="37">
        <f t="shared" si="100"/>
        <v>1</v>
      </c>
      <c r="U879" s="62">
        <v>1.0</v>
      </c>
      <c r="V879" s="63"/>
      <c r="W879" s="63"/>
      <c r="X879" s="83">
        <v>0.35</v>
      </c>
      <c r="Y879" s="35">
        <f t="shared" si="123"/>
        <v>0</v>
      </c>
      <c r="Z879" s="40">
        <f t="shared" si="127"/>
        <v>0.65</v>
      </c>
      <c r="AA879" s="34">
        <f t="shared" si="128"/>
        <v>0.35</v>
      </c>
      <c r="AB879" s="41">
        <f t="shared" si="130"/>
        <v>0</v>
      </c>
      <c r="AC879" s="42" t="b">
        <v>1</v>
      </c>
      <c r="AD879" s="42" t="s">
        <v>138</v>
      </c>
      <c r="AE879" s="42" t="s">
        <v>138</v>
      </c>
      <c r="AF879" s="42" t="str">
        <f t="array" ref="AF879">INDEX('Deal Info'!D:D, MATCH(A879,'Deal Info'!A:A, 0))</f>
        <v>DoEVold</v>
      </c>
      <c r="AG879" s="43" t="str">
        <f t="array" ref="AG879">INDEX('Deal Info'!G:G, MATCH(A879,'Deal Info'!A:A, 0))</f>
        <v>None</v>
      </c>
    </row>
    <row r="880" hidden="1">
      <c r="A880" s="23" t="str">
        <f t="array" ref="A880">if(G880='Room Info'!$B$1, INDEX('Room Info'!$A$2:$A3446, MATCH(B880,'Room Info'!$B$2:$B3446, 0)),if(G880='Room Info'!$C$1, INDEX('Room Info'!$A$2:$A3446, MATCH(B880,'Room Info'!$C$2:$C3446, 0)),if(G880='Room Info'!$D$1, INDEX('Room Info'!$A$2:$A3446, MATCH(B880,'Room Info'!$D$2:$D3446, 0)),if(G880='Room Info'!$E$1, INDEX('Room Info'!$A$2:$A3446, MATCH(B880,'Room Info'!$E$2:$E3446, 0)),if(G880='Room Info'!$F$1, INDEX('Room Info'!$A$2:$A3446, MATCH(B880,'Room Info'!$F$2:$F3446, 0)),if(G880='Room Info'!$H$1, INDEX('Room Info'!$A$2:$A3446, MATCH(B880,'Room Info'!$H$2:$H3446, 0)),if(G880='Room Info'!$G$1, INDEX('Room Info'!$A$2:$A3446, MATCH(B880,'Room Info'!$G$2:$G3446, 0)))))))))</f>
        <v>kttweek1</v>
      </c>
      <c r="B880" s="50" t="s">
        <v>197</v>
      </c>
      <c r="C880" s="82">
        <v>44916.0</v>
      </c>
      <c r="D880" s="82">
        <v>44957.0</v>
      </c>
      <c r="E880" s="52">
        <v>44927.0</v>
      </c>
      <c r="F880" s="53" t="s">
        <v>12</v>
      </c>
      <c r="G880" s="50" t="s">
        <v>5</v>
      </c>
      <c r="H880" s="54" t="s">
        <v>35</v>
      </c>
      <c r="I880" s="54" t="s">
        <v>7</v>
      </c>
      <c r="J880" s="79">
        <v>5.0</v>
      </c>
      <c r="K880" s="80">
        <v>1.0</v>
      </c>
      <c r="L880" s="77">
        <v>10.0</v>
      </c>
      <c r="M880" s="81">
        <v>1.0</v>
      </c>
      <c r="N880" s="33">
        <f t="shared" si="13"/>
        <v>5</v>
      </c>
      <c r="O880" s="101"/>
      <c r="P880" s="34">
        <f t="shared" si="14"/>
        <v>0</v>
      </c>
      <c r="Q880" s="60"/>
      <c r="R880" s="36">
        <f t="shared" si="99"/>
        <v>1</v>
      </c>
      <c r="S880" s="102"/>
      <c r="T880" s="37">
        <f t="shared" si="100"/>
        <v>11</v>
      </c>
      <c r="U880" s="62">
        <v>1.0</v>
      </c>
      <c r="V880" s="63"/>
      <c r="W880" s="63"/>
      <c r="X880" s="83">
        <v>0.35</v>
      </c>
      <c r="Y880" s="35">
        <f t="shared" si="123"/>
        <v>0</v>
      </c>
      <c r="Z880" s="40">
        <f t="shared" si="127"/>
        <v>7.15</v>
      </c>
      <c r="AA880" s="34">
        <f t="shared" si="128"/>
        <v>3.85</v>
      </c>
      <c r="AB880" s="41">
        <f t="shared" si="130"/>
        <v>0</v>
      </c>
      <c r="AC880" s="42" t="b">
        <v>1</v>
      </c>
      <c r="AD880" s="42" t="s">
        <v>138</v>
      </c>
      <c r="AE880" s="42" t="s">
        <v>138</v>
      </c>
      <c r="AF880" s="42" t="str">
        <f t="array" ref="AF880">INDEX('Deal Info'!D:D, MATCH(A880,'Deal Info'!A:A, 0))</f>
        <v>DoEVold</v>
      </c>
      <c r="AG880" s="43" t="str">
        <f t="array" ref="AG880">INDEX('Deal Info'!G:G, MATCH(A880,'Deal Info'!A:A, 0))</f>
        <v>None</v>
      </c>
    </row>
    <row r="881" hidden="1">
      <c r="A881" s="23" t="str">
        <f t="array" ref="A881">if(G881='Room Info'!$B$1, INDEX('Room Info'!$A$2:$A3446, MATCH(B881,'Room Info'!$B$2:$B3446, 0)),if(G881='Room Info'!$C$1, INDEX('Room Info'!$A$2:$A3446, MATCH(B881,'Room Info'!$C$2:$C3446, 0)),if(G881='Room Info'!$D$1, INDEX('Room Info'!$A$2:$A3446, MATCH(B881,'Room Info'!$D$2:$D3446, 0)),if(G881='Room Info'!$E$1, INDEX('Room Info'!$A$2:$A3446, MATCH(B881,'Room Info'!$E$2:$E3446, 0)),if(G881='Room Info'!$F$1, INDEX('Room Info'!$A$2:$A3446, MATCH(B881,'Room Info'!$F$2:$F3446, 0)),if(G881='Room Info'!$H$1, INDEX('Room Info'!$A$2:$A3446, MATCH(B881,'Room Info'!$H$2:$H3446, 0)),if(G881='Room Info'!$G$1, INDEX('Room Info'!$A$2:$A3446, MATCH(B881,'Room Info'!$G$2:$G3446, 0)))))))))</f>
        <v>kttweek1</v>
      </c>
      <c r="B881" s="50" t="s">
        <v>197</v>
      </c>
      <c r="C881" s="82">
        <v>44916.0</v>
      </c>
      <c r="D881" s="82">
        <v>44957.0</v>
      </c>
      <c r="E881" s="52">
        <v>44927.0</v>
      </c>
      <c r="F881" s="53" t="s">
        <v>12</v>
      </c>
      <c r="G881" s="50" t="s">
        <v>5</v>
      </c>
      <c r="H881" s="54" t="s">
        <v>29</v>
      </c>
      <c r="I881" s="54" t="s">
        <v>11</v>
      </c>
      <c r="J881" s="79">
        <v>2.0</v>
      </c>
      <c r="K881" s="80">
        <v>1.0</v>
      </c>
      <c r="L881" s="77">
        <v>4.0</v>
      </c>
      <c r="M881" s="84"/>
      <c r="N881" s="33">
        <f t="shared" si="13"/>
        <v>2</v>
      </c>
      <c r="O881" s="101"/>
      <c r="P881" s="34">
        <f t="shared" si="14"/>
        <v>0</v>
      </c>
      <c r="Q881" s="60"/>
      <c r="R881" s="36">
        <f t="shared" si="99"/>
        <v>0</v>
      </c>
      <c r="S881" s="102"/>
      <c r="T881" s="37">
        <f t="shared" si="100"/>
        <v>4</v>
      </c>
      <c r="U881" s="62">
        <v>1.0</v>
      </c>
      <c r="V881" s="63"/>
      <c r="W881" s="63"/>
      <c r="X881" s="83">
        <v>0.35</v>
      </c>
      <c r="Y881" s="35">
        <f t="shared" si="123"/>
        <v>0</v>
      </c>
      <c r="Z881" s="40">
        <f t="shared" si="127"/>
        <v>2.6</v>
      </c>
      <c r="AA881" s="34">
        <f t="shared" si="128"/>
        <v>1.4</v>
      </c>
      <c r="AB881" s="41">
        <f t="shared" si="130"/>
        <v>0</v>
      </c>
      <c r="AC881" s="42" t="b">
        <v>1</v>
      </c>
      <c r="AD881" s="42" t="s">
        <v>138</v>
      </c>
      <c r="AE881" s="42" t="s">
        <v>138</v>
      </c>
      <c r="AF881" s="42" t="str">
        <f t="array" ref="AF881">INDEX('Deal Info'!D:D, MATCH(A881,'Deal Info'!A:A, 0))</f>
        <v>DoEVold</v>
      </c>
      <c r="AG881" s="43" t="str">
        <f t="array" ref="AG881">INDEX('Deal Info'!G:G, MATCH(A881,'Deal Info'!A:A, 0))</f>
        <v>None</v>
      </c>
    </row>
    <row r="882" hidden="1">
      <c r="A882" s="23" t="str">
        <f t="array" ref="A882">if(G882='Room Info'!$B$1, INDEX('Room Info'!$A$2:$A3446, MATCH(B882,'Room Info'!$B$2:$B3446, 0)),if(G882='Room Info'!$C$1, INDEX('Room Info'!$A$2:$A3446, MATCH(B882,'Room Info'!$C$2:$C3446, 0)),if(G882='Room Info'!$D$1, INDEX('Room Info'!$A$2:$A3446, MATCH(B882,'Room Info'!$D$2:$D3446, 0)),if(G882='Room Info'!$E$1, INDEX('Room Info'!$A$2:$A3446, MATCH(B882,'Room Info'!$E$2:$E3446, 0)),if(G882='Room Info'!$F$1, INDEX('Room Info'!$A$2:$A3446, MATCH(B882,'Room Info'!$F$2:$F3446, 0)),if(G882='Room Info'!$H$1, INDEX('Room Info'!$A$2:$A3446, MATCH(B882,'Room Info'!$H$2:$H3446, 0)),if(G882='Room Info'!$G$1, INDEX('Room Info'!$A$2:$A3446, MATCH(B882,'Room Info'!$G$2:$G3446, 0)))))))))</f>
        <v>kttweek1</v>
      </c>
      <c r="B882" s="50" t="s">
        <v>197</v>
      </c>
      <c r="C882" s="51">
        <v>44916.0</v>
      </c>
      <c r="D882" s="51">
        <v>44957.0</v>
      </c>
      <c r="E882" s="52">
        <v>44927.0</v>
      </c>
      <c r="F882" s="53" t="s">
        <v>12</v>
      </c>
      <c r="G882" s="50" t="s">
        <v>5</v>
      </c>
      <c r="H882" s="54" t="s">
        <v>38</v>
      </c>
      <c r="I882" s="54" t="s">
        <v>11</v>
      </c>
      <c r="J882" s="55">
        <v>5.0</v>
      </c>
      <c r="K882" s="56">
        <v>1.0</v>
      </c>
      <c r="L882" s="57">
        <v>-5.0</v>
      </c>
      <c r="M882" s="67"/>
      <c r="N882" s="33">
        <f t="shared" si="13"/>
        <v>5</v>
      </c>
      <c r="O882" s="70"/>
      <c r="P882" s="34">
        <f t="shared" si="14"/>
        <v>0</v>
      </c>
      <c r="Q882" s="60"/>
      <c r="R882" s="36">
        <f t="shared" si="99"/>
        <v>0</v>
      </c>
      <c r="S882" s="71"/>
      <c r="T882" s="37">
        <f t="shared" si="100"/>
        <v>-5</v>
      </c>
      <c r="U882" s="62">
        <v>1.0</v>
      </c>
      <c r="V882" s="63"/>
      <c r="W882" s="63"/>
      <c r="X882" s="83">
        <v>0.35</v>
      </c>
      <c r="Y882" s="35">
        <f t="shared" si="123"/>
        <v>0</v>
      </c>
      <c r="Z882" s="40">
        <f t="shared" si="127"/>
        <v>-3.25</v>
      </c>
      <c r="AA882" s="34">
        <f t="shared" si="128"/>
        <v>-1.75</v>
      </c>
      <c r="AB882" s="41">
        <f t="shared" si="130"/>
        <v>0</v>
      </c>
      <c r="AC882" s="42" t="b">
        <v>1</v>
      </c>
      <c r="AD882" s="42" t="s">
        <v>138</v>
      </c>
      <c r="AE882" s="42" t="s">
        <v>138</v>
      </c>
      <c r="AF882" s="42" t="str">
        <f t="array" ref="AF882">INDEX('Deal Info'!D:D, MATCH(A882,'Deal Info'!A:A, 0))</f>
        <v>DoEVold</v>
      </c>
      <c r="AG882" s="43" t="str">
        <f t="array" ref="AG882">INDEX('Deal Info'!G:G, MATCH(A882,'Deal Info'!A:A, 0))</f>
        <v>None</v>
      </c>
    </row>
    <row r="883" hidden="1">
      <c r="A883" s="23" t="str">
        <f t="array" ref="A883">if(G883='Room Info'!$B$1, INDEX('Room Info'!$A$2:$A3446, MATCH(B883,'Room Info'!$B$2:$B3446, 0)),if(G883='Room Info'!$C$1, INDEX('Room Info'!$A$2:$A3446, MATCH(B883,'Room Info'!$C$2:$C3446, 0)),if(G883='Room Info'!$D$1, INDEX('Room Info'!$A$2:$A3446, MATCH(B883,'Room Info'!$D$2:$D3446, 0)),if(G883='Room Info'!$E$1, INDEX('Room Info'!$A$2:$A3446, MATCH(B883,'Room Info'!$E$2:$E3446, 0)),if(G883='Room Info'!$F$1, INDEX('Room Info'!$A$2:$A3446, MATCH(B883,'Room Info'!$F$2:$F3446, 0)),if(G883='Room Info'!$H$1, INDEX('Room Info'!$A$2:$A3446, MATCH(B883,'Room Info'!$H$2:$H3446, 0)),if(G883='Room Info'!$G$1, INDEX('Room Info'!$A$2:$A3446, MATCH(B883,'Room Info'!$G$2:$G3446, 0)))))))))</f>
        <v>KuCoH</v>
      </c>
      <c r="B883" s="50" t="s">
        <v>199</v>
      </c>
      <c r="C883" s="82">
        <v>44733.0</v>
      </c>
      <c r="D883" s="82">
        <v>44762.0</v>
      </c>
      <c r="E883" s="52">
        <v>44743.0</v>
      </c>
      <c r="F883" s="53" t="s">
        <v>4</v>
      </c>
      <c r="G883" s="50" t="s">
        <v>5</v>
      </c>
      <c r="H883" s="54" t="s">
        <v>45</v>
      </c>
      <c r="I883" s="54" t="s">
        <v>7</v>
      </c>
      <c r="J883" s="79">
        <v>10.0</v>
      </c>
      <c r="K883" s="80">
        <v>745.0</v>
      </c>
      <c r="L883" s="77">
        <v>330.0</v>
      </c>
      <c r="M883" s="81">
        <v>163.0</v>
      </c>
      <c r="N883" s="33">
        <f t="shared" si="13"/>
        <v>7450</v>
      </c>
      <c r="O883" s="50">
        <v>46482.0</v>
      </c>
      <c r="P883" s="34">
        <f t="shared" si="14"/>
        <v>62.39194631</v>
      </c>
      <c r="Q883" s="60"/>
      <c r="R883" s="36">
        <f t="shared" si="99"/>
        <v>163</v>
      </c>
      <c r="S883" s="78">
        <v>291.0</v>
      </c>
      <c r="T883" s="37">
        <f t="shared" si="100"/>
        <v>454</v>
      </c>
      <c r="U883" s="62">
        <v>1.0</v>
      </c>
      <c r="V883" s="63"/>
      <c r="W883" s="63"/>
      <c r="X883" s="83">
        <v>0.25</v>
      </c>
      <c r="Y883" s="83">
        <v>0.0</v>
      </c>
      <c r="Z883" s="40">
        <f t="shared" si="127"/>
        <v>340.5</v>
      </c>
      <c r="AA883" s="34">
        <f t="shared" si="128"/>
        <v>113.5</v>
      </c>
      <c r="AB883" s="41">
        <f t="shared" si="130"/>
        <v>0</v>
      </c>
      <c r="AC883" s="42" t="b">
        <v>1</v>
      </c>
      <c r="AD883" s="42" t="s">
        <v>138</v>
      </c>
      <c r="AE883" s="42" t="s">
        <v>138</v>
      </c>
      <c r="AF883" s="42" t="str">
        <f t="array" ref="AF883">INDEX('Deal Info'!D:D, MATCH(A883,'Deal Info'!A:A, 0))</f>
        <v>DoEVku</v>
      </c>
      <c r="AG883" s="43" t="str">
        <f t="array" ref="AG883">INDEX('Deal Info'!G:G, MATCH(A883,'Deal Info'!A:A, 0))</f>
        <v>Fix10</v>
      </c>
    </row>
    <row r="884" hidden="1">
      <c r="A884" s="23" t="str">
        <f t="array" ref="A884">if(G884='Room Info'!$B$1, INDEX('Room Info'!$A$2:$A3446, MATCH(B884,'Room Info'!$B$2:$B3446, 0)),if(G884='Room Info'!$C$1, INDEX('Room Info'!$A$2:$A3446, MATCH(B884,'Room Info'!$C$2:$C3446, 0)),if(G884='Room Info'!$D$1, INDEX('Room Info'!$A$2:$A3446, MATCH(B884,'Room Info'!$D$2:$D3446, 0)),if(G884='Room Info'!$E$1, INDEX('Room Info'!$A$2:$A3446, MATCH(B884,'Room Info'!$E$2:$E3446, 0)),if(G884='Room Info'!$F$1, INDEX('Room Info'!$A$2:$A3446, MATCH(B884,'Room Info'!$F$2:$F3446, 0)),if(G884='Room Info'!$H$1, INDEX('Room Info'!$A$2:$A3446, MATCH(B884,'Room Info'!$H$2:$H3446, 0)),if(G884='Room Info'!$G$1, INDEX('Room Info'!$A$2:$A3446, MATCH(B884,'Room Info'!$G$2:$G3446, 0)))))))))</f>
        <v>KuCoH</v>
      </c>
      <c r="B884" s="50" t="s">
        <v>199</v>
      </c>
      <c r="C884" s="51">
        <v>44733.0</v>
      </c>
      <c r="D884" s="51">
        <v>44762.0</v>
      </c>
      <c r="E884" s="52">
        <v>44743.0</v>
      </c>
      <c r="F884" s="53" t="s">
        <v>4</v>
      </c>
      <c r="G884" s="50" t="s">
        <v>5</v>
      </c>
      <c r="H884" s="54" t="s">
        <v>48</v>
      </c>
      <c r="I884" s="54" t="s">
        <v>11</v>
      </c>
      <c r="J884" s="55">
        <v>10.0</v>
      </c>
      <c r="K884" s="56">
        <v>1290.0</v>
      </c>
      <c r="L884" s="111">
        <v>-580.0</v>
      </c>
      <c r="M884" s="58">
        <v>281.0</v>
      </c>
      <c r="N884" s="33">
        <f t="shared" si="13"/>
        <v>12900</v>
      </c>
      <c r="O884" s="112">
        <v>22852.0</v>
      </c>
      <c r="P884" s="34">
        <f t="shared" si="14"/>
        <v>17.71472868</v>
      </c>
      <c r="Q884" s="60"/>
      <c r="R884" s="36">
        <f t="shared" si="99"/>
        <v>281</v>
      </c>
      <c r="S884" s="113">
        <v>-273.0</v>
      </c>
      <c r="T884" s="37">
        <f t="shared" si="100"/>
        <v>8</v>
      </c>
      <c r="U884" s="62">
        <v>1.0</v>
      </c>
      <c r="V884" s="63"/>
      <c r="W884" s="63"/>
      <c r="X884" s="83">
        <v>0.25</v>
      </c>
      <c r="Y884" s="83">
        <v>0.0</v>
      </c>
      <c r="Z884" s="40">
        <f t="shared" si="127"/>
        <v>6</v>
      </c>
      <c r="AA884" s="34">
        <f t="shared" si="128"/>
        <v>2</v>
      </c>
      <c r="AB884" s="41">
        <f t="shared" si="130"/>
        <v>0</v>
      </c>
      <c r="AC884" s="42" t="b">
        <v>1</v>
      </c>
      <c r="AD884" s="42" t="s">
        <v>138</v>
      </c>
      <c r="AE884" s="42" t="s">
        <v>138</v>
      </c>
      <c r="AF884" s="42" t="str">
        <f t="array" ref="AF884">INDEX('Deal Info'!D:D, MATCH(A884,'Deal Info'!A:A, 0))</f>
        <v>DoEVku</v>
      </c>
      <c r="AG884" s="43" t="str">
        <f t="array" ref="AG884">INDEX('Deal Info'!G:G, MATCH(A884,'Deal Info'!A:A, 0))</f>
        <v>Fix10</v>
      </c>
    </row>
    <row r="885" hidden="1">
      <c r="A885" s="23" t="str">
        <f t="array" ref="A885">if(G885='Room Info'!$B$1, INDEX('Room Info'!$A$2:$A3446, MATCH(B885,'Room Info'!$B$2:$B3446, 0)),if(G885='Room Info'!$C$1, INDEX('Room Info'!$A$2:$A3446, MATCH(B885,'Room Info'!$C$2:$C3446, 0)),if(G885='Room Info'!$D$1, INDEX('Room Info'!$A$2:$A3446, MATCH(B885,'Room Info'!$D$2:$D3446, 0)),if(G885='Room Info'!$E$1, INDEX('Room Info'!$A$2:$A3446, MATCH(B885,'Room Info'!$E$2:$E3446, 0)),if(G885='Room Info'!$F$1, INDEX('Room Info'!$A$2:$A3446, MATCH(B885,'Room Info'!$F$2:$F3446, 0)),if(G885='Room Info'!$H$1, INDEX('Room Info'!$A$2:$A3446, MATCH(B885,'Room Info'!$H$2:$H3446, 0)),if(G885='Room Info'!$G$1, INDEX('Room Info'!$A$2:$A3446, MATCH(B885,'Room Info'!$G$2:$G3446, 0)))))))))</f>
        <v>KuCoH</v>
      </c>
      <c r="B885" s="50" t="s">
        <v>199</v>
      </c>
      <c r="C885" s="82">
        <v>44794.0</v>
      </c>
      <c r="D885" s="82">
        <v>44824.0</v>
      </c>
      <c r="E885" s="52">
        <v>44805.0</v>
      </c>
      <c r="F885" s="53" t="s">
        <v>4</v>
      </c>
      <c r="G885" s="50" t="s">
        <v>5</v>
      </c>
      <c r="H885" s="54" t="s">
        <v>45</v>
      </c>
      <c r="I885" s="54" t="s">
        <v>7</v>
      </c>
      <c r="J885" s="79">
        <v>10.0</v>
      </c>
      <c r="K885" s="80">
        <v>1177.0</v>
      </c>
      <c r="L885" s="77">
        <v>-370.0</v>
      </c>
      <c r="M885" s="81">
        <v>522.0</v>
      </c>
      <c r="N885" s="33">
        <f t="shared" si="13"/>
        <v>11770</v>
      </c>
      <c r="O885" s="50">
        <v>44716.0</v>
      </c>
      <c r="P885" s="34">
        <f t="shared" si="14"/>
        <v>37.99150382</v>
      </c>
      <c r="Q885" s="60"/>
      <c r="R885" s="36">
        <f t="shared" si="99"/>
        <v>522</v>
      </c>
      <c r="S885" s="78">
        <v>-48.0</v>
      </c>
      <c r="T885" s="37">
        <f t="shared" si="100"/>
        <v>474</v>
      </c>
      <c r="U885" s="62">
        <v>1.0</v>
      </c>
      <c r="V885" s="63"/>
      <c r="W885" s="63"/>
      <c r="X885" s="83">
        <v>0.23</v>
      </c>
      <c r="Y885" s="83">
        <v>0.0</v>
      </c>
      <c r="Z885" s="40">
        <f t="shared" si="127"/>
        <v>364.98</v>
      </c>
      <c r="AA885" s="34">
        <f t="shared" si="128"/>
        <v>109.02</v>
      </c>
      <c r="AB885" s="41">
        <f t="shared" si="130"/>
        <v>0</v>
      </c>
      <c r="AC885" s="42" t="b">
        <v>1</v>
      </c>
      <c r="AD885" s="42" t="s">
        <v>138</v>
      </c>
      <c r="AE885" s="42" t="s">
        <v>138</v>
      </c>
      <c r="AF885" s="42" t="str">
        <f t="array" ref="AF885">INDEX('Deal Info'!D:D, MATCH(A885,'Deal Info'!A:A, 0))</f>
        <v>DoEVku</v>
      </c>
      <c r="AG885" s="43" t="str">
        <f t="array" ref="AG885">INDEX('Deal Info'!G:G, MATCH(A885,'Deal Info'!A:A, 0))</f>
        <v>Fix10</v>
      </c>
    </row>
    <row r="886" hidden="1">
      <c r="A886" s="23" t="str">
        <f t="array" ref="A886">if(G886='Room Info'!$B$1, INDEX('Room Info'!$A$2:$A3446, MATCH(B886,'Room Info'!$B$2:$B3446, 0)),if(G886='Room Info'!$C$1, INDEX('Room Info'!$A$2:$A3446, MATCH(B886,'Room Info'!$C$2:$C3446, 0)),if(G886='Room Info'!$D$1, INDEX('Room Info'!$A$2:$A3446, MATCH(B886,'Room Info'!$D$2:$D3446, 0)),if(G886='Room Info'!$E$1, INDEX('Room Info'!$A$2:$A3446, MATCH(B886,'Room Info'!$E$2:$E3446, 0)),if(G886='Room Info'!$F$1, INDEX('Room Info'!$A$2:$A3446, MATCH(B886,'Room Info'!$F$2:$F3446, 0)),if(G886='Room Info'!$H$1, INDEX('Room Info'!$A$2:$A3446, MATCH(B886,'Room Info'!$H$2:$H3446, 0)),if(G886='Room Info'!$G$1, INDEX('Room Info'!$A$2:$A3446, MATCH(B886,'Room Info'!$G$2:$G3446, 0)))))))))</f>
        <v>KuCoH</v>
      </c>
      <c r="B886" s="50" t="s">
        <v>199</v>
      </c>
      <c r="C886" s="82">
        <v>44794.0</v>
      </c>
      <c r="D886" s="82">
        <v>44824.0</v>
      </c>
      <c r="E886" s="52">
        <v>44805.0</v>
      </c>
      <c r="F886" s="53" t="s">
        <v>4</v>
      </c>
      <c r="G886" s="50" t="s">
        <v>5</v>
      </c>
      <c r="H886" s="54" t="s">
        <v>48</v>
      </c>
      <c r="I886" s="54" t="s">
        <v>11</v>
      </c>
      <c r="J886" s="79">
        <v>10.0</v>
      </c>
      <c r="K886" s="80">
        <v>1079.0</v>
      </c>
      <c r="L886" s="77">
        <v>-510.0</v>
      </c>
      <c r="M886" s="81">
        <v>478.0</v>
      </c>
      <c r="N886" s="33">
        <f t="shared" si="13"/>
        <v>10790</v>
      </c>
      <c r="O886" s="50">
        <v>11085.0</v>
      </c>
      <c r="P886" s="34">
        <f t="shared" si="14"/>
        <v>10.2734013</v>
      </c>
      <c r="Q886" s="60"/>
      <c r="R886" s="36">
        <f t="shared" si="99"/>
        <v>478</v>
      </c>
      <c r="S886" s="78">
        <v>-456.0</v>
      </c>
      <c r="T886" s="37">
        <f t="shared" si="100"/>
        <v>22</v>
      </c>
      <c r="U886" s="62">
        <v>1.0</v>
      </c>
      <c r="V886" s="63"/>
      <c r="W886" s="63"/>
      <c r="X886" s="83">
        <v>0.23</v>
      </c>
      <c r="Y886" s="83">
        <v>0.0</v>
      </c>
      <c r="Z886" s="40">
        <f t="shared" si="127"/>
        <v>16.94</v>
      </c>
      <c r="AA886" s="34">
        <f t="shared" si="128"/>
        <v>5.06</v>
      </c>
      <c r="AB886" s="41">
        <f t="shared" si="130"/>
        <v>0</v>
      </c>
      <c r="AC886" s="42" t="b">
        <v>1</v>
      </c>
      <c r="AD886" s="42" t="s">
        <v>138</v>
      </c>
      <c r="AE886" s="42" t="s">
        <v>138</v>
      </c>
      <c r="AF886" s="42" t="str">
        <f t="array" ref="AF886">INDEX('Deal Info'!D:D, MATCH(A886,'Deal Info'!A:A, 0))</f>
        <v>DoEVku</v>
      </c>
      <c r="AG886" s="43" t="str">
        <f t="array" ref="AG886">INDEX('Deal Info'!G:G, MATCH(A886,'Deal Info'!A:A, 0))</f>
        <v>Fix10</v>
      </c>
    </row>
    <row r="887" hidden="1">
      <c r="A887" s="23" t="str">
        <f t="array" ref="A887">if(G887='Room Info'!$B$1, INDEX('Room Info'!$A$2:$A3446, MATCH(B887,'Room Info'!$B$2:$B3446, 0)),if(G887='Room Info'!$C$1, INDEX('Room Info'!$A$2:$A3446, MATCH(B887,'Room Info'!$C$2:$C3446, 0)),if(G887='Room Info'!$D$1, INDEX('Room Info'!$A$2:$A3446, MATCH(B887,'Room Info'!$D$2:$D3446, 0)),if(G887='Room Info'!$E$1, INDEX('Room Info'!$A$2:$A3446, MATCH(B887,'Room Info'!$E$2:$E3446, 0)),if(G887='Room Info'!$F$1, INDEX('Room Info'!$A$2:$A3446, MATCH(B887,'Room Info'!$F$2:$F3446, 0)),if(G887='Room Info'!$H$1, INDEX('Room Info'!$A$2:$A3446, MATCH(B887,'Room Info'!$H$2:$H3446, 0)),if(G887='Room Info'!$G$1, INDEX('Room Info'!$A$2:$A3446, MATCH(B887,'Room Info'!$G$2:$G3446, 0)))))))))</f>
        <v>KuCoH</v>
      </c>
      <c r="B887" s="50" t="s">
        <v>199</v>
      </c>
      <c r="C887" s="51">
        <v>44794.0</v>
      </c>
      <c r="D887" s="51">
        <v>44824.0</v>
      </c>
      <c r="E887" s="52">
        <v>44805.0</v>
      </c>
      <c r="F887" s="53" t="s">
        <v>4</v>
      </c>
      <c r="G887" s="59" t="s">
        <v>5</v>
      </c>
      <c r="H887" s="54" t="s">
        <v>62</v>
      </c>
      <c r="I887" s="54" t="s">
        <v>7</v>
      </c>
      <c r="J887" s="55">
        <v>25.0</v>
      </c>
      <c r="K887" s="56">
        <v>205.0</v>
      </c>
      <c r="L887" s="57">
        <v>-275.0</v>
      </c>
      <c r="M887" s="58">
        <v>195.0</v>
      </c>
      <c r="N887" s="33">
        <f t="shared" si="13"/>
        <v>5125</v>
      </c>
      <c r="O887" s="59">
        <v>-4818.0</v>
      </c>
      <c r="P887" s="34">
        <f t="shared" si="14"/>
        <v>-23.50243902</v>
      </c>
      <c r="Q887" s="60"/>
      <c r="R887" s="36">
        <f t="shared" si="99"/>
        <v>195</v>
      </c>
      <c r="S887" s="61">
        <v>-547.0</v>
      </c>
      <c r="T887" s="37">
        <f t="shared" si="100"/>
        <v>-352</v>
      </c>
      <c r="U887" s="62">
        <v>1.0</v>
      </c>
      <c r="V887" s="63"/>
      <c r="W887" s="63"/>
      <c r="X887" s="83">
        <v>0.23</v>
      </c>
      <c r="Y887" s="83">
        <v>0.0</v>
      </c>
      <c r="Z887" s="40">
        <f t="shared" si="127"/>
        <v>-271.04</v>
      </c>
      <c r="AA887" s="34">
        <f t="shared" si="128"/>
        <v>-80.96</v>
      </c>
      <c r="AB887" s="41">
        <f t="shared" si="130"/>
        <v>0</v>
      </c>
      <c r="AC887" s="42" t="b">
        <v>1</v>
      </c>
      <c r="AD887" s="42" t="s">
        <v>138</v>
      </c>
      <c r="AE887" s="42" t="s">
        <v>138</v>
      </c>
      <c r="AF887" s="42" t="str">
        <f t="array" ref="AF887">INDEX('Deal Info'!D:D, MATCH(A887,'Deal Info'!A:A, 0))</f>
        <v>DoEVku</v>
      </c>
      <c r="AG887" s="43" t="str">
        <f t="array" ref="AG887">INDEX('Deal Info'!G:G, MATCH(A887,'Deal Info'!A:A, 0))</f>
        <v>Fix10</v>
      </c>
    </row>
    <row r="888" hidden="1">
      <c r="A888" s="23" t="str">
        <f t="array" ref="A888">if(G888='Room Info'!$B$1, INDEX('Room Info'!$A$2:$A3446, MATCH(B888,'Room Info'!$B$2:$B3446, 0)),if(G888='Room Info'!$C$1, INDEX('Room Info'!$A$2:$A3446, MATCH(B888,'Room Info'!$C$2:$C3446, 0)),if(G888='Room Info'!$D$1, INDEX('Room Info'!$A$2:$A3446, MATCH(B888,'Room Info'!$D$2:$D3446, 0)),if(G888='Room Info'!$E$1, INDEX('Room Info'!$A$2:$A3446, MATCH(B888,'Room Info'!$E$2:$E3446, 0)),if(G888='Room Info'!$F$1, INDEX('Room Info'!$A$2:$A3446, MATCH(B888,'Room Info'!$F$2:$F3446, 0)),if(G888='Room Info'!$H$1, INDEX('Room Info'!$A$2:$A3446, MATCH(B888,'Room Info'!$H$2:$H3446, 0)),if(G888='Room Info'!$G$1, INDEX('Room Info'!$A$2:$A3446, MATCH(B888,'Room Info'!$G$2:$G3446, 0)))))))))</f>
        <v>KuCoH</v>
      </c>
      <c r="B888" s="50" t="s">
        <v>199</v>
      </c>
      <c r="C888" s="51">
        <v>44825.0</v>
      </c>
      <c r="D888" s="51">
        <v>44854.0</v>
      </c>
      <c r="E888" s="52">
        <v>44835.0</v>
      </c>
      <c r="F888" s="53" t="s">
        <v>4</v>
      </c>
      <c r="G888" s="59" t="s">
        <v>5</v>
      </c>
      <c r="H888" s="54" t="s">
        <v>45</v>
      </c>
      <c r="I888" s="54" t="s">
        <v>7</v>
      </c>
      <c r="J888" s="55">
        <v>10.0</v>
      </c>
      <c r="K888" s="56">
        <v>2319.0</v>
      </c>
      <c r="L888" s="57">
        <v>280.0</v>
      </c>
      <c r="M888" s="58">
        <v>955.0</v>
      </c>
      <c r="N888" s="33">
        <f t="shared" si="13"/>
        <v>23190</v>
      </c>
      <c r="O888" s="59">
        <v>134240.0</v>
      </c>
      <c r="P888" s="34">
        <f t="shared" si="14"/>
        <v>57.88702027</v>
      </c>
      <c r="Q888" s="60"/>
      <c r="R888" s="36">
        <f t="shared" si="99"/>
        <v>955</v>
      </c>
      <c r="S888" s="61">
        <v>749.0</v>
      </c>
      <c r="T888" s="37">
        <f t="shared" si="100"/>
        <v>1704</v>
      </c>
      <c r="U888" s="62">
        <v>1.0</v>
      </c>
      <c r="V888" s="63"/>
      <c r="W888" s="63"/>
      <c r="X888" s="83">
        <v>0.17</v>
      </c>
      <c r="Y888" s="83">
        <v>0.0</v>
      </c>
      <c r="Z888" s="40">
        <f t="shared" si="127"/>
        <v>1414.32</v>
      </c>
      <c r="AA888" s="34">
        <f t="shared" si="128"/>
        <v>289.68</v>
      </c>
      <c r="AB888" s="41">
        <f t="shared" si="130"/>
        <v>0</v>
      </c>
      <c r="AC888" s="42" t="b">
        <v>1</v>
      </c>
      <c r="AD888" s="42" t="s">
        <v>138</v>
      </c>
      <c r="AE888" s="42" t="s">
        <v>138</v>
      </c>
      <c r="AF888" s="42" t="str">
        <f t="array" ref="AF888">INDEX('Deal Info'!D:D, MATCH(A888,'Deal Info'!A:A, 0))</f>
        <v>DoEVku</v>
      </c>
      <c r="AG888" s="43" t="str">
        <f t="array" ref="AG888">INDEX('Deal Info'!G:G, MATCH(A888,'Deal Info'!A:A, 0))</f>
        <v>Fix10</v>
      </c>
    </row>
    <row r="889" hidden="1">
      <c r="A889" s="23" t="str">
        <f t="array" ref="A889">if(G889='Room Info'!$B$1, INDEX('Room Info'!$A$2:$A3446, MATCH(B889,'Room Info'!$B$2:$B3446, 0)),if(G889='Room Info'!$C$1, INDEX('Room Info'!$A$2:$A3446, MATCH(B889,'Room Info'!$C$2:$C3446, 0)),if(G889='Room Info'!$D$1, INDEX('Room Info'!$A$2:$A3446, MATCH(B889,'Room Info'!$D$2:$D3446, 0)),if(G889='Room Info'!$E$1, INDEX('Room Info'!$A$2:$A3446, MATCH(B889,'Room Info'!$E$2:$E3446, 0)),if(G889='Room Info'!$F$1, INDEX('Room Info'!$A$2:$A3446, MATCH(B889,'Room Info'!$F$2:$F3446, 0)),if(G889='Room Info'!$H$1, INDEX('Room Info'!$A$2:$A3446, MATCH(B889,'Room Info'!$H$2:$H3446, 0)),if(G889='Room Info'!$G$1, INDEX('Room Info'!$A$2:$A3446, MATCH(B889,'Room Info'!$G$2:$G3446, 0)))))))))</f>
        <v>KuCoH</v>
      </c>
      <c r="B889" s="50" t="s">
        <v>199</v>
      </c>
      <c r="C889" s="51">
        <v>44825.0</v>
      </c>
      <c r="D889" s="51">
        <v>44854.0</v>
      </c>
      <c r="E889" s="52">
        <v>44835.0</v>
      </c>
      <c r="F889" s="53" t="s">
        <v>4</v>
      </c>
      <c r="G889" s="50" t="s">
        <v>5</v>
      </c>
      <c r="H889" s="54" t="s">
        <v>48</v>
      </c>
      <c r="I889" s="54" t="s">
        <v>11</v>
      </c>
      <c r="J889" s="55">
        <v>10.0</v>
      </c>
      <c r="K889" s="56">
        <v>1090.0</v>
      </c>
      <c r="L889" s="57">
        <v>-700.0</v>
      </c>
      <c r="M889" s="58">
        <v>449.0</v>
      </c>
      <c r="N889" s="33">
        <f t="shared" si="13"/>
        <v>10900</v>
      </c>
      <c r="O889" s="59">
        <v>21125.0</v>
      </c>
      <c r="P889" s="34">
        <f t="shared" si="14"/>
        <v>19.38073394</v>
      </c>
      <c r="Q889" s="60"/>
      <c r="R889" s="36">
        <f t="shared" si="99"/>
        <v>449</v>
      </c>
      <c r="S889" s="61">
        <v>-159.0</v>
      </c>
      <c r="T889" s="37">
        <f t="shared" si="100"/>
        <v>290</v>
      </c>
      <c r="U889" s="62">
        <v>1.0</v>
      </c>
      <c r="V889" s="63"/>
      <c r="W889" s="63"/>
      <c r="X889" s="83">
        <v>0.17</v>
      </c>
      <c r="Y889" s="83">
        <v>0.0</v>
      </c>
      <c r="Z889" s="40">
        <f t="shared" si="127"/>
        <v>240.7</v>
      </c>
      <c r="AA889" s="34">
        <f t="shared" si="128"/>
        <v>49.3</v>
      </c>
      <c r="AB889" s="41">
        <f t="shared" si="130"/>
        <v>0</v>
      </c>
      <c r="AC889" s="42" t="b">
        <v>1</v>
      </c>
      <c r="AD889" s="42" t="s">
        <v>138</v>
      </c>
      <c r="AE889" s="42" t="s">
        <v>138</v>
      </c>
      <c r="AF889" s="42" t="str">
        <f t="array" ref="AF889">INDEX('Deal Info'!D:D, MATCH(A889,'Deal Info'!A:A, 0))</f>
        <v>DoEVku</v>
      </c>
      <c r="AG889" s="43" t="str">
        <f t="array" ref="AG889">INDEX('Deal Info'!G:G, MATCH(A889,'Deal Info'!A:A, 0))</f>
        <v>Fix10</v>
      </c>
    </row>
    <row r="890" hidden="1">
      <c r="A890" s="23" t="str">
        <f t="array" ref="A890">if(G890='Room Info'!$B$1, INDEX('Room Info'!$A$2:$A3446, MATCH(B890,'Room Info'!$B$2:$B3446, 0)),if(G890='Room Info'!$C$1, INDEX('Room Info'!$A$2:$A3446, MATCH(B890,'Room Info'!$C$2:$C3446, 0)),if(G890='Room Info'!$D$1, INDEX('Room Info'!$A$2:$A3446, MATCH(B890,'Room Info'!$D$2:$D3446, 0)),if(G890='Room Info'!$E$1, INDEX('Room Info'!$A$2:$A3446, MATCH(B890,'Room Info'!$E$2:$E3446, 0)),if(G890='Room Info'!$F$1, INDEX('Room Info'!$A$2:$A3446, MATCH(B890,'Room Info'!$F$2:$F3446, 0)),if(G890='Room Info'!$H$1, INDEX('Room Info'!$A$2:$A3446, MATCH(B890,'Room Info'!$H$2:$H3446, 0)),if(G890='Room Info'!$G$1, INDEX('Room Info'!$A$2:$A3446, MATCH(B890,'Room Info'!$G$2:$G3446, 0)))))))))</f>
        <v>KuCoH</v>
      </c>
      <c r="B890" s="50" t="s">
        <v>199</v>
      </c>
      <c r="C890" s="51">
        <v>44855.0</v>
      </c>
      <c r="D890" s="51">
        <v>44869.0</v>
      </c>
      <c r="E890" s="52">
        <v>44866.0</v>
      </c>
      <c r="F890" s="53" t="s">
        <v>4</v>
      </c>
      <c r="G890" s="50" t="s">
        <v>5</v>
      </c>
      <c r="H890" s="54" t="s">
        <v>20</v>
      </c>
      <c r="I890" s="54" t="s">
        <v>7</v>
      </c>
      <c r="J890" s="55">
        <v>1.0</v>
      </c>
      <c r="K890" s="56">
        <v>20.0</v>
      </c>
      <c r="L890" s="57">
        <v>-3.0</v>
      </c>
      <c r="M890" s="58">
        <v>1.0</v>
      </c>
      <c r="N890" s="33">
        <f t="shared" si="13"/>
        <v>20</v>
      </c>
      <c r="O890" s="59">
        <v>1018.0</v>
      </c>
      <c r="P890" s="34">
        <f t="shared" si="14"/>
        <v>50.9</v>
      </c>
      <c r="Q890" s="60"/>
      <c r="R890" s="36">
        <f t="shared" si="99"/>
        <v>1</v>
      </c>
      <c r="S890" s="61">
        <v>0.0</v>
      </c>
      <c r="T890" s="37">
        <f t="shared" si="100"/>
        <v>1</v>
      </c>
      <c r="U890" s="62">
        <v>1.0</v>
      </c>
      <c r="V890" s="63"/>
      <c r="W890" s="63"/>
      <c r="X890" s="83">
        <v>0.2</v>
      </c>
      <c r="Y890" s="83">
        <v>0.0</v>
      </c>
      <c r="Z890" s="40">
        <f t="shared" si="127"/>
        <v>0.8</v>
      </c>
      <c r="AA890" s="34">
        <f t="shared" si="128"/>
        <v>0.2</v>
      </c>
      <c r="AB890" s="41">
        <f t="shared" si="130"/>
        <v>0</v>
      </c>
      <c r="AC890" s="42" t="b">
        <v>1</v>
      </c>
      <c r="AD890" s="42" t="s">
        <v>138</v>
      </c>
      <c r="AE890" s="42" t="s">
        <v>138</v>
      </c>
      <c r="AF890" s="42" t="str">
        <f t="array" ref="AF890">INDEX('Deal Info'!D:D, MATCH(A890,'Deal Info'!A:A, 0))</f>
        <v>DoEVku</v>
      </c>
      <c r="AG890" s="43" t="str">
        <f t="array" ref="AG890">INDEX('Deal Info'!G:G, MATCH(A890,'Deal Info'!A:A, 0))</f>
        <v>Fix10</v>
      </c>
    </row>
    <row r="891" hidden="1">
      <c r="A891" s="23" t="str">
        <f t="array" ref="A891">if(G891='Room Info'!$B$1, INDEX('Room Info'!$A$2:$A3446, MATCH(B891,'Room Info'!$B$2:$B3446, 0)),if(G891='Room Info'!$C$1, INDEX('Room Info'!$A$2:$A3446, MATCH(B891,'Room Info'!$C$2:$C3446, 0)),if(G891='Room Info'!$D$1, INDEX('Room Info'!$A$2:$A3446, MATCH(B891,'Room Info'!$D$2:$D3446, 0)),if(G891='Room Info'!$E$1, INDEX('Room Info'!$A$2:$A3446, MATCH(B891,'Room Info'!$E$2:$E3446, 0)),if(G891='Room Info'!$F$1, INDEX('Room Info'!$A$2:$A3446, MATCH(B891,'Room Info'!$F$2:$F3446, 0)),if(G891='Room Info'!$H$1, INDEX('Room Info'!$A$2:$A3446, MATCH(B891,'Room Info'!$H$2:$H3446, 0)),if(G891='Room Info'!$G$1, INDEX('Room Info'!$A$2:$A3446, MATCH(B891,'Room Info'!$G$2:$G3446, 0)))))))))</f>
        <v>KuCoH</v>
      </c>
      <c r="B891" s="50" t="s">
        <v>199</v>
      </c>
      <c r="C891" s="51">
        <v>44855.0</v>
      </c>
      <c r="D891" s="51">
        <v>44869.0</v>
      </c>
      <c r="E891" s="52">
        <v>44866.0</v>
      </c>
      <c r="F891" s="53" t="s">
        <v>4</v>
      </c>
      <c r="G891" s="50" t="s">
        <v>5</v>
      </c>
      <c r="H891" s="54" t="s">
        <v>23</v>
      </c>
      <c r="I891" s="54" t="s">
        <v>11</v>
      </c>
      <c r="J891" s="55">
        <v>1.0</v>
      </c>
      <c r="K891" s="56">
        <v>17.0</v>
      </c>
      <c r="L891" s="57">
        <v>-5.0</v>
      </c>
      <c r="M891" s="58">
        <v>1.0</v>
      </c>
      <c r="N891" s="33">
        <f t="shared" si="13"/>
        <v>17</v>
      </c>
      <c r="O891" s="59">
        <v>336.0</v>
      </c>
      <c r="P891" s="34">
        <f t="shared" si="14"/>
        <v>19.76470588</v>
      </c>
      <c r="Q891" s="60"/>
      <c r="R891" s="36">
        <f t="shared" si="99"/>
        <v>1</v>
      </c>
      <c r="S891" s="61">
        <v>0.0</v>
      </c>
      <c r="T891" s="37">
        <f t="shared" si="100"/>
        <v>1</v>
      </c>
      <c r="U891" s="62">
        <v>1.0</v>
      </c>
      <c r="V891" s="63"/>
      <c r="W891" s="63"/>
      <c r="X891" s="83">
        <v>0.2</v>
      </c>
      <c r="Y891" s="83">
        <v>0.0</v>
      </c>
      <c r="Z891" s="40">
        <f t="shared" si="127"/>
        <v>0.8</v>
      </c>
      <c r="AA891" s="34">
        <f t="shared" si="128"/>
        <v>0.2</v>
      </c>
      <c r="AB891" s="41">
        <f t="shared" si="130"/>
        <v>0</v>
      </c>
      <c r="AC891" s="42" t="b">
        <v>1</v>
      </c>
      <c r="AD891" s="42" t="s">
        <v>138</v>
      </c>
      <c r="AE891" s="42" t="s">
        <v>138</v>
      </c>
      <c r="AF891" s="42" t="str">
        <f t="array" ref="AF891">INDEX('Deal Info'!D:D, MATCH(A891,'Deal Info'!A:A, 0))</f>
        <v>DoEVku</v>
      </c>
      <c r="AG891" s="43" t="str">
        <f t="array" ref="AG891">INDEX('Deal Info'!G:G, MATCH(A891,'Deal Info'!A:A, 0))</f>
        <v>Fix10</v>
      </c>
    </row>
    <row r="892" hidden="1">
      <c r="A892" s="23" t="str">
        <f t="array" ref="A892">if(G892='Room Info'!$B$1, INDEX('Room Info'!$A$2:$A3446, MATCH(B892,'Room Info'!$B$2:$B3446, 0)),if(G892='Room Info'!$C$1, INDEX('Room Info'!$A$2:$A3446, MATCH(B892,'Room Info'!$C$2:$C3446, 0)),if(G892='Room Info'!$D$1, INDEX('Room Info'!$A$2:$A3446, MATCH(B892,'Room Info'!$D$2:$D3446, 0)),if(G892='Room Info'!$E$1, INDEX('Room Info'!$A$2:$A3446, MATCH(B892,'Room Info'!$E$2:$E3446, 0)),if(G892='Room Info'!$F$1, INDEX('Room Info'!$A$2:$A3446, MATCH(B892,'Room Info'!$F$2:$F3446, 0)),if(G892='Room Info'!$H$1, INDEX('Room Info'!$A$2:$A3446, MATCH(B892,'Room Info'!$H$2:$H3446, 0)),if(G892='Room Info'!$G$1, INDEX('Room Info'!$A$2:$A3446, MATCH(B892,'Room Info'!$G$2:$G3446, 0)))))))))</f>
        <v>KuCoH</v>
      </c>
      <c r="B892" s="50" t="s">
        <v>199</v>
      </c>
      <c r="C892" s="51">
        <v>44855.0</v>
      </c>
      <c r="D892" s="51">
        <v>44869.0</v>
      </c>
      <c r="E892" s="52">
        <v>44866.0</v>
      </c>
      <c r="F892" s="53" t="s">
        <v>4</v>
      </c>
      <c r="G892" s="50" t="s">
        <v>5</v>
      </c>
      <c r="H892" s="54" t="s">
        <v>38</v>
      </c>
      <c r="I892" s="54" t="s">
        <v>11</v>
      </c>
      <c r="J892" s="55">
        <v>5.0</v>
      </c>
      <c r="K892" s="56">
        <v>44.0</v>
      </c>
      <c r="L892" s="57">
        <v>-10.0</v>
      </c>
      <c r="M892" s="58">
        <v>16.0</v>
      </c>
      <c r="N892" s="33">
        <f t="shared" si="13"/>
        <v>220</v>
      </c>
      <c r="O892" s="59">
        <v>660.0</v>
      </c>
      <c r="P892" s="34">
        <f t="shared" si="14"/>
        <v>15</v>
      </c>
      <c r="Q892" s="60"/>
      <c r="R892" s="36">
        <f t="shared" si="99"/>
        <v>16</v>
      </c>
      <c r="S892" s="61">
        <v>-10.0</v>
      </c>
      <c r="T892" s="37">
        <f t="shared" si="100"/>
        <v>6</v>
      </c>
      <c r="U892" s="62">
        <v>1.0</v>
      </c>
      <c r="V892" s="63"/>
      <c r="W892" s="63"/>
      <c r="X892" s="83">
        <v>0.2</v>
      </c>
      <c r="Y892" s="83">
        <v>0.0</v>
      </c>
      <c r="Z892" s="40">
        <f t="shared" si="127"/>
        <v>4.8</v>
      </c>
      <c r="AA892" s="34">
        <f t="shared" si="128"/>
        <v>1.2</v>
      </c>
      <c r="AB892" s="41">
        <f t="shared" si="130"/>
        <v>0</v>
      </c>
      <c r="AC892" s="42" t="b">
        <v>1</v>
      </c>
      <c r="AD892" s="42" t="s">
        <v>138</v>
      </c>
      <c r="AE892" s="42" t="s">
        <v>138</v>
      </c>
      <c r="AF892" s="42" t="str">
        <f t="array" ref="AF892">INDEX('Deal Info'!D:D, MATCH(A892,'Deal Info'!A:A, 0))</f>
        <v>DoEVku</v>
      </c>
      <c r="AG892" s="43" t="str">
        <f t="array" ref="AG892">INDEX('Deal Info'!G:G, MATCH(A892,'Deal Info'!A:A, 0))</f>
        <v>Fix10</v>
      </c>
    </row>
    <row r="893" hidden="1">
      <c r="A893" s="23" t="str">
        <f t="array" ref="A893">if(G893='Room Info'!$B$1, INDEX('Room Info'!$A$2:$A3446, MATCH(B893,'Room Info'!$B$2:$B3446, 0)),if(G893='Room Info'!$C$1, INDEX('Room Info'!$A$2:$A3446, MATCH(B893,'Room Info'!$C$2:$C3446, 0)),if(G893='Room Info'!$D$1, INDEX('Room Info'!$A$2:$A3446, MATCH(B893,'Room Info'!$D$2:$D3446, 0)),if(G893='Room Info'!$E$1, INDEX('Room Info'!$A$2:$A3446, MATCH(B893,'Room Info'!$E$2:$E3446, 0)),if(G893='Room Info'!$F$1, INDEX('Room Info'!$A$2:$A3446, MATCH(B893,'Room Info'!$F$2:$F3446, 0)),if(G893='Room Info'!$H$1, INDEX('Room Info'!$A$2:$A3446, MATCH(B893,'Room Info'!$H$2:$H3446, 0)),if(G893='Room Info'!$G$1, INDEX('Room Info'!$A$2:$A3446, MATCH(B893,'Room Info'!$G$2:$G3446, 0)))))))))</f>
        <v>KuCoH</v>
      </c>
      <c r="B893" s="50" t="s">
        <v>199</v>
      </c>
      <c r="C893" s="51">
        <v>44855.0</v>
      </c>
      <c r="D893" s="51">
        <v>44869.0</v>
      </c>
      <c r="E893" s="52">
        <v>44866.0</v>
      </c>
      <c r="F893" s="53" t="s">
        <v>4</v>
      </c>
      <c r="G893" s="50" t="s">
        <v>5</v>
      </c>
      <c r="H893" s="54" t="s">
        <v>45</v>
      </c>
      <c r="I893" s="54" t="s">
        <v>7</v>
      </c>
      <c r="J893" s="55">
        <v>10.0</v>
      </c>
      <c r="K893" s="56">
        <v>687.0</v>
      </c>
      <c r="L893" s="57">
        <v>60.0</v>
      </c>
      <c r="M893" s="58">
        <v>446.0</v>
      </c>
      <c r="N893" s="33">
        <f t="shared" si="13"/>
        <v>6870</v>
      </c>
      <c r="O893" s="59">
        <v>36411.0</v>
      </c>
      <c r="P893" s="34">
        <f t="shared" si="14"/>
        <v>53</v>
      </c>
      <c r="Q893" s="60"/>
      <c r="R893" s="36">
        <f t="shared" si="99"/>
        <v>446</v>
      </c>
      <c r="S893" s="61">
        <v>149.0</v>
      </c>
      <c r="T893" s="37">
        <f t="shared" si="100"/>
        <v>595</v>
      </c>
      <c r="U893" s="62">
        <v>1.0</v>
      </c>
      <c r="V893" s="63"/>
      <c r="W893" s="63"/>
      <c r="X893" s="83">
        <v>0.2</v>
      </c>
      <c r="Y893" s="83">
        <v>0.0</v>
      </c>
      <c r="Z893" s="40">
        <f t="shared" si="127"/>
        <v>476</v>
      </c>
      <c r="AA893" s="34">
        <f t="shared" si="128"/>
        <v>119</v>
      </c>
      <c r="AB893" s="41">
        <f t="shared" si="130"/>
        <v>0</v>
      </c>
      <c r="AC893" s="42" t="b">
        <v>1</v>
      </c>
      <c r="AD893" s="42" t="s">
        <v>138</v>
      </c>
      <c r="AE893" s="42" t="s">
        <v>138</v>
      </c>
      <c r="AF893" s="42" t="str">
        <f t="array" ref="AF893">INDEX('Deal Info'!D:D, MATCH(A893,'Deal Info'!A:A, 0))</f>
        <v>DoEVku</v>
      </c>
      <c r="AG893" s="43" t="str">
        <f t="array" ref="AG893">INDEX('Deal Info'!G:G, MATCH(A893,'Deal Info'!A:A, 0))</f>
        <v>Fix10</v>
      </c>
    </row>
    <row r="894" hidden="1">
      <c r="A894" s="23" t="str">
        <f t="array" ref="A894">if(G894='Room Info'!$B$1, INDEX('Room Info'!$A$2:$A3446, MATCH(B894,'Room Info'!$B$2:$B3446, 0)),if(G894='Room Info'!$C$1, INDEX('Room Info'!$A$2:$A3446, MATCH(B894,'Room Info'!$C$2:$C3446, 0)),if(G894='Room Info'!$D$1, INDEX('Room Info'!$A$2:$A3446, MATCH(B894,'Room Info'!$D$2:$D3446, 0)),if(G894='Room Info'!$E$1, INDEX('Room Info'!$A$2:$A3446, MATCH(B894,'Room Info'!$E$2:$E3446, 0)),if(G894='Room Info'!$F$1, INDEX('Room Info'!$A$2:$A3446, MATCH(B894,'Room Info'!$F$2:$F3446, 0)),if(G894='Room Info'!$H$1, INDEX('Room Info'!$A$2:$A3446, MATCH(B894,'Room Info'!$H$2:$H3446, 0)),if(G894='Room Info'!$G$1, INDEX('Room Info'!$A$2:$A3446, MATCH(B894,'Room Info'!$G$2:$G3446, 0)))))))))</f>
        <v>KuCoH</v>
      </c>
      <c r="B894" s="50" t="s">
        <v>199</v>
      </c>
      <c r="C894" s="51">
        <v>44855.0</v>
      </c>
      <c r="D894" s="51">
        <v>44869.0</v>
      </c>
      <c r="E894" s="52">
        <v>44866.0</v>
      </c>
      <c r="F894" s="53" t="s">
        <v>4</v>
      </c>
      <c r="G894" s="50" t="s">
        <v>5</v>
      </c>
      <c r="H894" s="54" t="s">
        <v>48</v>
      </c>
      <c r="I894" s="54" t="s">
        <v>11</v>
      </c>
      <c r="J894" s="55">
        <v>10.0</v>
      </c>
      <c r="K894" s="56">
        <v>1095.0</v>
      </c>
      <c r="L894" s="57">
        <v>-570.0</v>
      </c>
      <c r="M894" s="58">
        <v>711.0</v>
      </c>
      <c r="N894" s="33">
        <f t="shared" si="13"/>
        <v>10950</v>
      </c>
      <c r="O894" s="59">
        <v>10950.0</v>
      </c>
      <c r="P894" s="34">
        <f t="shared" si="14"/>
        <v>10</v>
      </c>
      <c r="Q894" s="60"/>
      <c r="R894" s="36">
        <f t="shared" si="99"/>
        <v>711</v>
      </c>
      <c r="S894" s="61">
        <v>-492.0</v>
      </c>
      <c r="T894" s="37">
        <f t="shared" si="100"/>
        <v>219</v>
      </c>
      <c r="U894" s="62">
        <v>1.0</v>
      </c>
      <c r="V894" s="63"/>
      <c r="W894" s="63"/>
      <c r="X894" s="83">
        <v>0.2</v>
      </c>
      <c r="Y894" s="83">
        <v>0.0</v>
      </c>
      <c r="Z894" s="40">
        <f t="shared" si="127"/>
        <v>175.2</v>
      </c>
      <c r="AA894" s="34">
        <f t="shared" si="128"/>
        <v>43.8</v>
      </c>
      <c r="AB894" s="41">
        <f t="shared" si="130"/>
        <v>0</v>
      </c>
      <c r="AC894" s="42" t="b">
        <v>1</v>
      </c>
      <c r="AD894" s="42" t="s">
        <v>138</v>
      </c>
      <c r="AE894" s="42" t="s">
        <v>138</v>
      </c>
      <c r="AF894" s="42" t="str">
        <f t="array" ref="AF894">INDEX('Deal Info'!D:D, MATCH(A894,'Deal Info'!A:A, 0))</f>
        <v>DoEVku</v>
      </c>
      <c r="AG894" s="43" t="str">
        <f t="array" ref="AG894">INDEX('Deal Info'!G:G, MATCH(A894,'Deal Info'!A:A, 0))</f>
        <v>Fix10</v>
      </c>
    </row>
    <row r="895" hidden="1">
      <c r="A895" s="23" t="str">
        <f t="array" ref="A895">if(G895='Room Info'!$B$1, INDEX('Room Info'!$A$2:$A3446, MATCH(B895,'Room Info'!$B$2:$B3446, 0)),if(G895='Room Info'!$C$1, INDEX('Room Info'!$A$2:$A3446, MATCH(B895,'Room Info'!$C$2:$C3446, 0)),if(G895='Room Info'!$D$1, INDEX('Room Info'!$A$2:$A3446, MATCH(B895,'Room Info'!$D$2:$D3446, 0)),if(G895='Room Info'!$E$1, INDEX('Room Info'!$A$2:$A3446, MATCH(B895,'Room Info'!$E$2:$E3446, 0)),if(G895='Room Info'!$F$1, INDEX('Room Info'!$A$2:$A3446, MATCH(B895,'Room Info'!$F$2:$F3446, 0)),if(G895='Room Info'!$H$1, INDEX('Room Info'!$A$2:$A3446, MATCH(B895,'Room Info'!$H$2:$H3446, 0)),if(G895='Room Info'!$G$1, INDEX('Room Info'!$A$2:$A3446, MATCH(B895,'Room Info'!$G$2:$G3446, 0)))))))))</f>
        <v>KuCoH</v>
      </c>
      <c r="B895" s="50" t="s">
        <v>199</v>
      </c>
      <c r="C895" s="51">
        <v>44855.0</v>
      </c>
      <c r="D895" s="51">
        <v>44869.0</v>
      </c>
      <c r="E895" s="52">
        <v>44866.0</v>
      </c>
      <c r="F895" s="53" t="s">
        <v>4</v>
      </c>
      <c r="G895" s="50" t="s">
        <v>5</v>
      </c>
      <c r="H895" s="54" t="s">
        <v>62</v>
      </c>
      <c r="I895" s="54" t="s">
        <v>7</v>
      </c>
      <c r="J895" s="55">
        <v>25.0</v>
      </c>
      <c r="K895" s="56">
        <v>36.0</v>
      </c>
      <c r="L895" s="57">
        <v>-175.0</v>
      </c>
      <c r="M895" s="58">
        <v>50.0</v>
      </c>
      <c r="N895" s="33">
        <f t="shared" si="13"/>
        <v>900</v>
      </c>
      <c r="O895" s="59">
        <v>-1260.0</v>
      </c>
      <c r="P895" s="34">
        <f t="shared" si="14"/>
        <v>-35</v>
      </c>
      <c r="Q895" s="60"/>
      <c r="R895" s="36">
        <f t="shared" si="99"/>
        <v>50</v>
      </c>
      <c r="S895" s="61">
        <v>-117.0</v>
      </c>
      <c r="T895" s="37">
        <f t="shared" si="100"/>
        <v>-67</v>
      </c>
      <c r="U895" s="62">
        <v>1.0</v>
      </c>
      <c r="V895" s="63"/>
      <c r="W895" s="63"/>
      <c r="X895" s="83">
        <v>0.2</v>
      </c>
      <c r="Y895" s="83">
        <v>0.0</v>
      </c>
      <c r="Z895" s="40">
        <f t="shared" si="127"/>
        <v>-53.6</v>
      </c>
      <c r="AA895" s="34">
        <f t="shared" si="128"/>
        <v>-13.4</v>
      </c>
      <c r="AB895" s="41">
        <f t="shared" si="130"/>
        <v>0</v>
      </c>
      <c r="AC895" s="42" t="b">
        <v>1</v>
      </c>
      <c r="AD895" s="42" t="s">
        <v>138</v>
      </c>
      <c r="AE895" s="42" t="s">
        <v>138</v>
      </c>
      <c r="AF895" s="42" t="str">
        <f t="array" ref="AF895">INDEX('Deal Info'!D:D, MATCH(A895,'Deal Info'!A:A, 0))</f>
        <v>DoEVku</v>
      </c>
      <c r="AG895" s="43" t="str">
        <f t="array" ref="AG895">INDEX('Deal Info'!G:G, MATCH(A895,'Deal Info'!A:A, 0))</f>
        <v>Fix10</v>
      </c>
    </row>
    <row r="896" hidden="1">
      <c r="A896" s="23" t="str">
        <f t="array" ref="A896">if(G896='Room Info'!$B$1, INDEX('Room Info'!$A$2:$A3446, MATCH(B896,'Room Info'!$B$2:$B3446, 0)),if(G896='Room Info'!$C$1, INDEX('Room Info'!$A$2:$A3446, MATCH(B896,'Room Info'!$C$2:$C3446, 0)),if(G896='Room Info'!$D$1, INDEX('Room Info'!$A$2:$A3446, MATCH(B896,'Room Info'!$D$2:$D3446, 0)),if(G896='Room Info'!$E$1, INDEX('Room Info'!$A$2:$A3446, MATCH(B896,'Room Info'!$E$2:$E3446, 0)),if(G896='Room Info'!$F$1, INDEX('Room Info'!$A$2:$A3446, MATCH(B896,'Room Info'!$F$2:$F3446, 0)),if(G896='Room Info'!$H$1, INDEX('Room Info'!$A$2:$A3446, MATCH(B896,'Room Info'!$H$2:$H3446, 0)),if(G896='Room Info'!$G$1, INDEX('Room Info'!$A$2:$A3446, MATCH(B896,'Room Info'!$G$2:$G3446, 0)))))))))</f>
        <v>KuCoH</v>
      </c>
      <c r="B896" s="50" t="s">
        <v>199</v>
      </c>
      <c r="C896" s="51">
        <v>44870.0</v>
      </c>
      <c r="D896" s="51">
        <v>44885.0</v>
      </c>
      <c r="E896" s="52">
        <v>44866.0</v>
      </c>
      <c r="F896" s="53" t="s">
        <v>4</v>
      </c>
      <c r="G896" s="50" t="s">
        <v>5</v>
      </c>
      <c r="H896" s="54" t="s">
        <v>28</v>
      </c>
      <c r="I896" s="54" t="s">
        <v>7</v>
      </c>
      <c r="J896" s="55">
        <v>2.0</v>
      </c>
      <c r="K896" s="56">
        <v>28.0</v>
      </c>
      <c r="L896" s="57">
        <v>-8.0</v>
      </c>
      <c r="M896" s="58">
        <v>3.0</v>
      </c>
      <c r="N896" s="33">
        <f t="shared" si="13"/>
        <v>56</v>
      </c>
      <c r="O896" s="59">
        <v>2041.0</v>
      </c>
      <c r="P896" s="34">
        <f t="shared" si="14"/>
        <v>72.89285714</v>
      </c>
      <c r="Q896" s="60"/>
      <c r="R896" s="36">
        <f t="shared" si="99"/>
        <v>3</v>
      </c>
      <c r="S896" s="61">
        <v>3.0</v>
      </c>
      <c r="T896" s="37">
        <f t="shared" si="100"/>
        <v>6</v>
      </c>
      <c r="U896" s="62">
        <v>1.0</v>
      </c>
      <c r="V896" s="63"/>
      <c r="W896" s="63"/>
      <c r="X896" s="83">
        <v>0.2</v>
      </c>
      <c r="Y896" s="35">
        <f t="shared" ref="Y896:Y909" si="131">if(AG896="None",0,if(AG896="Fix5",0.05, if(AG896="Fix6.25",0.0625,if(AG896="Fix3.75",0.0375,if(AG896="Fix10",0.1,if(AG896="Fix3",0.03,0))))))</f>
        <v>0.1</v>
      </c>
      <c r="Z896" s="40">
        <f t="shared" si="127"/>
        <v>4.2</v>
      </c>
      <c r="AA896" s="34">
        <f t="shared" si="128"/>
        <v>1.2</v>
      </c>
      <c r="AB896" s="41">
        <f t="shared" si="130"/>
        <v>0.6</v>
      </c>
      <c r="AC896" s="42" t="b">
        <v>1</v>
      </c>
      <c r="AD896" s="42" t="s">
        <v>138</v>
      </c>
      <c r="AE896" s="42" t="s">
        <v>138</v>
      </c>
      <c r="AF896" s="42" t="str">
        <f t="array" ref="AF896">INDEX('Deal Info'!D:D, MATCH(A896,'Deal Info'!A:A, 0))</f>
        <v>DoEVku</v>
      </c>
      <c r="AG896" s="43" t="str">
        <f t="array" ref="AG896">INDEX('Deal Info'!G:G, MATCH(A896,'Deal Info'!A:A, 0))</f>
        <v>Fix10</v>
      </c>
    </row>
    <row r="897" hidden="1">
      <c r="A897" s="23" t="str">
        <f t="array" ref="A897">if(G897='Room Info'!$B$1, INDEX('Room Info'!$A$2:$A3446, MATCH(B897,'Room Info'!$B$2:$B3446, 0)),if(G897='Room Info'!$C$1, INDEX('Room Info'!$A$2:$A3446, MATCH(B897,'Room Info'!$C$2:$C3446, 0)),if(G897='Room Info'!$D$1, INDEX('Room Info'!$A$2:$A3446, MATCH(B897,'Room Info'!$D$2:$D3446, 0)),if(G897='Room Info'!$E$1, INDEX('Room Info'!$A$2:$A3446, MATCH(B897,'Room Info'!$E$2:$E3446, 0)),if(G897='Room Info'!$F$1, INDEX('Room Info'!$A$2:$A3446, MATCH(B897,'Room Info'!$F$2:$F3446, 0)),if(G897='Room Info'!$H$1, INDEX('Room Info'!$A$2:$A3446, MATCH(B897,'Room Info'!$H$2:$H3446, 0)),if(G897='Room Info'!$G$1, INDEX('Room Info'!$A$2:$A3446, MATCH(B897,'Room Info'!$G$2:$G3446, 0)))))))))</f>
        <v>KuCoH</v>
      </c>
      <c r="B897" s="50" t="s">
        <v>199</v>
      </c>
      <c r="C897" s="51">
        <v>44870.0</v>
      </c>
      <c r="D897" s="51">
        <v>44885.0</v>
      </c>
      <c r="E897" s="52">
        <v>44866.0</v>
      </c>
      <c r="F897" s="53" t="s">
        <v>4</v>
      </c>
      <c r="G897" s="50" t="s">
        <v>5</v>
      </c>
      <c r="H897" s="54" t="s">
        <v>35</v>
      </c>
      <c r="I897" s="54" t="s">
        <v>7</v>
      </c>
      <c r="J897" s="55">
        <v>5.0</v>
      </c>
      <c r="K897" s="56">
        <v>1.0</v>
      </c>
      <c r="L897" s="57">
        <v>-5.0</v>
      </c>
      <c r="M897" s="58">
        <v>0.0</v>
      </c>
      <c r="N897" s="33">
        <f t="shared" si="13"/>
        <v>5</v>
      </c>
      <c r="O897" s="59">
        <v>56.0</v>
      </c>
      <c r="P897" s="34">
        <f t="shared" si="14"/>
        <v>56</v>
      </c>
      <c r="Q897" s="60"/>
      <c r="R897" s="36">
        <f t="shared" si="99"/>
        <v>0</v>
      </c>
      <c r="S897" s="61">
        <v>0.0</v>
      </c>
      <c r="T897" s="37">
        <f t="shared" si="100"/>
        <v>0</v>
      </c>
      <c r="U897" s="62">
        <v>1.0</v>
      </c>
      <c r="V897" s="63"/>
      <c r="W897" s="63"/>
      <c r="X897" s="83">
        <v>0.2</v>
      </c>
      <c r="Y897" s="35">
        <f t="shared" si="131"/>
        <v>0.1</v>
      </c>
      <c r="Z897" s="40">
        <f t="shared" si="127"/>
        <v>0</v>
      </c>
      <c r="AA897" s="34">
        <f t="shared" si="128"/>
        <v>0</v>
      </c>
      <c r="AB897" s="41">
        <f t="shared" si="130"/>
        <v>0</v>
      </c>
      <c r="AC897" s="42" t="b">
        <v>1</v>
      </c>
      <c r="AD897" s="42" t="s">
        <v>138</v>
      </c>
      <c r="AE897" s="42" t="s">
        <v>138</v>
      </c>
      <c r="AF897" s="42" t="str">
        <f t="array" ref="AF897">INDEX('Deal Info'!D:D, MATCH(A897,'Deal Info'!A:A, 0))</f>
        <v>DoEVku</v>
      </c>
      <c r="AG897" s="43" t="str">
        <f t="array" ref="AG897">INDEX('Deal Info'!G:G, MATCH(A897,'Deal Info'!A:A, 0))</f>
        <v>Fix10</v>
      </c>
    </row>
    <row r="898" hidden="1">
      <c r="A898" s="23" t="str">
        <f t="array" ref="A898">if(G898='Room Info'!$B$1, INDEX('Room Info'!$A$2:$A3446, MATCH(B898,'Room Info'!$B$2:$B3446, 0)),if(G898='Room Info'!$C$1, INDEX('Room Info'!$A$2:$A3446, MATCH(B898,'Room Info'!$C$2:$C3446, 0)),if(G898='Room Info'!$D$1, INDEX('Room Info'!$A$2:$A3446, MATCH(B898,'Room Info'!$D$2:$D3446, 0)),if(G898='Room Info'!$E$1, INDEX('Room Info'!$A$2:$A3446, MATCH(B898,'Room Info'!$E$2:$E3446, 0)),if(G898='Room Info'!$F$1, INDEX('Room Info'!$A$2:$A3446, MATCH(B898,'Room Info'!$F$2:$F3446, 0)),if(G898='Room Info'!$H$1, INDEX('Room Info'!$A$2:$A3446, MATCH(B898,'Room Info'!$H$2:$H3446, 0)),if(G898='Room Info'!$G$1, INDEX('Room Info'!$A$2:$A3446, MATCH(B898,'Room Info'!$G$2:$G3446, 0)))))))))</f>
        <v>KuCoH</v>
      </c>
      <c r="B898" s="50" t="s">
        <v>199</v>
      </c>
      <c r="C898" s="51">
        <v>44870.0</v>
      </c>
      <c r="D898" s="51">
        <v>44885.0</v>
      </c>
      <c r="E898" s="52">
        <v>44866.0</v>
      </c>
      <c r="F898" s="53" t="s">
        <v>4</v>
      </c>
      <c r="G898" s="50" t="s">
        <v>5</v>
      </c>
      <c r="H898" s="54" t="s">
        <v>38</v>
      </c>
      <c r="I898" s="54" t="s">
        <v>11</v>
      </c>
      <c r="J898" s="55">
        <v>5.0</v>
      </c>
      <c r="K898" s="56">
        <v>91.0</v>
      </c>
      <c r="L898" s="57">
        <v>-35.0</v>
      </c>
      <c r="M898" s="58">
        <v>26.0</v>
      </c>
      <c r="N898" s="33">
        <f t="shared" si="13"/>
        <v>455</v>
      </c>
      <c r="O898" s="59">
        <v>1536.0</v>
      </c>
      <c r="P898" s="34">
        <f t="shared" si="14"/>
        <v>16.87912088</v>
      </c>
      <c r="Q898" s="60"/>
      <c r="R898" s="36">
        <f t="shared" si="99"/>
        <v>26</v>
      </c>
      <c r="S898" s="61">
        <v>-18.0</v>
      </c>
      <c r="T898" s="37">
        <f t="shared" si="100"/>
        <v>8</v>
      </c>
      <c r="U898" s="62">
        <v>1.0</v>
      </c>
      <c r="V898" s="63"/>
      <c r="W898" s="63"/>
      <c r="X898" s="83">
        <v>0.2</v>
      </c>
      <c r="Y898" s="35">
        <f t="shared" si="131"/>
        <v>0.1</v>
      </c>
      <c r="Z898" s="40">
        <f t="shared" si="127"/>
        <v>5.6</v>
      </c>
      <c r="AA898" s="34">
        <f t="shared" si="128"/>
        <v>1.6</v>
      </c>
      <c r="AB898" s="41">
        <f t="shared" si="130"/>
        <v>0.8</v>
      </c>
      <c r="AC898" s="42" t="b">
        <v>1</v>
      </c>
      <c r="AD898" s="42" t="s">
        <v>138</v>
      </c>
      <c r="AE898" s="42" t="s">
        <v>138</v>
      </c>
      <c r="AF898" s="42" t="str">
        <f t="array" ref="AF898">INDEX('Deal Info'!D:D, MATCH(A898,'Deal Info'!A:A, 0))</f>
        <v>DoEVku</v>
      </c>
      <c r="AG898" s="43" t="str">
        <f t="array" ref="AG898">INDEX('Deal Info'!G:G, MATCH(A898,'Deal Info'!A:A, 0))</f>
        <v>Fix10</v>
      </c>
    </row>
    <row r="899" hidden="1">
      <c r="A899" s="23" t="str">
        <f t="array" ref="A899">if(G899='Room Info'!$B$1, INDEX('Room Info'!$A$2:$A3446, MATCH(B899,'Room Info'!$B$2:$B3446, 0)),if(G899='Room Info'!$C$1, INDEX('Room Info'!$A$2:$A3446, MATCH(B899,'Room Info'!$C$2:$C3446, 0)),if(G899='Room Info'!$D$1, INDEX('Room Info'!$A$2:$A3446, MATCH(B899,'Room Info'!$D$2:$D3446, 0)),if(G899='Room Info'!$E$1, INDEX('Room Info'!$A$2:$A3446, MATCH(B899,'Room Info'!$E$2:$E3446, 0)),if(G899='Room Info'!$F$1, INDEX('Room Info'!$A$2:$A3446, MATCH(B899,'Room Info'!$F$2:$F3446, 0)),if(G899='Room Info'!$H$1, INDEX('Room Info'!$A$2:$A3446, MATCH(B899,'Room Info'!$H$2:$H3446, 0)),if(G899='Room Info'!$G$1, INDEX('Room Info'!$A$2:$A3446, MATCH(B899,'Room Info'!$G$2:$G3446, 0)))))))))</f>
        <v>KuCoH</v>
      </c>
      <c r="B899" s="50" t="s">
        <v>199</v>
      </c>
      <c r="C899" s="51">
        <v>44870.0</v>
      </c>
      <c r="D899" s="51">
        <v>44885.0</v>
      </c>
      <c r="E899" s="52">
        <v>44866.0</v>
      </c>
      <c r="F899" s="53" t="s">
        <v>4</v>
      </c>
      <c r="G899" s="50" t="s">
        <v>5</v>
      </c>
      <c r="H899" s="54" t="s">
        <v>45</v>
      </c>
      <c r="I899" s="54" t="s">
        <v>7</v>
      </c>
      <c r="J899" s="55">
        <v>10.0</v>
      </c>
      <c r="K899" s="56">
        <v>120.0</v>
      </c>
      <c r="L899" s="57">
        <v>30.0</v>
      </c>
      <c r="M899" s="58">
        <v>61.0</v>
      </c>
      <c r="N899" s="33">
        <f t="shared" si="13"/>
        <v>1200</v>
      </c>
      <c r="O899" s="59">
        <v>41605.0</v>
      </c>
      <c r="P899" s="34">
        <f t="shared" si="14"/>
        <v>346.7083333</v>
      </c>
      <c r="Q899" s="60"/>
      <c r="R899" s="36">
        <f t="shared" si="99"/>
        <v>61</v>
      </c>
      <c r="S899" s="61">
        <v>673.0</v>
      </c>
      <c r="T899" s="37">
        <f t="shared" si="100"/>
        <v>734</v>
      </c>
      <c r="U899" s="62">
        <v>1.0</v>
      </c>
      <c r="V899" s="63"/>
      <c r="W899" s="63"/>
      <c r="X899" s="83">
        <v>0.2</v>
      </c>
      <c r="Y899" s="35">
        <f t="shared" si="131"/>
        <v>0.1</v>
      </c>
      <c r="Z899" s="40">
        <f t="shared" si="127"/>
        <v>513.8</v>
      </c>
      <c r="AA899" s="34">
        <f t="shared" si="128"/>
        <v>146.8</v>
      </c>
      <c r="AB899" s="41">
        <f t="shared" si="130"/>
        <v>73.4</v>
      </c>
      <c r="AC899" s="42" t="b">
        <v>1</v>
      </c>
      <c r="AD899" s="42" t="s">
        <v>138</v>
      </c>
      <c r="AE899" s="42" t="s">
        <v>138</v>
      </c>
      <c r="AF899" s="42" t="str">
        <f t="array" ref="AF899">INDEX('Deal Info'!D:D, MATCH(A899,'Deal Info'!A:A, 0))</f>
        <v>DoEVku</v>
      </c>
      <c r="AG899" s="43" t="str">
        <f t="array" ref="AG899">INDEX('Deal Info'!G:G, MATCH(A899,'Deal Info'!A:A, 0))</f>
        <v>Fix10</v>
      </c>
    </row>
    <row r="900" hidden="1">
      <c r="A900" s="23" t="str">
        <f t="array" ref="A900">if(G900='Room Info'!$B$1, INDEX('Room Info'!$A$2:$A3446, MATCH(B900,'Room Info'!$B$2:$B3446, 0)),if(G900='Room Info'!$C$1, INDEX('Room Info'!$A$2:$A3446, MATCH(B900,'Room Info'!$C$2:$C3446, 0)),if(G900='Room Info'!$D$1, INDEX('Room Info'!$A$2:$A3446, MATCH(B900,'Room Info'!$D$2:$D3446, 0)),if(G900='Room Info'!$E$1, INDEX('Room Info'!$A$2:$A3446, MATCH(B900,'Room Info'!$E$2:$E3446, 0)),if(G900='Room Info'!$F$1, INDEX('Room Info'!$A$2:$A3446, MATCH(B900,'Room Info'!$F$2:$F3446, 0)),if(G900='Room Info'!$H$1, INDEX('Room Info'!$A$2:$A3446, MATCH(B900,'Room Info'!$H$2:$H3446, 0)),if(G900='Room Info'!$G$1, INDEX('Room Info'!$A$2:$A3446, MATCH(B900,'Room Info'!$G$2:$G3446, 0)))))))))</f>
        <v>KuCoH</v>
      </c>
      <c r="B900" s="50" t="s">
        <v>199</v>
      </c>
      <c r="C900" s="51">
        <v>44870.0</v>
      </c>
      <c r="D900" s="51">
        <v>44885.0</v>
      </c>
      <c r="E900" s="52">
        <v>44866.0</v>
      </c>
      <c r="F900" s="53" t="s">
        <v>4</v>
      </c>
      <c r="G900" s="50" t="s">
        <v>5</v>
      </c>
      <c r="H900" s="54" t="s">
        <v>48</v>
      </c>
      <c r="I900" s="54" t="s">
        <v>11</v>
      </c>
      <c r="J900" s="55">
        <v>10.0</v>
      </c>
      <c r="K900" s="56">
        <v>15.0</v>
      </c>
      <c r="L900" s="57">
        <v>20.0</v>
      </c>
      <c r="M900" s="58">
        <v>8.0</v>
      </c>
      <c r="N900" s="33">
        <f t="shared" si="13"/>
        <v>150</v>
      </c>
      <c r="O900" s="59">
        <v>-658.0</v>
      </c>
      <c r="P900" s="34">
        <f t="shared" si="14"/>
        <v>-43.86666667</v>
      </c>
      <c r="Q900" s="60"/>
      <c r="R900" s="36">
        <f t="shared" si="99"/>
        <v>8</v>
      </c>
      <c r="S900" s="61">
        <v>-31.0</v>
      </c>
      <c r="T900" s="37">
        <f t="shared" si="100"/>
        <v>-23</v>
      </c>
      <c r="U900" s="62">
        <v>1.0</v>
      </c>
      <c r="V900" s="63"/>
      <c r="W900" s="63"/>
      <c r="X900" s="83">
        <v>0.2</v>
      </c>
      <c r="Y900" s="35">
        <f t="shared" si="131"/>
        <v>0.1</v>
      </c>
      <c r="Z900" s="40">
        <f t="shared" si="127"/>
        <v>-16.1</v>
      </c>
      <c r="AA900" s="34">
        <f t="shared" si="128"/>
        <v>-4.6</v>
      </c>
      <c r="AB900" s="41">
        <f t="shared" si="130"/>
        <v>-2.3</v>
      </c>
      <c r="AC900" s="42" t="b">
        <v>1</v>
      </c>
      <c r="AD900" s="42" t="s">
        <v>138</v>
      </c>
      <c r="AE900" s="42" t="s">
        <v>138</v>
      </c>
      <c r="AF900" s="42" t="str">
        <f t="array" ref="AF900">INDEX('Deal Info'!D:D, MATCH(A900,'Deal Info'!A:A, 0))</f>
        <v>DoEVku</v>
      </c>
      <c r="AG900" s="43" t="str">
        <f t="array" ref="AG900">INDEX('Deal Info'!G:G, MATCH(A900,'Deal Info'!A:A, 0))</f>
        <v>Fix10</v>
      </c>
    </row>
    <row r="901" hidden="1">
      <c r="A901" s="23" t="str">
        <f t="array" ref="A901">if(G901='Room Info'!$B$1, INDEX('Room Info'!$A$2:$A3446, MATCH(B901,'Room Info'!$B$2:$B3446, 0)),if(G901='Room Info'!$C$1, INDEX('Room Info'!$A$2:$A3446, MATCH(B901,'Room Info'!$C$2:$C3446, 0)),if(G901='Room Info'!$D$1, INDEX('Room Info'!$A$2:$A3446, MATCH(B901,'Room Info'!$D$2:$D3446, 0)),if(G901='Room Info'!$E$1, INDEX('Room Info'!$A$2:$A3446, MATCH(B901,'Room Info'!$E$2:$E3446, 0)),if(G901='Room Info'!$F$1, INDEX('Room Info'!$A$2:$A3446, MATCH(B901,'Room Info'!$F$2:$F3446, 0)),if(G901='Room Info'!$H$1, INDEX('Room Info'!$A$2:$A3446, MATCH(B901,'Room Info'!$H$2:$H3446, 0)),if(G901='Room Info'!$G$1, INDEX('Room Info'!$A$2:$A3446, MATCH(B901,'Room Info'!$G$2:$G3446, 0)))))))))</f>
        <v>KuCoH</v>
      </c>
      <c r="B901" s="59" t="s">
        <v>199</v>
      </c>
      <c r="C901" s="82">
        <v>44870.0</v>
      </c>
      <c r="D901" s="82">
        <v>44885.0</v>
      </c>
      <c r="E901" s="52">
        <v>44866.0</v>
      </c>
      <c r="F901" s="53" t="s">
        <v>4</v>
      </c>
      <c r="G901" s="50" t="s">
        <v>5</v>
      </c>
      <c r="H901" s="54" t="s">
        <v>62</v>
      </c>
      <c r="I901" s="54" t="s">
        <v>7</v>
      </c>
      <c r="J901" s="79">
        <v>25.0</v>
      </c>
      <c r="K901" s="80">
        <v>1231.0</v>
      </c>
      <c r="L901" s="77">
        <v>-25.0</v>
      </c>
      <c r="M901" s="81">
        <v>1332.0</v>
      </c>
      <c r="N901" s="33">
        <f t="shared" si="13"/>
        <v>30775</v>
      </c>
      <c r="O901" s="50">
        <v>22949.0</v>
      </c>
      <c r="P901" s="34">
        <f t="shared" si="14"/>
        <v>18.64256702</v>
      </c>
      <c r="Q901" s="60"/>
      <c r="R901" s="36">
        <f t="shared" si="99"/>
        <v>1332</v>
      </c>
      <c r="S901" s="78">
        <v>-953.0</v>
      </c>
      <c r="T901" s="37">
        <f t="shared" si="100"/>
        <v>379</v>
      </c>
      <c r="U901" s="62">
        <v>1.0</v>
      </c>
      <c r="V901" s="63"/>
      <c r="W901" s="63"/>
      <c r="X901" s="83">
        <v>0.2</v>
      </c>
      <c r="Y901" s="35">
        <f t="shared" si="131"/>
        <v>0.1</v>
      </c>
      <c r="Z901" s="40">
        <f t="shared" si="127"/>
        <v>265.3</v>
      </c>
      <c r="AA901" s="34">
        <f t="shared" si="128"/>
        <v>75.8</v>
      </c>
      <c r="AB901" s="41">
        <f t="shared" si="130"/>
        <v>37.9</v>
      </c>
      <c r="AC901" s="42" t="b">
        <v>1</v>
      </c>
      <c r="AD901" s="42" t="s">
        <v>138</v>
      </c>
      <c r="AE901" s="42" t="s">
        <v>138</v>
      </c>
      <c r="AF901" s="42" t="str">
        <f t="array" ref="AF901">INDEX('Deal Info'!D:D, MATCH(A901,'Deal Info'!A:A, 0))</f>
        <v>DoEVku</v>
      </c>
      <c r="AG901" s="43" t="str">
        <f t="array" ref="AG901">INDEX('Deal Info'!G:G, MATCH(A901,'Deal Info'!A:A, 0))</f>
        <v>Fix10</v>
      </c>
    </row>
    <row r="902" hidden="1">
      <c r="A902" s="23" t="str">
        <f t="array" ref="A902">if(G902='Room Info'!$B$1, INDEX('Room Info'!$A$2:$A3446, MATCH(B902,'Room Info'!$B$2:$B3446, 0)),if(G902='Room Info'!$C$1, INDEX('Room Info'!$A$2:$A3446, MATCH(B902,'Room Info'!$C$2:$C3446, 0)),if(G902='Room Info'!$D$1, INDEX('Room Info'!$A$2:$A3446, MATCH(B902,'Room Info'!$D$2:$D3446, 0)),if(G902='Room Info'!$E$1, INDEX('Room Info'!$A$2:$A3446, MATCH(B902,'Room Info'!$E$2:$E3446, 0)),if(G902='Room Info'!$F$1, INDEX('Room Info'!$A$2:$A3446, MATCH(B902,'Room Info'!$F$2:$F3446, 0)),if(G902='Room Info'!$H$1, INDEX('Room Info'!$A$2:$A3446, MATCH(B902,'Room Info'!$H$2:$H3446, 0)),if(G902='Room Info'!$G$1, INDEX('Room Info'!$A$2:$A3446, MATCH(B902,'Room Info'!$G$2:$G3446, 0)))))))))</f>
        <v>KuCoH</v>
      </c>
      <c r="B902" s="59" t="s">
        <v>199</v>
      </c>
      <c r="C902" s="82">
        <v>44870.0</v>
      </c>
      <c r="D902" s="82">
        <v>44885.0</v>
      </c>
      <c r="E902" s="52">
        <v>44866.0</v>
      </c>
      <c r="F902" s="53" t="s">
        <v>4</v>
      </c>
      <c r="G902" s="50" t="s">
        <v>5</v>
      </c>
      <c r="H902" s="54" t="s">
        <v>63</v>
      </c>
      <c r="I902" s="54" t="s">
        <v>11</v>
      </c>
      <c r="J902" s="79">
        <v>25.0</v>
      </c>
      <c r="K902" s="80">
        <v>3.0</v>
      </c>
      <c r="L902" s="77">
        <v>-25.0</v>
      </c>
      <c r="M902" s="81">
        <v>3.0</v>
      </c>
      <c r="N902" s="33">
        <f t="shared" si="13"/>
        <v>75</v>
      </c>
      <c r="O902" s="50">
        <v>394.0</v>
      </c>
      <c r="P902" s="34">
        <f t="shared" si="14"/>
        <v>131.3333333</v>
      </c>
      <c r="Q902" s="60"/>
      <c r="R902" s="36">
        <f t="shared" si="99"/>
        <v>3</v>
      </c>
      <c r="S902" s="78">
        <v>26.0</v>
      </c>
      <c r="T902" s="37">
        <f t="shared" si="100"/>
        <v>29</v>
      </c>
      <c r="U902" s="62">
        <v>1.0</v>
      </c>
      <c r="V902" s="63"/>
      <c r="W902" s="63"/>
      <c r="X902" s="83">
        <v>0.2</v>
      </c>
      <c r="Y902" s="35">
        <f t="shared" si="131"/>
        <v>0.1</v>
      </c>
      <c r="Z902" s="40">
        <f t="shared" si="127"/>
        <v>20.3</v>
      </c>
      <c r="AA902" s="34">
        <f t="shared" si="128"/>
        <v>5.8</v>
      </c>
      <c r="AB902" s="41">
        <f t="shared" si="130"/>
        <v>2.9</v>
      </c>
      <c r="AC902" s="42" t="b">
        <v>1</v>
      </c>
      <c r="AD902" s="42" t="s">
        <v>138</v>
      </c>
      <c r="AE902" s="42" t="s">
        <v>138</v>
      </c>
      <c r="AF902" s="42" t="str">
        <f t="array" ref="AF902">INDEX('Deal Info'!D:D, MATCH(A902,'Deal Info'!A:A, 0))</f>
        <v>DoEVku</v>
      </c>
      <c r="AG902" s="43" t="str">
        <f t="array" ref="AG902">INDEX('Deal Info'!G:G, MATCH(A902,'Deal Info'!A:A, 0))</f>
        <v>Fix10</v>
      </c>
    </row>
    <row r="903" hidden="1">
      <c r="A903" s="23" t="str">
        <f t="array" ref="A903">if(G903='Room Info'!$B$1, INDEX('Room Info'!$A$2:$A3446, MATCH(B903,'Room Info'!$B$2:$B3446, 0)),if(G903='Room Info'!$C$1, INDEX('Room Info'!$A$2:$A3446, MATCH(B903,'Room Info'!$C$2:$C3446, 0)),if(G903='Room Info'!$D$1, INDEX('Room Info'!$A$2:$A3446, MATCH(B903,'Room Info'!$D$2:$D3446, 0)),if(G903='Room Info'!$E$1, INDEX('Room Info'!$A$2:$A3446, MATCH(B903,'Room Info'!$E$2:$E3446, 0)),if(G903='Room Info'!$F$1, INDEX('Room Info'!$A$2:$A3446, MATCH(B903,'Room Info'!$F$2:$F3446, 0)),if(G903='Room Info'!$H$1, INDEX('Room Info'!$A$2:$A3446, MATCH(B903,'Room Info'!$H$2:$H3446, 0)),if(G903='Room Info'!$G$1, INDEX('Room Info'!$A$2:$A3446, MATCH(B903,'Room Info'!$G$2:$G3446, 0)))))))))</f>
        <v>KuCoH</v>
      </c>
      <c r="B903" s="50" t="s">
        <v>199</v>
      </c>
      <c r="C903" s="51">
        <v>44886.0</v>
      </c>
      <c r="D903" s="51">
        <v>44915.0</v>
      </c>
      <c r="E903" s="52">
        <v>44896.0</v>
      </c>
      <c r="F903" s="53" t="s">
        <v>4</v>
      </c>
      <c r="G903" s="50" t="s">
        <v>5</v>
      </c>
      <c r="H903" s="54" t="s">
        <v>48</v>
      </c>
      <c r="I903" s="54" t="s">
        <v>11</v>
      </c>
      <c r="J903" s="55">
        <v>10.0</v>
      </c>
      <c r="K903" s="56">
        <v>69.0</v>
      </c>
      <c r="L903" s="57">
        <v>-190.0</v>
      </c>
      <c r="M903" s="58">
        <v>28.0</v>
      </c>
      <c r="N903" s="33">
        <f t="shared" si="13"/>
        <v>690</v>
      </c>
      <c r="O903" s="59">
        <v>1886.0</v>
      </c>
      <c r="P903" s="34">
        <f t="shared" si="14"/>
        <v>27.33333333</v>
      </c>
      <c r="Q903" s="60"/>
      <c r="R903" s="36">
        <f t="shared" si="99"/>
        <v>28</v>
      </c>
      <c r="S903" s="61">
        <v>7.0</v>
      </c>
      <c r="T903" s="37">
        <f t="shared" si="100"/>
        <v>35</v>
      </c>
      <c r="U903" s="62">
        <v>1.0</v>
      </c>
      <c r="V903" s="63"/>
      <c r="W903" s="63"/>
      <c r="X903" s="83">
        <v>0.17</v>
      </c>
      <c r="Y903" s="35">
        <f t="shared" si="131"/>
        <v>0.1</v>
      </c>
      <c r="Z903" s="40">
        <f t="shared" si="127"/>
        <v>25.55</v>
      </c>
      <c r="AA903" s="34">
        <f t="shared" si="128"/>
        <v>5.95</v>
      </c>
      <c r="AB903" s="41">
        <f t="shared" si="130"/>
        <v>3.5</v>
      </c>
      <c r="AC903" s="42" t="b">
        <v>1</v>
      </c>
      <c r="AD903" s="42" t="s">
        <v>138</v>
      </c>
      <c r="AE903" s="42" t="s">
        <v>138</v>
      </c>
      <c r="AF903" s="42" t="str">
        <f t="array" ref="AF903">INDEX('Deal Info'!D:D, MATCH(A903,'Deal Info'!A:A, 0))</f>
        <v>DoEVku</v>
      </c>
      <c r="AG903" s="43" t="str">
        <f t="array" ref="AG903">INDEX('Deal Info'!G:G, MATCH(A903,'Deal Info'!A:A, 0))</f>
        <v>Fix10</v>
      </c>
    </row>
    <row r="904" hidden="1">
      <c r="A904" s="23" t="str">
        <f t="array" ref="A904">if(G904='Room Info'!$B$1, INDEX('Room Info'!$A$2:$A3446, MATCH(B904,'Room Info'!$B$2:$B3446, 0)),if(G904='Room Info'!$C$1, INDEX('Room Info'!$A$2:$A3446, MATCH(B904,'Room Info'!$C$2:$C3446, 0)),if(G904='Room Info'!$D$1, INDEX('Room Info'!$A$2:$A3446, MATCH(B904,'Room Info'!$D$2:$D3446, 0)),if(G904='Room Info'!$E$1, INDEX('Room Info'!$A$2:$A3446, MATCH(B904,'Room Info'!$E$2:$E3446, 0)),if(G904='Room Info'!$F$1, INDEX('Room Info'!$A$2:$A3446, MATCH(B904,'Room Info'!$F$2:$F3446, 0)),if(G904='Room Info'!$H$1, INDEX('Room Info'!$A$2:$A3446, MATCH(B904,'Room Info'!$H$2:$H3446, 0)),if(G904='Room Info'!$G$1, INDEX('Room Info'!$A$2:$A3446, MATCH(B904,'Room Info'!$G$2:$G3446, 0)))))))))</f>
        <v>KuCoH</v>
      </c>
      <c r="B904" s="50" t="s">
        <v>199</v>
      </c>
      <c r="C904" s="51">
        <v>44886.0</v>
      </c>
      <c r="D904" s="51">
        <v>44915.0</v>
      </c>
      <c r="E904" s="52">
        <v>44896.0</v>
      </c>
      <c r="F904" s="53" t="s">
        <v>4</v>
      </c>
      <c r="G904" s="50" t="s">
        <v>5</v>
      </c>
      <c r="H904" s="54" t="s">
        <v>62</v>
      </c>
      <c r="I904" s="54" t="s">
        <v>7</v>
      </c>
      <c r="J904" s="55">
        <v>25.0</v>
      </c>
      <c r="K904" s="56">
        <v>2335.0</v>
      </c>
      <c r="L904" s="57">
        <v>600.0</v>
      </c>
      <c r="M904" s="58">
        <v>2066.0</v>
      </c>
      <c r="N904" s="33">
        <f t="shared" si="13"/>
        <v>58375</v>
      </c>
      <c r="O904" s="59">
        <v>84460.0</v>
      </c>
      <c r="P904" s="34">
        <f t="shared" si="14"/>
        <v>36.17130621</v>
      </c>
      <c r="Q904" s="60"/>
      <c r="R904" s="36">
        <f t="shared" si="99"/>
        <v>2066</v>
      </c>
      <c r="S904" s="61">
        <v>190.0</v>
      </c>
      <c r="T904" s="37">
        <f t="shared" si="100"/>
        <v>2256</v>
      </c>
      <c r="U904" s="62">
        <v>1.0</v>
      </c>
      <c r="V904" s="63"/>
      <c r="W904" s="63"/>
      <c r="X904" s="83">
        <v>0.17</v>
      </c>
      <c r="Y904" s="35">
        <f t="shared" si="131"/>
        <v>0.1</v>
      </c>
      <c r="Z904" s="40">
        <f t="shared" si="127"/>
        <v>1646.88</v>
      </c>
      <c r="AA904" s="34">
        <f t="shared" si="128"/>
        <v>383.52</v>
      </c>
      <c r="AB904" s="41">
        <f t="shared" si="130"/>
        <v>225.6</v>
      </c>
      <c r="AC904" s="42" t="b">
        <v>1</v>
      </c>
      <c r="AD904" s="42" t="s">
        <v>138</v>
      </c>
      <c r="AE904" s="42" t="s">
        <v>138</v>
      </c>
      <c r="AF904" s="42" t="str">
        <f t="array" ref="AF904">INDEX('Deal Info'!D:D, MATCH(A904,'Deal Info'!A:A, 0))</f>
        <v>DoEVku</v>
      </c>
      <c r="AG904" s="43" t="str">
        <f t="array" ref="AG904">INDEX('Deal Info'!G:G, MATCH(A904,'Deal Info'!A:A, 0))</f>
        <v>Fix10</v>
      </c>
    </row>
    <row r="905" hidden="1">
      <c r="A905" s="23" t="str">
        <f t="array" ref="A905">if(G905='Room Info'!$B$1, INDEX('Room Info'!$A$2:$A3446, MATCH(B905,'Room Info'!$B$2:$B3446, 0)),if(G905='Room Info'!$C$1, INDEX('Room Info'!$A$2:$A3446, MATCH(B905,'Room Info'!$C$2:$C3446, 0)),if(G905='Room Info'!$D$1, INDEX('Room Info'!$A$2:$A3446, MATCH(B905,'Room Info'!$D$2:$D3446, 0)),if(G905='Room Info'!$E$1, INDEX('Room Info'!$A$2:$A3446, MATCH(B905,'Room Info'!$E$2:$E3446, 0)),if(G905='Room Info'!$F$1, INDEX('Room Info'!$A$2:$A3446, MATCH(B905,'Room Info'!$F$2:$F3446, 0)),if(G905='Room Info'!$H$1, INDEX('Room Info'!$A$2:$A3446, MATCH(B905,'Room Info'!$H$2:$H3446, 0)),if(G905='Room Info'!$G$1, INDEX('Room Info'!$A$2:$A3446, MATCH(B905,'Room Info'!$G$2:$G3446, 0)))))))))</f>
        <v>KuCoH</v>
      </c>
      <c r="B905" s="50" t="s">
        <v>199</v>
      </c>
      <c r="C905" s="51">
        <v>44886.0</v>
      </c>
      <c r="D905" s="51">
        <v>44915.0</v>
      </c>
      <c r="E905" s="52">
        <v>44896.0</v>
      </c>
      <c r="F905" s="53" t="s">
        <v>4</v>
      </c>
      <c r="G905" s="50" t="s">
        <v>5</v>
      </c>
      <c r="H905" s="54" t="s">
        <v>63</v>
      </c>
      <c r="I905" s="54" t="s">
        <v>11</v>
      </c>
      <c r="J905" s="55">
        <v>25.0</v>
      </c>
      <c r="K905" s="56">
        <v>220.0</v>
      </c>
      <c r="L905" s="57">
        <v>-175.0</v>
      </c>
      <c r="M905" s="58">
        <v>195.0</v>
      </c>
      <c r="N905" s="33">
        <f t="shared" si="13"/>
        <v>5500</v>
      </c>
      <c r="O905" s="59">
        <v>1189.0</v>
      </c>
      <c r="P905" s="34">
        <f t="shared" si="14"/>
        <v>5.404545455</v>
      </c>
      <c r="Q905" s="60"/>
      <c r="R905" s="36">
        <f t="shared" si="99"/>
        <v>195</v>
      </c>
      <c r="S905" s="61">
        <v>-259.0</v>
      </c>
      <c r="T905" s="37">
        <f t="shared" si="100"/>
        <v>-64</v>
      </c>
      <c r="U905" s="62">
        <v>1.0</v>
      </c>
      <c r="V905" s="63"/>
      <c r="W905" s="63"/>
      <c r="X905" s="83">
        <v>0.17</v>
      </c>
      <c r="Y905" s="35">
        <f t="shared" si="131"/>
        <v>0.1</v>
      </c>
      <c r="Z905" s="40">
        <f t="shared" si="127"/>
        <v>-46.72</v>
      </c>
      <c r="AA905" s="34">
        <f t="shared" si="128"/>
        <v>-10.88</v>
      </c>
      <c r="AB905" s="41">
        <f t="shared" si="130"/>
        <v>-6.4</v>
      </c>
      <c r="AC905" s="42" t="b">
        <v>1</v>
      </c>
      <c r="AD905" s="42" t="s">
        <v>138</v>
      </c>
      <c r="AE905" s="42" t="s">
        <v>138</v>
      </c>
      <c r="AF905" s="42" t="str">
        <f t="array" ref="AF905">INDEX('Deal Info'!D:D, MATCH(A905,'Deal Info'!A:A, 0))</f>
        <v>DoEVku</v>
      </c>
      <c r="AG905" s="43" t="str">
        <f t="array" ref="AG905">INDEX('Deal Info'!G:G, MATCH(A905,'Deal Info'!A:A, 0))</f>
        <v>Fix10</v>
      </c>
    </row>
    <row r="906" hidden="1">
      <c r="A906" s="23" t="str">
        <f t="array" ref="A906">if(G906='Room Info'!$B$1, INDEX('Room Info'!$A$2:$A3446, MATCH(B906,'Room Info'!$B$2:$B3446, 0)),if(G906='Room Info'!$C$1, INDEX('Room Info'!$A$2:$A3446, MATCH(B906,'Room Info'!$C$2:$C3446, 0)),if(G906='Room Info'!$D$1, INDEX('Room Info'!$A$2:$A3446, MATCH(B906,'Room Info'!$D$2:$D3446, 0)),if(G906='Room Info'!$E$1, INDEX('Room Info'!$A$2:$A3446, MATCH(B906,'Room Info'!$E$2:$E3446, 0)),if(G906='Room Info'!$F$1, INDEX('Room Info'!$A$2:$A3446, MATCH(B906,'Room Info'!$F$2:$F3446, 0)),if(G906='Room Info'!$H$1, INDEX('Room Info'!$A$2:$A3446, MATCH(B906,'Room Info'!$H$2:$H3446, 0)),if(G906='Room Info'!$G$1, INDEX('Room Info'!$A$2:$A3446, MATCH(B906,'Room Info'!$G$2:$G3446, 0)))))))))</f>
        <v>KuCoH</v>
      </c>
      <c r="B906" s="50" t="s">
        <v>199</v>
      </c>
      <c r="C906" s="82">
        <v>44916.0</v>
      </c>
      <c r="D906" s="82">
        <v>44946.0</v>
      </c>
      <c r="E906" s="52">
        <v>44927.0</v>
      </c>
      <c r="F906" s="53" t="s">
        <v>4</v>
      </c>
      <c r="G906" s="50" t="s">
        <v>5</v>
      </c>
      <c r="H906" s="54" t="s">
        <v>62</v>
      </c>
      <c r="I906" s="54" t="s">
        <v>7</v>
      </c>
      <c r="J906" s="79">
        <v>25.0</v>
      </c>
      <c r="K906" s="80">
        <v>998.0</v>
      </c>
      <c r="L906" s="77">
        <v>225.0</v>
      </c>
      <c r="M906" s="81">
        <v>525.0</v>
      </c>
      <c r="N906" s="33">
        <f t="shared" si="13"/>
        <v>24950</v>
      </c>
      <c r="O906" s="50">
        <v>26001.0</v>
      </c>
      <c r="P906" s="34">
        <f t="shared" si="14"/>
        <v>26.05310621</v>
      </c>
      <c r="Q906" s="60"/>
      <c r="R906" s="36">
        <f t="shared" si="99"/>
        <v>525</v>
      </c>
      <c r="S906" s="78">
        <v>-311.0</v>
      </c>
      <c r="T906" s="37">
        <f t="shared" si="100"/>
        <v>214</v>
      </c>
      <c r="U906" s="62">
        <v>1.0</v>
      </c>
      <c r="V906" s="63"/>
      <c r="W906" s="63"/>
      <c r="X906" s="83">
        <v>0.23</v>
      </c>
      <c r="Y906" s="35">
        <f t="shared" si="131"/>
        <v>0.1</v>
      </c>
      <c r="Z906" s="40">
        <f t="shared" si="127"/>
        <v>143.38</v>
      </c>
      <c r="AA906" s="34">
        <f t="shared" si="128"/>
        <v>49.22</v>
      </c>
      <c r="AB906" s="41">
        <f t="shared" si="130"/>
        <v>21.4</v>
      </c>
      <c r="AC906" s="42" t="b">
        <v>1</v>
      </c>
      <c r="AD906" s="42" t="s">
        <v>138</v>
      </c>
      <c r="AE906" s="42" t="s">
        <v>138</v>
      </c>
      <c r="AF906" s="42" t="str">
        <f t="array" ref="AF906">INDEX('Deal Info'!D:D, MATCH(A906,'Deal Info'!A:A, 0))</f>
        <v>DoEVku</v>
      </c>
      <c r="AG906" s="43" t="str">
        <f t="array" ref="AG906">INDEX('Deal Info'!G:G, MATCH(A906,'Deal Info'!A:A, 0))</f>
        <v>Fix10</v>
      </c>
    </row>
    <row r="907" hidden="1">
      <c r="A907" s="23" t="str">
        <f t="array" ref="A907">if(G907='Room Info'!$B$1, INDEX('Room Info'!$A$2:$A3446, MATCH(B907,'Room Info'!$B$2:$B3446, 0)),if(G907='Room Info'!$C$1, INDEX('Room Info'!$A$2:$A3446, MATCH(B907,'Room Info'!$C$2:$C3446, 0)),if(G907='Room Info'!$D$1, INDEX('Room Info'!$A$2:$A3446, MATCH(B907,'Room Info'!$D$2:$D3446, 0)),if(G907='Room Info'!$E$1, INDEX('Room Info'!$A$2:$A3446, MATCH(B907,'Room Info'!$E$2:$E3446, 0)),if(G907='Room Info'!$F$1, INDEX('Room Info'!$A$2:$A3446, MATCH(B907,'Room Info'!$F$2:$F3446, 0)),if(G907='Room Info'!$H$1, INDEX('Room Info'!$A$2:$A3446, MATCH(B907,'Room Info'!$H$2:$H3446, 0)),if(G907='Room Info'!$G$1, INDEX('Room Info'!$A$2:$A3446, MATCH(B907,'Room Info'!$G$2:$G3446, 0)))))))))</f>
        <v>Lo4io</v>
      </c>
      <c r="B907" s="50" t="s">
        <v>156</v>
      </c>
      <c r="C907" s="82">
        <v>44733.0</v>
      </c>
      <c r="D907" s="82">
        <v>44762.0</v>
      </c>
      <c r="E907" s="52">
        <v>44743.0</v>
      </c>
      <c r="F907" s="53" t="s">
        <v>4</v>
      </c>
      <c r="G907" s="59" t="s">
        <v>5</v>
      </c>
      <c r="H907" s="54" t="s">
        <v>74</v>
      </c>
      <c r="I907" s="54" t="s">
        <v>7</v>
      </c>
      <c r="J907" s="79">
        <v>50.0</v>
      </c>
      <c r="K907" s="80">
        <v>125.0</v>
      </c>
      <c r="L907" s="77">
        <v>-150.0</v>
      </c>
      <c r="M907" s="58">
        <v>75.0</v>
      </c>
      <c r="N907" s="33">
        <f t="shared" si="13"/>
        <v>6250</v>
      </c>
      <c r="O907" s="50">
        <v>13797.0</v>
      </c>
      <c r="P907" s="34">
        <f t="shared" si="14"/>
        <v>110.376</v>
      </c>
      <c r="Q907" s="60"/>
      <c r="R907" s="36">
        <f t="shared" si="99"/>
        <v>75</v>
      </c>
      <c r="S907" s="78">
        <v>867.0</v>
      </c>
      <c r="T907" s="37">
        <f t="shared" si="100"/>
        <v>942</v>
      </c>
      <c r="U907" s="62">
        <v>1.0</v>
      </c>
      <c r="V907" s="63"/>
      <c r="W907" s="63"/>
      <c r="X907" s="83">
        <v>0.2</v>
      </c>
      <c r="Y907" s="35">
        <f t="shared" si="131"/>
        <v>0</v>
      </c>
      <c r="Z907" s="40">
        <f t="shared" si="127"/>
        <v>753.6</v>
      </c>
      <c r="AA907" s="34">
        <f t="shared" si="128"/>
        <v>188.4</v>
      </c>
      <c r="AB907" s="41">
        <f t="shared" si="130"/>
        <v>0</v>
      </c>
      <c r="AC907" s="42" t="b">
        <v>1</v>
      </c>
      <c r="AD907" s="42" t="s">
        <v>138</v>
      </c>
      <c r="AE907" s="42" t="s">
        <v>138</v>
      </c>
      <c r="AF907" s="42" t="str">
        <f t="array" ref="AF907">INDEX('Deal Info'!D:D, MATCH(A907,'Deal Info'!A:A, 0))</f>
        <v>DoEVLo</v>
      </c>
      <c r="AG907" s="43" t="str">
        <f t="array" ref="AG907">INDEX('Deal Info'!G:G, MATCH(A907,'Deal Info'!A:A, 0))</f>
        <v>None</v>
      </c>
    </row>
    <row r="908" hidden="1">
      <c r="A908" s="23" t="str">
        <f t="array" ref="A908">if(G908='Room Info'!$B$1, INDEX('Room Info'!$A$2:$A3446, MATCH(B908,'Room Info'!$B$2:$B3446, 0)),if(G908='Room Info'!$C$1, INDEX('Room Info'!$A$2:$A3446, MATCH(B908,'Room Info'!$C$2:$C3446, 0)),if(G908='Room Info'!$D$1, INDEX('Room Info'!$A$2:$A3446, MATCH(B908,'Room Info'!$D$2:$D3446, 0)),if(G908='Room Info'!$E$1, INDEX('Room Info'!$A$2:$A3446, MATCH(B908,'Room Info'!$E$2:$E3446, 0)),if(G908='Room Info'!$F$1, INDEX('Room Info'!$A$2:$A3446, MATCH(B908,'Room Info'!$F$2:$F3446, 0)),if(G908='Room Info'!$H$1, INDEX('Room Info'!$A$2:$A3446, MATCH(B908,'Room Info'!$H$2:$H3446, 0)),if(G908='Room Info'!$G$1, INDEX('Room Info'!$A$2:$A3446, MATCH(B908,'Room Info'!$G$2:$G3446, 0)))))))))</f>
        <v>Lo4io</v>
      </c>
      <c r="B908" s="50" t="s">
        <v>153</v>
      </c>
      <c r="C908" s="51">
        <v>44733.0</v>
      </c>
      <c r="D908" s="51">
        <v>44762.0</v>
      </c>
      <c r="E908" s="52">
        <v>44743.0</v>
      </c>
      <c r="F908" s="53" t="s">
        <v>4</v>
      </c>
      <c r="G908" s="50" t="s">
        <v>13</v>
      </c>
      <c r="H908" s="54" t="s">
        <v>59</v>
      </c>
      <c r="I908" s="54" t="s">
        <v>18</v>
      </c>
      <c r="J908" s="55">
        <v>20.0</v>
      </c>
      <c r="K908" s="56">
        <v>9.0</v>
      </c>
      <c r="L908" s="57">
        <v>40.0</v>
      </c>
      <c r="M908" s="67"/>
      <c r="N908" s="33">
        <f t="shared" si="13"/>
        <v>180</v>
      </c>
      <c r="O908" s="59">
        <v>-312.0</v>
      </c>
      <c r="P908" s="34">
        <f t="shared" si="14"/>
        <v>-34.66666667</v>
      </c>
      <c r="Q908" s="60"/>
      <c r="R908" s="36">
        <f t="shared" si="99"/>
        <v>0</v>
      </c>
      <c r="S908" s="61">
        <v>-31.0</v>
      </c>
      <c r="T908" s="37">
        <f t="shared" si="100"/>
        <v>-31</v>
      </c>
      <c r="U908" s="62">
        <v>1.0</v>
      </c>
      <c r="V908" s="63"/>
      <c r="W908" s="63"/>
      <c r="X908" s="83">
        <v>0.2</v>
      </c>
      <c r="Y908" s="35">
        <f t="shared" si="131"/>
        <v>0</v>
      </c>
      <c r="Z908" s="40">
        <f t="shared" si="127"/>
        <v>-24.8</v>
      </c>
      <c r="AA908" s="34">
        <f t="shared" si="128"/>
        <v>-6.2</v>
      </c>
      <c r="AB908" s="41">
        <f t="shared" si="130"/>
        <v>0</v>
      </c>
      <c r="AC908" s="42" t="b">
        <v>1</v>
      </c>
      <c r="AD908" s="42" t="s">
        <v>138</v>
      </c>
      <c r="AE908" s="42" t="s">
        <v>138</v>
      </c>
      <c r="AF908" s="42" t="str">
        <f t="array" ref="AF908">INDEX('Deal Info'!D:D, MATCH(A908,'Deal Info'!A:A, 0))</f>
        <v>DoEVLo</v>
      </c>
      <c r="AG908" s="43" t="str">
        <f t="array" ref="AG908">INDEX('Deal Info'!G:G, MATCH(A908,'Deal Info'!A:A, 0))</f>
        <v>None</v>
      </c>
    </row>
    <row r="909" hidden="1">
      <c r="A909" s="23" t="str">
        <f t="array" ref="A909">if(G909='Room Info'!$B$1, INDEX('Room Info'!$A$2:$A3446, MATCH(B909,'Room Info'!$B$2:$B3446, 0)),if(G909='Room Info'!$C$1, INDEX('Room Info'!$A$2:$A3446, MATCH(B909,'Room Info'!$C$2:$C3446, 0)),if(G909='Room Info'!$D$1, INDEX('Room Info'!$A$2:$A3446, MATCH(B909,'Room Info'!$D$2:$D3446, 0)),if(G909='Room Info'!$E$1, INDEX('Room Info'!$A$2:$A3446, MATCH(B909,'Room Info'!$E$2:$E3446, 0)),if(G909='Room Info'!$F$1, INDEX('Room Info'!$A$2:$A3446, MATCH(B909,'Room Info'!$F$2:$F3446, 0)),if(G909='Room Info'!$H$1, INDEX('Room Info'!$A$2:$A3446, MATCH(B909,'Room Info'!$H$2:$H3446, 0)),if(G909='Room Info'!$G$1, INDEX('Room Info'!$A$2:$A3446, MATCH(B909,'Room Info'!$G$2:$G3446, 0)))))))))</f>
        <v>Lo4io</v>
      </c>
      <c r="B909" s="50" t="s">
        <v>153</v>
      </c>
      <c r="C909" s="51">
        <v>44733.0</v>
      </c>
      <c r="D909" s="51">
        <v>44762.0</v>
      </c>
      <c r="E909" s="52">
        <v>44743.0</v>
      </c>
      <c r="F909" s="53" t="s">
        <v>4</v>
      </c>
      <c r="G909" s="50" t="s">
        <v>13</v>
      </c>
      <c r="H909" s="54" t="s">
        <v>74</v>
      </c>
      <c r="I909" s="54" t="s">
        <v>18</v>
      </c>
      <c r="J909" s="55">
        <v>50.0</v>
      </c>
      <c r="K909" s="56">
        <v>689.0</v>
      </c>
      <c r="L909" s="57">
        <v>-3400.0</v>
      </c>
      <c r="M909" s="58">
        <v>1502.0</v>
      </c>
      <c r="N909" s="33">
        <f t="shared" si="13"/>
        <v>34450</v>
      </c>
      <c r="O909" s="59">
        <v>16792.0</v>
      </c>
      <c r="P909" s="34">
        <f t="shared" si="14"/>
        <v>24.37155298</v>
      </c>
      <c r="Q909" s="60"/>
      <c r="R909" s="36">
        <f t="shared" si="99"/>
        <v>1502</v>
      </c>
      <c r="S909" s="61">
        <v>-180.0</v>
      </c>
      <c r="T909" s="37">
        <f t="shared" si="100"/>
        <v>1322</v>
      </c>
      <c r="U909" s="62">
        <v>1.0</v>
      </c>
      <c r="V909" s="63"/>
      <c r="W909" s="63"/>
      <c r="X909" s="83">
        <v>0.2</v>
      </c>
      <c r="Y909" s="35">
        <f t="shared" si="131"/>
        <v>0</v>
      </c>
      <c r="Z909" s="40">
        <f t="shared" si="127"/>
        <v>1057.6</v>
      </c>
      <c r="AA909" s="34">
        <f t="shared" si="128"/>
        <v>264.4</v>
      </c>
      <c r="AB909" s="41">
        <f t="shared" si="130"/>
        <v>0</v>
      </c>
      <c r="AC909" s="42" t="b">
        <v>1</v>
      </c>
      <c r="AD909" s="42" t="s">
        <v>138</v>
      </c>
      <c r="AE909" s="42" t="s">
        <v>138</v>
      </c>
      <c r="AF909" s="42" t="str">
        <f t="array" ref="AF909">INDEX('Deal Info'!D:D, MATCH(A909,'Deal Info'!A:A, 0))</f>
        <v>DoEVLo</v>
      </c>
      <c r="AG909" s="43" t="str">
        <f t="array" ref="AG909">INDEX('Deal Info'!G:G, MATCH(A909,'Deal Info'!A:A, 0))</f>
        <v>None</v>
      </c>
    </row>
    <row r="910" hidden="1">
      <c r="A910" s="23" t="str">
        <f t="array" ref="A910">if(G910='Room Info'!$B$1, INDEX('Room Info'!$A$2:$A3446, MATCH(B910,'Room Info'!$B$2:$B3446, 0)),if(G910='Room Info'!$C$1, INDEX('Room Info'!$A$2:$A3446, MATCH(B910,'Room Info'!$C$2:$C3446, 0)),if(G910='Room Info'!$D$1, INDEX('Room Info'!$A$2:$A3446, MATCH(B910,'Room Info'!$D$2:$D3446, 0)),if(G910='Room Info'!$E$1, INDEX('Room Info'!$A$2:$A3446, MATCH(B910,'Room Info'!$E$2:$E3446, 0)),if(G910='Room Info'!$F$1, INDEX('Room Info'!$A$2:$A3446, MATCH(B910,'Room Info'!$F$2:$F3446, 0)),if(G910='Room Info'!$H$1, INDEX('Room Info'!$A$2:$A3446, MATCH(B910,'Room Info'!$H$2:$H3446, 0)),if(G910='Room Info'!$G$1, INDEX('Room Info'!$A$2:$A3446, MATCH(B910,'Room Info'!$G$2:$G3446, 0)))))))))</f>
        <v>Lo4io</v>
      </c>
      <c r="B910" s="50" t="s">
        <v>158</v>
      </c>
      <c r="C910" s="82">
        <v>44672.0</v>
      </c>
      <c r="D910" s="82">
        <v>44701.0</v>
      </c>
      <c r="E910" s="52">
        <v>44682.0</v>
      </c>
      <c r="F910" s="53" t="s">
        <v>4</v>
      </c>
      <c r="G910" s="50" t="s">
        <v>9</v>
      </c>
      <c r="H910" s="54" t="s">
        <v>65</v>
      </c>
      <c r="I910" s="54" t="s">
        <v>7</v>
      </c>
      <c r="J910" s="79">
        <v>25.0</v>
      </c>
      <c r="K910" s="80">
        <v>18.0</v>
      </c>
      <c r="L910" s="77">
        <v>264.0</v>
      </c>
      <c r="M910" s="81">
        <v>45.0</v>
      </c>
      <c r="N910" s="33">
        <f t="shared" si="13"/>
        <v>450</v>
      </c>
      <c r="O910" s="50">
        <v>1893.0</v>
      </c>
      <c r="P910" s="34">
        <f t="shared" si="14"/>
        <v>105.1666667</v>
      </c>
      <c r="Q910" s="60"/>
      <c r="R910" s="36">
        <f t="shared" si="99"/>
        <v>45</v>
      </c>
      <c r="S910" s="78">
        <v>44.0</v>
      </c>
      <c r="T910" s="37">
        <f t="shared" si="100"/>
        <v>89</v>
      </c>
      <c r="U910" s="62">
        <v>1.055</v>
      </c>
      <c r="V910" s="74">
        <v>27.072653884964684</v>
      </c>
      <c r="W910" s="74">
        <v>68.03913675500391</v>
      </c>
      <c r="X910" s="35">
        <f t="shared" ref="X910:X911" si="132">IF(AF910="DoEV",IF(AND(V910&lt;20,W910&lt;55),0.3,0)+IF(AND(V910&lt;20,W910&gt;=55,W910&lt;105),0.23,0)+IF(AND(V910&lt;20,W910&gt;=105),0.17,0)+IF(AND(V910&gt;=20,V910&lt;40,W910&lt;45),0.3,0)+IF(AND(V910&gt;=20,V910&lt;40,W910&gt;=45,W910&lt;95),0.23,0)+IF(AND(V910&gt;=20,V910&lt;40,W910&gt;=95),0.17,0)+IF(AND(V910&gt;=40,V910&lt;75,W910&lt;35),0.3,0)+IF(AND(V910&gt;=40,V910&lt;75,W910&gt;=35,W910&lt;75),0.23,0)+IF(AND(V910&gt;=40,V910&lt;75,W910&gt;=75,W910&lt;120),0.17,0)+IF(AND(V910&gt;=40,V910&lt;75,W910&gt;=120),0.12,0)+IF(AND(V910&gt;=75,V910&lt;175,W910&lt;35),0.3,0)+IF(AND(V910&gt;=75,V910&lt;=175,W910&gt;=35,W910&lt;65),0.23,0)+IF(AND(V910&gt;=75,V910&lt;=175,W910&gt;=65,W910&lt;110),0.17,0)+IF(AND(V910&gt;=75,V910&lt;=175,W910&gt;=110),0.12,0)+IF(AND(V910&gt;175,W910&lt;25),0.3,0)+IF(AND(V910&gt;175,W910&gt;=25,W910&lt;55),0.23,0)+IF(AND(V910&gt;175,W910&gt;=55,W910&lt;95),0.17,0)+IF(AND(V910&gt;175,W910&gt;=95),0.12,0),
IF(AF910="Fix15",0.15,
IF(AF910="Fix11.25",0.1125,
IF(AF910="Fix10",0.1,
IF(AF910="Fix9",0.09,
IF(AF910="DoEV2017",IF(AND(W910&lt;74),0.2,0)+IF(AND(W910&gt;=74),0.17,0),
IF(AF910="SF",IF(AND(V910&lt;20,W910&lt;89),0.3,0)+IF(AND(V910&lt;20,W910&gt;=89),0.25,0)+IF(AND(V910&gt;=20,V910&lt;40,W910&lt;74),0.3,0)+IF(AND(V910&gt;=20,V910&lt;40,W910&gt;=75),0.22,0)+IF(AND(V910&gt;=40,V910&lt;75,W910&lt;75),0.26,0)+IF(AND(V910&gt;=40,V910&lt;75,W910&gt;=75),0.22,0)+IF(V910&gt;=75,0.22,0),
IF(AF910="DoEVold",IF(AND(V910&lt;40,W910&lt;35),0.35,0)+IF(AND(V910&lt;40,W910&gt;=35,W910&lt;75),0.25,0)+IF(AND(V910&lt;40,W910&gt;=75),0.17,0)+IF(AND(V910&gt;=40,V910&lt;75,W910&lt;25),0.35,0)+IF(AND(V910&gt;=40,V910&lt;75,W910&gt;=25,W910&lt;65),0.25,0)+IF(AND(V910&gt;=40,V910&lt;75,W910&gt;=65,W910&lt;100),0.17,0)+IF(AND(V910&gt;=40,V910&lt;75,W910&gt;=100),0.1,0)+IF(AND(V910&gt;=75,W910&lt;25),0.35,0)+IF(AND(V910&gt;=75,W910&gt;=25,W910&lt;60),0.25,0)+IF(AND(V910&gt;=75,W910&gt;=60,W910&lt;95),0.17,0)+IF(AND(V910&gt;=75,W910&gt;=95),0.1,0),
IF(AF910="DoEVold15",IF(AND(V910&lt;=40,W910&lt;35),0.35,0)+IF(AND(V910&lt;=40,W910&gt;=35,W910&lt;75),0.25,0)+IF(AND(V910&lt;=40,W910&gt;=75,W910&lt;120),0.17,0)+IF(AND(V910&lt;=40,W910&gt;=120),0.15,0)+IF(AND(V910&gt;40,V910&lt;75,W910&lt;25),0.35,0)+IF(AND(V910&gt;=40,V910&lt;75,W910&gt;=25,W910&lt;65),0.25,0)+IF(AND(V910&gt;=40,V910&lt;75,W910&gt;=65,W910&lt;100),0.17,0)+IF(AND(V910&gt;=40,V910&lt;75,W910&gt;=100),0.1,0)+IF(AND(V910&gt;=75,W910&lt;25),0.35,0)+IF(AND(V910&gt;=75,W910&gt;=25,W910&lt;60),0.25,0)+IF(AND(V910&gt;=75,W910&gt;=60,W910&lt;95),0.17,0)+IF(AND(V910&gt;=75,W910&gt;=95),0.1,0),
IF(AF910="DoEVba",IF(AND(V910&lt;20,W910&lt;105),0.2,0)+IF(AND(V910&lt;20,W910&gt;=105),0.15,0)+IF(AND(V910&gt;=20,V910&lt;40,W910&lt;95),0.2,0)+IF(AND(V910&gt;=20,V910&lt;40,W910&gt;=95,W910&lt;150),0.15,0)+IF(AND(V910&gt;=20,V910&lt;40,W910&gt;=150),0.12,0)+IF(AND(V910&gt;=40,V910&lt;75,W910&lt;75),0.2,0)+IF(AND(V910&gt;=40,V910&lt;75,W910&gt;=75,W910&lt;120),0.15,0)+IF(AND(V910&gt;=40,V910&lt;75,W910&gt;=120),0.12,0)+IF(AND(V910&gt;=75,V910&lt;175,W910&lt;65),0.2,0)+IF(AND(V910&gt;=75,V910&lt;175,W910&gt;=65,W910&lt;110),0.15,0)+IF(AND(V910&gt;=75,V910&lt;175,W910&gt;=110),0.12,0)+IF(AND(V910&gt;=175,W910&lt;55),0.2,0)+IF(AND(V910&gt;=175,W910&gt;=55,W910&lt;95),0.15,0)+IF(AND(V910&gt;=175,W910&gt;=95),0.12,0),
IF(AF910="DoEVku",IF(AND(V910&lt;20,W910&lt;55),0.23,0)+IF(AND(V910&lt;20,W910&gt;=55,W910&lt;105),0.2,0)+IF(AND(V910&lt;20,W910&gt;=105),0.17,0)+IF(AND(V910&gt;=20,V910&lt;40,W910&lt;45),0.23,0)+IF(AND(V910&gt;=20,V910&lt;40,W910&gt;=45,W910&lt;95),0.2,0)+IF(AND(V910&gt;=20,V910&lt;40,W910&gt;=95,W910&lt;=150),0.17,0)+IF(AND(V910&gt;=20,V910&lt;40,W910&gt;=150),0.12,0)+IF(AND(V910&gt;=40,V910&lt;75,W910&lt;35),0.23,0)+IF(AND(V910&gt;=40,V910&lt;75,W910&gt;=35,W910&lt;75),0.2,0)+IF(AND(V910&gt;=40,V910&lt;75,W910&gt;=75,W910&lt;120),0.17,0)+IF(AND(V910&gt;=40,V910&lt;75,W910&gt;=120),0.12,0)+IF(AND(V910&gt;=75,V910&lt;175,W910&lt;35),0.23,0)+IF(AND(V910&gt;=75,V910&lt;=175,W910&gt;=35,W910&lt;65),0.2,0)+IF(AND(V910&gt;=75,V910&lt;=175,W910&gt;=65,W910&lt;110),0.17,0)+IF(AND(V910&gt;=75,V910&lt;=175,W910&gt;=110),0.12,0)+IF(AND(V910&gt;175,W910&lt;25),0.23,0)+IF(AND(V910&gt;175,W910&gt;=25,W910&lt;55),0.2,0)+IF(AND(V910&gt;175,W910&gt;=55,W910&lt;95),0.17,0)+IF(AND(V910&gt;175,W910&gt;=95),0.12,0),
IF(AF910="DoEVs1",IF(AND(V910&lt;20,W910&lt;55),0.3,0)+IF(AND(V910&lt;20,W910&gt;=55,W910&lt;105),0.23,0)+IF(AND(V910&lt;20,W910&gt;=105),0.17,0)+IF(AND(V910&gt;=20,V910&lt;40,W910&lt;45),0.3,0)+IF(AND(V910&gt;=20,V910&lt;40,W910&gt;=45,W910&lt;95),0.23,0)+IF(AND(V910&gt;=20,V910&lt;40,W910&gt;=95,W910&lt;=150),0.17,0)+IF(AND(V910&gt;=20,V910&lt;40,W910&gt;=150),0.12,0)+IF(AND(V910&gt;=40,V910&lt;75,W910&lt;35),0.3,0)+IF(AND(V910&gt;=40,V910&lt;75,W910&gt;=35,W910&lt;75),0.23,0)+IF(AND(V910&gt;=40,V910&lt;75,W910&gt;=75,W910&lt;120),0.17,0)+IF(AND(V910&gt;=40,V910&lt;75,W910&gt;=120),0.12,0)+IF(AND(V910&gt;=75,V910&lt;175,W910&lt;35),0.3,0)+IF(AND(V910&gt;=75,V910&lt;=175,W910&gt;=35,W910&lt;65),0.23,0)+IF(AND(V910&gt;=75,V910&lt;=175,W910&gt;=65,W910&lt;110),0.17,0)+IF(AND(V910&gt;=75,V910&lt;=175,W910&gt;=110),0.12,0)+IF(AND(V910&gt;175,W910&lt;25),0.3,0)+IF(AND(V910&gt;175,W910&gt;=25,W910&lt;55),0.23,0)+IF(AND(V910&gt;175,W910&gt;=55,W910&lt;95),0.17,0)+IF(AND(V910&gt;175,W910&gt;=95),0.12,0),
IF(AF910="DoEVsu",IF(AND(V910&lt;20,W910&lt;55),0.3,0)+IF(AND(V910&lt;20,W910&gt;=55,W910&lt;105),0.23,0)+IF(AND(V910&lt;20,W910&gt;=105),0.17,0)+IF(AND(V910&gt;=20,V910&lt;40,W910&lt;45),0.3,0)+IF(AND(V910&gt;=20,V910&lt;40,W910&gt;=45,W910&lt;95),0.23,0)+IF(AND(V910&gt;=20,V910&lt;40,W910&gt;=95,W910&lt;=250),0.17,0)+IF(AND(V910&gt;=20,V910&lt;40,W910&gt;=250),0.12,0)+IF(AND(V910&gt;=40,V910&lt;75,W910&lt;35),0.3,0)+IF(AND(V910&gt;=40,V910&lt;75,W910&gt;=35,W910&lt;75),0.23,0)+IF(AND(V910&gt;=40,V910&lt;75,W910&gt;=75,W910&lt;120),0.17,0)+IF(AND(V910&gt;=40,V910&lt;75,W910&gt;=120),0.12,0)+IF(AND(V910&gt;=75,V910&lt;175,W910&lt;35),0.3,0)+IF(AND(V910&gt;=75,V910&lt;=175,W910&gt;=35,W910&lt;65),0.23,0)+IF(AND(V910&gt;=75,V910&lt;=175,W910&gt;=65,W910&lt;110),0.17,0)+IF(AND(V910&gt;=75,V910&lt;=175,W910&gt;=110),0.12,0)+IF(AND(V910&gt;175,W910&lt;25),0.3,0)+IF(AND(V910&gt;175,W910&gt;=25,W910&lt;55),0.23,0)+IF(AND(V910&gt;175,W910&gt;=55,W910&lt;95),0.17,0)+IF(AND(V910&gt;175,W910&gt;=95),0.12,0),
IF(AF910="DoEVni",IF(AND(V910&lt;20,W910&lt;55),0.3,0)+IF(AND(V910&lt;20,W910&gt;=55,W910&lt;105),0.23,0)+IF(AND(V910&lt;20,W910&gt;=105),0.17,0)+IF(AND(V910&gt;=20,V910&lt;40,W910&lt;45),0.3,0)+IF(AND(V910&gt;=20,V910&lt;40,W910&gt;=45,W910&lt;95),0.23,0)+IF(AND(V910&gt;=20,V910&lt;40,W910&gt;=95,W910&lt;=200),0.17,0)+IF(AND(V910&gt;=20,V910&lt;40,W910&gt;=200),0.12,0)+IF(AND(V910&gt;=40,V910&lt;75,W910&lt;35),0.3,0)+IF(AND(V910&gt;=40,V910&lt;75,W910&gt;=35,W910&lt;75),0.23,0)+IF(AND(V910&gt;=40,V910&lt;75,W910&gt;=75,W910&lt;120),0.17,0)+IF(AND(V910&gt;=40,V910&lt;75,W910&gt;=120),0.12,0)+IF(AND(V910&gt;=75,V910&lt;175,W910&lt;35),0.3,0)+IF(AND(V910&gt;=75,V910&lt;=175,W910&gt;=35,W910&lt;65),0.23,0)+IF(AND(V910&gt;=75,V910&lt;=175,W910&gt;=65,W910&lt;110),0.17,0)+IF(AND(V910&gt;=75,V910&lt;=175,W910&gt;=110),0.12,0)+IF(AND(V910&gt;175,W910&lt;25),0.3,0)+IF(AND(V910&gt;175,W910&gt;=25,W910&lt;55),0.23,0)+IF(AND(V910&gt;175,W910&gt;=55,W910&lt;95),0.17,0)+IF(AND(V910&gt;175,W910&gt;=95),0.12,0),
IF(AF910="DoEVLo",IF(AND(V910&lt;20,W910&lt;55),0.25,0)+IF(AND(V910&lt;20,W910&gt;=55,W910&lt;105),0.2,0)+IF(AND(V910&lt;20,W910&gt;=105),0.15,0)+IF(AND(V910&gt;=20,V910&lt;40,W910&lt;45),0.25,0)+IF(AND(V910&gt;=20,V910&lt;40,W910&gt;=45,W910&lt;95),0.2,0)+IF(AND(V910&gt;=20,V910&lt;40,W910&gt;=95),0.15,0)+IF(AND(V910&gt;=40,V910&lt;75,W910&lt;35),0.25,0)+IF(AND(V910&gt;=40,V910&lt;75,W910&gt;=35,W910&lt;75),0.2,0)+IF(AND(V910&gt;=40,V910&lt;75,W910&gt;=75,W910&lt;120),0.15,0)+IF(AND(V910&gt;=40,V910&lt;75,W910&gt;=120),0.1,0)+IF(AND(V910&gt;=75,V910&lt;175,W910&lt;35),0.25,0)+IF(AND(V910&gt;=75,V910&lt;=175,W910&gt;=35,W910&lt;65),0.2,0)+IF(AND(V910&gt;=75,V910&lt;=175,W910&gt;=65,W910&lt;110),0.15,0)+IF(AND(V910&gt;=75,V910&lt;=175,W910&gt;=110),0.1,0)+IF(AND(V910&gt;175,W910&lt;25),0.25,0)+IF(AND(V910&gt;175,W910&gt;=25,W910&lt;55),0.2,0)+IF(AND(V910&gt;175,W910&gt;=55,W910&lt;95),0.15,0)+IF(AND(V910&gt;175,W910&gt;=95),0.1,0))))))))))))))))</f>
        <v>0.2</v>
      </c>
      <c r="Y910" s="35">
        <f t="shared" ref="Y910:Y911" si="133">if(AG910="None",0,if(AG910="Fix5",0.05,if(AG910="Fix3.75",0.0375,if(AG910="Fix10",0.1,if(AG910="Fix3",0.03,0)))))</f>
        <v>0</v>
      </c>
      <c r="Z910" s="40">
        <f t="shared" si="127"/>
        <v>70.716</v>
      </c>
      <c r="AA910" s="34">
        <f t="shared" si="128"/>
        <v>18.284</v>
      </c>
      <c r="AB910" s="41">
        <f t="shared" si="130"/>
        <v>0</v>
      </c>
      <c r="AC910" s="42" t="b">
        <v>1</v>
      </c>
      <c r="AD910" s="66" t="s">
        <v>140</v>
      </c>
      <c r="AE910" s="66"/>
      <c r="AF910" s="42" t="str">
        <f t="array" ref="AF910">INDEX('Deal Info'!D:D, MATCH(A910,'Deal Info'!A:A, 0))</f>
        <v>DoEVLo</v>
      </c>
      <c r="AG910" s="43" t="str">
        <f t="array" ref="AG910">INDEX('Deal Info'!G:G, MATCH(A910,'Deal Info'!A:A, 0))</f>
        <v>None</v>
      </c>
    </row>
    <row r="911" hidden="1">
      <c r="A911" s="23" t="str">
        <f t="array" ref="A911">if(G911='Room Info'!$B$1, INDEX('Room Info'!$A$2:$A3446, MATCH(B911,'Room Info'!$B$2:$B3446, 0)),if(G911='Room Info'!$C$1, INDEX('Room Info'!$A$2:$A3446, MATCH(B911,'Room Info'!$C$2:$C3446, 0)),if(G911='Room Info'!$D$1, INDEX('Room Info'!$A$2:$A3446, MATCH(B911,'Room Info'!$D$2:$D3446, 0)),if(G911='Room Info'!$E$1, INDEX('Room Info'!$A$2:$A3446, MATCH(B911,'Room Info'!$E$2:$E3446, 0)),if(G911='Room Info'!$F$1, INDEX('Room Info'!$A$2:$A3446, MATCH(B911,'Room Info'!$F$2:$F3446, 0)),if(G911='Room Info'!$H$1, INDEX('Room Info'!$A$2:$A3446, MATCH(B911,'Room Info'!$H$2:$H3446, 0)),if(G911='Room Info'!$G$1, INDEX('Room Info'!$A$2:$A3446, MATCH(B911,'Room Info'!$G$2:$G3446, 0)))))))))</f>
        <v>Freedoom</v>
      </c>
      <c r="B911" s="50" t="s">
        <v>159</v>
      </c>
      <c r="C911" s="51">
        <v>44805.0</v>
      </c>
      <c r="D911" s="51">
        <v>44834.0</v>
      </c>
      <c r="E911" s="52">
        <v>44805.0</v>
      </c>
      <c r="F911" s="53" t="s">
        <v>12</v>
      </c>
      <c r="G911" s="50" t="s">
        <v>9</v>
      </c>
      <c r="H911" s="54" t="s">
        <v>41</v>
      </c>
      <c r="I911" s="54" t="s">
        <v>7</v>
      </c>
      <c r="J911" s="75">
        <v>5.0</v>
      </c>
      <c r="K911" s="76">
        <v>646.0</v>
      </c>
      <c r="L911" s="77">
        <v>-35.0</v>
      </c>
      <c r="M911" s="58">
        <v>26.0</v>
      </c>
      <c r="N911" s="33">
        <f t="shared" si="13"/>
        <v>3230</v>
      </c>
      <c r="O911" s="50">
        <v>27228.0</v>
      </c>
      <c r="P911" s="34">
        <f t="shared" si="14"/>
        <v>42.14860681</v>
      </c>
      <c r="Q911" s="60"/>
      <c r="R911" s="36">
        <f t="shared" si="99"/>
        <v>26</v>
      </c>
      <c r="S911" s="78">
        <v>-45.0</v>
      </c>
      <c r="T911" s="37">
        <f t="shared" si="100"/>
        <v>-54</v>
      </c>
      <c r="U911" s="62">
        <v>1.0</v>
      </c>
      <c r="V911" s="63"/>
      <c r="W911" s="63"/>
      <c r="X911" s="35">
        <f t="shared" si="132"/>
        <v>0.35</v>
      </c>
      <c r="Y911" s="35">
        <f t="shared" si="133"/>
        <v>0</v>
      </c>
      <c r="Z911" s="64">
        <v>-7.0</v>
      </c>
      <c r="AA911" s="65">
        <v>-2.0</v>
      </c>
      <c r="AB911" s="41">
        <f t="shared" si="130"/>
        <v>0</v>
      </c>
      <c r="AC911" s="42" t="b">
        <v>1</v>
      </c>
      <c r="AD911" s="42" t="s">
        <v>138</v>
      </c>
      <c r="AE911" s="42" t="s">
        <v>138</v>
      </c>
      <c r="AF911" s="42" t="str">
        <f t="array" ref="AF911">INDEX('Deal Info'!D:D, MATCH(A911,'Deal Info'!A:A, 0))</f>
        <v>DoEVold</v>
      </c>
      <c r="AG911" s="43" t="str">
        <f t="array" ref="AG911">INDEX('Deal Info'!G:G, MATCH(A911,'Deal Info'!A:A, 0))</f>
        <v>None</v>
      </c>
    </row>
    <row r="912" hidden="1">
      <c r="A912" s="23" t="str">
        <f t="array" ref="A912">if(G912='Room Info'!$B$1, INDEX('Room Info'!$A$2:$A3446, MATCH(B912,'Room Info'!$B$2:$B3446, 0)),if(G912='Room Info'!$C$1, INDEX('Room Info'!$A$2:$A3446, MATCH(B912,'Room Info'!$C$2:$C3446, 0)),if(G912='Room Info'!$D$1, INDEX('Room Info'!$A$2:$A3446, MATCH(B912,'Room Info'!$D$2:$D3446, 0)),if(G912='Room Info'!$E$1, INDEX('Room Info'!$A$2:$A3446, MATCH(B912,'Room Info'!$E$2:$E3446, 0)),if(G912='Room Info'!$F$1, INDEX('Room Info'!$A$2:$A3446, MATCH(B912,'Room Info'!$F$2:$F3446, 0)),if(G912='Room Info'!$H$1, INDEX('Room Info'!$A$2:$A3446, MATCH(B912,'Room Info'!$H$2:$H3446, 0)),if(G912='Room Info'!$G$1, INDEX('Room Info'!$A$2:$A3446, MATCH(B912,'Room Info'!$G$2:$G3446, 0)))))))))</f>
        <v>Mackevgen</v>
      </c>
      <c r="B912" s="50" t="s">
        <v>171</v>
      </c>
      <c r="C912" s="82">
        <v>44805.0</v>
      </c>
      <c r="D912" s="82">
        <v>44834.0</v>
      </c>
      <c r="E912" s="52">
        <v>44805.0</v>
      </c>
      <c r="F912" s="53" t="s">
        <v>8</v>
      </c>
      <c r="G912" s="50" t="s">
        <v>9</v>
      </c>
      <c r="H912" s="54" t="s">
        <v>65</v>
      </c>
      <c r="I912" s="54" t="s">
        <v>7</v>
      </c>
      <c r="J912" s="79">
        <v>25.0</v>
      </c>
      <c r="K912" s="80">
        <v>569.0</v>
      </c>
      <c r="L912" s="77">
        <v>100.0</v>
      </c>
      <c r="M912" s="81">
        <v>1702.0</v>
      </c>
      <c r="N912" s="33">
        <f t="shared" si="13"/>
        <v>14225</v>
      </c>
      <c r="O912" s="50">
        <v>49751.0</v>
      </c>
      <c r="P912" s="34">
        <f t="shared" si="14"/>
        <v>87.43585237</v>
      </c>
      <c r="Q912" s="60"/>
      <c r="R912" s="36">
        <f t="shared" si="99"/>
        <v>1702</v>
      </c>
      <c r="S912" s="78">
        <v>1103.0</v>
      </c>
      <c r="T912" s="37">
        <f t="shared" si="100"/>
        <v>2805</v>
      </c>
      <c r="U912" s="62">
        <v>1.0</v>
      </c>
      <c r="V912" s="63"/>
      <c r="W912" s="63"/>
      <c r="X912" s="83">
        <v>0.12</v>
      </c>
      <c r="Y912" s="35">
        <f t="shared" ref="Y912:Y915" si="134">if(AG912="None",0,if(AG912="Fix5",0.05, if(AG912="Fix6.25",0.0625,if(AG912="Fix3.75",0.0375,if(AG912="Fix10",0.1,if(AG912="Fix3",0.03,0))))))</f>
        <v>0.1</v>
      </c>
      <c r="Z912" s="40">
        <f t="shared" ref="Z912:Z921" si="135">T912-AA912-AB912</f>
        <v>2187.5</v>
      </c>
      <c r="AA912" s="65">
        <v>337.0</v>
      </c>
      <c r="AB912" s="41">
        <f t="shared" si="130"/>
        <v>280.5</v>
      </c>
      <c r="AC912" s="42" t="b">
        <v>1</v>
      </c>
      <c r="AD912" s="42" t="s">
        <v>138</v>
      </c>
      <c r="AE912" s="42" t="s">
        <v>138</v>
      </c>
      <c r="AF912" s="42" t="str">
        <f t="array" ref="AF912">INDEX('Deal Info'!D:D, MATCH(A912,'Deal Info'!A:A, 0))</f>
        <v>DoEV</v>
      </c>
      <c r="AG912" s="43" t="str">
        <f t="array" ref="AG912">INDEX('Deal Info'!G:G, MATCH(A912,'Deal Info'!A:A, 0))</f>
        <v>Fix10</v>
      </c>
    </row>
    <row r="913" hidden="1">
      <c r="A913" s="23" t="s">
        <v>154</v>
      </c>
      <c r="B913" s="50" t="s">
        <v>155</v>
      </c>
      <c r="C913" s="82">
        <v>44682.0</v>
      </c>
      <c r="D913" s="82">
        <v>44697.0</v>
      </c>
      <c r="E913" s="52">
        <v>44682.0</v>
      </c>
      <c r="F913" s="53" t="s">
        <v>12</v>
      </c>
      <c r="G913" s="50" t="s">
        <v>9</v>
      </c>
      <c r="H913" s="96" t="s">
        <v>65</v>
      </c>
      <c r="I913" s="54" t="s">
        <v>7</v>
      </c>
      <c r="J913" s="79">
        <v>25.0</v>
      </c>
      <c r="K913" s="80">
        <v>55.0</v>
      </c>
      <c r="L913" s="57">
        <v>175.0</v>
      </c>
      <c r="M913" s="81">
        <v>1039.0</v>
      </c>
      <c r="N913" s="33">
        <f t="shared" si="13"/>
        <v>1375</v>
      </c>
      <c r="O913" s="59">
        <v>1711.0</v>
      </c>
      <c r="P913" s="34">
        <f t="shared" si="14"/>
        <v>31.10909091</v>
      </c>
      <c r="Q913" s="60"/>
      <c r="R913" s="36">
        <f t="shared" si="99"/>
        <v>1039</v>
      </c>
      <c r="S913" s="61"/>
      <c r="T913" s="37">
        <f t="shared" si="100"/>
        <v>1214</v>
      </c>
      <c r="U913" s="62">
        <v>1.07</v>
      </c>
      <c r="V913" s="63"/>
      <c r="W913" s="63"/>
      <c r="X913" s="83">
        <v>0.25</v>
      </c>
      <c r="Y913" s="35">
        <f t="shared" si="134"/>
        <v>0</v>
      </c>
      <c r="Z913" s="40">
        <f t="shared" si="135"/>
        <v>907.4375</v>
      </c>
      <c r="AA913" s="34">
        <f t="shared" ref="AA913:AA921" si="136">if(AD913="EUR",((T913-R913)*X913)*U913+(R913*X913),(T913*X913))</f>
        <v>306.5625</v>
      </c>
      <c r="AB913" s="41">
        <f t="shared" si="130"/>
        <v>0</v>
      </c>
      <c r="AC913" s="42" t="b">
        <v>1</v>
      </c>
      <c r="AD913" s="66" t="s">
        <v>140</v>
      </c>
      <c r="AE913" s="66"/>
      <c r="AF913" s="42" t="str">
        <f t="array" ref="AF913">INDEX('Deal Info'!D:D, MATCH(A913,'Deal Info'!A:A, 0))</f>
        <v>DoEVold</v>
      </c>
      <c r="AG913" s="43" t="str">
        <f t="array" ref="AG913">INDEX('Deal Info'!G:G, MATCH(A913,'Deal Info'!A:A, 0))</f>
        <v>None</v>
      </c>
    </row>
    <row r="914" hidden="1">
      <c r="A914" s="23" t="s">
        <v>154</v>
      </c>
      <c r="B914" s="50" t="s">
        <v>155</v>
      </c>
      <c r="C914" s="51">
        <v>44698.0</v>
      </c>
      <c r="D914" s="51">
        <v>44712.0</v>
      </c>
      <c r="E914" s="52">
        <v>44682.0</v>
      </c>
      <c r="F914" s="53" t="s">
        <v>8</v>
      </c>
      <c r="G914" s="59" t="s">
        <v>9</v>
      </c>
      <c r="H914" s="54" t="s">
        <v>65</v>
      </c>
      <c r="I914" s="54" t="s">
        <v>7</v>
      </c>
      <c r="J914" s="55">
        <v>25.0</v>
      </c>
      <c r="K914" s="56">
        <v>11.0</v>
      </c>
      <c r="L914" s="57">
        <v>125.0</v>
      </c>
      <c r="M914" s="58">
        <v>5.0</v>
      </c>
      <c r="N914" s="33">
        <f t="shared" si="13"/>
        <v>275</v>
      </c>
      <c r="O914" s="59">
        <v>1811.0</v>
      </c>
      <c r="P914" s="34">
        <f t="shared" si="14"/>
        <v>164.6363636</v>
      </c>
      <c r="Q914" s="60"/>
      <c r="R914" s="36">
        <f t="shared" si="99"/>
        <v>5</v>
      </c>
      <c r="S914" s="61">
        <v>56.0</v>
      </c>
      <c r="T914" s="37">
        <f t="shared" si="100"/>
        <v>61</v>
      </c>
      <c r="U914" s="62">
        <v>1.07</v>
      </c>
      <c r="V914" s="63"/>
      <c r="W914" s="63"/>
      <c r="X914" s="83">
        <v>0.25</v>
      </c>
      <c r="Y914" s="35">
        <f t="shared" si="134"/>
        <v>0</v>
      </c>
      <c r="Z914" s="40">
        <f t="shared" si="135"/>
        <v>44.77</v>
      </c>
      <c r="AA914" s="34">
        <f t="shared" si="136"/>
        <v>16.23</v>
      </c>
      <c r="AB914" s="41">
        <f t="shared" si="130"/>
        <v>0</v>
      </c>
      <c r="AC914" s="42" t="b">
        <v>1</v>
      </c>
      <c r="AD914" s="66" t="s">
        <v>140</v>
      </c>
      <c r="AE914" s="66"/>
      <c r="AF914" s="42" t="str">
        <f t="array" ref="AF914">INDEX('Deal Info'!D:D, MATCH(A914,'Deal Info'!A:A, 0))</f>
        <v>DoEVold</v>
      </c>
      <c r="AG914" s="43" t="str">
        <f t="array" ref="AG914">INDEX('Deal Info'!G:G, MATCH(A914,'Deal Info'!A:A, 0))</f>
        <v>None</v>
      </c>
    </row>
    <row r="915" hidden="1">
      <c r="A915" s="23" t="str">
        <f t="array" ref="A915">if(G915='Room Info'!$B$1, INDEX('Room Info'!$A$2:$A3446, MATCH(B915,'Room Info'!$B$2:$B3446, 0)),if(G915='Room Info'!$C$1, INDEX('Room Info'!$A$2:$A3446, MATCH(B915,'Room Info'!$C$2:$C3446, 0)),if(G915='Room Info'!$D$1, INDEX('Room Info'!$A$2:$A3446, MATCH(B915,'Room Info'!$D$2:$D3446, 0)),if(G915='Room Info'!$E$1, INDEX('Room Info'!$A$2:$A3446, MATCH(B915,'Room Info'!$E$2:$E3446, 0)),if(G915='Room Info'!$F$1, INDEX('Room Info'!$A$2:$A3446, MATCH(B915,'Room Info'!$F$2:$F3446, 0)),if(G915='Room Info'!$H$1, INDEX('Room Info'!$A$2:$A3446, MATCH(B915,'Room Info'!$H$2:$H3446, 0)),if(G915='Room Info'!$G$1, INDEX('Room Info'!$A$2:$A3446, MATCH(B915,'Room Info'!$G$2:$G3446, 0)))))))))</f>
        <v>Lo4io</v>
      </c>
      <c r="B915" s="50" t="s">
        <v>156</v>
      </c>
      <c r="C915" s="82">
        <v>44825.0</v>
      </c>
      <c r="D915" s="82">
        <v>44854.0</v>
      </c>
      <c r="E915" s="52">
        <v>44835.0</v>
      </c>
      <c r="F915" s="53" t="s">
        <v>4</v>
      </c>
      <c r="G915" s="50" t="s">
        <v>5</v>
      </c>
      <c r="H915" s="54" t="s">
        <v>62</v>
      </c>
      <c r="I915" s="54" t="s">
        <v>7</v>
      </c>
      <c r="J915" s="79">
        <v>25.0</v>
      </c>
      <c r="K915" s="80">
        <v>67.0</v>
      </c>
      <c r="L915" s="77">
        <v>-150.0</v>
      </c>
      <c r="M915" s="84"/>
      <c r="N915" s="33">
        <f t="shared" si="13"/>
        <v>1675</v>
      </c>
      <c r="O915" s="50">
        <v>4430.0</v>
      </c>
      <c r="P915" s="34">
        <f t="shared" si="14"/>
        <v>66.11940299</v>
      </c>
      <c r="Q915" s="60"/>
      <c r="R915" s="36">
        <f t="shared" si="99"/>
        <v>0</v>
      </c>
      <c r="S915" s="78">
        <v>98.0</v>
      </c>
      <c r="T915" s="37">
        <f t="shared" si="100"/>
        <v>98</v>
      </c>
      <c r="U915" s="62">
        <v>1.0</v>
      </c>
      <c r="V915" s="63"/>
      <c r="W915" s="63"/>
      <c r="X915" s="83">
        <v>0.2</v>
      </c>
      <c r="Y915" s="35">
        <f t="shared" si="134"/>
        <v>0</v>
      </c>
      <c r="Z915" s="40">
        <f t="shared" si="135"/>
        <v>78.4</v>
      </c>
      <c r="AA915" s="34">
        <f t="shared" si="136"/>
        <v>19.6</v>
      </c>
      <c r="AB915" s="41">
        <f t="shared" si="130"/>
        <v>0</v>
      </c>
      <c r="AC915" s="42" t="b">
        <v>1</v>
      </c>
      <c r="AD915" s="42" t="s">
        <v>138</v>
      </c>
      <c r="AE915" s="42" t="s">
        <v>138</v>
      </c>
      <c r="AF915" s="42" t="str">
        <f t="array" ref="AF915">INDEX('Deal Info'!D:D, MATCH(A915,'Deal Info'!A:A, 0))</f>
        <v>DoEVLo</v>
      </c>
      <c r="AG915" s="43" t="str">
        <f t="array" ref="AG915">INDEX('Deal Info'!G:G, MATCH(A915,'Deal Info'!A:A, 0))</f>
        <v>None</v>
      </c>
    </row>
    <row r="916" hidden="1">
      <c r="A916" s="23" t="str">
        <f t="array" ref="A916">if(G916='Room Info'!$B$1, INDEX('Room Info'!$A$2:$A3446, MATCH(B916,'Room Info'!$B$2:$B3446, 0)),if(G916='Room Info'!$C$1, INDEX('Room Info'!$A$2:$A3446, MATCH(B916,'Room Info'!$C$2:$C3446, 0)),if(G916='Room Info'!$D$1, INDEX('Room Info'!$A$2:$A3446, MATCH(B916,'Room Info'!$D$2:$D3446, 0)),if(G916='Room Info'!$E$1, INDEX('Room Info'!$A$2:$A3446, MATCH(B916,'Room Info'!$E$2:$E3446, 0)),if(G916='Room Info'!$F$1, INDEX('Room Info'!$A$2:$A3446, MATCH(B916,'Room Info'!$F$2:$F3446, 0)),if(G916='Room Info'!$H$1, INDEX('Room Info'!$A$2:$A3446, MATCH(B916,'Room Info'!$H$2:$H3446, 0)),if(G916='Room Info'!$G$1, INDEX('Room Info'!$A$2:$A3446, MATCH(B916,'Room Info'!$G$2:$G3446, 0)))))))))</f>
        <v>Lo4io</v>
      </c>
      <c r="B916" s="50" t="s">
        <v>158</v>
      </c>
      <c r="C916" s="97">
        <v>44825.0</v>
      </c>
      <c r="D916" s="97">
        <v>44854.0</v>
      </c>
      <c r="E916" s="52">
        <v>44835.0</v>
      </c>
      <c r="F916" s="53" t="s">
        <v>4</v>
      </c>
      <c r="G916" s="50" t="s">
        <v>9</v>
      </c>
      <c r="H916" s="54" t="s">
        <v>64</v>
      </c>
      <c r="I916" s="54" t="s">
        <v>21</v>
      </c>
      <c r="J916" s="75">
        <v>25.0</v>
      </c>
      <c r="K916" s="76">
        <v>32.0</v>
      </c>
      <c r="L916" s="77">
        <v>-98.0</v>
      </c>
      <c r="M916" s="81">
        <v>1352.0</v>
      </c>
      <c r="N916" s="33">
        <f t="shared" si="13"/>
        <v>800</v>
      </c>
      <c r="O916" s="50">
        <v>2043.0</v>
      </c>
      <c r="P916" s="34">
        <f t="shared" si="14"/>
        <v>63.84375</v>
      </c>
      <c r="Q916" s="60"/>
      <c r="R916" s="36">
        <f t="shared" si="99"/>
        <v>1352</v>
      </c>
      <c r="S916" s="78">
        <v>22.0</v>
      </c>
      <c r="T916" s="37">
        <f t="shared" si="100"/>
        <v>1374</v>
      </c>
      <c r="U916" s="62">
        <v>1.0</v>
      </c>
      <c r="V916" s="74">
        <v>46.54329608938548</v>
      </c>
      <c r="W916" s="74">
        <v>67.52852213053262</v>
      </c>
      <c r="X916" s="35">
        <f t="shared" ref="X916:X918" si="137">IF(AF916="DoEV",IF(AND(V916&lt;20,W916&lt;55),0.3,0)+IF(AND(V916&lt;20,W916&gt;=55,W916&lt;105),0.23,0)+IF(AND(V916&lt;20,W916&gt;=105),0.17,0)+IF(AND(V916&gt;=20,V916&lt;40,W916&lt;45),0.3,0)+IF(AND(V916&gt;=20,V916&lt;40,W916&gt;=45,W916&lt;95),0.23,0)+IF(AND(V916&gt;=20,V916&lt;40,W916&gt;=95),0.17,0)+IF(AND(V916&gt;=40,V916&lt;75,W916&lt;35),0.3,0)+IF(AND(V916&gt;=40,V916&lt;75,W916&gt;=35,W916&lt;75),0.23,0)+IF(AND(V916&gt;=40,V916&lt;75,W916&gt;=75,W916&lt;120),0.17,0)+IF(AND(V916&gt;=40,V916&lt;75,W916&gt;=120),0.12,0)+IF(AND(V916&gt;=75,V916&lt;175,W916&lt;35),0.3,0)+IF(AND(V916&gt;=75,V916&lt;=175,W916&gt;=35,W916&lt;65),0.23,0)+IF(AND(V916&gt;=75,V916&lt;=175,W916&gt;=65,W916&lt;110),0.17,0)+IF(AND(V916&gt;=75,V916&lt;=175,W916&gt;=110),0.12,0)+IF(AND(V916&gt;175,W916&lt;25),0.3,0)+IF(AND(V916&gt;175,W916&gt;=25,W916&lt;55),0.23,0)+IF(AND(V916&gt;175,W916&gt;=55,W916&lt;95),0.17,0)+IF(AND(V916&gt;175,W916&gt;=95),0.12,0),
IF(AF916="Fix15",0.15,
IF(AF916="Fix11.25",0.1125,
IF(AF916="Fix10",0.1,
IF(AF916="Fix9",0.09,
IF(AF916="DoEV2017",IF(AND(W916&lt;74),0.2,0)+IF(AND(W916&gt;=74),0.17,0),
IF(AF916="SF",IF(AND(V916&lt;20,W916&lt;89),0.3,0)+IF(AND(V916&lt;20,W916&gt;=89),0.25,0)+IF(AND(V916&gt;=20,V916&lt;40,W916&lt;74),0.3,0)+IF(AND(V916&gt;=20,V916&lt;40,W916&gt;=75),0.22,0)+IF(AND(V916&gt;=40,V916&lt;75,W916&lt;75),0.26,0)+IF(AND(V916&gt;=40,V916&lt;75,W916&gt;=75),0.22,0)+IF(V916&gt;=75,0.22,0),
IF(AF916="DoEVold",IF(AND(V916&lt;40,W916&lt;35),0.35,0)+IF(AND(V916&lt;40,W916&gt;=35,W916&lt;75),0.25,0)+IF(AND(V916&lt;40,W916&gt;=75),0.17,0)+IF(AND(V916&gt;=40,V916&lt;75,W916&lt;25),0.35,0)+IF(AND(V916&gt;=40,V916&lt;75,W916&gt;=25,W916&lt;65),0.25,0)+IF(AND(V916&gt;=40,V916&lt;75,W916&gt;=65,W916&lt;100),0.17,0)+IF(AND(V916&gt;=40,V916&lt;75,W916&gt;=100),0.1,0)+IF(AND(V916&gt;=75,W916&lt;25),0.35,0)+IF(AND(V916&gt;=75,W916&gt;=25,W916&lt;60),0.25,0)+IF(AND(V916&gt;=75,W916&gt;=60,W916&lt;95),0.17,0)+IF(AND(V916&gt;=75,W916&gt;=95),0.1,0),
IF(AF916="DoEVold15",IF(AND(V916&lt;=40,W916&lt;35),0.35,0)+IF(AND(V916&lt;=40,W916&gt;=35,W916&lt;75),0.25,0)+IF(AND(V916&lt;=40,W916&gt;=75,W916&lt;120),0.17,0)+IF(AND(V916&lt;=40,W916&gt;=120),0.15,0)+IF(AND(V916&gt;40,V916&lt;75,W916&lt;25),0.35,0)+IF(AND(V916&gt;=40,V916&lt;75,W916&gt;=25,W916&lt;65),0.25,0)+IF(AND(V916&gt;=40,V916&lt;75,W916&gt;=65,W916&lt;100),0.17,0)+IF(AND(V916&gt;=40,V916&lt;75,W916&gt;=100),0.1,0)+IF(AND(V916&gt;=75,W916&lt;25),0.35,0)+IF(AND(V916&gt;=75,W916&gt;=25,W916&lt;60),0.25,0)+IF(AND(V916&gt;=75,W916&gt;=60,W916&lt;95),0.17,0)+IF(AND(V916&gt;=75,W916&gt;=95),0.1,0),
IF(AF916="DoEVba",IF(AND(V916&lt;20,W916&lt;105),0.2,0)+IF(AND(V916&lt;20,W916&gt;=105),0.15,0)+IF(AND(V916&gt;=20,V916&lt;40,W916&lt;95),0.2,0)+IF(AND(V916&gt;=20,V916&lt;40,W916&gt;=95,W916&lt;150),0.15,0)+IF(AND(V916&gt;=20,V916&lt;40,W916&gt;=150),0.12,0)+IF(AND(V916&gt;=40,V916&lt;75,W916&lt;75),0.2,0)+IF(AND(V916&gt;=40,V916&lt;75,W916&gt;=75,W916&lt;120),0.15,0)+IF(AND(V916&gt;=40,V916&lt;75,W916&gt;=120),0.12,0)+IF(AND(V916&gt;=75,V916&lt;175,W916&lt;65),0.2,0)+IF(AND(V916&gt;=75,V916&lt;175,W916&gt;=65,W916&lt;110),0.15,0)+IF(AND(V916&gt;=75,V916&lt;175,W916&gt;=110),0.12,0)+IF(AND(V916&gt;=175,W916&lt;55),0.2,0)+IF(AND(V916&gt;=175,W916&gt;=55,W916&lt;95),0.15,0)+IF(AND(V916&gt;=175,W916&gt;=95),0.12,0),
IF(AF916="DoEVku",IF(AND(V916&lt;20,W916&lt;55),0.23,0)+IF(AND(V916&lt;20,W916&gt;=55,W916&lt;105),0.2,0)+IF(AND(V916&lt;20,W916&gt;=105),0.17,0)+IF(AND(V916&gt;=20,V916&lt;40,W916&lt;45),0.23,0)+IF(AND(V916&gt;=20,V916&lt;40,W916&gt;=45,W916&lt;95),0.2,0)+IF(AND(V916&gt;=20,V916&lt;40,W916&gt;=95,W916&lt;=150),0.17,0)+IF(AND(V916&gt;=20,V916&lt;40,W916&gt;=150),0.12,0)+IF(AND(V916&gt;=40,V916&lt;75,W916&lt;35),0.23,0)+IF(AND(V916&gt;=40,V916&lt;75,W916&gt;=35,W916&lt;75),0.2,0)+IF(AND(V916&gt;=40,V916&lt;75,W916&gt;=75,W916&lt;120),0.17,0)+IF(AND(V916&gt;=40,V916&lt;75,W916&gt;=120),0.12,0)+IF(AND(V916&gt;=75,V916&lt;175,W916&lt;35),0.23,0)+IF(AND(V916&gt;=75,V916&lt;=175,W916&gt;=35,W916&lt;65),0.2,0)+IF(AND(V916&gt;=75,V916&lt;=175,W916&gt;=65,W916&lt;110),0.17,0)+IF(AND(V916&gt;=75,V916&lt;=175,W916&gt;=110),0.12,0)+IF(AND(V916&gt;175,W916&lt;25),0.23,0)+IF(AND(V916&gt;175,W916&gt;=25,W916&lt;55),0.2,0)+IF(AND(V916&gt;175,W916&gt;=55,W916&lt;95),0.17,0)+IF(AND(V916&gt;175,W916&gt;=95),0.12,0),
IF(AF916="DoEVs1",IF(AND(V916&lt;20,W916&lt;55),0.3,0)+IF(AND(V916&lt;20,W916&gt;=55,W916&lt;105),0.23,0)+IF(AND(V916&lt;20,W916&gt;=105),0.17,0)+IF(AND(V916&gt;=20,V916&lt;40,W916&lt;45),0.3,0)+IF(AND(V916&gt;=20,V916&lt;40,W916&gt;=45,W916&lt;95),0.23,0)+IF(AND(V916&gt;=20,V916&lt;40,W916&gt;=95,W916&lt;=150),0.17,0)+IF(AND(V916&gt;=20,V916&lt;40,W916&gt;=150),0.12,0)+IF(AND(V916&gt;=40,V916&lt;75,W916&lt;35),0.3,0)+IF(AND(V916&gt;=40,V916&lt;75,W916&gt;=35,W916&lt;75),0.23,0)+IF(AND(V916&gt;=40,V916&lt;75,W916&gt;=75,W916&lt;120),0.17,0)+IF(AND(V916&gt;=40,V916&lt;75,W916&gt;=120),0.12,0)+IF(AND(V916&gt;=75,V916&lt;175,W916&lt;35),0.3,0)+IF(AND(V916&gt;=75,V916&lt;=175,W916&gt;=35,W916&lt;65),0.23,0)+IF(AND(V916&gt;=75,V916&lt;=175,W916&gt;=65,W916&lt;110),0.17,0)+IF(AND(V916&gt;=75,V916&lt;=175,W916&gt;=110),0.12,0)+IF(AND(V916&gt;175,W916&lt;25),0.3,0)+IF(AND(V916&gt;175,W916&gt;=25,W916&lt;55),0.23,0)+IF(AND(V916&gt;175,W916&gt;=55,W916&lt;95),0.17,0)+IF(AND(V916&gt;175,W916&gt;=95),0.12,0),
IF(AF916="DoEVsu",IF(AND(V916&lt;20,W916&lt;55),0.3,0)+IF(AND(V916&lt;20,W916&gt;=55,W916&lt;105),0.23,0)+IF(AND(V916&lt;20,W916&gt;=105),0.17,0)+IF(AND(V916&gt;=20,V916&lt;40,W916&lt;45),0.3,0)+IF(AND(V916&gt;=20,V916&lt;40,W916&gt;=45,W916&lt;95),0.23,0)+IF(AND(V916&gt;=20,V916&lt;40,W916&gt;=95,W916&lt;=250),0.17,0)+IF(AND(V916&gt;=20,V916&lt;40,W916&gt;=250),0.12,0)+IF(AND(V916&gt;=40,V916&lt;75,W916&lt;35),0.3,0)+IF(AND(V916&gt;=40,V916&lt;75,W916&gt;=35,W916&lt;75),0.23,0)+IF(AND(V916&gt;=40,V916&lt;75,W916&gt;=75,W916&lt;120),0.17,0)+IF(AND(V916&gt;=40,V916&lt;75,W916&gt;=120),0.12,0)+IF(AND(V916&gt;=75,V916&lt;175,W916&lt;35),0.3,0)+IF(AND(V916&gt;=75,V916&lt;=175,W916&gt;=35,W916&lt;65),0.23,0)+IF(AND(V916&gt;=75,V916&lt;=175,W916&gt;=65,W916&lt;110),0.17,0)+IF(AND(V916&gt;=75,V916&lt;=175,W916&gt;=110),0.12,0)+IF(AND(V916&gt;175,W916&lt;25),0.3,0)+IF(AND(V916&gt;175,W916&gt;=25,W916&lt;55),0.23,0)+IF(AND(V916&gt;175,W916&gt;=55,W916&lt;95),0.17,0)+IF(AND(V916&gt;175,W916&gt;=95),0.12,0),
IF(AF916="DoEVni",IF(AND(V916&lt;20,W916&lt;55),0.3,0)+IF(AND(V916&lt;20,W916&gt;=55,W916&lt;105),0.23,0)+IF(AND(V916&lt;20,W916&gt;=105),0.17,0)+IF(AND(V916&gt;=20,V916&lt;40,W916&lt;45),0.3,0)+IF(AND(V916&gt;=20,V916&lt;40,W916&gt;=45,W916&lt;95),0.23,0)+IF(AND(V916&gt;=20,V916&lt;40,W916&gt;=95,W916&lt;=200),0.17,0)+IF(AND(V916&gt;=20,V916&lt;40,W916&gt;=200),0.12,0)+IF(AND(V916&gt;=40,V916&lt;75,W916&lt;35),0.3,0)+IF(AND(V916&gt;=40,V916&lt;75,W916&gt;=35,W916&lt;75),0.23,0)+IF(AND(V916&gt;=40,V916&lt;75,W916&gt;=75,W916&lt;120),0.17,0)+IF(AND(V916&gt;=40,V916&lt;75,W916&gt;=120),0.12,0)+IF(AND(V916&gt;=75,V916&lt;175,W916&lt;35),0.3,0)+IF(AND(V916&gt;=75,V916&lt;=175,W916&gt;=35,W916&lt;65),0.23,0)+IF(AND(V916&gt;=75,V916&lt;=175,W916&gt;=65,W916&lt;110),0.17,0)+IF(AND(V916&gt;=75,V916&lt;=175,W916&gt;=110),0.12,0)+IF(AND(V916&gt;175,W916&lt;25),0.3,0)+IF(AND(V916&gt;175,W916&gt;=25,W916&lt;55),0.23,0)+IF(AND(V916&gt;175,W916&gt;=55,W916&lt;95),0.17,0)+IF(AND(V916&gt;175,W916&gt;=95),0.12,0),
IF(AF916="DoEVLo",IF(AND(V916&lt;20,W916&lt;55),0.25,0)+IF(AND(V916&lt;20,W916&gt;=55,W916&lt;105),0.2,0)+IF(AND(V916&lt;20,W916&gt;=105),0.15,0)+IF(AND(V916&gt;=20,V916&lt;40,W916&lt;45),0.25,0)+IF(AND(V916&gt;=20,V916&lt;40,W916&gt;=45,W916&lt;95),0.2,0)+IF(AND(V916&gt;=20,V916&lt;40,W916&gt;=95),0.15,0)+IF(AND(V916&gt;=40,V916&lt;75,W916&lt;35),0.25,0)+IF(AND(V916&gt;=40,V916&lt;75,W916&gt;=35,W916&lt;75),0.2,0)+IF(AND(V916&gt;=40,V916&lt;75,W916&gt;=75,W916&lt;120),0.15,0)+IF(AND(V916&gt;=40,V916&lt;75,W916&gt;=120),0.1,0)+IF(AND(V916&gt;=75,V916&lt;175,W916&lt;35),0.25,0)+IF(AND(V916&gt;=75,V916&lt;=175,W916&gt;=35,W916&lt;65),0.2,0)+IF(AND(V916&gt;=75,V916&lt;=175,W916&gt;=65,W916&lt;110),0.15,0)+IF(AND(V916&gt;=75,V916&lt;=175,W916&gt;=110),0.1,0)+IF(AND(V916&gt;175,W916&lt;25),0.25,0)+IF(AND(V916&gt;175,W916&gt;=25,W916&lt;55),0.2,0)+IF(AND(V916&gt;175,W916&gt;=55,W916&lt;95),0.15,0)+IF(AND(V916&gt;175,W916&gt;=95),0.1,0))))))))))))))))</f>
        <v>0.2</v>
      </c>
      <c r="Y916" s="35">
        <f t="shared" ref="Y916:Y918" si="138">if(AG916="None",0,if(AG916="Fix5",0.05,if(AG916="Fix3.75",0.0375,if(AG916="Fix10",0.1,if(AG916="Fix3",0.03,0)))))</f>
        <v>0</v>
      </c>
      <c r="Z916" s="40">
        <f t="shared" si="135"/>
        <v>1099.2</v>
      </c>
      <c r="AA916" s="34">
        <f t="shared" si="136"/>
        <v>274.8</v>
      </c>
      <c r="AB916" s="41">
        <f t="shared" si="130"/>
        <v>0</v>
      </c>
      <c r="AC916" s="42" t="b">
        <v>1</v>
      </c>
      <c r="AD916" s="42" t="s">
        <v>138</v>
      </c>
      <c r="AE916" s="42" t="s">
        <v>138</v>
      </c>
      <c r="AF916" s="42" t="str">
        <f t="array" ref="AF916">INDEX('Deal Info'!D:D, MATCH(A916,'Deal Info'!A:A, 0))</f>
        <v>DoEVLo</v>
      </c>
      <c r="AG916" s="43" t="str">
        <f t="array" ref="AG916">INDEX('Deal Info'!G:G, MATCH(A916,'Deal Info'!A:A, 0))</f>
        <v>None</v>
      </c>
    </row>
    <row r="917" hidden="1">
      <c r="A917" s="23" t="str">
        <f t="array" ref="A917">if(G917='Room Info'!$B$1, INDEX('Room Info'!$A$2:$A3446, MATCH(B917,'Room Info'!$B$2:$B3446, 0)),if(G917='Room Info'!$C$1, INDEX('Room Info'!$A$2:$A3446, MATCH(B917,'Room Info'!$C$2:$C3446, 0)),if(G917='Room Info'!$D$1, INDEX('Room Info'!$A$2:$A3446, MATCH(B917,'Room Info'!$D$2:$D3446, 0)),if(G917='Room Info'!$E$1, INDEX('Room Info'!$A$2:$A3446, MATCH(B917,'Room Info'!$E$2:$E3446, 0)),if(G917='Room Info'!$F$1, INDEX('Room Info'!$A$2:$A3446, MATCH(B917,'Room Info'!$F$2:$F3446, 0)),if(G917='Room Info'!$H$1, INDEX('Room Info'!$A$2:$A3446, MATCH(B917,'Room Info'!$H$2:$H3446, 0)),if(G917='Room Info'!$G$1, INDEX('Room Info'!$A$2:$A3446, MATCH(B917,'Room Info'!$G$2:$G3446, 0)))))))))</f>
        <v>Lo4io</v>
      </c>
      <c r="B917" s="50" t="s">
        <v>158</v>
      </c>
      <c r="C917" s="97">
        <v>44855.0</v>
      </c>
      <c r="D917" s="97">
        <v>44885.0</v>
      </c>
      <c r="E917" s="52">
        <v>44866.0</v>
      </c>
      <c r="F917" s="53" t="s">
        <v>4</v>
      </c>
      <c r="G917" s="50" t="s">
        <v>9</v>
      </c>
      <c r="H917" s="54" t="s">
        <v>64</v>
      </c>
      <c r="I917" s="54" t="s">
        <v>21</v>
      </c>
      <c r="J917" s="75">
        <v>25.0</v>
      </c>
      <c r="K917" s="76">
        <v>435.0</v>
      </c>
      <c r="L917" s="77">
        <v>386.0</v>
      </c>
      <c r="M917" s="81">
        <v>62.0</v>
      </c>
      <c r="N917" s="33">
        <f t="shared" si="13"/>
        <v>10875</v>
      </c>
      <c r="O917" s="50">
        <v>26796.0</v>
      </c>
      <c r="P917" s="34">
        <f t="shared" si="14"/>
        <v>61.6</v>
      </c>
      <c r="Q917" s="60"/>
      <c r="R917" s="36">
        <f t="shared" si="99"/>
        <v>62</v>
      </c>
      <c r="S917" s="78">
        <v>343.0</v>
      </c>
      <c r="T917" s="37">
        <f t="shared" si="100"/>
        <v>405</v>
      </c>
      <c r="U917" s="62">
        <v>1.028</v>
      </c>
      <c r="V917" s="74">
        <v>25.0</v>
      </c>
      <c r="W917" s="74">
        <v>55.32</v>
      </c>
      <c r="X917" s="35">
        <f t="shared" si="137"/>
        <v>0.2</v>
      </c>
      <c r="Y917" s="35">
        <f t="shared" si="138"/>
        <v>0</v>
      </c>
      <c r="Z917" s="40">
        <f t="shared" si="135"/>
        <v>322.0792</v>
      </c>
      <c r="AA917" s="34">
        <f t="shared" si="136"/>
        <v>82.9208</v>
      </c>
      <c r="AB917" s="41">
        <f t="shared" si="130"/>
        <v>0</v>
      </c>
      <c r="AC917" s="42" t="b">
        <v>1</v>
      </c>
      <c r="AD917" s="66" t="s">
        <v>140</v>
      </c>
      <c r="AE917" s="66"/>
      <c r="AF917" s="42" t="str">
        <f t="array" ref="AF917">INDEX('Deal Info'!D:D, MATCH(A917,'Deal Info'!A:A, 0))</f>
        <v>DoEVLo</v>
      </c>
      <c r="AG917" s="43" t="str">
        <f t="array" ref="AG917">INDEX('Deal Info'!G:G, MATCH(A917,'Deal Info'!A:A, 0))</f>
        <v>None</v>
      </c>
    </row>
    <row r="918" hidden="1">
      <c r="A918" s="23" t="str">
        <f t="array" ref="A918">if(G918='Room Info'!$B$1, INDEX('Room Info'!$A$2:$A3446, MATCH(B918,'Room Info'!$B$2:$B3446, 0)),if(G918='Room Info'!$C$1, INDEX('Room Info'!$A$2:$A3446, MATCH(B918,'Room Info'!$C$2:$C3446, 0)),if(G918='Room Info'!$D$1, INDEX('Room Info'!$A$2:$A3446, MATCH(B918,'Room Info'!$D$2:$D3446, 0)),if(G918='Room Info'!$E$1, INDEX('Room Info'!$A$2:$A3446, MATCH(B918,'Room Info'!$E$2:$E3446, 0)),if(G918='Room Info'!$F$1, INDEX('Room Info'!$A$2:$A3446, MATCH(B918,'Room Info'!$F$2:$F3446, 0)),if(G918='Room Info'!$H$1, INDEX('Room Info'!$A$2:$A3446, MATCH(B918,'Room Info'!$H$2:$H3446, 0)),if(G918='Room Info'!$G$1, INDEX('Room Info'!$A$2:$A3446, MATCH(B918,'Room Info'!$G$2:$G3446, 0)))))))))</f>
        <v>Lo4io</v>
      </c>
      <c r="B918" s="50" t="s">
        <v>158</v>
      </c>
      <c r="C918" s="97">
        <v>44886.0</v>
      </c>
      <c r="D918" s="97">
        <v>44915.0</v>
      </c>
      <c r="E918" s="52">
        <v>44896.0</v>
      </c>
      <c r="F918" s="53" t="s">
        <v>4</v>
      </c>
      <c r="G918" s="50" t="s">
        <v>9</v>
      </c>
      <c r="H918" s="54" t="s">
        <v>64</v>
      </c>
      <c r="I918" s="54" t="s">
        <v>21</v>
      </c>
      <c r="J918" s="75">
        <v>25.0</v>
      </c>
      <c r="K918" s="76">
        <v>727.0</v>
      </c>
      <c r="L918" s="77">
        <v>2759.0</v>
      </c>
      <c r="M918" s="81">
        <v>4.0</v>
      </c>
      <c r="N918" s="33">
        <f t="shared" si="13"/>
        <v>18175</v>
      </c>
      <c r="O918" s="50">
        <v>71641.0</v>
      </c>
      <c r="P918" s="34">
        <f t="shared" si="14"/>
        <v>98.54332875</v>
      </c>
      <c r="Q918" s="60"/>
      <c r="R918" s="36">
        <f t="shared" si="99"/>
        <v>4</v>
      </c>
      <c r="S918" s="78">
        <v>1692.0</v>
      </c>
      <c r="T918" s="37">
        <f t="shared" si="100"/>
        <v>1696</v>
      </c>
      <c r="U918" s="62">
        <v>1.061</v>
      </c>
      <c r="V918" s="74">
        <v>59.40509231326173</v>
      </c>
      <c r="W918" s="74">
        <v>25.570198460257167</v>
      </c>
      <c r="X918" s="35">
        <f t="shared" si="137"/>
        <v>0.25</v>
      </c>
      <c r="Y918" s="35">
        <f t="shared" si="138"/>
        <v>0</v>
      </c>
      <c r="Z918" s="40">
        <f t="shared" si="135"/>
        <v>1246.197</v>
      </c>
      <c r="AA918" s="34">
        <f t="shared" si="136"/>
        <v>449.803</v>
      </c>
      <c r="AB918" s="41">
        <f t="shared" si="130"/>
        <v>0</v>
      </c>
      <c r="AC918" s="42" t="b">
        <v>1</v>
      </c>
      <c r="AD918" s="66" t="s">
        <v>140</v>
      </c>
      <c r="AE918" s="66"/>
      <c r="AF918" s="42" t="str">
        <f t="array" ref="AF918">INDEX('Deal Info'!D:D, MATCH(A918,'Deal Info'!A:A, 0))</f>
        <v>DoEVLo</v>
      </c>
      <c r="AG918" s="43" t="str">
        <f t="array" ref="AG918">INDEX('Deal Info'!G:G, MATCH(A918,'Deal Info'!A:A, 0))</f>
        <v>None</v>
      </c>
    </row>
    <row r="919" hidden="1">
      <c r="A919" s="23" t="str">
        <f t="array" ref="A919">if(G919='Room Info'!$B$1, INDEX('Room Info'!$A$2:$A3446, MATCH(B919,'Room Info'!$B$2:$B3446, 0)),if(G919='Room Info'!$C$1, INDEX('Room Info'!$A$2:$A3446, MATCH(B919,'Room Info'!$C$2:$C3446, 0)),if(G919='Room Info'!$D$1, INDEX('Room Info'!$A$2:$A3446, MATCH(B919,'Room Info'!$D$2:$D3446, 0)),if(G919='Room Info'!$E$1, INDEX('Room Info'!$A$2:$A3446, MATCH(B919,'Room Info'!$E$2:$E3446, 0)),if(G919='Room Info'!$F$1, INDEX('Room Info'!$A$2:$A3446, MATCH(B919,'Room Info'!$F$2:$F3446, 0)),if(G919='Room Info'!$H$1, INDEX('Room Info'!$A$2:$A3446, MATCH(B919,'Room Info'!$H$2:$H3446, 0)),if(G919='Room Info'!$G$1, INDEX('Room Info'!$A$2:$A3446, MATCH(B919,'Room Info'!$G$2:$G3446, 0)))))))))</f>
        <v>Lo4io</v>
      </c>
      <c r="B919" s="50" t="s">
        <v>156</v>
      </c>
      <c r="C919" s="82">
        <v>44855.0</v>
      </c>
      <c r="D919" s="82">
        <v>44885.0</v>
      </c>
      <c r="E919" s="52">
        <v>44866.0</v>
      </c>
      <c r="F919" s="53" t="s">
        <v>4</v>
      </c>
      <c r="G919" s="50" t="s">
        <v>5</v>
      </c>
      <c r="H919" s="54" t="s">
        <v>62</v>
      </c>
      <c r="I919" s="54" t="s">
        <v>7</v>
      </c>
      <c r="J919" s="79">
        <v>25.0</v>
      </c>
      <c r="K919" s="80">
        <v>110.0</v>
      </c>
      <c r="L919" s="77">
        <v>575.0</v>
      </c>
      <c r="M919" s="81">
        <v>26.0</v>
      </c>
      <c r="N919" s="33">
        <f t="shared" si="13"/>
        <v>2750</v>
      </c>
      <c r="O919" s="50">
        <v>7648.0</v>
      </c>
      <c r="P919" s="34">
        <f t="shared" si="14"/>
        <v>69.52727273</v>
      </c>
      <c r="Q919" s="60"/>
      <c r="R919" s="36">
        <f t="shared" si="99"/>
        <v>26</v>
      </c>
      <c r="S919" s="78">
        <v>192.0</v>
      </c>
      <c r="T919" s="37">
        <f t="shared" si="100"/>
        <v>218</v>
      </c>
      <c r="U919" s="62">
        <v>1.0</v>
      </c>
      <c r="V919" s="63"/>
      <c r="W919" s="63"/>
      <c r="X919" s="83">
        <v>0.25</v>
      </c>
      <c r="Y919" s="35">
        <f t="shared" ref="Y919:Y920" si="139">if(AG919="None",0,if(AG919="Fix5",0.05, if(AG919="Fix6.25",0.0625,if(AG919="Fix3.75",0.0375,if(AG919="Fix10",0.1,if(AG919="Fix3",0.03,0))))))</f>
        <v>0</v>
      </c>
      <c r="Z919" s="40">
        <f t="shared" si="135"/>
        <v>163.5</v>
      </c>
      <c r="AA919" s="34">
        <f t="shared" si="136"/>
        <v>54.5</v>
      </c>
      <c r="AB919" s="41">
        <f t="shared" si="130"/>
        <v>0</v>
      </c>
      <c r="AC919" s="42" t="b">
        <v>1</v>
      </c>
      <c r="AD919" s="42" t="s">
        <v>138</v>
      </c>
      <c r="AE919" s="42" t="s">
        <v>138</v>
      </c>
      <c r="AF919" s="42" t="str">
        <f t="array" ref="AF919">INDEX('Deal Info'!D:D, MATCH(A919,'Deal Info'!A:A, 0))</f>
        <v>DoEVLo</v>
      </c>
      <c r="AG919" s="43" t="str">
        <f t="array" ref="AG919">INDEX('Deal Info'!G:G, MATCH(A919,'Deal Info'!A:A, 0))</f>
        <v>None</v>
      </c>
    </row>
    <row r="920" hidden="1">
      <c r="A920" s="23" t="str">
        <f t="array" ref="A920">if(G920='Room Info'!$B$1, INDEX('Room Info'!$A$2:$A3446, MATCH(B920,'Room Info'!$B$2:$B3446, 0)),if(G920='Room Info'!$C$1, INDEX('Room Info'!$A$2:$A3446, MATCH(B920,'Room Info'!$C$2:$C3446, 0)),if(G920='Room Info'!$D$1, INDEX('Room Info'!$A$2:$A3446, MATCH(B920,'Room Info'!$D$2:$D3446, 0)),if(G920='Room Info'!$E$1, INDEX('Room Info'!$A$2:$A3446, MATCH(B920,'Room Info'!$E$2:$E3446, 0)),if(G920='Room Info'!$F$1, INDEX('Room Info'!$A$2:$A3446, MATCH(B920,'Room Info'!$F$2:$F3446, 0)),if(G920='Room Info'!$H$1, INDEX('Room Info'!$A$2:$A3446, MATCH(B920,'Room Info'!$H$2:$H3446, 0)),if(G920='Room Info'!$G$1, INDEX('Room Info'!$A$2:$A3446, MATCH(B920,'Room Info'!$G$2:$G3446, 0)))))))))</f>
        <v>Lo4io</v>
      </c>
      <c r="B920" s="50" t="s">
        <v>156</v>
      </c>
      <c r="C920" s="51">
        <v>44855.0</v>
      </c>
      <c r="D920" s="51">
        <v>44885.0</v>
      </c>
      <c r="E920" s="52">
        <v>44866.0</v>
      </c>
      <c r="F920" s="53" t="s">
        <v>12</v>
      </c>
      <c r="G920" s="50" t="s">
        <v>5</v>
      </c>
      <c r="H920" s="54" t="s">
        <v>63</v>
      </c>
      <c r="I920" s="54" t="s">
        <v>11</v>
      </c>
      <c r="J920" s="55">
        <v>25.0</v>
      </c>
      <c r="K920" s="56">
        <v>360.0</v>
      </c>
      <c r="L920" s="57">
        <v>675.0</v>
      </c>
      <c r="M920" s="58">
        <v>85.0</v>
      </c>
      <c r="N920" s="33">
        <f t="shared" si="13"/>
        <v>9000</v>
      </c>
      <c r="O920" s="59">
        <v>9360.0</v>
      </c>
      <c r="P920" s="34">
        <f t="shared" si="14"/>
        <v>26</v>
      </c>
      <c r="Q920" s="60"/>
      <c r="R920" s="36">
        <f t="shared" si="99"/>
        <v>85</v>
      </c>
      <c r="S920" s="61"/>
      <c r="T920" s="37">
        <f t="shared" si="100"/>
        <v>760</v>
      </c>
      <c r="U920" s="62">
        <v>1.0</v>
      </c>
      <c r="V920" s="63"/>
      <c r="W920" s="63"/>
      <c r="X920" s="83">
        <v>0.25</v>
      </c>
      <c r="Y920" s="35">
        <f t="shared" si="139"/>
        <v>0</v>
      </c>
      <c r="Z920" s="40">
        <f t="shared" si="135"/>
        <v>570</v>
      </c>
      <c r="AA920" s="34">
        <f t="shared" si="136"/>
        <v>190</v>
      </c>
      <c r="AB920" s="41">
        <f t="shared" si="130"/>
        <v>0</v>
      </c>
      <c r="AC920" s="42" t="b">
        <v>1</v>
      </c>
      <c r="AD920" s="42" t="s">
        <v>138</v>
      </c>
      <c r="AE920" s="42" t="s">
        <v>138</v>
      </c>
      <c r="AF920" s="42" t="str">
        <f t="array" ref="AF920">INDEX('Deal Info'!D:D, MATCH(A920,'Deal Info'!A:A, 0))</f>
        <v>DoEVLo</v>
      </c>
      <c r="AG920" s="43" t="str">
        <f t="array" ref="AG920">INDEX('Deal Info'!G:G, MATCH(A920,'Deal Info'!A:A, 0))</f>
        <v>None</v>
      </c>
    </row>
    <row r="921" hidden="1">
      <c r="A921" s="23" t="str">
        <f t="array" ref="A921">if(G921='Room Info'!$B$1, INDEX('Room Info'!$A$2:$A3446, MATCH(B921,'Room Info'!$B$2:$B3446, 0)),if(G921='Room Info'!$C$1, INDEX('Room Info'!$A$2:$A3446, MATCH(B921,'Room Info'!$C$2:$C3446, 0)),if(G921='Room Info'!$D$1, INDEX('Room Info'!$A$2:$A3446, MATCH(B921,'Room Info'!$D$2:$D3446, 0)),if(G921='Room Info'!$E$1, INDEX('Room Info'!$A$2:$A3446, MATCH(B921,'Room Info'!$E$2:$E3446, 0)),if(G921='Room Info'!$F$1, INDEX('Room Info'!$A$2:$A3446, MATCH(B921,'Room Info'!$F$2:$F3446, 0)),if(G921='Room Info'!$H$1, INDEX('Room Info'!$A$2:$A3446, MATCH(B921,'Room Info'!$H$2:$H3446, 0)),if(G921='Room Info'!$G$1, INDEX('Room Info'!$A$2:$A3446, MATCH(B921,'Room Info'!$G$2:$G3446, 0)))))))))</f>
        <v>Lo4io</v>
      </c>
      <c r="B921" s="50" t="s">
        <v>158</v>
      </c>
      <c r="C921" s="51">
        <v>44916.0</v>
      </c>
      <c r="D921" s="51">
        <v>44946.0</v>
      </c>
      <c r="E921" s="52">
        <v>44927.0</v>
      </c>
      <c r="F921" s="53" t="s">
        <v>4</v>
      </c>
      <c r="G921" s="59" t="s">
        <v>9</v>
      </c>
      <c r="H921" s="54" t="s">
        <v>64</v>
      </c>
      <c r="I921" s="54" t="s">
        <v>21</v>
      </c>
      <c r="J921" s="75">
        <v>25.0</v>
      </c>
      <c r="K921" s="76">
        <v>993.0</v>
      </c>
      <c r="L921" s="57">
        <v>-380.0</v>
      </c>
      <c r="M921" s="58">
        <v>706.0</v>
      </c>
      <c r="N921" s="33">
        <f t="shared" si="13"/>
        <v>24825</v>
      </c>
      <c r="O921" s="59">
        <v>56313.0</v>
      </c>
      <c r="P921" s="34">
        <f t="shared" si="14"/>
        <v>56.70996979</v>
      </c>
      <c r="Q921" s="60"/>
      <c r="R921" s="36">
        <f t="shared" si="99"/>
        <v>706</v>
      </c>
      <c r="S921" s="61">
        <v>471.0</v>
      </c>
      <c r="T921" s="37">
        <f t="shared" si="100"/>
        <v>1177</v>
      </c>
      <c r="U921" s="62">
        <v>1.086</v>
      </c>
      <c r="V921" s="74">
        <v>43.526543878656554</v>
      </c>
      <c r="W921" s="74">
        <v>93.73590541381456</v>
      </c>
      <c r="X921" s="35">
        <f t="shared" ref="X921:X922" si="140">IF(AF921="DoEV",IF(AND(V921&lt;20,W921&lt;55),0.3,0)+IF(AND(V921&lt;20,W921&gt;=55,W921&lt;105),0.23,0)+IF(AND(V921&lt;20,W921&gt;=105),0.17,0)+IF(AND(V921&gt;=20,V921&lt;40,W921&lt;45),0.3,0)+IF(AND(V921&gt;=20,V921&lt;40,W921&gt;=45,W921&lt;95),0.23,0)+IF(AND(V921&gt;=20,V921&lt;40,W921&gt;=95),0.17,0)+IF(AND(V921&gt;=40,V921&lt;75,W921&lt;35),0.3,0)+IF(AND(V921&gt;=40,V921&lt;75,W921&gt;=35,W921&lt;75),0.23,0)+IF(AND(V921&gt;=40,V921&lt;75,W921&gt;=75,W921&lt;120),0.17,0)+IF(AND(V921&gt;=40,V921&lt;75,W921&gt;=120),0.12,0)+IF(AND(V921&gt;=75,V921&lt;175,W921&lt;35),0.3,0)+IF(AND(V921&gt;=75,V921&lt;=175,W921&gt;=35,W921&lt;65),0.23,0)+IF(AND(V921&gt;=75,V921&lt;=175,W921&gt;=65,W921&lt;110),0.17,0)+IF(AND(V921&gt;=75,V921&lt;=175,W921&gt;=110),0.12,0)+IF(AND(V921&gt;175,W921&lt;25),0.3,0)+IF(AND(V921&gt;175,W921&gt;=25,W921&lt;55),0.23,0)+IF(AND(V921&gt;175,W921&gt;=55,W921&lt;95),0.17,0)+IF(AND(V921&gt;175,W921&gt;=95),0.12,0),
IF(AF921="Fix15",0.15,
IF(AF921="Fix11.25",0.1125,
IF(AF921="Fix10",0.1,
IF(AF921="Fix9",0.09,
IF(AF921="DoEV2017",IF(AND(W921&lt;74),0.2,0)+IF(AND(W921&gt;=74),0.17,0),
IF(AF921="SF",IF(AND(V921&lt;20,W921&lt;89),0.3,0)+IF(AND(V921&lt;20,W921&gt;=89),0.25,0)+IF(AND(V921&gt;=20,V921&lt;40,W921&lt;74),0.3,0)+IF(AND(V921&gt;=20,V921&lt;40,W921&gt;=75),0.22,0)+IF(AND(V921&gt;=40,V921&lt;75,W921&lt;75),0.26,0)+IF(AND(V921&gt;=40,V921&lt;75,W921&gt;=75),0.22,0)+IF(V921&gt;=75,0.22,0),
IF(AF921="DoEVold",IF(AND(V921&lt;40,W921&lt;35),0.35,0)+IF(AND(V921&lt;40,W921&gt;=35,W921&lt;75),0.25,0)+IF(AND(V921&lt;40,W921&gt;=75),0.17,0)+IF(AND(V921&gt;=40,V921&lt;75,W921&lt;25),0.35,0)+IF(AND(V921&gt;=40,V921&lt;75,W921&gt;=25,W921&lt;65),0.25,0)+IF(AND(V921&gt;=40,V921&lt;75,W921&gt;=65,W921&lt;100),0.17,0)+IF(AND(V921&gt;=40,V921&lt;75,W921&gt;=100),0.1,0)+IF(AND(V921&gt;=75,W921&lt;25),0.35,0)+IF(AND(V921&gt;=75,W921&gt;=25,W921&lt;60),0.25,0)+IF(AND(V921&gt;=75,W921&gt;=60,W921&lt;95),0.17,0)+IF(AND(V921&gt;=75,W921&gt;=95),0.1,0),
IF(AF921="DoEVold15",IF(AND(V921&lt;=40,W921&lt;35),0.35,0)+IF(AND(V921&lt;=40,W921&gt;=35,W921&lt;75),0.25,0)+IF(AND(V921&lt;=40,W921&gt;=75,W921&lt;120),0.17,0)+IF(AND(V921&lt;=40,W921&gt;=120),0.15,0)+IF(AND(V921&gt;40,V921&lt;75,W921&lt;25),0.35,0)+IF(AND(V921&gt;=40,V921&lt;75,W921&gt;=25,W921&lt;65),0.25,0)+IF(AND(V921&gt;=40,V921&lt;75,W921&gt;=65,W921&lt;100),0.17,0)+IF(AND(V921&gt;=40,V921&lt;75,W921&gt;=100),0.1,0)+IF(AND(V921&gt;=75,W921&lt;25),0.35,0)+IF(AND(V921&gt;=75,W921&gt;=25,W921&lt;60),0.25,0)+IF(AND(V921&gt;=75,W921&gt;=60,W921&lt;95),0.17,0)+IF(AND(V921&gt;=75,W921&gt;=95),0.1,0),
IF(AF921="DoEVba",IF(AND(V921&lt;20,W921&lt;105),0.2,0)+IF(AND(V921&lt;20,W921&gt;=105),0.15,0)+IF(AND(V921&gt;=20,V921&lt;40,W921&lt;95),0.2,0)+IF(AND(V921&gt;=20,V921&lt;40,W921&gt;=95,W921&lt;150),0.15,0)+IF(AND(V921&gt;=20,V921&lt;40,W921&gt;=150),0.12,0)+IF(AND(V921&gt;=40,V921&lt;75,W921&lt;75),0.2,0)+IF(AND(V921&gt;=40,V921&lt;75,W921&gt;=75,W921&lt;120),0.15,0)+IF(AND(V921&gt;=40,V921&lt;75,W921&gt;=120),0.12,0)+IF(AND(V921&gt;=75,V921&lt;175,W921&lt;65),0.2,0)+IF(AND(V921&gt;=75,V921&lt;175,W921&gt;=65,W921&lt;110),0.15,0)+IF(AND(V921&gt;=75,V921&lt;175,W921&gt;=110),0.12,0)+IF(AND(V921&gt;=175,W921&lt;55),0.2,0)+IF(AND(V921&gt;=175,W921&gt;=55,W921&lt;95),0.15,0)+IF(AND(V921&gt;=175,W921&gt;=95),0.12,0),
IF(AF921="DoEVku",IF(AND(V921&lt;20,W921&lt;55),0.23,0)+IF(AND(V921&lt;20,W921&gt;=55,W921&lt;105),0.2,0)+IF(AND(V921&lt;20,W921&gt;=105),0.17,0)+IF(AND(V921&gt;=20,V921&lt;40,W921&lt;45),0.23,0)+IF(AND(V921&gt;=20,V921&lt;40,W921&gt;=45,W921&lt;95),0.2,0)+IF(AND(V921&gt;=20,V921&lt;40,W921&gt;=95,W921&lt;=150),0.17,0)+IF(AND(V921&gt;=20,V921&lt;40,W921&gt;=150),0.12,0)+IF(AND(V921&gt;=40,V921&lt;75,W921&lt;35),0.23,0)+IF(AND(V921&gt;=40,V921&lt;75,W921&gt;=35,W921&lt;75),0.2,0)+IF(AND(V921&gt;=40,V921&lt;75,W921&gt;=75,W921&lt;120),0.17,0)+IF(AND(V921&gt;=40,V921&lt;75,W921&gt;=120),0.12,0)+IF(AND(V921&gt;=75,V921&lt;175,W921&lt;35),0.23,0)+IF(AND(V921&gt;=75,V921&lt;=175,W921&gt;=35,W921&lt;65),0.2,0)+IF(AND(V921&gt;=75,V921&lt;=175,W921&gt;=65,W921&lt;110),0.17,0)+IF(AND(V921&gt;=75,V921&lt;=175,W921&gt;=110),0.12,0)+IF(AND(V921&gt;175,W921&lt;25),0.23,0)+IF(AND(V921&gt;175,W921&gt;=25,W921&lt;55),0.2,0)+IF(AND(V921&gt;175,W921&gt;=55,W921&lt;95),0.17,0)+IF(AND(V921&gt;175,W921&gt;=95),0.12,0),
IF(AF921="DoEVs1",IF(AND(V921&lt;20,W921&lt;55),0.3,0)+IF(AND(V921&lt;20,W921&gt;=55,W921&lt;105),0.23,0)+IF(AND(V921&lt;20,W921&gt;=105),0.17,0)+IF(AND(V921&gt;=20,V921&lt;40,W921&lt;45),0.3,0)+IF(AND(V921&gt;=20,V921&lt;40,W921&gt;=45,W921&lt;95),0.23,0)+IF(AND(V921&gt;=20,V921&lt;40,W921&gt;=95,W921&lt;=150),0.17,0)+IF(AND(V921&gt;=20,V921&lt;40,W921&gt;=150),0.12,0)+IF(AND(V921&gt;=40,V921&lt;75,W921&lt;35),0.3,0)+IF(AND(V921&gt;=40,V921&lt;75,W921&gt;=35,W921&lt;75),0.23,0)+IF(AND(V921&gt;=40,V921&lt;75,W921&gt;=75,W921&lt;120),0.17,0)+IF(AND(V921&gt;=40,V921&lt;75,W921&gt;=120),0.12,0)+IF(AND(V921&gt;=75,V921&lt;175,W921&lt;35),0.3,0)+IF(AND(V921&gt;=75,V921&lt;=175,W921&gt;=35,W921&lt;65),0.23,0)+IF(AND(V921&gt;=75,V921&lt;=175,W921&gt;=65,W921&lt;110),0.17,0)+IF(AND(V921&gt;=75,V921&lt;=175,W921&gt;=110),0.12,0)+IF(AND(V921&gt;175,W921&lt;25),0.3,0)+IF(AND(V921&gt;175,W921&gt;=25,W921&lt;55),0.23,0)+IF(AND(V921&gt;175,W921&gt;=55,W921&lt;95),0.17,0)+IF(AND(V921&gt;175,W921&gt;=95),0.12,0),
IF(AF921="DoEVsu",IF(AND(V921&lt;20,W921&lt;55),0.3,0)+IF(AND(V921&lt;20,W921&gt;=55,W921&lt;105),0.23,0)+IF(AND(V921&lt;20,W921&gt;=105),0.17,0)+IF(AND(V921&gt;=20,V921&lt;40,W921&lt;45),0.3,0)+IF(AND(V921&gt;=20,V921&lt;40,W921&gt;=45,W921&lt;95),0.23,0)+IF(AND(V921&gt;=20,V921&lt;40,W921&gt;=95,W921&lt;=250),0.17,0)+IF(AND(V921&gt;=20,V921&lt;40,W921&gt;=250),0.12,0)+IF(AND(V921&gt;=40,V921&lt;75,W921&lt;35),0.3,0)+IF(AND(V921&gt;=40,V921&lt;75,W921&gt;=35,W921&lt;75),0.23,0)+IF(AND(V921&gt;=40,V921&lt;75,W921&gt;=75,W921&lt;120),0.17,0)+IF(AND(V921&gt;=40,V921&lt;75,W921&gt;=120),0.12,0)+IF(AND(V921&gt;=75,V921&lt;175,W921&lt;35),0.3,0)+IF(AND(V921&gt;=75,V921&lt;=175,W921&gt;=35,W921&lt;65),0.23,0)+IF(AND(V921&gt;=75,V921&lt;=175,W921&gt;=65,W921&lt;110),0.17,0)+IF(AND(V921&gt;=75,V921&lt;=175,W921&gt;=110),0.12,0)+IF(AND(V921&gt;175,W921&lt;25),0.3,0)+IF(AND(V921&gt;175,W921&gt;=25,W921&lt;55),0.23,0)+IF(AND(V921&gt;175,W921&gt;=55,W921&lt;95),0.17,0)+IF(AND(V921&gt;175,W921&gt;=95),0.12,0),
IF(AF921="DoEVni",IF(AND(V921&lt;20,W921&lt;55),0.3,0)+IF(AND(V921&lt;20,W921&gt;=55,W921&lt;105),0.23,0)+IF(AND(V921&lt;20,W921&gt;=105),0.17,0)+IF(AND(V921&gt;=20,V921&lt;40,W921&lt;45),0.3,0)+IF(AND(V921&gt;=20,V921&lt;40,W921&gt;=45,W921&lt;95),0.23,0)+IF(AND(V921&gt;=20,V921&lt;40,W921&gt;=95,W921&lt;=200),0.17,0)+IF(AND(V921&gt;=20,V921&lt;40,W921&gt;=200),0.12,0)+IF(AND(V921&gt;=40,V921&lt;75,W921&lt;35),0.3,0)+IF(AND(V921&gt;=40,V921&lt;75,W921&gt;=35,W921&lt;75),0.23,0)+IF(AND(V921&gt;=40,V921&lt;75,W921&gt;=75,W921&lt;120),0.17,0)+IF(AND(V921&gt;=40,V921&lt;75,W921&gt;=120),0.12,0)+IF(AND(V921&gt;=75,V921&lt;175,W921&lt;35),0.3,0)+IF(AND(V921&gt;=75,V921&lt;=175,W921&gt;=35,W921&lt;65),0.23,0)+IF(AND(V921&gt;=75,V921&lt;=175,W921&gt;=65,W921&lt;110),0.17,0)+IF(AND(V921&gt;=75,V921&lt;=175,W921&gt;=110),0.12,0)+IF(AND(V921&gt;175,W921&lt;25),0.3,0)+IF(AND(V921&gt;175,W921&gt;=25,W921&lt;55),0.23,0)+IF(AND(V921&gt;175,W921&gt;=55,W921&lt;95),0.17,0)+IF(AND(V921&gt;175,W921&gt;=95),0.12,0),
IF(AF921="DoEVLo",IF(AND(V921&lt;20,W921&lt;55),0.25,0)+IF(AND(V921&lt;20,W921&gt;=55,W921&lt;105),0.2,0)+IF(AND(V921&lt;20,W921&gt;=105),0.15,0)+IF(AND(V921&gt;=20,V921&lt;40,W921&lt;45),0.25,0)+IF(AND(V921&gt;=20,V921&lt;40,W921&gt;=45,W921&lt;95),0.2,0)+IF(AND(V921&gt;=20,V921&lt;40,W921&gt;=95),0.15,0)+IF(AND(V921&gt;=40,V921&lt;75,W921&lt;35),0.25,0)+IF(AND(V921&gt;=40,V921&lt;75,W921&gt;=35,W921&lt;75),0.2,0)+IF(AND(V921&gt;=40,V921&lt;75,W921&gt;=75,W921&lt;120),0.15,0)+IF(AND(V921&gt;=40,V921&lt;75,W921&gt;=120),0.1,0)+IF(AND(V921&gt;=75,V921&lt;175,W921&lt;35),0.25,0)+IF(AND(V921&gt;=75,V921&lt;=175,W921&gt;=35,W921&lt;65),0.2,0)+IF(AND(V921&gt;=75,V921&lt;=175,W921&gt;=65,W921&lt;110),0.15,0)+IF(AND(V921&gt;=75,V921&lt;=175,W921&gt;=110),0.1,0)+IF(AND(V921&gt;175,W921&lt;25),0.25,0)+IF(AND(V921&gt;175,W921&gt;=25,W921&lt;55),0.2,0)+IF(AND(V921&gt;175,W921&gt;=55,W921&lt;95),0.15,0)+IF(AND(V921&gt;175,W921&gt;=95),0.1,0))))))))))))))))</f>
        <v>0.15</v>
      </c>
      <c r="Y921" s="35">
        <f t="shared" ref="Y921:Y922" si="141">if(AG921="None",0,if(AG921="Fix5",0.05,if(AG921="Fix3.75",0.0375,if(AG921="Fix10",0.1,if(AG921="Fix3",0.03,0)))))</f>
        <v>0</v>
      </c>
      <c r="Z921" s="40">
        <f t="shared" si="135"/>
        <v>994.3741</v>
      </c>
      <c r="AA921" s="34">
        <f t="shared" si="136"/>
        <v>182.6259</v>
      </c>
      <c r="AB921" s="41">
        <f t="shared" si="130"/>
        <v>0</v>
      </c>
      <c r="AC921" s="42" t="b">
        <v>1</v>
      </c>
      <c r="AD921" s="66" t="s">
        <v>140</v>
      </c>
      <c r="AE921" s="66"/>
      <c r="AF921" s="42" t="str">
        <f t="array" ref="AF921">INDEX('Deal Info'!D:D, MATCH(A921,'Deal Info'!A:A, 0))</f>
        <v>DoEVLo</v>
      </c>
      <c r="AG921" s="43" t="str">
        <f t="array" ref="AG921">INDEX('Deal Info'!G:G, MATCH(A921,'Deal Info'!A:A, 0))</f>
        <v>None</v>
      </c>
    </row>
    <row r="922" hidden="1">
      <c r="A922" s="23" t="str">
        <f t="array" ref="A922">if(G922='Room Info'!$B$1, INDEX('Room Info'!$A$2:$A3446, MATCH(B922,'Room Info'!$B$2:$B3446, 0)),if(G922='Room Info'!$C$1, INDEX('Room Info'!$A$2:$A3446, MATCH(B922,'Room Info'!$C$2:$C3446, 0)),if(G922='Room Info'!$D$1, INDEX('Room Info'!$A$2:$A3446, MATCH(B922,'Room Info'!$D$2:$D3446, 0)),if(G922='Room Info'!$E$1, INDEX('Room Info'!$A$2:$A3446, MATCH(B922,'Room Info'!$E$2:$E3446, 0)),if(G922='Room Info'!$F$1, INDEX('Room Info'!$A$2:$A3446, MATCH(B922,'Room Info'!$F$2:$F3446, 0)),if(G922='Room Info'!$H$1, INDEX('Room Info'!$A$2:$A3446, MATCH(B922,'Room Info'!$H$2:$H3446, 0)),if(G922='Room Info'!$G$1, INDEX('Room Info'!$A$2:$A3446, MATCH(B922,'Room Info'!$G$2:$G3446, 0)))))))))</f>
        <v>eternity1</v>
      </c>
      <c r="B922" s="50" t="s">
        <v>200</v>
      </c>
      <c r="C922" s="51">
        <v>44916.0</v>
      </c>
      <c r="D922" s="51">
        <v>44946.0</v>
      </c>
      <c r="E922" s="52">
        <v>44927.0</v>
      </c>
      <c r="F922" s="53" t="s">
        <v>4</v>
      </c>
      <c r="G922" s="50" t="s">
        <v>9</v>
      </c>
      <c r="H922" s="54" t="s">
        <v>64</v>
      </c>
      <c r="I922" s="54" t="s">
        <v>21</v>
      </c>
      <c r="J922" s="75">
        <v>25.0</v>
      </c>
      <c r="K922" s="76">
        <v>1666.0</v>
      </c>
      <c r="L922" s="57">
        <v>-1222.0</v>
      </c>
      <c r="M922" s="58">
        <v>15.0</v>
      </c>
      <c r="N922" s="33">
        <f t="shared" si="13"/>
        <v>41650</v>
      </c>
      <c r="O922" s="59">
        <v>44982.0</v>
      </c>
      <c r="P922" s="34">
        <f t="shared" si="14"/>
        <v>27</v>
      </c>
      <c r="Q922" s="60"/>
      <c r="R922" s="36">
        <f t="shared" si="99"/>
        <v>15</v>
      </c>
      <c r="S922" s="61">
        <v>-1535.0</v>
      </c>
      <c r="T922" s="37">
        <f t="shared" si="100"/>
        <v>-1520</v>
      </c>
      <c r="U922" s="62">
        <v>1.0</v>
      </c>
      <c r="V922" s="63">
        <v>13.0</v>
      </c>
      <c r="W922" s="63">
        <v>38.0</v>
      </c>
      <c r="X922" s="35">
        <f t="shared" si="140"/>
        <v>0.3</v>
      </c>
      <c r="Y922" s="35">
        <f t="shared" si="141"/>
        <v>0</v>
      </c>
      <c r="Z922" s="40">
        <f>IF(AND(AD922="EUR", F922="Without EV deal"), (T922*U922)-AA922-AB922, IF(AD922="EUR", (R922*U922+S922)-AA922-AB922,T922-AA922-AB922))</f>
        <v>-1064</v>
      </c>
      <c r="AA922" s="34">
        <f>IF(AND(AD922="EUR", F922="Without EV deal"), (T922*X922)*U922, IF(AD922="EUR", (R922*U922+S922)*X922, T922*X922))
</f>
        <v>-456</v>
      </c>
      <c r="AB922" s="41">
        <f t="shared" si="130"/>
        <v>0</v>
      </c>
      <c r="AC922" s="42" t="b">
        <v>1</v>
      </c>
      <c r="AD922" s="66" t="s">
        <v>140</v>
      </c>
      <c r="AE922" s="66"/>
      <c r="AF922" s="42" t="str">
        <f t="array" ref="AF922">INDEX('Deal Info'!D:D, MATCH(A922,'Deal Info'!A:A, 0))</f>
        <v>DoEV</v>
      </c>
      <c r="AG922" s="43" t="str">
        <f t="array" ref="AG922">INDEX('Deal Info'!G:G, MATCH(A922,'Deal Info'!A:A, 0))</f>
        <v>None</v>
      </c>
    </row>
    <row r="923" hidden="1">
      <c r="A923" s="23" t="str">
        <f t="array" ref="A923">if(G923='Room Info'!$B$1, INDEX('Room Info'!$A$2:$A3446, MATCH(B923,'Room Info'!$B$2:$B3446, 0)),if(G923='Room Info'!$C$1, INDEX('Room Info'!$A$2:$A3446, MATCH(B923,'Room Info'!$C$2:$C3446, 0)),if(G923='Room Info'!$D$1, INDEX('Room Info'!$A$2:$A3446, MATCH(B923,'Room Info'!$D$2:$D3446, 0)),if(G923='Room Info'!$E$1, INDEX('Room Info'!$A$2:$A3446, MATCH(B923,'Room Info'!$E$2:$E3446, 0)),if(G923='Room Info'!$F$1, INDEX('Room Info'!$A$2:$A3446, MATCH(B923,'Room Info'!$F$2:$F3446, 0)),if(G923='Room Info'!$H$1, INDEX('Room Info'!$A$2:$A3446, MATCH(B923,'Room Info'!$H$2:$H3446, 0)),if(G923='Room Info'!$G$1, INDEX('Room Info'!$A$2:$A3446, MATCH(B923,'Room Info'!$G$2:$G3446, 0)))))))))</f>
        <v>Lo4io</v>
      </c>
      <c r="B923" s="50" t="s">
        <v>158</v>
      </c>
      <c r="C923" s="82">
        <v>44825.0</v>
      </c>
      <c r="D923" s="82">
        <v>44854.0</v>
      </c>
      <c r="E923" s="52">
        <v>44835.0</v>
      </c>
      <c r="F923" s="53" t="s">
        <v>4</v>
      </c>
      <c r="G923" s="50" t="s">
        <v>9</v>
      </c>
      <c r="H923" s="54" t="s">
        <v>64</v>
      </c>
      <c r="I923" s="54" t="s">
        <v>7</v>
      </c>
      <c r="J923" s="79">
        <v>25.0</v>
      </c>
      <c r="K923" s="80">
        <v>32.0</v>
      </c>
      <c r="L923" s="77">
        <v>-98.0</v>
      </c>
      <c r="M923" s="81">
        <v>1352.0</v>
      </c>
      <c r="N923" s="33">
        <f t="shared" si="13"/>
        <v>800</v>
      </c>
      <c r="O923" s="50">
        <v>2043.0</v>
      </c>
      <c r="P923" s="34">
        <f t="shared" si="14"/>
        <v>63.84375</v>
      </c>
      <c r="Q923" s="60"/>
      <c r="R923" s="36">
        <f t="shared" si="99"/>
        <v>1352</v>
      </c>
      <c r="S923" s="78">
        <v>22.0</v>
      </c>
      <c r="T923" s="37">
        <f t="shared" si="100"/>
        <v>1374</v>
      </c>
      <c r="U923" s="62">
        <v>1.0</v>
      </c>
      <c r="V923" s="63"/>
      <c r="W923" s="63"/>
      <c r="X923" s="83">
        <v>0.2</v>
      </c>
      <c r="Y923" s="35">
        <f t="shared" ref="Y923:Y943" si="142">if(AG923="None",0,if(AG923="Fix5",0.05, if(AG923="Fix6.25",0.0625,if(AG923="Fix3.75",0.0375,if(AG923="Fix10",0.1,if(AG923="Fix3",0.03,0))))))</f>
        <v>0</v>
      </c>
      <c r="Z923" s="40">
        <f t="shared" ref="Z923:Z943" si="143">T923-AA923-AB923</f>
        <v>1099.2</v>
      </c>
      <c r="AA923" s="34">
        <f t="shared" ref="AA923:AA934" si="144">if(AD923="EUR",((T923-R923)*X923)*U923+(R923*X923),(T923*X923))</f>
        <v>274.8</v>
      </c>
      <c r="AB923" s="41">
        <f t="shared" si="130"/>
        <v>0</v>
      </c>
      <c r="AC923" s="42" t="b">
        <v>1</v>
      </c>
      <c r="AD923" s="42" t="s">
        <v>138</v>
      </c>
      <c r="AE923" s="42" t="s">
        <v>138</v>
      </c>
      <c r="AF923" s="42" t="str">
        <f t="array" ref="AF923">INDEX('Deal Info'!D:D, MATCH(A923,'Deal Info'!A:A, 0))</f>
        <v>DoEVLo</v>
      </c>
      <c r="AG923" s="43" t="str">
        <f t="array" ref="AG923">INDEX('Deal Info'!G:G, MATCH(A923,'Deal Info'!A:A, 0))</f>
        <v>None</v>
      </c>
    </row>
    <row r="924" hidden="1">
      <c r="A924" s="23" t="str">
        <f t="array" ref="A924">if(G924='Room Info'!$B$1, INDEX('Room Info'!$A$2:$A3446, MATCH(B924,'Room Info'!$B$2:$B3446, 0)),if(G924='Room Info'!$C$1, INDEX('Room Info'!$A$2:$A3446, MATCH(B924,'Room Info'!$C$2:$C3446, 0)),if(G924='Room Info'!$D$1, INDEX('Room Info'!$A$2:$A3446, MATCH(B924,'Room Info'!$D$2:$D3446, 0)),if(G924='Room Info'!$E$1, INDEX('Room Info'!$A$2:$A3446, MATCH(B924,'Room Info'!$E$2:$E3446, 0)),if(G924='Room Info'!$F$1, INDEX('Room Info'!$A$2:$A3446, MATCH(B924,'Room Info'!$F$2:$F3446, 0)),if(G924='Room Info'!$H$1, INDEX('Room Info'!$A$2:$A3446, MATCH(B924,'Room Info'!$H$2:$H3446, 0)),if(G924='Room Info'!$G$1, INDEX('Room Info'!$A$2:$A3446, MATCH(B924,'Room Info'!$G$2:$G3446, 0)))))))))</f>
        <v>Lo4io</v>
      </c>
      <c r="B924" s="50" t="s">
        <v>156</v>
      </c>
      <c r="C924" s="82">
        <v>44886.0</v>
      </c>
      <c r="D924" s="82">
        <v>44915.0</v>
      </c>
      <c r="E924" s="52">
        <v>44896.0</v>
      </c>
      <c r="F924" s="53" t="s">
        <v>4</v>
      </c>
      <c r="G924" s="50" t="s">
        <v>5</v>
      </c>
      <c r="H924" s="54" t="s">
        <v>62</v>
      </c>
      <c r="I924" s="54" t="s">
        <v>7</v>
      </c>
      <c r="J924" s="79">
        <v>25.0</v>
      </c>
      <c r="K924" s="80">
        <v>379.0</v>
      </c>
      <c r="L924" s="77">
        <v>-100.0</v>
      </c>
      <c r="M924" s="81">
        <v>373.0</v>
      </c>
      <c r="N924" s="33">
        <f t="shared" si="13"/>
        <v>9475</v>
      </c>
      <c r="O924" s="50">
        <v>13363.0</v>
      </c>
      <c r="P924" s="34">
        <f t="shared" si="14"/>
        <v>35.2585752</v>
      </c>
      <c r="Q924" s="60"/>
      <c r="R924" s="36">
        <f t="shared" si="99"/>
        <v>373</v>
      </c>
      <c r="S924" s="78">
        <v>14.0</v>
      </c>
      <c r="T924" s="37">
        <f t="shared" si="100"/>
        <v>387</v>
      </c>
      <c r="U924" s="62">
        <v>1.0</v>
      </c>
      <c r="V924" s="63"/>
      <c r="W924" s="63"/>
      <c r="X924" s="83">
        <v>0.25</v>
      </c>
      <c r="Y924" s="35">
        <f t="shared" si="142"/>
        <v>0</v>
      </c>
      <c r="Z924" s="40">
        <f t="shared" si="143"/>
        <v>290.25</v>
      </c>
      <c r="AA924" s="34">
        <f t="shared" si="144"/>
        <v>96.75</v>
      </c>
      <c r="AB924" s="41">
        <f t="shared" si="130"/>
        <v>0</v>
      </c>
      <c r="AC924" s="42" t="b">
        <v>1</v>
      </c>
      <c r="AD924" s="42" t="s">
        <v>138</v>
      </c>
      <c r="AE924" s="42" t="s">
        <v>138</v>
      </c>
      <c r="AF924" s="42" t="str">
        <f t="array" ref="AF924">INDEX('Deal Info'!D:D, MATCH(A924,'Deal Info'!A:A, 0))</f>
        <v>DoEVLo</v>
      </c>
      <c r="AG924" s="43" t="str">
        <f t="array" ref="AG924">INDEX('Deal Info'!G:G, MATCH(A924,'Deal Info'!A:A, 0))</f>
        <v>None</v>
      </c>
    </row>
    <row r="925" hidden="1">
      <c r="A925" s="23" t="str">
        <f t="array" ref="A925">if(G925='Room Info'!$B$1, INDEX('Room Info'!$A$2:$A3446, MATCH(B925,'Room Info'!$B$2:$B3446, 0)),if(G925='Room Info'!$C$1, INDEX('Room Info'!$A$2:$A3446, MATCH(B925,'Room Info'!$C$2:$C3446, 0)),if(G925='Room Info'!$D$1, INDEX('Room Info'!$A$2:$A3446, MATCH(B925,'Room Info'!$D$2:$D3446, 0)),if(G925='Room Info'!$E$1, INDEX('Room Info'!$A$2:$A3446, MATCH(B925,'Room Info'!$E$2:$E3446, 0)),if(G925='Room Info'!$F$1, INDEX('Room Info'!$A$2:$A3446, MATCH(B925,'Room Info'!$F$2:$F3446, 0)),if(G925='Room Info'!$H$1, INDEX('Room Info'!$A$2:$A3446, MATCH(B925,'Room Info'!$H$2:$H3446, 0)),if(G925='Room Info'!$G$1, INDEX('Room Info'!$A$2:$A3446, MATCH(B925,'Room Info'!$G$2:$G3446, 0)))))))))</f>
        <v>Lo4io</v>
      </c>
      <c r="B925" s="50" t="s">
        <v>156</v>
      </c>
      <c r="C925" s="82">
        <v>44886.0</v>
      </c>
      <c r="D925" s="82">
        <v>44915.0</v>
      </c>
      <c r="E925" s="52">
        <v>44896.0</v>
      </c>
      <c r="F925" s="53" t="s">
        <v>4</v>
      </c>
      <c r="G925" s="50" t="s">
        <v>5</v>
      </c>
      <c r="H925" s="54" t="s">
        <v>74</v>
      </c>
      <c r="I925" s="54" t="s">
        <v>7</v>
      </c>
      <c r="J925" s="79">
        <v>50.0</v>
      </c>
      <c r="K925" s="80">
        <v>9.0</v>
      </c>
      <c r="L925" s="77">
        <v>0.0</v>
      </c>
      <c r="M925" s="81">
        <v>18.0</v>
      </c>
      <c r="N925" s="33">
        <f t="shared" si="13"/>
        <v>450</v>
      </c>
      <c r="O925" s="50">
        <v>1834.0</v>
      </c>
      <c r="P925" s="34">
        <f t="shared" si="14"/>
        <v>203.7777778</v>
      </c>
      <c r="Q925" s="60"/>
      <c r="R925" s="36">
        <f t="shared" si="99"/>
        <v>18</v>
      </c>
      <c r="S925" s="78">
        <v>141.0</v>
      </c>
      <c r="T925" s="37">
        <f t="shared" si="100"/>
        <v>159</v>
      </c>
      <c r="U925" s="62">
        <v>1.0</v>
      </c>
      <c r="V925" s="63"/>
      <c r="W925" s="63"/>
      <c r="X925" s="83">
        <v>0.25</v>
      </c>
      <c r="Y925" s="35">
        <f t="shared" si="142"/>
        <v>0</v>
      </c>
      <c r="Z925" s="40">
        <f t="shared" si="143"/>
        <v>119.25</v>
      </c>
      <c r="AA925" s="34">
        <f t="shared" si="144"/>
        <v>39.75</v>
      </c>
      <c r="AB925" s="41">
        <f t="shared" si="130"/>
        <v>0</v>
      </c>
      <c r="AC925" s="42" t="b">
        <v>1</v>
      </c>
      <c r="AD925" s="42" t="s">
        <v>138</v>
      </c>
      <c r="AE925" s="42" t="s">
        <v>138</v>
      </c>
      <c r="AF925" s="42" t="str">
        <f t="array" ref="AF925">INDEX('Deal Info'!D:D, MATCH(A925,'Deal Info'!A:A, 0))</f>
        <v>DoEVLo</v>
      </c>
      <c r="AG925" s="43" t="str">
        <f t="array" ref="AG925">INDEX('Deal Info'!G:G, MATCH(A925,'Deal Info'!A:A, 0))</f>
        <v>None</v>
      </c>
    </row>
    <row r="926" hidden="1">
      <c r="A926" s="23" t="str">
        <f t="array" ref="A926">if(G926='Room Info'!$B$1, INDEX('Room Info'!$A$2:$A3446, MATCH(B926,'Room Info'!$B$2:$B3446, 0)),if(G926='Room Info'!$C$1, INDEX('Room Info'!$A$2:$A3446, MATCH(B926,'Room Info'!$C$2:$C3446, 0)),if(G926='Room Info'!$D$1, INDEX('Room Info'!$A$2:$A3446, MATCH(B926,'Room Info'!$D$2:$D3446, 0)),if(G926='Room Info'!$E$1, INDEX('Room Info'!$A$2:$A3446, MATCH(B926,'Room Info'!$E$2:$E3446, 0)),if(G926='Room Info'!$F$1, INDEX('Room Info'!$A$2:$A3446, MATCH(B926,'Room Info'!$F$2:$F3446, 0)),if(G926='Room Info'!$H$1, INDEX('Room Info'!$A$2:$A3446, MATCH(B926,'Room Info'!$H$2:$H3446, 0)),if(G926='Room Info'!$G$1, INDEX('Room Info'!$A$2:$A3446, MATCH(B926,'Room Info'!$G$2:$G3446, 0)))))))))</f>
        <v>Lo4io</v>
      </c>
      <c r="B926" s="50" t="s">
        <v>156</v>
      </c>
      <c r="C926" s="51">
        <v>44886.0</v>
      </c>
      <c r="D926" s="51">
        <v>44915.0</v>
      </c>
      <c r="E926" s="52">
        <v>44896.0</v>
      </c>
      <c r="F926" s="53" t="s">
        <v>4</v>
      </c>
      <c r="G926" s="59" t="s">
        <v>5</v>
      </c>
      <c r="H926" s="54" t="s">
        <v>75</v>
      </c>
      <c r="I926" s="54" t="s">
        <v>11</v>
      </c>
      <c r="J926" s="55">
        <v>50.0</v>
      </c>
      <c r="K926" s="56">
        <v>3892.0</v>
      </c>
      <c r="L926" s="57">
        <v>-10250.0</v>
      </c>
      <c r="M926" s="58">
        <v>7664.0</v>
      </c>
      <c r="N926" s="33">
        <f t="shared" si="13"/>
        <v>194600</v>
      </c>
      <c r="O926" s="59">
        <v>33334.0</v>
      </c>
      <c r="P926" s="34">
        <f t="shared" si="14"/>
        <v>8.564748201</v>
      </c>
      <c r="Q926" s="60"/>
      <c r="R926" s="36">
        <f t="shared" si="99"/>
        <v>7664</v>
      </c>
      <c r="S926" s="61">
        <v>-7280.0</v>
      </c>
      <c r="T926" s="37">
        <f t="shared" si="100"/>
        <v>384</v>
      </c>
      <c r="U926" s="62">
        <v>1.0</v>
      </c>
      <c r="V926" s="63"/>
      <c r="W926" s="63"/>
      <c r="X926" s="83">
        <v>0.25</v>
      </c>
      <c r="Y926" s="35">
        <f t="shared" si="142"/>
        <v>0</v>
      </c>
      <c r="Z926" s="40">
        <f t="shared" si="143"/>
        <v>288</v>
      </c>
      <c r="AA926" s="34">
        <f t="shared" si="144"/>
        <v>96</v>
      </c>
      <c r="AB926" s="41">
        <f t="shared" si="130"/>
        <v>0</v>
      </c>
      <c r="AC926" s="42" t="b">
        <v>1</v>
      </c>
      <c r="AD926" s="42" t="s">
        <v>138</v>
      </c>
      <c r="AE926" s="42" t="s">
        <v>138</v>
      </c>
      <c r="AF926" s="42" t="str">
        <f t="array" ref="AF926">INDEX('Deal Info'!D:D, MATCH(A926,'Deal Info'!A:A, 0))</f>
        <v>DoEVLo</v>
      </c>
      <c r="AG926" s="43" t="str">
        <f t="array" ref="AG926">INDEX('Deal Info'!G:G, MATCH(A926,'Deal Info'!A:A, 0))</f>
        <v>None</v>
      </c>
    </row>
    <row r="927" hidden="1">
      <c r="A927" s="23" t="str">
        <f t="array" ref="A927">if(G927='Room Info'!$B$1, INDEX('Room Info'!$A$2:$A3446, MATCH(B927,'Room Info'!$B$2:$B3446, 0)),if(G927='Room Info'!$C$1, INDEX('Room Info'!$A$2:$A3446, MATCH(B927,'Room Info'!$C$2:$C3446, 0)),if(G927='Room Info'!$D$1, INDEX('Room Info'!$A$2:$A3446, MATCH(B927,'Room Info'!$D$2:$D3446, 0)),if(G927='Room Info'!$E$1, INDEX('Room Info'!$A$2:$A3446, MATCH(B927,'Room Info'!$E$2:$E3446, 0)),if(G927='Room Info'!$F$1, INDEX('Room Info'!$A$2:$A3446, MATCH(B927,'Room Info'!$F$2:$F3446, 0)),if(G927='Room Info'!$H$1, INDEX('Room Info'!$A$2:$A3446, MATCH(B927,'Room Info'!$H$2:$H3446, 0)),if(G927='Room Info'!$G$1, INDEX('Room Info'!$A$2:$A3446, MATCH(B927,'Room Info'!$G$2:$G3446, 0)))))))))</f>
        <v>Lo4io</v>
      </c>
      <c r="B927" s="50" t="s">
        <v>156</v>
      </c>
      <c r="C927" s="51">
        <v>44886.0</v>
      </c>
      <c r="D927" s="51">
        <v>44915.0</v>
      </c>
      <c r="E927" s="52">
        <v>44896.0</v>
      </c>
      <c r="F927" s="53" t="s">
        <v>4</v>
      </c>
      <c r="G927" s="50" t="s">
        <v>5</v>
      </c>
      <c r="H927" s="54" t="s">
        <v>85</v>
      </c>
      <c r="I927" s="54" t="s">
        <v>7</v>
      </c>
      <c r="J927" s="55">
        <v>100.0</v>
      </c>
      <c r="K927" s="56">
        <v>731.0</v>
      </c>
      <c r="L927" s="57">
        <v>-2300.0</v>
      </c>
      <c r="M927" s="58">
        <v>2399.0</v>
      </c>
      <c r="N927" s="33">
        <f t="shared" si="13"/>
        <v>73100</v>
      </c>
      <c r="O927" s="59">
        <v>12441.0</v>
      </c>
      <c r="P927" s="34">
        <f t="shared" si="14"/>
        <v>17.01915185</v>
      </c>
      <c r="Q927" s="60"/>
      <c r="R927" s="36">
        <f t="shared" si="99"/>
        <v>2399</v>
      </c>
      <c r="S927" s="61">
        <v>-1606.0</v>
      </c>
      <c r="T927" s="37">
        <f t="shared" si="100"/>
        <v>793</v>
      </c>
      <c r="U927" s="62">
        <v>1.0</v>
      </c>
      <c r="V927" s="63"/>
      <c r="W927" s="63"/>
      <c r="X927" s="83">
        <v>0.25</v>
      </c>
      <c r="Y927" s="35">
        <f t="shared" si="142"/>
        <v>0</v>
      </c>
      <c r="Z927" s="40">
        <f t="shared" si="143"/>
        <v>594.75</v>
      </c>
      <c r="AA927" s="34">
        <f t="shared" si="144"/>
        <v>198.25</v>
      </c>
      <c r="AB927" s="41">
        <f t="shared" si="130"/>
        <v>0</v>
      </c>
      <c r="AC927" s="42" t="b">
        <v>1</v>
      </c>
      <c r="AD927" s="42" t="s">
        <v>138</v>
      </c>
      <c r="AE927" s="42" t="s">
        <v>138</v>
      </c>
      <c r="AF927" s="42" t="str">
        <f t="array" ref="AF927">INDEX('Deal Info'!D:D, MATCH(A927,'Deal Info'!A:A, 0))</f>
        <v>DoEVLo</v>
      </c>
      <c r="AG927" s="43" t="str">
        <f t="array" ref="AG927">INDEX('Deal Info'!G:G, MATCH(A927,'Deal Info'!A:A, 0))</f>
        <v>None</v>
      </c>
    </row>
    <row r="928" hidden="1">
      <c r="A928" s="23" t="str">
        <f t="array" ref="A928">if(G928='Room Info'!$B$1, INDEX('Room Info'!$A$2:$A3446, MATCH(B928,'Room Info'!$B$2:$B3446, 0)),if(G928='Room Info'!$C$1, INDEX('Room Info'!$A$2:$A3446, MATCH(B928,'Room Info'!$C$2:$C3446, 0)),if(G928='Room Info'!$D$1, INDEX('Room Info'!$A$2:$A3446, MATCH(B928,'Room Info'!$D$2:$D3446, 0)),if(G928='Room Info'!$E$1, INDEX('Room Info'!$A$2:$A3446, MATCH(B928,'Room Info'!$E$2:$E3446, 0)),if(G928='Room Info'!$F$1, INDEX('Room Info'!$A$2:$A3446, MATCH(B928,'Room Info'!$F$2:$F3446, 0)),if(G928='Room Info'!$H$1, INDEX('Room Info'!$A$2:$A3446, MATCH(B928,'Room Info'!$H$2:$H3446, 0)),if(G928='Room Info'!$G$1, INDEX('Room Info'!$A$2:$A3446, MATCH(B928,'Room Info'!$G$2:$G3446, 0)))))))))</f>
        <v>Lo4io</v>
      </c>
      <c r="B928" s="50" t="s">
        <v>156</v>
      </c>
      <c r="C928" s="51">
        <v>44886.0</v>
      </c>
      <c r="D928" s="51">
        <v>44915.0</v>
      </c>
      <c r="E928" s="52">
        <v>44896.0</v>
      </c>
      <c r="F928" s="53" t="s">
        <v>4</v>
      </c>
      <c r="G928" s="50" t="s">
        <v>5</v>
      </c>
      <c r="H928" s="54" t="s">
        <v>86</v>
      </c>
      <c r="I928" s="54" t="s">
        <v>11</v>
      </c>
      <c r="J928" s="55">
        <v>100.0</v>
      </c>
      <c r="K928" s="56">
        <v>1729.0</v>
      </c>
      <c r="L928" s="57">
        <v>-6900.0</v>
      </c>
      <c r="M928" s="58">
        <v>5674.0</v>
      </c>
      <c r="N928" s="33">
        <f t="shared" si="13"/>
        <v>172900</v>
      </c>
      <c r="O928" s="59">
        <v>3126.0</v>
      </c>
      <c r="P928" s="34">
        <f t="shared" si="14"/>
        <v>1.807981492</v>
      </c>
      <c r="Q928" s="60"/>
      <c r="R928" s="36">
        <f t="shared" si="99"/>
        <v>5674</v>
      </c>
      <c r="S928" s="61">
        <v>-8337.0</v>
      </c>
      <c r="T928" s="37">
        <f t="shared" si="100"/>
        <v>-2663</v>
      </c>
      <c r="U928" s="62">
        <v>1.0</v>
      </c>
      <c r="V928" s="63"/>
      <c r="W928" s="63"/>
      <c r="X928" s="83">
        <v>0.25</v>
      </c>
      <c r="Y928" s="35">
        <f t="shared" si="142"/>
        <v>0</v>
      </c>
      <c r="Z928" s="40">
        <f t="shared" si="143"/>
        <v>-1997.25</v>
      </c>
      <c r="AA928" s="34">
        <f t="shared" si="144"/>
        <v>-665.75</v>
      </c>
      <c r="AB928" s="41">
        <f t="shared" si="130"/>
        <v>0</v>
      </c>
      <c r="AC928" s="42" t="b">
        <v>1</v>
      </c>
      <c r="AD928" s="42" t="s">
        <v>138</v>
      </c>
      <c r="AE928" s="42" t="s">
        <v>138</v>
      </c>
      <c r="AF928" s="42" t="str">
        <f t="array" ref="AF928">INDEX('Deal Info'!D:D, MATCH(A928,'Deal Info'!A:A, 0))</f>
        <v>DoEVLo</v>
      </c>
      <c r="AG928" s="43" t="str">
        <f t="array" ref="AG928">INDEX('Deal Info'!G:G, MATCH(A928,'Deal Info'!A:A, 0))</f>
        <v>None</v>
      </c>
    </row>
    <row r="929" hidden="1">
      <c r="A929" s="23" t="str">
        <f t="array" ref="A929">if(G929='Room Info'!$B$1, INDEX('Room Info'!$A$2:$A3446, MATCH(B929,'Room Info'!$B$2:$B3446, 0)),if(G929='Room Info'!$C$1, INDEX('Room Info'!$A$2:$A3446, MATCH(B929,'Room Info'!$C$2:$C3446, 0)),if(G929='Room Info'!$D$1, INDEX('Room Info'!$A$2:$A3446, MATCH(B929,'Room Info'!$D$2:$D3446, 0)),if(G929='Room Info'!$E$1, INDEX('Room Info'!$A$2:$A3446, MATCH(B929,'Room Info'!$E$2:$E3446, 0)),if(G929='Room Info'!$F$1, INDEX('Room Info'!$A$2:$A3446, MATCH(B929,'Room Info'!$F$2:$F3446, 0)),if(G929='Room Info'!$H$1, INDEX('Room Info'!$A$2:$A3446, MATCH(B929,'Room Info'!$H$2:$H3446, 0)),if(G929='Room Info'!$G$1, INDEX('Room Info'!$A$2:$A3446, MATCH(B929,'Room Info'!$G$2:$G3446, 0)))))))))</f>
        <v>Lo4io</v>
      </c>
      <c r="B929" s="50" t="s">
        <v>153</v>
      </c>
      <c r="C929" s="51">
        <v>44886.0</v>
      </c>
      <c r="D929" s="51">
        <v>44915.0</v>
      </c>
      <c r="E929" s="52">
        <v>44896.0</v>
      </c>
      <c r="F929" s="53" t="s">
        <v>4</v>
      </c>
      <c r="G929" s="50" t="s">
        <v>13</v>
      </c>
      <c r="H929" s="54" t="s">
        <v>59</v>
      </c>
      <c r="I929" s="54" t="s">
        <v>18</v>
      </c>
      <c r="J929" s="55">
        <v>20.0</v>
      </c>
      <c r="K929" s="56">
        <v>42.0</v>
      </c>
      <c r="L929" s="57">
        <v>320.0</v>
      </c>
      <c r="M929" s="58">
        <v>57.0</v>
      </c>
      <c r="N929" s="33">
        <f t="shared" si="13"/>
        <v>840</v>
      </c>
      <c r="O929" s="59">
        <v>1645.0</v>
      </c>
      <c r="P929" s="34">
        <f t="shared" si="14"/>
        <v>39.16666667</v>
      </c>
      <c r="Q929" s="60"/>
      <c r="R929" s="36">
        <f t="shared" si="99"/>
        <v>57</v>
      </c>
      <c r="S929" s="61">
        <v>33.0</v>
      </c>
      <c r="T929" s="37">
        <f t="shared" si="100"/>
        <v>90</v>
      </c>
      <c r="U929" s="62">
        <v>1.0</v>
      </c>
      <c r="V929" s="63"/>
      <c r="W929" s="63"/>
      <c r="X929" s="83">
        <v>0.25</v>
      </c>
      <c r="Y929" s="35">
        <f t="shared" si="142"/>
        <v>0</v>
      </c>
      <c r="Z929" s="40">
        <f t="shared" si="143"/>
        <v>67.5</v>
      </c>
      <c r="AA929" s="34">
        <f t="shared" si="144"/>
        <v>22.5</v>
      </c>
      <c r="AB929" s="41">
        <f t="shared" si="130"/>
        <v>0</v>
      </c>
      <c r="AC929" s="42" t="b">
        <v>1</v>
      </c>
      <c r="AD929" s="42" t="s">
        <v>138</v>
      </c>
      <c r="AE929" s="42" t="s">
        <v>138</v>
      </c>
      <c r="AF929" s="42" t="str">
        <f t="array" ref="AF929">INDEX('Deal Info'!D:D, MATCH(A929,'Deal Info'!A:A, 0))</f>
        <v>DoEVLo</v>
      </c>
      <c r="AG929" s="43" t="str">
        <f t="array" ref="AG929">INDEX('Deal Info'!G:G, MATCH(A929,'Deal Info'!A:A, 0))</f>
        <v>None</v>
      </c>
    </row>
    <row r="930" hidden="1">
      <c r="A930" s="23" t="str">
        <f t="array" ref="A930">if(G930='Room Info'!$B$1, INDEX('Room Info'!$A$2:$A3446, MATCH(B930,'Room Info'!$B$2:$B3446, 0)),if(G930='Room Info'!$C$1, INDEX('Room Info'!$A$2:$A3446, MATCH(B930,'Room Info'!$C$2:$C3446, 0)),if(G930='Room Info'!$D$1, INDEX('Room Info'!$A$2:$A3446, MATCH(B930,'Room Info'!$D$2:$D3446, 0)),if(G930='Room Info'!$E$1, INDEX('Room Info'!$A$2:$A3446, MATCH(B930,'Room Info'!$E$2:$E3446, 0)),if(G930='Room Info'!$F$1, INDEX('Room Info'!$A$2:$A3446, MATCH(B930,'Room Info'!$F$2:$F3446, 0)),if(G930='Room Info'!$H$1, INDEX('Room Info'!$A$2:$A3446, MATCH(B930,'Room Info'!$H$2:$H3446, 0)),if(G930='Room Info'!$G$1, INDEX('Room Info'!$A$2:$A3446, MATCH(B930,'Room Info'!$G$2:$G3446, 0)))))))))</f>
        <v>Lo4io</v>
      </c>
      <c r="B930" s="50" t="s">
        <v>153</v>
      </c>
      <c r="C930" s="51">
        <v>44886.0</v>
      </c>
      <c r="D930" s="51">
        <v>44915.0</v>
      </c>
      <c r="E930" s="52">
        <v>44896.0</v>
      </c>
      <c r="F930" s="53" t="s">
        <v>4</v>
      </c>
      <c r="G930" s="50" t="s">
        <v>13</v>
      </c>
      <c r="H930" s="54" t="s">
        <v>74</v>
      </c>
      <c r="I930" s="54" t="s">
        <v>18</v>
      </c>
      <c r="J930" s="55">
        <v>50.0</v>
      </c>
      <c r="K930" s="56">
        <v>72.0</v>
      </c>
      <c r="L930" s="57">
        <v>250.0</v>
      </c>
      <c r="M930" s="58">
        <v>200.0</v>
      </c>
      <c r="N930" s="33">
        <f t="shared" si="13"/>
        <v>3600</v>
      </c>
      <c r="O930" s="59">
        <v>2779.0</v>
      </c>
      <c r="P930" s="34">
        <f t="shared" si="14"/>
        <v>38.59722222</v>
      </c>
      <c r="Q930" s="60"/>
      <c r="R930" s="36">
        <f t="shared" si="99"/>
        <v>200</v>
      </c>
      <c r="S930" s="61">
        <v>136.0</v>
      </c>
      <c r="T930" s="37">
        <f t="shared" si="100"/>
        <v>336</v>
      </c>
      <c r="U930" s="62">
        <v>1.0</v>
      </c>
      <c r="V930" s="63"/>
      <c r="W930" s="63"/>
      <c r="X930" s="83">
        <v>0.25</v>
      </c>
      <c r="Y930" s="35">
        <f t="shared" si="142"/>
        <v>0</v>
      </c>
      <c r="Z930" s="40">
        <f t="shared" si="143"/>
        <v>252</v>
      </c>
      <c r="AA930" s="34">
        <f t="shared" si="144"/>
        <v>84</v>
      </c>
      <c r="AB930" s="41">
        <f t="shared" si="130"/>
        <v>0</v>
      </c>
      <c r="AC930" s="42" t="b">
        <v>1</v>
      </c>
      <c r="AD930" s="42" t="s">
        <v>138</v>
      </c>
      <c r="AE930" s="42" t="s">
        <v>138</v>
      </c>
      <c r="AF930" s="42" t="str">
        <f t="array" ref="AF930">INDEX('Deal Info'!D:D, MATCH(A930,'Deal Info'!A:A, 0))</f>
        <v>DoEVLo</v>
      </c>
      <c r="AG930" s="43" t="str">
        <f t="array" ref="AG930">INDEX('Deal Info'!G:G, MATCH(A930,'Deal Info'!A:A, 0))</f>
        <v>None</v>
      </c>
    </row>
    <row r="931" hidden="1">
      <c r="A931" s="23" t="str">
        <f t="array" ref="A931">if(G931='Room Info'!$B$1, INDEX('Room Info'!$A$2:$A3446, MATCH(B931,'Room Info'!$B$2:$B3446, 0)),if(G931='Room Info'!$C$1, INDEX('Room Info'!$A$2:$A3446, MATCH(B931,'Room Info'!$C$2:$C3446, 0)),if(G931='Room Info'!$D$1, INDEX('Room Info'!$A$2:$A3446, MATCH(B931,'Room Info'!$D$2:$D3446, 0)),if(G931='Room Info'!$E$1, INDEX('Room Info'!$A$2:$A3446, MATCH(B931,'Room Info'!$E$2:$E3446, 0)),if(G931='Room Info'!$F$1, INDEX('Room Info'!$A$2:$A3446, MATCH(B931,'Room Info'!$F$2:$F3446, 0)),if(G931='Room Info'!$H$1, INDEX('Room Info'!$A$2:$A3446, MATCH(B931,'Room Info'!$H$2:$H3446, 0)),if(G931='Room Info'!$G$1, INDEX('Room Info'!$A$2:$A3446, MATCH(B931,'Room Info'!$G$2:$G3446, 0)))))))))</f>
        <v>Lo4io</v>
      </c>
      <c r="B931" s="50" t="s">
        <v>156</v>
      </c>
      <c r="C931" s="51">
        <v>44886.0</v>
      </c>
      <c r="D931" s="51">
        <v>44915.0</v>
      </c>
      <c r="E931" s="52">
        <v>44896.0</v>
      </c>
      <c r="F931" s="53" t="s">
        <v>12</v>
      </c>
      <c r="G931" s="50" t="s">
        <v>5</v>
      </c>
      <c r="H931" s="54" t="s">
        <v>63</v>
      </c>
      <c r="I931" s="54" t="s">
        <v>11</v>
      </c>
      <c r="J931" s="55">
        <v>25.0</v>
      </c>
      <c r="K931" s="56">
        <v>32.0</v>
      </c>
      <c r="L931" s="57">
        <v>200.0</v>
      </c>
      <c r="M931" s="58">
        <v>32.0</v>
      </c>
      <c r="N931" s="33">
        <f t="shared" si="13"/>
        <v>800</v>
      </c>
      <c r="O931" s="70"/>
      <c r="P931" s="34">
        <f t="shared" si="14"/>
        <v>0</v>
      </c>
      <c r="Q931" s="60"/>
      <c r="R931" s="36">
        <f t="shared" si="99"/>
        <v>32</v>
      </c>
      <c r="S931" s="71"/>
      <c r="T931" s="37">
        <f t="shared" si="100"/>
        <v>232</v>
      </c>
      <c r="U931" s="62">
        <v>1.086</v>
      </c>
      <c r="V931" s="63"/>
      <c r="W931" s="63"/>
      <c r="X931" s="83">
        <v>0.25</v>
      </c>
      <c r="Y931" s="35">
        <f t="shared" si="142"/>
        <v>0</v>
      </c>
      <c r="Z931" s="40">
        <f t="shared" si="143"/>
        <v>169.7</v>
      </c>
      <c r="AA931" s="34">
        <f t="shared" si="144"/>
        <v>62.3</v>
      </c>
      <c r="AB931" s="41">
        <f t="shared" si="130"/>
        <v>0</v>
      </c>
      <c r="AC931" s="42" t="b">
        <v>1</v>
      </c>
      <c r="AD931" s="50" t="s">
        <v>140</v>
      </c>
      <c r="AE931" s="50"/>
      <c r="AF931" s="42" t="str">
        <f t="array" ref="AF931">INDEX('Deal Info'!D:D, MATCH(A931,'Deal Info'!A:A, 0))</f>
        <v>DoEVLo</v>
      </c>
      <c r="AG931" s="43" t="str">
        <f t="array" ref="AG931">INDEX('Deal Info'!G:G, MATCH(A931,'Deal Info'!A:A, 0))</f>
        <v>None</v>
      </c>
    </row>
    <row r="932" hidden="1">
      <c r="A932" s="23" t="str">
        <f t="array" ref="A932">if(G932='Room Info'!$B$1, INDEX('Room Info'!$A$2:$A3446, MATCH(B932,'Room Info'!$B$2:$B3446, 0)),if(G932='Room Info'!$C$1, INDEX('Room Info'!$A$2:$A3446, MATCH(B932,'Room Info'!$C$2:$C3446, 0)),if(G932='Room Info'!$D$1, INDEX('Room Info'!$A$2:$A3446, MATCH(B932,'Room Info'!$D$2:$D3446, 0)),if(G932='Room Info'!$E$1, INDEX('Room Info'!$A$2:$A3446, MATCH(B932,'Room Info'!$E$2:$E3446, 0)),if(G932='Room Info'!$F$1, INDEX('Room Info'!$A$2:$A3446, MATCH(B932,'Room Info'!$F$2:$F3446, 0)),if(G932='Room Info'!$H$1, INDEX('Room Info'!$A$2:$A3446, MATCH(B932,'Room Info'!$H$2:$H3446, 0)),if(G932='Room Info'!$G$1, INDEX('Room Info'!$A$2:$A3446, MATCH(B932,'Room Info'!$G$2:$G3446, 0)))))))))</f>
        <v>Lo4io</v>
      </c>
      <c r="B932" s="50" t="s">
        <v>158</v>
      </c>
      <c r="C932" s="82">
        <v>44855.0</v>
      </c>
      <c r="D932" s="82">
        <v>44885.0</v>
      </c>
      <c r="E932" s="52">
        <v>44866.0</v>
      </c>
      <c r="F932" s="53" t="s">
        <v>4</v>
      </c>
      <c r="G932" s="50" t="s">
        <v>9</v>
      </c>
      <c r="H932" s="54" t="s">
        <v>64</v>
      </c>
      <c r="I932" s="54" t="s">
        <v>7</v>
      </c>
      <c r="J932" s="79">
        <v>25.0</v>
      </c>
      <c r="K932" s="80">
        <v>435.0</v>
      </c>
      <c r="L932" s="77">
        <v>386.0</v>
      </c>
      <c r="M932" s="81">
        <v>62.0</v>
      </c>
      <c r="N932" s="33">
        <f t="shared" si="13"/>
        <v>10875</v>
      </c>
      <c r="O932" s="50">
        <v>26796.0</v>
      </c>
      <c r="P932" s="34">
        <f t="shared" si="14"/>
        <v>61.6</v>
      </c>
      <c r="Q932" s="60"/>
      <c r="R932" s="36">
        <f t="shared" si="99"/>
        <v>62</v>
      </c>
      <c r="S932" s="78">
        <v>343.0</v>
      </c>
      <c r="T932" s="37">
        <f t="shared" si="100"/>
        <v>405</v>
      </c>
      <c r="U932" s="62">
        <v>1.028</v>
      </c>
      <c r="V932" s="63"/>
      <c r="W932" s="63"/>
      <c r="X932" s="83">
        <v>0.25</v>
      </c>
      <c r="Y932" s="35">
        <f t="shared" si="142"/>
        <v>0</v>
      </c>
      <c r="Z932" s="40">
        <f t="shared" si="143"/>
        <v>303.75</v>
      </c>
      <c r="AA932" s="34">
        <f t="shared" si="144"/>
        <v>101.25</v>
      </c>
      <c r="AB932" s="41">
        <f t="shared" si="130"/>
        <v>0</v>
      </c>
      <c r="AC932" s="42" t="b">
        <v>1</v>
      </c>
      <c r="AD932" s="42" t="s">
        <v>138</v>
      </c>
      <c r="AE932" s="42" t="s">
        <v>138</v>
      </c>
      <c r="AF932" s="42" t="str">
        <f t="array" ref="AF932">INDEX('Deal Info'!D:D, MATCH(A932,'Deal Info'!A:A, 0))</f>
        <v>DoEVLo</v>
      </c>
      <c r="AG932" s="43" t="str">
        <f t="array" ref="AG932">INDEX('Deal Info'!G:G, MATCH(A932,'Deal Info'!A:A, 0))</f>
        <v>None</v>
      </c>
    </row>
    <row r="933" hidden="1">
      <c r="A933" s="23" t="str">
        <f t="array" ref="A933">if(G933='Room Info'!$B$1, INDEX('Room Info'!$A$2:$A3446, MATCH(B933,'Room Info'!$B$2:$B3446, 0)),if(G933='Room Info'!$C$1, INDEX('Room Info'!$A$2:$A3446, MATCH(B933,'Room Info'!$C$2:$C3446, 0)),if(G933='Room Info'!$D$1, INDEX('Room Info'!$A$2:$A3446, MATCH(B933,'Room Info'!$D$2:$D3446, 0)),if(G933='Room Info'!$E$1, INDEX('Room Info'!$A$2:$A3446, MATCH(B933,'Room Info'!$E$2:$E3446, 0)),if(G933='Room Info'!$F$1, INDEX('Room Info'!$A$2:$A3446, MATCH(B933,'Room Info'!$F$2:$F3446, 0)),if(G933='Room Info'!$H$1, INDEX('Room Info'!$A$2:$A3446, MATCH(B933,'Room Info'!$H$2:$H3446, 0)),if(G933='Room Info'!$G$1, INDEX('Room Info'!$A$2:$A3446, MATCH(B933,'Room Info'!$G$2:$G3446, 0)))))))))</f>
        <v>Lo4io</v>
      </c>
      <c r="B933" s="59" t="s">
        <v>158</v>
      </c>
      <c r="C933" s="51">
        <v>44886.0</v>
      </c>
      <c r="D933" s="51">
        <v>44915.0</v>
      </c>
      <c r="E933" s="52">
        <v>44896.0</v>
      </c>
      <c r="F933" s="50" t="s">
        <v>4</v>
      </c>
      <c r="G933" s="59" t="s">
        <v>9</v>
      </c>
      <c r="H933" s="54" t="s">
        <v>64</v>
      </c>
      <c r="I933" s="54" t="s">
        <v>21</v>
      </c>
      <c r="J933" s="79">
        <v>25.0</v>
      </c>
      <c r="K933" s="80">
        <v>727.0</v>
      </c>
      <c r="L933" s="77">
        <v>2759.0</v>
      </c>
      <c r="M933" s="58">
        <v>4.0</v>
      </c>
      <c r="N933" s="33">
        <f t="shared" si="13"/>
        <v>18175</v>
      </c>
      <c r="O933" s="50">
        <v>71641.0</v>
      </c>
      <c r="P933" s="34">
        <f t="shared" si="14"/>
        <v>98.54332875</v>
      </c>
      <c r="Q933" s="60"/>
      <c r="R933" s="36">
        <f t="shared" si="99"/>
        <v>4</v>
      </c>
      <c r="S933" s="78">
        <v>1692.0</v>
      </c>
      <c r="T933" s="37">
        <f t="shared" si="100"/>
        <v>1696</v>
      </c>
      <c r="U933" s="62">
        <v>1.061</v>
      </c>
      <c r="V933" s="63"/>
      <c r="W933" s="63"/>
      <c r="X933" s="83">
        <v>0.25</v>
      </c>
      <c r="Y933" s="35">
        <f t="shared" si="142"/>
        <v>0</v>
      </c>
      <c r="Z933" s="40">
        <f t="shared" si="143"/>
        <v>1246.197</v>
      </c>
      <c r="AA933" s="34">
        <f t="shared" si="144"/>
        <v>449.803</v>
      </c>
      <c r="AB933" s="41">
        <f t="shared" si="130"/>
        <v>0</v>
      </c>
      <c r="AC933" s="42" t="b">
        <v>1</v>
      </c>
      <c r="AD933" s="50" t="s">
        <v>140</v>
      </c>
      <c r="AE933" s="50"/>
      <c r="AF933" s="42" t="str">
        <f t="array" ref="AF933">INDEX('Deal Info'!D:D, MATCH(A933,'Deal Info'!A:A, 0))</f>
        <v>DoEVLo</v>
      </c>
      <c r="AG933" s="43" t="str">
        <f t="array" ref="AG933">INDEX('Deal Info'!G:G, MATCH(A933,'Deal Info'!A:A, 0))</f>
        <v>None</v>
      </c>
    </row>
    <row r="934" hidden="1">
      <c r="A934" s="23" t="str">
        <f t="array" ref="A934">if(G934='Room Info'!$B$1, INDEX('Room Info'!$A$2:$A3446, MATCH(B934,'Room Info'!$B$2:$B3446, 0)),if(G934='Room Info'!$C$1, INDEX('Room Info'!$A$2:$A3446, MATCH(B934,'Room Info'!$C$2:$C3446, 0)),if(G934='Room Info'!$D$1, INDEX('Room Info'!$A$2:$A3446, MATCH(B934,'Room Info'!$D$2:$D3446, 0)),if(G934='Room Info'!$E$1, INDEX('Room Info'!$A$2:$A3446, MATCH(B934,'Room Info'!$E$2:$E3446, 0)),if(G934='Room Info'!$F$1, INDEX('Room Info'!$A$2:$A3446, MATCH(B934,'Room Info'!$F$2:$F3446, 0)),if(G934='Room Info'!$H$1, INDEX('Room Info'!$A$2:$A3446, MATCH(B934,'Room Info'!$H$2:$H3446, 0)),if(G934='Room Info'!$G$1, INDEX('Room Info'!$A$2:$A3446, MATCH(B934,'Room Info'!$G$2:$G3446, 0)))))))))</f>
        <v>Lo4io</v>
      </c>
      <c r="B934" s="50" t="s">
        <v>158</v>
      </c>
      <c r="C934" s="51">
        <v>44916.0</v>
      </c>
      <c r="D934" s="51">
        <v>44946.0</v>
      </c>
      <c r="E934" s="52">
        <v>44927.0</v>
      </c>
      <c r="F934" s="53" t="s">
        <v>4</v>
      </c>
      <c r="G934" s="50" t="s">
        <v>9</v>
      </c>
      <c r="H934" s="54" t="s">
        <v>64</v>
      </c>
      <c r="I934" s="54" t="s">
        <v>21</v>
      </c>
      <c r="J934" s="55">
        <v>25.0</v>
      </c>
      <c r="K934" s="56">
        <v>993.0</v>
      </c>
      <c r="L934" s="57">
        <v>-380.0</v>
      </c>
      <c r="M934" s="58">
        <v>706.0</v>
      </c>
      <c r="N934" s="33">
        <f t="shared" si="13"/>
        <v>24825</v>
      </c>
      <c r="O934" s="59">
        <v>56313.0</v>
      </c>
      <c r="P934" s="34">
        <f t="shared" si="14"/>
        <v>56.70996979</v>
      </c>
      <c r="Q934" s="60"/>
      <c r="R934" s="36">
        <f t="shared" si="99"/>
        <v>706</v>
      </c>
      <c r="S934" s="61">
        <v>471.0</v>
      </c>
      <c r="T934" s="37">
        <f t="shared" si="100"/>
        <v>1177</v>
      </c>
      <c r="U934" s="62">
        <v>1.086</v>
      </c>
      <c r="V934" s="63"/>
      <c r="W934" s="63"/>
      <c r="X934" s="83">
        <v>0.15</v>
      </c>
      <c r="Y934" s="35">
        <f t="shared" si="142"/>
        <v>0</v>
      </c>
      <c r="Z934" s="40">
        <f t="shared" si="143"/>
        <v>994.3741</v>
      </c>
      <c r="AA934" s="34">
        <f t="shared" si="144"/>
        <v>182.6259</v>
      </c>
      <c r="AB934" s="41">
        <f t="shared" si="130"/>
        <v>0</v>
      </c>
      <c r="AC934" s="42" t="b">
        <v>1</v>
      </c>
      <c r="AD934" s="50" t="s">
        <v>140</v>
      </c>
      <c r="AE934" s="50"/>
      <c r="AF934" s="42" t="str">
        <f t="array" ref="AF934">INDEX('Deal Info'!D:D, MATCH(A934,'Deal Info'!A:A, 0))</f>
        <v>DoEVLo</v>
      </c>
      <c r="AG934" s="43" t="str">
        <f t="array" ref="AG934">INDEX('Deal Info'!G:G, MATCH(A934,'Deal Info'!A:A, 0))</f>
        <v>None</v>
      </c>
    </row>
    <row r="935" hidden="1">
      <c r="A935" s="23" t="str">
        <f t="array" ref="A935">if(G935='Room Info'!$B$1, INDEX('Room Info'!$A$2:$A3446, MATCH(B935,'Room Info'!$B$2:$B3446, 0)),if(G935='Room Info'!$C$1, INDEX('Room Info'!$A$2:$A3446, MATCH(B935,'Room Info'!$C$2:$C3446, 0)),if(G935='Room Info'!$D$1, INDEX('Room Info'!$A$2:$A3446, MATCH(B935,'Room Info'!$D$2:$D3446, 0)),if(G935='Room Info'!$E$1, INDEX('Room Info'!$A$2:$A3446, MATCH(B935,'Room Info'!$E$2:$E3446, 0)),if(G935='Room Info'!$F$1, INDEX('Room Info'!$A$2:$A3446, MATCH(B935,'Room Info'!$F$2:$F3446, 0)),if(G935='Room Info'!$H$1, INDEX('Room Info'!$A$2:$A3446, MATCH(B935,'Room Info'!$H$2:$H3446, 0)),if(G935='Room Info'!$G$1, INDEX('Room Info'!$A$2:$A3446, MATCH(B935,'Room Info'!$G$2:$G3446, 0)))))))))</f>
        <v>Mackevgen</v>
      </c>
      <c r="B935" s="50" t="s">
        <v>172</v>
      </c>
      <c r="C935" s="51">
        <v>44835.0</v>
      </c>
      <c r="D935" s="51">
        <v>44865.0</v>
      </c>
      <c r="E935" s="52">
        <v>44835.0</v>
      </c>
      <c r="F935" s="53" t="s">
        <v>8</v>
      </c>
      <c r="G935" s="59" t="s">
        <v>9</v>
      </c>
      <c r="H935" s="54" t="s">
        <v>64</v>
      </c>
      <c r="I935" s="54" t="s">
        <v>21</v>
      </c>
      <c r="J935" s="55">
        <v>25.0</v>
      </c>
      <c r="K935" s="56">
        <v>2044.0</v>
      </c>
      <c r="L935" s="57">
        <v>4175.0</v>
      </c>
      <c r="M935" s="58">
        <v>1933.0</v>
      </c>
      <c r="N935" s="33">
        <f t="shared" si="13"/>
        <v>51100</v>
      </c>
      <c r="O935" s="59">
        <v>125568.0</v>
      </c>
      <c r="P935" s="34">
        <f t="shared" si="14"/>
        <v>61.43248532</v>
      </c>
      <c r="Q935" s="60"/>
      <c r="R935" s="36">
        <f t="shared" si="99"/>
        <v>1933</v>
      </c>
      <c r="S935" s="61">
        <v>1029.0</v>
      </c>
      <c r="T935" s="37">
        <f t="shared" si="100"/>
        <v>2962</v>
      </c>
      <c r="U935" s="62">
        <v>1.0</v>
      </c>
      <c r="V935" s="63"/>
      <c r="W935" s="63"/>
      <c r="X935" s="83">
        <v>0.23</v>
      </c>
      <c r="Y935" s="35">
        <f t="shared" si="142"/>
        <v>0.1</v>
      </c>
      <c r="Z935" s="40">
        <f t="shared" si="143"/>
        <v>1984.8</v>
      </c>
      <c r="AA935" s="65">
        <v>681.0</v>
      </c>
      <c r="AB935" s="41">
        <f t="shared" si="130"/>
        <v>296.2</v>
      </c>
      <c r="AC935" s="42" t="b">
        <v>1</v>
      </c>
      <c r="AD935" s="42" t="s">
        <v>138</v>
      </c>
      <c r="AE935" s="42" t="s">
        <v>138</v>
      </c>
      <c r="AF935" s="42" t="str">
        <f t="array" ref="AF935">INDEX('Deal Info'!D:D, MATCH(A935,'Deal Info'!A:A, 0))</f>
        <v>DoEV</v>
      </c>
      <c r="AG935" s="43" t="str">
        <f t="array" ref="AG935">INDEX('Deal Info'!G:G, MATCH(A935,'Deal Info'!A:A, 0))</f>
        <v>Fix10</v>
      </c>
    </row>
    <row r="936" hidden="1">
      <c r="A936" s="23" t="str">
        <f t="array" ref="A936">if(G936='Room Info'!$B$1, INDEX('Room Info'!$A$2:$A3446, MATCH(B936,'Room Info'!$B$2:$B3446, 0)),if(G936='Room Info'!$C$1, INDEX('Room Info'!$A$2:$A3446, MATCH(B936,'Room Info'!$C$2:$C3446, 0)),if(G936='Room Info'!$D$1, INDEX('Room Info'!$A$2:$A3446, MATCH(B936,'Room Info'!$D$2:$D3446, 0)),if(G936='Room Info'!$E$1, INDEX('Room Info'!$A$2:$A3446, MATCH(B936,'Room Info'!$E$2:$E3446, 0)),if(G936='Room Info'!$F$1, INDEX('Room Info'!$A$2:$A3446, MATCH(B936,'Room Info'!$F$2:$F3446, 0)),if(G936='Room Info'!$H$1, INDEX('Room Info'!$A$2:$A3446, MATCH(B936,'Room Info'!$H$2:$H3446, 0)),if(G936='Room Info'!$G$1, INDEX('Room Info'!$A$2:$A3446, MATCH(B936,'Room Info'!$G$2:$G3446, 0)))))))))</f>
        <v>Lo4io</v>
      </c>
      <c r="B936" s="50" t="s">
        <v>156</v>
      </c>
      <c r="C936" s="104">
        <v>44916.0</v>
      </c>
      <c r="D936" s="104">
        <v>44946.0</v>
      </c>
      <c r="E936" s="52">
        <v>44927.0</v>
      </c>
      <c r="F936" s="50" t="s">
        <v>4</v>
      </c>
      <c r="G936" s="50" t="s">
        <v>5</v>
      </c>
      <c r="H936" s="54" t="s">
        <v>74</v>
      </c>
      <c r="I936" s="54" t="s">
        <v>7</v>
      </c>
      <c r="J936" s="79">
        <v>50.0</v>
      </c>
      <c r="K936" s="80">
        <v>859.0</v>
      </c>
      <c r="L936" s="77">
        <v>-150.0</v>
      </c>
      <c r="M936" s="81">
        <v>1108.0</v>
      </c>
      <c r="N936" s="33">
        <f t="shared" si="13"/>
        <v>42950</v>
      </c>
      <c r="O936" s="50">
        <v>11921.0</v>
      </c>
      <c r="P936" s="34">
        <f t="shared" si="14"/>
        <v>13.87776484</v>
      </c>
      <c r="Q936" s="60"/>
      <c r="R936" s="36">
        <f t="shared" si="99"/>
        <v>1108</v>
      </c>
      <c r="S936" s="78">
        <v>-1561.0</v>
      </c>
      <c r="T936" s="37">
        <f t="shared" si="100"/>
        <v>-453</v>
      </c>
      <c r="U936" s="62">
        <v>1.0</v>
      </c>
      <c r="V936" s="63"/>
      <c r="W936" s="63"/>
      <c r="X936" s="83">
        <v>0.15</v>
      </c>
      <c r="Y936" s="35">
        <f t="shared" si="142"/>
        <v>0</v>
      </c>
      <c r="Z936" s="40">
        <f t="shared" si="143"/>
        <v>-385.05</v>
      </c>
      <c r="AA936" s="34">
        <f t="shared" ref="AA936:AA938" si="145">if(AD936="EUR",((T936-R936)*X936)*U936+(R936*X936),(T936*X936))</f>
        <v>-67.95</v>
      </c>
      <c r="AB936" s="41">
        <f t="shared" si="130"/>
        <v>0</v>
      </c>
      <c r="AC936" s="42" t="b">
        <v>1</v>
      </c>
      <c r="AD936" s="42" t="s">
        <v>138</v>
      </c>
      <c r="AE936" s="42" t="s">
        <v>138</v>
      </c>
      <c r="AF936" s="42" t="str">
        <f t="array" ref="AF936">INDEX('Deal Info'!D:D, MATCH(A936,'Deal Info'!A:A, 0))</f>
        <v>DoEVLo</v>
      </c>
      <c r="AG936" s="43" t="str">
        <f t="array" ref="AG936">INDEX('Deal Info'!G:G, MATCH(A936,'Deal Info'!A:A, 0))</f>
        <v>None</v>
      </c>
    </row>
    <row r="937" hidden="1">
      <c r="A937" s="23" t="str">
        <f t="array" ref="A937">if(G937='Room Info'!$B$1, INDEX('Room Info'!$A$2:$A3446, MATCH(B937,'Room Info'!$B$2:$B3446, 0)),if(G937='Room Info'!$C$1, INDEX('Room Info'!$A$2:$A3446, MATCH(B937,'Room Info'!$C$2:$C3446, 0)),if(G937='Room Info'!$D$1, INDEX('Room Info'!$A$2:$A3446, MATCH(B937,'Room Info'!$D$2:$D3446, 0)),if(G937='Room Info'!$E$1, INDEX('Room Info'!$A$2:$A3446, MATCH(B937,'Room Info'!$E$2:$E3446, 0)),if(G937='Room Info'!$F$1, INDEX('Room Info'!$A$2:$A3446, MATCH(B937,'Room Info'!$F$2:$F3446, 0)),if(G937='Room Info'!$H$1, INDEX('Room Info'!$A$2:$A3446, MATCH(B937,'Room Info'!$H$2:$H3446, 0)),if(G937='Room Info'!$G$1, INDEX('Room Info'!$A$2:$A3446, MATCH(B937,'Room Info'!$G$2:$G3446, 0)))))))))</f>
        <v>Lo4io</v>
      </c>
      <c r="B937" s="50" t="s">
        <v>156</v>
      </c>
      <c r="C937" s="82">
        <v>44916.0</v>
      </c>
      <c r="D937" s="82">
        <v>44946.0</v>
      </c>
      <c r="E937" s="52">
        <v>44927.0</v>
      </c>
      <c r="F937" s="53" t="s">
        <v>4</v>
      </c>
      <c r="G937" s="50" t="s">
        <v>5</v>
      </c>
      <c r="H937" s="54" t="s">
        <v>75</v>
      </c>
      <c r="I937" s="54" t="s">
        <v>11</v>
      </c>
      <c r="J937" s="79">
        <v>50.0</v>
      </c>
      <c r="K937" s="80">
        <v>1.0</v>
      </c>
      <c r="L937" s="77">
        <v>-50.0</v>
      </c>
      <c r="M937" s="81">
        <v>1.0</v>
      </c>
      <c r="N937" s="33">
        <f t="shared" si="13"/>
        <v>50</v>
      </c>
      <c r="O937" s="50">
        <v>-163.0</v>
      </c>
      <c r="P937" s="34">
        <f t="shared" si="14"/>
        <v>-163</v>
      </c>
      <c r="Q937" s="60"/>
      <c r="R937" s="36">
        <f t="shared" si="99"/>
        <v>1</v>
      </c>
      <c r="S937" s="78">
        <v>-28.0</v>
      </c>
      <c r="T937" s="37">
        <f t="shared" si="100"/>
        <v>-27</v>
      </c>
      <c r="U937" s="62">
        <v>1.0</v>
      </c>
      <c r="V937" s="63"/>
      <c r="W937" s="63"/>
      <c r="X937" s="83">
        <v>0.15</v>
      </c>
      <c r="Y937" s="35">
        <f t="shared" si="142"/>
        <v>0</v>
      </c>
      <c r="Z937" s="40">
        <f t="shared" si="143"/>
        <v>-22.95</v>
      </c>
      <c r="AA937" s="34">
        <f t="shared" si="145"/>
        <v>-4.05</v>
      </c>
      <c r="AB937" s="41">
        <f t="shared" si="130"/>
        <v>0</v>
      </c>
      <c r="AC937" s="42" t="b">
        <v>1</v>
      </c>
      <c r="AD937" s="42" t="s">
        <v>138</v>
      </c>
      <c r="AE937" s="42" t="s">
        <v>138</v>
      </c>
      <c r="AF937" s="42" t="str">
        <f t="array" ref="AF937">INDEX('Deal Info'!D:D, MATCH(A937,'Deal Info'!A:A, 0))</f>
        <v>DoEVLo</v>
      </c>
      <c r="AG937" s="43" t="str">
        <f t="array" ref="AG937">INDEX('Deal Info'!G:G, MATCH(A937,'Deal Info'!A:A, 0))</f>
        <v>None</v>
      </c>
    </row>
    <row r="938" hidden="1">
      <c r="A938" s="23" t="str">
        <f t="array" ref="A938">if(G938='Room Info'!$B$1, INDEX('Room Info'!$A$2:$A3446, MATCH(B938,'Room Info'!$B$2:$B3446, 0)),if(G938='Room Info'!$C$1, INDEX('Room Info'!$A$2:$A3446, MATCH(B938,'Room Info'!$C$2:$C3446, 0)),if(G938='Room Info'!$D$1, INDEX('Room Info'!$A$2:$A3446, MATCH(B938,'Room Info'!$D$2:$D3446, 0)),if(G938='Room Info'!$E$1, INDEX('Room Info'!$A$2:$A3446, MATCH(B938,'Room Info'!$E$2:$E3446, 0)),if(G938='Room Info'!$F$1, INDEX('Room Info'!$A$2:$A3446, MATCH(B938,'Room Info'!$F$2:$F3446, 0)),if(G938='Room Info'!$H$1, INDEX('Room Info'!$A$2:$A3446, MATCH(B938,'Room Info'!$H$2:$H3446, 0)),if(G938='Room Info'!$G$1, INDEX('Room Info'!$A$2:$A3446, MATCH(B938,'Room Info'!$G$2:$G3446, 0)))))))))</f>
        <v>Lo4io</v>
      </c>
      <c r="B938" s="50" t="s">
        <v>156</v>
      </c>
      <c r="C938" s="51">
        <v>44916.0</v>
      </c>
      <c r="D938" s="51">
        <v>44946.0</v>
      </c>
      <c r="E938" s="52">
        <v>44927.0</v>
      </c>
      <c r="F938" s="53" t="s">
        <v>4</v>
      </c>
      <c r="G938" s="50" t="s">
        <v>5</v>
      </c>
      <c r="H938" s="54" t="s">
        <v>85</v>
      </c>
      <c r="I938" s="54" t="s">
        <v>7</v>
      </c>
      <c r="J938" s="55">
        <v>100.0</v>
      </c>
      <c r="K938" s="56">
        <v>19.0</v>
      </c>
      <c r="L938" s="111">
        <v>400.0</v>
      </c>
      <c r="M938" s="58">
        <v>41.0</v>
      </c>
      <c r="N938" s="33">
        <f t="shared" si="13"/>
        <v>1900</v>
      </c>
      <c r="O938" s="112">
        <v>1734.0</v>
      </c>
      <c r="P938" s="34">
        <f t="shared" si="14"/>
        <v>91.26315789</v>
      </c>
      <c r="Q938" s="60"/>
      <c r="R938" s="36">
        <f t="shared" si="99"/>
        <v>41</v>
      </c>
      <c r="S938" s="113">
        <v>226.0</v>
      </c>
      <c r="T938" s="37">
        <f t="shared" si="100"/>
        <v>267</v>
      </c>
      <c r="U938" s="62">
        <v>1.0</v>
      </c>
      <c r="V938" s="63"/>
      <c r="W938" s="63"/>
      <c r="X938" s="83">
        <v>0.15</v>
      </c>
      <c r="Y938" s="35">
        <f t="shared" si="142"/>
        <v>0</v>
      </c>
      <c r="Z938" s="40">
        <f t="shared" si="143"/>
        <v>226.95</v>
      </c>
      <c r="AA938" s="34">
        <f t="shared" si="145"/>
        <v>40.05</v>
      </c>
      <c r="AB938" s="41">
        <f t="shared" si="130"/>
        <v>0</v>
      </c>
      <c r="AC938" s="42" t="b">
        <v>1</v>
      </c>
      <c r="AD938" s="42" t="s">
        <v>138</v>
      </c>
      <c r="AE938" s="42" t="s">
        <v>138</v>
      </c>
      <c r="AF938" s="42" t="str">
        <f t="array" ref="AF938">INDEX('Deal Info'!D:D, MATCH(A938,'Deal Info'!A:A, 0))</f>
        <v>DoEVLo</v>
      </c>
      <c r="AG938" s="43" t="str">
        <f t="array" ref="AG938">INDEX('Deal Info'!G:G, MATCH(A938,'Deal Info'!A:A, 0))</f>
        <v>None</v>
      </c>
    </row>
    <row r="939" hidden="1">
      <c r="A939" s="23" t="str">
        <f t="array" ref="A939">if(G939='Room Info'!$B$1, INDEX('Room Info'!$A$2:$A3446, MATCH(B939,'Room Info'!$B$2:$B3446, 0)),if(G939='Room Info'!$C$1, INDEX('Room Info'!$A$2:$A3446, MATCH(B939,'Room Info'!$C$2:$C3446, 0)),if(G939='Room Info'!$D$1, INDEX('Room Info'!$A$2:$A3446, MATCH(B939,'Room Info'!$D$2:$D3446, 0)),if(G939='Room Info'!$E$1, INDEX('Room Info'!$A$2:$A3446, MATCH(B939,'Room Info'!$E$2:$E3446, 0)),if(G939='Room Info'!$F$1, INDEX('Room Info'!$A$2:$A3446, MATCH(B939,'Room Info'!$F$2:$F3446, 0)),if(G939='Room Info'!$H$1, INDEX('Room Info'!$A$2:$A3446, MATCH(B939,'Room Info'!$H$2:$H3446, 0)),if(G939='Room Info'!$G$1, INDEX('Room Info'!$A$2:$A3446, MATCH(B939,'Room Info'!$G$2:$G3446, 0)))))))))</f>
        <v>Mackevgen</v>
      </c>
      <c r="B939" s="50" t="s">
        <v>172</v>
      </c>
      <c r="C939" s="51">
        <v>44866.0</v>
      </c>
      <c r="D939" s="51">
        <v>44883.0</v>
      </c>
      <c r="E939" s="52">
        <v>44866.0</v>
      </c>
      <c r="F939" s="53" t="s">
        <v>8</v>
      </c>
      <c r="G939" s="59" t="s">
        <v>9</v>
      </c>
      <c r="H939" s="54" t="s">
        <v>64</v>
      </c>
      <c r="I939" s="54" t="s">
        <v>21</v>
      </c>
      <c r="J939" s="55">
        <v>25.0</v>
      </c>
      <c r="K939" s="56">
        <v>1497.0</v>
      </c>
      <c r="L939" s="57">
        <v>499.0</v>
      </c>
      <c r="M939" s="58">
        <v>449.0</v>
      </c>
      <c r="N939" s="33">
        <f t="shared" si="13"/>
        <v>37425</v>
      </c>
      <c r="O939" s="59">
        <v>98997.0</v>
      </c>
      <c r="P939" s="34">
        <f t="shared" si="14"/>
        <v>66.13026052</v>
      </c>
      <c r="Q939" s="60"/>
      <c r="R939" s="36">
        <f t="shared" si="99"/>
        <v>449</v>
      </c>
      <c r="S939" s="61">
        <v>1155.0</v>
      </c>
      <c r="T939" s="37">
        <f t="shared" si="100"/>
        <v>1604</v>
      </c>
      <c r="U939" s="62">
        <v>1.0</v>
      </c>
      <c r="V939" s="63"/>
      <c r="W939" s="63"/>
      <c r="X939" s="83">
        <v>0.17</v>
      </c>
      <c r="Y939" s="35">
        <f t="shared" si="142"/>
        <v>0.1</v>
      </c>
      <c r="Z939" s="40">
        <f t="shared" si="143"/>
        <v>1170.6</v>
      </c>
      <c r="AA939" s="65">
        <v>273.0</v>
      </c>
      <c r="AB939" s="41">
        <f t="shared" si="130"/>
        <v>160.4</v>
      </c>
      <c r="AC939" s="42" t="b">
        <v>1</v>
      </c>
      <c r="AD939" s="42" t="s">
        <v>138</v>
      </c>
      <c r="AE939" s="42" t="s">
        <v>138</v>
      </c>
      <c r="AF939" s="42" t="str">
        <f t="array" ref="AF939">INDEX('Deal Info'!D:D, MATCH(A939,'Deal Info'!A:A, 0))</f>
        <v>DoEV</v>
      </c>
      <c r="AG939" s="43" t="str">
        <f t="array" ref="AG939">INDEX('Deal Info'!G:G, MATCH(A939,'Deal Info'!A:A, 0))</f>
        <v>Fix10</v>
      </c>
    </row>
    <row r="940" hidden="1">
      <c r="A940" s="23" t="str">
        <f t="array" ref="A940">if(G940='Room Info'!$B$1, INDEX('Room Info'!$A$2:$A3446, MATCH(B940,'Room Info'!$B$2:$B3446, 0)),if(G940='Room Info'!$C$1, INDEX('Room Info'!$A$2:$A3446, MATCH(B940,'Room Info'!$C$2:$C3446, 0)),if(G940='Room Info'!$D$1, INDEX('Room Info'!$A$2:$A3446, MATCH(B940,'Room Info'!$D$2:$D3446, 0)),if(G940='Room Info'!$E$1, INDEX('Room Info'!$A$2:$A3446, MATCH(B940,'Room Info'!$E$2:$E3446, 0)),if(G940='Room Info'!$F$1, INDEX('Room Info'!$A$2:$A3446, MATCH(B940,'Room Info'!$F$2:$F3446, 0)),if(G940='Room Info'!$H$1, INDEX('Room Info'!$A$2:$A3446, MATCH(B940,'Room Info'!$H$2:$H3446, 0)),if(G940='Room Info'!$G$1, INDEX('Room Info'!$A$2:$A3446, MATCH(B940,'Room Info'!$G$2:$G3446, 0)))))))))</f>
        <v>Mackevgen</v>
      </c>
      <c r="B940" s="59" t="s">
        <v>172</v>
      </c>
      <c r="C940" s="51">
        <v>44891.0</v>
      </c>
      <c r="D940" s="51">
        <v>44895.0</v>
      </c>
      <c r="E940" s="52">
        <v>44866.0</v>
      </c>
      <c r="F940" s="50" t="s">
        <v>12</v>
      </c>
      <c r="G940" s="59" t="s">
        <v>9</v>
      </c>
      <c r="H940" s="54" t="s">
        <v>64</v>
      </c>
      <c r="I940" s="54" t="s">
        <v>21</v>
      </c>
      <c r="J940" s="55">
        <v>25.0</v>
      </c>
      <c r="K940" s="56">
        <v>108.0</v>
      </c>
      <c r="L940" s="57">
        <v>150.0</v>
      </c>
      <c r="M940" s="58">
        <v>0.0</v>
      </c>
      <c r="N940" s="33">
        <f t="shared" si="13"/>
        <v>2700</v>
      </c>
      <c r="O940" s="59">
        <v>2424.0</v>
      </c>
      <c r="P940" s="34">
        <f t="shared" si="14"/>
        <v>22.44444444</v>
      </c>
      <c r="Q940" s="60"/>
      <c r="R940" s="36">
        <f t="shared" si="99"/>
        <v>0</v>
      </c>
      <c r="S940" s="61">
        <v>-122.0</v>
      </c>
      <c r="T940" s="37">
        <f t="shared" si="100"/>
        <v>28</v>
      </c>
      <c r="U940" s="62">
        <v>1.0</v>
      </c>
      <c r="V940" s="63"/>
      <c r="W940" s="63"/>
      <c r="X940" s="83">
        <v>0.17</v>
      </c>
      <c r="Y940" s="35">
        <f t="shared" si="142"/>
        <v>0.1</v>
      </c>
      <c r="Z940" s="40">
        <f t="shared" si="143"/>
        <v>-0.8</v>
      </c>
      <c r="AA940" s="65">
        <v>26.0</v>
      </c>
      <c r="AB940" s="41">
        <f t="shared" si="130"/>
        <v>2.8</v>
      </c>
      <c r="AC940" s="42" t="b">
        <v>1</v>
      </c>
      <c r="AD940" s="42" t="s">
        <v>138</v>
      </c>
      <c r="AE940" s="42" t="s">
        <v>138</v>
      </c>
      <c r="AF940" s="42" t="str">
        <f t="array" ref="AF940">INDEX('Deal Info'!D:D, MATCH(A940,'Deal Info'!A:A, 0))</f>
        <v>DoEV</v>
      </c>
      <c r="AG940" s="43" t="str">
        <f t="array" ref="AG940">INDEX('Deal Info'!G:G, MATCH(A940,'Deal Info'!A:A, 0))</f>
        <v>Fix10</v>
      </c>
    </row>
    <row r="941" hidden="1">
      <c r="A941" s="23" t="str">
        <f t="array" ref="A941">if(G941='Room Info'!$B$1, INDEX('Room Info'!$A$2:$A3446, MATCH(B941,'Room Info'!$B$2:$B3446, 0)),if(G941='Room Info'!$C$1, INDEX('Room Info'!$A$2:$A3446, MATCH(B941,'Room Info'!$C$2:$C3446, 0)),if(G941='Room Info'!$D$1, INDEX('Room Info'!$A$2:$A3446, MATCH(B941,'Room Info'!$D$2:$D3446, 0)),if(G941='Room Info'!$E$1, INDEX('Room Info'!$A$2:$A3446, MATCH(B941,'Room Info'!$E$2:$E3446, 0)),if(G941='Room Info'!$F$1, INDEX('Room Info'!$A$2:$A3446, MATCH(B941,'Room Info'!$F$2:$F3446, 0)),if(G941='Room Info'!$H$1, INDEX('Room Info'!$A$2:$A3446, MATCH(B941,'Room Info'!$H$2:$H3446, 0)),if(G941='Room Info'!$G$1, INDEX('Room Info'!$A$2:$A3446, MATCH(B941,'Room Info'!$G$2:$G3446, 0)))))))))</f>
        <v>Mackevgen</v>
      </c>
      <c r="B941" s="59" t="s">
        <v>172</v>
      </c>
      <c r="C941" s="51">
        <v>44896.0</v>
      </c>
      <c r="D941" s="51">
        <v>44915.0</v>
      </c>
      <c r="E941" s="52">
        <v>44896.0</v>
      </c>
      <c r="F941" s="50" t="s">
        <v>8</v>
      </c>
      <c r="G941" s="59" t="s">
        <v>9</v>
      </c>
      <c r="H941" s="54" t="s">
        <v>64</v>
      </c>
      <c r="I941" s="54" t="s">
        <v>21</v>
      </c>
      <c r="J941" s="55">
        <v>25.0</v>
      </c>
      <c r="K941" s="56">
        <v>483.0</v>
      </c>
      <c r="L941" s="57">
        <v>1675.0</v>
      </c>
      <c r="M941" s="58">
        <v>230.0</v>
      </c>
      <c r="N941" s="33">
        <f t="shared" si="13"/>
        <v>12075</v>
      </c>
      <c r="O941" s="59">
        <v>27414.0</v>
      </c>
      <c r="P941" s="34">
        <f t="shared" si="14"/>
        <v>56.75776398</v>
      </c>
      <c r="Q941" s="60"/>
      <c r="R941" s="36">
        <f t="shared" si="99"/>
        <v>230</v>
      </c>
      <c r="S941" s="61">
        <v>196.0</v>
      </c>
      <c r="T941" s="37">
        <f t="shared" si="100"/>
        <v>426</v>
      </c>
      <c r="U941" s="62">
        <v>1.0</v>
      </c>
      <c r="V941" s="63"/>
      <c r="W941" s="63"/>
      <c r="X941" s="83">
        <v>0.3</v>
      </c>
      <c r="Y941" s="35">
        <f t="shared" si="142"/>
        <v>0.1</v>
      </c>
      <c r="Z941" s="40">
        <f t="shared" si="143"/>
        <v>255.4</v>
      </c>
      <c r="AA941" s="65">
        <v>128.0</v>
      </c>
      <c r="AB941" s="41">
        <f t="shared" si="130"/>
        <v>42.6</v>
      </c>
      <c r="AC941" s="42" t="b">
        <v>1</v>
      </c>
      <c r="AD941" s="42" t="s">
        <v>138</v>
      </c>
      <c r="AE941" s="42" t="s">
        <v>138</v>
      </c>
      <c r="AF941" s="42" t="str">
        <f t="array" ref="AF941">INDEX('Deal Info'!D:D, MATCH(A941,'Deal Info'!A:A, 0))</f>
        <v>DoEV</v>
      </c>
      <c r="AG941" s="43" t="str">
        <f t="array" ref="AG941">INDEX('Deal Info'!G:G, MATCH(A941,'Deal Info'!A:A, 0))</f>
        <v>Fix10</v>
      </c>
    </row>
    <row r="942" hidden="1">
      <c r="A942" s="23" t="str">
        <f t="array" ref="A942">if(G942='Room Info'!$B$1, INDEX('Room Info'!$A$2:$A3446, MATCH(B942,'Room Info'!$B$2:$B3446, 0)),if(G942='Room Info'!$C$1, INDEX('Room Info'!$A$2:$A3446, MATCH(B942,'Room Info'!$C$2:$C3446, 0)),if(G942='Room Info'!$D$1, INDEX('Room Info'!$A$2:$A3446, MATCH(B942,'Room Info'!$D$2:$D3446, 0)),if(G942='Room Info'!$E$1, INDEX('Room Info'!$A$2:$A3446, MATCH(B942,'Room Info'!$E$2:$E3446, 0)),if(G942='Room Info'!$F$1, INDEX('Room Info'!$A$2:$A3446, MATCH(B942,'Room Info'!$F$2:$F3446, 0)),if(G942='Room Info'!$H$1, INDEX('Room Info'!$A$2:$A3446, MATCH(B942,'Room Info'!$H$2:$H3446, 0)),if(G942='Room Info'!$G$1, INDEX('Room Info'!$A$2:$A3446, MATCH(B942,'Room Info'!$G$2:$G3446, 0)))))))))</f>
        <v>Mackevgen</v>
      </c>
      <c r="B942" s="50" t="s">
        <v>172</v>
      </c>
      <c r="C942" s="51">
        <v>44916.0</v>
      </c>
      <c r="D942" s="51">
        <v>44957.0</v>
      </c>
      <c r="E942" s="52">
        <v>44927.0</v>
      </c>
      <c r="F942" s="53" t="s">
        <v>8</v>
      </c>
      <c r="G942" s="50" t="s">
        <v>9</v>
      </c>
      <c r="H942" s="54" t="s">
        <v>64</v>
      </c>
      <c r="I942" s="54" t="s">
        <v>21</v>
      </c>
      <c r="J942" s="55">
        <v>25.0</v>
      </c>
      <c r="K942" s="56">
        <v>1908.0</v>
      </c>
      <c r="L942" s="57">
        <v>887.0</v>
      </c>
      <c r="M942" s="58">
        <v>6.0</v>
      </c>
      <c r="N942" s="33">
        <f t="shared" si="13"/>
        <v>47700</v>
      </c>
      <c r="O942" s="59">
        <v>64067.0</v>
      </c>
      <c r="P942" s="34">
        <f t="shared" si="14"/>
        <v>33.57809224</v>
      </c>
      <c r="Q942" s="60"/>
      <c r="R942" s="36">
        <f t="shared" si="99"/>
        <v>6</v>
      </c>
      <c r="S942" s="61">
        <v>-1103.0</v>
      </c>
      <c r="T942" s="37">
        <f t="shared" si="100"/>
        <v>-1097</v>
      </c>
      <c r="U942" s="62">
        <v>1.0</v>
      </c>
      <c r="V942" s="63"/>
      <c r="W942" s="63"/>
      <c r="X942" s="83">
        <v>0.17</v>
      </c>
      <c r="Y942" s="35">
        <f t="shared" si="142"/>
        <v>0.1</v>
      </c>
      <c r="Z942" s="40">
        <f t="shared" si="143"/>
        <v>-801.3</v>
      </c>
      <c r="AA942" s="65">
        <v>-186.0</v>
      </c>
      <c r="AB942" s="41">
        <f t="shared" si="130"/>
        <v>-109.7</v>
      </c>
      <c r="AC942" s="42" t="b">
        <v>1</v>
      </c>
      <c r="AD942" s="42" t="s">
        <v>138</v>
      </c>
      <c r="AE942" s="42" t="s">
        <v>138</v>
      </c>
      <c r="AF942" s="42" t="str">
        <f t="array" ref="AF942">INDEX('Deal Info'!D:D, MATCH(A942,'Deal Info'!A:A, 0))</f>
        <v>DoEV</v>
      </c>
      <c r="AG942" s="43" t="str">
        <f t="array" ref="AG942">INDEX('Deal Info'!G:G, MATCH(A942,'Deal Info'!A:A, 0))</f>
        <v>Fix10</v>
      </c>
    </row>
    <row r="943" hidden="1">
      <c r="A943" s="23" t="str">
        <f t="array" ref="A943">if(G943='Room Info'!$B$1, INDEX('Room Info'!$A$2:$A3446, MATCH(B943,'Room Info'!$B$2:$B3446, 0)),if(G943='Room Info'!$C$1, INDEX('Room Info'!$A$2:$A3446, MATCH(B943,'Room Info'!$C$2:$C3446, 0)),if(G943='Room Info'!$D$1, INDEX('Room Info'!$A$2:$A3446, MATCH(B943,'Room Info'!$D$2:$D3446, 0)),if(G943='Room Info'!$E$1, INDEX('Room Info'!$A$2:$A3446, MATCH(B943,'Room Info'!$E$2:$E3446, 0)),if(G943='Room Info'!$F$1, INDEX('Room Info'!$A$2:$A3446, MATCH(B943,'Room Info'!$F$2:$F3446, 0)),if(G943='Room Info'!$H$1, INDEX('Room Info'!$A$2:$A3446, MATCH(B943,'Room Info'!$H$2:$H3446, 0)),if(G943='Room Info'!$G$1, INDEX('Room Info'!$A$2:$A3446, MATCH(B943,'Room Info'!$G$2:$G3446, 0)))))))))</f>
        <v>Sun_Set_pro8</v>
      </c>
      <c r="B943" s="59" t="s">
        <v>154</v>
      </c>
      <c r="C943" s="51">
        <v>44927.0</v>
      </c>
      <c r="D943" s="51">
        <v>44957.0</v>
      </c>
      <c r="E943" s="52">
        <v>44927.0</v>
      </c>
      <c r="F943" s="53" t="s">
        <v>12</v>
      </c>
      <c r="G943" s="59" t="s">
        <v>9</v>
      </c>
      <c r="H943" s="54" t="s">
        <v>64</v>
      </c>
      <c r="I943" s="54" t="s">
        <v>21</v>
      </c>
      <c r="J943" s="55">
        <v>25.0</v>
      </c>
      <c r="K943" s="56">
        <v>6.0</v>
      </c>
      <c r="L943" s="111">
        <v>75.0</v>
      </c>
      <c r="M943" s="67"/>
      <c r="N943" s="33">
        <f t="shared" si="13"/>
        <v>150</v>
      </c>
      <c r="O943" s="112">
        <v>720.0</v>
      </c>
      <c r="P943" s="34">
        <f t="shared" si="14"/>
        <v>120</v>
      </c>
      <c r="Q943" s="60"/>
      <c r="R943" s="36">
        <f t="shared" si="99"/>
        <v>0</v>
      </c>
      <c r="S943" s="113"/>
      <c r="T943" s="37">
        <f t="shared" si="100"/>
        <v>75</v>
      </c>
      <c r="U943" s="62">
        <v>1.08</v>
      </c>
      <c r="V943" s="63"/>
      <c r="W943" s="63"/>
      <c r="X943" s="83">
        <v>0.25</v>
      </c>
      <c r="Y943" s="35">
        <f t="shared" si="142"/>
        <v>0</v>
      </c>
      <c r="Z943" s="40">
        <f t="shared" si="143"/>
        <v>54.75</v>
      </c>
      <c r="AA943" s="34">
        <f>if(AD943="EUR",((T943-R943)*X943)*U943+(R943*X943),(T943*X943))</f>
        <v>20.25</v>
      </c>
      <c r="AB943" s="41">
        <f t="shared" si="130"/>
        <v>0</v>
      </c>
      <c r="AC943" s="42" t="b">
        <v>1</v>
      </c>
      <c r="AD943" s="66" t="s">
        <v>140</v>
      </c>
      <c r="AE943" s="66"/>
      <c r="AF943" s="42" t="str">
        <f t="array" ref="AF943">INDEX('Deal Info'!D:D, MATCH(A943,'Deal Info'!A:A, 0))</f>
        <v>DoEVold</v>
      </c>
      <c r="AG943" s="43" t="str">
        <f t="array" ref="AG943">INDEX('Deal Info'!G:G, MATCH(A943,'Deal Info'!A:A, 0))</f>
        <v>None</v>
      </c>
    </row>
    <row r="944" hidden="1">
      <c r="A944" s="23" t="str">
        <f t="array" ref="A944">if(G944='Room Info'!$B$1, INDEX('Room Info'!$A$2:$A3446, MATCH(B944,'Room Info'!$B$2:$B3446, 0)),if(G944='Room Info'!$C$1, INDEX('Room Info'!$A$2:$A3446, MATCH(B944,'Room Info'!$C$2:$C3446, 0)),if(G944='Room Info'!$D$1, INDEX('Room Info'!$A$2:$A3446, MATCH(B944,'Room Info'!$D$2:$D3446, 0)),if(G944='Room Info'!$E$1, INDEX('Room Info'!$A$2:$A3446, MATCH(B944,'Room Info'!$E$2:$E3446, 0)),if(G944='Room Info'!$F$1, INDEX('Room Info'!$A$2:$A3446, MATCH(B944,'Room Info'!$F$2:$F3446, 0)),if(G944='Room Info'!$H$1, INDEX('Room Info'!$A$2:$A3446, MATCH(B944,'Room Info'!$H$2:$H3446, 0)),if(G944='Room Info'!$G$1, INDEX('Room Info'!$A$2:$A3446, MATCH(B944,'Room Info'!$G$2:$G3446, 0)))))))))</f>
        <v>Mackevgen</v>
      </c>
      <c r="B944" s="101" t="s">
        <v>171</v>
      </c>
      <c r="C944" s="51">
        <v>44958.0</v>
      </c>
      <c r="D944" s="51">
        <v>44985.0</v>
      </c>
      <c r="E944" s="85">
        <v>44958.0</v>
      </c>
      <c r="F944" s="50" t="s">
        <v>8</v>
      </c>
      <c r="G944" s="70" t="s">
        <v>9</v>
      </c>
      <c r="H944" s="114" t="s">
        <v>64</v>
      </c>
      <c r="I944" s="105" t="s">
        <v>21</v>
      </c>
      <c r="J944" s="44">
        <f t="shared" ref="J944:J945" si="146">iferror(if(H944="$0.25",0.25, 
if(H944="$0.25 Flash",0.25, 
if(H944 = "$1", 1, 
if(H944 = "$1 Flash", 1, 
if(H944 = "$2", 2, 
if( H944 = "$2 Flash" , 2, 
if( H944= "$3", 3, 
if( H944= "$3 Ultra", 3, 
if( H944= "$5", 5, 
if( H944= "$5 (1M)", 5, 
if( H944= "$5 (1M) Flash", 5, 
if( H944= "$5 Flash", 5, 
if( H944= "$5 Flash (1M)", 5,
if( H944= "$10", 10,
if( H944= "$10 (1M)", 10,
if( H944= "$10 (1M) (old)", 10,
if( H944= "$10 Flash", 10,
if( H944= "$10 Ultra", 10,
if( H944= "$20", 20,
if( H944= "$20 Ultra", 20,
if( H944= "$25", 25,
if( H944= "$25 Flash", 25,
if( H944= "$50", 50,
if( H944= "$50 Flash", 50,
if( H944= "$50 Ultra", 50,
if( H944= "$100", 100,
if( H944= "$100 Flash", 100,
if( H944= "$100 HUHT", 100,
if( H944= "$100 Ultra", 100,
if( H944= "$200", 200,
if( H944= "$200 HUHT", 200,
if( H944= "$250", 250,
if( H944= "$250 Flash", 250,
if( H944= "$300 HUHT", 300,
if( H944= "$500", 500,
if( H944= "$500 Flash", 500,
if( H944 = "$500 HUHT",500,
if( H944= "$1000", 1000,
if( H944= "€0.25 Flash", 0.25,
if( H944="€0.25(nitro) new",0.25,
if( H944= "€1", 1,
if( H944= "€2", 2,
if( H944= "€5", 5,
if( H944= "€5 (1M)", 5,
if( H944= "€5 (bf 01.08)", 5,
if( H944= "€5 (bf 05.05)", 5,
if( H944= "€5 Nitro", 5,
if( H944= "€5(wx) new", 5,
if( H944= "€10", 10,
if( H944= "€10 (1M)", 10,
if( H944= "€10 (bf 01.08)", 10,
if( H944= "€10 (bf 05.05)", 10,
if( H944= "€10 (MP)", 10,
if( H944= "€10 (old)", 10,
if( H944= "€10 Nitro (bf 05.05)", 10,
if( H944= "€10 Nitro (old)", 10,
if( H944= "€10(wx) new", 10,
if( H944= "€20", 20,
if( H944= "€25", 25, 
if( H944= "€25 (bf 01.08)", 25, 
if( H944= "€25 (bf 05.05)", 25, 
if( H944= "€25 (MP)", 25, 
if( H944= "€25 (old)", 25,
if( H944= "€25 Nitro", 25,
if( H944= "€25 Nitro (bf 01.08)", 25,
if( H944= "€25 Nitro (bf 05.05)", 25,
if( H944= "€25(nitro) new", 25,
if( H944= "€25(wx) new", 25,
if( H944= "€50", 50,
if( H944= "€50 (bf 01.08)", 50,
if( H944= "€50 (bf 05.05)", 50,
if( H944= "€50 (old)", 50,
if( H944= "€50 Nitro", 50,
if( H944= "€50 Nitro (bf 01.08)", 50,
if( H944= "€50 Nitro (bf 05.05)", 50,
if( H944= "€50(wx) new", 50,
if( H944= "€100", 100,
if( H944= "€100 (old)", 100,
if( H944= "€100 Nitro", 100,
if( H944= "€100 Nitro (old)", 100,
if( H944= "€200", 200,
if( H944= "€250", 250,
if( H944= "€250 Nitro", 250,
if( H944= "€500", 500,
if( H944= "€500 Nitro", 500,
if( H944= "1000 rub", 1000,
if( H944= "2500 rub", 2500,
if( H944= "5000 rub", 5000,"")))))))))))))))))))))))))))))))))))))))))))))))))))))))))))))))))))))))))))))))))))))))))</f>
        <v>25</v>
      </c>
      <c r="K944" s="56">
        <v>368.0</v>
      </c>
      <c r="L944" s="57">
        <v>649.0</v>
      </c>
      <c r="M944" s="67"/>
      <c r="N944" s="33">
        <f t="shared" si="13"/>
        <v>9200</v>
      </c>
      <c r="O944" s="59">
        <v>23096.0</v>
      </c>
      <c r="P944" s="34">
        <f t="shared" si="14"/>
        <v>62.76086957</v>
      </c>
      <c r="Q944" s="60"/>
      <c r="R944" s="36">
        <f t="shared" ref="R944:R945" si="147">M944+Q944*J944*K944*0.07</f>
        <v>0</v>
      </c>
      <c r="S944" s="61">
        <v>328.0</v>
      </c>
      <c r="T944" s="37">
        <f t="shared" ref="T944:T945" si="148">IF(AND(AD944="EUR", F944="Without EV deal"), R944 + L944, 
IF(AND(AD944="USD", F944="Without EV deal"), R944 + L944, 
IF(AND(AD944="EUR", F944="Steel Phoenix"), R944 + S944/U944, 
R944 + S944)))</f>
        <v>328</v>
      </c>
      <c r="U944" s="62">
        <v>1.0617</v>
      </c>
      <c r="V944" s="63">
        <v>12.92317708</v>
      </c>
      <c r="W944" s="63">
        <v>568.1497632</v>
      </c>
      <c r="X944" s="35">
        <f t="shared" ref="X944:X945" si="149">IF(AF944="DoEV",IF(AND(V944&lt;20,W944&lt;55),0.3,0)+IF(AND(V944&lt;20,W944&gt;=55,W944&lt;105),0.23,0)+IF(AND(V944&lt;20,W944&gt;=105),0.17,0)+IF(AND(V944&gt;=20,V944&lt;40,W944&lt;45),0.3,0)+IF(AND(V944&gt;=20,V944&lt;40,W944&gt;=45,W944&lt;95),0.23,0)+IF(AND(V944&gt;=20,V944&lt;40,W944&gt;=95),0.17,0)+IF(AND(V944&gt;=40,V944&lt;75,W944&lt;35),0.3,0)+IF(AND(V944&gt;=40,V944&lt;75,W944&gt;=35,W944&lt;75),0.23,0)+IF(AND(V944&gt;=40,V944&lt;75,W944&gt;=75,W944&lt;120),0.17,0)+IF(AND(V944&gt;=40,V944&lt;75,W944&gt;=120),0.12,0)+IF(AND(V944&gt;=75,V944&lt;175,W944&lt;35),0.3,0)+IF(AND(V944&gt;=75,V944&lt;=175,W944&gt;=35,W944&lt;65),0.23,0)+IF(AND(V944&gt;=75,V944&lt;=175,W944&gt;=65,W944&lt;110),0.17,0)+IF(AND(V944&gt;=75,V944&lt;=175,W944&gt;=110),0.12,0)+IF(AND(V944&gt;175,W944&lt;25),0.3,0)+IF(AND(V944&gt;175,W944&gt;=25,W944&lt;55),0.23,0)+IF(AND(V944&gt;175,W944&gt;=55,W944&lt;95),0.17,0)+IF(AND(V944&gt;175,W944&gt;=95),0.12,0),
IF(AF944="Fix15",0.15,
IF(AF944="Fix5",0.05,
if(AF944="Fix18.75",0.1875,
IF(AF944="Fix11.25",0.1125,
IF(AF944="Fix10",0.1,
IF(AF944="Fix9",0.09,
IF(AF944="Fix12",0.12,
IF(AF944="Fix19",0.19,
IF(AF944="DoEV2017",IF(AND(W944&lt;74),0.2,0)+IF(AND(W944&gt;=74),0.17,0),
IF(AF944="SF",IF(AND(V944&lt;20,W944&lt;89),0.3,0)+IF(AND(V944&lt;20,W944&gt;=89),0.25,0)+IF(AND(V944&gt;=20,V944&lt;40,W944&lt;74),0.3,0)+IF(AND(V944&gt;=20,V944&lt;40,W944&gt;=75),0.22,0)+IF(AND(V944&gt;=40,V944&lt;75,W944&lt;75),0.26,0)+IF(AND(V944&gt;=40,V944&lt;75,W944&gt;=75),0.22,0)+IF(V944&gt;=75,0.22,0),
IF(AF944="DoEVold",IF(AND(V944&lt;40,W944&lt;35),0.35,0)+IF(AND(V944&lt;40,W944&gt;=35,W944&lt;75),0.25,0)+IF(AND(V944&lt;40,W944&gt;=75),0.17,0)+IF(AND(V944&gt;=40,V944&lt;75,W944&lt;25),0.35,0)+IF(AND(V944&gt;=40,V944&lt;75,W944&gt;=25,W944&lt;65),0.25,0)+IF(AND(V944&gt;=40,V944&lt;75,W944&gt;=65,W944&lt;100),0.17,0)+IF(AND(V944&gt;=40,V944&lt;75,W944&gt;=100),0.1,0)+IF(AND(V944&gt;=75,W944&lt;25),0.35,0)+IF(AND(V944&gt;=75,W944&gt;=25,W944&lt;60),0.25,0)+IF(AND(V944&gt;=75,W944&gt;=60,W944&lt;95),0.17,0)+IF(AND(V944&gt;=75,W944&gt;=95),0.1,0),
IF(AF944="DoEVold15",IF(AND(V944&lt;=40,W944&lt;35),0.35,0)+IF(AND(V944&lt;=40,W944&gt;=35,W944&lt;75),0.25,0)+IF(AND(V944&lt;=40,W944&gt;=75,W944&lt;120),0.17,0)+IF(AND(V944&lt;=40,W944&gt;=120),0.15,0)+IF(AND(V944&gt;40,V944&lt;75,W944&lt;25),0.35,0)+IF(AND(V944&gt;=40,V944&lt;75,W944&gt;=25,W944&lt;65),0.25,0)+IF(AND(V944&gt;=40,V944&lt;75,W944&gt;=65,W944&lt;100),0.17,0)+IF(AND(V944&gt;=40,V944&lt;75,W944&gt;=100),0.1,0)+IF(AND(V944&gt;=75,W944&lt;25),0.35,0)+IF(AND(V944&gt;=75,W944&gt;=25,W944&lt;60),0.25,0)+IF(AND(V944&gt;=75,W944&gt;=60,W944&lt;95),0.17,0)+IF(AND(V944&gt;=75,W944&gt;=95),0.1,0),
IF(AF944="DoEVba",IF(AND(V944&lt;20,W944&lt;105),0.2,0)+IF(AND(V944&lt;20,W944&gt;=105),0.15,0)+IF(AND(V944&gt;=20,V944&lt;40,W944&lt;95),0.2,0)+IF(AND(V944&gt;=20,V944&lt;40,W944&gt;=95,W944&lt;150),0.15,0)+IF(AND(V944&gt;=20,V944&lt;40,W944&gt;=150),0.12,0)+IF(AND(V944&gt;=40,V944&lt;75,W944&lt;75),0.2,0)+IF(AND(V944&gt;=40,V944&lt;75,W944&gt;=75,W944&lt;120),0.15,0)+IF(AND(V944&gt;=40,V944&lt;75,W944&gt;=120),0.12,0)+IF(AND(V944&gt;=75,V944&lt;175,W944&lt;65),0.2,0)+IF(AND(V944&gt;=75,V944&lt;175,W944&gt;=65,W944&lt;110),0.15,0)+IF(AND(V944&gt;=75,V944&lt;175,W944&gt;=110),0.12,0)+IF(AND(V944&gt;=175,W944&lt;55),0.2,0)+IF(AND(V944&gt;=175,W944&gt;=55,W944&lt;95),0.15,0)+IF(AND(V944&gt;=175,W944&gt;=95),0.12,0),
IF(AF944="DoEVku",IF(AND(V944&lt;20,W944&lt;55),0.23,0)+IF(AND(V944&lt;20,W944&gt;=55,W944&lt;105),0.2,0)+IF(AND(V944&lt;20,W944&gt;=105),0.17,0)+IF(AND(V944&gt;=20,V944&lt;40,W944&lt;45),0.23,0)+IF(AND(V944&gt;=20,V944&lt;40,W944&gt;=45,W944&lt;95),0.2,0)+IF(AND(V944&gt;=20,V944&lt;40,W944&gt;=95,W944&lt;=150),0.17,0)+IF(AND(V944&gt;=20,V944&lt;40,W944&gt;=150),0.12,0)+IF(AND(V944&gt;=40,V944&lt;75,W944&lt;35),0.23,0)+IF(AND(V944&gt;=40,V944&lt;75,W944&gt;=35,W944&lt;75),0.2,0)+IF(AND(V944&gt;=40,V944&lt;75,W944&gt;=75,W944&lt;120),0.17,0)+IF(AND(V944&gt;=40,V944&lt;75,W944&gt;=120),0.12,0)+IF(AND(V944&gt;=75,V944&lt;175,W944&lt;35),0.23,0)+IF(AND(V944&gt;=75,V944&lt;=175,W944&gt;=35,W944&lt;65),0.2,0)+IF(AND(V944&gt;=75,V944&lt;=175,W944&gt;=65,W944&lt;110),0.17,0)+IF(AND(V944&gt;=75,V944&lt;=175,W944&gt;=110),0.12,0)+IF(AND(V944&gt;175,W944&lt;25),0.23,0)+IF(AND(V944&gt;175,W944&gt;=25,W944&lt;55),0.2,0)+IF(AND(V944&gt;175,W944&gt;=55,W944&lt;95),0.17,0)+IF(AND(V944&gt;175,W944&gt;=95),0.12,0),
IF(AF944="DoEVs1",IF(AND(V944&lt;20,W944&lt;55),0.3,0)+IF(AND(V944&lt;20,W944&gt;=55,W944&lt;105),0.23,0)+IF(AND(V944&lt;20,W944&gt;=105),0.17,0)+IF(AND(V944&gt;=20,V944&lt;40,W944&lt;45),0.3,0)+IF(AND(V944&gt;=20,V944&lt;40,W944&gt;=45,W944&lt;95),0.23,0)+IF(AND(V944&gt;=20,V944&lt;40,W944&gt;=95,W944&lt;=150),0.17,0)+IF(AND(V944&gt;=20,V944&lt;40,W944&gt;=150),0.12,0)+IF(AND(V944&gt;=40,V944&lt;75,W944&lt;35),0.3,0)+IF(AND(V944&gt;=40,V944&lt;75,W944&gt;=35,W944&lt;75),0.23,0)+IF(AND(V944&gt;=40,V944&lt;75,W944&gt;=75,W944&lt;120),0.17,0)+IF(AND(V944&gt;=40,V944&lt;75,W944&gt;=120),0.12,0)+IF(AND(V944&gt;=75,V944&lt;175,W944&lt;35),0.3,0)+IF(AND(V944&gt;=75,V944&lt;=175,W944&gt;=35,W944&lt;65),0.23,0)+IF(AND(V944&gt;=75,V944&lt;=175,W944&gt;=65,W944&lt;110),0.17,0)+IF(AND(V944&gt;=75,V944&lt;=175,W944&gt;=110),0.12,0)+IF(AND(V944&gt;175,W944&lt;25),0.3,0)+IF(AND(V944&gt;175,W944&gt;=25,W944&lt;55),0.23,0)+IF(AND(V944&gt;175,W944&gt;=55,W944&lt;95),0.17,0)+IF(AND(V944&gt;175,W944&gt;=95),0.12,0),
IF(AF944="DoEVsu",IF(AND(V944&lt;20,W944&lt;55),0.3,0)+IF(AND(V944&lt;20,W944&gt;=55,W944&lt;105),0.23,0)+IF(AND(V944&lt;20,W944&gt;=105),0.17,0)+IF(AND(V944&gt;=20,V944&lt;40,W944&lt;45),0.3,0)+IF(AND(V944&gt;=20,V944&lt;40,W944&gt;=45,W944&lt;95),0.23,0)+IF(AND(V944&gt;=20,V944&lt;40,W944&gt;=95,W944&lt;=250),0.17,0)+IF(AND(V944&gt;=20,V944&lt;40,W944&gt;=250),0.12,0)+IF(AND(V944&gt;=40,V944&lt;75,W944&lt;35),0.3,0)+IF(AND(V944&gt;=40,V944&lt;75,W944&gt;=35,W944&lt;75),0.23,0)+IF(AND(V944&gt;=40,V944&lt;75,W944&gt;=75,W944&lt;120),0.17,0)+IF(AND(V944&gt;=40,V944&lt;75,W944&gt;=120),0.12,0)+IF(AND(V944&gt;=75,V944&lt;175,W944&lt;35),0.3,0)+IF(AND(V944&gt;=75,V944&lt;=175,W944&gt;=35,W944&lt;65),0.23,0)+IF(AND(V944&gt;=75,V944&lt;=175,W944&gt;=65,W944&lt;110),0.17,0)+IF(AND(V944&gt;=75,V944&lt;=175,W944&gt;=110),0.12,0)+IF(AND(V944&gt;175,W944&lt;25),0.3,0)+IF(AND(V944&gt;175,W944&gt;=25,W944&lt;55),0.23,0)+IF(AND(V944&gt;175,W944&gt;=55,W944&lt;95),0.17,0)+IF(AND(V944&gt;175,W944&gt;=95),0.12,0),
IF(AF944="DoEVni",IF(AND(V944&lt;20,W944&lt;55),0.3,0)+IF(AND(V944&lt;20,W944&gt;=55,W944&lt;105),0.23,0)+IF(AND(V944&lt;20,W944&gt;=105),0.17,0)+IF(AND(V944&gt;=20,V944&lt;40,W944&lt;45),0.3,0)+IF(AND(V944&gt;=20,V944&lt;40,W944&gt;=45,W944&lt;95),0.23,0)+IF(AND(V944&gt;=20,V944&lt;40,W944&gt;=95,W944&lt;=200),0.17,0)+IF(AND(V944&gt;=20,V944&lt;40,W944&gt;=200),0.12,0)+IF(AND(V944&gt;=40,V944&lt;75,W944&lt;35),0.3,0)+IF(AND(V944&gt;=40,V944&lt;75,W944&gt;=35,W944&lt;75),0.23,0)+IF(AND(V944&gt;=40,V944&lt;75,W944&gt;=75,W944&lt;120),0.17,0)+IF(AND(V944&gt;=40,V944&lt;75,W944&gt;=120),0.12,0)+IF(AND(V944&gt;=75,V944&lt;175,W944&lt;35),0.3,0)+IF(AND(V944&gt;=75,V944&lt;=175,W944&gt;=35,W944&lt;65),0.23,0)+IF(AND(V944&gt;=75,V944&lt;=175,W944&gt;=65,W944&lt;110),0.17,0)+IF(AND(V944&gt;=75,V944&lt;=175,W944&gt;=110),0.12,0)+IF(AND(V944&gt;175,W944&lt;25),0.3,0)+IF(AND(V944&gt;175,W944&gt;=25,W944&lt;55),0.23,0)+IF(AND(V944&gt;175,W944&gt;=55,W944&lt;95),0.17,0)+IF(AND(V944&gt;175,W944&gt;=95),0.12,0),
IF(AF944="DoEVLo",IF(AND(V944&lt;20,W944&lt;55),0.25,0)+IF(AND(V944&lt;20,W944&gt;=55,W944&lt;105),0.2,0)+IF(AND(V944&lt;20,W944&gt;=105),0.15,0)+IF(AND(V944&gt;=20,V944&lt;40,W944&lt;45),0.25,0)+IF(AND(V944&gt;=20,V944&lt;40,W944&gt;=45,W944&lt;95),0.2,0)+IF(AND(V944&gt;=20,V944&lt;40,W944&gt;=95),0.15,0)+IF(AND(V944&gt;=40,V944&lt;75,W944&lt;35),0.25,0)+IF(AND(V944&gt;=40,V944&lt;75,W944&gt;=35,W944&lt;75),0.2,0)+IF(AND(V944&gt;=40,V944&lt;75,W944&gt;=75,W944&lt;120),0.15,0)+IF(AND(V944&gt;=40,V944&lt;75,W944&gt;=120),0.1,0)+IF(AND(V944&gt;=75,V944&lt;175,W944&lt;35),0.25,0)+IF(AND(V944&gt;=75,V944&lt;=175,W944&gt;=35,W944&lt;65),0.2,0)+IF(AND(V944&gt;=75,V944&lt;=175,W944&gt;=65,W944&lt;110),0.15,0)+IF(AND(V944&gt;=75,V944&lt;=175,W944&gt;=110),0.1,0)+IF(AND(V944&gt;175,W944&lt;25),0.25,0)+IF(AND(V944&gt;175,W944&gt;=25,W944&lt;55),0.2,0)+IF(AND(V944&gt;175,W944&gt;=55,W944&lt;95),0.15,0)+IF(AND(V944&gt;175,W944&gt;=95),0.1,0))))))))))))))))))))</f>
        <v>0.17</v>
      </c>
      <c r="Y944" s="35">
        <f t="shared" ref="Y944:Y945" si="150">if(AG944="None",0,if(AG944="Fix5",0.05, if(AG944="Fix6.25",0.0625,if(AG944="Fix3.75",0.0375, if(AG944="Fix11",0.11, if(AG944="Fix10",0.1,if(AG944="Fix3",0.03,0)))))))</f>
        <v>0.1</v>
      </c>
      <c r="Z944" s="40">
        <f t="shared" ref="Z944:Z945" si="151">if(and(AD944="EUR", AE944 = "USD"), T944*U944-AA944-AB944, T944-AA944-AB944)</f>
        <v>239.44</v>
      </c>
      <c r="AA944" s="34">
        <f t="shared" ref="AA944:AA945" si="152">IF(AND(AD944="EUR", F944="Without EV deal", AE944="USD"), (T944*X944)*U944, 
IF(AND(AD944="EUR", F944="Without EV deal", AE944="EUR"), (T944*X944), 
IF(AND(AD944="EUR",AE944="USD"), (T944*X944)*U944, 
T944*X944)))</f>
        <v>55.76</v>
      </c>
      <c r="AB944" s="41">
        <f t="shared" ref="AB944:AB945" si="153">IF(AND(AD944="EUR", F944="Without EV deal", AE944="USD"), (T944*Y944)*U944, 
IF(AND(AD944="EUR", F944="Without EV deal", AE944="EUR"), (T944*Y944), 
IF(AND(AD944="EUR",AE944="USD"), (T944*Y944)*U944, 
T944*Y944)))</f>
        <v>32.8</v>
      </c>
      <c r="AC944" s="42" t="b">
        <v>1</v>
      </c>
      <c r="AD944" s="87" t="str">
        <f t="shared" ref="AD944:AD945" si="154">IF(OR(H944="€0.25 Flash",
H944="€0.25(nitro) new",
H944="€1",
H944="€2",
H944="€2 (bf 01.08)",
H944="€5",
H944="€5 (1M)",
H944="€5 (bf 01.08)",
H944="€5 (bf 05.05)",
H944="€5 Nitro",
H944="€5(wx) new",
H944="€10",
H944="€10 (1M)",
H944="€10 (bf 01.08)",
H944="€10 (bf 05.05)",
H944="€10 (MP)",
H944="€10 (old)",
H944="€10 Nitro (bf 05.05)",
H944="€10 Nitro (old)",
H944="€10(wx) new",
H944="€20",
H944="€25",
H944="€25 (bf 01.08)",
H944="€25 (bf 05.05)",
H944="€25 (MP)",
H944="€25 (old)",
H944="€25 Nitro",
H944="€25 Nitro (bf 01.08)",
H944="€25 Nitro (bf 05.05)",
H944="€25(nitro) new",
H944="€25(wx) new",
H944="€50",
H944="€50 (bf 01.08)",
H944="€50 (bf 05.05)",
H944="€50 (old)",
H944="€50 Nitro",
H944="€50 Nitro (bf 01.08)",
H944="€50 Nitro (bf 05.05)",
H944="€50(wx) new",
H944="€100",
H944="€100 (old)",
H944="€100 Nitro",
H944="€100 Nitro (old)",
H944="€200",
H944="€250",
H944="€250 Nitro",
H944="€500",
H944="€500 Nitro"),"EUR", "USD")
</f>
        <v>EUR</v>
      </c>
      <c r="AE944" s="87" t="s">
        <v>140</v>
      </c>
      <c r="AF944" s="88" t="str">
        <f t="array" ref="AF944">INDEX('Deal Info'!D:D, MATCH(A944,'Deal Info'!A:A, 0))</f>
        <v>DoEV</v>
      </c>
      <c r="AG944" s="89" t="str">
        <f t="array" ref="AG944">INDEX('Deal Info'!G:G, MATCH(A944,'Deal Info'!A:A, 0))</f>
        <v>Fix10</v>
      </c>
    </row>
    <row r="945" hidden="1">
      <c r="A945" s="23" t="s">
        <v>154</v>
      </c>
      <c r="B945" s="101" t="s">
        <v>154</v>
      </c>
      <c r="C945" s="115">
        <v>44958.0</v>
      </c>
      <c r="D945" s="115">
        <v>44985.0</v>
      </c>
      <c r="E945" s="85">
        <v>44958.0</v>
      </c>
      <c r="F945" s="101" t="s">
        <v>8</v>
      </c>
      <c r="G945" s="70" t="s">
        <v>9</v>
      </c>
      <c r="H945" s="105" t="s">
        <v>64</v>
      </c>
      <c r="I945" s="105" t="s">
        <v>21</v>
      </c>
      <c r="J945" s="44">
        <f t="shared" si="146"/>
        <v>25</v>
      </c>
      <c r="K945" s="116">
        <v>403.0</v>
      </c>
      <c r="L945" s="117">
        <v>-695.81</v>
      </c>
      <c r="M945" s="67">
        <v>12.5</v>
      </c>
      <c r="N945" s="33">
        <v>10075.0</v>
      </c>
      <c r="O945" s="70"/>
      <c r="P945" s="34">
        <f t="shared" si="14"/>
        <v>0</v>
      </c>
      <c r="Q945" s="60"/>
      <c r="R945" s="36">
        <f t="shared" si="147"/>
        <v>12.5</v>
      </c>
      <c r="S945" s="71">
        <v>-158.0</v>
      </c>
      <c r="T945" s="37">
        <f t="shared" si="148"/>
        <v>-145.5</v>
      </c>
      <c r="U945" s="118">
        <v>1.0617</v>
      </c>
      <c r="V945" s="74"/>
      <c r="W945" s="74"/>
      <c r="X945" s="35">
        <f t="shared" si="149"/>
        <v>0.35</v>
      </c>
      <c r="Y945" s="35">
        <f t="shared" si="150"/>
        <v>0</v>
      </c>
      <c r="Z945" s="40">
        <f t="shared" si="151"/>
        <v>-100.4102775</v>
      </c>
      <c r="AA945" s="34">
        <f t="shared" si="152"/>
        <v>-54.0670725</v>
      </c>
      <c r="AB945" s="41">
        <f t="shared" si="153"/>
        <v>0</v>
      </c>
      <c r="AC945" s="42" t="b">
        <v>0</v>
      </c>
      <c r="AD945" s="87" t="str">
        <f t="shared" si="154"/>
        <v>EUR</v>
      </c>
      <c r="AE945" s="88" t="s">
        <v>138</v>
      </c>
      <c r="AF945" s="88" t="str">
        <f t="array" ref="AF945">INDEX('Deal Info'!D:D, MATCH(A945,'Deal Info'!A:A, 0))</f>
        <v>DoEVold</v>
      </c>
      <c r="AG945" s="89" t="str">
        <f t="array" ref="AG945">INDEX('Deal Info'!G:G, MATCH(A945,'Deal Info'!A:A, 0))</f>
        <v>None</v>
      </c>
    </row>
    <row r="946" hidden="1">
      <c r="A946" s="23" t="str">
        <f t="array" ref="A946">if(G946='Room Info'!$B$1, INDEX('Room Info'!$A$2:$A3446, MATCH(B946,'Room Info'!$B$2:$B3446, 0)),if(G946='Room Info'!$C$1, INDEX('Room Info'!$A$2:$A3446, MATCH(B946,'Room Info'!$C$2:$C3446, 0)),if(G946='Room Info'!$D$1, INDEX('Room Info'!$A$2:$A3446, MATCH(B946,'Room Info'!$D$2:$D3446, 0)),if(G946='Room Info'!$E$1, INDEX('Room Info'!$A$2:$A3446, MATCH(B946,'Room Info'!$E$2:$E3446, 0)),if(G946='Room Info'!$F$1, INDEX('Room Info'!$A$2:$A3446, MATCH(B946,'Room Info'!$F$2:$F3446, 0)),if(G946='Room Info'!$H$1, INDEX('Room Info'!$A$2:$A3446, MATCH(B946,'Room Info'!$H$2:$H3446, 0)),if(G946='Room Info'!$G$1, INDEX('Room Info'!$A$2:$A3446, MATCH(B946,'Room Info'!$G$2:$G3446, 0)))))))))</f>
        <v>thepzdc</v>
      </c>
      <c r="B946" s="59" t="s">
        <v>201</v>
      </c>
      <c r="C946" s="51">
        <v>44896.0</v>
      </c>
      <c r="D946" s="51">
        <v>44915.0</v>
      </c>
      <c r="E946" s="52">
        <v>44896.0</v>
      </c>
      <c r="F946" s="53" t="s">
        <v>8</v>
      </c>
      <c r="G946" s="59" t="s">
        <v>9</v>
      </c>
      <c r="H946" s="54" t="s">
        <v>50</v>
      </c>
      <c r="I946" s="54" t="s">
        <v>21</v>
      </c>
      <c r="J946" s="55">
        <v>10.0</v>
      </c>
      <c r="K946" s="56">
        <v>8000.0</v>
      </c>
      <c r="L946" s="111">
        <v>1680.0</v>
      </c>
      <c r="M946" s="58">
        <v>1680.0</v>
      </c>
      <c r="N946" s="33">
        <f t="shared" ref="N946:N1548" si="155">K946*J946</f>
        <v>80000</v>
      </c>
      <c r="O946" s="112">
        <v>533153.0</v>
      </c>
      <c r="P946" s="34">
        <f t="shared" si="14"/>
        <v>66.644125</v>
      </c>
      <c r="Q946" s="60"/>
      <c r="R946" s="36">
        <f t="shared" ref="R946:R1241" si="156">M946+Q946</f>
        <v>1680</v>
      </c>
      <c r="S946" s="113">
        <v>2734.0</v>
      </c>
      <c r="T946" s="37">
        <f t="shared" ref="T946:T1241" si="157">R946+S946+if(F946="Without EV deal",L946,0)</f>
        <v>4414</v>
      </c>
      <c r="U946" s="62">
        <v>1.0</v>
      </c>
      <c r="V946" s="63"/>
      <c r="W946" s="63"/>
      <c r="X946" s="83">
        <v>0.17</v>
      </c>
      <c r="Y946" s="35">
        <f t="shared" ref="Y946:Y952" si="158">if(AG946="None",0,if(AG946="Fix5",0.05, if(AG946="Fix6.25",0.0625,if(AG946="Fix3.75",0.0375,if(AG946="Fix10",0.1,if(AG946="Fix3",0.03,0))))))</f>
        <v>0</v>
      </c>
      <c r="Z946" s="40">
        <f t="shared" ref="Z946:Z1231" si="159">T946-AA946-AB946</f>
        <v>3663.62</v>
      </c>
      <c r="AA946" s="34">
        <f t="shared" ref="AA946:AA974" si="160">if(AD946="EUR",((T946-R946)*X946)*U946+(R946*X946),(T946*X946))</f>
        <v>750.38</v>
      </c>
      <c r="AB946" s="41">
        <f t="shared" ref="AB946:AB1231" si="161">if(AD946="EUR",((T946-R946)*Y946)*U946+(R946*Y946),(T946*Y946))</f>
        <v>0</v>
      </c>
      <c r="AC946" s="42" t="b">
        <v>1</v>
      </c>
      <c r="AD946" s="42" t="s">
        <v>138</v>
      </c>
      <c r="AE946" s="42" t="s">
        <v>138</v>
      </c>
      <c r="AF946" s="42" t="str">
        <f t="array" ref="AF946">INDEX('Deal Info'!D:D, MATCH(A946,'Deal Info'!A:A, 0))</f>
        <v>DoEV</v>
      </c>
      <c r="AG946" s="43" t="str">
        <f t="array" ref="AG946">INDEX('Deal Info'!G:G, MATCH(A946,'Deal Info'!A:A, 0))</f>
        <v>None</v>
      </c>
    </row>
    <row r="947" hidden="1">
      <c r="A947" s="23" t="str">
        <f t="array" ref="A947">if(G947='Room Info'!$B$1, INDEX('Room Info'!$A$2:$A3446, MATCH(B947,'Room Info'!$B$2:$B3446, 0)),if(G947='Room Info'!$C$1, INDEX('Room Info'!$A$2:$A3446, MATCH(B947,'Room Info'!$C$2:$C3446, 0)),if(G947='Room Info'!$D$1, INDEX('Room Info'!$A$2:$A3446, MATCH(B947,'Room Info'!$D$2:$D3446, 0)),if(G947='Room Info'!$E$1, INDEX('Room Info'!$A$2:$A3446, MATCH(B947,'Room Info'!$E$2:$E3446, 0)),if(G947='Room Info'!$F$1, INDEX('Room Info'!$A$2:$A3446, MATCH(B947,'Room Info'!$F$2:$F3446, 0)),if(G947='Room Info'!$H$1, INDEX('Room Info'!$A$2:$A3446, MATCH(B947,'Room Info'!$H$2:$H3446, 0)),if(G947='Room Info'!$G$1, INDEX('Room Info'!$A$2:$A3446, MATCH(B947,'Room Info'!$G$2:$G3446, 0)))))))))</f>
        <v>vezuxa</v>
      </c>
      <c r="B947" s="50" t="s">
        <v>174</v>
      </c>
      <c r="C947" s="51">
        <v>44743.0</v>
      </c>
      <c r="D947" s="51">
        <v>44773.0</v>
      </c>
      <c r="E947" s="52">
        <v>44743.0</v>
      </c>
      <c r="F947" s="53" t="s">
        <v>12</v>
      </c>
      <c r="G947" s="50" t="s">
        <v>9</v>
      </c>
      <c r="H947" s="54" t="s">
        <v>31</v>
      </c>
      <c r="I947" s="54" t="s">
        <v>7</v>
      </c>
      <c r="J947" s="55">
        <v>2.0</v>
      </c>
      <c r="K947" s="56">
        <v>1282.0</v>
      </c>
      <c r="L947" s="57">
        <v>-52.0</v>
      </c>
      <c r="M947" s="58">
        <v>180.0</v>
      </c>
      <c r="N947" s="33">
        <f t="shared" si="155"/>
        <v>2564</v>
      </c>
      <c r="O947" s="70"/>
      <c r="P947" s="34">
        <f t="shared" si="14"/>
        <v>0</v>
      </c>
      <c r="Q947" s="60"/>
      <c r="R947" s="36">
        <f t="shared" si="156"/>
        <v>180</v>
      </c>
      <c r="S947" s="71"/>
      <c r="T947" s="37">
        <f t="shared" si="157"/>
        <v>128</v>
      </c>
      <c r="U947" s="62">
        <v>1.0</v>
      </c>
      <c r="V947" s="63"/>
      <c r="W947" s="63"/>
      <c r="X947" s="83">
        <v>0.17</v>
      </c>
      <c r="Y947" s="35">
        <f t="shared" si="158"/>
        <v>0</v>
      </c>
      <c r="Z947" s="40">
        <f t="shared" si="159"/>
        <v>106.24</v>
      </c>
      <c r="AA947" s="34">
        <f t="shared" si="160"/>
        <v>21.76</v>
      </c>
      <c r="AB947" s="41">
        <f t="shared" si="161"/>
        <v>0</v>
      </c>
      <c r="AC947" s="42" t="b">
        <v>1</v>
      </c>
      <c r="AD947" s="66" t="s">
        <v>140</v>
      </c>
      <c r="AE947" s="66"/>
      <c r="AF947" s="42" t="str">
        <f t="array" ref="AF947">INDEX('Deal Info'!D:D, MATCH(A947,'Deal Info'!A:A, 0))</f>
        <v>DoEV</v>
      </c>
      <c r="AG947" s="43" t="str">
        <f t="array" ref="AG947">INDEX('Deal Info'!G:G, MATCH(A947,'Deal Info'!A:A, 0))</f>
        <v>None</v>
      </c>
    </row>
    <row r="948" hidden="1">
      <c r="A948" s="23" t="str">
        <f t="array" ref="A948">if(G948='Room Info'!$B$1, INDEX('Room Info'!$A$2:$A3446, MATCH(B948,'Room Info'!$B$2:$B3446, 0)),if(G948='Room Info'!$C$1, INDEX('Room Info'!$A$2:$A3446, MATCH(B948,'Room Info'!$C$2:$C3446, 0)),if(G948='Room Info'!$D$1, INDEX('Room Info'!$A$2:$A3446, MATCH(B948,'Room Info'!$D$2:$D3446, 0)),if(G948='Room Info'!$E$1, INDEX('Room Info'!$A$2:$A3446, MATCH(B948,'Room Info'!$E$2:$E3446, 0)),if(G948='Room Info'!$F$1, INDEX('Room Info'!$A$2:$A3446, MATCH(B948,'Room Info'!$F$2:$F3446, 0)),if(G948='Room Info'!$H$1, INDEX('Room Info'!$A$2:$A3446, MATCH(B948,'Room Info'!$H$2:$H3446, 0)),if(G948='Room Info'!$G$1, INDEX('Room Info'!$A$2:$A3446, MATCH(B948,'Room Info'!$G$2:$G3446, 0)))))))))</f>
        <v>vezuxa</v>
      </c>
      <c r="B948" s="50" t="s">
        <v>174</v>
      </c>
      <c r="C948" s="51">
        <v>44774.0</v>
      </c>
      <c r="D948" s="51">
        <v>44804.0</v>
      </c>
      <c r="E948" s="52">
        <v>44774.0</v>
      </c>
      <c r="F948" s="53" t="s">
        <v>12</v>
      </c>
      <c r="G948" s="50" t="s">
        <v>9</v>
      </c>
      <c r="H948" s="54" t="s">
        <v>31</v>
      </c>
      <c r="I948" s="54" t="s">
        <v>7</v>
      </c>
      <c r="J948" s="55">
        <v>2.0</v>
      </c>
      <c r="K948" s="56">
        <v>287.0</v>
      </c>
      <c r="L948" s="57">
        <v>102.0</v>
      </c>
      <c r="M948" s="58">
        <v>241.0</v>
      </c>
      <c r="N948" s="33">
        <f t="shared" si="155"/>
        <v>574</v>
      </c>
      <c r="O948" s="59">
        <v>36141.0</v>
      </c>
      <c r="P948" s="34">
        <f t="shared" si="14"/>
        <v>125.9268293</v>
      </c>
      <c r="Q948" s="60"/>
      <c r="R948" s="36">
        <f t="shared" si="156"/>
        <v>241</v>
      </c>
      <c r="S948" s="71"/>
      <c r="T948" s="37">
        <f t="shared" si="157"/>
        <v>343</v>
      </c>
      <c r="U948" s="62">
        <v>1.0</v>
      </c>
      <c r="V948" s="63"/>
      <c r="W948" s="63"/>
      <c r="X948" s="83">
        <v>0.17</v>
      </c>
      <c r="Y948" s="35">
        <f t="shared" si="158"/>
        <v>0</v>
      </c>
      <c r="Z948" s="40">
        <f t="shared" si="159"/>
        <v>284.69</v>
      </c>
      <c r="AA948" s="34">
        <f t="shared" si="160"/>
        <v>58.31</v>
      </c>
      <c r="AB948" s="41">
        <f t="shared" si="161"/>
        <v>0</v>
      </c>
      <c r="AC948" s="42" t="b">
        <v>1</v>
      </c>
      <c r="AD948" s="66" t="s">
        <v>140</v>
      </c>
      <c r="AE948" s="66"/>
      <c r="AF948" s="42" t="str">
        <f t="array" ref="AF948">INDEX('Deal Info'!D:D, MATCH(A948,'Deal Info'!A:A, 0))</f>
        <v>DoEV</v>
      </c>
      <c r="AG948" s="43" t="str">
        <f t="array" ref="AG948">INDEX('Deal Info'!G:G, MATCH(A948,'Deal Info'!A:A, 0))</f>
        <v>None</v>
      </c>
    </row>
    <row r="949" hidden="1">
      <c r="A949" s="23" t="str">
        <f t="array" ref="A949">if(G949='Room Info'!$B$1, INDEX('Room Info'!$A$2:$A3446, MATCH(B949,'Room Info'!$B$2:$B3446, 0)),if(G949='Room Info'!$C$1, INDEX('Room Info'!$A$2:$A3446, MATCH(B949,'Room Info'!$C$2:$C3446, 0)),if(G949='Room Info'!$D$1, INDEX('Room Info'!$A$2:$A3446, MATCH(B949,'Room Info'!$D$2:$D3446, 0)),if(G949='Room Info'!$E$1, INDEX('Room Info'!$A$2:$A3446, MATCH(B949,'Room Info'!$E$2:$E3446, 0)),if(G949='Room Info'!$F$1, INDEX('Room Info'!$A$2:$A3446, MATCH(B949,'Room Info'!$F$2:$F3446, 0)),if(G949='Room Info'!$H$1, INDEX('Room Info'!$A$2:$A3446, MATCH(B949,'Room Info'!$H$2:$H3446, 0)),if(G949='Room Info'!$G$1, INDEX('Room Info'!$A$2:$A3446, MATCH(B949,'Room Info'!$G$2:$G3446, 0)))))))))</f>
        <v>vezuxa</v>
      </c>
      <c r="B949" s="50" t="s">
        <v>174</v>
      </c>
      <c r="C949" s="51">
        <v>44805.0</v>
      </c>
      <c r="D949" s="51">
        <v>44834.0</v>
      </c>
      <c r="E949" s="52">
        <v>44805.0</v>
      </c>
      <c r="F949" s="53" t="s">
        <v>12</v>
      </c>
      <c r="G949" s="50" t="s">
        <v>9</v>
      </c>
      <c r="H949" s="54" t="s">
        <v>31</v>
      </c>
      <c r="I949" s="54" t="s">
        <v>7</v>
      </c>
      <c r="J949" s="55">
        <v>2.0</v>
      </c>
      <c r="K949" s="56">
        <v>719.0</v>
      </c>
      <c r="L949" s="57">
        <v>114.0</v>
      </c>
      <c r="M949" s="58">
        <v>210.0</v>
      </c>
      <c r="N949" s="33">
        <f t="shared" si="155"/>
        <v>1438</v>
      </c>
      <c r="O949" s="59">
        <v>76161.0</v>
      </c>
      <c r="P949" s="34">
        <f t="shared" si="14"/>
        <v>105.9262865</v>
      </c>
      <c r="Q949" s="60"/>
      <c r="R949" s="36">
        <f t="shared" si="156"/>
        <v>210</v>
      </c>
      <c r="S949" s="71"/>
      <c r="T949" s="37">
        <f t="shared" si="157"/>
        <v>324</v>
      </c>
      <c r="U949" s="62">
        <v>1.0</v>
      </c>
      <c r="V949" s="63"/>
      <c r="W949" s="63"/>
      <c r="X949" s="83">
        <v>0.17</v>
      </c>
      <c r="Y949" s="35">
        <f t="shared" si="158"/>
        <v>0</v>
      </c>
      <c r="Z949" s="40">
        <f t="shared" si="159"/>
        <v>268.92</v>
      </c>
      <c r="AA949" s="34">
        <f t="shared" si="160"/>
        <v>55.08</v>
      </c>
      <c r="AB949" s="41">
        <f t="shared" si="161"/>
        <v>0</v>
      </c>
      <c r="AC949" s="42" t="b">
        <v>1</v>
      </c>
      <c r="AD949" s="66" t="s">
        <v>140</v>
      </c>
      <c r="AE949" s="66"/>
      <c r="AF949" s="42" t="str">
        <f t="array" ref="AF949">INDEX('Deal Info'!D:D, MATCH(A949,'Deal Info'!A:A, 0))</f>
        <v>DoEV</v>
      </c>
      <c r="AG949" s="43" t="str">
        <f t="array" ref="AG949">INDEX('Deal Info'!G:G, MATCH(A949,'Deal Info'!A:A, 0))</f>
        <v>None</v>
      </c>
    </row>
    <row r="950" hidden="1">
      <c r="A950" s="23" t="str">
        <f t="array" ref="A950">if(G950='Room Info'!$B$1, INDEX('Room Info'!$A$2:$A3446, MATCH(B950,'Room Info'!$B$2:$B3446, 0)),if(G950='Room Info'!$C$1, INDEX('Room Info'!$A$2:$A3446, MATCH(B950,'Room Info'!$C$2:$C3446, 0)),if(G950='Room Info'!$D$1, INDEX('Room Info'!$A$2:$A3446, MATCH(B950,'Room Info'!$D$2:$D3446, 0)),if(G950='Room Info'!$E$1, INDEX('Room Info'!$A$2:$A3446, MATCH(B950,'Room Info'!$E$2:$E3446, 0)),if(G950='Room Info'!$F$1, INDEX('Room Info'!$A$2:$A3446, MATCH(B950,'Room Info'!$F$2:$F3446, 0)),if(G950='Room Info'!$H$1, INDEX('Room Info'!$A$2:$A3446, MATCH(B950,'Room Info'!$H$2:$H3446, 0)),if(G950='Room Info'!$G$1, INDEX('Room Info'!$A$2:$A3446, MATCH(B950,'Room Info'!$G$2:$G3446, 0)))))))))</f>
        <v>vezuxa</v>
      </c>
      <c r="B950" s="50" t="s">
        <v>174</v>
      </c>
      <c r="C950" s="51">
        <v>44835.0</v>
      </c>
      <c r="D950" s="51">
        <v>44865.0</v>
      </c>
      <c r="E950" s="52">
        <v>44835.0</v>
      </c>
      <c r="F950" s="53" t="s">
        <v>12</v>
      </c>
      <c r="G950" s="50" t="s">
        <v>9</v>
      </c>
      <c r="H950" s="54" t="s">
        <v>30</v>
      </c>
      <c r="I950" s="54" t="s">
        <v>21</v>
      </c>
      <c r="J950" s="55">
        <v>2.0</v>
      </c>
      <c r="K950" s="56">
        <v>2321.0</v>
      </c>
      <c r="L950" s="57">
        <v>360.0</v>
      </c>
      <c r="M950" s="58">
        <v>205.0</v>
      </c>
      <c r="N950" s="33">
        <f t="shared" si="155"/>
        <v>4642</v>
      </c>
      <c r="O950" s="59">
        <v>187531.0</v>
      </c>
      <c r="P950" s="34">
        <f t="shared" si="14"/>
        <v>80.79750108</v>
      </c>
      <c r="Q950" s="60"/>
      <c r="R950" s="36">
        <f t="shared" si="156"/>
        <v>205</v>
      </c>
      <c r="S950" s="71"/>
      <c r="T950" s="37">
        <f t="shared" si="157"/>
        <v>565</v>
      </c>
      <c r="U950" s="62">
        <v>1.0</v>
      </c>
      <c r="V950" s="63"/>
      <c r="W950" s="63"/>
      <c r="X950" s="83">
        <v>0.17</v>
      </c>
      <c r="Y950" s="35">
        <f t="shared" si="158"/>
        <v>0</v>
      </c>
      <c r="Z950" s="40">
        <f t="shared" si="159"/>
        <v>468.95</v>
      </c>
      <c r="AA950" s="34">
        <f t="shared" si="160"/>
        <v>96.05</v>
      </c>
      <c r="AB950" s="41">
        <f t="shared" si="161"/>
        <v>0</v>
      </c>
      <c r="AC950" s="42" t="b">
        <v>1</v>
      </c>
      <c r="AD950" s="66" t="s">
        <v>140</v>
      </c>
      <c r="AE950" s="66"/>
      <c r="AF950" s="42" t="str">
        <f t="array" ref="AF950">INDEX('Deal Info'!D:D, MATCH(A950,'Deal Info'!A:A, 0))</f>
        <v>DoEV</v>
      </c>
      <c r="AG950" s="43" t="str">
        <f t="array" ref="AG950">INDEX('Deal Info'!G:G, MATCH(A950,'Deal Info'!A:A, 0))</f>
        <v>None</v>
      </c>
    </row>
    <row r="951" hidden="1">
      <c r="A951" s="23" t="str">
        <f t="array" ref="A951">if(G951='Room Info'!$B$1, INDEX('Room Info'!$A$2:$A3446, MATCH(B951,'Room Info'!$B$2:$B3446, 0)),if(G951='Room Info'!$C$1, INDEX('Room Info'!$A$2:$A3446, MATCH(B951,'Room Info'!$C$2:$C3446, 0)),if(G951='Room Info'!$D$1, INDEX('Room Info'!$A$2:$A3446, MATCH(B951,'Room Info'!$D$2:$D3446, 0)),if(G951='Room Info'!$E$1, INDEX('Room Info'!$A$2:$A3446, MATCH(B951,'Room Info'!$E$2:$E3446, 0)),if(G951='Room Info'!$F$1, INDEX('Room Info'!$A$2:$A3446, MATCH(B951,'Room Info'!$F$2:$F3446, 0)),if(G951='Room Info'!$H$1, INDEX('Room Info'!$A$2:$A3446, MATCH(B951,'Room Info'!$H$2:$H3446, 0)),if(G951='Room Info'!$G$1, INDEX('Room Info'!$A$2:$A3446, MATCH(B951,'Room Info'!$G$2:$G3446, 0)))))))))</f>
        <v>vezuxa</v>
      </c>
      <c r="B951" s="50" t="s">
        <v>174</v>
      </c>
      <c r="C951" s="51">
        <v>44866.0</v>
      </c>
      <c r="D951" s="51">
        <v>44895.0</v>
      </c>
      <c r="E951" s="52">
        <v>44866.0</v>
      </c>
      <c r="F951" s="53" t="s">
        <v>12</v>
      </c>
      <c r="G951" s="50" t="s">
        <v>9</v>
      </c>
      <c r="H951" s="54" t="s">
        <v>30</v>
      </c>
      <c r="I951" s="54" t="s">
        <v>21</v>
      </c>
      <c r="J951" s="55">
        <v>2.0</v>
      </c>
      <c r="K951" s="56">
        <v>1628.0</v>
      </c>
      <c r="L951" s="57">
        <v>20.0</v>
      </c>
      <c r="M951" s="58">
        <v>91.0</v>
      </c>
      <c r="N951" s="33">
        <f t="shared" si="155"/>
        <v>3256</v>
      </c>
      <c r="O951" s="59">
        <v>164052.0</v>
      </c>
      <c r="P951" s="34">
        <f t="shared" si="14"/>
        <v>100.7690418</v>
      </c>
      <c r="Q951" s="60"/>
      <c r="R951" s="36">
        <f t="shared" si="156"/>
        <v>91</v>
      </c>
      <c r="S951" s="71"/>
      <c r="T951" s="37">
        <f t="shared" si="157"/>
        <v>111</v>
      </c>
      <c r="U951" s="62">
        <v>1.0</v>
      </c>
      <c r="V951" s="63"/>
      <c r="W951" s="63"/>
      <c r="X951" s="83">
        <v>0.17</v>
      </c>
      <c r="Y951" s="35">
        <f t="shared" si="158"/>
        <v>0</v>
      </c>
      <c r="Z951" s="40">
        <f t="shared" si="159"/>
        <v>92.13</v>
      </c>
      <c r="AA951" s="34">
        <f t="shared" si="160"/>
        <v>18.87</v>
      </c>
      <c r="AB951" s="41">
        <f t="shared" si="161"/>
        <v>0</v>
      </c>
      <c r="AC951" s="42" t="b">
        <v>1</v>
      </c>
      <c r="AD951" s="66" t="s">
        <v>140</v>
      </c>
      <c r="AE951" s="66"/>
      <c r="AF951" s="42" t="str">
        <f t="array" ref="AF951">INDEX('Deal Info'!D:D, MATCH(A951,'Deal Info'!A:A, 0))</f>
        <v>DoEV</v>
      </c>
      <c r="AG951" s="43" t="str">
        <f t="array" ref="AG951">INDEX('Deal Info'!G:G, MATCH(A951,'Deal Info'!A:A, 0))</f>
        <v>None</v>
      </c>
    </row>
    <row r="952" hidden="1">
      <c r="A952" s="23" t="str">
        <f t="array" ref="A952">if(G952='Room Info'!$B$1, INDEX('Room Info'!$A$2:$A3446, MATCH(B952,'Room Info'!$B$2:$B3446, 0)),if(G952='Room Info'!$C$1, INDEX('Room Info'!$A$2:$A3446, MATCH(B952,'Room Info'!$C$2:$C3446, 0)),if(G952='Room Info'!$D$1, INDEX('Room Info'!$A$2:$A3446, MATCH(B952,'Room Info'!$D$2:$D3446, 0)),if(G952='Room Info'!$E$1, INDEX('Room Info'!$A$2:$A3446, MATCH(B952,'Room Info'!$E$2:$E3446, 0)),if(G952='Room Info'!$F$1, INDEX('Room Info'!$A$2:$A3446, MATCH(B952,'Room Info'!$F$2:$F3446, 0)),if(G952='Room Info'!$H$1, INDEX('Room Info'!$A$2:$A3446, MATCH(B952,'Room Info'!$H$2:$H3446, 0)),if(G952='Room Info'!$G$1, INDEX('Room Info'!$A$2:$A3446, MATCH(B952,'Room Info'!$G$2:$G3446, 0)))))))))</f>
        <v>vezuxa</v>
      </c>
      <c r="B952" s="50" t="s">
        <v>174</v>
      </c>
      <c r="C952" s="51">
        <v>44896.0</v>
      </c>
      <c r="D952" s="51">
        <v>44957.0</v>
      </c>
      <c r="E952" s="52">
        <v>44927.0</v>
      </c>
      <c r="F952" s="53" t="s">
        <v>12</v>
      </c>
      <c r="G952" s="50" t="s">
        <v>9</v>
      </c>
      <c r="H952" s="54" t="s">
        <v>30</v>
      </c>
      <c r="I952" s="54" t="s">
        <v>21</v>
      </c>
      <c r="J952" s="55">
        <v>2.0</v>
      </c>
      <c r="K952" s="56">
        <v>0.0</v>
      </c>
      <c r="L952" s="57">
        <v>0.0</v>
      </c>
      <c r="M952" s="67"/>
      <c r="N952" s="33">
        <f t="shared" si="155"/>
        <v>0</v>
      </c>
      <c r="O952" s="59">
        <v>0.0</v>
      </c>
      <c r="P952" s="34" t="str">
        <f t="shared" si="14"/>
        <v/>
      </c>
      <c r="Q952" s="60"/>
      <c r="R952" s="36">
        <f t="shared" si="156"/>
        <v>0</v>
      </c>
      <c r="S952" s="71"/>
      <c r="T952" s="37">
        <f t="shared" si="157"/>
        <v>0</v>
      </c>
      <c r="U952" s="62">
        <v>1.0</v>
      </c>
      <c r="V952" s="63"/>
      <c r="W952" s="63"/>
      <c r="X952" s="35">
        <f>IF(AF952="DoEV",IF(AND(V952&lt;20,W952&lt;55),0.3,0)+IF(AND(V952&lt;20,W952&gt;=55,W952&lt;105),0.23,0)+IF(AND(V952&lt;20,W952&gt;=105),0.17,0)+IF(AND(V952&gt;=20,V952&lt;40,W952&lt;45),0.3,0)+IF(AND(V952&gt;=20,V952&lt;40,W952&gt;=45,W952&lt;95),0.23,0)+IF(AND(V952&gt;=20,V952&lt;40,W952&gt;=95),0.17,0)+IF(AND(V952&gt;=40,V952&lt;75,W952&lt;35),0.3,0)+IF(AND(V952&gt;=40,V952&lt;75,W952&gt;=35,W952&lt;75),0.23,0)+IF(AND(V952&gt;=40,V952&lt;75,W952&gt;=75,W952&lt;120),0.17,0)+IF(AND(V952&gt;=40,V952&lt;75,W952&gt;=120),0.12,0)+IF(AND(V952&gt;=75,V952&lt;175,W952&lt;35),0.3,0)+IF(AND(V952&gt;=75,V952&lt;=175,W952&gt;=35,W952&lt;65),0.23,0)+IF(AND(V952&gt;=75,V952&lt;=175,W952&gt;=65,W952&lt;110),0.17,0)+IF(AND(V952&gt;=75,V952&lt;=175,W952&gt;=110),0.12,0)+IF(AND(V952&gt;175,W952&lt;25),0.3,0)+IF(AND(V952&gt;175,W952&gt;=25,W952&lt;55),0.23,0)+IF(AND(V952&gt;175,W952&gt;=55,W952&lt;95),0.17,0)+IF(AND(V952&gt;175,W952&gt;=95),0.12,0),
IF(AF952="Fix15",0.15,
if(AF952="Fix18.75",0.1875,
IF(AF952="Fix11.25",0.1125,
IF(AF952="Fix10",0.1,
IF(AF952="Fix9",0.09,
IF(AF952="DoEV2017",IF(AND(W952&lt;74),0.2,0)+IF(AND(W952&gt;=74),0.17,0),
IF(AF952="SF",IF(AND(V952&lt;20,W952&lt;89),0.3,0)+IF(AND(V952&lt;20,W952&gt;=89),0.25,0)+IF(AND(V952&gt;=20,V952&lt;40,W952&lt;74),0.3,0)+IF(AND(V952&gt;=20,V952&lt;40,W952&gt;=75),0.22,0)+IF(AND(V952&gt;=40,V952&lt;75,W952&lt;75),0.26,0)+IF(AND(V952&gt;=40,V952&lt;75,W952&gt;=75),0.22,0)+IF(V952&gt;=75,0.22,0),
IF(AF952="DoEVold",IF(AND(V952&lt;40,W952&lt;35),0.35,0)+IF(AND(V952&lt;40,W952&gt;=35,W952&lt;75),0.25,0)+IF(AND(V952&lt;40,W952&gt;=75),0.17,0)+IF(AND(V952&gt;=40,V952&lt;75,W952&lt;25),0.35,0)+IF(AND(V952&gt;=40,V952&lt;75,W952&gt;=25,W952&lt;65),0.25,0)+IF(AND(V952&gt;=40,V952&lt;75,W952&gt;=65,W952&lt;100),0.17,0)+IF(AND(V952&gt;=40,V952&lt;75,W952&gt;=100),0.1,0)+IF(AND(V952&gt;=75,W952&lt;25),0.35,0)+IF(AND(V952&gt;=75,W952&gt;=25,W952&lt;60),0.25,0)+IF(AND(V952&gt;=75,W952&gt;=60,W952&lt;95),0.17,0)+IF(AND(V952&gt;=75,W952&gt;=95),0.1,0),
IF(AF952="DoEVold15",IF(AND(V952&lt;=40,W952&lt;35),0.35,0)+IF(AND(V952&lt;=40,W952&gt;=35,W952&lt;75),0.25,0)+IF(AND(V952&lt;=40,W952&gt;=75,W952&lt;120),0.17,0)+IF(AND(V952&lt;=40,W952&gt;=120),0.15,0)+IF(AND(V952&gt;40,V952&lt;75,W952&lt;25),0.35,0)+IF(AND(V952&gt;=40,V952&lt;75,W952&gt;=25,W952&lt;65),0.25,0)+IF(AND(V952&gt;=40,V952&lt;75,W952&gt;=65,W952&lt;100),0.17,0)+IF(AND(V952&gt;=40,V952&lt;75,W952&gt;=100),0.1,0)+IF(AND(V952&gt;=75,W952&lt;25),0.35,0)+IF(AND(V952&gt;=75,W952&gt;=25,W952&lt;60),0.25,0)+IF(AND(V952&gt;=75,W952&gt;=60,W952&lt;95),0.17,0)+IF(AND(V952&gt;=75,W952&gt;=95),0.1,0),
IF(AF952="DoEVba",IF(AND(V952&lt;20,W952&lt;105),0.2,0)+IF(AND(V952&lt;20,W952&gt;=105),0.15,0)+IF(AND(V952&gt;=20,V952&lt;40,W952&lt;95),0.2,0)+IF(AND(V952&gt;=20,V952&lt;40,W952&gt;=95,W952&lt;150),0.15,0)+IF(AND(V952&gt;=20,V952&lt;40,W952&gt;=150),0.12,0)+IF(AND(V952&gt;=40,V952&lt;75,W952&lt;75),0.2,0)+IF(AND(V952&gt;=40,V952&lt;75,W952&gt;=75,W952&lt;120),0.15,0)+IF(AND(V952&gt;=40,V952&lt;75,W952&gt;=120),0.12,0)+IF(AND(V952&gt;=75,V952&lt;175,W952&lt;65),0.2,0)+IF(AND(V952&gt;=75,V952&lt;175,W952&gt;=65,W952&lt;110),0.15,0)+IF(AND(V952&gt;=75,V952&lt;175,W952&gt;=110),0.12,0)+IF(AND(V952&gt;=175,W952&lt;55),0.2,0)+IF(AND(V952&gt;=175,W952&gt;=55,W952&lt;95),0.15,0)+IF(AND(V952&gt;=175,W952&gt;=95),0.12,0),
IF(AF952="DoEVku",IF(AND(V952&lt;20,W952&lt;55),0.23,0)+IF(AND(V952&lt;20,W952&gt;=55,W952&lt;105),0.2,0)+IF(AND(V952&lt;20,W952&gt;=105),0.17,0)+IF(AND(V952&gt;=20,V952&lt;40,W952&lt;45),0.23,0)+IF(AND(V952&gt;=20,V952&lt;40,W952&gt;=45,W952&lt;95),0.2,0)+IF(AND(V952&gt;=20,V952&lt;40,W952&gt;=95,W952&lt;=150),0.17,0)+IF(AND(V952&gt;=20,V952&lt;40,W952&gt;=150),0.12,0)+IF(AND(V952&gt;=40,V952&lt;75,W952&lt;35),0.23,0)+IF(AND(V952&gt;=40,V952&lt;75,W952&gt;=35,W952&lt;75),0.2,0)+IF(AND(V952&gt;=40,V952&lt;75,W952&gt;=75,W952&lt;120),0.17,0)+IF(AND(V952&gt;=40,V952&lt;75,W952&gt;=120),0.12,0)+IF(AND(V952&gt;=75,V952&lt;175,W952&lt;35),0.23,0)+IF(AND(V952&gt;=75,V952&lt;=175,W952&gt;=35,W952&lt;65),0.2,0)+IF(AND(V952&gt;=75,V952&lt;=175,W952&gt;=65,W952&lt;110),0.17,0)+IF(AND(V952&gt;=75,V952&lt;=175,W952&gt;=110),0.12,0)+IF(AND(V952&gt;175,W952&lt;25),0.23,0)+IF(AND(V952&gt;175,W952&gt;=25,W952&lt;55),0.2,0)+IF(AND(V952&gt;175,W952&gt;=55,W952&lt;95),0.17,0)+IF(AND(V952&gt;175,W952&gt;=95),0.12,0),
IF(AF952="DoEVs1",IF(AND(V952&lt;20,W952&lt;55),0.3,0)+IF(AND(V952&lt;20,W952&gt;=55,W952&lt;105),0.23,0)+IF(AND(V952&lt;20,W952&gt;=105),0.17,0)+IF(AND(V952&gt;=20,V952&lt;40,W952&lt;45),0.3,0)+IF(AND(V952&gt;=20,V952&lt;40,W952&gt;=45,W952&lt;95),0.23,0)+IF(AND(V952&gt;=20,V952&lt;40,W952&gt;=95,W952&lt;=150),0.17,0)+IF(AND(V952&gt;=20,V952&lt;40,W952&gt;=150),0.12,0)+IF(AND(V952&gt;=40,V952&lt;75,W952&lt;35),0.3,0)+IF(AND(V952&gt;=40,V952&lt;75,W952&gt;=35,W952&lt;75),0.23,0)+IF(AND(V952&gt;=40,V952&lt;75,W952&gt;=75,W952&lt;120),0.17,0)+IF(AND(V952&gt;=40,V952&lt;75,W952&gt;=120),0.12,0)+IF(AND(V952&gt;=75,V952&lt;175,W952&lt;35),0.3,0)+IF(AND(V952&gt;=75,V952&lt;=175,W952&gt;=35,W952&lt;65),0.23,0)+IF(AND(V952&gt;=75,V952&lt;=175,W952&gt;=65,W952&lt;110),0.17,0)+IF(AND(V952&gt;=75,V952&lt;=175,W952&gt;=110),0.12,0)+IF(AND(V952&gt;175,W952&lt;25),0.3,0)+IF(AND(V952&gt;175,W952&gt;=25,W952&lt;55),0.23,0)+IF(AND(V952&gt;175,W952&gt;=55,W952&lt;95),0.17,0)+IF(AND(V952&gt;175,W952&gt;=95),0.12,0),
IF(AF952="DoEVsu",IF(AND(V952&lt;20,W952&lt;55),0.3,0)+IF(AND(V952&lt;20,W952&gt;=55,W952&lt;105),0.23,0)+IF(AND(V952&lt;20,W952&gt;=105),0.17,0)+IF(AND(V952&gt;=20,V952&lt;40,W952&lt;45),0.3,0)+IF(AND(V952&gt;=20,V952&lt;40,W952&gt;=45,W952&lt;95),0.23,0)+IF(AND(V952&gt;=20,V952&lt;40,W952&gt;=95,W952&lt;=250),0.17,0)+IF(AND(V952&gt;=20,V952&lt;40,W952&gt;=250),0.12,0)+IF(AND(V952&gt;=40,V952&lt;75,W952&lt;35),0.3,0)+IF(AND(V952&gt;=40,V952&lt;75,W952&gt;=35,W952&lt;75),0.23,0)+IF(AND(V952&gt;=40,V952&lt;75,W952&gt;=75,W952&lt;120),0.17,0)+IF(AND(V952&gt;=40,V952&lt;75,W952&gt;=120),0.12,0)+IF(AND(V952&gt;=75,V952&lt;175,W952&lt;35),0.3,0)+IF(AND(V952&gt;=75,V952&lt;=175,W952&gt;=35,W952&lt;65),0.23,0)+IF(AND(V952&gt;=75,V952&lt;=175,W952&gt;=65,W952&lt;110),0.17,0)+IF(AND(V952&gt;=75,V952&lt;=175,W952&gt;=110),0.12,0)+IF(AND(V952&gt;175,W952&lt;25),0.3,0)+IF(AND(V952&gt;175,W952&gt;=25,W952&lt;55),0.23,0)+IF(AND(V952&gt;175,W952&gt;=55,W952&lt;95),0.17,0)+IF(AND(V952&gt;175,W952&gt;=95),0.12,0),
IF(AF952="DoEVni",IF(AND(V952&lt;20,W952&lt;55),0.3,0)+IF(AND(V952&lt;20,W952&gt;=55,W952&lt;105),0.23,0)+IF(AND(V952&lt;20,W952&gt;=105),0.17,0)+IF(AND(V952&gt;=20,V952&lt;40,W952&lt;45),0.3,0)+IF(AND(V952&gt;=20,V952&lt;40,W952&gt;=45,W952&lt;95),0.23,0)+IF(AND(V952&gt;=20,V952&lt;40,W952&gt;=95,W952&lt;=200),0.17,0)+IF(AND(V952&gt;=20,V952&lt;40,W952&gt;=200),0.12,0)+IF(AND(V952&gt;=40,V952&lt;75,W952&lt;35),0.3,0)+IF(AND(V952&gt;=40,V952&lt;75,W952&gt;=35,W952&lt;75),0.23,0)+IF(AND(V952&gt;=40,V952&lt;75,W952&gt;=75,W952&lt;120),0.17,0)+IF(AND(V952&gt;=40,V952&lt;75,W952&gt;=120),0.12,0)+IF(AND(V952&gt;=75,V952&lt;175,W952&lt;35),0.3,0)+IF(AND(V952&gt;=75,V952&lt;=175,W952&gt;=35,W952&lt;65),0.23,0)+IF(AND(V952&gt;=75,V952&lt;=175,W952&gt;=65,W952&lt;110),0.17,0)+IF(AND(V952&gt;=75,V952&lt;=175,W952&gt;=110),0.12,0)+IF(AND(V952&gt;175,W952&lt;25),0.3,0)+IF(AND(V952&gt;175,W952&gt;=25,W952&lt;55),0.23,0)+IF(AND(V952&gt;175,W952&gt;=55,W952&lt;95),0.17,0)+IF(AND(V952&gt;175,W952&gt;=95),0.12,0),
IF(AF952="DoEVLo",IF(AND(V952&lt;20,W952&lt;55),0.25,0)+IF(AND(V952&lt;20,W952&gt;=55,W952&lt;105),0.2,0)+IF(AND(V952&lt;20,W952&gt;=105),0.15,0)+IF(AND(V952&gt;=20,V952&lt;40,W952&lt;45),0.25,0)+IF(AND(V952&gt;=20,V952&lt;40,W952&gt;=45,W952&lt;95),0.2,0)+IF(AND(V952&gt;=20,V952&lt;40,W952&gt;=95),0.15,0)+IF(AND(V952&gt;=40,V952&lt;75,W952&lt;35),0.25,0)+IF(AND(V952&gt;=40,V952&lt;75,W952&gt;=35,W952&lt;75),0.2,0)+IF(AND(V952&gt;=40,V952&lt;75,W952&gt;=75,W952&lt;120),0.15,0)+IF(AND(V952&gt;=40,V952&lt;75,W952&gt;=120),0.1,0)+IF(AND(V952&gt;=75,V952&lt;175,W952&lt;35),0.25,0)+IF(AND(V952&gt;=75,V952&lt;=175,W952&gt;=35,W952&lt;65),0.2,0)+IF(AND(V952&gt;=75,V952&lt;=175,W952&gt;=65,W952&lt;110),0.15,0)+IF(AND(V952&gt;=75,V952&lt;=175,W952&gt;=110),0.1,0)+IF(AND(V952&gt;175,W952&lt;25),0.25,0)+IF(AND(V952&gt;175,W952&gt;=25,W952&lt;55),0.2,0)+IF(AND(V952&gt;175,W952&gt;=55,W952&lt;95),0.15,0)+IF(AND(V952&gt;175,W952&gt;=95),0.1,0)))))))))))))))))</f>
        <v>0.3</v>
      </c>
      <c r="Y952" s="35">
        <f t="shared" si="158"/>
        <v>0</v>
      </c>
      <c r="Z952" s="40">
        <f t="shared" si="159"/>
        <v>0</v>
      </c>
      <c r="AA952" s="34">
        <f t="shared" si="160"/>
        <v>0</v>
      </c>
      <c r="AB952" s="41">
        <f t="shared" si="161"/>
        <v>0</v>
      </c>
      <c r="AC952" s="42" t="b">
        <v>1</v>
      </c>
      <c r="AD952" s="66" t="s">
        <v>138</v>
      </c>
      <c r="AE952" s="88" t="s">
        <v>138</v>
      </c>
      <c r="AF952" s="42" t="str">
        <f t="array" ref="AF952">INDEX('Deal Info'!D:D, MATCH(A952,'Deal Info'!A:A, 0))</f>
        <v>DoEV</v>
      </c>
      <c r="AG952" s="43" t="str">
        <f t="array" ref="AG952">INDEX('Deal Info'!G:G, MATCH(A952,'Deal Info'!A:A, 0))</f>
        <v>None</v>
      </c>
    </row>
    <row r="953" hidden="1">
      <c r="A953" s="23" t="str">
        <f t="array" ref="A953">if(G953='Room Info'!$B$1, INDEX('Room Info'!$A$2:$A3446, MATCH(B953,'Room Info'!$B$2:$B3446, 0)),if(G953='Room Info'!$C$1, INDEX('Room Info'!$A$2:$A3446, MATCH(B953,'Room Info'!$C$2:$C3446, 0)),if(G953='Room Info'!$D$1, INDEX('Room Info'!$A$2:$A3446, MATCH(B953,'Room Info'!$D$2:$D3446, 0)),if(G953='Room Info'!$E$1, INDEX('Room Info'!$A$2:$A3446, MATCH(B953,'Room Info'!$E$2:$E3446, 0)),if(G953='Room Info'!$F$1, INDEX('Room Info'!$A$2:$A3446, MATCH(B953,'Room Info'!$F$2:$F3446, 0)),if(G953='Room Info'!$H$1, INDEX('Room Info'!$A$2:$A3446, MATCH(B953,'Room Info'!$H$2:$H3446, 0)),if(G953='Room Info'!$G$1, INDEX('Room Info'!$A$2:$A3446, MATCH(B953,'Room Info'!$G$2:$G3446, 0)))))))))</f>
        <v>Lo4io</v>
      </c>
      <c r="B953" s="50" t="s">
        <v>158</v>
      </c>
      <c r="C953" s="97">
        <v>44763.0</v>
      </c>
      <c r="D953" s="97">
        <v>44793.0</v>
      </c>
      <c r="E953" s="52">
        <v>44774.0</v>
      </c>
      <c r="F953" s="53" t="s">
        <v>4</v>
      </c>
      <c r="G953" s="50" t="s">
        <v>9</v>
      </c>
      <c r="H953" s="54" t="s">
        <v>92</v>
      </c>
      <c r="I953" s="54" t="s">
        <v>7</v>
      </c>
      <c r="J953" s="75">
        <v>100.0</v>
      </c>
      <c r="K953" s="76">
        <v>23.0</v>
      </c>
      <c r="L953" s="77">
        <v>400.0</v>
      </c>
      <c r="M953" s="98">
        <v>0.0</v>
      </c>
      <c r="N953" s="33">
        <f t="shared" si="155"/>
        <v>2300</v>
      </c>
      <c r="O953" s="50">
        <v>-53.0</v>
      </c>
      <c r="P953" s="34">
        <f t="shared" si="14"/>
        <v>-2.304347826</v>
      </c>
      <c r="Q953" s="60"/>
      <c r="R953" s="36">
        <f t="shared" si="156"/>
        <v>0</v>
      </c>
      <c r="S953" s="78">
        <v>-217.0</v>
      </c>
      <c r="T953" s="37">
        <f t="shared" si="157"/>
        <v>-217</v>
      </c>
      <c r="U953" s="62">
        <v>1.004</v>
      </c>
      <c r="V953" s="74">
        <v>72.4418955629339</v>
      </c>
      <c r="W953" s="74">
        <v>7.688920833333333</v>
      </c>
      <c r="X953" s="35">
        <f>IF(AF953="DoEV",IF(AND(V953&lt;20,W953&lt;55),0.3,0)+IF(AND(V953&lt;20,W953&gt;=55,W953&lt;105),0.23,0)+IF(AND(V953&lt;20,W953&gt;=105),0.17,0)+IF(AND(V953&gt;=20,V953&lt;40,W953&lt;45),0.3,0)+IF(AND(V953&gt;=20,V953&lt;40,W953&gt;=45,W953&lt;95),0.23,0)+IF(AND(V953&gt;=20,V953&lt;40,W953&gt;=95),0.17,0)+IF(AND(V953&gt;=40,V953&lt;75,W953&lt;35),0.3,0)+IF(AND(V953&gt;=40,V953&lt;75,W953&gt;=35,W953&lt;75),0.23,0)+IF(AND(V953&gt;=40,V953&lt;75,W953&gt;=75,W953&lt;120),0.17,0)+IF(AND(V953&gt;=40,V953&lt;75,W953&gt;=120),0.12,0)+IF(AND(V953&gt;=75,V953&lt;175,W953&lt;35),0.3,0)+IF(AND(V953&gt;=75,V953&lt;=175,W953&gt;=35,W953&lt;65),0.23,0)+IF(AND(V953&gt;=75,V953&lt;=175,W953&gt;=65,W953&lt;110),0.17,0)+IF(AND(V953&gt;=75,V953&lt;=175,W953&gt;=110),0.12,0)+IF(AND(V953&gt;175,W953&lt;25),0.3,0)+IF(AND(V953&gt;175,W953&gt;=25,W953&lt;55),0.23,0)+IF(AND(V953&gt;175,W953&gt;=55,W953&lt;95),0.17,0)+IF(AND(V953&gt;175,W953&gt;=95),0.12,0),
IF(AF953="Fix15",0.15,
IF(AF953="Fix11.25",0.1125,
IF(AF953="Fix10",0.1,
IF(AF953="Fix9",0.09,
IF(AF953="DoEV2017",IF(AND(W953&lt;74),0.2,0)+IF(AND(W953&gt;=74),0.17,0),
IF(AF953="SF",IF(AND(V953&lt;20,W953&lt;89),0.3,0)+IF(AND(V953&lt;20,W953&gt;=89),0.25,0)+IF(AND(V953&gt;=20,V953&lt;40,W953&lt;74),0.3,0)+IF(AND(V953&gt;=20,V953&lt;40,W953&gt;=75),0.22,0)+IF(AND(V953&gt;=40,V953&lt;75,W953&lt;75),0.26,0)+IF(AND(V953&gt;=40,V953&lt;75,W953&gt;=75),0.22,0)+IF(V953&gt;=75,0.22,0),
IF(AF953="DoEVold",IF(AND(V953&lt;40,W953&lt;35),0.35,0)+IF(AND(V953&lt;40,W953&gt;=35,W953&lt;75),0.25,0)+IF(AND(V953&lt;40,W953&gt;=75),0.17,0)+IF(AND(V953&gt;=40,V953&lt;75,W953&lt;25),0.35,0)+IF(AND(V953&gt;=40,V953&lt;75,W953&gt;=25,W953&lt;65),0.25,0)+IF(AND(V953&gt;=40,V953&lt;75,W953&gt;=65,W953&lt;100),0.17,0)+IF(AND(V953&gt;=40,V953&lt;75,W953&gt;=100),0.1,0)+IF(AND(V953&gt;=75,W953&lt;25),0.35,0)+IF(AND(V953&gt;=75,W953&gt;=25,W953&lt;60),0.25,0)+IF(AND(V953&gt;=75,W953&gt;=60,W953&lt;95),0.17,0)+IF(AND(V953&gt;=75,W953&gt;=95),0.1,0),
IF(AF953="DoEVold15",IF(AND(V953&lt;=40,W953&lt;35),0.35,0)+IF(AND(V953&lt;=40,W953&gt;=35,W953&lt;75),0.25,0)+IF(AND(V953&lt;=40,W953&gt;=75,W953&lt;120),0.17,0)+IF(AND(V953&lt;=40,W953&gt;=120),0.15,0)+IF(AND(V953&gt;40,V953&lt;75,W953&lt;25),0.35,0)+IF(AND(V953&gt;=40,V953&lt;75,W953&gt;=25,W953&lt;65),0.25,0)+IF(AND(V953&gt;=40,V953&lt;75,W953&gt;=65,W953&lt;100),0.17,0)+IF(AND(V953&gt;=40,V953&lt;75,W953&gt;=100),0.1,0)+IF(AND(V953&gt;=75,W953&lt;25),0.35,0)+IF(AND(V953&gt;=75,W953&gt;=25,W953&lt;60),0.25,0)+IF(AND(V953&gt;=75,W953&gt;=60,W953&lt;95),0.17,0)+IF(AND(V953&gt;=75,W953&gt;=95),0.1,0),
IF(AF953="DoEVba",IF(AND(V953&lt;20,W953&lt;105),0.2,0)+IF(AND(V953&lt;20,W953&gt;=105),0.15,0)+IF(AND(V953&gt;=20,V953&lt;40,W953&lt;95),0.2,0)+IF(AND(V953&gt;=20,V953&lt;40,W953&gt;=95,W953&lt;150),0.15,0)+IF(AND(V953&gt;=20,V953&lt;40,W953&gt;=150),0.12,0)+IF(AND(V953&gt;=40,V953&lt;75,W953&lt;75),0.2,0)+IF(AND(V953&gt;=40,V953&lt;75,W953&gt;=75,W953&lt;120),0.15,0)+IF(AND(V953&gt;=40,V953&lt;75,W953&gt;=120),0.12,0)+IF(AND(V953&gt;=75,V953&lt;175,W953&lt;65),0.2,0)+IF(AND(V953&gt;=75,V953&lt;175,W953&gt;=65,W953&lt;110),0.15,0)+IF(AND(V953&gt;=75,V953&lt;175,W953&gt;=110),0.12,0)+IF(AND(V953&gt;=175,W953&lt;55),0.2,0)+IF(AND(V953&gt;=175,W953&gt;=55,W953&lt;95),0.15,0)+IF(AND(V953&gt;=175,W953&gt;=95),0.12,0),
IF(AF953="DoEVku",IF(AND(V953&lt;20,W953&lt;55),0.23,0)+IF(AND(V953&lt;20,W953&gt;=55,W953&lt;105),0.2,0)+IF(AND(V953&lt;20,W953&gt;=105),0.17,0)+IF(AND(V953&gt;=20,V953&lt;40,W953&lt;45),0.23,0)+IF(AND(V953&gt;=20,V953&lt;40,W953&gt;=45,W953&lt;95),0.2,0)+IF(AND(V953&gt;=20,V953&lt;40,W953&gt;=95,W953&lt;=150),0.17,0)+IF(AND(V953&gt;=20,V953&lt;40,W953&gt;=150),0.12,0)+IF(AND(V953&gt;=40,V953&lt;75,W953&lt;35),0.23,0)+IF(AND(V953&gt;=40,V953&lt;75,W953&gt;=35,W953&lt;75),0.2,0)+IF(AND(V953&gt;=40,V953&lt;75,W953&gt;=75,W953&lt;120),0.17,0)+IF(AND(V953&gt;=40,V953&lt;75,W953&gt;=120),0.12,0)+IF(AND(V953&gt;=75,V953&lt;175,W953&lt;35),0.23,0)+IF(AND(V953&gt;=75,V953&lt;=175,W953&gt;=35,W953&lt;65),0.2,0)+IF(AND(V953&gt;=75,V953&lt;=175,W953&gt;=65,W953&lt;110),0.17,0)+IF(AND(V953&gt;=75,V953&lt;=175,W953&gt;=110),0.12,0)+IF(AND(V953&gt;175,W953&lt;25),0.23,0)+IF(AND(V953&gt;175,W953&gt;=25,W953&lt;55),0.2,0)+IF(AND(V953&gt;175,W953&gt;=55,W953&lt;95),0.17,0)+IF(AND(V953&gt;175,W953&gt;=95),0.12,0),
IF(AF953="DoEVs1",IF(AND(V953&lt;20,W953&lt;55),0.3,0)+IF(AND(V953&lt;20,W953&gt;=55,W953&lt;105),0.23,0)+IF(AND(V953&lt;20,W953&gt;=105),0.17,0)+IF(AND(V953&gt;=20,V953&lt;40,W953&lt;45),0.3,0)+IF(AND(V953&gt;=20,V953&lt;40,W953&gt;=45,W953&lt;95),0.23,0)+IF(AND(V953&gt;=20,V953&lt;40,W953&gt;=95,W953&lt;=150),0.17,0)+IF(AND(V953&gt;=20,V953&lt;40,W953&gt;=150),0.12,0)+IF(AND(V953&gt;=40,V953&lt;75,W953&lt;35),0.3,0)+IF(AND(V953&gt;=40,V953&lt;75,W953&gt;=35,W953&lt;75),0.23,0)+IF(AND(V953&gt;=40,V953&lt;75,W953&gt;=75,W953&lt;120),0.17,0)+IF(AND(V953&gt;=40,V953&lt;75,W953&gt;=120),0.12,0)+IF(AND(V953&gt;=75,V953&lt;175,W953&lt;35),0.3,0)+IF(AND(V953&gt;=75,V953&lt;=175,W953&gt;=35,W953&lt;65),0.23,0)+IF(AND(V953&gt;=75,V953&lt;=175,W953&gt;=65,W953&lt;110),0.17,0)+IF(AND(V953&gt;=75,V953&lt;=175,W953&gt;=110),0.12,0)+IF(AND(V953&gt;175,W953&lt;25),0.3,0)+IF(AND(V953&gt;175,W953&gt;=25,W953&lt;55),0.23,0)+IF(AND(V953&gt;175,W953&gt;=55,W953&lt;95),0.17,0)+IF(AND(V953&gt;175,W953&gt;=95),0.12,0),
IF(AF953="DoEVsu",IF(AND(V953&lt;20,W953&lt;55),0.3,0)+IF(AND(V953&lt;20,W953&gt;=55,W953&lt;105),0.23,0)+IF(AND(V953&lt;20,W953&gt;=105),0.17,0)+IF(AND(V953&gt;=20,V953&lt;40,W953&lt;45),0.3,0)+IF(AND(V953&gt;=20,V953&lt;40,W953&gt;=45,W953&lt;95),0.23,0)+IF(AND(V953&gt;=20,V953&lt;40,W953&gt;=95,W953&lt;=250),0.17,0)+IF(AND(V953&gt;=20,V953&lt;40,W953&gt;=250),0.12,0)+IF(AND(V953&gt;=40,V953&lt;75,W953&lt;35),0.3,0)+IF(AND(V953&gt;=40,V953&lt;75,W953&gt;=35,W953&lt;75),0.23,0)+IF(AND(V953&gt;=40,V953&lt;75,W953&gt;=75,W953&lt;120),0.17,0)+IF(AND(V953&gt;=40,V953&lt;75,W953&gt;=120),0.12,0)+IF(AND(V953&gt;=75,V953&lt;175,W953&lt;35),0.3,0)+IF(AND(V953&gt;=75,V953&lt;=175,W953&gt;=35,W953&lt;65),0.23,0)+IF(AND(V953&gt;=75,V953&lt;=175,W953&gt;=65,W953&lt;110),0.17,0)+IF(AND(V953&gt;=75,V953&lt;=175,W953&gt;=110),0.12,0)+IF(AND(V953&gt;175,W953&lt;25),0.3,0)+IF(AND(V953&gt;175,W953&gt;=25,W953&lt;55),0.23,0)+IF(AND(V953&gt;175,W953&gt;=55,W953&lt;95),0.17,0)+IF(AND(V953&gt;175,W953&gt;=95),0.12,0),
IF(AF953="DoEVni",IF(AND(V953&lt;20,W953&lt;55),0.3,0)+IF(AND(V953&lt;20,W953&gt;=55,W953&lt;105),0.23,0)+IF(AND(V953&lt;20,W953&gt;=105),0.17,0)+IF(AND(V953&gt;=20,V953&lt;40,W953&lt;45),0.3,0)+IF(AND(V953&gt;=20,V953&lt;40,W953&gt;=45,W953&lt;95),0.23,0)+IF(AND(V953&gt;=20,V953&lt;40,W953&gt;=95,W953&lt;=200),0.17,0)+IF(AND(V953&gt;=20,V953&lt;40,W953&gt;=200),0.12,0)+IF(AND(V953&gt;=40,V953&lt;75,W953&lt;35),0.3,0)+IF(AND(V953&gt;=40,V953&lt;75,W953&gt;=35,W953&lt;75),0.23,0)+IF(AND(V953&gt;=40,V953&lt;75,W953&gt;=75,W953&lt;120),0.17,0)+IF(AND(V953&gt;=40,V953&lt;75,W953&gt;=120),0.12,0)+IF(AND(V953&gt;=75,V953&lt;175,W953&lt;35),0.3,0)+IF(AND(V953&gt;=75,V953&lt;=175,W953&gt;=35,W953&lt;65),0.23,0)+IF(AND(V953&gt;=75,V953&lt;=175,W953&gt;=65,W953&lt;110),0.17,0)+IF(AND(V953&gt;=75,V953&lt;=175,W953&gt;=110),0.12,0)+IF(AND(V953&gt;175,W953&lt;25),0.3,0)+IF(AND(V953&gt;175,W953&gt;=25,W953&lt;55),0.23,0)+IF(AND(V953&gt;175,W953&gt;=55,W953&lt;95),0.17,0)+IF(AND(V953&gt;175,W953&gt;=95),0.12,0),
IF(AF953="DoEVLo",IF(AND(V953&lt;20,W953&lt;55),0.25,0)+IF(AND(V953&lt;20,W953&gt;=55,W953&lt;105),0.2,0)+IF(AND(V953&lt;20,W953&gt;=105),0.15,0)+IF(AND(V953&gt;=20,V953&lt;40,W953&lt;45),0.25,0)+IF(AND(V953&gt;=20,V953&lt;40,W953&gt;=45,W953&lt;95),0.2,0)+IF(AND(V953&gt;=20,V953&lt;40,W953&gt;=95),0.15,0)+IF(AND(V953&gt;=40,V953&lt;75,W953&lt;35),0.25,0)+IF(AND(V953&gt;=40,V953&lt;75,W953&gt;=35,W953&lt;75),0.2,0)+IF(AND(V953&gt;=40,V953&lt;75,W953&gt;=75,W953&lt;120),0.15,0)+IF(AND(V953&gt;=40,V953&lt;75,W953&gt;=120),0.1,0)+IF(AND(V953&gt;=75,V953&lt;175,W953&lt;35),0.25,0)+IF(AND(V953&gt;=75,V953&lt;=175,W953&gt;=35,W953&lt;65),0.2,0)+IF(AND(V953&gt;=75,V953&lt;=175,W953&gt;=65,W953&lt;110),0.15,0)+IF(AND(V953&gt;=75,V953&lt;=175,W953&gt;=110),0.1,0)+IF(AND(V953&gt;175,W953&lt;25),0.25,0)+IF(AND(V953&gt;175,W953&gt;=25,W953&lt;55),0.2,0)+IF(AND(V953&gt;175,W953&gt;=55,W953&lt;95),0.15,0)+IF(AND(V953&gt;175,W953&gt;=95),0.1,0))))))))))))))))</f>
        <v>0.25</v>
      </c>
      <c r="Y953" s="35">
        <f>if(AG953="None",0,if(AG953="Fix5",0.05,if(AG953="Fix3.75",0.0375,if(AG953="Fix10",0.1,if(AG953="Fix3",0.03,0)))))</f>
        <v>0</v>
      </c>
      <c r="Z953" s="40">
        <f t="shared" si="159"/>
        <v>-162.533</v>
      </c>
      <c r="AA953" s="34">
        <f t="shared" si="160"/>
        <v>-54.467</v>
      </c>
      <c r="AB953" s="41">
        <f t="shared" si="161"/>
        <v>0</v>
      </c>
      <c r="AC953" s="42" t="b">
        <v>1</v>
      </c>
      <c r="AD953" s="66" t="s">
        <v>140</v>
      </c>
      <c r="AE953" s="66"/>
      <c r="AF953" s="42" t="str">
        <f t="array" ref="AF953">INDEX('Deal Info'!D:D, MATCH(A953,'Deal Info'!A:A, 0))</f>
        <v>DoEVLo</v>
      </c>
      <c r="AG953" s="43" t="str">
        <f t="array" ref="AG953">INDEX('Deal Info'!G:G, MATCH(A953,'Deal Info'!A:A, 0))</f>
        <v>None</v>
      </c>
    </row>
    <row r="954" hidden="1">
      <c r="A954" s="23" t="str">
        <f t="array" ref="A954">if(G954='Room Info'!$B$1, INDEX('Room Info'!$A$2:$A3446, MATCH(B954,'Room Info'!$B$2:$B3446, 0)),if(G954='Room Info'!$C$1, INDEX('Room Info'!$A$2:$A3446, MATCH(B954,'Room Info'!$C$2:$C3446, 0)),if(G954='Room Info'!$D$1, INDEX('Room Info'!$A$2:$A3446, MATCH(B954,'Room Info'!$D$2:$D3446, 0)),if(G954='Room Info'!$E$1, INDEX('Room Info'!$A$2:$A3446, MATCH(B954,'Room Info'!$E$2:$E3446, 0)),if(G954='Room Info'!$F$1, INDEX('Room Info'!$A$2:$A3446, MATCH(B954,'Room Info'!$F$2:$F3446, 0)),if(G954='Room Info'!$H$1, INDEX('Room Info'!$A$2:$A3446, MATCH(B954,'Room Info'!$H$2:$H3446, 0)),if(G954='Room Info'!$G$1, INDEX('Room Info'!$A$2:$A3446, MATCH(B954,'Room Info'!$G$2:$G3446, 0)))))))))</f>
        <v>Mandr1990</v>
      </c>
      <c r="B954" s="50" t="s">
        <v>202</v>
      </c>
      <c r="C954" s="51">
        <v>44613.0</v>
      </c>
      <c r="D954" s="51">
        <v>44640.0</v>
      </c>
      <c r="E954" s="52">
        <v>44621.0</v>
      </c>
      <c r="F954" s="53" t="s">
        <v>4</v>
      </c>
      <c r="G954" s="50" t="s">
        <v>13</v>
      </c>
      <c r="H954" s="54" t="s">
        <v>93</v>
      </c>
      <c r="I954" s="54" t="s">
        <v>18</v>
      </c>
      <c r="J954" s="55">
        <v>200.0</v>
      </c>
      <c r="K954" s="56">
        <v>1687.0</v>
      </c>
      <c r="L954" s="57">
        <v>-19200.0</v>
      </c>
      <c r="M954" s="58">
        <v>19434.0</v>
      </c>
      <c r="N954" s="33">
        <f t="shared" si="155"/>
        <v>337400</v>
      </c>
      <c r="O954" s="59">
        <v>12506.0</v>
      </c>
      <c r="P954" s="34">
        <f t="shared" si="14"/>
        <v>7.413159455</v>
      </c>
      <c r="Q954" s="60"/>
      <c r="R954" s="36">
        <f t="shared" si="156"/>
        <v>19434</v>
      </c>
      <c r="S954" s="61">
        <v>-17824.0</v>
      </c>
      <c r="T954" s="37">
        <f t="shared" si="157"/>
        <v>1610</v>
      </c>
      <c r="U954" s="62">
        <v>1.0</v>
      </c>
      <c r="V954" s="63"/>
      <c r="W954" s="63"/>
      <c r="X954" s="35">
        <f t="shared" ref="X954:X974" si="162">IF(AF954="DoEV",IF(AND(V954&lt;20,W954&lt;55),0.3,0)+IF(AND(V954&lt;20,W954&gt;=55,W954&lt;105),0.23,0)+IF(AND(V954&lt;20,W954&gt;=105),0.17,0)+IF(AND(V954&gt;=20,V954&lt;40,W954&lt;45),0.3,0)+IF(AND(V954&gt;=20,V954&lt;40,W954&gt;=45,W954&lt;95),0.23,0)+IF(AND(V954&gt;=20,V954&lt;40,W954&gt;=95),0.17,0)+IF(AND(V954&gt;=40,V954&lt;75,W954&lt;35),0.3,0)+IF(AND(V954&gt;=40,V954&lt;75,W954&gt;=35,W954&lt;75),0.23,0)+IF(AND(V954&gt;=40,V954&lt;75,W954&gt;=75,W954&lt;120),0.17,0)+IF(AND(V954&gt;=40,V954&lt;75,W954&gt;=120),0.12,0)+IF(AND(V954&gt;=75,V954&lt;175,W954&lt;35),0.3,0)+IF(AND(V954&gt;=75,V954&lt;=175,W954&gt;=35,W954&lt;65),0.23,0)+IF(AND(V954&gt;=75,V954&lt;=175,W954&gt;=65,W954&lt;110),0.17,0)+IF(AND(V954&gt;=75,V954&lt;=175,W954&gt;=110),0.12,0)+IF(AND(V954&gt;175,W954&lt;25),0.3,0)+IF(AND(V954&gt;175,W954&gt;=25,W954&lt;55),0.23,0)+IF(AND(V954&gt;175,W954&gt;=55,W954&lt;95),0.17,0)+IF(AND(V954&gt;175,W954&gt;=95),0.12,0),
IF(AF954="Fix15",0.15,
if(AF954="Fix18.75",0.1875,
IF(AF954="Fix11.25",0.1125,
IF(AF954="Fix10",0.1,
IF(AF954="Fix9",0.09,
IF(AF954="Fix19",0.19,
IF(AF954="DoEV2017",IF(AND(W954&lt;74),0.2,0)+IF(AND(W954&gt;=74),0.17,0),
IF(AF954="SF",IF(AND(V954&lt;20,W954&lt;89),0.3,0)+IF(AND(V954&lt;20,W954&gt;=89),0.25,0)+IF(AND(V954&gt;=20,V954&lt;40,W954&lt;74),0.3,0)+IF(AND(V954&gt;=20,V954&lt;40,W954&gt;=75),0.22,0)+IF(AND(V954&gt;=40,V954&lt;75,W954&lt;75),0.26,0)+IF(AND(V954&gt;=40,V954&lt;75,W954&gt;=75),0.22,0)+IF(V954&gt;=75,0.22,0),
IF(AF954="DoEVold",IF(AND(V954&lt;40,W954&lt;35),0.35,0)+IF(AND(V954&lt;40,W954&gt;=35,W954&lt;75),0.25,0)+IF(AND(V954&lt;40,W954&gt;=75),0.17,0)+IF(AND(V954&gt;=40,V954&lt;75,W954&lt;25),0.35,0)+IF(AND(V954&gt;=40,V954&lt;75,W954&gt;=25,W954&lt;65),0.25,0)+IF(AND(V954&gt;=40,V954&lt;75,W954&gt;=65,W954&lt;100),0.17,0)+IF(AND(V954&gt;=40,V954&lt;75,W954&gt;=100),0.1,0)+IF(AND(V954&gt;=75,W954&lt;25),0.35,0)+IF(AND(V954&gt;=75,W954&gt;=25,W954&lt;60),0.25,0)+IF(AND(V954&gt;=75,W954&gt;=60,W954&lt;95),0.17,0)+IF(AND(V954&gt;=75,W954&gt;=95),0.1,0),
IF(AF954="DoEVold15",IF(AND(V954&lt;=40,W954&lt;35),0.35,0)+IF(AND(V954&lt;=40,W954&gt;=35,W954&lt;75),0.25,0)+IF(AND(V954&lt;=40,W954&gt;=75,W954&lt;120),0.17,0)+IF(AND(V954&lt;=40,W954&gt;=120),0.15,0)+IF(AND(V954&gt;40,V954&lt;75,W954&lt;25),0.35,0)+IF(AND(V954&gt;=40,V954&lt;75,W954&gt;=25,W954&lt;65),0.25,0)+IF(AND(V954&gt;=40,V954&lt;75,W954&gt;=65,W954&lt;100),0.17,0)+IF(AND(V954&gt;=40,V954&lt;75,W954&gt;=100),0.1,0)+IF(AND(V954&gt;=75,W954&lt;25),0.35,0)+IF(AND(V954&gt;=75,W954&gt;=25,W954&lt;60),0.25,0)+IF(AND(V954&gt;=75,W954&gt;=60,W954&lt;95),0.17,0)+IF(AND(V954&gt;=75,W954&gt;=95),0.1,0),
IF(AF954="DoEVba",IF(AND(V954&lt;20,W954&lt;105),0.2,0)+IF(AND(V954&lt;20,W954&gt;=105),0.15,0)+IF(AND(V954&gt;=20,V954&lt;40,W954&lt;95),0.2,0)+IF(AND(V954&gt;=20,V954&lt;40,W954&gt;=95,W954&lt;150),0.15,0)+IF(AND(V954&gt;=20,V954&lt;40,W954&gt;=150),0.12,0)+IF(AND(V954&gt;=40,V954&lt;75,W954&lt;75),0.2,0)+IF(AND(V954&gt;=40,V954&lt;75,W954&gt;=75,W954&lt;120),0.15,0)+IF(AND(V954&gt;=40,V954&lt;75,W954&gt;=120),0.12,0)+IF(AND(V954&gt;=75,V954&lt;175,W954&lt;65),0.2,0)+IF(AND(V954&gt;=75,V954&lt;175,W954&gt;=65,W954&lt;110),0.15,0)+IF(AND(V954&gt;=75,V954&lt;175,W954&gt;=110),0.12,0)+IF(AND(V954&gt;=175,W954&lt;55),0.2,0)+IF(AND(V954&gt;=175,W954&gt;=55,W954&lt;95),0.15,0)+IF(AND(V954&gt;=175,W954&gt;=95),0.12,0),
IF(AF954="DoEVku",IF(AND(V954&lt;20,W954&lt;55),0.23,0)+IF(AND(V954&lt;20,W954&gt;=55,W954&lt;105),0.2,0)+IF(AND(V954&lt;20,W954&gt;=105),0.17,0)+IF(AND(V954&gt;=20,V954&lt;40,W954&lt;45),0.23,0)+IF(AND(V954&gt;=20,V954&lt;40,W954&gt;=45,W954&lt;95),0.2,0)+IF(AND(V954&gt;=20,V954&lt;40,W954&gt;=95,W954&lt;=150),0.17,0)+IF(AND(V954&gt;=20,V954&lt;40,W954&gt;=150),0.12,0)+IF(AND(V954&gt;=40,V954&lt;75,W954&lt;35),0.23,0)+IF(AND(V954&gt;=40,V954&lt;75,W954&gt;=35,W954&lt;75),0.2,0)+IF(AND(V954&gt;=40,V954&lt;75,W954&gt;=75,W954&lt;120),0.17,0)+IF(AND(V954&gt;=40,V954&lt;75,W954&gt;=120),0.12,0)+IF(AND(V954&gt;=75,V954&lt;175,W954&lt;35),0.23,0)+IF(AND(V954&gt;=75,V954&lt;=175,W954&gt;=35,W954&lt;65),0.2,0)+IF(AND(V954&gt;=75,V954&lt;=175,W954&gt;=65,W954&lt;110),0.17,0)+IF(AND(V954&gt;=75,V954&lt;=175,W954&gt;=110),0.12,0)+IF(AND(V954&gt;175,W954&lt;25),0.23,0)+IF(AND(V954&gt;175,W954&gt;=25,W954&lt;55),0.2,0)+IF(AND(V954&gt;175,W954&gt;=55,W954&lt;95),0.17,0)+IF(AND(V954&gt;175,W954&gt;=95),0.12,0),
IF(AF954="DoEVs1",IF(AND(V954&lt;20,W954&lt;55),0.3,0)+IF(AND(V954&lt;20,W954&gt;=55,W954&lt;105),0.23,0)+IF(AND(V954&lt;20,W954&gt;=105),0.17,0)+IF(AND(V954&gt;=20,V954&lt;40,W954&lt;45),0.3,0)+IF(AND(V954&gt;=20,V954&lt;40,W954&gt;=45,W954&lt;95),0.23,0)+IF(AND(V954&gt;=20,V954&lt;40,W954&gt;=95,W954&lt;=150),0.17,0)+IF(AND(V954&gt;=20,V954&lt;40,W954&gt;=150),0.12,0)+IF(AND(V954&gt;=40,V954&lt;75,W954&lt;35),0.3,0)+IF(AND(V954&gt;=40,V954&lt;75,W954&gt;=35,W954&lt;75),0.23,0)+IF(AND(V954&gt;=40,V954&lt;75,W954&gt;=75,W954&lt;120),0.17,0)+IF(AND(V954&gt;=40,V954&lt;75,W954&gt;=120),0.12,0)+IF(AND(V954&gt;=75,V954&lt;175,W954&lt;35),0.3,0)+IF(AND(V954&gt;=75,V954&lt;=175,W954&gt;=35,W954&lt;65),0.23,0)+IF(AND(V954&gt;=75,V954&lt;=175,W954&gt;=65,W954&lt;110),0.17,0)+IF(AND(V954&gt;=75,V954&lt;=175,W954&gt;=110),0.12,0)+IF(AND(V954&gt;175,W954&lt;25),0.3,0)+IF(AND(V954&gt;175,W954&gt;=25,W954&lt;55),0.23,0)+IF(AND(V954&gt;175,W954&gt;=55,W954&lt;95),0.17,0)+IF(AND(V954&gt;175,W954&gt;=95),0.12,0),
IF(AF954="DoEVsu",IF(AND(V954&lt;20,W954&lt;55),0.3,0)+IF(AND(V954&lt;20,W954&gt;=55,W954&lt;105),0.23,0)+IF(AND(V954&lt;20,W954&gt;=105),0.17,0)+IF(AND(V954&gt;=20,V954&lt;40,W954&lt;45),0.3,0)+IF(AND(V954&gt;=20,V954&lt;40,W954&gt;=45,W954&lt;95),0.23,0)+IF(AND(V954&gt;=20,V954&lt;40,W954&gt;=95,W954&lt;=250),0.17,0)+IF(AND(V954&gt;=20,V954&lt;40,W954&gt;=250),0.12,0)+IF(AND(V954&gt;=40,V954&lt;75,W954&lt;35),0.3,0)+IF(AND(V954&gt;=40,V954&lt;75,W954&gt;=35,W954&lt;75),0.23,0)+IF(AND(V954&gt;=40,V954&lt;75,W954&gt;=75,W954&lt;120),0.17,0)+IF(AND(V954&gt;=40,V954&lt;75,W954&gt;=120),0.12,0)+IF(AND(V954&gt;=75,V954&lt;175,W954&lt;35),0.3,0)+IF(AND(V954&gt;=75,V954&lt;=175,W954&gt;=35,W954&lt;65),0.23,0)+IF(AND(V954&gt;=75,V954&lt;=175,W954&gt;=65,W954&lt;110),0.17,0)+IF(AND(V954&gt;=75,V954&lt;=175,W954&gt;=110),0.12,0)+IF(AND(V954&gt;175,W954&lt;25),0.3,0)+IF(AND(V954&gt;175,W954&gt;=25,W954&lt;55),0.23,0)+IF(AND(V954&gt;175,W954&gt;=55,W954&lt;95),0.17,0)+IF(AND(V954&gt;175,W954&gt;=95),0.12,0),
IF(AF954="DoEVni",IF(AND(V954&lt;20,W954&lt;55),0.3,0)+IF(AND(V954&lt;20,W954&gt;=55,W954&lt;105),0.23,0)+IF(AND(V954&lt;20,W954&gt;=105),0.17,0)+IF(AND(V954&gt;=20,V954&lt;40,W954&lt;45),0.3,0)+IF(AND(V954&gt;=20,V954&lt;40,W954&gt;=45,W954&lt;95),0.23,0)+IF(AND(V954&gt;=20,V954&lt;40,W954&gt;=95,W954&lt;=200),0.17,0)+IF(AND(V954&gt;=20,V954&lt;40,W954&gt;=200),0.12,0)+IF(AND(V954&gt;=40,V954&lt;75,W954&lt;35),0.3,0)+IF(AND(V954&gt;=40,V954&lt;75,W954&gt;=35,W954&lt;75),0.23,0)+IF(AND(V954&gt;=40,V954&lt;75,W954&gt;=75,W954&lt;120),0.17,0)+IF(AND(V954&gt;=40,V954&lt;75,W954&gt;=120),0.12,0)+IF(AND(V954&gt;=75,V954&lt;175,W954&lt;35),0.3,0)+IF(AND(V954&gt;=75,V954&lt;=175,W954&gt;=35,W954&lt;65),0.23,0)+IF(AND(V954&gt;=75,V954&lt;=175,W954&gt;=65,W954&lt;110),0.17,0)+IF(AND(V954&gt;=75,V954&lt;=175,W954&gt;=110),0.12,0)+IF(AND(V954&gt;175,W954&lt;25),0.3,0)+IF(AND(V954&gt;175,W954&gt;=25,W954&lt;55),0.23,0)+IF(AND(V954&gt;175,W954&gt;=55,W954&lt;95),0.17,0)+IF(AND(V954&gt;175,W954&gt;=95),0.12,0),
IF(AF954="DoEVLo",IF(AND(V954&lt;20,W954&lt;55),0.25,0)+IF(AND(V954&lt;20,W954&gt;=55,W954&lt;105),0.2,0)+IF(AND(V954&lt;20,W954&gt;=105),0.15,0)+IF(AND(V954&gt;=20,V954&lt;40,W954&lt;45),0.25,0)+IF(AND(V954&gt;=20,V954&lt;40,W954&gt;=45,W954&lt;95),0.2,0)+IF(AND(V954&gt;=20,V954&lt;40,W954&gt;=95),0.15,0)+IF(AND(V954&gt;=40,V954&lt;75,W954&lt;35),0.25,0)+IF(AND(V954&gt;=40,V954&lt;75,W954&gt;=35,W954&lt;75),0.2,0)+IF(AND(V954&gt;=40,V954&lt;75,W954&gt;=75,W954&lt;120),0.15,0)+IF(AND(V954&gt;=40,V954&lt;75,W954&gt;=120),0.1,0)+IF(AND(V954&gt;=75,V954&lt;175,W954&lt;35),0.25,0)+IF(AND(V954&gt;=75,V954&lt;=175,W954&gt;=35,W954&lt;65),0.2,0)+IF(AND(V954&gt;=75,V954&lt;=175,W954&gt;=65,W954&lt;110),0.15,0)+IF(AND(V954&gt;=75,V954&lt;=175,W954&gt;=110),0.1,0)+IF(AND(V954&gt;175,W954&lt;25),0.25,0)+IF(AND(V954&gt;175,W954&gt;=25,W954&lt;55),0.2,0)+IF(AND(V954&gt;175,W954&gt;=55,W954&lt;95),0.15,0)+IF(AND(V954&gt;175,W954&gt;=95),0.1,0))))))))))))))))))</f>
        <v>0.09</v>
      </c>
      <c r="Y954" s="35">
        <f t="shared" ref="Y954:Y1224" si="163">if(AG954="None",0,if(AG954="Fix5",0.05, if(AG954="Fix6.25",0.0625,if(AG954="Fix3.75",0.0375,if(AG954="Fix10",0.1,if(AG954="Fix3",0.03,0))))))</f>
        <v>0.03</v>
      </c>
      <c r="Z954" s="40">
        <f t="shared" si="159"/>
        <v>1416.8</v>
      </c>
      <c r="AA954" s="34">
        <f t="shared" si="160"/>
        <v>144.9</v>
      </c>
      <c r="AB954" s="41">
        <f t="shared" si="161"/>
        <v>48.3</v>
      </c>
      <c r="AC954" s="42" t="b">
        <v>1</v>
      </c>
      <c r="AD954" s="42" t="s">
        <v>138</v>
      </c>
      <c r="AE954" s="42" t="s">
        <v>138</v>
      </c>
      <c r="AF954" s="43" t="str">
        <f t="array" ref="AF954">INDEX('Deal Info'!D:D, MATCH(A954,'Deal Info'!A:A, 0))</f>
        <v>Fix9</v>
      </c>
      <c r="AG954" s="43" t="str">
        <f t="array" ref="AG954">INDEX('Deal Info'!G:G, MATCH(A954,'Deal Info'!A:A, 0))</f>
        <v>Fix3</v>
      </c>
    </row>
    <row r="955" hidden="1">
      <c r="A955" s="23" t="str">
        <f t="array" ref="A955">if(G955='Room Info'!$B$1, INDEX('Room Info'!$A$2:$A3446, MATCH(B955,'Room Info'!$B$2:$B3446, 0)),if(G955='Room Info'!$C$1, INDEX('Room Info'!$A$2:$A3446, MATCH(B955,'Room Info'!$C$2:$C3446, 0)),if(G955='Room Info'!$D$1, INDEX('Room Info'!$A$2:$A3446, MATCH(B955,'Room Info'!$D$2:$D3446, 0)),if(G955='Room Info'!$E$1, INDEX('Room Info'!$A$2:$A3446, MATCH(B955,'Room Info'!$E$2:$E3446, 0)),if(G955='Room Info'!$F$1, INDEX('Room Info'!$A$2:$A3446, MATCH(B955,'Room Info'!$F$2:$F3446, 0)),if(G955='Room Info'!$H$1, INDEX('Room Info'!$A$2:$A3446, MATCH(B955,'Room Info'!$H$2:$H3446, 0)),if(G955='Room Info'!$G$1, INDEX('Room Info'!$A$2:$A3446, MATCH(B955,'Room Info'!$G$2:$G3446, 0)))))))))</f>
        <v>Mandr1990</v>
      </c>
      <c r="B955" s="50" t="s">
        <v>202</v>
      </c>
      <c r="C955" s="51">
        <v>44641.0</v>
      </c>
      <c r="D955" s="51">
        <v>44671.0</v>
      </c>
      <c r="E955" s="52">
        <v>44652.0</v>
      </c>
      <c r="F955" s="53" t="s">
        <v>4</v>
      </c>
      <c r="G955" s="50" t="s">
        <v>13</v>
      </c>
      <c r="H955" s="54" t="s">
        <v>85</v>
      </c>
      <c r="I955" s="54" t="s">
        <v>18</v>
      </c>
      <c r="J955" s="55">
        <v>100.0</v>
      </c>
      <c r="K955" s="56">
        <v>2.0</v>
      </c>
      <c r="L955" s="57">
        <v>-200.0</v>
      </c>
      <c r="M955" s="67"/>
      <c r="N955" s="33">
        <f t="shared" si="155"/>
        <v>200</v>
      </c>
      <c r="O955" s="59">
        <v>148.0</v>
      </c>
      <c r="P955" s="34">
        <f t="shared" si="14"/>
        <v>74</v>
      </c>
      <c r="Q955" s="60"/>
      <c r="R955" s="36">
        <f t="shared" si="156"/>
        <v>0</v>
      </c>
      <c r="S955" s="61">
        <v>29.0</v>
      </c>
      <c r="T955" s="37">
        <f t="shared" si="157"/>
        <v>29</v>
      </c>
      <c r="U955" s="62">
        <v>1.0</v>
      </c>
      <c r="V955" s="63"/>
      <c r="W955" s="63"/>
      <c r="X955" s="35">
        <f t="shared" si="162"/>
        <v>0.09</v>
      </c>
      <c r="Y955" s="35">
        <f t="shared" si="163"/>
        <v>0.03</v>
      </c>
      <c r="Z955" s="40">
        <f t="shared" si="159"/>
        <v>25.52</v>
      </c>
      <c r="AA955" s="34">
        <f t="shared" si="160"/>
        <v>2.61</v>
      </c>
      <c r="AB955" s="41">
        <f t="shared" si="161"/>
        <v>0.87</v>
      </c>
      <c r="AC955" s="42" t="b">
        <v>1</v>
      </c>
      <c r="AD955" s="42" t="s">
        <v>138</v>
      </c>
      <c r="AE955" s="42" t="s">
        <v>138</v>
      </c>
      <c r="AF955" s="43" t="str">
        <f t="array" ref="AF955">INDEX('Deal Info'!D:D, MATCH(A955,'Deal Info'!A:A, 0))</f>
        <v>Fix9</v>
      </c>
      <c r="AG955" s="43" t="str">
        <f t="array" ref="AG955">INDEX('Deal Info'!G:G, MATCH(A955,'Deal Info'!A:A, 0))</f>
        <v>Fix3</v>
      </c>
    </row>
    <row r="956" hidden="1">
      <c r="A956" s="23" t="str">
        <f t="array" ref="A956">if(G956='Room Info'!$B$1, INDEX('Room Info'!$A$2:$A3446, MATCH(B956,'Room Info'!$B$2:$B3446, 0)),if(G956='Room Info'!$C$1, INDEX('Room Info'!$A$2:$A3446, MATCH(B956,'Room Info'!$C$2:$C3446, 0)),if(G956='Room Info'!$D$1, INDEX('Room Info'!$A$2:$A3446, MATCH(B956,'Room Info'!$D$2:$D3446, 0)),if(G956='Room Info'!$E$1, INDEX('Room Info'!$A$2:$A3446, MATCH(B956,'Room Info'!$E$2:$E3446, 0)),if(G956='Room Info'!$F$1, INDEX('Room Info'!$A$2:$A3446, MATCH(B956,'Room Info'!$F$2:$F3446, 0)),if(G956='Room Info'!$H$1, INDEX('Room Info'!$A$2:$A3446, MATCH(B956,'Room Info'!$H$2:$H3446, 0)),if(G956='Room Info'!$G$1, INDEX('Room Info'!$A$2:$A3446, MATCH(B956,'Room Info'!$G$2:$G3446, 0)))))))))</f>
        <v>Mandr1990</v>
      </c>
      <c r="B956" s="50" t="s">
        <v>202</v>
      </c>
      <c r="C956" s="51">
        <v>44641.0</v>
      </c>
      <c r="D956" s="51">
        <v>44671.0</v>
      </c>
      <c r="E956" s="52">
        <v>44652.0</v>
      </c>
      <c r="F956" s="53" t="s">
        <v>4</v>
      </c>
      <c r="G956" s="50" t="s">
        <v>13</v>
      </c>
      <c r="H956" s="54" t="s">
        <v>93</v>
      </c>
      <c r="I956" s="54" t="s">
        <v>18</v>
      </c>
      <c r="J956" s="55">
        <v>200.0</v>
      </c>
      <c r="K956" s="56">
        <v>4513.0</v>
      </c>
      <c r="L956" s="57">
        <v>-65200.0</v>
      </c>
      <c r="M956" s="58">
        <v>49114.0</v>
      </c>
      <c r="N956" s="33">
        <f t="shared" si="155"/>
        <v>902600</v>
      </c>
      <c r="O956" s="59">
        <v>38941.0</v>
      </c>
      <c r="P956" s="34">
        <f t="shared" si="14"/>
        <v>8.628628407</v>
      </c>
      <c r="Q956" s="60"/>
      <c r="R956" s="36">
        <f t="shared" si="156"/>
        <v>49114</v>
      </c>
      <c r="S956" s="61">
        <v>-40863.0</v>
      </c>
      <c r="T956" s="37">
        <f t="shared" si="157"/>
        <v>8251</v>
      </c>
      <c r="U956" s="62">
        <v>1.0</v>
      </c>
      <c r="V956" s="63"/>
      <c r="W956" s="63"/>
      <c r="X956" s="35">
        <f t="shared" si="162"/>
        <v>0.09</v>
      </c>
      <c r="Y956" s="35">
        <f t="shared" si="163"/>
        <v>0.03</v>
      </c>
      <c r="Z956" s="40">
        <f t="shared" si="159"/>
        <v>7260.88</v>
      </c>
      <c r="AA956" s="34">
        <f t="shared" si="160"/>
        <v>742.59</v>
      </c>
      <c r="AB956" s="41">
        <f t="shared" si="161"/>
        <v>247.53</v>
      </c>
      <c r="AC956" s="42" t="b">
        <v>1</v>
      </c>
      <c r="AD956" s="42" t="s">
        <v>138</v>
      </c>
      <c r="AE956" s="42" t="s">
        <v>138</v>
      </c>
      <c r="AF956" s="43" t="str">
        <f t="array" ref="AF956">INDEX('Deal Info'!D:D, MATCH(A956,'Deal Info'!A:A, 0))</f>
        <v>Fix9</v>
      </c>
      <c r="AG956" s="43" t="str">
        <f t="array" ref="AG956">INDEX('Deal Info'!G:G, MATCH(A956,'Deal Info'!A:A, 0))</f>
        <v>Fix3</v>
      </c>
    </row>
    <row r="957" hidden="1">
      <c r="A957" s="23" t="str">
        <f t="array" ref="A957">if(G957='Room Info'!$B$1, INDEX('Room Info'!$A$2:$A3446, MATCH(B957,'Room Info'!$B$2:$B3446, 0)),if(G957='Room Info'!$C$1, INDEX('Room Info'!$A$2:$A3446, MATCH(B957,'Room Info'!$C$2:$C3446, 0)),if(G957='Room Info'!$D$1, INDEX('Room Info'!$A$2:$A3446, MATCH(B957,'Room Info'!$D$2:$D3446, 0)),if(G957='Room Info'!$E$1, INDEX('Room Info'!$A$2:$A3446, MATCH(B957,'Room Info'!$E$2:$E3446, 0)),if(G957='Room Info'!$F$1, INDEX('Room Info'!$A$2:$A3446, MATCH(B957,'Room Info'!$F$2:$F3446, 0)),if(G957='Room Info'!$H$1, INDEX('Room Info'!$A$2:$A3446, MATCH(B957,'Room Info'!$H$2:$H3446, 0)),if(G957='Room Info'!$G$1, INDEX('Room Info'!$A$2:$A3446, MATCH(B957,'Room Info'!$G$2:$G3446, 0)))))))))</f>
        <v>Mandr1990</v>
      </c>
      <c r="B957" s="50" t="s">
        <v>202</v>
      </c>
      <c r="C957" s="51">
        <v>44672.0</v>
      </c>
      <c r="D957" s="51">
        <v>44701.0</v>
      </c>
      <c r="E957" s="52">
        <v>44682.0</v>
      </c>
      <c r="F957" s="53" t="s">
        <v>4</v>
      </c>
      <c r="G957" s="50" t="s">
        <v>13</v>
      </c>
      <c r="H957" s="54" t="s">
        <v>85</v>
      </c>
      <c r="I957" s="54" t="s">
        <v>18</v>
      </c>
      <c r="J957" s="55">
        <v>100.0</v>
      </c>
      <c r="K957" s="56">
        <v>466.0</v>
      </c>
      <c r="L957" s="57">
        <v>-3300.0</v>
      </c>
      <c r="M957" s="58">
        <v>2533.0</v>
      </c>
      <c r="N957" s="33">
        <f t="shared" si="155"/>
        <v>46600</v>
      </c>
      <c r="O957" s="59">
        <v>5102.0</v>
      </c>
      <c r="P957" s="34">
        <f t="shared" si="14"/>
        <v>10.94849785</v>
      </c>
      <c r="Q957" s="60"/>
      <c r="R957" s="36">
        <f t="shared" si="156"/>
        <v>2533</v>
      </c>
      <c r="S957" s="61">
        <v>-1909.0</v>
      </c>
      <c r="T957" s="37">
        <f t="shared" si="157"/>
        <v>624</v>
      </c>
      <c r="U957" s="62">
        <v>1.0</v>
      </c>
      <c r="V957" s="63"/>
      <c r="W957" s="63"/>
      <c r="X957" s="35">
        <f t="shared" si="162"/>
        <v>0.09</v>
      </c>
      <c r="Y957" s="35">
        <f t="shared" si="163"/>
        <v>0.03</v>
      </c>
      <c r="Z957" s="40">
        <f t="shared" si="159"/>
        <v>549.12</v>
      </c>
      <c r="AA957" s="34">
        <f t="shared" si="160"/>
        <v>56.16</v>
      </c>
      <c r="AB957" s="41">
        <f t="shared" si="161"/>
        <v>18.72</v>
      </c>
      <c r="AC957" s="42" t="b">
        <v>1</v>
      </c>
      <c r="AD957" s="42" t="s">
        <v>138</v>
      </c>
      <c r="AE957" s="42" t="s">
        <v>138</v>
      </c>
      <c r="AF957" s="43" t="str">
        <f t="array" ref="AF957">INDEX('Deal Info'!D:D, MATCH(A957,'Deal Info'!A:A, 0))</f>
        <v>Fix9</v>
      </c>
      <c r="AG957" s="43" t="str">
        <f t="array" ref="AG957">INDEX('Deal Info'!G:G, MATCH(A957,'Deal Info'!A:A, 0))</f>
        <v>Fix3</v>
      </c>
    </row>
    <row r="958" hidden="1">
      <c r="A958" s="23" t="str">
        <f t="array" ref="A958">if(G958='Room Info'!$B$1, INDEX('Room Info'!$A$2:$A3446, MATCH(B958,'Room Info'!$B$2:$B3446, 0)),if(G958='Room Info'!$C$1, INDEX('Room Info'!$A$2:$A3446, MATCH(B958,'Room Info'!$C$2:$C3446, 0)),if(G958='Room Info'!$D$1, INDEX('Room Info'!$A$2:$A3446, MATCH(B958,'Room Info'!$D$2:$D3446, 0)),if(G958='Room Info'!$E$1, INDEX('Room Info'!$A$2:$A3446, MATCH(B958,'Room Info'!$E$2:$E3446, 0)),if(G958='Room Info'!$F$1, INDEX('Room Info'!$A$2:$A3446, MATCH(B958,'Room Info'!$F$2:$F3446, 0)),if(G958='Room Info'!$H$1, INDEX('Room Info'!$A$2:$A3446, MATCH(B958,'Room Info'!$H$2:$H3446, 0)),if(G958='Room Info'!$G$1, INDEX('Room Info'!$A$2:$A3446, MATCH(B958,'Room Info'!$G$2:$G3446, 0)))))))))</f>
        <v>Mandr1990</v>
      </c>
      <c r="B958" s="50" t="s">
        <v>202</v>
      </c>
      <c r="C958" s="51">
        <v>44672.0</v>
      </c>
      <c r="D958" s="51">
        <v>44701.0</v>
      </c>
      <c r="E958" s="52">
        <v>44682.0</v>
      </c>
      <c r="F958" s="53" t="s">
        <v>4</v>
      </c>
      <c r="G958" s="50" t="s">
        <v>13</v>
      </c>
      <c r="H958" s="54" t="s">
        <v>93</v>
      </c>
      <c r="I958" s="54" t="s">
        <v>18</v>
      </c>
      <c r="J958" s="55">
        <v>200.0</v>
      </c>
      <c r="K958" s="56">
        <v>2709.0</v>
      </c>
      <c r="L958" s="57">
        <v>-22200.0</v>
      </c>
      <c r="M958" s="58">
        <v>29447.0</v>
      </c>
      <c r="N958" s="33">
        <f t="shared" si="155"/>
        <v>541800</v>
      </c>
      <c r="O958" s="59">
        <v>6716.0</v>
      </c>
      <c r="P958" s="34">
        <f t="shared" si="14"/>
        <v>2.479143595</v>
      </c>
      <c r="Q958" s="60"/>
      <c r="R958" s="36">
        <f t="shared" si="156"/>
        <v>29447</v>
      </c>
      <c r="S958" s="61">
        <v>-35391.0</v>
      </c>
      <c r="T958" s="37">
        <f t="shared" si="157"/>
        <v>-5944</v>
      </c>
      <c r="U958" s="62">
        <v>1.0</v>
      </c>
      <c r="V958" s="63"/>
      <c r="W958" s="63"/>
      <c r="X958" s="35">
        <f t="shared" si="162"/>
        <v>0.09</v>
      </c>
      <c r="Y958" s="35">
        <f t="shared" si="163"/>
        <v>0.03</v>
      </c>
      <c r="Z958" s="40">
        <f t="shared" si="159"/>
        <v>-5230.72</v>
      </c>
      <c r="AA958" s="34">
        <f t="shared" si="160"/>
        <v>-534.96</v>
      </c>
      <c r="AB958" s="41">
        <f t="shared" si="161"/>
        <v>-178.32</v>
      </c>
      <c r="AC958" s="42" t="b">
        <v>1</v>
      </c>
      <c r="AD958" s="42" t="s">
        <v>138</v>
      </c>
      <c r="AE958" s="42" t="s">
        <v>138</v>
      </c>
      <c r="AF958" s="43" t="str">
        <f t="array" ref="AF958">INDEX('Deal Info'!D:D, MATCH(A958,'Deal Info'!A:A, 0))</f>
        <v>Fix9</v>
      </c>
      <c r="AG958" s="43" t="str">
        <f t="array" ref="AG958">INDEX('Deal Info'!G:G, MATCH(A958,'Deal Info'!A:A, 0))</f>
        <v>Fix3</v>
      </c>
    </row>
    <row r="959" hidden="1">
      <c r="A959" s="23" t="str">
        <f t="array" ref="A959">if(G959='Room Info'!$B$1, INDEX('Room Info'!$A$2:$A3446, MATCH(B959,'Room Info'!$B$2:$B3446, 0)),if(G959='Room Info'!$C$1, INDEX('Room Info'!$A$2:$A3446, MATCH(B959,'Room Info'!$C$2:$C3446, 0)),if(G959='Room Info'!$D$1, INDEX('Room Info'!$A$2:$A3446, MATCH(B959,'Room Info'!$D$2:$D3446, 0)),if(G959='Room Info'!$E$1, INDEX('Room Info'!$A$2:$A3446, MATCH(B959,'Room Info'!$E$2:$E3446, 0)),if(G959='Room Info'!$F$1, INDEX('Room Info'!$A$2:$A3446, MATCH(B959,'Room Info'!$F$2:$F3446, 0)),if(G959='Room Info'!$H$1, INDEX('Room Info'!$A$2:$A3446, MATCH(B959,'Room Info'!$H$2:$H3446, 0)),if(G959='Room Info'!$G$1, INDEX('Room Info'!$A$2:$A3446, MATCH(B959,'Room Info'!$G$2:$G3446, 0)))))))))</f>
        <v>Mandr1990</v>
      </c>
      <c r="B959" s="50" t="s">
        <v>202</v>
      </c>
      <c r="C959" s="51">
        <v>44702.0</v>
      </c>
      <c r="D959" s="51">
        <v>44732.0</v>
      </c>
      <c r="E959" s="52">
        <v>44713.0</v>
      </c>
      <c r="F959" s="53" t="s">
        <v>4</v>
      </c>
      <c r="G959" s="50" t="s">
        <v>13</v>
      </c>
      <c r="H959" s="54" t="s">
        <v>85</v>
      </c>
      <c r="I959" s="54" t="s">
        <v>18</v>
      </c>
      <c r="J959" s="55">
        <v>100.0</v>
      </c>
      <c r="K959" s="56">
        <v>9217.0</v>
      </c>
      <c r="L959" s="57">
        <v>-41500.0</v>
      </c>
      <c r="M959" s="58">
        <v>51944.0</v>
      </c>
      <c r="N959" s="33">
        <f t="shared" si="155"/>
        <v>921700</v>
      </c>
      <c r="O959" s="59">
        <v>46830.0</v>
      </c>
      <c r="P959" s="34">
        <f t="shared" si="14"/>
        <v>5.080828903</v>
      </c>
      <c r="Q959" s="60"/>
      <c r="R959" s="36">
        <f t="shared" si="156"/>
        <v>51944</v>
      </c>
      <c r="S959" s="61">
        <v>-52523.0</v>
      </c>
      <c r="T959" s="37">
        <f t="shared" si="157"/>
        <v>-579</v>
      </c>
      <c r="U959" s="62">
        <v>1.0</v>
      </c>
      <c r="V959" s="63"/>
      <c r="W959" s="63"/>
      <c r="X959" s="35">
        <f t="shared" si="162"/>
        <v>0.09</v>
      </c>
      <c r="Y959" s="35">
        <f t="shared" si="163"/>
        <v>0.03</v>
      </c>
      <c r="Z959" s="40">
        <f t="shared" si="159"/>
        <v>-509.52</v>
      </c>
      <c r="AA959" s="34">
        <f t="shared" si="160"/>
        <v>-52.11</v>
      </c>
      <c r="AB959" s="41">
        <f t="shared" si="161"/>
        <v>-17.37</v>
      </c>
      <c r="AC959" s="42" t="b">
        <v>1</v>
      </c>
      <c r="AD959" s="42" t="s">
        <v>138</v>
      </c>
      <c r="AE959" s="42" t="s">
        <v>138</v>
      </c>
      <c r="AF959" s="43" t="str">
        <f t="array" ref="AF959">INDEX('Deal Info'!D:D, MATCH(A959,'Deal Info'!A:A, 0))</f>
        <v>Fix9</v>
      </c>
      <c r="AG959" s="43" t="str">
        <f t="array" ref="AG959">INDEX('Deal Info'!G:G, MATCH(A959,'Deal Info'!A:A, 0))</f>
        <v>Fix3</v>
      </c>
    </row>
    <row r="960" hidden="1">
      <c r="A960" s="23" t="str">
        <f t="array" ref="A960">if(G960='Room Info'!$B$1, INDEX('Room Info'!$A$2:$A3446, MATCH(B960,'Room Info'!$B$2:$B3446, 0)),if(G960='Room Info'!$C$1, INDEX('Room Info'!$A$2:$A3446, MATCH(B960,'Room Info'!$C$2:$C3446, 0)),if(G960='Room Info'!$D$1, INDEX('Room Info'!$A$2:$A3446, MATCH(B960,'Room Info'!$D$2:$D3446, 0)),if(G960='Room Info'!$E$1, INDEX('Room Info'!$A$2:$A3446, MATCH(B960,'Room Info'!$E$2:$E3446, 0)),if(G960='Room Info'!$F$1, INDEX('Room Info'!$A$2:$A3446, MATCH(B960,'Room Info'!$F$2:$F3446, 0)),if(G960='Room Info'!$H$1, INDEX('Room Info'!$A$2:$A3446, MATCH(B960,'Room Info'!$H$2:$H3446, 0)),if(G960='Room Info'!$G$1, INDEX('Room Info'!$A$2:$A3446, MATCH(B960,'Room Info'!$G$2:$G3446, 0)))))))))</f>
        <v>Mandr1990</v>
      </c>
      <c r="B960" s="50" t="s">
        <v>202</v>
      </c>
      <c r="C960" s="82">
        <v>44733.0</v>
      </c>
      <c r="D960" s="82">
        <v>44762.0</v>
      </c>
      <c r="E960" s="52">
        <v>44743.0</v>
      </c>
      <c r="F960" s="53" t="s">
        <v>4</v>
      </c>
      <c r="G960" s="50" t="s">
        <v>13</v>
      </c>
      <c r="H960" s="54" t="s">
        <v>85</v>
      </c>
      <c r="I960" s="54" t="s">
        <v>18</v>
      </c>
      <c r="J960" s="79">
        <v>100.0</v>
      </c>
      <c r="K960" s="80">
        <v>6225.0</v>
      </c>
      <c r="L960" s="77">
        <v>-35500.0</v>
      </c>
      <c r="M960" s="81">
        <v>38110.0</v>
      </c>
      <c r="N960" s="33">
        <f t="shared" si="155"/>
        <v>622500</v>
      </c>
      <c r="O960" s="50">
        <v>65112.0</v>
      </c>
      <c r="P960" s="34">
        <f t="shared" si="14"/>
        <v>10.45975904</v>
      </c>
      <c r="Q960" s="60"/>
      <c r="R960" s="36">
        <f t="shared" si="156"/>
        <v>38110</v>
      </c>
      <c r="S960" s="78">
        <v>-27750.0</v>
      </c>
      <c r="T960" s="37">
        <f t="shared" si="157"/>
        <v>10360</v>
      </c>
      <c r="U960" s="62">
        <v>1.0</v>
      </c>
      <c r="V960" s="63"/>
      <c r="W960" s="63"/>
      <c r="X960" s="35">
        <f t="shared" si="162"/>
        <v>0.09</v>
      </c>
      <c r="Y960" s="35">
        <f t="shared" si="163"/>
        <v>0.03</v>
      </c>
      <c r="Z960" s="40">
        <f t="shared" si="159"/>
        <v>9116.8</v>
      </c>
      <c r="AA960" s="34">
        <f t="shared" si="160"/>
        <v>932.4</v>
      </c>
      <c r="AB960" s="41">
        <f t="shared" si="161"/>
        <v>310.8</v>
      </c>
      <c r="AC960" s="42" t="b">
        <v>1</v>
      </c>
      <c r="AD960" s="42" t="s">
        <v>138</v>
      </c>
      <c r="AE960" s="42" t="s">
        <v>138</v>
      </c>
      <c r="AF960" s="43" t="str">
        <f t="array" ref="AF960">INDEX('Deal Info'!D:D, MATCH(A960,'Deal Info'!A:A, 0))</f>
        <v>Fix9</v>
      </c>
      <c r="AG960" s="43" t="str">
        <f t="array" ref="AG960">INDEX('Deal Info'!G:G, MATCH(A960,'Deal Info'!A:A, 0))</f>
        <v>Fix3</v>
      </c>
    </row>
    <row r="961" hidden="1">
      <c r="A961" s="23" t="str">
        <f t="array" ref="A961">if(G961='Room Info'!$B$1, INDEX('Room Info'!$A$2:$A3446, MATCH(B961,'Room Info'!$B$2:$B3446, 0)),if(G961='Room Info'!$C$1, INDEX('Room Info'!$A$2:$A3446, MATCH(B961,'Room Info'!$C$2:$C3446, 0)),if(G961='Room Info'!$D$1, INDEX('Room Info'!$A$2:$A3446, MATCH(B961,'Room Info'!$D$2:$D3446, 0)),if(G961='Room Info'!$E$1, INDEX('Room Info'!$A$2:$A3446, MATCH(B961,'Room Info'!$E$2:$E3446, 0)),if(G961='Room Info'!$F$1, INDEX('Room Info'!$A$2:$A3446, MATCH(B961,'Room Info'!$F$2:$F3446, 0)),if(G961='Room Info'!$H$1, INDEX('Room Info'!$A$2:$A3446, MATCH(B961,'Room Info'!$H$2:$H3446, 0)),if(G961='Room Info'!$G$1, INDEX('Room Info'!$A$2:$A3446, MATCH(B961,'Room Info'!$G$2:$G3446, 0)))))))))</f>
        <v>Mandr1990</v>
      </c>
      <c r="B961" s="50" t="s">
        <v>202</v>
      </c>
      <c r="C961" s="82">
        <v>44763.0</v>
      </c>
      <c r="D961" s="82">
        <v>44793.0</v>
      </c>
      <c r="E961" s="52">
        <v>44774.0</v>
      </c>
      <c r="F961" s="53" t="s">
        <v>4</v>
      </c>
      <c r="G961" s="50" t="s">
        <v>13</v>
      </c>
      <c r="H961" s="54" t="s">
        <v>85</v>
      </c>
      <c r="I961" s="54" t="s">
        <v>18</v>
      </c>
      <c r="J961" s="79">
        <v>100.0</v>
      </c>
      <c r="K961" s="80">
        <v>6023.0</v>
      </c>
      <c r="L961" s="77">
        <v>-17000.0</v>
      </c>
      <c r="M961" s="81">
        <v>34262.0</v>
      </c>
      <c r="N961" s="33">
        <f t="shared" si="155"/>
        <v>602300</v>
      </c>
      <c r="O961" s="50">
        <v>72341.0</v>
      </c>
      <c r="P961" s="34">
        <f t="shared" si="14"/>
        <v>12.01079196</v>
      </c>
      <c r="Q961" s="60"/>
      <c r="R961" s="36">
        <f t="shared" si="156"/>
        <v>34262</v>
      </c>
      <c r="S961" s="78">
        <v>-22858.0</v>
      </c>
      <c r="T961" s="37">
        <f t="shared" si="157"/>
        <v>11404</v>
      </c>
      <c r="U961" s="62">
        <v>1.0</v>
      </c>
      <c r="V961" s="63"/>
      <c r="W961" s="63"/>
      <c r="X961" s="35">
        <f t="shared" si="162"/>
        <v>0.09</v>
      </c>
      <c r="Y961" s="35">
        <f t="shared" si="163"/>
        <v>0.03</v>
      </c>
      <c r="Z961" s="40">
        <f t="shared" si="159"/>
        <v>10035.52</v>
      </c>
      <c r="AA961" s="34">
        <f t="shared" si="160"/>
        <v>1026.36</v>
      </c>
      <c r="AB961" s="41">
        <f t="shared" si="161"/>
        <v>342.12</v>
      </c>
      <c r="AC961" s="42" t="b">
        <v>1</v>
      </c>
      <c r="AD961" s="42" t="s">
        <v>138</v>
      </c>
      <c r="AE961" s="42" t="s">
        <v>138</v>
      </c>
      <c r="AF961" s="43" t="str">
        <f t="array" ref="AF961">INDEX('Deal Info'!D:D, MATCH(A961,'Deal Info'!A:A, 0))</f>
        <v>Fix9</v>
      </c>
      <c r="AG961" s="43" t="str">
        <f t="array" ref="AG961">INDEX('Deal Info'!G:G, MATCH(A961,'Deal Info'!A:A, 0))</f>
        <v>Fix3</v>
      </c>
    </row>
    <row r="962" hidden="1">
      <c r="A962" s="23" t="str">
        <f t="array" ref="A962">if(G962='Room Info'!$B$1, INDEX('Room Info'!$A$2:$A3446, MATCH(B962,'Room Info'!$B$2:$B3446, 0)),if(G962='Room Info'!$C$1, INDEX('Room Info'!$A$2:$A3446, MATCH(B962,'Room Info'!$C$2:$C3446, 0)),if(G962='Room Info'!$D$1, INDEX('Room Info'!$A$2:$A3446, MATCH(B962,'Room Info'!$D$2:$D3446, 0)),if(G962='Room Info'!$E$1, INDEX('Room Info'!$A$2:$A3446, MATCH(B962,'Room Info'!$E$2:$E3446, 0)),if(G962='Room Info'!$F$1, INDEX('Room Info'!$A$2:$A3446, MATCH(B962,'Room Info'!$F$2:$F3446, 0)),if(G962='Room Info'!$H$1, INDEX('Room Info'!$A$2:$A3446, MATCH(B962,'Room Info'!$H$2:$H3446, 0)),if(G962='Room Info'!$G$1, INDEX('Room Info'!$A$2:$A3446, MATCH(B962,'Room Info'!$G$2:$G3446, 0)))))))))</f>
        <v>Mandr1990</v>
      </c>
      <c r="B962" s="50" t="s">
        <v>202</v>
      </c>
      <c r="C962" s="51">
        <v>44794.0</v>
      </c>
      <c r="D962" s="51">
        <v>44824.0</v>
      </c>
      <c r="E962" s="52">
        <v>44805.0</v>
      </c>
      <c r="F962" s="53" t="s">
        <v>4</v>
      </c>
      <c r="G962" s="50" t="s">
        <v>13</v>
      </c>
      <c r="H962" s="54" t="s">
        <v>85</v>
      </c>
      <c r="I962" s="54" t="s">
        <v>18</v>
      </c>
      <c r="J962" s="55">
        <v>100.0</v>
      </c>
      <c r="K962" s="56">
        <v>5437.0</v>
      </c>
      <c r="L962" s="57">
        <v>-3000.0</v>
      </c>
      <c r="M962" s="58">
        <v>30836.0</v>
      </c>
      <c r="N962" s="33">
        <f t="shared" si="155"/>
        <v>543700</v>
      </c>
      <c r="O962" s="59">
        <v>91683.0</v>
      </c>
      <c r="P962" s="34">
        <f t="shared" si="14"/>
        <v>16.86279198</v>
      </c>
      <c r="Q962" s="60"/>
      <c r="R962" s="36">
        <f t="shared" si="156"/>
        <v>30836</v>
      </c>
      <c r="S962" s="61">
        <v>-13811.0</v>
      </c>
      <c r="T962" s="37">
        <f t="shared" si="157"/>
        <v>17025</v>
      </c>
      <c r="U962" s="62">
        <v>1.0</v>
      </c>
      <c r="V962" s="63"/>
      <c r="W962" s="63"/>
      <c r="X962" s="35">
        <f t="shared" si="162"/>
        <v>0.09</v>
      </c>
      <c r="Y962" s="35">
        <f t="shared" si="163"/>
        <v>0.03</v>
      </c>
      <c r="Z962" s="40">
        <f t="shared" si="159"/>
        <v>14982</v>
      </c>
      <c r="AA962" s="34">
        <f t="shared" si="160"/>
        <v>1532.25</v>
      </c>
      <c r="AB962" s="41">
        <f t="shared" si="161"/>
        <v>510.75</v>
      </c>
      <c r="AC962" s="42" t="b">
        <v>1</v>
      </c>
      <c r="AD962" s="42" t="s">
        <v>138</v>
      </c>
      <c r="AE962" s="42" t="s">
        <v>138</v>
      </c>
      <c r="AF962" s="43" t="str">
        <f t="array" ref="AF962">INDEX('Deal Info'!D:D, MATCH(A962,'Deal Info'!A:A, 0))</f>
        <v>Fix9</v>
      </c>
      <c r="AG962" s="43" t="str">
        <f t="array" ref="AG962">INDEX('Deal Info'!G:G, MATCH(A962,'Deal Info'!A:A, 0))</f>
        <v>Fix3</v>
      </c>
    </row>
    <row r="963" hidden="1">
      <c r="A963" s="23" t="str">
        <f t="array" ref="A963">if(G963='Room Info'!$B$1, INDEX('Room Info'!$A$2:$A3446, MATCH(B963,'Room Info'!$B$2:$B3446, 0)),if(G963='Room Info'!$C$1, INDEX('Room Info'!$A$2:$A3446, MATCH(B963,'Room Info'!$C$2:$C3446, 0)),if(G963='Room Info'!$D$1, INDEX('Room Info'!$A$2:$A3446, MATCH(B963,'Room Info'!$D$2:$D3446, 0)),if(G963='Room Info'!$E$1, INDEX('Room Info'!$A$2:$A3446, MATCH(B963,'Room Info'!$E$2:$E3446, 0)),if(G963='Room Info'!$F$1, INDEX('Room Info'!$A$2:$A3446, MATCH(B963,'Room Info'!$F$2:$F3446, 0)),if(G963='Room Info'!$H$1, INDEX('Room Info'!$A$2:$A3446, MATCH(B963,'Room Info'!$H$2:$H3446, 0)),if(G963='Room Info'!$G$1, INDEX('Room Info'!$A$2:$A3446, MATCH(B963,'Room Info'!$G$2:$G3446, 0)))))))))</f>
        <v>Mandr1990</v>
      </c>
      <c r="B963" s="50" t="s">
        <v>203</v>
      </c>
      <c r="C963" s="82">
        <v>44825.0</v>
      </c>
      <c r="D963" s="82">
        <v>44854.0</v>
      </c>
      <c r="E963" s="52">
        <v>44835.0</v>
      </c>
      <c r="F963" s="53" t="s">
        <v>4</v>
      </c>
      <c r="G963" s="59" t="s">
        <v>13</v>
      </c>
      <c r="H963" s="54" t="s">
        <v>59</v>
      </c>
      <c r="I963" s="54" t="s">
        <v>18</v>
      </c>
      <c r="J963" s="79">
        <v>20.0</v>
      </c>
      <c r="K963" s="80">
        <v>450.0</v>
      </c>
      <c r="L963" s="77">
        <v>-80.0</v>
      </c>
      <c r="M963" s="58">
        <v>505.0</v>
      </c>
      <c r="N963" s="33">
        <f t="shared" si="155"/>
        <v>9000</v>
      </c>
      <c r="O963" s="50">
        <v>9016.0</v>
      </c>
      <c r="P963" s="34">
        <f t="shared" si="14"/>
        <v>20.03555556</v>
      </c>
      <c r="Q963" s="60"/>
      <c r="R963" s="36">
        <f t="shared" si="156"/>
        <v>505</v>
      </c>
      <c r="S963" s="78">
        <v>-140.0</v>
      </c>
      <c r="T963" s="37">
        <f t="shared" si="157"/>
        <v>365</v>
      </c>
      <c r="U963" s="62">
        <v>1.0</v>
      </c>
      <c r="V963" s="63"/>
      <c r="W963" s="63"/>
      <c r="X963" s="35">
        <f t="shared" si="162"/>
        <v>0.09</v>
      </c>
      <c r="Y963" s="35">
        <f t="shared" si="163"/>
        <v>0.03</v>
      </c>
      <c r="Z963" s="40">
        <f t="shared" si="159"/>
        <v>321.2</v>
      </c>
      <c r="AA963" s="34">
        <f t="shared" si="160"/>
        <v>32.85</v>
      </c>
      <c r="AB963" s="41">
        <f t="shared" si="161"/>
        <v>10.95</v>
      </c>
      <c r="AC963" s="42" t="b">
        <v>1</v>
      </c>
      <c r="AD963" s="42" t="s">
        <v>138</v>
      </c>
      <c r="AE963" s="42" t="s">
        <v>138</v>
      </c>
      <c r="AF963" s="43" t="str">
        <f t="array" ref="AF963">INDEX('Deal Info'!D:D, MATCH(A963,'Deal Info'!A:A, 0))</f>
        <v>Fix9</v>
      </c>
      <c r="AG963" s="43" t="str">
        <f t="array" ref="AG963">INDEX('Deal Info'!G:G, MATCH(A963,'Deal Info'!A:A, 0))</f>
        <v>Fix3</v>
      </c>
    </row>
    <row r="964" hidden="1">
      <c r="A964" s="23" t="str">
        <f t="array" ref="A964">if(G964='Room Info'!$B$1, INDEX('Room Info'!$A$2:$A3446, MATCH(B964,'Room Info'!$B$2:$B3446, 0)),if(G964='Room Info'!$C$1, INDEX('Room Info'!$A$2:$A3446, MATCH(B964,'Room Info'!$C$2:$C3446, 0)),if(G964='Room Info'!$D$1, INDEX('Room Info'!$A$2:$A3446, MATCH(B964,'Room Info'!$D$2:$D3446, 0)),if(G964='Room Info'!$E$1, INDEX('Room Info'!$A$2:$A3446, MATCH(B964,'Room Info'!$E$2:$E3446, 0)),if(G964='Room Info'!$F$1, INDEX('Room Info'!$A$2:$A3446, MATCH(B964,'Room Info'!$F$2:$F3446, 0)),if(G964='Room Info'!$H$1, INDEX('Room Info'!$A$2:$A3446, MATCH(B964,'Room Info'!$H$2:$H3446, 0)),if(G964='Room Info'!$G$1, INDEX('Room Info'!$A$2:$A3446, MATCH(B964,'Room Info'!$G$2:$G3446, 0)))))))))</f>
        <v>Mandr1990</v>
      </c>
      <c r="B964" s="50" t="s">
        <v>203</v>
      </c>
      <c r="C964" s="51">
        <v>44825.0</v>
      </c>
      <c r="D964" s="51">
        <v>44854.0</v>
      </c>
      <c r="E964" s="52">
        <v>44835.0</v>
      </c>
      <c r="F964" s="53" t="s">
        <v>4</v>
      </c>
      <c r="G964" s="50" t="s">
        <v>13</v>
      </c>
      <c r="H964" s="54" t="s">
        <v>74</v>
      </c>
      <c r="I964" s="54" t="s">
        <v>18</v>
      </c>
      <c r="J964" s="55">
        <v>50.0</v>
      </c>
      <c r="K964" s="56">
        <v>4149.0</v>
      </c>
      <c r="L964" s="57">
        <v>-1700.0</v>
      </c>
      <c r="M964" s="58">
        <v>11648.0</v>
      </c>
      <c r="N964" s="33">
        <f t="shared" si="155"/>
        <v>207450</v>
      </c>
      <c r="O964" s="59">
        <v>67198.0</v>
      </c>
      <c r="P964" s="34">
        <f t="shared" si="14"/>
        <v>16.19619185</v>
      </c>
      <c r="Q964" s="60"/>
      <c r="R964" s="36">
        <f t="shared" si="156"/>
        <v>11648</v>
      </c>
      <c r="S964" s="61">
        <v>-5522.0</v>
      </c>
      <c r="T964" s="37">
        <f t="shared" si="157"/>
        <v>6126</v>
      </c>
      <c r="U964" s="62">
        <v>1.0</v>
      </c>
      <c r="V964" s="63"/>
      <c r="W964" s="63"/>
      <c r="X964" s="35">
        <f t="shared" si="162"/>
        <v>0.09</v>
      </c>
      <c r="Y964" s="35">
        <f t="shared" si="163"/>
        <v>0.03</v>
      </c>
      <c r="Z964" s="40">
        <f t="shared" si="159"/>
        <v>5390.88</v>
      </c>
      <c r="AA964" s="34">
        <f t="shared" si="160"/>
        <v>551.34</v>
      </c>
      <c r="AB964" s="41">
        <f t="shared" si="161"/>
        <v>183.78</v>
      </c>
      <c r="AC964" s="42" t="b">
        <v>1</v>
      </c>
      <c r="AD964" s="42" t="s">
        <v>138</v>
      </c>
      <c r="AE964" s="42" t="s">
        <v>138</v>
      </c>
      <c r="AF964" s="43" t="str">
        <f t="array" ref="AF964">INDEX('Deal Info'!D:D, MATCH(A964,'Deal Info'!A:A, 0))</f>
        <v>Fix9</v>
      </c>
      <c r="AG964" s="43" t="str">
        <f t="array" ref="AG964">INDEX('Deal Info'!G:G, MATCH(A964,'Deal Info'!A:A, 0))</f>
        <v>Fix3</v>
      </c>
    </row>
    <row r="965" hidden="1">
      <c r="A965" s="23" t="str">
        <f t="array" ref="A965">if(G965='Room Info'!$B$1, INDEX('Room Info'!$A$2:$A3446, MATCH(B965,'Room Info'!$B$2:$B3446, 0)),if(G965='Room Info'!$C$1, INDEX('Room Info'!$A$2:$A3446, MATCH(B965,'Room Info'!$C$2:$C3446, 0)),if(G965='Room Info'!$D$1, INDEX('Room Info'!$A$2:$A3446, MATCH(B965,'Room Info'!$D$2:$D3446, 0)),if(G965='Room Info'!$E$1, INDEX('Room Info'!$A$2:$A3446, MATCH(B965,'Room Info'!$E$2:$E3446, 0)),if(G965='Room Info'!$F$1, INDEX('Room Info'!$A$2:$A3446, MATCH(B965,'Room Info'!$F$2:$F3446, 0)),if(G965='Room Info'!$H$1, INDEX('Room Info'!$A$2:$A3446, MATCH(B965,'Room Info'!$H$2:$H3446, 0)),if(G965='Room Info'!$G$1, INDEX('Room Info'!$A$2:$A3446, MATCH(B965,'Room Info'!$G$2:$G3446, 0)))))))))</f>
        <v>Mandr1990</v>
      </c>
      <c r="B965" s="50" t="s">
        <v>203</v>
      </c>
      <c r="C965" s="51">
        <v>44855.0</v>
      </c>
      <c r="D965" s="51">
        <v>44885.0</v>
      </c>
      <c r="E965" s="52">
        <v>44866.0</v>
      </c>
      <c r="F965" s="53" t="s">
        <v>4</v>
      </c>
      <c r="G965" s="50" t="s">
        <v>13</v>
      </c>
      <c r="H965" s="54" t="s">
        <v>74</v>
      </c>
      <c r="I965" s="54" t="s">
        <v>18</v>
      </c>
      <c r="J965" s="55">
        <v>50.0</v>
      </c>
      <c r="K965" s="56">
        <v>1.0</v>
      </c>
      <c r="L965" s="57">
        <v>350.0</v>
      </c>
      <c r="M965" s="58">
        <v>3.0</v>
      </c>
      <c r="N965" s="33">
        <f t="shared" si="155"/>
        <v>50</v>
      </c>
      <c r="O965" s="59">
        <v>348.0</v>
      </c>
      <c r="P965" s="34">
        <f t="shared" si="14"/>
        <v>348</v>
      </c>
      <c r="Q965" s="60"/>
      <c r="R965" s="36">
        <f t="shared" si="156"/>
        <v>3</v>
      </c>
      <c r="S965" s="61">
        <v>46.0</v>
      </c>
      <c r="T965" s="37">
        <f t="shared" si="157"/>
        <v>49</v>
      </c>
      <c r="U965" s="62">
        <v>1.0</v>
      </c>
      <c r="V965" s="63"/>
      <c r="W965" s="63"/>
      <c r="X965" s="35">
        <f t="shared" si="162"/>
        <v>0.09</v>
      </c>
      <c r="Y965" s="35">
        <f t="shared" si="163"/>
        <v>0.03</v>
      </c>
      <c r="Z965" s="40">
        <f t="shared" si="159"/>
        <v>43.12</v>
      </c>
      <c r="AA965" s="34">
        <f t="shared" si="160"/>
        <v>4.41</v>
      </c>
      <c r="AB965" s="41">
        <f t="shared" si="161"/>
        <v>1.47</v>
      </c>
      <c r="AC965" s="42" t="b">
        <v>1</v>
      </c>
      <c r="AD965" s="42" t="s">
        <v>138</v>
      </c>
      <c r="AE965" s="42" t="s">
        <v>138</v>
      </c>
      <c r="AF965" s="43" t="str">
        <f t="array" ref="AF965">INDEX('Deal Info'!D:D, MATCH(A965,'Deal Info'!A:A, 0))</f>
        <v>Fix9</v>
      </c>
      <c r="AG965" s="43" t="str">
        <f t="array" ref="AG965">INDEX('Deal Info'!G:G, MATCH(A965,'Deal Info'!A:A, 0))</f>
        <v>Fix3</v>
      </c>
    </row>
    <row r="966" hidden="1">
      <c r="A966" s="23" t="str">
        <f t="array" ref="A966">if(G966='Room Info'!$B$1, INDEX('Room Info'!$A$2:$A3446, MATCH(B966,'Room Info'!$B$2:$B3446, 0)),if(G966='Room Info'!$C$1, INDEX('Room Info'!$A$2:$A3446, MATCH(B966,'Room Info'!$C$2:$C3446, 0)),if(G966='Room Info'!$D$1, INDEX('Room Info'!$A$2:$A3446, MATCH(B966,'Room Info'!$D$2:$D3446, 0)),if(G966='Room Info'!$E$1, INDEX('Room Info'!$A$2:$A3446, MATCH(B966,'Room Info'!$E$2:$E3446, 0)),if(G966='Room Info'!$F$1, INDEX('Room Info'!$A$2:$A3446, MATCH(B966,'Room Info'!$F$2:$F3446, 0)),if(G966='Room Info'!$H$1, INDEX('Room Info'!$A$2:$A3446, MATCH(B966,'Room Info'!$H$2:$H3446, 0)),if(G966='Room Info'!$G$1, INDEX('Room Info'!$A$2:$A3446, MATCH(B966,'Room Info'!$G$2:$G3446, 0)))))))))</f>
        <v>Mandr1990</v>
      </c>
      <c r="B966" s="50" t="s">
        <v>203</v>
      </c>
      <c r="C966" s="51">
        <v>44855.0</v>
      </c>
      <c r="D966" s="51">
        <v>44885.0</v>
      </c>
      <c r="E966" s="52">
        <v>44866.0</v>
      </c>
      <c r="F966" s="53" t="s">
        <v>4</v>
      </c>
      <c r="G966" s="50" t="s">
        <v>13</v>
      </c>
      <c r="H966" s="54" t="s">
        <v>85</v>
      </c>
      <c r="I966" s="54" t="s">
        <v>18</v>
      </c>
      <c r="J966" s="55">
        <v>100.0</v>
      </c>
      <c r="K966" s="56">
        <v>4956.0</v>
      </c>
      <c r="L966" s="57">
        <v>-24300.0</v>
      </c>
      <c r="M966" s="58">
        <v>26303.0</v>
      </c>
      <c r="N966" s="33">
        <f t="shared" si="155"/>
        <v>495600</v>
      </c>
      <c r="O966" s="59">
        <v>72267.0</v>
      </c>
      <c r="P966" s="34">
        <f t="shared" si="14"/>
        <v>14.58171913</v>
      </c>
      <c r="Q966" s="60"/>
      <c r="R966" s="36">
        <f t="shared" si="156"/>
        <v>26303</v>
      </c>
      <c r="S966" s="61">
        <v>-16308.0</v>
      </c>
      <c r="T966" s="37">
        <f t="shared" si="157"/>
        <v>9995</v>
      </c>
      <c r="U966" s="62">
        <v>1.0</v>
      </c>
      <c r="V966" s="63"/>
      <c r="W966" s="63"/>
      <c r="X966" s="35">
        <f t="shared" si="162"/>
        <v>0.09</v>
      </c>
      <c r="Y966" s="35">
        <f t="shared" si="163"/>
        <v>0.03</v>
      </c>
      <c r="Z966" s="40">
        <f t="shared" si="159"/>
        <v>8795.6</v>
      </c>
      <c r="AA966" s="34">
        <f t="shared" si="160"/>
        <v>899.55</v>
      </c>
      <c r="AB966" s="41">
        <f t="shared" si="161"/>
        <v>299.85</v>
      </c>
      <c r="AC966" s="42" t="b">
        <v>1</v>
      </c>
      <c r="AD966" s="42" t="s">
        <v>138</v>
      </c>
      <c r="AE966" s="42" t="s">
        <v>138</v>
      </c>
      <c r="AF966" s="43" t="str">
        <f t="array" ref="AF966">INDEX('Deal Info'!D:D, MATCH(A966,'Deal Info'!A:A, 0))</f>
        <v>Fix9</v>
      </c>
      <c r="AG966" s="43" t="str">
        <f t="array" ref="AG966">INDEX('Deal Info'!G:G, MATCH(A966,'Deal Info'!A:A, 0))</f>
        <v>Fix3</v>
      </c>
    </row>
    <row r="967" hidden="1">
      <c r="A967" s="23" t="str">
        <f t="array" ref="A967">if(G967='Room Info'!$B$1, INDEX('Room Info'!$A$2:$A3446, MATCH(B967,'Room Info'!$B$2:$B3446, 0)),if(G967='Room Info'!$C$1, INDEX('Room Info'!$A$2:$A3446, MATCH(B967,'Room Info'!$C$2:$C3446, 0)),if(G967='Room Info'!$D$1, INDEX('Room Info'!$A$2:$A3446, MATCH(B967,'Room Info'!$D$2:$D3446, 0)),if(G967='Room Info'!$E$1, INDEX('Room Info'!$A$2:$A3446, MATCH(B967,'Room Info'!$E$2:$E3446, 0)),if(G967='Room Info'!$F$1, INDEX('Room Info'!$A$2:$A3446, MATCH(B967,'Room Info'!$F$2:$F3446, 0)),if(G967='Room Info'!$H$1, INDEX('Room Info'!$A$2:$A3446, MATCH(B967,'Room Info'!$H$2:$H3446, 0)),if(G967='Room Info'!$G$1, INDEX('Room Info'!$A$2:$A3446, MATCH(B967,'Room Info'!$G$2:$G3446, 0)))))))))</f>
        <v>Mandr1990</v>
      </c>
      <c r="B967" s="50" t="s">
        <v>203</v>
      </c>
      <c r="C967" s="51">
        <v>44855.0</v>
      </c>
      <c r="D967" s="51">
        <v>44885.0</v>
      </c>
      <c r="E967" s="52">
        <v>44866.0</v>
      </c>
      <c r="F967" s="53" t="s">
        <v>4</v>
      </c>
      <c r="G967" s="50" t="s">
        <v>13</v>
      </c>
      <c r="H967" s="54" t="s">
        <v>93</v>
      </c>
      <c r="I967" s="54" t="s">
        <v>18</v>
      </c>
      <c r="J967" s="55">
        <v>200.0</v>
      </c>
      <c r="K967" s="56">
        <v>2511.0</v>
      </c>
      <c r="L967" s="57">
        <v>-35000.0</v>
      </c>
      <c r="M967" s="58">
        <v>26653.0</v>
      </c>
      <c r="N967" s="33">
        <f t="shared" si="155"/>
        <v>502200</v>
      </c>
      <c r="O967" s="59">
        <v>7955.0</v>
      </c>
      <c r="P967" s="34">
        <f t="shared" si="14"/>
        <v>3.168060534</v>
      </c>
      <c r="Q967" s="60"/>
      <c r="R967" s="36">
        <f t="shared" si="156"/>
        <v>26653</v>
      </c>
      <c r="S967" s="61">
        <v>-33015.0</v>
      </c>
      <c r="T967" s="37">
        <f t="shared" si="157"/>
        <v>-6362</v>
      </c>
      <c r="U967" s="62">
        <v>1.0</v>
      </c>
      <c r="V967" s="63"/>
      <c r="W967" s="63"/>
      <c r="X967" s="35">
        <f t="shared" si="162"/>
        <v>0.09</v>
      </c>
      <c r="Y967" s="35">
        <f t="shared" si="163"/>
        <v>0.03</v>
      </c>
      <c r="Z967" s="40">
        <f t="shared" si="159"/>
        <v>-5598.56</v>
      </c>
      <c r="AA967" s="34">
        <f t="shared" si="160"/>
        <v>-572.58</v>
      </c>
      <c r="AB967" s="41">
        <f t="shared" si="161"/>
        <v>-190.86</v>
      </c>
      <c r="AC967" s="42" t="b">
        <v>1</v>
      </c>
      <c r="AD967" s="42" t="s">
        <v>138</v>
      </c>
      <c r="AE967" s="42" t="s">
        <v>138</v>
      </c>
      <c r="AF967" s="43" t="str">
        <f t="array" ref="AF967">INDEX('Deal Info'!D:D, MATCH(A967,'Deal Info'!A:A, 0))</f>
        <v>Fix9</v>
      </c>
      <c r="AG967" s="43" t="str">
        <f t="array" ref="AG967">INDEX('Deal Info'!G:G, MATCH(A967,'Deal Info'!A:A, 0))</f>
        <v>Fix3</v>
      </c>
    </row>
    <row r="968" hidden="1">
      <c r="A968" s="23" t="str">
        <f t="array" ref="A968">if(G968='Room Info'!$B$1, INDEX('Room Info'!$A$2:$A3446, MATCH(B968,'Room Info'!$B$2:$B3446, 0)),if(G968='Room Info'!$C$1, INDEX('Room Info'!$A$2:$A3446, MATCH(B968,'Room Info'!$C$2:$C3446, 0)),if(G968='Room Info'!$D$1, INDEX('Room Info'!$A$2:$A3446, MATCH(B968,'Room Info'!$D$2:$D3446, 0)),if(G968='Room Info'!$E$1, INDEX('Room Info'!$A$2:$A3446, MATCH(B968,'Room Info'!$E$2:$E3446, 0)),if(G968='Room Info'!$F$1, INDEX('Room Info'!$A$2:$A3446, MATCH(B968,'Room Info'!$F$2:$F3446, 0)),if(G968='Room Info'!$H$1, INDEX('Room Info'!$A$2:$A3446, MATCH(B968,'Room Info'!$H$2:$H3446, 0)),if(G968='Room Info'!$G$1, INDEX('Room Info'!$A$2:$A3446, MATCH(B968,'Room Info'!$G$2:$G3446, 0)))))))))</f>
        <v>Mandr1990</v>
      </c>
      <c r="B968" s="50" t="s">
        <v>202</v>
      </c>
      <c r="C968" s="51">
        <v>44886.0</v>
      </c>
      <c r="D968" s="51">
        <v>44915.0</v>
      </c>
      <c r="E968" s="52">
        <v>44896.0</v>
      </c>
      <c r="F968" s="53" t="s">
        <v>4</v>
      </c>
      <c r="G968" s="50" t="s">
        <v>13</v>
      </c>
      <c r="H968" s="54" t="s">
        <v>85</v>
      </c>
      <c r="I968" s="54" t="s">
        <v>18</v>
      </c>
      <c r="J968" s="55">
        <v>100.0</v>
      </c>
      <c r="K968" s="56">
        <v>6.0</v>
      </c>
      <c r="L968" s="57">
        <v>-300.0</v>
      </c>
      <c r="M968" s="58">
        <v>633.0</v>
      </c>
      <c r="N968" s="33">
        <f t="shared" si="155"/>
        <v>600</v>
      </c>
      <c r="O968" s="59">
        <v>-1802.0</v>
      </c>
      <c r="P968" s="34">
        <f t="shared" si="14"/>
        <v>-300.3333333</v>
      </c>
      <c r="Q968" s="60"/>
      <c r="R968" s="36">
        <f t="shared" si="156"/>
        <v>633</v>
      </c>
      <c r="S968" s="61">
        <v>-562.0</v>
      </c>
      <c r="T968" s="37">
        <f t="shared" si="157"/>
        <v>71</v>
      </c>
      <c r="U968" s="62">
        <v>1.0</v>
      </c>
      <c r="V968" s="63"/>
      <c r="W968" s="63"/>
      <c r="X968" s="35">
        <f t="shared" si="162"/>
        <v>0.09</v>
      </c>
      <c r="Y968" s="35">
        <f t="shared" si="163"/>
        <v>0.03</v>
      </c>
      <c r="Z968" s="40">
        <f t="shared" si="159"/>
        <v>62.48</v>
      </c>
      <c r="AA968" s="34">
        <f t="shared" si="160"/>
        <v>6.39</v>
      </c>
      <c r="AB968" s="41">
        <f t="shared" si="161"/>
        <v>2.13</v>
      </c>
      <c r="AC968" s="42" t="b">
        <v>1</v>
      </c>
      <c r="AD968" s="42" t="s">
        <v>138</v>
      </c>
      <c r="AE968" s="42" t="s">
        <v>138</v>
      </c>
      <c r="AF968" s="43" t="str">
        <f t="array" ref="AF968">INDEX('Deal Info'!D:D, MATCH(A968,'Deal Info'!A:A, 0))</f>
        <v>Fix9</v>
      </c>
      <c r="AG968" s="43" t="str">
        <f t="array" ref="AG968">INDEX('Deal Info'!G:G, MATCH(A968,'Deal Info'!A:A, 0))</f>
        <v>Fix3</v>
      </c>
    </row>
    <row r="969" hidden="1">
      <c r="A969" s="23" t="str">
        <f t="array" ref="A969">if(G969='Room Info'!$B$1, INDEX('Room Info'!$A$2:$A3446, MATCH(B969,'Room Info'!$B$2:$B3446, 0)),if(G969='Room Info'!$C$1, INDEX('Room Info'!$A$2:$A3446, MATCH(B969,'Room Info'!$C$2:$C3446, 0)),if(G969='Room Info'!$D$1, INDEX('Room Info'!$A$2:$A3446, MATCH(B969,'Room Info'!$D$2:$D3446, 0)),if(G969='Room Info'!$E$1, INDEX('Room Info'!$A$2:$A3446, MATCH(B969,'Room Info'!$E$2:$E3446, 0)),if(G969='Room Info'!$F$1, INDEX('Room Info'!$A$2:$A3446, MATCH(B969,'Room Info'!$F$2:$F3446, 0)),if(G969='Room Info'!$H$1, INDEX('Room Info'!$A$2:$A3446, MATCH(B969,'Room Info'!$H$2:$H3446, 0)),if(G969='Room Info'!$G$1, INDEX('Room Info'!$A$2:$A3446, MATCH(B969,'Room Info'!$G$2:$G3446, 0)))))))))</f>
        <v>Mandr1990</v>
      </c>
      <c r="B969" s="50" t="s">
        <v>203</v>
      </c>
      <c r="C969" s="82">
        <v>44886.0</v>
      </c>
      <c r="D969" s="82">
        <v>44915.0</v>
      </c>
      <c r="E969" s="52">
        <v>44896.0</v>
      </c>
      <c r="F969" s="53" t="s">
        <v>4</v>
      </c>
      <c r="G969" s="50" t="s">
        <v>13</v>
      </c>
      <c r="H969" s="54" t="s">
        <v>74</v>
      </c>
      <c r="I969" s="54" t="s">
        <v>18</v>
      </c>
      <c r="J969" s="79">
        <v>50.0</v>
      </c>
      <c r="K969" s="80">
        <v>2340.0</v>
      </c>
      <c r="L969" s="77">
        <v>-3550.0</v>
      </c>
      <c r="M969" s="81">
        <v>7922.0</v>
      </c>
      <c r="N969" s="33">
        <f t="shared" si="155"/>
        <v>117000</v>
      </c>
      <c r="O969" s="50">
        <v>27131.0</v>
      </c>
      <c r="P969" s="34">
        <f t="shared" si="14"/>
        <v>11.59444444</v>
      </c>
      <c r="Q969" s="60"/>
      <c r="R969" s="36">
        <f t="shared" si="156"/>
        <v>7922</v>
      </c>
      <c r="S969" s="78">
        <v>-4656.0</v>
      </c>
      <c r="T969" s="37">
        <f t="shared" si="157"/>
        <v>3266</v>
      </c>
      <c r="U969" s="62">
        <v>1.0</v>
      </c>
      <c r="V969" s="63"/>
      <c r="W969" s="63"/>
      <c r="X969" s="35">
        <f t="shared" si="162"/>
        <v>0.09</v>
      </c>
      <c r="Y969" s="35">
        <f t="shared" si="163"/>
        <v>0.03</v>
      </c>
      <c r="Z969" s="40">
        <f t="shared" si="159"/>
        <v>2874.08</v>
      </c>
      <c r="AA969" s="34">
        <f t="shared" si="160"/>
        <v>293.94</v>
      </c>
      <c r="AB969" s="41">
        <f t="shared" si="161"/>
        <v>97.98</v>
      </c>
      <c r="AC969" s="42" t="b">
        <v>1</v>
      </c>
      <c r="AD969" s="42" t="s">
        <v>138</v>
      </c>
      <c r="AE969" s="42" t="s">
        <v>138</v>
      </c>
      <c r="AF969" s="43" t="str">
        <f t="array" ref="AF969">INDEX('Deal Info'!D:D, MATCH(A969,'Deal Info'!A:A, 0))</f>
        <v>Fix9</v>
      </c>
      <c r="AG969" s="43" t="str">
        <f t="array" ref="AG969">INDEX('Deal Info'!G:G, MATCH(A969,'Deal Info'!A:A, 0))</f>
        <v>Fix3</v>
      </c>
    </row>
    <row r="970" hidden="1">
      <c r="A970" s="23" t="str">
        <f t="array" ref="A970">if(G970='Room Info'!$B$1, INDEX('Room Info'!$A$2:$A3446, MATCH(B970,'Room Info'!$B$2:$B3446, 0)),if(G970='Room Info'!$C$1, INDEX('Room Info'!$A$2:$A3446, MATCH(B970,'Room Info'!$C$2:$C3446, 0)),if(G970='Room Info'!$D$1, INDEX('Room Info'!$A$2:$A3446, MATCH(B970,'Room Info'!$D$2:$D3446, 0)),if(G970='Room Info'!$E$1, INDEX('Room Info'!$A$2:$A3446, MATCH(B970,'Room Info'!$E$2:$E3446, 0)),if(G970='Room Info'!$F$1, INDEX('Room Info'!$A$2:$A3446, MATCH(B970,'Room Info'!$F$2:$F3446, 0)),if(G970='Room Info'!$H$1, INDEX('Room Info'!$A$2:$A3446, MATCH(B970,'Room Info'!$H$2:$H3446, 0)),if(G970='Room Info'!$G$1, INDEX('Room Info'!$A$2:$A3446, MATCH(B970,'Room Info'!$G$2:$G3446, 0)))))))))</f>
        <v>Mandr1990</v>
      </c>
      <c r="B970" s="50" t="s">
        <v>203</v>
      </c>
      <c r="C970" s="82">
        <v>44886.0</v>
      </c>
      <c r="D970" s="82">
        <v>44915.0</v>
      </c>
      <c r="E970" s="52">
        <v>44896.0</v>
      </c>
      <c r="F970" s="53" t="s">
        <v>4</v>
      </c>
      <c r="G970" s="50" t="s">
        <v>13</v>
      </c>
      <c r="H970" s="54" t="s">
        <v>85</v>
      </c>
      <c r="I970" s="54" t="s">
        <v>18</v>
      </c>
      <c r="J970" s="79">
        <v>100.0</v>
      </c>
      <c r="K970" s="80">
        <v>3427.0</v>
      </c>
      <c r="L970" s="77">
        <v>-19800.0</v>
      </c>
      <c r="M970" s="81">
        <v>23203.0</v>
      </c>
      <c r="N970" s="33">
        <f t="shared" si="155"/>
        <v>342700</v>
      </c>
      <c r="O970" s="50">
        <v>20617.0</v>
      </c>
      <c r="P970" s="34">
        <f t="shared" si="14"/>
        <v>6.016049022</v>
      </c>
      <c r="Q970" s="60"/>
      <c r="R970" s="36">
        <f t="shared" si="156"/>
        <v>23203</v>
      </c>
      <c r="S970" s="78">
        <v>-19137.0</v>
      </c>
      <c r="T970" s="37">
        <f t="shared" si="157"/>
        <v>4066</v>
      </c>
      <c r="U970" s="62">
        <v>1.0</v>
      </c>
      <c r="V970" s="63"/>
      <c r="W970" s="63"/>
      <c r="X970" s="35">
        <f t="shared" si="162"/>
        <v>0.09</v>
      </c>
      <c r="Y970" s="35">
        <f t="shared" si="163"/>
        <v>0.03</v>
      </c>
      <c r="Z970" s="40">
        <f t="shared" si="159"/>
        <v>3578.08</v>
      </c>
      <c r="AA970" s="34">
        <f t="shared" si="160"/>
        <v>365.94</v>
      </c>
      <c r="AB970" s="41">
        <f t="shared" si="161"/>
        <v>121.98</v>
      </c>
      <c r="AC970" s="42" t="b">
        <v>1</v>
      </c>
      <c r="AD970" s="42" t="s">
        <v>138</v>
      </c>
      <c r="AE970" s="42" t="s">
        <v>138</v>
      </c>
      <c r="AF970" s="43" t="str">
        <f t="array" ref="AF970">INDEX('Deal Info'!D:D, MATCH(A970,'Deal Info'!A:A, 0))</f>
        <v>Fix9</v>
      </c>
      <c r="AG970" s="43" t="str">
        <f t="array" ref="AG970">INDEX('Deal Info'!G:G, MATCH(A970,'Deal Info'!A:A, 0))</f>
        <v>Fix3</v>
      </c>
    </row>
    <row r="971" hidden="1">
      <c r="A971" s="23" t="str">
        <f t="array" ref="A971">if(G971='Room Info'!$B$1, INDEX('Room Info'!$A$2:$A3446, MATCH(B971,'Room Info'!$B$2:$B3446, 0)),if(G971='Room Info'!$C$1, INDEX('Room Info'!$A$2:$A3446, MATCH(B971,'Room Info'!$C$2:$C3446, 0)),if(G971='Room Info'!$D$1, INDEX('Room Info'!$A$2:$A3446, MATCH(B971,'Room Info'!$D$2:$D3446, 0)),if(G971='Room Info'!$E$1, INDEX('Room Info'!$A$2:$A3446, MATCH(B971,'Room Info'!$E$2:$E3446, 0)),if(G971='Room Info'!$F$1, INDEX('Room Info'!$A$2:$A3446, MATCH(B971,'Room Info'!$F$2:$F3446, 0)),if(G971='Room Info'!$H$1, INDEX('Room Info'!$A$2:$A3446, MATCH(B971,'Room Info'!$H$2:$H3446, 0)),if(G971='Room Info'!$G$1, INDEX('Room Info'!$A$2:$A3446, MATCH(B971,'Room Info'!$G$2:$G3446, 0)))))))))</f>
        <v>Mandr1990</v>
      </c>
      <c r="B971" s="50" t="s">
        <v>204</v>
      </c>
      <c r="C971" s="82">
        <v>44886.0</v>
      </c>
      <c r="D971" s="82">
        <v>44915.0</v>
      </c>
      <c r="E971" s="52">
        <v>44896.0</v>
      </c>
      <c r="F971" s="53" t="s">
        <v>4</v>
      </c>
      <c r="G971" s="50" t="s">
        <v>13</v>
      </c>
      <c r="H971" s="54" t="s">
        <v>74</v>
      </c>
      <c r="I971" s="54" t="s">
        <v>18</v>
      </c>
      <c r="J971" s="79">
        <v>50.0</v>
      </c>
      <c r="K971" s="80">
        <v>102.0</v>
      </c>
      <c r="L971" s="77">
        <v>-600.0</v>
      </c>
      <c r="M971" s="81">
        <v>166.0</v>
      </c>
      <c r="N971" s="33">
        <f t="shared" si="155"/>
        <v>5100</v>
      </c>
      <c r="O971" s="50">
        <v>-64.0</v>
      </c>
      <c r="P971" s="34">
        <f t="shared" si="14"/>
        <v>-0.6274509804</v>
      </c>
      <c r="Q971" s="60"/>
      <c r="R971" s="36">
        <f t="shared" si="156"/>
        <v>166</v>
      </c>
      <c r="S971" s="78">
        <v>-382.0</v>
      </c>
      <c r="T971" s="37">
        <f t="shared" si="157"/>
        <v>-216</v>
      </c>
      <c r="U971" s="62">
        <v>1.0</v>
      </c>
      <c r="V971" s="63"/>
      <c r="W971" s="63"/>
      <c r="X971" s="35">
        <f t="shared" si="162"/>
        <v>0.09</v>
      </c>
      <c r="Y971" s="35">
        <f t="shared" si="163"/>
        <v>0.03</v>
      </c>
      <c r="Z971" s="40">
        <f t="shared" si="159"/>
        <v>-190.08</v>
      </c>
      <c r="AA971" s="34">
        <f t="shared" si="160"/>
        <v>-19.44</v>
      </c>
      <c r="AB971" s="41">
        <f t="shared" si="161"/>
        <v>-6.48</v>
      </c>
      <c r="AC971" s="42" t="b">
        <v>1</v>
      </c>
      <c r="AD971" s="42" t="s">
        <v>138</v>
      </c>
      <c r="AE971" s="42" t="s">
        <v>138</v>
      </c>
      <c r="AF971" s="43" t="str">
        <f t="array" ref="AF971">INDEX('Deal Info'!D:D, MATCH(A971,'Deal Info'!A:A, 0))</f>
        <v>Fix9</v>
      </c>
      <c r="AG971" s="43" t="str">
        <f t="array" ref="AG971">INDEX('Deal Info'!G:G, MATCH(A971,'Deal Info'!A:A, 0))</f>
        <v>Fix3</v>
      </c>
    </row>
    <row r="972" hidden="1">
      <c r="A972" s="23" t="str">
        <f t="array" ref="A972">if(G972='Room Info'!$B$1, INDEX('Room Info'!$A$2:$A3446, MATCH(B972,'Room Info'!$B$2:$B3446, 0)),if(G972='Room Info'!$C$1, INDEX('Room Info'!$A$2:$A3446, MATCH(B972,'Room Info'!$C$2:$C3446, 0)),if(G972='Room Info'!$D$1, INDEX('Room Info'!$A$2:$A3446, MATCH(B972,'Room Info'!$D$2:$D3446, 0)),if(G972='Room Info'!$E$1, INDEX('Room Info'!$A$2:$A3446, MATCH(B972,'Room Info'!$E$2:$E3446, 0)),if(G972='Room Info'!$F$1, INDEX('Room Info'!$A$2:$A3446, MATCH(B972,'Room Info'!$F$2:$F3446, 0)),if(G972='Room Info'!$H$1, INDEX('Room Info'!$A$2:$A3446, MATCH(B972,'Room Info'!$H$2:$H3446, 0)),if(G972='Room Info'!$G$1, INDEX('Room Info'!$A$2:$A3446, MATCH(B972,'Room Info'!$G$2:$G3446, 0)))))))))</f>
        <v>Mandr1990</v>
      </c>
      <c r="B972" s="50" t="s">
        <v>204</v>
      </c>
      <c r="C972" s="82">
        <v>44916.0</v>
      </c>
      <c r="D972" s="82">
        <v>44946.0</v>
      </c>
      <c r="E972" s="52">
        <v>44927.0</v>
      </c>
      <c r="F972" s="53" t="s">
        <v>4</v>
      </c>
      <c r="G972" s="50" t="s">
        <v>13</v>
      </c>
      <c r="H972" s="54" t="s">
        <v>74</v>
      </c>
      <c r="I972" s="54" t="s">
        <v>18</v>
      </c>
      <c r="J972" s="79">
        <v>50.0</v>
      </c>
      <c r="K972" s="80">
        <v>1124.0</v>
      </c>
      <c r="L972" s="77">
        <v>-1100.0</v>
      </c>
      <c r="M972" s="81">
        <v>3671.0</v>
      </c>
      <c r="N972" s="33">
        <f t="shared" si="155"/>
        <v>56200</v>
      </c>
      <c r="O972" s="50">
        <v>11452.0</v>
      </c>
      <c r="P972" s="34">
        <f t="shared" si="14"/>
        <v>10.1886121</v>
      </c>
      <c r="Q972" s="60"/>
      <c r="R972" s="36">
        <f t="shared" si="156"/>
        <v>3671</v>
      </c>
      <c r="S972" s="78">
        <v>-2366.0</v>
      </c>
      <c r="T972" s="37">
        <f t="shared" si="157"/>
        <v>1305</v>
      </c>
      <c r="U972" s="62">
        <v>1.0</v>
      </c>
      <c r="V972" s="63"/>
      <c r="W972" s="63"/>
      <c r="X972" s="35">
        <f t="shared" si="162"/>
        <v>0.09</v>
      </c>
      <c r="Y972" s="35">
        <f t="shared" si="163"/>
        <v>0.03</v>
      </c>
      <c r="Z972" s="40">
        <f t="shared" si="159"/>
        <v>1148.4</v>
      </c>
      <c r="AA972" s="34">
        <f t="shared" si="160"/>
        <v>117.45</v>
      </c>
      <c r="AB972" s="41">
        <f t="shared" si="161"/>
        <v>39.15</v>
      </c>
      <c r="AC972" s="42" t="b">
        <v>1</v>
      </c>
      <c r="AD972" s="42" t="s">
        <v>138</v>
      </c>
      <c r="AE972" s="42" t="s">
        <v>138</v>
      </c>
      <c r="AF972" s="43" t="str">
        <f t="array" ref="AF972">INDEX('Deal Info'!D:D, MATCH(A972,'Deal Info'!A:A, 0))</f>
        <v>Fix9</v>
      </c>
      <c r="AG972" s="43" t="str">
        <f t="array" ref="AG972">INDEX('Deal Info'!G:G, MATCH(A972,'Deal Info'!A:A, 0))</f>
        <v>Fix3</v>
      </c>
    </row>
    <row r="973" hidden="1">
      <c r="A973" s="23" t="str">
        <f t="array" ref="A973">if(G973='Room Info'!$B$1, INDEX('Room Info'!$A$2:$A3446, MATCH(B973,'Room Info'!$B$2:$B3446, 0)),if(G973='Room Info'!$C$1, INDEX('Room Info'!$A$2:$A3446, MATCH(B973,'Room Info'!$C$2:$C3446, 0)),if(G973='Room Info'!$D$1, INDEX('Room Info'!$A$2:$A3446, MATCH(B973,'Room Info'!$D$2:$D3446, 0)),if(G973='Room Info'!$E$1, INDEX('Room Info'!$A$2:$A3446, MATCH(B973,'Room Info'!$E$2:$E3446, 0)),if(G973='Room Info'!$F$1, INDEX('Room Info'!$A$2:$A3446, MATCH(B973,'Room Info'!$F$2:$F3446, 0)),if(G973='Room Info'!$H$1, INDEX('Room Info'!$A$2:$A3446, MATCH(B973,'Room Info'!$H$2:$H3446, 0)),if(G973='Room Info'!$G$1, INDEX('Room Info'!$A$2:$A3446, MATCH(B973,'Room Info'!$G$2:$G3446, 0)))))))))</f>
        <v>Mandr1990</v>
      </c>
      <c r="B973" s="50" t="s">
        <v>204</v>
      </c>
      <c r="C973" s="82">
        <v>44916.0</v>
      </c>
      <c r="D973" s="82">
        <v>44946.0</v>
      </c>
      <c r="E973" s="52">
        <v>44927.0</v>
      </c>
      <c r="F973" s="53" t="s">
        <v>4</v>
      </c>
      <c r="G973" s="50" t="s">
        <v>13</v>
      </c>
      <c r="H973" s="54" t="s">
        <v>85</v>
      </c>
      <c r="I973" s="54" t="s">
        <v>18</v>
      </c>
      <c r="J973" s="79">
        <v>100.0</v>
      </c>
      <c r="K973" s="80">
        <v>9.0</v>
      </c>
      <c r="L973" s="77">
        <v>900.0</v>
      </c>
      <c r="M973" s="81">
        <v>59.0</v>
      </c>
      <c r="N973" s="33">
        <f t="shared" si="155"/>
        <v>900</v>
      </c>
      <c r="O973" s="50">
        <v>567.0</v>
      </c>
      <c r="P973" s="34">
        <f t="shared" si="14"/>
        <v>63</v>
      </c>
      <c r="Q973" s="60"/>
      <c r="R973" s="36">
        <f t="shared" si="156"/>
        <v>59</v>
      </c>
      <c r="S973" s="78">
        <v>99.0</v>
      </c>
      <c r="T973" s="37">
        <f t="shared" si="157"/>
        <v>158</v>
      </c>
      <c r="U973" s="62">
        <v>1.0</v>
      </c>
      <c r="V973" s="63"/>
      <c r="W973" s="63"/>
      <c r="X973" s="35">
        <f t="shared" si="162"/>
        <v>0.09</v>
      </c>
      <c r="Y973" s="35">
        <f t="shared" si="163"/>
        <v>0.03</v>
      </c>
      <c r="Z973" s="40">
        <f t="shared" si="159"/>
        <v>139.04</v>
      </c>
      <c r="AA973" s="34">
        <f t="shared" si="160"/>
        <v>14.22</v>
      </c>
      <c r="AB973" s="41">
        <f t="shared" si="161"/>
        <v>4.74</v>
      </c>
      <c r="AC973" s="42" t="b">
        <v>1</v>
      </c>
      <c r="AD973" s="42" t="s">
        <v>138</v>
      </c>
      <c r="AE973" s="42" t="s">
        <v>138</v>
      </c>
      <c r="AF973" s="43" t="str">
        <f t="array" ref="AF973">INDEX('Deal Info'!D:D, MATCH(A973,'Deal Info'!A:A, 0))</f>
        <v>Fix9</v>
      </c>
      <c r="AG973" s="43" t="str">
        <f t="array" ref="AG973">INDEX('Deal Info'!G:G, MATCH(A973,'Deal Info'!A:A, 0))</f>
        <v>Fix3</v>
      </c>
    </row>
    <row r="974" hidden="1">
      <c r="A974" s="23" t="str">
        <f t="array" ref="A974">if(G974='Room Info'!$B$1, INDEX('Room Info'!$A$2:$A3446, MATCH(B974,'Room Info'!$B$2:$B3446, 0)),if(G974='Room Info'!$C$1, INDEX('Room Info'!$A$2:$A3446, MATCH(B974,'Room Info'!$C$2:$C3446, 0)),if(G974='Room Info'!$D$1, INDEX('Room Info'!$A$2:$A3446, MATCH(B974,'Room Info'!$D$2:$D3446, 0)),if(G974='Room Info'!$E$1, INDEX('Room Info'!$A$2:$A3446, MATCH(B974,'Room Info'!$E$2:$E3446, 0)),if(G974='Room Info'!$F$1, INDEX('Room Info'!$A$2:$A3446, MATCH(B974,'Room Info'!$F$2:$F3446, 0)),if(G974='Room Info'!$H$1, INDEX('Room Info'!$A$2:$A3446, MATCH(B974,'Room Info'!$H$2:$H3446, 0)),if(G974='Room Info'!$G$1, INDEX('Room Info'!$A$2:$A3446, MATCH(B974,'Room Info'!$G$2:$G3446, 0)))))))))</f>
        <v>Mandr1990</v>
      </c>
      <c r="B974" s="50" t="s">
        <v>204</v>
      </c>
      <c r="C974" s="51">
        <v>44916.0</v>
      </c>
      <c r="D974" s="51">
        <v>44946.0</v>
      </c>
      <c r="E974" s="52">
        <v>44927.0</v>
      </c>
      <c r="F974" s="53" t="s">
        <v>4</v>
      </c>
      <c r="G974" s="50" t="s">
        <v>13</v>
      </c>
      <c r="H974" s="54" t="s">
        <v>93</v>
      </c>
      <c r="I974" s="54" t="s">
        <v>18</v>
      </c>
      <c r="J974" s="55">
        <v>200.0</v>
      </c>
      <c r="K974" s="56">
        <v>7154.0</v>
      </c>
      <c r="L974" s="57">
        <v>-88600.0</v>
      </c>
      <c r="M974" s="58">
        <v>93462.0</v>
      </c>
      <c r="N974" s="33">
        <f t="shared" si="155"/>
        <v>1430800</v>
      </c>
      <c r="O974" s="59">
        <v>48299.0</v>
      </c>
      <c r="P974" s="34">
        <f t="shared" si="14"/>
        <v>6.751327928</v>
      </c>
      <c r="Q974" s="60"/>
      <c r="R974" s="36">
        <f t="shared" si="156"/>
        <v>93462</v>
      </c>
      <c r="S974" s="61">
        <v>-74380.0</v>
      </c>
      <c r="T974" s="37">
        <f t="shared" si="157"/>
        <v>19082</v>
      </c>
      <c r="U974" s="62">
        <v>1.0</v>
      </c>
      <c r="V974" s="63"/>
      <c r="W974" s="63"/>
      <c r="X974" s="35">
        <f t="shared" si="162"/>
        <v>0.09</v>
      </c>
      <c r="Y974" s="35">
        <f t="shared" si="163"/>
        <v>0.03</v>
      </c>
      <c r="Z974" s="40">
        <f t="shared" si="159"/>
        <v>16792.16</v>
      </c>
      <c r="AA974" s="34">
        <f t="shared" si="160"/>
        <v>1717.38</v>
      </c>
      <c r="AB974" s="41">
        <f t="shared" si="161"/>
        <v>572.46</v>
      </c>
      <c r="AC974" s="42" t="b">
        <v>1</v>
      </c>
      <c r="AD974" s="42" t="s">
        <v>138</v>
      </c>
      <c r="AE974" s="42" t="s">
        <v>138</v>
      </c>
      <c r="AF974" s="43" t="str">
        <f t="array" ref="AF974">INDEX('Deal Info'!D:D, MATCH(A974,'Deal Info'!A:A, 0))</f>
        <v>Fix9</v>
      </c>
      <c r="AG974" s="43" t="str">
        <f t="array" ref="AG974">INDEX('Deal Info'!G:G, MATCH(A974,'Deal Info'!A:A, 0))</f>
        <v>Fix3</v>
      </c>
    </row>
    <row r="975" hidden="1">
      <c r="A975" s="23" t="str">
        <f t="array" ref="A975">if(G975='Room Info'!$B$1, INDEX('Room Info'!$A$2:$A3446, MATCH(B975,'Room Info'!$B$2:$B3446, 0)),if(G975='Room Info'!$C$1, INDEX('Room Info'!$A$2:$A3446, MATCH(B975,'Room Info'!$C$2:$C3446, 0)),if(G975='Room Info'!$D$1, INDEX('Room Info'!$A$2:$A3446, MATCH(B975,'Room Info'!$D$2:$D3446, 0)),if(G975='Room Info'!$E$1, INDEX('Room Info'!$A$2:$A3446, MATCH(B975,'Room Info'!$E$2:$E3446, 0)),if(G975='Room Info'!$F$1, INDEX('Room Info'!$A$2:$A3446, MATCH(B975,'Room Info'!$F$2:$F3446, 0)),if(G975='Room Info'!$H$1, INDEX('Room Info'!$A$2:$A3446, MATCH(B975,'Room Info'!$H$2:$H3446, 0)),if(G975='Room Info'!$G$1, INDEX('Room Info'!$A$2:$A3446, MATCH(B975,'Room Info'!$G$2:$G3446, 0)))))))))</f>
        <v>Mexanuk_AV</v>
      </c>
      <c r="B975" s="50" t="s">
        <v>160</v>
      </c>
      <c r="C975" s="51">
        <v>44337.0</v>
      </c>
      <c r="D975" s="51">
        <v>44367.0</v>
      </c>
      <c r="E975" s="52">
        <v>44348.0</v>
      </c>
      <c r="F975" s="53" t="s">
        <v>4</v>
      </c>
      <c r="G975" s="50" t="s">
        <v>5</v>
      </c>
      <c r="H975" s="54" t="s">
        <v>34</v>
      </c>
      <c r="I975" s="54" t="s">
        <v>7</v>
      </c>
      <c r="J975" s="55">
        <v>5.0</v>
      </c>
      <c r="K975" s="56">
        <v>1.0</v>
      </c>
      <c r="L975" s="57">
        <v>5.0</v>
      </c>
      <c r="M975" s="67"/>
      <c r="N975" s="33">
        <f t="shared" si="155"/>
        <v>5</v>
      </c>
      <c r="O975" s="59">
        <v>376.0</v>
      </c>
      <c r="P975" s="34">
        <f t="shared" si="14"/>
        <v>376</v>
      </c>
      <c r="Q975" s="60"/>
      <c r="R975" s="36">
        <f t="shared" si="156"/>
        <v>0</v>
      </c>
      <c r="S975" s="61">
        <v>3.0</v>
      </c>
      <c r="T975" s="37">
        <f t="shared" si="157"/>
        <v>3</v>
      </c>
      <c r="U975" s="62">
        <v>1.0</v>
      </c>
      <c r="V975" s="63"/>
      <c r="W975" s="63"/>
      <c r="X975" s="83">
        <v>0.3</v>
      </c>
      <c r="Y975" s="35">
        <f t="shared" si="163"/>
        <v>0</v>
      </c>
      <c r="Z975" s="40">
        <f t="shared" si="159"/>
        <v>2</v>
      </c>
      <c r="AA975" s="65">
        <v>1.0</v>
      </c>
      <c r="AB975" s="41">
        <f t="shared" si="161"/>
        <v>0</v>
      </c>
      <c r="AC975" s="42" t="b">
        <v>1</v>
      </c>
      <c r="AD975" s="42" t="s">
        <v>138</v>
      </c>
      <c r="AE975" s="42" t="s">
        <v>138</v>
      </c>
      <c r="AF975" s="42" t="str">
        <f t="array" ref="AF975">INDEX('Deal Info'!D:D, MATCH(A975,'Deal Info'!A:A, 0))</f>
        <v>SF</v>
      </c>
      <c r="AG975" s="43" t="str">
        <f t="array" ref="AG975">INDEX('Deal Info'!G:G, MATCH(A975,'Deal Info'!A:A, 0))</f>
        <v>None</v>
      </c>
    </row>
    <row r="976" hidden="1">
      <c r="A976" s="23" t="str">
        <f t="array" ref="A976">if(G976='Room Info'!$B$1, INDEX('Room Info'!$A$2:$A3446, MATCH(B976,'Room Info'!$B$2:$B3446, 0)),if(G976='Room Info'!$C$1, INDEX('Room Info'!$A$2:$A3446, MATCH(B976,'Room Info'!$C$2:$C3446, 0)),if(G976='Room Info'!$D$1, INDEX('Room Info'!$A$2:$A3446, MATCH(B976,'Room Info'!$D$2:$D3446, 0)),if(G976='Room Info'!$E$1, INDEX('Room Info'!$A$2:$A3446, MATCH(B976,'Room Info'!$E$2:$E3446, 0)),if(G976='Room Info'!$F$1, INDEX('Room Info'!$A$2:$A3446, MATCH(B976,'Room Info'!$F$2:$F3446, 0)),if(G976='Room Info'!$H$1, INDEX('Room Info'!$A$2:$A3446, MATCH(B976,'Room Info'!$H$2:$H3446, 0)),if(G976='Room Info'!$G$1, INDEX('Room Info'!$A$2:$A3446, MATCH(B976,'Room Info'!$G$2:$G3446, 0)))))))))</f>
        <v>Mexanuk_AV</v>
      </c>
      <c r="B976" s="50" t="s">
        <v>160</v>
      </c>
      <c r="C976" s="51">
        <v>44337.0</v>
      </c>
      <c r="D976" s="51">
        <v>44367.0</v>
      </c>
      <c r="E976" s="52">
        <v>44348.0</v>
      </c>
      <c r="F976" s="53" t="s">
        <v>4</v>
      </c>
      <c r="G976" s="59" t="s">
        <v>5</v>
      </c>
      <c r="H976" s="54" t="s">
        <v>45</v>
      </c>
      <c r="I976" s="54" t="s">
        <v>7</v>
      </c>
      <c r="J976" s="55">
        <v>10.0</v>
      </c>
      <c r="K976" s="56">
        <v>1132.0</v>
      </c>
      <c r="L976" s="57">
        <v>370.0</v>
      </c>
      <c r="M976" s="58">
        <v>14.0</v>
      </c>
      <c r="N976" s="33">
        <f t="shared" si="155"/>
        <v>11320</v>
      </c>
      <c r="O976" s="59">
        <v>64596.0</v>
      </c>
      <c r="P976" s="34">
        <f t="shared" si="14"/>
        <v>57.06360424</v>
      </c>
      <c r="Q976" s="60"/>
      <c r="R976" s="36">
        <f t="shared" si="156"/>
        <v>14</v>
      </c>
      <c r="S976" s="61">
        <v>359.0</v>
      </c>
      <c r="T976" s="37">
        <f t="shared" si="157"/>
        <v>373</v>
      </c>
      <c r="U976" s="62">
        <v>1.0</v>
      </c>
      <c r="V976" s="63"/>
      <c r="W976" s="63"/>
      <c r="X976" s="83">
        <v>0.3</v>
      </c>
      <c r="Y976" s="35">
        <f t="shared" si="163"/>
        <v>0</v>
      </c>
      <c r="Z976" s="40">
        <f t="shared" si="159"/>
        <v>261</v>
      </c>
      <c r="AA976" s="65">
        <v>112.0</v>
      </c>
      <c r="AB976" s="41">
        <f t="shared" si="161"/>
        <v>0</v>
      </c>
      <c r="AC976" s="42" t="b">
        <v>1</v>
      </c>
      <c r="AD976" s="42" t="s">
        <v>138</v>
      </c>
      <c r="AE976" s="42" t="s">
        <v>138</v>
      </c>
      <c r="AF976" s="42" t="str">
        <f t="array" ref="AF976">INDEX('Deal Info'!D:D, MATCH(A976,'Deal Info'!A:A, 0))</f>
        <v>SF</v>
      </c>
      <c r="AG976" s="43" t="str">
        <f t="array" ref="AG976">INDEX('Deal Info'!G:G, MATCH(A976,'Deal Info'!A:A, 0))</f>
        <v>None</v>
      </c>
    </row>
    <row r="977" hidden="1">
      <c r="A977" s="23" t="str">
        <f t="array" ref="A977">if(G977='Room Info'!$B$1, INDEX('Room Info'!$A$2:$A3446, MATCH(B977,'Room Info'!$B$2:$B3446, 0)),if(G977='Room Info'!$C$1, INDEX('Room Info'!$A$2:$A3446, MATCH(B977,'Room Info'!$C$2:$C3446, 0)),if(G977='Room Info'!$D$1, INDEX('Room Info'!$A$2:$A3446, MATCH(B977,'Room Info'!$D$2:$D3446, 0)),if(G977='Room Info'!$E$1, INDEX('Room Info'!$A$2:$A3446, MATCH(B977,'Room Info'!$E$2:$E3446, 0)),if(G977='Room Info'!$F$1, INDEX('Room Info'!$A$2:$A3446, MATCH(B977,'Room Info'!$F$2:$F3446, 0)),if(G977='Room Info'!$H$1, INDEX('Room Info'!$A$2:$A3446, MATCH(B977,'Room Info'!$H$2:$H3446, 0)),if(G977='Room Info'!$G$1, INDEX('Room Info'!$A$2:$A3446, MATCH(B977,'Room Info'!$G$2:$G3446, 0)))))))))</f>
        <v>Mexanuk_AV</v>
      </c>
      <c r="B977" s="50" t="s">
        <v>160</v>
      </c>
      <c r="C977" s="104">
        <v>44337.0</v>
      </c>
      <c r="D977" s="104">
        <v>44367.0</v>
      </c>
      <c r="E977" s="52">
        <v>44348.0</v>
      </c>
      <c r="F977" s="50" t="s">
        <v>4</v>
      </c>
      <c r="G977" s="50" t="s">
        <v>5</v>
      </c>
      <c r="H977" s="54" t="s">
        <v>46</v>
      </c>
      <c r="I977" s="54" t="s">
        <v>7</v>
      </c>
      <c r="J977" s="79">
        <v>10.0</v>
      </c>
      <c r="K977" s="80">
        <v>689.0</v>
      </c>
      <c r="L977" s="77">
        <v>-110.0</v>
      </c>
      <c r="M977" s="81">
        <v>10.0</v>
      </c>
      <c r="N977" s="33">
        <f t="shared" si="155"/>
        <v>6890</v>
      </c>
      <c r="O977" s="50">
        <v>31360.0</v>
      </c>
      <c r="P977" s="34">
        <f t="shared" si="14"/>
        <v>45.51523948</v>
      </c>
      <c r="Q977" s="60"/>
      <c r="R977" s="36">
        <f t="shared" si="156"/>
        <v>10</v>
      </c>
      <c r="S977" s="78">
        <v>-1.0</v>
      </c>
      <c r="T977" s="37">
        <f t="shared" si="157"/>
        <v>9</v>
      </c>
      <c r="U977" s="62">
        <v>1.0</v>
      </c>
      <c r="V977" s="63"/>
      <c r="W977" s="63"/>
      <c r="X977" s="83">
        <v>0.3</v>
      </c>
      <c r="Y977" s="35">
        <f t="shared" si="163"/>
        <v>0</v>
      </c>
      <c r="Z977" s="40">
        <f t="shared" si="159"/>
        <v>6</v>
      </c>
      <c r="AA977" s="65">
        <v>3.0</v>
      </c>
      <c r="AB977" s="41">
        <f t="shared" si="161"/>
        <v>0</v>
      </c>
      <c r="AC977" s="42" t="b">
        <v>1</v>
      </c>
      <c r="AD977" s="42" t="s">
        <v>138</v>
      </c>
      <c r="AE977" s="42" t="s">
        <v>138</v>
      </c>
      <c r="AF977" s="42" t="str">
        <f t="array" ref="AF977">INDEX('Deal Info'!D:D, MATCH(A977,'Deal Info'!A:A, 0))</f>
        <v>SF</v>
      </c>
      <c r="AG977" s="43" t="str">
        <f t="array" ref="AG977">INDEX('Deal Info'!G:G, MATCH(A977,'Deal Info'!A:A, 0))</f>
        <v>None</v>
      </c>
    </row>
    <row r="978" hidden="1">
      <c r="A978" s="23" t="str">
        <f t="array" ref="A978">if(G978='Room Info'!$B$1, INDEX('Room Info'!$A$2:$A3446, MATCH(B978,'Room Info'!$B$2:$B3446, 0)),if(G978='Room Info'!$C$1, INDEX('Room Info'!$A$2:$A3446, MATCH(B978,'Room Info'!$C$2:$C3446, 0)),if(G978='Room Info'!$D$1, INDEX('Room Info'!$A$2:$A3446, MATCH(B978,'Room Info'!$D$2:$D3446, 0)),if(G978='Room Info'!$E$1, INDEX('Room Info'!$A$2:$A3446, MATCH(B978,'Room Info'!$E$2:$E3446, 0)),if(G978='Room Info'!$F$1, INDEX('Room Info'!$A$2:$A3446, MATCH(B978,'Room Info'!$F$2:$F3446, 0)),if(G978='Room Info'!$H$1, INDEX('Room Info'!$A$2:$A3446, MATCH(B978,'Room Info'!$H$2:$H3446, 0)),if(G978='Room Info'!$G$1, INDEX('Room Info'!$A$2:$A3446, MATCH(B978,'Room Info'!$G$2:$G3446, 0)))))))))</f>
        <v>Mexanuk_AV</v>
      </c>
      <c r="B978" s="50" t="s">
        <v>160</v>
      </c>
      <c r="C978" s="82">
        <v>44368.0</v>
      </c>
      <c r="D978" s="82">
        <v>44397.0</v>
      </c>
      <c r="E978" s="52">
        <v>44378.0</v>
      </c>
      <c r="F978" s="53" t="s">
        <v>4</v>
      </c>
      <c r="G978" s="50" t="s">
        <v>5</v>
      </c>
      <c r="H978" s="54" t="s">
        <v>35</v>
      </c>
      <c r="I978" s="54" t="s">
        <v>7</v>
      </c>
      <c r="J978" s="79">
        <v>5.0</v>
      </c>
      <c r="K978" s="80">
        <v>1.0</v>
      </c>
      <c r="L978" s="77">
        <v>5.0</v>
      </c>
      <c r="M978" s="84"/>
      <c r="N978" s="33">
        <f t="shared" si="155"/>
        <v>5</v>
      </c>
      <c r="O978" s="50">
        <v>474.0</v>
      </c>
      <c r="P978" s="34">
        <f t="shared" si="14"/>
        <v>474</v>
      </c>
      <c r="Q978" s="60"/>
      <c r="R978" s="36">
        <f t="shared" si="156"/>
        <v>0</v>
      </c>
      <c r="S978" s="78">
        <v>4.0</v>
      </c>
      <c r="T978" s="37">
        <f t="shared" si="157"/>
        <v>4</v>
      </c>
      <c r="U978" s="62">
        <v>1.0</v>
      </c>
      <c r="V978" s="63"/>
      <c r="W978" s="63"/>
      <c r="X978" s="83">
        <v>0.3</v>
      </c>
      <c r="Y978" s="35">
        <f t="shared" si="163"/>
        <v>0</v>
      </c>
      <c r="Z978" s="40">
        <f t="shared" si="159"/>
        <v>3</v>
      </c>
      <c r="AA978" s="65">
        <v>1.0</v>
      </c>
      <c r="AB978" s="41">
        <f t="shared" si="161"/>
        <v>0</v>
      </c>
      <c r="AC978" s="42" t="b">
        <v>1</v>
      </c>
      <c r="AD978" s="42" t="s">
        <v>138</v>
      </c>
      <c r="AE978" s="42" t="s">
        <v>138</v>
      </c>
      <c r="AF978" s="42" t="str">
        <f t="array" ref="AF978">INDEX('Deal Info'!D:D, MATCH(A978,'Deal Info'!A:A, 0))</f>
        <v>SF</v>
      </c>
      <c r="AG978" s="43" t="str">
        <f t="array" ref="AG978">INDEX('Deal Info'!G:G, MATCH(A978,'Deal Info'!A:A, 0))</f>
        <v>None</v>
      </c>
    </row>
    <row r="979" hidden="1">
      <c r="A979" s="23" t="str">
        <f t="array" ref="A979">if(G979='Room Info'!$B$1, INDEX('Room Info'!$A$2:$A3446, MATCH(B979,'Room Info'!$B$2:$B3446, 0)),if(G979='Room Info'!$C$1, INDEX('Room Info'!$A$2:$A3446, MATCH(B979,'Room Info'!$C$2:$C3446, 0)),if(G979='Room Info'!$D$1, INDEX('Room Info'!$A$2:$A3446, MATCH(B979,'Room Info'!$D$2:$D3446, 0)),if(G979='Room Info'!$E$1, INDEX('Room Info'!$A$2:$A3446, MATCH(B979,'Room Info'!$E$2:$E3446, 0)),if(G979='Room Info'!$F$1, INDEX('Room Info'!$A$2:$A3446, MATCH(B979,'Room Info'!$F$2:$F3446, 0)),if(G979='Room Info'!$H$1, INDEX('Room Info'!$A$2:$A3446, MATCH(B979,'Room Info'!$H$2:$H3446, 0)),if(G979='Room Info'!$G$1, INDEX('Room Info'!$A$2:$A3446, MATCH(B979,'Room Info'!$G$2:$G3446, 0)))))))))</f>
        <v>Mexanuk_AV</v>
      </c>
      <c r="B979" s="50" t="s">
        <v>160</v>
      </c>
      <c r="C979" s="82">
        <v>44368.0</v>
      </c>
      <c r="D979" s="82">
        <v>44397.0</v>
      </c>
      <c r="E979" s="52">
        <v>44378.0</v>
      </c>
      <c r="F979" s="53" t="s">
        <v>4</v>
      </c>
      <c r="G979" s="50" t="s">
        <v>5</v>
      </c>
      <c r="H979" s="54" t="s">
        <v>45</v>
      </c>
      <c r="I979" s="54" t="s">
        <v>7</v>
      </c>
      <c r="J979" s="79">
        <v>10.0</v>
      </c>
      <c r="K979" s="80">
        <v>1504.0</v>
      </c>
      <c r="L979" s="77">
        <v>310.0</v>
      </c>
      <c r="M979" s="81">
        <v>284.0</v>
      </c>
      <c r="N979" s="33">
        <f t="shared" si="155"/>
        <v>15040</v>
      </c>
      <c r="O979" s="50">
        <v>77133.0</v>
      </c>
      <c r="P979" s="34">
        <f t="shared" si="14"/>
        <v>51.28523936</v>
      </c>
      <c r="Q979" s="60"/>
      <c r="R979" s="36">
        <f t="shared" si="156"/>
        <v>284</v>
      </c>
      <c r="S979" s="78">
        <v>292.0</v>
      </c>
      <c r="T979" s="37">
        <f t="shared" si="157"/>
        <v>576</v>
      </c>
      <c r="U979" s="62">
        <v>1.0</v>
      </c>
      <c r="V979" s="63"/>
      <c r="W979" s="63"/>
      <c r="X979" s="83">
        <v>0.3</v>
      </c>
      <c r="Y979" s="35">
        <f t="shared" si="163"/>
        <v>0</v>
      </c>
      <c r="Z979" s="40">
        <f t="shared" si="159"/>
        <v>403</v>
      </c>
      <c r="AA979" s="65">
        <v>173.0</v>
      </c>
      <c r="AB979" s="41">
        <f t="shared" si="161"/>
        <v>0</v>
      </c>
      <c r="AC979" s="42" t="b">
        <v>1</v>
      </c>
      <c r="AD979" s="42" t="s">
        <v>138</v>
      </c>
      <c r="AE979" s="42" t="s">
        <v>138</v>
      </c>
      <c r="AF979" s="42" t="str">
        <f t="array" ref="AF979">INDEX('Deal Info'!D:D, MATCH(A979,'Deal Info'!A:A, 0))</f>
        <v>SF</v>
      </c>
      <c r="AG979" s="43" t="str">
        <f t="array" ref="AG979">INDEX('Deal Info'!G:G, MATCH(A979,'Deal Info'!A:A, 0))</f>
        <v>None</v>
      </c>
    </row>
    <row r="980" hidden="1">
      <c r="A980" s="23" t="str">
        <f t="array" ref="A980">if(G980='Room Info'!$B$1, INDEX('Room Info'!$A$2:$A3446, MATCH(B980,'Room Info'!$B$2:$B3446, 0)),if(G980='Room Info'!$C$1, INDEX('Room Info'!$A$2:$A3446, MATCH(B980,'Room Info'!$C$2:$C3446, 0)),if(G980='Room Info'!$D$1, INDEX('Room Info'!$A$2:$A3446, MATCH(B980,'Room Info'!$D$2:$D3446, 0)),if(G980='Room Info'!$E$1, INDEX('Room Info'!$A$2:$A3446, MATCH(B980,'Room Info'!$E$2:$E3446, 0)),if(G980='Room Info'!$F$1, INDEX('Room Info'!$A$2:$A3446, MATCH(B980,'Room Info'!$F$2:$F3446, 0)),if(G980='Room Info'!$H$1, INDEX('Room Info'!$A$2:$A3446, MATCH(B980,'Room Info'!$H$2:$H3446, 0)),if(G980='Room Info'!$G$1, INDEX('Room Info'!$A$2:$A3446, MATCH(B980,'Room Info'!$G$2:$G3446, 0)))))))))</f>
        <v>Mexanuk_AV</v>
      </c>
      <c r="B980" s="50" t="s">
        <v>160</v>
      </c>
      <c r="C980" s="82">
        <v>44398.0</v>
      </c>
      <c r="D980" s="82">
        <v>44428.0</v>
      </c>
      <c r="E980" s="52">
        <v>44409.0</v>
      </c>
      <c r="F980" s="53" t="s">
        <v>4</v>
      </c>
      <c r="G980" s="50" t="s">
        <v>5</v>
      </c>
      <c r="H980" s="54" t="s">
        <v>45</v>
      </c>
      <c r="I980" s="54" t="s">
        <v>7</v>
      </c>
      <c r="J980" s="79">
        <v>10.0</v>
      </c>
      <c r="K980" s="80">
        <v>1504.0</v>
      </c>
      <c r="L980" s="77">
        <v>-190.0</v>
      </c>
      <c r="M980" s="81">
        <v>52.0</v>
      </c>
      <c r="N980" s="33">
        <f t="shared" si="155"/>
        <v>15040</v>
      </c>
      <c r="O980" s="50">
        <v>55554.0</v>
      </c>
      <c r="P980" s="34">
        <f t="shared" si="14"/>
        <v>36.9375</v>
      </c>
      <c r="Q980" s="60"/>
      <c r="R980" s="36">
        <f t="shared" si="156"/>
        <v>52</v>
      </c>
      <c r="S980" s="78">
        <v>-141.0</v>
      </c>
      <c r="T980" s="37">
        <f t="shared" si="157"/>
        <v>-89</v>
      </c>
      <c r="U980" s="62">
        <v>1.0</v>
      </c>
      <c r="V980" s="63"/>
      <c r="W980" s="63"/>
      <c r="X980" s="83">
        <v>0.3</v>
      </c>
      <c r="Y980" s="35">
        <f t="shared" si="163"/>
        <v>0</v>
      </c>
      <c r="Z980" s="40">
        <f t="shared" si="159"/>
        <v>-62</v>
      </c>
      <c r="AA980" s="65">
        <v>-27.0</v>
      </c>
      <c r="AB980" s="41">
        <f t="shared" si="161"/>
        <v>0</v>
      </c>
      <c r="AC980" s="42" t="b">
        <v>1</v>
      </c>
      <c r="AD980" s="42" t="s">
        <v>138</v>
      </c>
      <c r="AE980" s="42" t="s">
        <v>138</v>
      </c>
      <c r="AF980" s="42" t="str">
        <f t="array" ref="AF980">INDEX('Deal Info'!D:D, MATCH(A980,'Deal Info'!A:A, 0))</f>
        <v>SF</v>
      </c>
      <c r="AG980" s="43" t="str">
        <f t="array" ref="AG980">INDEX('Deal Info'!G:G, MATCH(A980,'Deal Info'!A:A, 0))</f>
        <v>None</v>
      </c>
    </row>
    <row r="981" hidden="1">
      <c r="A981" s="23" t="str">
        <f t="array" ref="A981">if(G981='Room Info'!$B$1, INDEX('Room Info'!$A$2:$A3446, MATCH(B981,'Room Info'!$B$2:$B3446, 0)),if(G981='Room Info'!$C$1, INDEX('Room Info'!$A$2:$A3446, MATCH(B981,'Room Info'!$C$2:$C3446, 0)),if(G981='Room Info'!$D$1, INDEX('Room Info'!$A$2:$A3446, MATCH(B981,'Room Info'!$D$2:$D3446, 0)),if(G981='Room Info'!$E$1, INDEX('Room Info'!$A$2:$A3446, MATCH(B981,'Room Info'!$E$2:$E3446, 0)),if(G981='Room Info'!$F$1, INDEX('Room Info'!$A$2:$A3446, MATCH(B981,'Room Info'!$F$2:$F3446, 0)),if(G981='Room Info'!$H$1, INDEX('Room Info'!$A$2:$A3446, MATCH(B981,'Room Info'!$H$2:$H3446, 0)),if(G981='Room Info'!$G$1, INDEX('Room Info'!$A$2:$A3446, MATCH(B981,'Room Info'!$G$2:$G3446, 0)))))))))</f>
        <v>Mexanuk_AV</v>
      </c>
      <c r="B981" s="50" t="s">
        <v>160</v>
      </c>
      <c r="C981" s="82">
        <v>44429.0</v>
      </c>
      <c r="D981" s="82">
        <v>44459.0</v>
      </c>
      <c r="E981" s="52">
        <v>44440.0</v>
      </c>
      <c r="F981" s="53" t="s">
        <v>4</v>
      </c>
      <c r="G981" s="50" t="s">
        <v>5</v>
      </c>
      <c r="H981" s="54" t="s">
        <v>35</v>
      </c>
      <c r="I981" s="54" t="s">
        <v>7</v>
      </c>
      <c r="J981" s="79">
        <v>5.0</v>
      </c>
      <c r="K981" s="80">
        <v>2.0</v>
      </c>
      <c r="L981" s="77">
        <v>-10.0</v>
      </c>
      <c r="M981" s="84"/>
      <c r="N981" s="33">
        <f t="shared" si="155"/>
        <v>10</v>
      </c>
      <c r="O981" s="50">
        <v>-159.0</v>
      </c>
      <c r="P981" s="34">
        <f t="shared" si="14"/>
        <v>-79.5</v>
      </c>
      <c r="Q981" s="60"/>
      <c r="R981" s="36">
        <f t="shared" si="156"/>
        <v>0</v>
      </c>
      <c r="S981" s="78">
        <v>-2.0</v>
      </c>
      <c r="T981" s="37">
        <f t="shared" si="157"/>
        <v>-2</v>
      </c>
      <c r="U981" s="62">
        <v>1.0</v>
      </c>
      <c r="V981" s="63"/>
      <c r="W981" s="63"/>
      <c r="X981" s="83">
        <v>0.3</v>
      </c>
      <c r="Y981" s="35">
        <f t="shared" si="163"/>
        <v>0</v>
      </c>
      <c r="Z981" s="40">
        <f t="shared" si="159"/>
        <v>-1</v>
      </c>
      <c r="AA981" s="65">
        <v>-1.0</v>
      </c>
      <c r="AB981" s="41">
        <f t="shared" si="161"/>
        <v>0</v>
      </c>
      <c r="AC981" s="42" t="b">
        <v>1</v>
      </c>
      <c r="AD981" s="42" t="s">
        <v>138</v>
      </c>
      <c r="AE981" s="42" t="s">
        <v>138</v>
      </c>
      <c r="AF981" s="42" t="str">
        <f t="array" ref="AF981">INDEX('Deal Info'!D:D, MATCH(A981,'Deal Info'!A:A, 0))</f>
        <v>SF</v>
      </c>
      <c r="AG981" s="43" t="str">
        <f t="array" ref="AG981">INDEX('Deal Info'!G:G, MATCH(A981,'Deal Info'!A:A, 0))</f>
        <v>None</v>
      </c>
    </row>
    <row r="982" hidden="1">
      <c r="A982" s="23" t="str">
        <f t="array" ref="A982">if(G982='Room Info'!$B$1, INDEX('Room Info'!$A$2:$A3446, MATCH(B982,'Room Info'!$B$2:$B3446, 0)),if(G982='Room Info'!$C$1, INDEX('Room Info'!$A$2:$A3446, MATCH(B982,'Room Info'!$C$2:$C3446, 0)),if(G982='Room Info'!$D$1, INDEX('Room Info'!$A$2:$A3446, MATCH(B982,'Room Info'!$D$2:$D3446, 0)),if(G982='Room Info'!$E$1, INDEX('Room Info'!$A$2:$A3446, MATCH(B982,'Room Info'!$E$2:$E3446, 0)),if(G982='Room Info'!$F$1, INDEX('Room Info'!$A$2:$A3446, MATCH(B982,'Room Info'!$F$2:$F3446, 0)),if(G982='Room Info'!$H$1, INDEX('Room Info'!$A$2:$A3446, MATCH(B982,'Room Info'!$H$2:$H3446, 0)),if(G982='Room Info'!$G$1, INDEX('Room Info'!$A$2:$A3446, MATCH(B982,'Room Info'!$G$2:$G3446, 0)))))))))</f>
        <v>Mexanuk_AV</v>
      </c>
      <c r="B982" s="59" t="s">
        <v>160</v>
      </c>
      <c r="C982" s="51">
        <v>44429.0</v>
      </c>
      <c r="D982" s="51">
        <v>44459.0</v>
      </c>
      <c r="E982" s="52">
        <v>44440.0</v>
      </c>
      <c r="F982" s="50" t="s">
        <v>4</v>
      </c>
      <c r="G982" s="59" t="s">
        <v>5</v>
      </c>
      <c r="H982" s="54" t="s">
        <v>45</v>
      </c>
      <c r="I982" s="54" t="s">
        <v>7</v>
      </c>
      <c r="J982" s="79">
        <v>10.0</v>
      </c>
      <c r="K982" s="80">
        <v>1549.0</v>
      </c>
      <c r="L982" s="77">
        <v>-480.0</v>
      </c>
      <c r="M982" s="58">
        <v>211.0</v>
      </c>
      <c r="N982" s="33">
        <f t="shared" si="155"/>
        <v>15490</v>
      </c>
      <c r="O982" s="50">
        <v>41218.0</v>
      </c>
      <c r="P982" s="34">
        <f t="shared" si="14"/>
        <v>26.60942544</v>
      </c>
      <c r="Q982" s="60"/>
      <c r="R982" s="36">
        <f t="shared" si="156"/>
        <v>211</v>
      </c>
      <c r="S982" s="78">
        <v>-423.0</v>
      </c>
      <c r="T982" s="37">
        <f t="shared" si="157"/>
        <v>-212</v>
      </c>
      <c r="U982" s="62">
        <v>1.0</v>
      </c>
      <c r="V982" s="63"/>
      <c r="W982" s="63"/>
      <c r="X982" s="83">
        <v>0.3</v>
      </c>
      <c r="Y982" s="35">
        <f t="shared" si="163"/>
        <v>0</v>
      </c>
      <c r="Z982" s="40">
        <f t="shared" si="159"/>
        <v>-148</v>
      </c>
      <c r="AA982" s="65">
        <v>-64.0</v>
      </c>
      <c r="AB982" s="41">
        <f t="shared" si="161"/>
        <v>0</v>
      </c>
      <c r="AC982" s="42" t="b">
        <v>1</v>
      </c>
      <c r="AD982" s="42" t="s">
        <v>138</v>
      </c>
      <c r="AE982" s="42" t="s">
        <v>138</v>
      </c>
      <c r="AF982" s="42" t="str">
        <f t="array" ref="AF982">INDEX('Deal Info'!D:D, MATCH(A982,'Deal Info'!A:A, 0))</f>
        <v>SF</v>
      </c>
      <c r="AG982" s="43" t="str">
        <f t="array" ref="AG982">INDEX('Deal Info'!G:G, MATCH(A982,'Deal Info'!A:A, 0))</f>
        <v>None</v>
      </c>
    </row>
    <row r="983" hidden="1">
      <c r="A983" s="23" t="str">
        <f t="array" ref="A983">if(G983='Room Info'!$B$1, INDEX('Room Info'!$A$2:$A3446, MATCH(B983,'Room Info'!$B$2:$B3446, 0)),if(G983='Room Info'!$C$1, INDEX('Room Info'!$A$2:$A3446, MATCH(B983,'Room Info'!$C$2:$C3446, 0)),if(G983='Room Info'!$D$1, INDEX('Room Info'!$A$2:$A3446, MATCH(B983,'Room Info'!$D$2:$D3446, 0)),if(G983='Room Info'!$E$1, INDEX('Room Info'!$A$2:$A3446, MATCH(B983,'Room Info'!$E$2:$E3446, 0)),if(G983='Room Info'!$F$1, INDEX('Room Info'!$A$2:$A3446, MATCH(B983,'Room Info'!$F$2:$F3446, 0)),if(G983='Room Info'!$H$1, INDEX('Room Info'!$A$2:$A3446, MATCH(B983,'Room Info'!$H$2:$H3446, 0)),if(G983='Room Info'!$G$1, INDEX('Room Info'!$A$2:$A3446, MATCH(B983,'Room Info'!$G$2:$G3446, 0)))))))))</f>
        <v>Mexanuk_AV</v>
      </c>
      <c r="B983" s="59" t="s">
        <v>160</v>
      </c>
      <c r="C983" s="51">
        <v>44460.0</v>
      </c>
      <c r="D983" s="51">
        <v>44489.0</v>
      </c>
      <c r="E983" s="52">
        <v>44470.0</v>
      </c>
      <c r="F983" s="50" t="s">
        <v>4</v>
      </c>
      <c r="G983" s="59" t="s">
        <v>5</v>
      </c>
      <c r="H983" s="54" t="s">
        <v>45</v>
      </c>
      <c r="I983" s="54" t="s">
        <v>7</v>
      </c>
      <c r="J983" s="79">
        <v>10.0</v>
      </c>
      <c r="K983" s="80">
        <v>1973.0</v>
      </c>
      <c r="L983" s="77">
        <v>420.0</v>
      </c>
      <c r="M983" s="58">
        <v>113.0</v>
      </c>
      <c r="N983" s="33">
        <f t="shared" si="155"/>
        <v>19730</v>
      </c>
      <c r="O983" s="50">
        <v>98631.0</v>
      </c>
      <c r="P983" s="34">
        <f t="shared" si="14"/>
        <v>49.99036999</v>
      </c>
      <c r="Q983" s="60"/>
      <c r="R983" s="36">
        <f t="shared" si="156"/>
        <v>113</v>
      </c>
      <c r="S983" s="78">
        <v>321.0</v>
      </c>
      <c r="T983" s="37">
        <f t="shared" si="157"/>
        <v>434</v>
      </c>
      <c r="U983" s="62">
        <v>1.0</v>
      </c>
      <c r="V983" s="63"/>
      <c r="W983" s="63"/>
      <c r="X983" s="83">
        <v>0.25</v>
      </c>
      <c r="Y983" s="35">
        <f t="shared" si="163"/>
        <v>0</v>
      </c>
      <c r="Z983" s="40">
        <f t="shared" si="159"/>
        <v>304</v>
      </c>
      <c r="AA983" s="65">
        <v>130.0</v>
      </c>
      <c r="AB983" s="41">
        <f t="shared" si="161"/>
        <v>0</v>
      </c>
      <c r="AC983" s="42" t="b">
        <v>1</v>
      </c>
      <c r="AD983" s="42" t="s">
        <v>138</v>
      </c>
      <c r="AE983" s="42" t="s">
        <v>138</v>
      </c>
      <c r="AF983" s="42" t="str">
        <f t="array" ref="AF983">INDEX('Deal Info'!D:D, MATCH(A983,'Deal Info'!A:A, 0))</f>
        <v>SF</v>
      </c>
      <c r="AG983" s="43" t="str">
        <f t="array" ref="AG983">INDEX('Deal Info'!G:G, MATCH(A983,'Deal Info'!A:A, 0))</f>
        <v>None</v>
      </c>
    </row>
    <row r="984" hidden="1">
      <c r="A984" s="23" t="str">
        <f t="array" ref="A984">if(G984='Room Info'!$B$1, INDEX('Room Info'!$A$2:$A3446, MATCH(B984,'Room Info'!$B$2:$B3446, 0)),if(G984='Room Info'!$C$1, INDEX('Room Info'!$A$2:$A3446, MATCH(B984,'Room Info'!$C$2:$C3446, 0)),if(G984='Room Info'!$D$1, INDEX('Room Info'!$A$2:$A3446, MATCH(B984,'Room Info'!$D$2:$D3446, 0)),if(G984='Room Info'!$E$1, INDEX('Room Info'!$A$2:$A3446, MATCH(B984,'Room Info'!$E$2:$E3446, 0)),if(G984='Room Info'!$F$1, INDEX('Room Info'!$A$2:$A3446, MATCH(B984,'Room Info'!$F$2:$F3446, 0)),if(G984='Room Info'!$H$1, INDEX('Room Info'!$A$2:$A3446, MATCH(B984,'Room Info'!$H$2:$H3446, 0)),if(G984='Room Info'!$G$1, INDEX('Room Info'!$A$2:$A3446, MATCH(B984,'Room Info'!$G$2:$G3446, 0)))))))))</f>
        <v>Mexanuk_AV</v>
      </c>
      <c r="B984" s="50" t="s">
        <v>160</v>
      </c>
      <c r="C984" s="51">
        <v>44490.0</v>
      </c>
      <c r="D984" s="51">
        <v>44520.0</v>
      </c>
      <c r="E984" s="52">
        <v>44501.0</v>
      </c>
      <c r="F984" s="53" t="s">
        <v>4</v>
      </c>
      <c r="G984" s="59" t="s">
        <v>5</v>
      </c>
      <c r="H984" s="54" t="s">
        <v>35</v>
      </c>
      <c r="I984" s="54" t="s">
        <v>7</v>
      </c>
      <c r="J984" s="55">
        <v>5.0</v>
      </c>
      <c r="K984" s="56">
        <v>5.0</v>
      </c>
      <c r="L984" s="57">
        <v>-5.0</v>
      </c>
      <c r="M984" s="58">
        <v>2.0</v>
      </c>
      <c r="N984" s="33">
        <f t="shared" si="155"/>
        <v>25</v>
      </c>
      <c r="O984" s="59">
        <v>839.0</v>
      </c>
      <c r="P984" s="34">
        <f t="shared" si="14"/>
        <v>167.8</v>
      </c>
      <c r="Q984" s="60"/>
      <c r="R984" s="36">
        <f t="shared" si="156"/>
        <v>2</v>
      </c>
      <c r="S984" s="61">
        <v>5.0</v>
      </c>
      <c r="T984" s="37">
        <f t="shared" si="157"/>
        <v>7</v>
      </c>
      <c r="U984" s="62">
        <v>1.0</v>
      </c>
      <c r="V984" s="63"/>
      <c r="W984" s="63"/>
      <c r="X984" s="83">
        <v>0.25</v>
      </c>
      <c r="Y984" s="35">
        <f t="shared" si="163"/>
        <v>0</v>
      </c>
      <c r="Z984" s="40">
        <f t="shared" si="159"/>
        <v>5</v>
      </c>
      <c r="AA984" s="65">
        <v>2.0</v>
      </c>
      <c r="AB984" s="41">
        <f t="shared" si="161"/>
        <v>0</v>
      </c>
      <c r="AC984" s="42" t="b">
        <v>1</v>
      </c>
      <c r="AD984" s="42" t="s">
        <v>138</v>
      </c>
      <c r="AE984" s="42" t="s">
        <v>138</v>
      </c>
      <c r="AF984" s="42" t="str">
        <f t="array" ref="AF984">INDEX('Deal Info'!D:D, MATCH(A984,'Deal Info'!A:A, 0))</f>
        <v>SF</v>
      </c>
      <c r="AG984" s="43" t="str">
        <f t="array" ref="AG984">INDEX('Deal Info'!G:G, MATCH(A984,'Deal Info'!A:A, 0))</f>
        <v>None</v>
      </c>
    </row>
    <row r="985" hidden="1">
      <c r="A985" s="23" t="str">
        <f t="array" ref="A985">if(G985='Room Info'!$B$1, INDEX('Room Info'!$A$2:$A3446, MATCH(B985,'Room Info'!$B$2:$B3446, 0)),if(G985='Room Info'!$C$1, INDEX('Room Info'!$A$2:$A3446, MATCH(B985,'Room Info'!$C$2:$C3446, 0)),if(G985='Room Info'!$D$1, INDEX('Room Info'!$A$2:$A3446, MATCH(B985,'Room Info'!$D$2:$D3446, 0)),if(G985='Room Info'!$E$1, INDEX('Room Info'!$A$2:$A3446, MATCH(B985,'Room Info'!$E$2:$E3446, 0)),if(G985='Room Info'!$F$1, INDEX('Room Info'!$A$2:$A3446, MATCH(B985,'Room Info'!$F$2:$F3446, 0)),if(G985='Room Info'!$H$1, INDEX('Room Info'!$A$2:$A3446, MATCH(B985,'Room Info'!$H$2:$H3446, 0)),if(G985='Room Info'!$G$1, INDEX('Room Info'!$A$2:$A3446, MATCH(B985,'Room Info'!$G$2:$G3446, 0)))))))))</f>
        <v>Mexanuk_AV</v>
      </c>
      <c r="B985" s="50" t="s">
        <v>160</v>
      </c>
      <c r="C985" s="51">
        <v>44490.0</v>
      </c>
      <c r="D985" s="51">
        <v>44520.0</v>
      </c>
      <c r="E985" s="52">
        <v>44501.0</v>
      </c>
      <c r="F985" s="53" t="s">
        <v>4</v>
      </c>
      <c r="G985" s="59" t="s">
        <v>5</v>
      </c>
      <c r="H985" s="54" t="s">
        <v>45</v>
      </c>
      <c r="I985" s="54" t="s">
        <v>7</v>
      </c>
      <c r="J985" s="55">
        <v>10.0</v>
      </c>
      <c r="K985" s="56">
        <v>1853.0</v>
      </c>
      <c r="L985" s="57">
        <v>-1390.0</v>
      </c>
      <c r="M985" s="58">
        <v>1353.0</v>
      </c>
      <c r="N985" s="33">
        <f t="shared" si="155"/>
        <v>18530</v>
      </c>
      <c r="O985" s="59">
        <v>55305.0</v>
      </c>
      <c r="P985" s="34">
        <f t="shared" si="14"/>
        <v>29.84619536</v>
      </c>
      <c r="Q985" s="60"/>
      <c r="R985" s="36">
        <f t="shared" si="156"/>
        <v>1353</v>
      </c>
      <c r="S985" s="61">
        <v>-344.0</v>
      </c>
      <c r="T985" s="37">
        <f t="shared" si="157"/>
        <v>1009</v>
      </c>
      <c r="U985" s="62">
        <v>1.0</v>
      </c>
      <c r="V985" s="63"/>
      <c r="W985" s="63"/>
      <c r="X985" s="83">
        <v>0.3</v>
      </c>
      <c r="Y985" s="35">
        <f t="shared" si="163"/>
        <v>0</v>
      </c>
      <c r="Z985" s="40">
        <f t="shared" si="159"/>
        <v>757</v>
      </c>
      <c r="AA985" s="65">
        <v>252.0</v>
      </c>
      <c r="AB985" s="41">
        <f t="shared" si="161"/>
        <v>0</v>
      </c>
      <c r="AC985" s="42" t="b">
        <v>1</v>
      </c>
      <c r="AD985" s="42" t="s">
        <v>138</v>
      </c>
      <c r="AE985" s="42" t="s">
        <v>138</v>
      </c>
      <c r="AF985" s="42" t="str">
        <f t="array" ref="AF985">INDEX('Deal Info'!D:D, MATCH(A985,'Deal Info'!A:A, 0))</f>
        <v>SF</v>
      </c>
      <c r="AG985" s="43" t="str">
        <f t="array" ref="AG985">INDEX('Deal Info'!G:G, MATCH(A985,'Deal Info'!A:A, 0))</f>
        <v>None</v>
      </c>
    </row>
    <row r="986" hidden="1">
      <c r="A986" s="23" t="str">
        <f t="array" ref="A986">if(G986='Room Info'!$B$1, INDEX('Room Info'!$A$2:$A3446, MATCH(B986,'Room Info'!$B$2:$B3446, 0)),if(G986='Room Info'!$C$1, INDEX('Room Info'!$A$2:$A3446, MATCH(B986,'Room Info'!$C$2:$C3446, 0)),if(G986='Room Info'!$D$1, INDEX('Room Info'!$A$2:$A3446, MATCH(B986,'Room Info'!$D$2:$D3446, 0)),if(G986='Room Info'!$E$1, INDEX('Room Info'!$A$2:$A3446, MATCH(B986,'Room Info'!$E$2:$E3446, 0)),if(G986='Room Info'!$F$1, INDEX('Room Info'!$A$2:$A3446, MATCH(B986,'Room Info'!$F$2:$F3446, 0)),if(G986='Room Info'!$H$1, INDEX('Room Info'!$A$2:$A3446, MATCH(B986,'Room Info'!$H$2:$H3446, 0)),if(G986='Room Info'!$G$1, INDEX('Room Info'!$A$2:$A3446, MATCH(B986,'Room Info'!$G$2:$G3446, 0)))))))))</f>
        <v>Mexanuk_AV</v>
      </c>
      <c r="B986" s="50" t="s">
        <v>160</v>
      </c>
      <c r="C986" s="51">
        <v>44521.0</v>
      </c>
      <c r="D986" s="51">
        <v>44550.0</v>
      </c>
      <c r="E986" s="52">
        <v>44531.0</v>
      </c>
      <c r="F986" s="53" t="s">
        <v>4</v>
      </c>
      <c r="G986" s="59" t="s">
        <v>5</v>
      </c>
      <c r="H986" s="54" t="s">
        <v>35</v>
      </c>
      <c r="I986" s="54" t="s">
        <v>7</v>
      </c>
      <c r="J986" s="55">
        <v>5.0</v>
      </c>
      <c r="K986" s="56">
        <v>1.0</v>
      </c>
      <c r="L986" s="119">
        <v>10.0</v>
      </c>
      <c r="M986" s="67"/>
      <c r="N986" s="33">
        <f t="shared" si="155"/>
        <v>5</v>
      </c>
      <c r="O986" s="120">
        <v>159.0</v>
      </c>
      <c r="P986" s="34">
        <f t="shared" si="14"/>
        <v>159</v>
      </c>
      <c r="Q986" s="60"/>
      <c r="R986" s="36">
        <f t="shared" si="156"/>
        <v>0</v>
      </c>
      <c r="S986" s="121">
        <v>-5.0</v>
      </c>
      <c r="T986" s="37">
        <f t="shared" si="157"/>
        <v>-5</v>
      </c>
      <c r="U986" s="62">
        <v>1.0</v>
      </c>
      <c r="V986" s="63"/>
      <c r="W986" s="63"/>
      <c r="X986" s="83">
        <v>0.3</v>
      </c>
      <c r="Y986" s="35">
        <f t="shared" si="163"/>
        <v>0</v>
      </c>
      <c r="Z986" s="40">
        <f t="shared" si="159"/>
        <v>-3</v>
      </c>
      <c r="AA986" s="65">
        <v>-2.0</v>
      </c>
      <c r="AB986" s="41">
        <f t="shared" si="161"/>
        <v>0</v>
      </c>
      <c r="AC986" s="42" t="b">
        <v>1</v>
      </c>
      <c r="AD986" s="42" t="s">
        <v>138</v>
      </c>
      <c r="AE986" s="42" t="s">
        <v>138</v>
      </c>
      <c r="AF986" s="42" t="str">
        <f t="array" ref="AF986">INDEX('Deal Info'!D:D, MATCH(A986,'Deal Info'!A:A, 0))</f>
        <v>SF</v>
      </c>
      <c r="AG986" s="43" t="str">
        <f t="array" ref="AG986">INDEX('Deal Info'!G:G, MATCH(A986,'Deal Info'!A:A, 0))</f>
        <v>None</v>
      </c>
    </row>
    <row r="987" hidden="1">
      <c r="A987" s="23" t="str">
        <f t="array" ref="A987">if(G987='Room Info'!$B$1, INDEX('Room Info'!$A$2:$A3446, MATCH(B987,'Room Info'!$B$2:$B3446, 0)),if(G987='Room Info'!$C$1, INDEX('Room Info'!$A$2:$A3446, MATCH(B987,'Room Info'!$C$2:$C3446, 0)),if(G987='Room Info'!$D$1, INDEX('Room Info'!$A$2:$A3446, MATCH(B987,'Room Info'!$D$2:$D3446, 0)),if(G987='Room Info'!$E$1, INDEX('Room Info'!$A$2:$A3446, MATCH(B987,'Room Info'!$E$2:$E3446, 0)),if(G987='Room Info'!$F$1, INDEX('Room Info'!$A$2:$A3446, MATCH(B987,'Room Info'!$F$2:$F3446, 0)),if(G987='Room Info'!$H$1, INDEX('Room Info'!$A$2:$A3446, MATCH(B987,'Room Info'!$H$2:$H3446, 0)),if(G987='Room Info'!$G$1, INDEX('Room Info'!$A$2:$A3446, MATCH(B987,'Room Info'!$G$2:$G3446, 0)))))))))</f>
        <v>Mexanuk_AV</v>
      </c>
      <c r="B987" s="50" t="s">
        <v>160</v>
      </c>
      <c r="C987" s="51">
        <v>44521.0</v>
      </c>
      <c r="D987" s="51">
        <v>44550.0</v>
      </c>
      <c r="E987" s="52">
        <v>44531.0</v>
      </c>
      <c r="F987" s="53" t="s">
        <v>4</v>
      </c>
      <c r="G987" s="59" t="s">
        <v>5</v>
      </c>
      <c r="H987" s="54" t="s">
        <v>45</v>
      </c>
      <c r="I987" s="54" t="s">
        <v>7</v>
      </c>
      <c r="J987" s="55">
        <v>10.0</v>
      </c>
      <c r="K987" s="56">
        <v>2373.0</v>
      </c>
      <c r="L987" s="119">
        <v>-950.0</v>
      </c>
      <c r="M987" s="58">
        <v>350.0</v>
      </c>
      <c r="N987" s="33">
        <f t="shared" si="155"/>
        <v>23730</v>
      </c>
      <c r="O987" s="120">
        <v>69748.0</v>
      </c>
      <c r="P987" s="34">
        <f t="shared" si="14"/>
        <v>29.39233038</v>
      </c>
      <c r="Q987" s="60"/>
      <c r="R987" s="36">
        <f t="shared" si="156"/>
        <v>350</v>
      </c>
      <c r="S987" s="121">
        <v>-476.0</v>
      </c>
      <c r="T987" s="37">
        <f t="shared" si="157"/>
        <v>-126</v>
      </c>
      <c r="U987" s="62">
        <v>1.0</v>
      </c>
      <c r="V987" s="63"/>
      <c r="W987" s="63"/>
      <c r="X987" s="83">
        <v>0.3</v>
      </c>
      <c r="Y987" s="35">
        <f t="shared" si="163"/>
        <v>0</v>
      </c>
      <c r="Z987" s="40">
        <f t="shared" si="159"/>
        <v>-88</v>
      </c>
      <c r="AA987" s="65">
        <v>-38.0</v>
      </c>
      <c r="AB987" s="41">
        <f t="shared" si="161"/>
        <v>0</v>
      </c>
      <c r="AC987" s="42" t="b">
        <v>1</v>
      </c>
      <c r="AD987" s="42" t="s">
        <v>138</v>
      </c>
      <c r="AE987" s="42" t="s">
        <v>138</v>
      </c>
      <c r="AF987" s="42" t="str">
        <f t="array" ref="AF987">INDEX('Deal Info'!D:D, MATCH(A987,'Deal Info'!A:A, 0))</f>
        <v>SF</v>
      </c>
      <c r="AG987" s="43" t="str">
        <f t="array" ref="AG987">INDEX('Deal Info'!G:G, MATCH(A987,'Deal Info'!A:A, 0))</f>
        <v>None</v>
      </c>
    </row>
    <row r="988" hidden="1">
      <c r="A988" s="23" t="str">
        <f t="array" ref="A988">if(G988='Room Info'!$B$1, INDEX('Room Info'!$A$2:$A3446, MATCH(B988,'Room Info'!$B$2:$B3446, 0)),if(G988='Room Info'!$C$1, INDEX('Room Info'!$A$2:$A3446, MATCH(B988,'Room Info'!$C$2:$C3446, 0)),if(G988='Room Info'!$D$1, INDEX('Room Info'!$A$2:$A3446, MATCH(B988,'Room Info'!$D$2:$D3446, 0)),if(G988='Room Info'!$E$1, INDEX('Room Info'!$A$2:$A3446, MATCH(B988,'Room Info'!$E$2:$E3446, 0)),if(G988='Room Info'!$F$1, INDEX('Room Info'!$A$2:$A3446, MATCH(B988,'Room Info'!$F$2:$F3446, 0)),if(G988='Room Info'!$H$1, INDEX('Room Info'!$A$2:$A3446, MATCH(B988,'Room Info'!$H$2:$H3446, 0)),if(G988='Room Info'!$G$1, INDEX('Room Info'!$A$2:$A3446, MATCH(B988,'Room Info'!$G$2:$G3446, 0)))))))))</f>
        <v>Mexanuk_AV</v>
      </c>
      <c r="B988" s="50" t="s">
        <v>160</v>
      </c>
      <c r="C988" s="51">
        <v>44551.0</v>
      </c>
      <c r="D988" s="51">
        <v>44581.0</v>
      </c>
      <c r="E988" s="52">
        <v>44562.0</v>
      </c>
      <c r="F988" s="53" t="s">
        <v>4</v>
      </c>
      <c r="G988" s="59" t="s">
        <v>5</v>
      </c>
      <c r="H988" s="54" t="s">
        <v>45</v>
      </c>
      <c r="I988" s="54" t="s">
        <v>7</v>
      </c>
      <c r="J988" s="55">
        <v>10.0</v>
      </c>
      <c r="K988" s="56">
        <v>2789.0</v>
      </c>
      <c r="L988" s="57">
        <v>-1040.0</v>
      </c>
      <c r="M988" s="58">
        <v>1425.0</v>
      </c>
      <c r="N988" s="33">
        <f t="shared" si="155"/>
        <v>27890</v>
      </c>
      <c r="O988" s="59">
        <v>72965.0</v>
      </c>
      <c r="P988" s="34">
        <f t="shared" si="14"/>
        <v>26.1617067</v>
      </c>
      <c r="Q988" s="60"/>
      <c r="R988" s="36">
        <f t="shared" si="156"/>
        <v>1425</v>
      </c>
      <c r="S988" s="61">
        <v>-744.0</v>
      </c>
      <c r="T988" s="37">
        <f t="shared" si="157"/>
        <v>681</v>
      </c>
      <c r="U988" s="62">
        <v>1.0</v>
      </c>
      <c r="V988" s="63"/>
      <c r="W988" s="63"/>
      <c r="X988" s="83">
        <v>0.25</v>
      </c>
      <c r="Y988" s="35">
        <f t="shared" si="163"/>
        <v>0</v>
      </c>
      <c r="Z988" s="40">
        <f t="shared" si="159"/>
        <v>477</v>
      </c>
      <c r="AA988" s="65">
        <v>204.0</v>
      </c>
      <c r="AB988" s="41">
        <f t="shared" si="161"/>
        <v>0</v>
      </c>
      <c r="AC988" s="42" t="b">
        <v>1</v>
      </c>
      <c r="AD988" s="42" t="s">
        <v>138</v>
      </c>
      <c r="AE988" s="42" t="s">
        <v>138</v>
      </c>
      <c r="AF988" s="42" t="str">
        <f t="array" ref="AF988">INDEX('Deal Info'!D:D, MATCH(A988,'Deal Info'!A:A, 0))</f>
        <v>SF</v>
      </c>
      <c r="AG988" s="43" t="str">
        <f t="array" ref="AG988">INDEX('Deal Info'!G:G, MATCH(A988,'Deal Info'!A:A, 0))</f>
        <v>None</v>
      </c>
    </row>
    <row r="989" hidden="1">
      <c r="A989" s="23" t="str">
        <f t="array" ref="A989">if(G989='Room Info'!$B$1, INDEX('Room Info'!$A$2:$A3446, MATCH(B989,'Room Info'!$B$2:$B3446, 0)),if(G989='Room Info'!$C$1, INDEX('Room Info'!$A$2:$A3446, MATCH(B989,'Room Info'!$C$2:$C3446, 0)),if(G989='Room Info'!$D$1, INDEX('Room Info'!$A$2:$A3446, MATCH(B989,'Room Info'!$D$2:$D3446, 0)),if(G989='Room Info'!$E$1, INDEX('Room Info'!$A$2:$A3446, MATCH(B989,'Room Info'!$E$2:$E3446, 0)),if(G989='Room Info'!$F$1, INDEX('Room Info'!$A$2:$A3446, MATCH(B989,'Room Info'!$F$2:$F3446, 0)),if(G989='Room Info'!$H$1, INDEX('Room Info'!$A$2:$A3446, MATCH(B989,'Room Info'!$H$2:$H3446, 0)),if(G989='Room Info'!$G$1, INDEX('Room Info'!$A$2:$A3446, MATCH(B989,'Room Info'!$G$2:$G3446, 0)))))))))</f>
        <v>Mexanuk_AV</v>
      </c>
      <c r="B989" s="50" t="s">
        <v>160</v>
      </c>
      <c r="C989" s="82">
        <v>44582.0</v>
      </c>
      <c r="D989" s="82">
        <v>44612.0</v>
      </c>
      <c r="E989" s="52">
        <v>44593.0</v>
      </c>
      <c r="F989" s="53" t="s">
        <v>4</v>
      </c>
      <c r="G989" s="50" t="s">
        <v>5</v>
      </c>
      <c r="H989" s="54" t="s">
        <v>45</v>
      </c>
      <c r="I989" s="54" t="s">
        <v>7</v>
      </c>
      <c r="J989" s="79">
        <v>10.0</v>
      </c>
      <c r="K989" s="80">
        <v>1016.0</v>
      </c>
      <c r="L989" s="77">
        <v>210.0</v>
      </c>
      <c r="M989" s="81">
        <v>1216.0</v>
      </c>
      <c r="N989" s="33">
        <f t="shared" si="155"/>
        <v>10160</v>
      </c>
      <c r="O989" s="50">
        <v>20037.0</v>
      </c>
      <c r="P989" s="34">
        <f t="shared" si="14"/>
        <v>19.72145669</v>
      </c>
      <c r="Q989" s="60"/>
      <c r="R989" s="36">
        <f t="shared" si="156"/>
        <v>1216</v>
      </c>
      <c r="S989" s="78">
        <v>-332.0</v>
      </c>
      <c r="T989" s="37">
        <f t="shared" si="157"/>
        <v>884</v>
      </c>
      <c r="U989" s="62">
        <v>1.0</v>
      </c>
      <c r="V989" s="63"/>
      <c r="W989" s="63"/>
      <c r="X989" s="83">
        <v>0.3</v>
      </c>
      <c r="Y989" s="35">
        <f t="shared" si="163"/>
        <v>0</v>
      </c>
      <c r="Z989" s="40">
        <f t="shared" si="159"/>
        <v>663</v>
      </c>
      <c r="AA989" s="65">
        <v>221.0</v>
      </c>
      <c r="AB989" s="41">
        <f t="shared" si="161"/>
        <v>0</v>
      </c>
      <c r="AC989" s="42" t="b">
        <v>1</v>
      </c>
      <c r="AD989" s="42" t="s">
        <v>138</v>
      </c>
      <c r="AE989" s="42" t="s">
        <v>138</v>
      </c>
      <c r="AF989" s="42" t="str">
        <f t="array" ref="AF989">INDEX('Deal Info'!D:D, MATCH(A989,'Deal Info'!A:A, 0))</f>
        <v>SF</v>
      </c>
      <c r="AG989" s="43" t="str">
        <f t="array" ref="AG989">INDEX('Deal Info'!G:G, MATCH(A989,'Deal Info'!A:A, 0))</f>
        <v>None</v>
      </c>
    </row>
    <row r="990" hidden="1">
      <c r="A990" s="23" t="str">
        <f t="array" ref="A990">if(G990='Room Info'!$B$1, INDEX('Room Info'!$A$2:$A3446, MATCH(B990,'Room Info'!$B$2:$B3446, 0)),if(G990='Room Info'!$C$1, INDEX('Room Info'!$A$2:$A3446, MATCH(B990,'Room Info'!$C$2:$C3446, 0)),if(G990='Room Info'!$D$1, INDEX('Room Info'!$A$2:$A3446, MATCH(B990,'Room Info'!$D$2:$D3446, 0)),if(G990='Room Info'!$E$1, INDEX('Room Info'!$A$2:$A3446, MATCH(B990,'Room Info'!$E$2:$E3446, 0)),if(G990='Room Info'!$F$1, INDEX('Room Info'!$A$2:$A3446, MATCH(B990,'Room Info'!$F$2:$F3446, 0)),if(G990='Room Info'!$H$1, INDEX('Room Info'!$A$2:$A3446, MATCH(B990,'Room Info'!$H$2:$H3446, 0)),if(G990='Room Info'!$G$1, INDEX('Room Info'!$A$2:$A3446, MATCH(B990,'Room Info'!$G$2:$G3446, 0)))))))))</f>
        <v>Mexanuk_AV</v>
      </c>
      <c r="B990" s="50" t="s">
        <v>160</v>
      </c>
      <c r="C990" s="51">
        <v>44613.0</v>
      </c>
      <c r="D990" s="51">
        <v>44640.0</v>
      </c>
      <c r="E990" s="52">
        <v>44621.0</v>
      </c>
      <c r="F990" s="53" t="s">
        <v>4</v>
      </c>
      <c r="G990" s="59" t="s">
        <v>5</v>
      </c>
      <c r="H990" s="54" t="s">
        <v>35</v>
      </c>
      <c r="I990" s="54" t="s">
        <v>7</v>
      </c>
      <c r="J990" s="55">
        <v>5.0</v>
      </c>
      <c r="K990" s="56">
        <v>162.0</v>
      </c>
      <c r="L990" s="57">
        <v>-125.0</v>
      </c>
      <c r="M990" s="58">
        <v>11.0</v>
      </c>
      <c r="N990" s="33">
        <f t="shared" si="155"/>
        <v>810</v>
      </c>
      <c r="O990" s="59">
        <v>2702.0</v>
      </c>
      <c r="P990" s="34">
        <f t="shared" si="14"/>
        <v>16.67901235</v>
      </c>
      <c r="Q990" s="60"/>
      <c r="R990" s="36">
        <f t="shared" si="156"/>
        <v>11</v>
      </c>
      <c r="S990" s="61">
        <v>-51.0</v>
      </c>
      <c r="T990" s="37">
        <f t="shared" si="157"/>
        <v>-40</v>
      </c>
      <c r="U990" s="62">
        <v>1.0</v>
      </c>
      <c r="V990" s="63"/>
      <c r="W990" s="63"/>
      <c r="X990" s="83">
        <v>0.3</v>
      </c>
      <c r="Y990" s="35">
        <f t="shared" si="163"/>
        <v>0</v>
      </c>
      <c r="Z990" s="40">
        <f t="shared" si="159"/>
        <v>-28</v>
      </c>
      <c r="AA990" s="65">
        <v>-12.0</v>
      </c>
      <c r="AB990" s="41">
        <f t="shared" si="161"/>
        <v>0</v>
      </c>
      <c r="AC990" s="42" t="b">
        <v>1</v>
      </c>
      <c r="AD990" s="42" t="s">
        <v>138</v>
      </c>
      <c r="AE990" s="42" t="s">
        <v>138</v>
      </c>
      <c r="AF990" s="42" t="str">
        <f t="array" ref="AF990">INDEX('Deal Info'!D:D, MATCH(A990,'Deal Info'!A:A, 0))</f>
        <v>SF</v>
      </c>
      <c r="AG990" s="43" t="str">
        <f t="array" ref="AG990">INDEX('Deal Info'!G:G, MATCH(A990,'Deal Info'!A:A, 0))</f>
        <v>None</v>
      </c>
    </row>
    <row r="991" hidden="1">
      <c r="A991" s="23" t="str">
        <f t="array" ref="A991">if(G991='Room Info'!$B$1, INDEX('Room Info'!$A$2:$A3446, MATCH(B991,'Room Info'!$B$2:$B3446, 0)),if(G991='Room Info'!$C$1, INDEX('Room Info'!$A$2:$A3446, MATCH(B991,'Room Info'!$C$2:$C3446, 0)),if(G991='Room Info'!$D$1, INDEX('Room Info'!$A$2:$A3446, MATCH(B991,'Room Info'!$D$2:$D3446, 0)),if(G991='Room Info'!$E$1, INDEX('Room Info'!$A$2:$A3446, MATCH(B991,'Room Info'!$E$2:$E3446, 0)),if(G991='Room Info'!$F$1, INDEX('Room Info'!$A$2:$A3446, MATCH(B991,'Room Info'!$F$2:$F3446, 0)),if(G991='Room Info'!$H$1, INDEX('Room Info'!$A$2:$A3446, MATCH(B991,'Room Info'!$H$2:$H3446, 0)),if(G991='Room Info'!$G$1, INDEX('Room Info'!$A$2:$A3446, MATCH(B991,'Room Info'!$G$2:$G3446, 0)))))))))</f>
        <v>Mexanuk_AV</v>
      </c>
      <c r="B991" s="50" t="s">
        <v>160</v>
      </c>
      <c r="C991" s="51">
        <v>44613.0</v>
      </c>
      <c r="D991" s="51">
        <v>44640.0</v>
      </c>
      <c r="E991" s="52">
        <v>44621.0</v>
      </c>
      <c r="F991" s="53" t="s">
        <v>4</v>
      </c>
      <c r="G991" s="59" t="s">
        <v>5</v>
      </c>
      <c r="H991" s="54" t="s">
        <v>45</v>
      </c>
      <c r="I991" s="54" t="s">
        <v>7</v>
      </c>
      <c r="J991" s="55">
        <v>10.0</v>
      </c>
      <c r="K991" s="56">
        <v>2153.0</v>
      </c>
      <c r="L991" s="57">
        <v>70.0</v>
      </c>
      <c r="M991" s="58">
        <v>264.0</v>
      </c>
      <c r="N991" s="33">
        <f t="shared" si="155"/>
        <v>21530</v>
      </c>
      <c r="O991" s="59">
        <v>90754.0</v>
      </c>
      <c r="P991" s="34">
        <f t="shared" si="14"/>
        <v>42.15234556</v>
      </c>
      <c r="Q991" s="60"/>
      <c r="R991" s="36">
        <f t="shared" si="156"/>
        <v>264</v>
      </c>
      <c r="S991" s="61">
        <v>32.0</v>
      </c>
      <c r="T991" s="37">
        <f t="shared" si="157"/>
        <v>296</v>
      </c>
      <c r="U991" s="62">
        <v>1.0</v>
      </c>
      <c r="V991" s="63"/>
      <c r="W991" s="63"/>
      <c r="X991" s="83">
        <v>0.3</v>
      </c>
      <c r="Y991" s="35">
        <f t="shared" si="163"/>
        <v>0</v>
      </c>
      <c r="Z991" s="40">
        <f t="shared" si="159"/>
        <v>207</v>
      </c>
      <c r="AA991" s="65">
        <v>89.0</v>
      </c>
      <c r="AB991" s="41">
        <f t="shared" si="161"/>
        <v>0</v>
      </c>
      <c r="AC991" s="42" t="b">
        <v>1</v>
      </c>
      <c r="AD991" s="42" t="s">
        <v>138</v>
      </c>
      <c r="AE991" s="42" t="s">
        <v>138</v>
      </c>
      <c r="AF991" s="42" t="str">
        <f t="array" ref="AF991">INDEX('Deal Info'!D:D, MATCH(A991,'Deal Info'!A:A, 0))</f>
        <v>SF</v>
      </c>
      <c r="AG991" s="43" t="str">
        <f t="array" ref="AG991">INDEX('Deal Info'!G:G, MATCH(A991,'Deal Info'!A:A, 0))</f>
        <v>None</v>
      </c>
    </row>
    <row r="992" hidden="1">
      <c r="A992" s="23" t="str">
        <f t="array" ref="A992">if(G992='Room Info'!$B$1, INDEX('Room Info'!$A$2:$A3446, MATCH(B992,'Room Info'!$B$2:$B3446, 0)),if(G992='Room Info'!$C$1, INDEX('Room Info'!$A$2:$A3446, MATCH(B992,'Room Info'!$C$2:$C3446, 0)),if(G992='Room Info'!$D$1, INDEX('Room Info'!$A$2:$A3446, MATCH(B992,'Room Info'!$D$2:$D3446, 0)),if(G992='Room Info'!$E$1, INDEX('Room Info'!$A$2:$A3446, MATCH(B992,'Room Info'!$E$2:$E3446, 0)),if(G992='Room Info'!$F$1, INDEX('Room Info'!$A$2:$A3446, MATCH(B992,'Room Info'!$F$2:$F3446, 0)),if(G992='Room Info'!$H$1, INDEX('Room Info'!$A$2:$A3446, MATCH(B992,'Room Info'!$H$2:$H3446, 0)),if(G992='Room Info'!$G$1, INDEX('Room Info'!$A$2:$A3446, MATCH(B992,'Room Info'!$G$2:$G3446, 0)))))))))</f>
        <v>Mexanuk_AV</v>
      </c>
      <c r="B992" s="50" t="s">
        <v>160</v>
      </c>
      <c r="C992" s="51">
        <v>44641.0</v>
      </c>
      <c r="D992" s="51">
        <v>44671.0</v>
      </c>
      <c r="E992" s="52">
        <v>44652.0</v>
      </c>
      <c r="F992" s="53" t="s">
        <v>4</v>
      </c>
      <c r="G992" s="59" t="s">
        <v>5</v>
      </c>
      <c r="H992" s="54" t="s">
        <v>35</v>
      </c>
      <c r="I992" s="54" t="s">
        <v>7</v>
      </c>
      <c r="J992" s="55">
        <v>5.0</v>
      </c>
      <c r="K992" s="56">
        <v>12.0</v>
      </c>
      <c r="L992" s="57">
        <v>15.0</v>
      </c>
      <c r="M992" s="58">
        <v>3.0</v>
      </c>
      <c r="N992" s="33">
        <f t="shared" si="155"/>
        <v>60</v>
      </c>
      <c r="O992" s="59">
        <v>1356.0</v>
      </c>
      <c r="P992" s="34">
        <f t="shared" si="14"/>
        <v>113</v>
      </c>
      <c r="Q992" s="60"/>
      <c r="R992" s="36">
        <f t="shared" si="156"/>
        <v>3</v>
      </c>
      <c r="S992" s="61">
        <v>7.0</v>
      </c>
      <c r="T992" s="37">
        <f t="shared" si="157"/>
        <v>10</v>
      </c>
      <c r="U992" s="62">
        <v>1.0</v>
      </c>
      <c r="V992" s="63"/>
      <c r="W992" s="63"/>
      <c r="X992" s="83">
        <v>0.3</v>
      </c>
      <c r="Y992" s="35">
        <f t="shared" si="163"/>
        <v>0</v>
      </c>
      <c r="Z992" s="40">
        <f t="shared" si="159"/>
        <v>7</v>
      </c>
      <c r="AA992" s="65">
        <v>3.0</v>
      </c>
      <c r="AB992" s="41">
        <f t="shared" si="161"/>
        <v>0</v>
      </c>
      <c r="AC992" s="42" t="b">
        <v>1</v>
      </c>
      <c r="AD992" s="42" t="s">
        <v>138</v>
      </c>
      <c r="AE992" s="42" t="s">
        <v>138</v>
      </c>
      <c r="AF992" s="42" t="str">
        <f t="array" ref="AF992">INDEX('Deal Info'!D:D, MATCH(A992,'Deal Info'!A:A, 0))</f>
        <v>SF</v>
      </c>
      <c r="AG992" s="43" t="str">
        <f t="array" ref="AG992">INDEX('Deal Info'!G:G, MATCH(A992,'Deal Info'!A:A, 0))</f>
        <v>None</v>
      </c>
    </row>
    <row r="993" hidden="1">
      <c r="A993" s="23" t="str">
        <f t="array" ref="A993">if(G993='Room Info'!$B$1, INDEX('Room Info'!$A$2:$A3446, MATCH(B993,'Room Info'!$B$2:$B3446, 0)),if(G993='Room Info'!$C$1, INDEX('Room Info'!$A$2:$A3446, MATCH(B993,'Room Info'!$C$2:$C3446, 0)),if(G993='Room Info'!$D$1, INDEX('Room Info'!$A$2:$A3446, MATCH(B993,'Room Info'!$D$2:$D3446, 0)),if(G993='Room Info'!$E$1, INDEX('Room Info'!$A$2:$A3446, MATCH(B993,'Room Info'!$E$2:$E3446, 0)),if(G993='Room Info'!$F$1, INDEX('Room Info'!$A$2:$A3446, MATCH(B993,'Room Info'!$F$2:$F3446, 0)),if(G993='Room Info'!$H$1, INDEX('Room Info'!$A$2:$A3446, MATCH(B993,'Room Info'!$H$2:$H3446, 0)),if(G993='Room Info'!$G$1, INDEX('Room Info'!$A$2:$A3446, MATCH(B993,'Room Info'!$G$2:$G3446, 0)))))))))</f>
        <v>Mexanuk_AV</v>
      </c>
      <c r="B993" s="50" t="s">
        <v>160</v>
      </c>
      <c r="C993" s="51">
        <v>44641.0</v>
      </c>
      <c r="D993" s="51">
        <v>44671.0</v>
      </c>
      <c r="E993" s="52">
        <v>44652.0</v>
      </c>
      <c r="F993" s="53" t="s">
        <v>4</v>
      </c>
      <c r="G993" s="50" t="s">
        <v>5</v>
      </c>
      <c r="H993" s="54" t="s">
        <v>45</v>
      </c>
      <c r="I993" s="54" t="s">
        <v>7</v>
      </c>
      <c r="J993" s="55">
        <v>10.0</v>
      </c>
      <c r="K993" s="56">
        <v>3011.0</v>
      </c>
      <c r="L993" s="57">
        <v>-1030.0</v>
      </c>
      <c r="M993" s="58">
        <v>1332.0</v>
      </c>
      <c r="N993" s="33">
        <f t="shared" si="155"/>
        <v>30110</v>
      </c>
      <c r="O993" s="59">
        <v>82416.0</v>
      </c>
      <c r="P993" s="34">
        <f t="shared" si="14"/>
        <v>27.37163733</v>
      </c>
      <c r="Q993" s="60"/>
      <c r="R993" s="36">
        <f t="shared" si="156"/>
        <v>1332</v>
      </c>
      <c r="S993" s="61">
        <v>-619.0</v>
      </c>
      <c r="T993" s="37">
        <f t="shared" si="157"/>
        <v>713</v>
      </c>
      <c r="U993" s="62">
        <v>1.0</v>
      </c>
      <c r="V993" s="63"/>
      <c r="W993" s="63"/>
      <c r="X993" s="83">
        <v>0.25</v>
      </c>
      <c r="Y993" s="35">
        <f t="shared" si="163"/>
        <v>0</v>
      </c>
      <c r="Z993" s="40">
        <f t="shared" si="159"/>
        <v>499</v>
      </c>
      <c r="AA993" s="65">
        <v>214.0</v>
      </c>
      <c r="AB993" s="41">
        <f t="shared" si="161"/>
        <v>0</v>
      </c>
      <c r="AC993" s="42" t="b">
        <v>1</v>
      </c>
      <c r="AD993" s="42" t="s">
        <v>138</v>
      </c>
      <c r="AE993" s="42" t="s">
        <v>138</v>
      </c>
      <c r="AF993" s="42" t="str">
        <f t="array" ref="AF993">INDEX('Deal Info'!D:D, MATCH(A993,'Deal Info'!A:A, 0))</f>
        <v>SF</v>
      </c>
      <c r="AG993" s="43" t="str">
        <f t="array" ref="AG993">INDEX('Deal Info'!G:G, MATCH(A993,'Deal Info'!A:A, 0))</f>
        <v>None</v>
      </c>
    </row>
    <row r="994" hidden="1">
      <c r="A994" s="23" t="str">
        <f t="array" ref="A994">if(G994='Room Info'!$B$1, INDEX('Room Info'!$A$2:$A3446, MATCH(B994,'Room Info'!$B$2:$B3446, 0)),if(G994='Room Info'!$C$1, INDEX('Room Info'!$A$2:$A3446, MATCH(B994,'Room Info'!$C$2:$C3446, 0)),if(G994='Room Info'!$D$1, INDEX('Room Info'!$A$2:$A3446, MATCH(B994,'Room Info'!$D$2:$D3446, 0)),if(G994='Room Info'!$E$1, INDEX('Room Info'!$A$2:$A3446, MATCH(B994,'Room Info'!$E$2:$E3446, 0)),if(G994='Room Info'!$F$1, INDEX('Room Info'!$A$2:$A3446, MATCH(B994,'Room Info'!$F$2:$F3446, 0)),if(G994='Room Info'!$H$1, INDEX('Room Info'!$A$2:$A3446, MATCH(B994,'Room Info'!$H$2:$H3446, 0)),if(G994='Room Info'!$G$1, INDEX('Room Info'!$A$2:$A3446, MATCH(B994,'Room Info'!$G$2:$G3446, 0)))))))))</f>
        <v>Mexanuk_AV</v>
      </c>
      <c r="B994" s="50" t="s">
        <v>160</v>
      </c>
      <c r="C994" s="51">
        <v>44672.0</v>
      </c>
      <c r="D994" s="51">
        <v>44701.0</v>
      </c>
      <c r="E994" s="52">
        <v>44682.0</v>
      </c>
      <c r="F994" s="53" t="s">
        <v>4</v>
      </c>
      <c r="G994" s="50" t="s">
        <v>5</v>
      </c>
      <c r="H994" s="54" t="s">
        <v>45</v>
      </c>
      <c r="I994" s="54" t="s">
        <v>7</v>
      </c>
      <c r="J994" s="55">
        <v>10.0</v>
      </c>
      <c r="K994" s="56">
        <v>2691.0</v>
      </c>
      <c r="L994" s="57">
        <v>-990.0</v>
      </c>
      <c r="M994" s="58">
        <v>1945.0</v>
      </c>
      <c r="N994" s="33">
        <f t="shared" si="155"/>
        <v>26910</v>
      </c>
      <c r="O994" s="59">
        <v>81314.0</v>
      </c>
      <c r="P994" s="34">
        <f t="shared" si="14"/>
        <v>30.2170197</v>
      </c>
      <c r="Q994" s="60"/>
      <c r="R994" s="36">
        <f t="shared" si="156"/>
        <v>1945</v>
      </c>
      <c r="S994" s="61">
        <v>-476.0</v>
      </c>
      <c r="T994" s="37">
        <f t="shared" si="157"/>
        <v>1469</v>
      </c>
      <c r="U994" s="62">
        <v>1.0</v>
      </c>
      <c r="V994" s="63"/>
      <c r="W994" s="63"/>
      <c r="X994" s="83">
        <v>0.25</v>
      </c>
      <c r="Y994" s="35">
        <f t="shared" si="163"/>
        <v>0</v>
      </c>
      <c r="Z994" s="40">
        <f t="shared" si="159"/>
        <v>1102</v>
      </c>
      <c r="AA994" s="65">
        <v>367.0</v>
      </c>
      <c r="AB994" s="41">
        <f t="shared" si="161"/>
        <v>0</v>
      </c>
      <c r="AC994" s="42" t="b">
        <v>1</v>
      </c>
      <c r="AD994" s="42" t="s">
        <v>138</v>
      </c>
      <c r="AE994" s="42" t="s">
        <v>138</v>
      </c>
      <c r="AF994" s="42" t="str">
        <f t="array" ref="AF994">INDEX('Deal Info'!D:D, MATCH(A994,'Deal Info'!A:A, 0))</f>
        <v>SF</v>
      </c>
      <c r="AG994" s="43" t="str">
        <f t="array" ref="AG994">INDEX('Deal Info'!G:G, MATCH(A994,'Deal Info'!A:A, 0))</f>
        <v>None</v>
      </c>
    </row>
    <row r="995" hidden="1">
      <c r="A995" s="23" t="str">
        <f t="array" ref="A995">if(G995='Room Info'!$B$1, INDEX('Room Info'!$A$2:$A3446, MATCH(B995,'Room Info'!$B$2:$B3446, 0)),if(G995='Room Info'!$C$1, INDEX('Room Info'!$A$2:$A3446, MATCH(B995,'Room Info'!$C$2:$C3446, 0)),if(G995='Room Info'!$D$1, INDEX('Room Info'!$A$2:$A3446, MATCH(B995,'Room Info'!$D$2:$D3446, 0)),if(G995='Room Info'!$E$1, INDEX('Room Info'!$A$2:$A3446, MATCH(B995,'Room Info'!$E$2:$E3446, 0)),if(G995='Room Info'!$F$1, INDEX('Room Info'!$A$2:$A3446, MATCH(B995,'Room Info'!$F$2:$F3446, 0)),if(G995='Room Info'!$H$1, INDEX('Room Info'!$A$2:$A3446, MATCH(B995,'Room Info'!$H$2:$H3446, 0)),if(G995='Room Info'!$G$1, INDEX('Room Info'!$A$2:$A3446, MATCH(B995,'Room Info'!$G$2:$G3446, 0)))))))))</f>
        <v>Mexanuk_AV</v>
      </c>
      <c r="B995" s="50" t="s">
        <v>160</v>
      </c>
      <c r="C995" s="51">
        <v>44702.0</v>
      </c>
      <c r="D995" s="51">
        <v>44732.0</v>
      </c>
      <c r="E995" s="52">
        <v>44713.0</v>
      </c>
      <c r="F995" s="53" t="s">
        <v>4</v>
      </c>
      <c r="G995" s="50" t="s">
        <v>5</v>
      </c>
      <c r="H995" s="54" t="s">
        <v>45</v>
      </c>
      <c r="I995" s="54" t="s">
        <v>7</v>
      </c>
      <c r="J995" s="55">
        <v>10.0</v>
      </c>
      <c r="K995" s="56">
        <v>2783.0</v>
      </c>
      <c r="L995" s="57">
        <v>810.0</v>
      </c>
      <c r="M995" s="58">
        <v>1455.0</v>
      </c>
      <c r="N995" s="33">
        <f t="shared" si="155"/>
        <v>27830</v>
      </c>
      <c r="O995" s="59">
        <v>109853.0</v>
      </c>
      <c r="P995" s="34">
        <f t="shared" si="14"/>
        <v>39.472871</v>
      </c>
      <c r="Q995" s="60"/>
      <c r="R995" s="36">
        <f t="shared" si="156"/>
        <v>1455</v>
      </c>
      <c r="S995" s="61">
        <v>-27.0</v>
      </c>
      <c r="T995" s="37">
        <f t="shared" si="157"/>
        <v>1428</v>
      </c>
      <c r="U995" s="62">
        <v>1.0</v>
      </c>
      <c r="V995" s="63"/>
      <c r="W995" s="63"/>
      <c r="X995" s="83">
        <v>0.25</v>
      </c>
      <c r="Y995" s="35">
        <f t="shared" si="163"/>
        <v>0</v>
      </c>
      <c r="Z995" s="40">
        <f t="shared" si="159"/>
        <v>1071</v>
      </c>
      <c r="AA995" s="65">
        <v>357.0</v>
      </c>
      <c r="AB995" s="41">
        <f t="shared" si="161"/>
        <v>0</v>
      </c>
      <c r="AC995" s="42" t="b">
        <v>1</v>
      </c>
      <c r="AD995" s="42" t="s">
        <v>138</v>
      </c>
      <c r="AE995" s="42" t="s">
        <v>138</v>
      </c>
      <c r="AF995" s="42" t="str">
        <f t="array" ref="AF995">INDEX('Deal Info'!D:D, MATCH(A995,'Deal Info'!A:A, 0))</f>
        <v>SF</v>
      </c>
      <c r="AG995" s="43" t="str">
        <f t="array" ref="AG995">INDEX('Deal Info'!G:G, MATCH(A995,'Deal Info'!A:A, 0))</f>
        <v>None</v>
      </c>
    </row>
    <row r="996" hidden="1">
      <c r="A996" s="23" t="str">
        <f t="array" ref="A996">if(G996='Room Info'!$B$1, INDEX('Room Info'!$A$2:$A3446, MATCH(B996,'Room Info'!$B$2:$B3446, 0)),if(G996='Room Info'!$C$1, INDEX('Room Info'!$A$2:$A3446, MATCH(B996,'Room Info'!$C$2:$C3446, 0)),if(G996='Room Info'!$D$1, INDEX('Room Info'!$A$2:$A3446, MATCH(B996,'Room Info'!$D$2:$D3446, 0)),if(G996='Room Info'!$E$1, INDEX('Room Info'!$A$2:$A3446, MATCH(B996,'Room Info'!$E$2:$E3446, 0)),if(G996='Room Info'!$F$1, INDEX('Room Info'!$A$2:$A3446, MATCH(B996,'Room Info'!$F$2:$F3446, 0)),if(G996='Room Info'!$H$1, INDEX('Room Info'!$A$2:$A3446, MATCH(B996,'Room Info'!$H$2:$H3446, 0)),if(G996='Room Info'!$G$1, INDEX('Room Info'!$A$2:$A3446, MATCH(B996,'Room Info'!$G$2:$G3446, 0)))))))))</f>
        <v>Mexanuk_AV</v>
      </c>
      <c r="B996" s="50" t="s">
        <v>160</v>
      </c>
      <c r="C996" s="51">
        <v>44733.0</v>
      </c>
      <c r="D996" s="51">
        <v>44762.0</v>
      </c>
      <c r="E996" s="52">
        <v>44743.0</v>
      </c>
      <c r="F996" s="53" t="s">
        <v>4</v>
      </c>
      <c r="G996" s="50" t="s">
        <v>5</v>
      </c>
      <c r="H996" s="54" t="s">
        <v>35</v>
      </c>
      <c r="I996" s="54" t="s">
        <v>7</v>
      </c>
      <c r="J996" s="55">
        <v>5.0</v>
      </c>
      <c r="K996" s="56">
        <v>2.0</v>
      </c>
      <c r="L996" s="57">
        <v>0.0</v>
      </c>
      <c r="M996" s="67"/>
      <c r="N996" s="33">
        <f t="shared" si="155"/>
        <v>10</v>
      </c>
      <c r="O996" s="59">
        <v>-276.0</v>
      </c>
      <c r="P996" s="34">
        <f t="shared" si="14"/>
        <v>-138</v>
      </c>
      <c r="Q996" s="60"/>
      <c r="R996" s="36">
        <f t="shared" si="156"/>
        <v>0</v>
      </c>
      <c r="S996" s="61">
        <v>-3.0</v>
      </c>
      <c r="T996" s="37">
        <f t="shared" si="157"/>
        <v>-3</v>
      </c>
      <c r="U996" s="62">
        <v>1.0</v>
      </c>
      <c r="V996" s="63"/>
      <c r="W996" s="63"/>
      <c r="X996" s="83">
        <v>0.25</v>
      </c>
      <c r="Y996" s="35">
        <f t="shared" si="163"/>
        <v>0</v>
      </c>
      <c r="Z996" s="40">
        <f t="shared" si="159"/>
        <v>-2</v>
      </c>
      <c r="AA996" s="65">
        <v>-1.0</v>
      </c>
      <c r="AB996" s="41">
        <f t="shared" si="161"/>
        <v>0</v>
      </c>
      <c r="AC996" s="42" t="b">
        <v>1</v>
      </c>
      <c r="AD996" s="42" t="s">
        <v>138</v>
      </c>
      <c r="AE996" s="42" t="s">
        <v>138</v>
      </c>
      <c r="AF996" s="42" t="str">
        <f t="array" ref="AF996">INDEX('Deal Info'!D:D, MATCH(A996,'Deal Info'!A:A, 0))</f>
        <v>SF</v>
      </c>
      <c r="AG996" s="43" t="str">
        <f t="array" ref="AG996">INDEX('Deal Info'!G:G, MATCH(A996,'Deal Info'!A:A, 0))</f>
        <v>None</v>
      </c>
    </row>
    <row r="997" hidden="1">
      <c r="A997" s="23" t="str">
        <f t="array" ref="A997">if(G997='Room Info'!$B$1, INDEX('Room Info'!$A$2:$A3446, MATCH(B997,'Room Info'!$B$2:$B3446, 0)),if(G997='Room Info'!$C$1, INDEX('Room Info'!$A$2:$A3446, MATCH(B997,'Room Info'!$C$2:$C3446, 0)),if(G997='Room Info'!$D$1, INDEX('Room Info'!$A$2:$A3446, MATCH(B997,'Room Info'!$D$2:$D3446, 0)),if(G997='Room Info'!$E$1, INDEX('Room Info'!$A$2:$A3446, MATCH(B997,'Room Info'!$E$2:$E3446, 0)),if(G997='Room Info'!$F$1, INDEX('Room Info'!$A$2:$A3446, MATCH(B997,'Room Info'!$F$2:$F3446, 0)),if(G997='Room Info'!$H$1, INDEX('Room Info'!$A$2:$A3446, MATCH(B997,'Room Info'!$H$2:$H3446, 0)),if(G997='Room Info'!$G$1, INDEX('Room Info'!$A$2:$A3446, MATCH(B997,'Room Info'!$G$2:$G3446, 0)))))))))</f>
        <v>Mexanuk_AV</v>
      </c>
      <c r="B997" s="50" t="s">
        <v>160</v>
      </c>
      <c r="C997" s="51">
        <v>44733.0</v>
      </c>
      <c r="D997" s="51">
        <v>44762.0</v>
      </c>
      <c r="E997" s="52">
        <v>44743.0</v>
      </c>
      <c r="F997" s="53" t="s">
        <v>4</v>
      </c>
      <c r="G997" s="50" t="s">
        <v>5</v>
      </c>
      <c r="H997" s="54" t="s">
        <v>45</v>
      </c>
      <c r="I997" s="54" t="s">
        <v>7</v>
      </c>
      <c r="J997" s="55">
        <v>10.0</v>
      </c>
      <c r="K997" s="56">
        <v>2952.0</v>
      </c>
      <c r="L997" s="57">
        <v>-760.0</v>
      </c>
      <c r="M997" s="58">
        <v>1825.0</v>
      </c>
      <c r="N997" s="33">
        <f t="shared" si="155"/>
        <v>29520</v>
      </c>
      <c r="O997" s="59">
        <v>94078.0</v>
      </c>
      <c r="P997" s="34">
        <f t="shared" si="14"/>
        <v>31.86924119</v>
      </c>
      <c r="Q997" s="60"/>
      <c r="R997" s="36">
        <f t="shared" si="156"/>
        <v>1825</v>
      </c>
      <c r="S997" s="61">
        <v>-498.0</v>
      </c>
      <c r="T997" s="37">
        <f t="shared" si="157"/>
        <v>1327</v>
      </c>
      <c r="U997" s="62">
        <v>1.0</v>
      </c>
      <c r="V997" s="63"/>
      <c r="W997" s="63"/>
      <c r="X997" s="83">
        <v>0.3</v>
      </c>
      <c r="Y997" s="35">
        <f t="shared" si="163"/>
        <v>0</v>
      </c>
      <c r="Z997" s="40">
        <f t="shared" si="159"/>
        <v>995</v>
      </c>
      <c r="AA997" s="65">
        <v>332.0</v>
      </c>
      <c r="AB997" s="41">
        <f t="shared" si="161"/>
        <v>0</v>
      </c>
      <c r="AC997" s="42" t="b">
        <v>1</v>
      </c>
      <c r="AD997" s="42" t="s">
        <v>138</v>
      </c>
      <c r="AE997" s="42" t="s">
        <v>138</v>
      </c>
      <c r="AF997" s="42" t="str">
        <f t="array" ref="AF997">INDEX('Deal Info'!D:D, MATCH(A997,'Deal Info'!A:A, 0))</f>
        <v>SF</v>
      </c>
      <c r="AG997" s="43" t="str">
        <f t="array" ref="AG997">INDEX('Deal Info'!G:G, MATCH(A997,'Deal Info'!A:A, 0))</f>
        <v>None</v>
      </c>
    </row>
    <row r="998" hidden="1">
      <c r="A998" s="23" t="str">
        <f t="array" ref="A998">if(G998='Room Info'!$B$1, INDEX('Room Info'!$A$2:$A3446, MATCH(B998,'Room Info'!$B$2:$B3446, 0)),if(G998='Room Info'!$C$1, INDEX('Room Info'!$A$2:$A3446, MATCH(B998,'Room Info'!$C$2:$C3446, 0)),if(G998='Room Info'!$D$1, INDEX('Room Info'!$A$2:$A3446, MATCH(B998,'Room Info'!$D$2:$D3446, 0)),if(G998='Room Info'!$E$1, INDEX('Room Info'!$A$2:$A3446, MATCH(B998,'Room Info'!$E$2:$E3446, 0)),if(G998='Room Info'!$F$1, INDEX('Room Info'!$A$2:$A3446, MATCH(B998,'Room Info'!$F$2:$F3446, 0)),if(G998='Room Info'!$H$1, INDEX('Room Info'!$A$2:$A3446, MATCH(B998,'Room Info'!$H$2:$H3446, 0)),if(G998='Room Info'!$G$1, INDEX('Room Info'!$A$2:$A3446, MATCH(B998,'Room Info'!$G$2:$G3446, 0)))))))))</f>
        <v>Mexanuk_AV</v>
      </c>
      <c r="B998" s="50" t="s">
        <v>160</v>
      </c>
      <c r="C998" s="51">
        <v>44763.0</v>
      </c>
      <c r="D998" s="51">
        <v>44793.0</v>
      </c>
      <c r="E998" s="52">
        <v>44774.0</v>
      </c>
      <c r="F998" s="53" t="s">
        <v>4</v>
      </c>
      <c r="G998" s="50" t="s">
        <v>5</v>
      </c>
      <c r="H998" s="54" t="s">
        <v>45</v>
      </c>
      <c r="I998" s="54" t="s">
        <v>7</v>
      </c>
      <c r="J998" s="55">
        <v>10.0</v>
      </c>
      <c r="K998" s="56">
        <v>2673.0</v>
      </c>
      <c r="L998" s="57">
        <v>-1840.0</v>
      </c>
      <c r="M998" s="58">
        <v>165.0</v>
      </c>
      <c r="N998" s="33">
        <f t="shared" si="155"/>
        <v>26730</v>
      </c>
      <c r="O998" s="59">
        <v>47481.0</v>
      </c>
      <c r="P998" s="34">
        <f t="shared" si="14"/>
        <v>17.76318743</v>
      </c>
      <c r="Q998" s="60"/>
      <c r="R998" s="36">
        <f t="shared" si="156"/>
        <v>165</v>
      </c>
      <c r="S998" s="61">
        <v>-1085.0</v>
      </c>
      <c r="T998" s="37">
        <f t="shared" si="157"/>
        <v>-920</v>
      </c>
      <c r="U998" s="62">
        <v>1.0</v>
      </c>
      <c r="V998" s="63"/>
      <c r="W998" s="63"/>
      <c r="X998" s="83">
        <v>0.3</v>
      </c>
      <c r="Y998" s="35">
        <f t="shared" si="163"/>
        <v>0</v>
      </c>
      <c r="Z998" s="40">
        <f t="shared" si="159"/>
        <v>-644</v>
      </c>
      <c r="AA998" s="65">
        <v>-276.0</v>
      </c>
      <c r="AB998" s="41">
        <f t="shared" si="161"/>
        <v>0</v>
      </c>
      <c r="AC998" s="42" t="b">
        <v>1</v>
      </c>
      <c r="AD998" s="42" t="s">
        <v>138</v>
      </c>
      <c r="AE998" s="42" t="s">
        <v>138</v>
      </c>
      <c r="AF998" s="42" t="str">
        <f t="array" ref="AF998">INDEX('Deal Info'!D:D, MATCH(A998,'Deal Info'!A:A, 0))</f>
        <v>SF</v>
      </c>
      <c r="AG998" s="43" t="str">
        <f t="array" ref="AG998">INDEX('Deal Info'!G:G, MATCH(A998,'Deal Info'!A:A, 0))</f>
        <v>None</v>
      </c>
    </row>
    <row r="999" hidden="1">
      <c r="A999" s="23" t="str">
        <f t="array" ref="A999">if(G999='Room Info'!$B$1, INDEX('Room Info'!$A$2:$A3446, MATCH(B999,'Room Info'!$B$2:$B3446, 0)),if(G999='Room Info'!$C$1, INDEX('Room Info'!$A$2:$A3446, MATCH(B999,'Room Info'!$C$2:$C3446, 0)),if(G999='Room Info'!$D$1, INDEX('Room Info'!$A$2:$A3446, MATCH(B999,'Room Info'!$D$2:$D3446, 0)),if(G999='Room Info'!$E$1, INDEX('Room Info'!$A$2:$A3446, MATCH(B999,'Room Info'!$E$2:$E3446, 0)),if(G999='Room Info'!$F$1, INDEX('Room Info'!$A$2:$A3446, MATCH(B999,'Room Info'!$F$2:$F3446, 0)),if(G999='Room Info'!$H$1, INDEX('Room Info'!$A$2:$A3446, MATCH(B999,'Room Info'!$H$2:$H3446, 0)),if(G999='Room Info'!$G$1, INDEX('Room Info'!$A$2:$A3446, MATCH(B999,'Room Info'!$G$2:$G3446, 0)))))))))</f>
        <v>Mexanuk_AV</v>
      </c>
      <c r="B999" s="50" t="s">
        <v>160</v>
      </c>
      <c r="C999" s="51">
        <v>44794.0</v>
      </c>
      <c r="D999" s="51">
        <v>44824.0</v>
      </c>
      <c r="E999" s="52">
        <v>44805.0</v>
      </c>
      <c r="F999" s="53" t="s">
        <v>4</v>
      </c>
      <c r="G999" s="50" t="s">
        <v>5</v>
      </c>
      <c r="H999" s="54" t="s">
        <v>45</v>
      </c>
      <c r="I999" s="54" t="s">
        <v>7</v>
      </c>
      <c r="J999" s="55">
        <v>10.0</v>
      </c>
      <c r="K999" s="56">
        <v>3082.0</v>
      </c>
      <c r="L999" s="57">
        <v>-2510.0</v>
      </c>
      <c r="M999" s="58">
        <v>2470.0</v>
      </c>
      <c r="N999" s="33">
        <f t="shared" si="155"/>
        <v>30820</v>
      </c>
      <c r="O999" s="59">
        <v>59631.0</v>
      </c>
      <c r="P999" s="34">
        <f t="shared" si="14"/>
        <v>19.34815055</v>
      </c>
      <c r="Q999" s="60"/>
      <c r="R999" s="36">
        <f t="shared" si="156"/>
        <v>2470</v>
      </c>
      <c r="S999" s="61">
        <v>-1205.0</v>
      </c>
      <c r="T999" s="37">
        <f t="shared" si="157"/>
        <v>1265</v>
      </c>
      <c r="U999" s="62">
        <v>1.0</v>
      </c>
      <c r="V999" s="63"/>
      <c r="W999" s="63"/>
      <c r="X999" s="83">
        <v>0.25</v>
      </c>
      <c r="Y999" s="35">
        <f t="shared" si="163"/>
        <v>0</v>
      </c>
      <c r="Z999" s="40">
        <f t="shared" si="159"/>
        <v>885</v>
      </c>
      <c r="AA999" s="65">
        <v>380.0</v>
      </c>
      <c r="AB999" s="41">
        <f t="shared" si="161"/>
        <v>0</v>
      </c>
      <c r="AC999" s="42" t="b">
        <v>1</v>
      </c>
      <c r="AD999" s="42" t="s">
        <v>138</v>
      </c>
      <c r="AE999" s="42" t="s">
        <v>138</v>
      </c>
      <c r="AF999" s="42" t="str">
        <f t="array" ref="AF999">INDEX('Deal Info'!D:D, MATCH(A999,'Deal Info'!A:A, 0))</f>
        <v>SF</v>
      </c>
      <c r="AG999" s="43" t="str">
        <f t="array" ref="AG999">INDEX('Deal Info'!G:G, MATCH(A999,'Deal Info'!A:A, 0))</f>
        <v>None</v>
      </c>
    </row>
    <row r="1000" hidden="1">
      <c r="A1000" s="23" t="str">
        <f t="array" ref="A1000">if(G1000='Room Info'!$B$1, INDEX('Room Info'!$A$2:$A3446, MATCH(B1000,'Room Info'!$B$2:$B3446, 0)),if(G1000='Room Info'!$C$1, INDEX('Room Info'!$A$2:$A3446, MATCH(B1000,'Room Info'!$C$2:$C3446, 0)),if(G1000='Room Info'!$D$1, INDEX('Room Info'!$A$2:$A3446, MATCH(B1000,'Room Info'!$D$2:$D3446, 0)),if(G1000='Room Info'!$E$1, INDEX('Room Info'!$A$2:$A3446, MATCH(B1000,'Room Info'!$E$2:$E3446, 0)),if(G1000='Room Info'!$F$1, INDEX('Room Info'!$A$2:$A3446, MATCH(B1000,'Room Info'!$F$2:$F3446, 0)),if(G1000='Room Info'!$H$1, INDEX('Room Info'!$A$2:$A3446, MATCH(B1000,'Room Info'!$H$2:$H3446, 0)),if(G1000='Room Info'!$G$1, INDEX('Room Info'!$A$2:$A3446, MATCH(B1000,'Room Info'!$G$2:$G3446, 0)))))))))</f>
        <v>Mexanuk_AV</v>
      </c>
      <c r="B1000" s="50" t="s">
        <v>160</v>
      </c>
      <c r="C1000" s="51">
        <v>44825.0</v>
      </c>
      <c r="D1000" s="51">
        <v>44854.0</v>
      </c>
      <c r="E1000" s="52">
        <v>44835.0</v>
      </c>
      <c r="F1000" s="53" t="s">
        <v>4</v>
      </c>
      <c r="G1000" s="50" t="s">
        <v>5</v>
      </c>
      <c r="H1000" s="54" t="s">
        <v>35</v>
      </c>
      <c r="I1000" s="54" t="s">
        <v>7</v>
      </c>
      <c r="J1000" s="55">
        <v>5.0</v>
      </c>
      <c r="K1000" s="56">
        <v>1.0</v>
      </c>
      <c r="L1000" s="57">
        <v>-5.0</v>
      </c>
      <c r="M1000" s="67"/>
      <c r="N1000" s="33">
        <f t="shared" si="155"/>
        <v>5</v>
      </c>
      <c r="O1000" s="59">
        <v>98.0</v>
      </c>
      <c r="P1000" s="34">
        <f t="shared" si="14"/>
        <v>98</v>
      </c>
      <c r="Q1000" s="60"/>
      <c r="R1000" s="36">
        <f t="shared" si="156"/>
        <v>0</v>
      </c>
      <c r="S1000" s="61">
        <v>0.0</v>
      </c>
      <c r="T1000" s="37">
        <f t="shared" si="157"/>
        <v>0</v>
      </c>
      <c r="U1000" s="62">
        <v>1.0</v>
      </c>
      <c r="V1000" s="63"/>
      <c r="W1000" s="63"/>
      <c r="X1000" s="83">
        <v>0.25</v>
      </c>
      <c r="Y1000" s="35">
        <f t="shared" si="163"/>
        <v>0</v>
      </c>
      <c r="Z1000" s="40">
        <f t="shared" si="159"/>
        <v>0</v>
      </c>
      <c r="AA1000" s="65">
        <v>0.0</v>
      </c>
      <c r="AB1000" s="41">
        <f t="shared" si="161"/>
        <v>0</v>
      </c>
      <c r="AC1000" s="42" t="b">
        <v>1</v>
      </c>
      <c r="AD1000" s="42" t="s">
        <v>138</v>
      </c>
      <c r="AE1000" s="42" t="s">
        <v>138</v>
      </c>
      <c r="AF1000" s="42" t="str">
        <f t="array" ref="AF1000">INDEX('Deal Info'!D:D, MATCH(A1000,'Deal Info'!A:A, 0))</f>
        <v>SF</v>
      </c>
      <c r="AG1000" s="43" t="str">
        <f t="array" ref="AG1000">INDEX('Deal Info'!G:G, MATCH(A1000,'Deal Info'!A:A, 0))</f>
        <v>None</v>
      </c>
    </row>
    <row r="1001" hidden="1">
      <c r="A1001" s="23" t="str">
        <f t="array" ref="A1001">if(G1001='Room Info'!$B$1, INDEX('Room Info'!$A$2:$A3446, MATCH(B1001,'Room Info'!$B$2:$B3446, 0)),if(G1001='Room Info'!$C$1, INDEX('Room Info'!$A$2:$A3446, MATCH(B1001,'Room Info'!$C$2:$C3446, 0)),if(G1001='Room Info'!$D$1, INDEX('Room Info'!$A$2:$A3446, MATCH(B1001,'Room Info'!$D$2:$D3446, 0)),if(G1001='Room Info'!$E$1, INDEX('Room Info'!$A$2:$A3446, MATCH(B1001,'Room Info'!$E$2:$E3446, 0)),if(G1001='Room Info'!$F$1, INDEX('Room Info'!$A$2:$A3446, MATCH(B1001,'Room Info'!$F$2:$F3446, 0)),if(G1001='Room Info'!$H$1, INDEX('Room Info'!$A$2:$A3446, MATCH(B1001,'Room Info'!$H$2:$H3446, 0)),if(G1001='Room Info'!$G$1, INDEX('Room Info'!$A$2:$A3446, MATCH(B1001,'Room Info'!$G$2:$G3446, 0)))))))))</f>
        <v>Mexanuk_AV</v>
      </c>
      <c r="B1001" s="50" t="s">
        <v>160</v>
      </c>
      <c r="C1001" s="51">
        <v>44825.0</v>
      </c>
      <c r="D1001" s="51">
        <v>44854.0</v>
      </c>
      <c r="E1001" s="52">
        <v>44835.0</v>
      </c>
      <c r="F1001" s="53" t="s">
        <v>4</v>
      </c>
      <c r="G1001" s="50" t="s">
        <v>5</v>
      </c>
      <c r="H1001" s="54" t="s">
        <v>45</v>
      </c>
      <c r="I1001" s="54" t="s">
        <v>7</v>
      </c>
      <c r="J1001" s="55">
        <v>10.0</v>
      </c>
      <c r="K1001" s="56">
        <v>2772.0</v>
      </c>
      <c r="L1001" s="57">
        <v>-900.0</v>
      </c>
      <c r="M1001" s="58">
        <v>1350.0</v>
      </c>
      <c r="N1001" s="33">
        <f t="shared" si="155"/>
        <v>27720</v>
      </c>
      <c r="O1001" s="59">
        <v>83017.0</v>
      </c>
      <c r="P1001" s="34">
        <f t="shared" si="14"/>
        <v>29.9484127</v>
      </c>
      <c r="Q1001" s="60"/>
      <c r="R1001" s="36">
        <f t="shared" si="156"/>
        <v>1350</v>
      </c>
      <c r="S1001" s="61">
        <v>-508.0</v>
      </c>
      <c r="T1001" s="37">
        <f t="shared" si="157"/>
        <v>842</v>
      </c>
      <c r="U1001" s="62">
        <v>1.0</v>
      </c>
      <c r="V1001" s="63"/>
      <c r="W1001" s="63"/>
      <c r="X1001" s="83">
        <v>0.3</v>
      </c>
      <c r="Y1001" s="35">
        <f t="shared" si="163"/>
        <v>0</v>
      </c>
      <c r="Z1001" s="40">
        <f t="shared" si="159"/>
        <v>632</v>
      </c>
      <c r="AA1001" s="65">
        <v>210.0</v>
      </c>
      <c r="AB1001" s="41">
        <f t="shared" si="161"/>
        <v>0</v>
      </c>
      <c r="AC1001" s="42" t="b">
        <v>1</v>
      </c>
      <c r="AD1001" s="42" t="s">
        <v>138</v>
      </c>
      <c r="AE1001" s="42" t="s">
        <v>138</v>
      </c>
      <c r="AF1001" s="42" t="str">
        <f t="array" ref="AF1001">INDEX('Deal Info'!D:D, MATCH(A1001,'Deal Info'!A:A, 0))</f>
        <v>SF</v>
      </c>
      <c r="AG1001" s="43" t="str">
        <f t="array" ref="AG1001">INDEX('Deal Info'!G:G, MATCH(A1001,'Deal Info'!A:A, 0))</f>
        <v>None</v>
      </c>
    </row>
    <row r="1002" hidden="1">
      <c r="A1002" s="23" t="str">
        <f t="array" ref="A1002">if(G1002='Room Info'!$B$1, INDEX('Room Info'!$A$2:$A3446, MATCH(B1002,'Room Info'!$B$2:$B3446, 0)),if(G1002='Room Info'!$C$1, INDEX('Room Info'!$A$2:$A3446, MATCH(B1002,'Room Info'!$C$2:$C3446, 0)),if(G1002='Room Info'!$D$1, INDEX('Room Info'!$A$2:$A3446, MATCH(B1002,'Room Info'!$D$2:$D3446, 0)),if(G1002='Room Info'!$E$1, INDEX('Room Info'!$A$2:$A3446, MATCH(B1002,'Room Info'!$E$2:$E3446, 0)),if(G1002='Room Info'!$F$1, INDEX('Room Info'!$A$2:$A3446, MATCH(B1002,'Room Info'!$F$2:$F3446, 0)),if(G1002='Room Info'!$H$1, INDEX('Room Info'!$A$2:$A3446, MATCH(B1002,'Room Info'!$H$2:$H3446, 0)),if(G1002='Room Info'!$G$1, INDEX('Room Info'!$A$2:$A3446, MATCH(B1002,'Room Info'!$G$2:$G3446, 0)))))))))</f>
        <v>Mexanuk_AV</v>
      </c>
      <c r="B1002" s="50" t="s">
        <v>160</v>
      </c>
      <c r="C1002" s="51">
        <v>44855.0</v>
      </c>
      <c r="D1002" s="51">
        <v>44885.0</v>
      </c>
      <c r="E1002" s="52">
        <v>44866.0</v>
      </c>
      <c r="F1002" s="53" t="s">
        <v>4</v>
      </c>
      <c r="G1002" s="50" t="s">
        <v>5</v>
      </c>
      <c r="H1002" s="54" t="s">
        <v>45</v>
      </c>
      <c r="I1002" s="54" t="s">
        <v>7</v>
      </c>
      <c r="J1002" s="55">
        <v>10.0</v>
      </c>
      <c r="K1002" s="56">
        <v>341.0</v>
      </c>
      <c r="L1002" s="57">
        <v>-700.0</v>
      </c>
      <c r="M1002" s="58">
        <v>120.0</v>
      </c>
      <c r="N1002" s="33">
        <f t="shared" si="155"/>
        <v>3410</v>
      </c>
      <c r="O1002" s="59">
        <v>-5750.0</v>
      </c>
      <c r="P1002" s="34">
        <f t="shared" si="14"/>
        <v>-16.86217009</v>
      </c>
      <c r="Q1002" s="60"/>
      <c r="R1002" s="36">
        <f t="shared" si="156"/>
        <v>120</v>
      </c>
      <c r="S1002" s="61">
        <v>-363.0</v>
      </c>
      <c r="T1002" s="37">
        <f t="shared" si="157"/>
        <v>-243</v>
      </c>
      <c r="U1002" s="62">
        <v>1.0</v>
      </c>
      <c r="V1002" s="63"/>
      <c r="W1002" s="63"/>
      <c r="X1002" s="83">
        <v>0.3</v>
      </c>
      <c r="Y1002" s="35">
        <f t="shared" si="163"/>
        <v>0</v>
      </c>
      <c r="Z1002" s="40">
        <f t="shared" si="159"/>
        <v>-170</v>
      </c>
      <c r="AA1002" s="65">
        <v>-73.0</v>
      </c>
      <c r="AB1002" s="41">
        <f t="shared" si="161"/>
        <v>0</v>
      </c>
      <c r="AC1002" s="42" t="b">
        <v>1</v>
      </c>
      <c r="AD1002" s="42" t="s">
        <v>138</v>
      </c>
      <c r="AE1002" s="42" t="s">
        <v>138</v>
      </c>
      <c r="AF1002" s="42" t="str">
        <f t="array" ref="AF1002">INDEX('Deal Info'!D:D, MATCH(A1002,'Deal Info'!A:A, 0))</f>
        <v>SF</v>
      </c>
      <c r="AG1002" s="43" t="str">
        <f t="array" ref="AG1002">INDEX('Deal Info'!G:G, MATCH(A1002,'Deal Info'!A:A, 0))</f>
        <v>None</v>
      </c>
    </row>
    <row r="1003" hidden="1">
      <c r="A1003" s="23" t="str">
        <f t="array" ref="A1003">if(G1003='Room Info'!$B$1, INDEX('Room Info'!$A$2:$A3446, MATCH(B1003,'Room Info'!$B$2:$B3446, 0)),if(G1003='Room Info'!$C$1, INDEX('Room Info'!$A$2:$A3446, MATCH(B1003,'Room Info'!$C$2:$C3446, 0)),if(G1003='Room Info'!$D$1, INDEX('Room Info'!$A$2:$A3446, MATCH(B1003,'Room Info'!$D$2:$D3446, 0)),if(G1003='Room Info'!$E$1, INDEX('Room Info'!$A$2:$A3446, MATCH(B1003,'Room Info'!$E$2:$E3446, 0)),if(G1003='Room Info'!$F$1, INDEX('Room Info'!$A$2:$A3446, MATCH(B1003,'Room Info'!$F$2:$F3446, 0)),if(G1003='Room Info'!$H$1, INDEX('Room Info'!$A$2:$A3446, MATCH(B1003,'Room Info'!$H$2:$H3446, 0)),if(G1003='Room Info'!$G$1, INDEX('Room Info'!$A$2:$A3446, MATCH(B1003,'Room Info'!$G$2:$G3446, 0)))))))))</f>
        <v>Mexanuk_AV</v>
      </c>
      <c r="B1003" s="50" t="s">
        <v>160</v>
      </c>
      <c r="C1003" s="82">
        <v>44855.0</v>
      </c>
      <c r="D1003" s="82">
        <v>44885.0</v>
      </c>
      <c r="E1003" s="52">
        <v>44866.0</v>
      </c>
      <c r="F1003" s="53" t="s">
        <v>4</v>
      </c>
      <c r="G1003" s="50" t="s">
        <v>5</v>
      </c>
      <c r="H1003" s="54" t="s">
        <v>62</v>
      </c>
      <c r="I1003" s="54" t="s">
        <v>7</v>
      </c>
      <c r="J1003" s="79">
        <v>25.0</v>
      </c>
      <c r="K1003" s="80">
        <v>2243.0</v>
      </c>
      <c r="L1003" s="77">
        <v>250.0</v>
      </c>
      <c r="M1003" s="81">
        <v>1690.0</v>
      </c>
      <c r="N1003" s="33">
        <f t="shared" si="155"/>
        <v>56075</v>
      </c>
      <c r="O1003" s="50">
        <v>43614.0</v>
      </c>
      <c r="P1003" s="34">
        <f t="shared" si="14"/>
        <v>19.44449398</v>
      </c>
      <c r="Q1003" s="60"/>
      <c r="R1003" s="36">
        <f t="shared" si="156"/>
        <v>1690</v>
      </c>
      <c r="S1003" s="78">
        <v>-1652.0</v>
      </c>
      <c r="T1003" s="37">
        <f t="shared" si="157"/>
        <v>38</v>
      </c>
      <c r="U1003" s="62">
        <v>1.0</v>
      </c>
      <c r="V1003" s="63"/>
      <c r="W1003" s="63"/>
      <c r="X1003" s="83">
        <v>0.3</v>
      </c>
      <c r="Y1003" s="35">
        <f t="shared" si="163"/>
        <v>0</v>
      </c>
      <c r="Z1003" s="40">
        <f t="shared" si="159"/>
        <v>27</v>
      </c>
      <c r="AA1003" s="65">
        <v>11.0</v>
      </c>
      <c r="AB1003" s="41">
        <f t="shared" si="161"/>
        <v>0</v>
      </c>
      <c r="AC1003" s="42" t="b">
        <v>1</v>
      </c>
      <c r="AD1003" s="42" t="s">
        <v>138</v>
      </c>
      <c r="AE1003" s="42" t="s">
        <v>138</v>
      </c>
      <c r="AF1003" s="42" t="str">
        <f t="array" ref="AF1003">INDEX('Deal Info'!D:D, MATCH(A1003,'Deal Info'!A:A, 0))</f>
        <v>SF</v>
      </c>
      <c r="AG1003" s="43" t="str">
        <f t="array" ref="AG1003">INDEX('Deal Info'!G:G, MATCH(A1003,'Deal Info'!A:A, 0))</f>
        <v>None</v>
      </c>
    </row>
    <row r="1004" hidden="1">
      <c r="A1004" s="23" t="str">
        <f t="array" ref="A1004">if(G1004='Room Info'!$B$1, INDEX('Room Info'!$A$2:$A3446, MATCH(B1004,'Room Info'!$B$2:$B3446, 0)),if(G1004='Room Info'!$C$1, INDEX('Room Info'!$A$2:$A3446, MATCH(B1004,'Room Info'!$C$2:$C3446, 0)),if(G1004='Room Info'!$D$1, INDEX('Room Info'!$A$2:$A3446, MATCH(B1004,'Room Info'!$D$2:$D3446, 0)),if(G1004='Room Info'!$E$1, INDEX('Room Info'!$A$2:$A3446, MATCH(B1004,'Room Info'!$E$2:$E3446, 0)),if(G1004='Room Info'!$F$1, INDEX('Room Info'!$A$2:$A3446, MATCH(B1004,'Room Info'!$F$2:$F3446, 0)),if(G1004='Room Info'!$H$1, INDEX('Room Info'!$A$2:$A3446, MATCH(B1004,'Room Info'!$H$2:$H3446, 0)),if(G1004='Room Info'!$G$1, INDEX('Room Info'!$A$2:$A3446, MATCH(B1004,'Room Info'!$G$2:$G3446, 0)))))))))</f>
        <v>Mexanuk_AV</v>
      </c>
      <c r="B1004" s="50" t="s">
        <v>160</v>
      </c>
      <c r="C1004" s="82">
        <v>44886.0</v>
      </c>
      <c r="D1004" s="82">
        <v>44915.0</v>
      </c>
      <c r="E1004" s="52">
        <v>44896.0</v>
      </c>
      <c r="F1004" s="53" t="s">
        <v>4</v>
      </c>
      <c r="G1004" s="50" t="s">
        <v>5</v>
      </c>
      <c r="H1004" s="54" t="s">
        <v>62</v>
      </c>
      <c r="I1004" s="54" t="s">
        <v>7</v>
      </c>
      <c r="J1004" s="79">
        <v>25.0</v>
      </c>
      <c r="K1004" s="80">
        <v>797.0</v>
      </c>
      <c r="L1004" s="77">
        <v>-325.0</v>
      </c>
      <c r="M1004" s="81">
        <v>1100.0</v>
      </c>
      <c r="N1004" s="33">
        <f t="shared" si="155"/>
        <v>19925</v>
      </c>
      <c r="O1004" s="50">
        <v>8512.0</v>
      </c>
      <c r="P1004" s="34">
        <f t="shared" si="14"/>
        <v>10.68005019</v>
      </c>
      <c r="Q1004" s="60"/>
      <c r="R1004" s="36">
        <f t="shared" si="156"/>
        <v>1100</v>
      </c>
      <c r="S1004" s="78">
        <v>-877.0</v>
      </c>
      <c r="T1004" s="37">
        <f t="shared" si="157"/>
        <v>223</v>
      </c>
      <c r="U1004" s="62">
        <v>1.0</v>
      </c>
      <c r="V1004" s="63"/>
      <c r="W1004" s="63"/>
      <c r="X1004" s="83">
        <v>0.0</v>
      </c>
      <c r="Y1004" s="35">
        <f t="shared" si="163"/>
        <v>0</v>
      </c>
      <c r="Z1004" s="40">
        <f t="shared" si="159"/>
        <v>156</v>
      </c>
      <c r="AA1004" s="65">
        <v>67.0</v>
      </c>
      <c r="AB1004" s="41">
        <f t="shared" si="161"/>
        <v>0</v>
      </c>
      <c r="AC1004" s="42" t="b">
        <v>1</v>
      </c>
      <c r="AD1004" s="42" t="s">
        <v>138</v>
      </c>
      <c r="AE1004" s="42" t="s">
        <v>138</v>
      </c>
      <c r="AF1004" s="42" t="str">
        <f t="array" ref="AF1004">INDEX('Deal Info'!D:D, MATCH(A1004,'Deal Info'!A:A, 0))</f>
        <v>SF</v>
      </c>
      <c r="AG1004" s="43" t="str">
        <f t="array" ref="AG1004">INDEX('Deal Info'!G:G, MATCH(A1004,'Deal Info'!A:A, 0))</f>
        <v>None</v>
      </c>
    </row>
    <row r="1005" hidden="1">
      <c r="A1005" s="23" t="str">
        <f t="array" ref="A1005">if(G1005='Room Info'!$B$1, INDEX('Room Info'!$A$2:$A3446, MATCH(B1005,'Room Info'!$B$2:$B3446, 0)),if(G1005='Room Info'!$C$1, INDEX('Room Info'!$A$2:$A3446, MATCH(B1005,'Room Info'!$C$2:$C3446, 0)),if(G1005='Room Info'!$D$1, INDEX('Room Info'!$A$2:$A3446, MATCH(B1005,'Room Info'!$D$2:$D3446, 0)),if(G1005='Room Info'!$E$1, INDEX('Room Info'!$A$2:$A3446, MATCH(B1005,'Room Info'!$E$2:$E3446, 0)),if(G1005='Room Info'!$F$1, INDEX('Room Info'!$A$2:$A3446, MATCH(B1005,'Room Info'!$F$2:$F3446, 0)),if(G1005='Room Info'!$H$1, INDEX('Room Info'!$A$2:$A3446, MATCH(B1005,'Room Info'!$H$2:$H3446, 0)),if(G1005='Room Info'!$G$1, INDEX('Room Info'!$A$2:$A3446, MATCH(B1005,'Room Info'!$G$2:$G3446, 0)))))))))</f>
        <v>Mexanuk_AV</v>
      </c>
      <c r="B1005" s="50" t="s">
        <v>160</v>
      </c>
      <c r="C1005" s="51">
        <v>44916.0</v>
      </c>
      <c r="D1005" s="51">
        <v>44946.0</v>
      </c>
      <c r="E1005" s="52">
        <v>44927.0</v>
      </c>
      <c r="F1005" s="53" t="s">
        <v>4</v>
      </c>
      <c r="G1005" s="50" t="s">
        <v>5</v>
      </c>
      <c r="H1005" s="54" t="s">
        <v>62</v>
      </c>
      <c r="I1005" s="54" t="s">
        <v>7</v>
      </c>
      <c r="J1005" s="55">
        <v>25.0</v>
      </c>
      <c r="K1005" s="56">
        <v>0.0</v>
      </c>
      <c r="L1005" s="111">
        <v>0.0</v>
      </c>
      <c r="M1005" s="58">
        <v>0.0</v>
      </c>
      <c r="N1005" s="33">
        <f t="shared" si="155"/>
        <v>0</v>
      </c>
      <c r="O1005" s="112">
        <v>0.0</v>
      </c>
      <c r="P1005" s="34" t="str">
        <f t="shared" si="14"/>
        <v/>
      </c>
      <c r="Q1005" s="60"/>
      <c r="R1005" s="36">
        <f t="shared" si="156"/>
        <v>0</v>
      </c>
      <c r="S1005" s="122"/>
      <c r="T1005" s="37">
        <f t="shared" si="157"/>
        <v>0</v>
      </c>
      <c r="U1005" s="62">
        <v>1.0</v>
      </c>
      <c r="V1005" s="63"/>
      <c r="W1005" s="63"/>
      <c r="X1005" s="35">
        <f>IF(AF1005="DoEV",IF(AND(V1005&lt;20,W1005&lt;55),0.3,0)+IF(AND(V1005&lt;20,W1005&gt;=55,W1005&lt;105),0.23,0)+IF(AND(V1005&lt;20,W1005&gt;=105),0.17,0)+IF(AND(V1005&gt;=20,V1005&lt;40,W1005&lt;45),0.3,0)+IF(AND(V1005&gt;=20,V1005&lt;40,W1005&gt;=45,W1005&lt;95),0.23,0)+IF(AND(V1005&gt;=20,V1005&lt;40,W1005&gt;=95),0.17,0)+IF(AND(V1005&gt;=40,V1005&lt;75,W1005&lt;35),0.3,0)+IF(AND(V1005&gt;=40,V1005&lt;75,W1005&gt;=35,W1005&lt;75),0.23,0)+IF(AND(V1005&gt;=40,V1005&lt;75,W1005&gt;=75,W1005&lt;120),0.17,0)+IF(AND(V1005&gt;=40,V1005&lt;75,W1005&gt;=120),0.12,0)+IF(AND(V1005&gt;=75,V1005&lt;175,W1005&lt;35),0.3,0)+IF(AND(V1005&gt;=75,V1005&lt;=175,W1005&gt;=35,W1005&lt;65),0.23,0)+IF(AND(V1005&gt;=75,V1005&lt;=175,W1005&gt;=65,W1005&lt;110),0.17,0)+IF(AND(V1005&gt;=75,V1005&lt;=175,W1005&gt;=110),0.12,0)+IF(AND(V1005&gt;175,W1005&lt;25),0.3,0)+IF(AND(V1005&gt;175,W1005&gt;=25,W1005&lt;55),0.23,0)+IF(AND(V1005&gt;175,W1005&gt;=55,W1005&lt;95),0.17,0)+IF(AND(V1005&gt;175,W1005&gt;=95),0.12,0),
IF(AF1005="Fix15",0.15,
if(AF1005="Fix18.75",0.1875,
IF(AF1005="Fix11.25",0.1125,
IF(AF1005="Fix10",0.1,
IF(AF1005="Fix9",0.09,
IF(AF1005="Fix19",0.19,
IF(AF1005="DoEV2017",IF(AND(W1005&lt;74),0.2,0)+IF(AND(W1005&gt;=74),0.17,0),
IF(AF1005="SF",IF(AND(V1005&lt;20,W1005&lt;89),0.3,0)+IF(AND(V1005&lt;20,W1005&gt;=89),0.25,0)+IF(AND(V1005&gt;=20,V1005&lt;40,W1005&lt;74),0.3,0)+IF(AND(V1005&gt;=20,V1005&lt;40,W1005&gt;=75),0.22,0)+IF(AND(V1005&gt;=40,V1005&lt;75,W1005&lt;75),0.26,0)+IF(AND(V1005&gt;=40,V1005&lt;75,W1005&gt;=75),0.22,0)+IF(V1005&gt;=75,0.22,0),
IF(AF1005="DoEVold",IF(AND(V1005&lt;40,W1005&lt;35),0.35,0)+IF(AND(V1005&lt;40,W1005&gt;=35,W1005&lt;75),0.25,0)+IF(AND(V1005&lt;40,W1005&gt;=75),0.17,0)+IF(AND(V1005&gt;=40,V1005&lt;75,W1005&lt;25),0.35,0)+IF(AND(V1005&gt;=40,V1005&lt;75,W1005&gt;=25,W1005&lt;65),0.25,0)+IF(AND(V1005&gt;=40,V1005&lt;75,W1005&gt;=65,W1005&lt;100),0.17,0)+IF(AND(V1005&gt;=40,V1005&lt;75,W1005&gt;=100),0.1,0)+IF(AND(V1005&gt;=75,W1005&lt;25),0.35,0)+IF(AND(V1005&gt;=75,W1005&gt;=25,W1005&lt;60),0.25,0)+IF(AND(V1005&gt;=75,W1005&gt;=60,W1005&lt;95),0.17,0)+IF(AND(V1005&gt;=75,W1005&gt;=95),0.1,0),
IF(AF1005="DoEVold15",IF(AND(V1005&lt;=40,W1005&lt;35),0.35,0)+IF(AND(V1005&lt;=40,W1005&gt;=35,W1005&lt;75),0.25,0)+IF(AND(V1005&lt;=40,W1005&gt;=75,W1005&lt;120),0.17,0)+IF(AND(V1005&lt;=40,W1005&gt;=120),0.15,0)+IF(AND(V1005&gt;40,V1005&lt;75,W1005&lt;25),0.35,0)+IF(AND(V1005&gt;=40,V1005&lt;75,W1005&gt;=25,W1005&lt;65),0.25,0)+IF(AND(V1005&gt;=40,V1005&lt;75,W1005&gt;=65,W1005&lt;100),0.17,0)+IF(AND(V1005&gt;=40,V1005&lt;75,W1005&gt;=100),0.1,0)+IF(AND(V1005&gt;=75,W1005&lt;25),0.35,0)+IF(AND(V1005&gt;=75,W1005&gt;=25,W1005&lt;60),0.25,0)+IF(AND(V1005&gt;=75,W1005&gt;=60,W1005&lt;95),0.17,0)+IF(AND(V1005&gt;=75,W1005&gt;=95),0.1,0),
IF(AF1005="DoEVba",IF(AND(V1005&lt;20,W1005&lt;105),0.2,0)+IF(AND(V1005&lt;20,W1005&gt;=105),0.15,0)+IF(AND(V1005&gt;=20,V1005&lt;40,W1005&lt;95),0.2,0)+IF(AND(V1005&gt;=20,V1005&lt;40,W1005&gt;=95,W1005&lt;150),0.15,0)+IF(AND(V1005&gt;=20,V1005&lt;40,W1005&gt;=150),0.12,0)+IF(AND(V1005&gt;=40,V1005&lt;75,W1005&lt;75),0.2,0)+IF(AND(V1005&gt;=40,V1005&lt;75,W1005&gt;=75,W1005&lt;120),0.15,0)+IF(AND(V1005&gt;=40,V1005&lt;75,W1005&gt;=120),0.12,0)+IF(AND(V1005&gt;=75,V1005&lt;175,W1005&lt;65),0.2,0)+IF(AND(V1005&gt;=75,V1005&lt;175,W1005&gt;=65,W1005&lt;110),0.15,0)+IF(AND(V1005&gt;=75,V1005&lt;175,W1005&gt;=110),0.12,0)+IF(AND(V1005&gt;=175,W1005&lt;55),0.2,0)+IF(AND(V1005&gt;=175,W1005&gt;=55,W1005&lt;95),0.15,0)+IF(AND(V1005&gt;=175,W1005&gt;=95),0.12,0),
IF(AF1005="DoEVku",IF(AND(V1005&lt;20,W1005&lt;55),0.23,0)+IF(AND(V1005&lt;20,W1005&gt;=55,W1005&lt;105),0.2,0)+IF(AND(V1005&lt;20,W1005&gt;=105),0.17,0)+IF(AND(V1005&gt;=20,V1005&lt;40,W1005&lt;45),0.23,0)+IF(AND(V1005&gt;=20,V1005&lt;40,W1005&gt;=45,W1005&lt;95),0.2,0)+IF(AND(V1005&gt;=20,V1005&lt;40,W1005&gt;=95,W1005&lt;=150),0.17,0)+IF(AND(V1005&gt;=20,V1005&lt;40,W1005&gt;=150),0.12,0)+IF(AND(V1005&gt;=40,V1005&lt;75,W1005&lt;35),0.23,0)+IF(AND(V1005&gt;=40,V1005&lt;75,W1005&gt;=35,W1005&lt;75),0.2,0)+IF(AND(V1005&gt;=40,V1005&lt;75,W1005&gt;=75,W1005&lt;120),0.17,0)+IF(AND(V1005&gt;=40,V1005&lt;75,W1005&gt;=120),0.12,0)+IF(AND(V1005&gt;=75,V1005&lt;175,W1005&lt;35),0.23,0)+IF(AND(V1005&gt;=75,V1005&lt;=175,W1005&gt;=35,W1005&lt;65),0.2,0)+IF(AND(V1005&gt;=75,V1005&lt;=175,W1005&gt;=65,W1005&lt;110),0.17,0)+IF(AND(V1005&gt;=75,V1005&lt;=175,W1005&gt;=110),0.12,0)+IF(AND(V1005&gt;175,W1005&lt;25),0.23,0)+IF(AND(V1005&gt;175,W1005&gt;=25,W1005&lt;55),0.2,0)+IF(AND(V1005&gt;175,W1005&gt;=55,W1005&lt;95),0.17,0)+IF(AND(V1005&gt;175,W1005&gt;=95),0.12,0),
IF(AF1005="DoEVs1",IF(AND(V1005&lt;20,W1005&lt;55),0.3,0)+IF(AND(V1005&lt;20,W1005&gt;=55,W1005&lt;105),0.23,0)+IF(AND(V1005&lt;20,W1005&gt;=105),0.17,0)+IF(AND(V1005&gt;=20,V1005&lt;40,W1005&lt;45),0.3,0)+IF(AND(V1005&gt;=20,V1005&lt;40,W1005&gt;=45,W1005&lt;95),0.23,0)+IF(AND(V1005&gt;=20,V1005&lt;40,W1005&gt;=95,W1005&lt;=150),0.17,0)+IF(AND(V1005&gt;=20,V1005&lt;40,W1005&gt;=150),0.12,0)+IF(AND(V1005&gt;=40,V1005&lt;75,W1005&lt;35),0.3,0)+IF(AND(V1005&gt;=40,V1005&lt;75,W1005&gt;=35,W1005&lt;75),0.23,0)+IF(AND(V1005&gt;=40,V1005&lt;75,W1005&gt;=75,W1005&lt;120),0.17,0)+IF(AND(V1005&gt;=40,V1005&lt;75,W1005&gt;=120),0.12,0)+IF(AND(V1005&gt;=75,V1005&lt;175,W1005&lt;35),0.3,0)+IF(AND(V1005&gt;=75,V1005&lt;=175,W1005&gt;=35,W1005&lt;65),0.23,0)+IF(AND(V1005&gt;=75,V1005&lt;=175,W1005&gt;=65,W1005&lt;110),0.17,0)+IF(AND(V1005&gt;=75,V1005&lt;=175,W1005&gt;=110),0.12,0)+IF(AND(V1005&gt;175,W1005&lt;25),0.3,0)+IF(AND(V1005&gt;175,W1005&gt;=25,W1005&lt;55),0.23,0)+IF(AND(V1005&gt;175,W1005&gt;=55,W1005&lt;95),0.17,0)+IF(AND(V1005&gt;175,W1005&gt;=95),0.12,0),
IF(AF1005="DoEVsu",IF(AND(V1005&lt;20,W1005&lt;55),0.3,0)+IF(AND(V1005&lt;20,W1005&gt;=55,W1005&lt;105),0.23,0)+IF(AND(V1005&lt;20,W1005&gt;=105),0.17,0)+IF(AND(V1005&gt;=20,V1005&lt;40,W1005&lt;45),0.3,0)+IF(AND(V1005&gt;=20,V1005&lt;40,W1005&gt;=45,W1005&lt;95),0.23,0)+IF(AND(V1005&gt;=20,V1005&lt;40,W1005&gt;=95,W1005&lt;=250),0.17,0)+IF(AND(V1005&gt;=20,V1005&lt;40,W1005&gt;=250),0.12,0)+IF(AND(V1005&gt;=40,V1005&lt;75,W1005&lt;35),0.3,0)+IF(AND(V1005&gt;=40,V1005&lt;75,W1005&gt;=35,W1005&lt;75),0.23,0)+IF(AND(V1005&gt;=40,V1005&lt;75,W1005&gt;=75,W1005&lt;120),0.17,0)+IF(AND(V1005&gt;=40,V1005&lt;75,W1005&gt;=120),0.12,0)+IF(AND(V1005&gt;=75,V1005&lt;175,W1005&lt;35),0.3,0)+IF(AND(V1005&gt;=75,V1005&lt;=175,W1005&gt;=35,W1005&lt;65),0.23,0)+IF(AND(V1005&gt;=75,V1005&lt;=175,W1005&gt;=65,W1005&lt;110),0.17,0)+IF(AND(V1005&gt;=75,V1005&lt;=175,W1005&gt;=110),0.12,0)+IF(AND(V1005&gt;175,W1005&lt;25),0.3,0)+IF(AND(V1005&gt;175,W1005&gt;=25,W1005&lt;55),0.23,0)+IF(AND(V1005&gt;175,W1005&gt;=55,W1005&lt;95),0.17,0)+IF(AND(V1005&gt;175,W1005&gt;=95),0.12,0),
IF(AF1005="DoEVni",IF(AND(V1005&lt;20,W1005&lt;55),0.3,0)+IF(AND(V1005&lt;20,W1005&gt;=55,W1005&lt;105),0.23,0)+IF(AND(V1005&lt;20,W1005&gt;=105),0.17,0)+IF(AND(V1005&gt;=20,V1005&lt;40,W1005&lt;45),0.3,0)+IF(AND(V1005&gt;=20,V1005&lt;40,W1005&gt;=45,W1005&lt;95),0.23,0)+IF(AND(V1005&gt;=20,V1005&lt;40,W1005&gt;=95,W1005&lt;=200),0.17,0)+IF(AND(V1005&gt;=20,V1005&lt;40,W1005&gt;=200),0.12,0)+IF(AND(V1005&gt;=40,V1005&lt;75,W1005&lt;35),0.3,0)+IF(AND(V1005&gt;=40,V1005&lt;75,W1005&gt;=35,W1005&lt;75),0.23,0)+IF(AND(V1005&gt;=40,V1005&lt;75,W1005&gt;=75,W1005&lt;120),0.17,0)+IF(AND(V1005&gt;=40,V1005&lt;75,W1005&gt;=120),0.12,0)+IF(AND(V1005&gt;=75,V1005&lt;175,W1005&lt;35),0.3,0)+IF(AND(V1005&gt;=75,V1005&lt;=175,W1005&gt;=35,W1005&lt;65),0.23,0)+IF(AND(V1005&gt;=75,V1005&lt;=175,W1005&gt;=65,W1005&lt;110),0.17,0)+IF(AND(V1005&gt;=75,V1005&lt;=175,W1005&gt;=110),0.12,0)+IF(AND(V1005&gt;175,W1005&lt;25),0.3,0)+IF(AND(V1005&gt;175,W1005&gt;=25,W1005&lt;55),0.23,0)+IF(AND(V1005&gt;175,W1005&gt;=55,W1005&lt;95),0.17,0)+IF(AND(V1005&gt;175,W1005&gt;=95),0.12,0),
IF(AF1005="DoEVLo",IF(AND(V1005&lt;20,W1005&lt;55),0.25,0)+IF(AND(V1005&lt;20,W1005&gt;=55,W1005&lt;105),0.2,0)+IF(AND(V1005&lt;20,W1005&gt;=105),0.15,0)+IF(AND(V1005&gt;=20,V1005&lt;40,W1005&lt;45),0.25,0)+IF(AND(V1005&gt;=20,V1005&lt;40,W1005&gt;=45,W1005&lt;95),0.2,0)+IF(AND(V1005&gt;=20,V1005&lt;40,W1005&gt;=95),0.15,0)+IF(AND(V1005&gt;=40,V1005&lt;75,W1005&lt;35),0.25,0)+IF(AND(V1005&gt;=40,V1005&lt;75,W1005&gt;=35,W1005&lt;75),0.2,0)+IF(AND(V1005&gt;=40,V1005&lt;75,W1005&gt;=75,W1005&lt;120),0.15,0)+IF(AND(V1005&gt;=40,V1005&lt;75,W1005&gt;=120),0.1,0)+IF(AND(V1005&gt;=75,V1005&lt;175,W1005&lt;35),0.25,0)+IF(AND(V1005&gt;=75,V1005&lt;=175,W1005&gt;=35,W1005&lt;65),0.2,0)+IF(AND(V1005&gt;=75,V1005&lt;=175,W1005&gt;=65,W1005&lt;110),0.15,0)+IF(AND(V1005&gt;=75,V1005&lt;=175,W1005&gt;=110),0.1,0)+IF(AND(V1005&gt;175,W1005&lt;25),0.25,0)+IF(AND(V1005&gt;175,W1005&gt;=25,W1005&lt;55),0.2,0)+IF(AND(V1005&gt;175,W1005&gt;=55,W1005&lt;95),0.15,0)+IF(AND(V1005&gt;175,W1005&gt;=95),0.1,0))))))))))))))))))</f>
        <v>0.3</v>
      </c>
      <c r="Y1005" s="35">
        <f t="shared" si="163"/>
        <v>0</v>
      </c>
      <c r="Z1005" s="40">
        <f t="shared" si="159"/>
        <v>0</v>
      </c>
      <c r="AA1005" s="65">
        <v>0.0</v>
      </c>
      <c r="AB1005" s="41">
        <f t="shared" si="161"/>
        <v>0</v>
      </c>
      <c r="AC1005" s="42" t="b">
        <v>1</v>
      </c>
      <c r="AD1005" s="42" t="s">
        <v>138</v>
      </c>
      <c r="AE1005" s="42" t="s">
        <v>138</v>
      </c>
      <c r="AF1005" s="42" t="str">
        <f t="array" ref="AF1005">INDEX('Deal Info'!D:D, MATCH(A1005,'Deal Info'!A:A, 0))</f>
        <v>SF</v>
      </c>
      <c r="AG1005" s="43" t="str">
        <f t="array" ref="AG1005">INDEX('Deal Info'!G:G, MATCH(A1005,'Deal Info'!A:A, 0))</f>
        <v>None</v>
      </c>
    </row>
    <row r="1006" hidden="1">
      <c r="A1006" s="23" t="str">
        <f t="array" ref="A1006">if(G1006='Room Info'!$B$1, INDEX('Room Info'!$A$2:$A3446, MATCH(B1006,'Room Info'!$B$2:$B3446, 0)),if(G1006='Room Info'!$C$1, INDEX('Room Info'!$A$2:$A3446, MATCH(B1006,'Room Info'!$C$2:$C3446, 0)),if(G1006='Room Info'!$D$1, INDEX('Room Info'!$A$2:$A3446, MATCH(B1006,'Room Info'!$D$2:$D3446, 0)),if(G1006='Room Info'!$E$1, INDEX('Room Info'!$A$2:$A3446, MATCH(B1006,'Room Info'!$E$2:$E3446, 0)),if(G1006='Room Info'!$F$1, INDEX('Room Info'!$A$2:$A3446, MATCH(B1006,'Room Info'!$F$2:$F3446, 0)),if(G1006='Room Info'!$H$1, INDEX('Room Info'!$A$2:$A3446, MATCH(B1006,'Room Info'!$H$2:$H3446, 0)),if(G1006='Room Info'!$G$1, INDEX('Room Info'!$A$2:$A3446, MATCH(B1006,'Room Info'!$G$2:$G3446, 0)))))))))</f>
        <v>Night Kin9</v>
      </c>
      <c r="B1006" s="59" t="s">
        <v>205</v>
      </c>
      <c r="C1006" s="51">
        <v>44886.0</v>
      </c>
      <c r="D1006" s="51">
        <v>44915.0</v>
      </c>
      <c r="E1006" s="52">
        <v>44896.0</v>
      </c>
      <c r="F1006" s="50" t="s">
        <v>4</v>
      </c>
      <c r="G1006" s="59" t="s">
        <v>5</v>
      </c>
      <c r="H1006" s="54" t="s">
        <v>62</v>
      </c>
      <c r="I1006" s="54" t="s">
        <v>7</v>
      </c>
      <c r="J1006" s="55">
        <v>25.0</v>
      </c>
      <c r="K1006" s="56">
        <v>115.0</v>
      </c>
      <c r="L1006" s="57">
        <v>-150.0</v>
      </c>
      <c r="M1006" s="58">
        <v>124.0</v>
      </c>
      <c r="N1006" s="33">
        <f t="shared" si="155"/>
        <v>2875</v>
      </c>
      <c r="O1006" s="59">
        <v>3808.0</v>
      </c>
      <c r="P1006" s="34">
        <f t="shared" si="14"/>
        <v>33.11304348</v>
      </c>
      <c r="Q1006" s="60"/>
      <c r="R1006" s="36">
        <f t="shared" si="156"/>
        <v>124</v>
      </c>
      <c r="S1006" s="61">
        <v>-17.0</v>
      </c>
      <c r="T1006" s="37">
        <f t="shared" si="157"/>
        <v>107</v>
      </c>
      <c r="U1006" s="62">
        <v>1.0</v>
      </c>
      <c r="V1006" s="63"/>
      <c r="W1006" s="63"/>
      <c r="X1006" s="83">
        <v>0.23</v>
      </c>
      <c r="Y1006" s="35">
        <f t="shared" si="163"/>
        <v>0</v>
      </c>
      <c r="Z1006" s="40">
        <f t="shared" si="159"/>
        <v>82.39</v>
      </c>
      <c r="AA1006" s="34">
        <f t="shared" ref="AA1006:AA1018" si="164">if(AD1006="EUR",((T1006-R1006)*X1006)*U1006+(R1006*X1006),(T1006*X1006))</f>
        <v>24.61</v>
      </c>
      <c r="AB1006" s="41">
        <f t="shared" si="161"/>
        <v>0</v>
      </c>
      <c r="AC1006" s="42" t="b">
        <v>1</v>
      </c>
      <c r="AD1006" s="42" t="s">
        <v>138</v>
      </c>
      <c r="AE1006" s="42" t="s">
        <v>138</v>
      </c>
      <c r="AF1006" s="42" t="str">
        <f t="array" ref="AF1006">INDEX('Deal Info'!D:D, MATCH(A1006,'Deal Info'!A:A, 0))</f>
        <v>DoEVni</v>
      </c>
      <c r="AG1006" s="43" t="str">
        <f t="array" ref="AG1006">INDEX('Deal Info'!G:G, MATCH(A1006,'Deal Info'!A:A, 0))</f>
        <v>None</v>
      </c>
    </row>
    <row r="1007" hidden="1">
      <c r="A1007" s="23" t="str">
        <f t="array" ref="A1007">if(G1007='Room Info'!$B$1, INDEX('Room Info'!$A$2:$A3446, MATCH(B1007,'Room Info'!$B$2:$B3446, 0)),if(G1007='Room Info'!$C$1, INDEX('Room Info'!$A$2:$A3446, MATCH(B1007,'Room Info'!$C$2:$C3446, 0)),if(G1007='Room Info'!$D$1, INDEX('Room Info'!$A$2:$A3446, MATCH(B1007,'Room Info'!$D$2:$D3446, 0)),if(G1007='Room Info'!$E$1, INDEX('Room Info'!$A$2:$A3446, MATCH(B1007,'Room Info'!$E$2:$E3446, 0)),if(G1007='Room Info'!$F$1, INDEX('Room Info'!$A$2:$A3446, MATCH(B1007,'Room Info'!$F$2:$F3446, 0)),if(G1007='Room Info'!$H$1, INDEX('Room Info'!$A$2:$A3446, MATCH(B1007,'Room Info'!$H$2:$H3446, 0)),if(G1007='Room Info'!$G$1, INDEX('Room Info'!$A$2:$A3446, MATCH(B1007,'Room Info'!$G$2:$G3446, 0)))))))))</f>
        <v>Night Kin9</v>
      </c>
      <c r="B1007" s="59" t="s">
        <v>205</v>
      </c>
      <c r="C1007" s="51">
        <v>44886.0</v>
      </c>
      <c r="D1007" s="51">
        <v>44915.0</v>
      </c>
      <c r="E1007" s="52">
        <v>44896.0</v>
      </c>
      <c r="F1007" s="50" t="s">
        <v>4</v>
      </c>
      <c r="G1007" s="59" t="s">
        <v>5</v>
      </c>
      <c r="H1007" s="54" t="s">
        <v>63</v>
      </c>
      <c r="I1007" s="54" t="s">
        <v>11</v>
      </c>
      <c r="J1007" s="55">
        <v>25.0</v>
      </c>
      <c r="K1007" s="56">
        <v>5359.0</v>
      </c>
      <c r="L1007" s="57">
        <v>-250.0</v>
      </c>
      <c r="M1007" s="58">
        <v>5791.0</v>
      </c>
      <c r="N1007" s="33">
        <f t="shared" si="155"/>
        <v>133975</v>
      </c>
      <c r="O1007" s="59">
        <v>51997.0</v>
      </c>
      <c r="P1007" s="34">
        <f t="shared" si="14"/>
        <v>9.702743049</v>
      </c>
      <c r="Q1007" s="60"/>
      <c r="R1007" s="36">
        <f t="shared" si="156"/>
        <v>5791</v>
      </c>
      <c r="S1007" s="61">
        <v>-4999.0</v>
      </c>
      <c r="T1007" s="37">
        <f t="shared" si="157"/>
        <v>792</v>
      </c>
      <c r="U1007" s="62">
        <v>1.0</v>
      </c>
      <c r="V1007" s="63"/>
      <c r="W1007" s="63"/>
      <c r="X1007" s="83">
        <v>0.23</v>
      </c>
      <c r="Y1007" s="35">
        <f t="shared" si="163"/>
        <v>0</v>
      </c>
      <c r="Z1007" s="40">
        <f t="shared" si="159"/>
        <v>609.84</v>
      </c>
      <c r="AA1007" s="34">
        <f t="shared" si="164"/>
        <v>182.16</v>
      </c>
      <c r="AB1007" s="41">
        <f t="shared" si="161"/>
        <v>0</v>
      </c>
      <c r="AC1007" s="42" t="b">
        <v>1</v>
      </c>
      <c r="AD1007" s="42" t="s">
        <v>138</v>
      </c>
      <c r="AE1007" s="42" t="s">
        <v>138</v>
      </c>
      <c r="AF1007" s="42" t="str">
        <f t="array" ref="AF1007">INDEX('Deal Info'!D:D, MATCH(A1007,'Deal Info'!A:A, 0))</f>
        <v>DoEVni</v>
      </c>
      <c r="AG1007" s="43" t="str">
        <f t="array" ref="AG1007">INDEX('Deal Info'!G:G, MATCH(A1007,'Deal Info'!A:A, 0))</f>
        <v>None</v>
      </c>
    </row>
    <row r="1008" hidden="1">
      <c r="A1008" s="23" t="str">
        <f t="array" ref="A1008">if(G1008='Room Info'!$B$1, INDEX('Room Info'!$A$2:$A3446, MATCH(B1008,'Room Info'!$B$2:$B3446, 0)),if(G1008='Room Info'!$C$1, INDEX('Room Info'!$A$2:$A3446, MATCH(B1008,'Room Info'!$C$2:$C3446, 0)),if(G1008='Room Info'!$D$1, INDEX('Room Info'!$A$2:$A3446, MATCH(B1008,'Room Info'!$D$2:$D3446, 0)),if(G1008='Room Info'!$E$1, INDEX('Room Info'!$A$2:$A3446, MATCH(B1008,'Room Info'!$E$2:$E3446, 0)),if(G1008='Room Info'!$F$1, INDEX('Room Info'!$A$2:$A3446, MATCH(B1008,'Room Info'!$F$2:$F3446, 0)),if(G1008='Room Info'!$H$1, INDEX('Room Info'!$A$2:$A3446, MATCH(B1008,'Room Info'!$H$2:$H3446, 0)),if(G1008='Room Info'!$G$1, INDEX('Room Info'!$A$2:$A3446, MATCH(B1008,'Room Info'!$G$2:$G3446, 0)))))))))</f>
        <v>Night Kin9</v>
      </c>
      <c r="B1008" s="50" t="s">
        <v>205</v>
      </c>
      <c r="C1008" s="51">
        <v>44886.0</v>
      </c>
      <c r="D1008" s="51">
        <v>44915.0</v>
      </c>
      <c r="E1008" s="52">
        <v>44896.0</v>
      </c>
      <c r="F1008" s="53" t="s">
        <v>4</v>
      </c>
      <c r="G1008" s="50" t="s">
        <v>5</v>
      </c>
      <c r="H1008" s="54" t="s">
        <v>74</v>
      </c>
      <c r="I1008" s="54" t="s">
        <v>7</v>
      </c>
      <c r="J1008" s="55">
        <v>50.0</v>
      </c>
      <c r="K1008" s="56">
        <v>1172.0</v>
      </c>
      <c r="L1008" s="57">
        <v>-1200.0</v>
      </c>
      <c r="M1008" s="58">
        <v>2533.0</v>
      </c>
      <c r="N1008" s="33">
        <f t="shared" si="155"/>
        <v>58600</v>
      </c>
      <c r="O1008" s="59">
        <v>24531.0</v>
      </c>
      <c r="P1008" s="34">
        <f t="shared" si="14"/>
        <v>20.93088737</v>
      </c>
      <c r="Q1008" s="60"/>
      <c r="R1008" s="36">
        <f t="shared" si="156"/>
        <v>2533</v>
      </c>
      <c r="S1008" s="61">
        <v>-1669.0</v>
      </c>
      <c r="T1008" s="37">
        <f t="shared" si="157"/>
        <v>864</v>
      </c>
      <c r="U1008" s="62">
        <v>1.0</v>
      </c>
      <c r="V1008" s="63"/>
      <c r="W1008" s="63"/>
      <c r="X1008" s="83">
        <v>0.23</v>
      </c>
      <c r="Y1008" s="35">
        <f t="shared" si="163"/>
        <v>0</v>
      </c>
      <c r="Z1008" s="40">
        <f t="shared" si="159"/>
        <v>665.28</v>
      </c>
      <c r="AA1008" s="34">
        <f t="shared" si="164"/>
        <v>198.72</v>
      </c>
      <c r="AB1008" s="41">
        <f t="shared" si="161"/>
        <v>0</v>
      </c>
      <c r="AC1008" s="42" t="b">
        <v>1</v>
      </c>
      <c r="AD1008" s="42" t="s">
        <v>138</v>
      </c>
      <c r="AE1008" s="42" t="s">
        <v>138</v>
      </c>
      <c r="AF1008" s="42" t="str">
        <f t="array" ref="AF1008">INDEX('Deal Info'!D:D, MATCH(A1008,'Deal Info'!A:A, 0))</f>
        <v>DoEVni</v>
      </c>
      <c r="AG1008" s="43" t="str">
        <f t="array" ref="AG1008">INDEX('Deal Info'!G:G, MATCH(A1008,'Deal Info'!A:A, 0))</f>
        <v>None</v>
      </c>
    </row>
    <row r="1009" hidden="1">
      <c r="A1009" s="23" t="str">
        <f t="array" ref="A1009">if(G1009='Room Info'!$B$1, INDEX('Room Info'!$A$2:$A3446, MATCH(B1009,'Room Info'!$B$2:$B3446, 0)),if(G1009='Room Info'!$C$1, INDEX('Room Info'!$A$2:$A3446, MATCH(B1009,'Room Info'!$C$2:$C3446, 0)),if(G1009='Room Info'!$D$1, INDEX('Room Info'!$A$2:$A3446, MATCH(B1009,'Room Info'!$D$2:$D3446, 0)),if(G1009='Room Info'!$E$1, INDEX('Room Info'!$A$2:$A3446, MATCH(B1009,'Room Info'!$E$2:$E3446, 0)),if(G1009='Room Info'!$F$1, INDEX('Room Info'!$A$2:$A3446, MATCH(B1009,'Room Info'!$F$2:$F3446, 0)),if(G1009='Room Info'!$H$1, INDEX('Room Info'!$A$2:$A3446, MATCH(B1009,'Room Info'!$H$2:$H3446, 0)),if(G1009='Room Info'!$G$1, INDEX('Room Info'!$A$2:$A3446, MATCH(B1009,'Room Info'!$G$2:$G3446, 0)))))))))</f>
        <v>Night Kin9</v>
      </c>
      <c r="B1009" s="50" t="s">
        <v>205</v>
      </c>
      <c r="C1009" s="51">
        <v>44886.0</v>
      </c>
      <c r="D1009" s="51">
        <v>44915.0</v>
      </c>
      <c r="E1009" s="52">
        <v>44896.0</v>
      </c>
      <c r="F1009" s="53" t="s">
        <v>4</v>
      </c>
      <c r="G1009" s="50" t="s">
        <v>5</v>
      </c>
      <c r="H1009" s="54" t="s">
        <v>75</v>
      </c>
      <c r="I1009" s="54" t="s">
        <v>11</v>
      </c>
      <c r="J1009" s="55">
        <v>50.0</v>
      </c>
      <c r="K1009" s="56">
        <v>5355.0</v>
      </c>
      <c r="L1009" s="57">
        <v>-13300.0</v>
      </c>
      <c r="M1009" s="58">
        <v>11573.0</v>
      </c>
      <c r="N1009" s="33">
        <f t="shared" si="155"/>
        <v>267750</v>
      </c>
      <c r="O1009" s="59">
        <v>34365.0</v>
      </c>
      <c r="P1009" s="34">
        <f t="shared" si="14"/>
        <v>6.417366947</v>
      </c>
      <c r="Q1009" s="60"/>
      <c r="R1009" s="36">
        <f t="shared" si="156"/>
        <v>11573</v>
      </c>
      <c r="S1009" s="61">
        <v>-12710.0</v>
      </c>
      <c r="T1009" s="37">
        <f t="shared" si="157"/>
        <v>-1137</v>
      </c>
      <c r="U1009" s="62">
        <v>1.0</v>
      </c>
      <c r="V1009" s="63"/>
      <c r="W1009" s="63"/>
      <c r="X1009" s="83">
        <v>0.23</v>
      </c>
      <c r="Y1009" s="35">
        <f t="shared" si="163"/>
        <v>0</v>
      </c>
      <c r="Z1009" s="40">
        <f t="shared" si="159"/>
        <v>-875.49</v>
      </c>
      <c r="AA1009" s="34">
        <f t="shared" si="164"/>
        <v>-261.51</v>
      </c>
      <c r="AB1009" s="41">
        <f t="shared" si="161"/>
        <v>0</v>
      </c>
      <c r="AC1009" s="42" t="b">
        <v>1</v>
      </c>
      <c r="AD1009" s="42" t="s">
        <v>138</v>
      </c>
      <c r="AE1009" s="42" t="s">
        <v>138</v>
      </c>
      <c r="AF1009" s="42" t="str">
        <f t="array" ref="AF1009">INDEX('Deal Info'!D:D, MATCH(A1009,'Deal Info'!A:A, 0))</f>
        <v>DoEVni</v>
      </c>
      <c r="AG1009" s="43" t="str">
        <f t="array" ref="AG1009">INDEX('Deal Info'!G:G, MATCH(A1009,'Deal Info'!A:A, 0))</f>
        <v>None</v>
      </c>
    </row>
    <row r="1010" hidden="1">
      <c r="A1010" s="23" t="str">
        <f t="array" ref="A1010">if(G1010='Room Info'!$B$1, INDEX('Room Info'!$A$2:$A3446, MATCH(B1010,'Room Info'!$B$2:$B3446, 0)),if(G1010='Room Info'!$C$1, INDEX('Room Info'!$A$2:$A3446, MATCH(B1010,'Room Info'!$C$2:$C3446, 0)),if(G1010='Room Info'!$D$1, INDEX('Room Info'!$A$2:$A3446, MATCH(B1010,'Room Info'!$D$2:$D3446, 0)),if(G1010='Room Info'!$E$1, INDEX('Room Info'!$A$2:$A3446, MATCH(B1010,'Room Info'!$E$2:$E3446, 0)),if(G1010='Room Info'!$F$1, INDEX('Room Info'!$A$2:$A3446, MATCH(B1010,'Room Info'!$F$2:$F3446, 0)),if(G1010='Room Info'!$H$1, INDEX('Room Info'!$A$2:$A3446, MATCH(B1010,'Room Info'!$H$2:$H3446, 0)),if(G1010='Room Info'!$G$1, INDEX('Room Info'!$A$2:$A3446, MATCH(B1010,'Room Info'!$G$2:$G3446, 0)))))))))</f>
        <v>Night Kin9</v>
      </c>
      <c r="B1010" s="50" t="s">
        <v>205</v>
      </c>
      <c r="C1010" s="51">
        <v>44886.0</v>
      </c>
      <c r="D1010" s="51">
        <v>44915.0</v>
      </c>
      <c r="E1010" s="52">
        <v>44896.0</v>
      </c>
      <c r="F1010" s="53" t="s">
        <v>12</v>
      </c>
      <c r="G1010" s="50" t="s">
        <v>5</v>
      </c>
      <c r="H1010" s="54" t="s">
        <v>6</v>
      </c>
      <c r="I1010" s="54" t="s">
        <v>7</v>
      </c>
      <c r="J1010" s="55">
        <v>0.25</v>
      </c>
      <c r="K1010" s="56">
        <v>1.0</v>
      </c>
      <c r="L1010" s="57">
        <v>0.0</v>
      </c>
      <c r="M1010" s="58">
        <v>0.0</v>
      </c>
      <c r="N1010" s="33">
        <f t="shared" si="155"/>
        <v>0.25</v>
      </c>
      <c r="O1010" s="70"/>
      <c r="P1010" s="34">
        <f t="shared" si="14"/>
        <v>0</v>
      </c>
      <c r="Q1010" s="60"/>
      <c r="R1010" s="36">
        <f t="shared" si="156"/>
        <v>0</v>
      </c>
      <c r="S1010" s="71"/>
      <c r="T1010" s="37">
        <f t="shared" si="157"/>
        <v>0</v>
      </c>
      <c r="U1010" s="62">
        <v>1.0</v>
      </c>
      <c r="V1010" s="63"/>
      <c r="W1010" s="63"/>
      <c r="X1010" s="83">
        <v>0.23</v>
      </c>
      <c r="Y1010" s="35">
        <f t="shared" si="163"/>
        <v>0</v>
      </c>
      <c r="Z1010" s="40">
        <f t="shared" si="159"/>
        <v>0</v>
      </c>
      <c r="AA1010" s="34">
        <f t="shared" si="164"/>
        <v>0</v>
      </c>
      <c r="AB1010" s="41">
        <f t="shared" si="161"/>
        <v>0</v>
      </c>
      <c r="AC1010" s="42" t="b">
        <v>1</v>
      </c>
      <c r="AD1010" s="42" t="s">
        <v>138</v>
      </c>
      <c r="AE1010" s="42" t="s">
        <v>138</v>
      </c>
      <c r="AF1010" s="42" t="str">
        <f t="array" ref="AF1010">INDEX('Deal Info'!D:D, MATCH(A1010,'Deal Info'!A:A, 0))</f>
        <v>DoEVni</v>
      </c>
      <c r="AG1010" s="43" t="str">
        <f t="array" ref="AG1010">INDEX('Deal Info'!G:G, MATCH(A1010,'Deal Info'!A:A, 0))</f>
        <v>None</v>
      </c>
    </row>
    <row r="1011" hidden="1">
      <c r="A1011" s="23" t="str">
        <f t="array" ref="A1011">if(G1011='Room Info'!$B$1, INDEX('Room Info'!$A$2:$A3446, MATCH(B1011,'Room Info'!$B$2:$B3446, 0)),if(G1011='Room Info'!$C$1, INDEX('Room Info'!$A$2:$A3446, MATCH(B1011,'Room Info'!$C$2:$C3446, 0)),if(G1011='Room Info'!$D$1, INDEX('Room Info'!$A$2:$A3446, MATCH(B1011,'Room Info'!$D$2:$D3446, 0)),if(G1011='Room Info'!$E$1, INDEX('Room Info'!$A$2:$A3446, MATCH(B1011,'Room Info'!$E$2:$E3446, 0)),if(G1011='Room Info'!$F$1, INDEX('Room Info'!$A$2:$A3446, MATCH(B1011,'Room Info'!$F$2:$F3446, 0)),if(G1011='Room Info'!$H$1, INDEX('Room Info'!$A$2:$A3446, MATCH(B1011,'Room Info'!$H$2:$H3446, 0)),if(G1011='Room Info'!$G$1, INDEX('Room Info'!$A$2:$A3446, MATCH(B1011,'Room Info'!$G$2:$G3446, 0)))))))))</f>
        <v>Night Kin9</v>
      </c>
      <c r="B1011" s="50" t="s">
        <v>205</v>
      </c>
      <c r="C1011" s="51">
        <v>44886.0</v>
      </c>
      <c r="D1011" s="51">
        <v>44915.0</v>
      </c>
      <c r="E1011" s="52">
        <v>44896.0</v>
      </c>
      <c r="F1011" s="53" t="s">
        <v>12</v>
      </c>
      <c r="G1011" s="50" t="s">
        <v>5</v>
      </c>
      <c r="H1011" s="54" t="s">
        <v>20</v>
      </c>
      <c r="I1011" s="54" t="s">
        <v>7</v>
      </c>
      <c r="J1011" s="55">
        <v>1.0</v>
      </c>
      <c r="K1011" s="56">
        <v>4.0</v>
      </c>
      <c r="L1011" s="57">
        <v>3.0</v>
      </c>
      <c r="M1011" s="58">
        <v>0.0</v>
      </c>
      <c r="N1011" s="33">
        <f t="shared" si="155"/>
        <v>4</v>
      </c>
      <c r="O1011" s="70"/>
      <c r="P1011" s="34">
        <f t="shared" si="14"/>
        <v>0</v>
      </c>
      <c r="Q1011" s="60"/>
      <c r="R1011" s="36">
        <f t="shared" si="156"/>
        <v>0</v>
      </c>
      <c r="S1011" s="71"/>
      <c r="T1011" s="37">
        <f t="shared" si="157"/>
        <v>3</v>
      </c>
      <c r="U1011" s="62">
        <v>1.0</v>
      </c>
      <c r="V1011" s="63"/>
      <c r="W1011" s="63"/>
      <c r="X1011" s="83">
        <v>0.23</v>
      </c>
      <c r="Y1011" s="35">
        <f t="shared" si="163"/>
        <v>0</v>
      </c>
      <c r="Z1011" s="40">
        <f t="shared" si="159"/>
        <v>2.31</v>
      </c>
      <c r="AA1011" s="34">
        <f t="shared" si="164"/>
        <v>0.69</v>
      </c>
      <c r="AB1011" s="41">
        <f t="shared" si="161"/>
        <v>0</v>
      </c>
      <c r="AC1011" s="42" t="b">
        <v>1</v>
      </c>
      <c r="AD1011" s="42" t="s">
        <v>138</v>
      </c>
      <c r="AE1011" s="42" t="s">
        <v>138</v>
      </c>
      <c r="AF1011" s="42" t="str">
        <f t="array" ref="AF1011">INDEX('Deal Info'!D:D, MATCH(A1011,'Deal Info'!A:A, 0))</f>
        <v>DoEVni</v>
      </c>
      <c r="AG1011" s="43" t="str">
        <f t="array" ref="AG1011">INDEX('Deal Info'!G:G, MATCH(A1011,'Deal Info'!A:A, 0))</f>
        <v>None</v>
      </c>
    </row>
    <row r="1012" hidden="1">
      <c r="A1012" s="23" t="str">
        <f t="array" ref="A1012">if(G1012='Room Info'!$B$1, INDEX('Room Info'!$A$2:$A3446, MATCH(B1012,'Room Info'!$B$2:$B3446, 0)),if(G1012='Room Info'!$C$1, INDEX('Room Info'!$A$2:$A3446, MATCH(B1012,'Room Info'!$C$2:$C3446, 0)),if(G1012='Room Info'!$D$1, INDEX('Room Info'!$A$2:$A3446, MATCH(B1012,'Room Info'!$D$2:$D3446, 0)),if(G1012='Room Info'!$E$1, INDEX('Room Info'!$A$2:$A3446, MATCH(B1012,'Room Info'!$E$2:$E3446, 0)),if(G1012='Room Info'!$F$1, INDEX('Room Info'!$A$2:$A3446, MATCH(B1012,'Room Info'!$F$2:$F3446, 0)),if(G1012='Room Info'!$H$1, INDEX('Room Info'!$A$2:$A3446, MATCH(B1012,'Room Info'!$H$2:$H3446, 0)),if(G1012='Room Info'!$G$1, INDEX('Room Info'!$A$2:$A3446, MATCH(B1012,'Room Info'!$G$2:$G3446, 0)))))))))</f>
        <v>Night Kin9</v>
      </c>
      <c r="B1012" s="50" t="s">
        <v>205</v>
      </c>
      <c r="C1012" s="104">
        <v>44886.0</v>
      </c>
      <c r="D1012" s="104">
        <v>44915.0</v>
      </c>
      <c r="E1012" s="52">
        <v>44896.0</v>
      </c>
      <c r="F1012" s="50" t="s">
        <v>12</v>
      </c>
      <c r="G1012" s="50" t="s">
        <v>5</v>
      </c>
      <c r="H1012" s="54" t="s">
        <v>23</v>
      </c>
      <c r="I1012" s="54" t="s">
        <v>11</v>
      </c>
      <c r="J1012" s="79">
        <v>1.0</v>
      </c>
      <c r="K1012" s="80">
        <v>1.0</v>
      </c>
      <c r="L1012" s="77">
        <v>1.0</v>
      </c>
      <c r="M1012" s="81">
        <v>0.0</v>
      </c>
      <c r="N1012" s="33">
        <f t="shared" si="155"/>
        <v>1</v>
      </c>
      <c r="O1012" s="101"/>
      <c r="P1012" s="34">
        <f t="shared" si="14"/>
        <v>0</v>
      </c>
      <c r="Q1012" s="60"/>
      <c r="R1012" s="36">
        <f t="shared" si="156"/>
        <v>0</v>
      </c>
      <c r="S1012" s="102"/>
      <c r="T1012" s="37">
        <f t="shared" si="157"/>
        <v>1</v>
      </c>
      <c r="U1012" s="62">
        <v>1.0</v>
      </c>
      <c r="V1012" s="63"/>
      <c r="W1012" s="63"/>
      <c r="X1012" s="83">
        <v>0.23</v>
      </c>
      <c r="Y1012" s="35">
        <f t="shared" si="163"/>
        <v>0</v>
      </c>
      <c r="Z1012" s="40">
        <f t="shared" si="159"/>
        <v>0.77</v>
      </c>
      <c r="AA1012" s="34">
        <f t="shared" si="164"/>
        <v>0.23</v>
      </c>
      <c r="AB1012" s="41">
        <f t="shared" si="161"/>
        <v>0</v>
      </c>
      <c r="AC1012" s="42" t="b">
        <v>1</v>
      </c>
      <c r="AD1012" s="42" t="s">
        <v>138</v>
      </c>
      <c r="AE1012" s="42" t="s">
        <v>138</v>
      </c>
      <c r="AF1012" s="42" t="str">
        <f t="array" ref="AF1012">INDEX('Deal Info'!D:D, MATCH(A1012,'Deal Info'!A:A, 0))</f>
        <v>DoEVni</v>
      </c>
      <c r="AG1012" s="43" t="str">
        <f t="array" ref="AG1012">INDEX('Deal Info'!G:G, MATCH(A1012,'Deal Info'!A:A, 0))</f>
        <v>None</v>
      </c>
    </row>
    <row r="1013" hidden="1">
      <c r="A1013" s="23" t="str">
        <f t="array" ref="A1013">if(G1013='Room Info'!$B$1, INDEX('Room Info'!$A$2:$A3446, MATCH(B1013,'Room Info'!$B$2:$B3446, 0)),if(G1013='Room Info'!$C$1, INDEX('Room Info'!$A$2:$A3446, MATCH(B1013,'Room Info'!$C$2:$C3446, 0)),if(G1013='Room Info'!$D$1, INDEX('Room Info'!$A$2:$A3446, MATCH(B1013,'Room Info'!$D$2:$D3446, 0)),if(G1013='Room Info'!$E$1, INDEX('Room Info'!$A$2:$A3446, MATCH(B1013,'Room Info'!$E$2:$E3446, 0)),if(G1013='Room Info'!$F$1, INDEX('Room Info'!$A$2:$A3446, MATCH(B1013,'Room Info'!$F$2:$F3446, 0)),if(G1013='Room Info'!$H$1, INDEX('Room Info'!$A$2:$A3446, MATCH(B1013,'Room Info'!$H$2:$H3446, 0)),if(G1013='Room Info'!$G$1, INDEX('Room Info'!$A$2:$A3446, MATCH(B1013,'Room Info'!$G$2:$G3446, 0)))))))))</f>
        <v>Night Kin9</v>
      </c>
      <c r="B1013" s="50" t="s">
        <v>205</v>
      </c>
      <c r="C1013" s="51">
        <v>44886.0</v>
      </c>
      <c r="D1013" s="51">
        <v>44915.0</v>
      </c>
      <c r="E1013" s="52">
        <v>44896.0</v>
      </c>
      <c r="F1013" s="53" t="s">
        <v>12</v>
      </c>
      <c r="G1013" s="50" t="s">
        <v>5</v>
      </c>
      <c r="H1013" s="54" t="s">
        <v>29</v>
      </c>
      <c r="I1013" s="54" t="s">
        <v>11</v>
      </c>
      <c r="J1013" s="55">
        <v>2.0</v>
      </c>
      <c r="K1013" s="56">
        <v>1.0</v>
      </c>
      <c r="L1013" s="57">
        <v>2.0</v>
      </c>
      <c r="M1013" s="58">
        <v>0.0</v>
      </c>
      <c r="N1013" s="33">
        <f t="shared" si="155"/>
        <v>2</v>
      </c>
      <c r="O1013" s="70"/>
      <c r="P1013" s="34">
        <f t="shared" si="14"/>
        <v>0</v>
      </c>
      <c r="Q1013" s="60"/>
      <c r="R1013" s="36">
        <f t="shared" si="156"/>
        <v>0</v>
      </c>
      <c r="S1013" s="71"/>
      <c r="T1013" s="37">
        <f t="shared" si="157"/>
        <v>2</v>
      </c>
      <c r="U1013" s="62">
        <v>1.0</v>
      </c>
      <c r="V1013" s="63"/>
      <c r="W1013" s="63"/>
      <c r="X1013" s="83">
        <v>0.23</v>
      </c>
      <c r="Y1013" s="35">
        <f t="shared" si="163"/>
        <v>0</v>
      </c>
      <c r="Z1013" s="40">
        <f t="shared" si="159"/>
        <v>1.54</v>
      </c>
      <c r="AA1013" s="34">
        <f t="shared" si="164"/>
        <v>0.46</v>
      </c>
      <c r="AB1013" s="41">
        <f t="shared" si="161"/>
        <v>0</v>
      </c>
      <c r="AC1013" s="42" t="b">
        <v>1</v>
      </c>
      <c r="AD1013" s="42" t="s">
        <v>138</v>
      </c>
      <c r="AE1013" s="42" t="s">
        <v>138</v>
      </c>
      <c r="AF1013" s="42" t="str">
        <f t="array" ref="AF1013">INDEX('Deal Info'!D:D, MATCH(A1013,'Deal Info'!A:A, 0))</f>
        <v>DoEVni</v>
      </c>
      <c r="AG1013" s="43" t="str">
        <f t="array" ref="AG1013">INDEX('Deal Info'!G:G, MATCH(A1013,'Deal Info'!A:A, 0))</f>
        <v>None</v>
      </c>
    </row>
    <row r="1014" hidden="1">
      <c r="A1014" s="23" t="str">
        <f t="array" ref="A1014">if(G1014='Room Info'!$B$1, INDEX('Room Info'!$A$2:$A3446, MATCH(B1014,'Room Info'!$B$2:$B3446, 0)),if(G1014='Room Info'!$C$1, INDEX('Room Info'!$A$2:$A3446, MATCH(B1014,'Room Info'!$C$2:$C3446, 0)),if(G1014='Room Info'!$D$1, INDEX('Room Info'!$A$2:$A3446, MATCH(B1014,'Room Info'!$D$2:$D3446, 0)),if(G1014='Room Info'!$E$1, INDEX('Room Info'!$A$2:$A3446, MATCH(B1014,'Room Info'!$E$2:$E3446, 0)),if(G1014='Room Info'!$F$1, INDEX('Room Info'!$A$2:$A3446, MATCH(B1014,'Room Info'!$F$2:$F3446, 0)),if(G1014='Room Info'!$H$1, INDEX('Room Info'!$A$2:$A3446, MATCH(B1014,'Room Info'!$H$2:$H3446, 0)),if(G1014='Room Info'!$G$1, INDEX('Room Info'!$A$2:$A3446, MATCH(B1014,'Room Info'!$G$2:$G3446, 0)))))))))</f>
        <v>Night Kin9</v>
      </c>
      <c r="B1014" s="50" t="s">
        <v>205</v>
      </c>
      <c r="C1014" s="104">
        <v>44916.0</v>
      </c>
      <c r="D1014" s="104">
        <v>44946.0</v>
      </c>
      <c r="E1014" s="52">
        <v>44927.0</v>
      </c>
      <c r="F1014" s="53" t="s">
        <v>4</v>
      </c>
      <c r="G1014" s="50" t="s">
        <v>5</v>
      </c>
      <c r="H1014" s="54" t="s">
        <v>62</v>
      </c>
      <c r="I1014" s="54" t="s">
        <v>7</v>
      </c>
      <c r="J1014" s="79">
        <v>25.0</v>
      </c>
      <c r="K1014" s="80">
        <v>84.0</v>
      </c>
      <c r="L1014" s="77">
        <v>-275.0</v>
      </c>
      <c r="M1014" s="81">
        <v>91.0</v>
      </c>
      <c r="N1014" s="33">
        <f t="shared" si="155"/>
        <v>2100</v>
      </c>
      <c r="O1014" s="50">
        <v>-8040.0</v>
      </c>
      <c r="P1014" s="34">
        <f t="shared" si="14"/>
        <v>-95.71428571</v>
      </c>
      <c r="Q1014" s="60"/>
      <c r="R1014" s="36">
        <f t="shared" si="156"/>
        <v>91</v>
      </c>
      <c r="S1014" s="78">
        <v>-498.0</v>
      </c>
      <c r="T1014" s="37">
        <f t="shared" si="157"/>
        <v>-407</v>
      </c>
      <c r="U1014" s="62">
        <v>1.0</v>
      </c>
      <c r="V1014" s="63"/>
      <c r="W1014" s="63"/>
      <c r="X1014" s="83">
        <v>0.12</v>
      </c>
      <c r="Y1014" s="35">
        <f t="shared" si="163"/>
        <v>0</v>
      </c>
      <c r="Z1014" s="40">
        <f t="shared" si="159"/>
        <v>-358.16</v>
      </c>
      <c r="AA1014" s="34">
        <f t="shared" si="164"/>
        <v>-48.84</v>
      </c>
      <c r="AB1014" s="41">
        <f t="shared" si="161"/>
        <v>0</v>
      </c>
      <c r="AC1014" s="42" t="b">
        <v>1</v>
      </c>
      <c r="AD1014" s="42" t="s">
        <v>138</v>
      </c>
      <c r="AE1014" s="42" t="s">
        <v>138</v>
      </c>
      <c r="AF1014" s="42" t="str">
        <f t="array" ref="AF1014">INDEX('Deal Info'!D:D, MATCH(A1014,'Deal Info'!A:A, 0))</f>
        <v>DoEVni</v>
      </c>
      <c r="AG1014" s="43" t="str">
        <f t="array" ref="AG1014">INDEX('Deal Info'!G:G, MATCH(A1014,'Deal Info'!A:A, 0))</f>
        <v>None</v>
      </c>
    </row>
    <row r="1015" hidden="1">
      <c r="A1015" s="23" t="str">
        <f t="array" ref="A1015">if(G1015='Room Info'!$B$1, INDEX('Room Info'!$A$2:$A3446, MATCH(B1015,'Room Info'!$B$2:$B3446, 0)),if(G1015='Room Info'!$C$1, INDEX('Room Info'!$A$2:$A3446, MATCH(B1015,'Room Info'!$C$2:$C3446, 0)),if(G1015='Room Info'!$D$1, INDEX('Room Info'!$A$2:$A3446, MATCH(B1015,'Room Info'!$D$2:$D3446, 0)),if(G1015='Room Info'!$E$1, INDEX('Room Info'!$A$2:$A3446, MATCH(B1015,'Room Info'!$E$2:$E3446, 0)),if(G1015='Room Info'!$F$1, INDEX('Room Info'!$A$2:$A3446, MATCH(B1015,'Room Info'!$F$2:$F3446, 0)),if(G1015='Room Info'!$H$1, INDEX('Room Info'!$A$2:$A3446, MATCH(B1015,'Room Info'!$H$2:$H3446, 0)),if(G1015='Room Info'!$G$1, INDEX('Room Info'!$A$2:$A3446, MATCH(B1015,'Room Info'!$G$2:$G3446, 0)))))))))</f>
        <v>Night Kin9</v>
      </c>
      <c r="B1015" s="50" t="s">
        <v>205</v>
      </c>
      <c r="C1015" s="104">
        <v>44916.0</v>
      </c>
      <c r="D1015" s="104">
        <v>44946.0</v>
      </c>
      <c r="E1015" s="52">
        <v>44927.0</v>
      </c>
      <c r="F1015" s="53" t="s">
        <v>4</v>
      </c>
      <c r="G1015" s="59" t="s">
        <v>5</v>
      </c>
      <c r="H1015" s="54" t="s">
        <v>63</v>
      </c>
      <c r="I1015" s="54" t="s">
        <v>11</v>
      </c>
      <c r="J1015" s="79">
        <v>25.0</v>
      </c>
      <c r="K1015" s="80">
        <v>3074.0</v>
      </c>
      <c r="L1015" s="77">
        <v>4525.0</v>
      </c>
      <c r="M1015" s="58">
        <v>3319.0</v>
      </c>
      <c r="N1015" s="33">
        <f t="shared" si="155"/>
        <v>76850</v>
      </c>
      <c r="O1015" s="50">
        <v>31155.0</v>
      </c>
      <c r="P1015" s="34">
        <f t="shared" si="14"/>
        <v>10.13500325</v>
      </c>
      <c r="Q1015" s="60"/>
      <c r="R1015" s="36">
        <f t="shared" si="156"/>
        <v>3319</v>
      </c>
      <c r="S1015" s="78">
        <v>-2358.0</v>
      </c>
      <c r="T1015" s="37">
        <f t="shared" si="157"/>
        <v>961</v>
      </c>
      <c r="U1015" s="62">
        <v>1.0</v>
      </c>
      <c r="V1015" s="63"/>
      <c r="W1015" s="63"/>
      <c r="X1015" s="83">
        <v>0.12</v>
      </c>
      <c r="Y1015" s="35">
        <f t="shared" si="163"/>
        <v>0</v>
      </c>
      <c r="Z1015" s="40">
        <f t="shared" si="159"/>
        <v>845.68</v>
      </c>
      <c r="AA1015" s="34">
        <f t="shared" si="164"/>
        <v>115.32</v>
      </c>
      <c r="AB1015" s="41">
        <f t="shared" si="161"/>
        <v>0</v>
      </c>
      <c r="AC1015" s="42" t="b">
        <v>1</v>
      </c>
      <c r="AD1015" s="42" t="s">
        <v>138</v>
      </c>
      <c r="AE1015" s="42" t="s">
        <v>138</v>
      </c>
      <c r="AF1015" s="42" t="str">
        <f t="array" ref="AF1015">INDEX('Deal Info'!D:D, MATCH(A1015,'Deal Info'!A:A, 0))</f>
        <v>DoEVni</v>
      </c>
      <c r="AG1015" s="43" t="str">
        <f t="array" ref="AG1015">INDEX('Deal Info'!G:G, MATCH(A1015,'Deal Info'!A:A, 0))</f>
        <v>None</v>
      </c>
    </row>
    <row r="1016" hidden="1">
      <c r="A1016" s="23" t="str">
        <f t="array" ref="A1016">if(G1016='Room Info'!$B$1, INDEX('Room Info'!$A$2:$A3446, MATCH(B1016,'Room Info'!$B$2:$B3446, 0)),if(G1016='Room Info'!$C$1, INDEX('Room Info'!$A$2:$A3446, MATCH(B1016,'Room Info'!$C$2:$C3446, 0)),if(G1016='Room Info'!$D$1, INDEX('Room Info'!$A$2:$A3446, MATCH(B1016,'Room Info'!$D$2:$D3446, 0)),if(G1016='Room Info'!$E$1, INDEX('Room Info'!$A$2:$A3446, MATCH(B1016,'Room Info'!$E$2:$E3446, 0)),if(G1016='Room Info'!$F$1, INDEX('Room Info'!$A$2:$A3446, MATCH(B1016,'Room Info'!$F$2:$F3446, 0)),if(G1016='Room Info'!$H$1, INDEX('Room Info'!$A$2:$A3446, MATCH(B1016,'Room Info'!$H$2:$H3446, 0)),if(G1016='Room Info'!$G$1, INDEX('Room Info'!$A$2:$A3446, MATCH(B1016,'Room Info'!$G$2:$G3446, 0)))))))))</f>
        <v>Night Kin9</v>
      </c>
      <c r="B1016" s="50" t="s">
        <v>205</v>
      </c>
      <c r="C1016" s="104">
        <v>44916.0</v>
      </c>
      <c r="D1016" s="104">
        <v>44946.0</v>
      </c>
      <c r="E1016" s="52">
        <v>44927.0</v>
      </c>
      <c r="F1016" s="53" t="s">
        <v>4</v>
      </c>
      <c r="G1016" s="59" t="s">
        <v>5</v>
      </c>
      <c r="H1016" s="54" t="s">
        <v>74</v>
      </c>
      <c r="I1016" s="54" t="s">
        <v>7</v>
      </c>
      <c r="J1016" s="79">
        <v>50.0</v>
      </c>
      <c r="K1016" s="80">
        <v>584.0</v>
      </c>
      <c r="L1016" s="77">
        <v>-1700.0</v>
      </c>
      <c r="M1016" s="58">
        <v>1261.0</v>
      </c>
      <c r="N1016" s="33">
        <f t="shared" si="155"/>
        <v>29200</v>
      </c>
      <c r="O1016" s="50">
        <v>15974.0</v>
      </c>
      <c r="P1016" s="34">
        <f t="shared" si="14"/>
        <v>27.35273973</v>
      </c>
      <c r="Q1016" s="60"/>
      <c r="R1016" s="36">
        <f t="shared" si="156"/>
        <v>1261</v>
      </c>
      <c r="S1016" s="78">
        <v>-327.0</v>
      </c>
      <c r="T1016" s="37">
        <f t="shared" si="157"/>
        <v>934</v>
      </c>
      <c r="U1016" s="62">
        <v>1.0</v>
      </c>
      <c r="V1016" s="63"/>
      <c r="W1016" s="63"/>
      <c r="X1016" s="83">
        <v>0.12</v>
      </c>
      <c r="Y1016" s="35">
        <f t="shared" si="163"/>
        <v>0</v>
      </c>
      <c r="Z1016" s="40">
        <f t="shared" si="159"/>
        <v>821.92</v>
      </c>
      <c r="AA1016" s="34">
        <f t="shared" si="164"/>
        <v>112.08</v>
      </c>
      <c r="AB1016" s="41">
        <f t="shared" si="161"/>
        <v>0</v>
      </c>
      <c r="AC1016" s="42" t="b">
        <v>1</v>
      </c>
      <c r="AD1016" s="42" t="s">
        <v>138</v>
      </c>
      <c r="AE1016" s="42" t="s">
        <v>138</v>
      </c>
      <c r="AF1016" s="42" t="str">
        <f t="array" ref="AF1016">INDEX('Deal Info'!D:D, MATCH(A1016,'Deal Info'!A:A, 0))</f>
        <v>DoEVni</v>
      </c>
      <c r="AG1016" s="43" t="str">
        <f t="array" ref="AG1016">INDEX('Deal Info'!G:G, MATCH(A1016,'Deal Info'!A:A, 0))</f>
        <v>None</v>
      </c>
    </row>
    <row r="1017" hidden="1">
      <c r="A1017" s="23" t="str">
        <f t="array" ref="A1017">if(G1017='Room Info'!$B$1, INDEX('Room Info'!$A$2:$A3446, MATCH(B1017,'Room Info'!$B$2:$B3446, 0)),if(G1017='Room Info'!$C$1, INDEX('Room Info'!$A$2:$A3446, MATCH(B1017,'Room Info'!$C$2:$C3446, 0)),if(G1017='Room Info'!$D$1, INDEX('Room Info'!$A$2:$A3446, MATCH(B1017,'Room Info'!$D$2:$D3446, 0)),if(G1017='Room Info'!$E$1, INDEX('Room Info'!$A$2:$A3446, MATCH(B1017,'Room Info'!$E$2:$E3446, 0)),if(G1017='Room Info'!$F$1, INDEX('Room Info'!$A$2:$A3446, MATCH(B1017,'Room Info'!$F$2:$F3446, 0)),if(G1017='Room Info'!$H$1, INDEX('Room Info'!$A$2:$A3446, MATCH(B1017,'Room Info'!$H$2:$H3446, 0)),if(G1017='Room Info'!$G$1, INDEX('Room Info'!$A$2:$A3446, MATCH(B1017,'Room Info'!$G$2:$G3446, 0)))))))))</f>
        <v>Night Kin9</v>
      </c>
      <c r="B1017" s="50" t="s">
        <v>205</v>
      </c>
      <c r="C1017" s="51">
        <v>44916.0</v>
      </c>
      <c r="D1017" s="51">
        <v>44946.0</v>
      </c>
      <c r="E1017" s="52">
        <v>44927.0</v>
      </c>
      <c r="F1017" s="53" t="s">
        <v>4</v>
      </c>
      <c r="G1017" s="50" t="s">
        <v>5</v>
      </c>
      <c r="H1017" s="54" t="s">
        <v>75</v>
      </c>
      <c r="I1017" s="54" t="s">
        <v>11</v>
      </c>
      <c r="J1017" s="55">
        <v>50.0</v>
      </c>
      <c r="K1017" s="56">
        <v>7103.0</v>
      </c>
      <c r="L1017" s="57">
        <v>-16600.0</v>
      </c>
      <c r="M1017" s="58">
        <v>15336.0</v>
      </c>
      <c r="N1017" s="33">
        <f t="shared" si="155"/>
        <v>355150</v>
      </c>
      <c r="O1017" s="59">
        <v>88391.0</v>
      </c>
      <c r="P1017" s="34">
        <f t="shared" si="14"/>
        <v>12.44417852</v>
      </c>
      <c r="Q1017" s="60"/>
      <c r="R1017" s="36">
        <f t="shared" si="156"/>
        <v>15336</v>
      </c>
      <c r="S1017" s="61">
        <v>-8317.0</v>
      </c>
      <c r="T1017" s="37">
        <f t="shared" si="157"/>
        <v>7019</v>
      </c>
      <c r="U1017" s="62">
        <v>1.0</v>
      </c>
      <c r="V1017" s="63"/>
      <c r="W1017" s="63"/>
      <c r="X1017" s="83">
        <v>0.12</v>
      </c>
      <c r="Y1017" s="35">
        <f t="shared" si="163"/>
        <v>0</v>
      </c>
      <c r="Z1017" s="40">
        <f t="shared" si="159"/>
        <v>6176.72</v>
      </c>
      <c r="AA1017" s="34">
        <f t="shared" si="164"/>
        <v>842.28</v>
      </c>
      <c r="AB1017" s="41">
        <f t="shared" si="161"/>
        <v>0</v>
      </c>
      <c r="AC1017" s="42" t="b">
        <v>1</v>
      </c>
      <c r="AD1017" s="42" t="s">
        <v>138</v>
      </c>
      <c r="AE1017" s="42" t="s">
        <v>138</v>
      </c>
      <c r="AF1017" s="42" t="str">
        <f t="array" ref="AF1017">INDEX('Deal Info'!D:D, MATCH(A1017,'Deal Info'!A:A, 0))</f>
        <v>DoEVni</v>
      </c>
      <c r="AG1017" s="43" t="str">
        <f t="array" ref="AG1017">INDEX('Deal Info'!G:G, MATCH(A1017,'Deal Info'!A:A, 0))</f>
        <v>None</v>
      </c>
    </row>
    <row r="1018" hidden="1">
      <c r="A1018" s="23" t="str">
        <f t="array" ref="A1018">if(G1018='Room Info'!$B$1, INDEX('Room Info'!$A$2:$A3446, MATCH(B1018,'Room Info'!$B$2:$B3446, 0)),if(G1018='Room Info'!$C$1, INDEX('Room Info'!$A$2:$A3446, MATCH(B1018,'Room Info'!$C$2:$C3446, 0)),if(G1018='Room Info'!$D$1, INDEX('Room Info'!$A$2:$A3446, MATCH(B1018,'Room Info'!$D$2:$D3446, 0)),if(G1018='Room Info'!$E$1, INDEX('Room Info'!$A$2:$A3446, MATCH(B1018,'Room Info'!$E$2:$E3446, 0)),if(G1018='Room Info'!$F$1, INDEX('Room Info'!$A$2:$A3446, MATCH(B1018,'Room Info'!$F$2:$F3446, 0)),if(G1018='Room Info'!$H$1, INDEX('Room Info'!$A$2:$A3446, MATCH(B1018,'Room Info'!$H$2:$H3446, 0)),if(G1018='Room Info'!$G$1, INDEX('Room Info'!$A$2:$A3446, MATCH(B1018,'Room Info'!$G$2:$G3446, 0)))))))))</f>
        <v>Night Kin9</v>
      </c>
      <c r="B1018" s="50" t="s">
        <v>205</v>
      </c>
      <c r="C1018" s="51">
        <v>44916.0</v>
      </c>
      <c r="D1018" s="51">
        <v>44946.0</v>
      </c>
      <c r="E1018" s="52">
        <v>44927.0</v>
      </c>
      <c r="F1018" s="53" t="s">
        <v>12</v>
      </c>
      <c r="G1018" s="50" t="s">
        <v>5</v>
      </c>
      <c r="H1018" s="54" t="s">
        <v>38</v>
      </c>
      <c r="I1018" s="54" t="s">
        <v>11</v>
      </c>
      <c r="J1018" s="55">
        <v>5.0</v>
      </c>
      <c r="K1018" s="56">
        <v>12.0</v>
      </c>
      <c r="L1018" s="57">
        <v>-20.0</v>
      </c>
      <c r="M1018" s="58">
        <v>3.0</v>
      </c>
      <c r="N1018" s="33">
        <f t="shared" si="155"/>
        <v>60</v>
      </c>
      <c r="O1018" s="70"/>
      <c r="P1018" s="34">
        <f t="shared" si="14"/>
        <v>0</v>
      </c>
      <c r="Q1018" s="60"/>
      <c r="R1018" s="36">
        <f t="shared" si="156"/>
        <v>3</v>
      </c>
      <c r="S1018" s="71"/>
      <c r="T1018" s="37">
        <f t="shared" si="157"/>
        <v>-17</v>
      </c>
      <c r="U1018" s="62">
        <v>1.0</v>
      </c>
      <c r="V1018" s="63"/>
      <c r="W1018" s="63"/>
      <c r="X1018" s="83">
        <v>0.12</v>
      </c>
      <c r="Y1018" s="35">
        <f t="shared" si="163"/>
        <v>0</v>
      </c>
      <c r="Z1018" s="40">
        <f t="shared" si="159"/>
        <v>-14.96</v>
      </c>
      <c r="AA1018" s="34">
        <f t="shared" si="164"/>
        <v>-2.04</v>
      </c>
      <c r="AB1018" s="41">
        <f t="shared" si="161"/>
        <v>0</v>
      </c>
      <c r="AC1018" s="42" t="b">
        <v>1</v>
      </c>
      <c r="AD1018" s="42" t="s">
        <v>138</v>
      </c>
      <c r="AE1018" s="42" t="s">
        <v>138</v>
      </c>
      <c r="AF1018" s="42" t="str">
        <f t="array" ref="AF1018">INDEX('Deal Info'!D:D, MATCH(A1018,'Deal Info'!A:A, 0))</f>
        <v>DoEVni</v>
      </c>
      <c r="AG1018" s="43" t="str">
        <f t="array" ref="AG1018">INDEX('Deal Info'!G:G, MATCH(A1018,'Deal Info'!A:A, 0))</f>
        <v>None</v>
      </c>
    </row>
    <row r="1019" hidden="1">
      <c r="A1019" s="23" t="b">
        <f t="array" ref="A1019">if(G1019='Room Info'!$B$1, INDEX('Room Info'!$A$2:$A3446, MATCH(B1019,'Room Info'!$B$2:$B3446, 0)),if(G1019='Room Info'!$C$1, INDEX('Room Info'!$A$2:$A3446, MATCH(B1019,'Room Info'!$C$2:$C3446, 0)),if(G1019='Room Info'!$D$1, INDEX('Room Info'!$A$2:$A3446, MATCH(B1019,'Room Info'!$D$2:$D3446, 0)),if(G1019='Room Info'!$E$1, INDEX('Room Info'!$A$2:$A3446, MATCH(B1019,'Room Info'!$E$2:$E3446, 0)),if(G1019='Room Info'!$F$1, INDEX('Room Info'!$A$2:$A3446, MATCH(B1019,'Room Info'!$F$2:$F3446, 0)),if(G1019='Room Info'!$H$1, INDEX('Room Info'!$A$2:$A3446, MATCH(B1019,'Room Info'!$H$2:$H3446, 0)),if(G1019='Room Info'!$G$1, INDEX('Room Info'!$A$2:$A3446, MATCH(B1019,'Room Info'!$G$2:$G3446, 0)))))))))</f>
        <v>0</v>
      </c>
      <c r="B1019" s="50" t="s">
        <v>206</v>
      </c>
      <c r="C1019" s="51">
        <v>44685.0</v>
      </c>
      <c r="D1019" s="51">
        <v>44712.0</v>
      </c>
      <c r="E1019" s="52">
        <v>44682.0</v>
      </c>
      <c r="F1019" s="53" t="s">
        <v>12</v>
      </c>
      <c r="G1019" s="50" t="s">
        <v>142</v>
      </c>
      <c r="H1019" s="54" t="s">
        <v>39</v>
      </c>
      <c r="I1019" s="54" t="s">
        <v>7</v>
      </c>
      <c r="J1019" s="55">
        <v>5.0</v>
      </c>
      <c r="K1019" s="56">
        <v>5.0</v>
      </c>
      <c r="L1019" s="57">
        <v>-1.3</v>
      </c>
      <c r="M1019" s="58">
        <v>1.0</v>
      </c>
      <c r="N1019" s="33">
        <f t="shared" si="155"/>
        <v>25</v>
      </c>
      <c r="O1019" s="59">
        <v>0.0</v>
      </c>
      <c r="P1019" s="34">
        <f t="shared" si="14"/>
        <v>0</v>
      </c>
      <c r="Q1019" s="60"/>
      <c r="R1019" s="36">
        <f t="shared" si="156"/>
        <v>1</v>
      </c>
      <c r="S1019" s="71"/>
      <c r="T1019" s="37">
        <f t="shared" si="157"/>
        <v>-0.3</v>
      </c>
      <c r="U1019" s="62">
        <v>1.0</v>
      </c>
      <c r="V1019" s="63"/>
      <c r="W1019" s="63"/>
      <c r="X1019" s="83">
        <v>0.3</v>
      </c>
      <c r="Y1019" s="35" t="str">
        <f t="shared" si="163"/>
        <v>#N/A</v>
      </c>
      <c r="Z1019" s="40" t="str">
        <f t="shared" si="159"/>
        <v>#N/A</v>
      </c>
      <c r="AA1019" s="65">
        <v>0.0</v>
      </c>
      <c r="AB1019" s="41" t="str">
        <f t="shared" si="161"/>
        <v>#N/A</v>
      </c>
      <c r="AC1019" s="42" t="b">
        <v>1</v>
      </c>
      <c r="AD1019" s="42" t="s">
        <v>138</v>
      </c>
      <c r="AE1019" s="42" t="s">
        <v>138</v>
      </c>
      <c r="AF1019" s="42" t="str">
        <f t="array" ref="AF1019">INDEX('Deal Info'!D:D, MATCH(A1019,'Deal Info'!A:A, 0))</f>
        <v>#N/A</v>
      </c>
      <c r="AG1019" s="43" t="str">
        <f t="array" ref="AG1019">INDEX('Deal Info'!G:G, MATCH(A1019,'Deal Info'!A:A, 0))</f>
        <v>#N/A</v>
      </c>
    </row>
    <row r="1020" hidden="1">
      <c r="A1020" s="23" t="b">
        <f t="array" ref="A1020">if(G1020='Room Info'!$B$1, INDEX('Room Info'!$A$2:$A3446, MATCH(B1020,'Room Info'!$B$2:$B3446, 0)),if(G1020='Room Info'!$C$1, INDEX('Room Info'!$A$2:$A3446, MATCH(B1020,'Room Info'!$C$2:$C3446, 0)),if(G1020='Room Info'!$D$1, INDEX('Room Info'!$A$2:$A3446, MATCH(B1020,'Room Info'!$D$2:$D3446, 0)),if(G1020='Room Info'!$E$1, INDEX('Room Info'!$A$2:$A3446, MATCH(B1020,'Room Info'!$E$2:$E3446, 0)),if(G1020='Room Info'!$F$1, INDEX('Room Info'!$A$2:$A3446, MATCH(B1020,'Room Info'!$F$2:$F3446, 0)),if(G1020='Room Info'!$H$1, INDEX('Room Info'!$A$2:$A3446, MATCH(B1020,'Room Info'!$H$2:$H3446, 0)),if(G1020='Room Info'!$G$1, INDEX('Room Info'!$A$2:$A3446, MATCH(B1020,'Room Info'!$G$2:$G3446, 0)))))))))</f>
        <v>0</v>
      </c>
      <c r="B1020" s="50" t="s">
        <v>206</v>
      </c>
      <c r="C1020" s="104">
        <v>44685.0</v>
      </c>
      <c r="D1020" s="104">
        <v>44712.0</v>
      </c>
      <c r="E1020" s="52">
        <v>44682.0</v>
      </c>
      <c r="F1020" s="50" t="s">
        <v>12</v>
      </c>
      <c r="G1020" s="50" t="s">
        <v>142</v>
      </c>
      <c r="H1020" s="54" t="s">
        <v>50</v>
      </c>
      <c r="I1020" s="54" t="s">
        <v>7</v>
      </c>
      <c r="J1020" s="79">
        <v>10.0</v>
      </c>
      <c r="K1020" s="80">
        <v>10.0</v>
      </c>
      <c r="L1020" s="77">
        <v>-5.19</v>
      </c>
      <c r="M1020" s="81">
        <v>4.0</v>
      </c>
      <c r="N1020" s="33">
        <f t="shared" si="155"/>
        <v>100</v>
      </c>
      <c r="O1020" s="50">
        <v>-150.0</v>
      </c>
      <c r="P1020" s="34">
        <f t="shared" si="14"/>
        <v>-15</v>
      </c>
      <c r="Q1020" s="60"/>
      <c r="R1020" s="36">
        <f t="shared" si="156"/>
        <v>4</v>
      </c>
      <c r="S1020" s="102"/>
      <c r="T1020" s="37">
        <f t="shared" si="157"/>
        <v>-1.19</v>
      </c>
      <c r="U1020" s="62">
        <v>1.0</v>
      </c>
      <c r="V1020" s="63"/>
      <c r="W1020" s="63"/>
      <c r="X1020" s="83">
        <v>0.3</v>
      </c>
      <c r="Y1020" s="35" t="str">
        <f t="shared" si="163"/>
        <v>#N/A</v>
      </c>
      <c r="Z1020" s="40" t="str">
        <f t="shared" si="159"/>
        <v>#N/A</v>
      </c>
      <c r="AA1020" s="65">
        <v>-1.0</v>
      </c>
      <c r="AB1020" s="41" t="str">
        <f t="shared" si="161"/>
        <v>#N/A</v>
      </c>
      <c r="AC1020" s="42" t="b">
        <v>1</v>
      </c>
      <c r="AD1020" s="42" t="s">
        <v>138</v>
      </c>
      <c r="AE1020" s="42" t="s">
        <v>138</v>
      </c>
      <c r="AF1020" s="42" t="str">
        <f t="array" ref="AF1020">INDEX('Deal Info'!D:D, MATCH(A1020,'Deal Info'!A:A, 0))</f>
        <v>#N/A</v>
      </c>
      <c r="AG1020" s="43" t="str">
        <f t="array" ref="AG1020">INDEX('Deal Info'!G:G, MATCH(A1020,'Deal Info'!A:A, 0))</f>
        <v>#N/A</v>
      </c>
    </row>
    <row r="1021" hidden="1">
      <c r="A1021" s="23" t="b">
        <f t="array" ref="A1021">if(G1021='Room Info'!$B$1, INDEX('Room Info'!$A$2:$A3446, MATCH(B1021,'Room Info'!$B$2:$B3446, 0)),if(G1021='Room Info'!$C$1, INDEX('Room Info'!$A$2:$A3446, MATCH(B1021,'Room Info'!$C$2:$C3446, 0)),if(G1021='Room Info'!$D$1, INDEX('Room Info'!$A$2:$A3446, MATCH(B1021,'Room Info'!$D$2:$D3446, 0)),if(G1021='Room Info'!$E$1, INDEX('Room Info'!$A$2:$A3446, MATCH(B1021,'Room Info'!$E$2:$E3446, 0)),if(G1021='Room Info'!$F$1, INDEX('Room Info'!$A$2:$A3446, MATCH(B1021,'Room Info'!$F$2:$F3446, 0)),if(G1021='Room Info'!$H$1, INDEX('Room Info'!$A$2:$A3446, MATCH(B1021,'Room Info'!$H$2:$H3446, 0)),if(G1021='Room Info'!$G$1, INDEX('Room Info'!$A$2:$A3446, MATCH(B1021,'Room Info'!$G$2:$G3446, 0)))))))))</f>
        <v>0</v>
      </c>
      <c r="B1021" s="50" t="s">
        <v>206</v>
      </c>
      <c r="C1021" s="104">
        <v>44685.0</v>
      </c>
      <c r="D1021" s="104">
        <v>44712.0</v>
      </c>
      <c r="E1021" s="52">
        <v>44682.0</v>
      </c>
      <c r="F1021" s="50" t="s">
        <v>12</v>
      </c>
      <c r="G1021" s="50" t="s">
        <v>142</v>
      </c>
      <c r="H1021" s="54" t="s">
        <v>61</v>
      </c>
      <c r="I1021" s="54" t="s">
        <v>7</v>
      </c>
      <c r="J1021" s="79">
        <v>20.0</v>
      </c>
      <c r="K1021" s="80">
        <v>1315.0</v>
      </c>
      <c r="L1021" s="77">
        <v>-1363.98</v>
      </c>
      <c r="M1021" s="81">
        <v>921.0</v>
      </c>
      <c r="N1021" s="33">
        <f t="shared" si="155"/>
        <v>26300</v>
      </c>
      <c r="O1021" s="50">
        <v>53915.0</v>
      </c>
      <c r="P1021" s="34">
        <f t="shared" si="14"/>
        <v>41</v>
      </c>
      <c r="Q1021" s="60"/>
      <c r="R1021" s="36">
        <f t="shared" si="156"/>
        <v>921</v>
      </c>
      <c r="S1021" s="102"/>
      <c r="T1021" s="37">
        <f t="shared" si="157"/>
        <v>-442.98</v>
      </c>
      <c r="U1021" s="62">
        <v>1.0</v>
      </c>
      <c r="V1021" s="63"/>
      <c r="W1021" s="63"/>
      <c r="X1021" s="83">
        <v>0.3</v>
      </c>
      <c r="Y1021" s="35" t="str">
        <f t="shared" si="163"/>
        <v>#N/A</v>
      </c>
      <c r="Z1021" s="40" t="str">
        <f t="shared" si="159"/>
        <v>#N/A</v>
      </c>
      <c r="AA1021" s="65">
        <v>-133.0</v>
      </c>
      <c r="AB1021" s="41" t="str">
        <f t="shared" si="161"/>
        <v>#N/A</v>
      </c>
      <c r="AC1021" s="42" t="b">
        <v>1</v>
      </c>
      <c r="AD1021" s="42" t="s">
        <v>138</v>
      </c>
      <c r="AE1021" s="42" t="s">
        <v>138</v>
      </c>
      <c r="AF1021" s="42" t="str">
        <f t="array" ref="AF1021">INDEX('Deal Info'!D:D, MATCH(A1021,'Deal Info'!A:A, 0))</f>
        <v>#N/A</v>
      </c>
      <c r="AG1021" s="43" t="str">
        <f t="array" ref="AG1021">INDEX('Deal Info'!G:G, MATCH(A1021,'Deal Info'!A:A, 0))</f>
        <v>#N/A</v>
      </c>
    </row>
    <row r="1022" hidden="1">
      <c r="A1022" s="23" t="b">
        <f t="array" ref="A1022">if(G1022='Room Info'!$B$1, INDEX('Room Info'!$A$2:$A3446, MATCH(B1022,'Room Info'!$B$2:$B3446, 0)),if(G1022='Room Info'!$C$1, INDEX('Room Info'!$A$2:$A3446, MATCH(B1022,'Room Info'!$C$2:$C3446, 0)),if(G1022='Room Info'!$D$1, INDEX('Room Info'!$A$2:$A3446, MATCH(B1022,'Room Info'!$D$2:$D3446, 0)),if(G1022='Room Info'!$E$1, INDEX('Room Info'!$A$2:$A3446, MATCH(B1022,'Room Info'!$E$2:$E3446, 0)),if(G1022='Room Info'!$F$1, INDEX('Room Info'!$A$2:$A3446, MATCH(B1022,'Room Info'!$F$2:$F3446, 0)),if(G1022='Room Info'!$H$1, INDEX('Room Info'!$A$2:$A3446, MATCH(B1022,'Room Info'!$H$2:$H3446, 0)),if(G1022='Room Info'!$G$1, INDEX('Room Info'!$A$2:$A3446, MATCH(B1022,'Room Info'!$G$2:$G3446, 0)))))))))</f>
        <v>0</v>
      </c>
      <c r="B1022" s="50" t="s">
        <v>206</v>
      </c>
      <c r="C1022" s="104">
        <v>44685.0</v>
      </c>
      <c r="D1022" s="104">
        <v>44712.0</v>
      </c>
      <c r="E1022" s="52">
        <v>44682.0</v>
      </c>
      <c r="F1022" s="50" t="s">
        <v>12</v>
      </c>
      <c r="G1022" s="50" t="s">
        <v>142</v>
      </c>
      <c r="H1022" s="54" t="s">
        <v>77</v>
      </c>
      <c r="I1022" s="54" t="s">
        <v>7</v>
      </c>
      <c r="J1022" s="79">
        <v>50.0</v>
      </c>
      <c r="K1022" s="80">
        <v>183.0</v>
      </c>
      <c r="L1022" s="77">
        <v>-474.54</v>
      </c>
      <c r="M1022" s="81">
        <v>320.0</v>
      </c>
      <c r="N1022" s="33">
        <f t="shared" si="155"/>
        <v>9150</v>
      </c>
      <c r="O1022" s="50">
        <v>-3294.0</v>
      </c>
      <c r="P1022" s="34">
        <f t="shared" si="14"/>
        <v>-18</v>
      </c>
      <c r="Q1022" s="60"/>
      <c r="R1022" s="36">
        <f t="shared" si="156"/>
        <v>320</v>
      </c>
      <c r="S1022" s="102"/>
      <c r="T1022" s="37">
        <f t="shared" si="157"/>
        <v>-154.54</v>
      </c>
      <c r="U1022" s="62">
        <v>1.0</v>
      </c>
      <c r="V1022" s="63"/>
      <c r="W1022" s="63"/>
      <c r="X1022" s="83">
        <v>0.3</v>
      </c>
      <c r="Y1022" s="35" t="str">
        <f t="shared" si="163"/>
        <v>#N/A</v>
      </c>
      <c r="Z1022" s="40" t="str">
        <f t="shared" si="159"/>
        <v>#N/A</v>
      </c>
      <c r="AA1022" s="65">
        <v>-46.0</v>
      </c>
      <c r="AB1022" s="41" t="str">
        <f t="shared" si="161"/>
        <v>#N/A</v>
      </c>
      <c r="AC1022" s="42" t="b">
        <v>1</v>
      </c>
      <c r="AD1022" s="42" t="s">
        <v>138</v>
      </c>
      <c r="AE1022" s="42" t="s">
        <v>138</v>
      </c>
      <c r="AF1022" s="42" t="str">
        <f t="array" ref="AF1022">INDEX('Deal Info'!D:D, MATCH(A1022,'Deal Info'!A:A, 0))</f>
        <v>#N/A</v>
      </c>
      <c r="AG1022" s="43" t="str">
        <f t="array" ref="AG1022">INDEX('Deal Info'!G:G, MATCH(A1022,'Deal Info'!A:A, 0))</f>
        <v>#N/A</v>
      </c>
    </row>
    <row r="1023" hidden="1">
      <c r="A1023" s="23" t="b">
        <f t="array" ref="A1023">if(G1023='Room Info'!$B$1, INDEX('Room Info'!$A$2:$A3446, MATCH(B1023,'Room Info'!$B$2:$B3446, 0)),if(G1023='Room Info'!$C$1, INDEX('Room Info'!$A$2:$A3446, MATCH(B1023,'Room Info'!$C$2:$C3446, 0)),if(G1023='Room Info'!$D$1, INDEX('Room Info'!$A$2:$A3446, MATCH(B1023,'Room Info'!$D$2:$D3446, 0)),if(G1023='Room Info'!$E$1, INDEX('Room Info'!$A$2:$A3446, MATCH(B1023,'Room Info'!$E$2:$E3446, 0)),if(G1023='Room Info'!$F$1, INDEX('Room Info'!$A$2:$A3446, MATCH(B1023,'Room Info'!$F$2:$F3446, 0)),if(G1023='Room Info'!$H$1, INDEX('Room Info'!$A$2:$A3446, MATCH(B1023,'Room Info'!$H$2:$H3446, 0)),if(G1023='Room Info'!$G$1, INDEX('Room Info'!$A$2:$A3446, MATCH(B1023,'Room Info'!$G$2:$G3446, 0)))))))))</f>
        <v>0</v>
      </c>
      <c r="B1023" s="50" t="s">
        <v>206</v>
      </c>
      <c r="C1023" s="104">
        <v>44713.0</v>
      </c>
      <c r="D1023" s="104">
        <v>44742.0</v>
      </c>
      <c r="E1023" s="52">
        <v>44713.0</v>
      </c>
      <c r="F1023" s="50" t="s">
        <v>12</v>
      </c>
      <c r="G1023" s="50" t="s">
        <v>142</v>
      </c>
      <c r="H1023" s="54" t="s">
        <v>39</v>
      </c>
      <c r="I1023" s="54" t="s">
        <v>7</v>
      </c>
      <c r="J1023" s="79">
        <v>5.0</v>
      </c>
      <c r="K1023" s="80">
        <v>8.0</v>
      </c>
      <c r="L1023" s="77">
        <v>-0.5</v>
      </c>
      <c r="M1023" s="81">
        <v>1.0</v>
      </c>
      <c r="N1023" s="33">
        <f t="shared" si="155"/>
        <v>40</v>
      </c>
      <c r="O1023" s="50">
        <v>-31.0</v>
      </c>
      <c r="P1023" s="34">
        <f t="shared" si="14"/>
        <v>-3.875</v>
      </c>
      <c r="Q1023" s="60"/>
      <c r="R1023" s="36">
        <f t="shared" si="156"/>
        <v>1</v>
      </c>
      <c r="S1023" s="102"/>
      <c r="T1023" s="37">
        <f t="shared" si="157"/>
        <v>0.5</v>
      </c>
      <c r="U1023" s="62">
        <v>1.0</v>
      </c>
      <c r="V1023" s="63"/>
      <c r="W1023" s="63"/>
      <c r="X1023" s="83">
        <v>0.3</v>
      </c>
      <c r="Y1023" s="35" t="str">
        <f t="shared" si="163"/>
        <v>#N/A</v>
      </c>
      <c r="Z1023" s="40" t="str">
        <f t="shared" si="159"/>
        <v>#N/A</v>
      </c>
      <c r="AA1023" s="65">
        <v>0.0</v>
      </c>
      <c r="AB1023" s="41" t="str">
        <f t="shared" si="161"/>
        <v>#N/A</v>
      </c>
      <c r="AC1023" s="42" t="b">
        <v>1</v>
      </c>
      <c r="AD1023" s="42" t="s">
        <v>138</v>
      </c>
      <c r="AE1023" s="42" t="s">
        <v>138</v>
      </c>
      <c r="AF1023" s="42" t="str">
        <f t="array" ref="AF1023">INDEX('Deal Info'!D:D, MATCH(A1023,'Deal Info'!A:A, 0))</f>
        <v>#N/A</v>
      </c>
      <c r="AG1023" s="43" t="str">
        <f t="array" ref="AG1023">INDEX('Deal Info'!G:G, MATCH(A1023,'Deal Info'!A:A, 0))</f>
        <v>#N/A</v>
      </c>
    </row>
    <row r="1024" hidden="1">
      <c r="A1024" s="23" t="b">
        <f t="array" ref="A1024">if(G1024='Room Info'!$B$1, INDEX('Room Info'!$A$2:$A3446, MATCH(B1024,'Room Info'!$B$2:$B3446, 0)),if(G1024='Room Info'!$C$1, INDEX('Room Info'!$A$2:$A3446, MATCH(B1024,'Room Info'!$C$2:$C3446, 0)),if(G1024='Room Info'!$D$1, INDEX('Room Info'!$A$2:$A3446, MATCH(B1024,'Room Info'!$D$2:$D3446, 0)),if(G1024='Room Info'!$E$1, INDEX('Room Info'!$A$2:$A3446, MATCH(B1024,'Room Info'!$E$2:$E3446, 0)),if(G1024='Room Info'!$F$1, INDEX('Room Info'!$A$2:$A3446, MATCH(B1024,'Room Info'!$F$2:$F3446, 0)),if(G1024='Room Info'!$H$1, INDEX('Room Info'!$A$2:$A3446, MATCH(B1024,'Room Info'!$H$2:$H3446, 0)),if(G1024='Room Info'!$G$1, INDEX('Room Info'!$A$2:$A3446, MATCH(B1024,'Room Info'!$G$2:$G3446, 0)))))))))</f>
        <v>0</v>
      </c>
      <c r="B1024" s="50" t="s">
        <v>206</v>
      </c>
      <c r="C1024" s="104">
        <v>44713.0</v>
      </c>
      <c r="D1024" s="104">
        <v>44742.0</v>
      </c>
      <c r="E1024" s="52">
        <v>44713.0</v>
      </c>
      <c r="F1024" s="50" t="s">
        <v>12</v>
      </c>
      <c r="G1024" s="50" t="s">
        <v>142</v>
      </c>
      <c r="H1024" s="54" t="s">
        <v>50</v>
      </c>
      <c r="I1024" s="54" t="s">
        <v>7</v>
      </c>
      <c r="J1024" s="79">
        <v>10.0</v>
      </c>
      <c r="K1024" s="80">
        <v>4.0</v>
      </c>
      <c r="L1024" s="77">
        <v>-0.5</v>
      </c>
      <c r="M1024" s="81">
        <v>1.0</v>
      </c>
      <c r="N1024" s="33">
        <f t="shared" si="155"/>
        <v>40</v>
      </c>
      <c r="O1024" s="50">
        <v>168.0</v>
      </c>
      <c r="P1024" s="34">
        <f t="shared" si="14"/>
        <v>42</v>
      </c>
      <c r="Q1024" s="60"/>
      <c r="R1024" s="36">
        <f t="shared" si="156"/>
        <v>1</v>
      </c>
      <c r="S1024" s="102"/>
      <c r="T1024" s="37">
        <f t="shared" si="157"/>
        <v>0.5</v>
      </c>
      <c r="U1024" s="62">
        <v>1.0</v>
      </c>
      <c r="V1024" s="63"/>
      <c r="W1024" s="63"/>
      <c r="X1024" s="83">
        <v>0.3</v>
      </c>
      <c r="Y1024" s="35" t="str">
        <f t="shared" si="163"/>
        <v>#N/A</v>
      </c>
      <c r="Z1024" s="40" t="str">
        <f t="shared" si="159"/>
        <v>#N/A</v>
      </c>
      <c r="AA1024" s="65">
        <v>0.0</v>
      </c>
      <c r="AB1024" s="41" t="str">
        <f t="shared" si="161"/>
        <v>#N/A</v>
      </c>
      <c r="AC1024" s="42" t="b">
        <v>1</v>
      </c>
      <c r="AD1024" s="42" t="s">
        <v>138</v>
      </c>
      <c r="AE1024" s="42" t="s">
        <v>138</v>
      </c>
      <c r="AF1024" s="42" t="str">
        <f t="array" ref="AF1024">INDEX('Deal Info'!D:D, MATCH(A1024,'Deal Info'!A:A, 0))</f>
        <v>#N/A</v>
      </c>
      <c r="AG1024" s="43" t="str">
        <f t="array" ref="AG1024">INDEX('Deal Info'!G:G, MATCH(A1024,'Deal Info'!A:A, 0))</f>
        <v>#N/A</v>
      </c>
    </row>
    <row r="1025" hidden="1">
      <c r="A1025" s="23" t="b">
        <f t="array" ref="A1025">if(G1025='Room Info'!$B$1, INDEX('Room Info'!$A$2:$A3446, MATCH(B1025,'Room Info'!$B$2:$B3446, 0)),if(G1025='Room Info'!$C$1, INDEX('Room Info'!$A$2:$A3446, MATCH(B1025,'Room Info'!$C$2:$C3446, 0)),if(G1025='Room Info'!$D$1, INDEX('Room Info'!$A$2:$A3446, MATCH(B1025,'Room Info'!$D$2:$D3446, 0)),if(G1025='Room Info'!$E$1, INDEX('Room Info'!$A$2:$A3446, MATCH(B1025,'Room Info'!$E$2:$E3446, 0)),if(G1025='Room Info'!$F$1, INDEX('Room Info'!$A$2:$A3446, MATCH(B1025,'Room Info'!$F$2:$F3446, 0)),if(G1025='Room Info'!$H$1, INDEX('Room Info'!$A$2:$A3446, MATCH(B1025,'Room Info'!$H$2:$H3446, 0)),if(G1025='Room Info'!$G$1, INDEX('Room Info'!$A$2:$A3446, MATCH(B1025,'Room Info'!$G$2:$G3446, 0)))))))))</f>
        <v>0</v>
      </c>
      <c r="B1025" s="59" t="s">
        <v>206</v>
      </c>
      <c r="C1025" s="104">
        <v>44713.0</v>
      </c>
      <c r="D1025" s="104">
        <v>44742.0</v>
      </c>
      <c r="E1025" s="52">
        <v>44713.0</v>
      </c>
      <c r="F1025" s="53" t="s">
        <v>12</v>
      </c>
      <c r="G1025" s="59" t="s">
        <v>142</v>
      </c>
      <c r="H1025" s="54" t="s">
        <v>61</v>
      </c>
      <c r="I1025" s="54" t="s">
        <v>7</v>
      </c>
      <c r="J1025" s="79">
        <v>20.0</v>
      </c>
      <c r="K1025" s="80">
        <v>1718.0</v>
      </c>
      <c r="L1025" s="77">
        <v>-429.1</v>
      </c>
      <c r="M1025" s="58">
        <v>1203.0</v>
      </c>
      <c r="N1025" s="33">
        <f t="shared" si="155"/>
        <v>34360</v>
      </c>
      <c r="O1025" s="50">
        <v>62360.0</v>
      </c>
      <c r="P1025" s="34">
        <f t="shared" si="14"/>
        <v>36.29802095</v>
      </c>
      <c r="Q1025" s="60"/>
      <c r="R1025" s="36">
        <f t="shared" si="156"/>
        <v>1203</v>
      </c>
      <c r="S1025" s="102"/>
      <c r="T1025" s="37">
        <f t="shared" si="157"/>
        <v>773.9</v>
      </c>
      <c r="U1025" s="62">
        <v>1.0</v>
      </c>
      <c r="V1025" s="63"/>
      <c r="W1025" s="63"/>
      <c r="X1025" s="83">
        <v>0.3</v>
      </c>
      <c r="Y1025" s="35" t="str">
        <f t="shared" si="163"/>
        <v>#N/A</v>
      </c>
      <c r="Z1025" s="40" t="str">
        <f t="shared" si="159"/>
        <v>#N/A</v>
      </c>
      <c r="AA1025" s="65">
        <v>232.0</v>
      </c>
      <c r="AB1025" s="41" t="str">
        <f t="shared" si="161"/>
        <v>#N/A</v>
      </c>
      <c r="AC1025" s="42" t="b">
        <v>1</v>
      </c>
      <c r="AD1025" s="42" t="s">
        <v>138</v>
      </c>
      <c r="AE1025" s="42" t="s">
        <v>138</v>
      </c>
      <c r="AF1025" s="42" t="str">
        <f t="array" ref="AF1025">INDEX('Deal Info'!D:D, MATCH(A1025,'Deal Info'!A:A, 0))</f>
        <v>#N/A</v>
      </c>
      <c r="AG1025" s="43" t="str">
        <f t="array" ref="AG1025">INDEX('Deal Info'!G:G, MATCH(A1025,'Deal Info'!A:A, 0))</f>
        <v>#N/A</v>
      </c>
    </row>
    <row r="1026" hidden="1">
      <c r="A1026" s="23" t="b">
        <f t="array" ref="A1026">if(G1026='Room Info'!$B$1, INDEX('Room Info'!$A$2:$A3446, MATCH(B1026,'Room Info'!$B$2:$B3446, 0)),if(G1026='Room Info'!$C$1, INDEX('Room Info'!$A$2:$A3446, MATCH(B1026,'Room Info'!$C$2:$C3446, 0)),if(G1026='Room Info'!$D$1, INDEX('Room Info'!$A$2:$A3446, MATCH(B1026,'Room Info'!$D$2:$D3446, 0)),if(G1026='Room Info'!$E$1, INDEX('Room Info'!$A$2:$A3446, MATCH(B1026,'Room Info'!$E$2:$E3446, 0)),if(G1026='Room Info'!$F$1, INDEX('Room Info'!$A$2:$A3446, MATCH(B1026,'Room Info'!$F$2:$F3446, 0)),if(G1026='Room Info'!$H$1, INDEX('Room Info'!$A$2:$A3446, MATCH(B1026,'Room Info'!$H$2:$H3446, 0)),if(G1026='Room Info'!$G$1, INDEX('Room Info'!$A$2:$A3446, MATCH(B1026,'Room Info'!$G$2:$G3446, 0)))))))))</f>
        <v>0</v>
      </c>
      <c r="B1026" s="59" t="s">
        <v>206</v>
      </c>
      <c r="C1026" s="104">
        <v>44713.0</v>
      </c>
      <c r="D1026" s="104">
        <v>44742.0</v>
      </c>
      <c r="E1026" s="52">
        <v>44713.0</v>
      </c>
      <c r="F1026" s="53" t="s">
        <v>12</v>
      </c>
      <c r="G1026" s="59" t="s">
        <v>142</v>
      </c>
      <c r="H1026" s="54" t="s">
        <v>77</v>
      </c>
      <c r="I1026" s="54" t="s">
        <v>7</v>
      </c>
      <c r="J1026" s="79">
        <v>50.0</v>
      </c>
      <c r="K1026" s="80">
        <v>160.0</v>
      </c>
      <c r="L1026" s="77">
        <v>-99.91</v>
      </c>
      <c r="M1026" s="58">
        <v>280.0</v>
      </c>
      <c r="N1026" s="33">
        <f t="shared" si="155"/>
        <v>8000</v>
      </c>
      <c r="O1026" s="50">
        <v>4860.0</v>
      </c>
      <c r="P1026" s="34">
        <f t="shared" si="14"/>
        <v>30.375</v>
      </c>
      <c r="Q1026" s="60"/>
      <c r="R1026" s="36">
        <f t="shared" si="156"/>
        <v>280</v>
      </c>
      <c r="S1026" s="102"/>
      <c r="T1026" s="37">
        <f t="shared" si="157"/>
        <v>180.09</v>
      </c>
      <c r="U1026" s="62">
        <v>1.0</v>
      </c>
      <c r="V1026" s="63"/>
      <c r="W1026" s="63"/>
      <c r="X1026" s="83">
        <v>0.3</v>
      </c>
      <c r="Y1026" s="35" t="str">
        <f t="shared" si="163"/>
        <v>#N/A</v>
      </c>
      <c r="Z1026" s="40" t="str">
        <f t="shared" si="159"/>
        <v>#N/A</v>
      </c>
      <c r="AA1026" s="65">
        <v>54.0</v>
      </c>
      <c r="AB1026" s="41" t="str">
        <f t="shared" si="161"/>
        <v>#N/A</v>
      </c>
      <c r="AC1026" s="42" t="b">
        <v>1</v>
      </c>
      <c r="AD1026" s="42" t="s">
        <v>138</v>
      </c>
      <c r="AE1026" s="42" t="s">
        <v>138</v>
      </c>
      <c r="AF1026" s="42" t="str">
        <f t="array" ref="AF1026">INDEX('Deal Info'!D:D, MATCH(A1026,'Deal Info'!A:A, 0))</f>
        <v>#N/A</v>
      </c>
      <c r="AG1026" s="43" t="str">
        <f t="array" ref="AG1026">INDEX('Deal Info'!G:G, MATCH(A1026,'Deal Info'!A:A, 0))</f>
        <v>#N/A</v>
      </c>
    </row>
    <row r="1027" hidden="1">
      <c r="A1027" s="23" t="b">
        <f t="array" ref="A1027">if(G1027='Room Info'!$B$1, INDEX('Room Info'!$A$2:$A3446, MATCH(B1027,'Room Info'!$B$2:$B3446, 0)),if(G1027='Room Info'!$C$1, INDEX('Room Info'!$A$2:$A3446, MATCH(B1027,'Room Info'!$C$2:$C3446, 0)),if(G1027='Room Info'!$D$1, INDEX('Room Info'!$A$2:$A3446, MATCH(B1027,'Room Info'!$D$2:$D3446, 0)),if(G1027='Room Info'!$E$1, INDEX('Room Info'!$A$2:$A3446, MATCH(B1027,'Room Info'!$E$2:$E3446, 0)),if(G1027='Room Info'!$F$1, INDEX('Room Info'!$A$2:$A3446, MATCH(B1027,'Room Info'!$F$2:$F3446, 0)),if(G1027='Room Info'!$H$1, INDEX('Room Info'!$A$2:$A3446, MATCH(B1027,'Room Info'!$H$2:$H3446, 0)),if(G1027='Room Info'!$G$1, INDEX('Room Info'!$A$2:$A3446, MATCH(B1027,'Room Info'!$G$2:$G3446, 0)))))))))</f>
        <v>0</v>
      </c>
      <c r="B1027" s="59" t="s">
        <v>206</v>
      </c>
      <c r="C1027" s="104">
        <v>44743.0</v>
      </c>
      <c r="D1027" s="104">
        <v>44773.0</v>
      </c>
      <c r="E1027" s="52">
        <v>44743.0</v>
      </c>
      <c r="F1027" s="53" t="s">
        <v>12</v>
      </c>
      <c r="G1027" s="59" t="s">
        <v>142</v>
      </c>
      <c r="H1027" s="54" t="s">
        <v>39</v>
      </c>
      <c r="I1027" s="54" t="s">
        <v>7</v>
      </c>
      <c r="J1027" s="79">
        <v>5.0</v>
      </c>
      <c r="K1027" s="80">
        <v>9.0</v>
      </c>
      <c r="L1027" s="77">
        <v>2.19</v>
      </c>
      <c r="M1027" s="58">
        <v>2.0</v>
      </c>
      <c r="N1027" s="33">
        <f t="shared" si="155"/>
        <v>45</v>
      </c>
      <c r="O1027" s="50">
        <v>157.0</v>
      </c>
      <c r="P1027" s="34">
        <f t="shared" si="14"/>
        <v>17.44444444</v>
      </c>
      <c r="Q1027" s="60"/>
      <c r="R1027" s="36">
        <f t="shared" si="156"/>
        <v>2</v>
      </c>
      <c r="S1027" s="102"/>
      <c r="T1027" s="37">
        <f t="shared" si="157"/>
        <v>4.19</v>
      </c>
      <c r="U1027" s="62">
        <v>1.0</v>
      </c>
      <c r="V1027" s="63"/>
      <c r="W1027" s="63"/>
      <c r="X1027" s="83">
        <v>0.17</v>
      </c>
      <c r="Y1027" s="35" t="str">
        <f t="shared" si="163"/>
        <v>#N/A</v>
      </c>
      <c r="Z1027" s="40" t="str">
        <f t="shared" si="159"/>
        <v>#N/A</v>
      </c>
      <c r="AA1027" s="65">
        <v>1.0</v>
      </c>
      <c r="AB1027" s="41" t="str">
        <f t="shared" si="161"/>
        <v>#N/A</v>
      </c>
      <c r="AC1027" s="42" t="b">
        <v>1</v>
      </c>
      <c r="AD1027" s="42" t="s">
        <v>138</v>
      </c>
      <c r="AE1027" s="42" t="s">
        <v>138</v>
      </c>
      <c r="AF1027" s="42" t="str">
        <f t="array" ref="AF1027">INDEX('Deal Info'!D:D, MATCH(A1027,'Deal Info'!A:A, 0))</f>
        <v>#N/A</v>
      </c>
      <c r="AG1027" s="43" t="str">
        <f t="array" ref="AG1027">INDEX('Deal Info'!G:G, MATCH(A1027,'Deal Info'!A:A, 0))</f>
        <v>#N/A</v>
      </c>
    </row>
    <row r="1028" hidden="1">
      <c r="A1028" s="23" t="b">
        <f t="array" ref="A1028">if(G1028='Room Info'!$B$1, INDEX('Room Info'!$A$2:$A3446, MATCH(B1028,'Room Info'!$B$2:$B3446, 0)),if(G1028='Room Info'!$C$1, INDEX('Room Info'!$A$2:$A3446, MATCH(B1028,'Room Info'!$C$2:$C3446, 0)),if(G1028='Room Info'!$D$1, INDEX('Room Info'!$A$2:$A3446, MATCH(B1028,'Room Info'!$D$2:$D3446, 0)),if(G1028='Room Info'!$E$1, INDEX('Room Info'!$A$2:$A3446, MATCH(B1028,'Room Info'!$E$2:$E3446, 0)),if(G1028='Room Info'!$F$1, INDEX('Room Info'!$A$2:$A3446, MATCH(B1028,'Room Info'!$F$2:$F3446, 0)),if(G1028='Room Info'!$H$1, INDEX('Room Info'!$A$2:$A3446, MATCH(B1028,'Room Info'!$H$2:$H3446, 0)),if(G1028='Room Info'!$G$1, INDEX('Room Info'!$A$2:$A3446, MATCH(B1028,'Room Info'!$G$2:$G3446, 0)))))))))</f>
        <v>0</v>
      </c>
      <c r="B1028" s="59" t="s">
        <v>206</v>
      </c>
      <c r="C1028" s="104">
        <v>44743.0</v>
      </c>
      <c r="D1028" s="104">
        <v>44773.0</v>
      </c>
      <c r="E1028" s="52">
        <v>44743.0</v>
      </c>
      <c r="F1028" s="53" t="s">
        <v>12</v>
      </c>
      <c r="G1028" s="59" t="s">
        <v>142</v>
      </c>
      <c r="H1028" s="54" t="s">
        <v>50</v>
      </c>
      <c r="I1028" s="54" t="s">
        <v>7</v>
      </c>
      <c r="J1028" s="79">
        <v>10.0</v>
      </c>
      <c r="K1028" s="80">
        <v>6.0</v>
      </c>
      <c r="L1028" s="77">
        <v>2.91</v>
      </c>
      <c r="M1028" s="58">
        <v>2.0</v>
      </c>
      <c r="N1028" s="33">
        <f t="shared" si="155"/>
        <v>60</v>
      </c>
      <c r="O1028" s="50">
        <v>149.0</v>
      </c>
      <c r="P1028" s="34">
        <f t="shared" si="14"/>
        <v>24.83333333</v>
      </c>
      <c r="Q1028" s="60"/>
      <c r="R1028" s="36">
        <f t="shared" si="156"/>
        <v>2</v>
      </c>
      <c r="S1028" s="102"/>
      <c r="T1028" s="37">
        <f t="shared" si="157"/>
        <v>4.91</v>
      </c>
      <c r="U1028" s="62">
        <v>1.0</v>
      </c>
      <c r="V1028" s="63"/>
      <c r="W1028" s="63"/>
      <c r="X1028" s="83">
        <v>0.17</v>
      </c>
      <c r="Y1028" s="35" t="str">
        <f t="shared" si="163"/>
        <v>#N/A</v>
      </c>
      <c r="Z1028" s="40" t="str">
        <f t="shared" si="159"/>
        <v>#N/A</v>
      </c>
      <c r="AA1028" s="65">
        <v>1.0</v>
      </c>
      <c r="AB1028" s="41" t="str">
        <f t="shared" si="161"/>
        <v>#N/A</v>
      </c>
      <c r="AC1028" s="42" t="b">
        <v>1</v>
      </c>
      <c r="AD1028" s="42" t="s">
        <v>138</v>
      </c>
      <c r="AE1028" s="42" t="s">
        <v>138</v>
      </c>
      <c r="AF1028" s="42" t="str">
        <f t="array" ref="AF1028">INDEX('Deal Info'!D:D, MATCH(A1028,'Deal Info'!A:A, 0))</f>
        <v>#N/A</v>
      </c>
      <c r="AG1028" s="43" t="str">
        <f t="array" ref="AG1028">INDEX('Deal Info'!G:G, MATCH(A1028,'Deal Info'!A:A, 0))</f>
        <v>#N/A</v>
      </c>
    </row>
    <row r="1029" hidden="1">
      <c r="A1029" s="23" t="b">
        <f t="array" ref="A1029">if(G1029='Room Info'!$B$1, INDEX('Room Info'!$A$2:$A3446, MATCH(B1029,'Room Info'!$B$2:$B3446, 0)),if(G1029='Room Info'!$C$1, INDEX('Room Info'!$A$2:$A3446, MATCH(B1029,'Room Info'!$C$2:$C3446, 0)),if(G1029='Room Info'!$D$1, INDEX('Room Info'!$A$2:$A3446, MATCH(B1029,'Room Info'!$D$2:$D3446, 0)),if(G1029='Room Info'!$E$1, INDEX('Room Info'!$A$2:$A3446, MATCH(B1029,'Room Info'!$E$2:$E3446, 0)),if(G1029='Room Info'!$F$1, INDEX('Room Info'!$A$2:$A3446, MATCH(B1029,'Room Info'!$F$2:$F3446, 0)),if(G1029='Room Info'!$H$1, INDEX('Room Info'!$A$2:$A3446, MATCH(B1029,'Room Info'!$H$2:$H3446, 0)),if(G1029='Room Info'!$G$1, INDEX('Room Info'!$A$2:$A3446, MATCH(B1029,'Room Info'!$G$2:$G3446, 0)))))))))</f>
        <v>0</v>
      </c>
      <c r="B1029" s="59" t="s">
        <v>206</v>
      </c>
      <c r="C1029" s="104">
        <v>44743.0</v>
      </c>
      <c r="D1029" s="104">
        <v>44773.0</v>
      </c>
      <c r="E1029" s="52">
        <v>44743.0</v>
      </c>
      <c r="F1029" s="53" t="s">
        <v>12</v>
      </c>
      <c r="G1029" s="59" t="s">
        <v>142</v>
      </c>
      <c r="H1029" s="54" t="s">
        <v>61</v>
      </c>
      <c r="I1029" s="54" t="s">
        <v>7</v>
      </c>
      <c r="J1029" s="79">
        <v>20.0</v>
      </c>
      <c r="K1029" s="80">
        <v>1556.0</v>
      </c>
      <c r="L1029" s="77">
        <v>1511.05</v>
      </c>
      <c r="M1029" s="58">
        <v>1089.0</v>
      </c>
      <c r="N1029" s="33">
        <f t="shared" si="155"/>
        <v>31120</v>
      </c>
      <c r="O1029" s="50">
        <v>60702.0</v>
      </c>
      <c r="P1029" s="34">
        <f t="shared" si="14"/>
        <v>39.01156812</v>
      </c>
      <c r="Q1029" s="60"/>
      <c r="R1029" s="36">
        <f t="shared" si="156"/>
        <v>1089</v>
      </c>
      <c r="S1029" s="102"/>
      <c r="T1029" s="37">
        <f t="shared" si="157"/>
        <v>2600.05</v>
      </c>
      <c r="U1029" s="62">
        <v>1.0</v>
      </c>
      <c r="V1029" s="63"/>
      <c r="W1029" s="63"/>
      <c r="X1029" s="83">
        <v>0.17</v>
      </c>
      <c r="Y1029" s="35" t="str">
        <f t="shared" si="163"/>
        <v>#N/A</v>
      </c>
      <c r="Z1029" s="40" t="str">
        <f t="shared" si="159"/>
        <v>#N/A</v>
      </c>
      <c r="AA1029" s="65">
        <v>442.0</v>
      </c>
      <c r="AB1029" s="41" t="str">
        <f t="shared" si="161"/>
        <v>#N/A</v>
      </c>
      <c r="AC1029" s="42" t="b">
        <v>1</v>
      </c>
      <c r="AD1029" s="42" t="s">
        <v>138</v>
      </c>
      <c r="AE1029" s="42" t="s">
        <v>138</v>
      </c>
      <c r="AF1029" s="42" t="str">
        <f t="array" ref="AF1029">INDEX('Deal Info'!D:D, MATCH(A1029,'Deal Info'!A:A, 0))</f>
        <v>#N/A</v>
      </c>
      <c r="AG1029" s="43" t="str">
        <f t="array" ref="AG1029">INDEX('Deal Info'!G:G, MATCH(A1029,'Deal Info'!A:A, 0))</f>
        <v>#N/A</v>
      </c>
    </row>
    <row r="1030" hidden="1">
      <c r="A1030" s="23" t="b">
        <f t="array" ref="A1030">if(G1030='Room Info'!$B$1, INDEX('Room Info'!$A$2:$A3446, MATCH(B1030,'Room Info'!$B$2:$B3446, 0)),if(G1030='Room Info'!$C$1, INDEX('Room Info'!$A$2:$A3446, MATCH(B1030,'Room Info'!$C$2:$C3446, 0)),if(G1030='Room Info'!$D$1, INDEX('Room Info'!$A$2:$A3446, MATCH(B1030,'Room Info'!$D$2:$D3446, 0)),if(G1030='Room Info'!$E$1, INDEX('Room Info'!$A$2:$A3446, MATCH(B1030,'Room Info'!$E$2:$E3446, 0)),if(G1030='Room Info'!$F$1, INDEX('Room Info'!$A$2:$A3446, MATCH(B1030,'Room Info'!$F$2:$F3446, 0)),if(G1030='Room Info'!$H$1, INDEX('Room Info'!$A$2:$A3446, MATCH(B1030,'Room Info'!$H$2:$H3446, 0)),if(G1030='Room Info'!$G$1, INDEX('Room Info'!$A$2:$A3446, MATCH(B1030,'Room Info'!$G$2:$G3446, 0)))))))))</f>
        <v>0</v>
      </c>
      <c r="B1030" s="59" t="s">
        <v>206</v>
      </c>
      <c r="C1030" s="104">
        <v>44743.0</v>
      </c>
      <c r="D1030" s="104">
        <v>44773.0</v>
      </c>
      <c r="E1030" s="52">
        <v>44743.0</v>
      </c>
      <c r="F1030" s="53" t="s">
        <v>12</v>
      </c>
      <c r="G1030" s="59" t="s">
        <v>142</v>
      </c>
      <c r="H1030" s="54" t="s">
        <v>77</v>
      </c>
      <c r="I1030" s="54" t="s">
        <v>7</v>
      </c>
      <c r="J1030" s="79">
        <v>50.0</v>
      </c>
      <c r="K1030" s="80">
        <v>189.0</v>
      </c>
      <c r="L1030" s="77">
        <v>458.85</v>
      </c>
      <c r="M1030" s="58">
        <v>331.0</v>
      </c>
      <c r="N1030" s="33">
        <f t="shared" si="155"/>
        <v>9450</v>
      </c>
      <c r="O1030" s="50">
        <v>7756.0</v>
      </c>
      <c r="P1030" s="34">
        <f t="shared" si="14"/>
        <v>41.03703704</v>
      </c>
      <c r="Q1030" s="60"/>
      <c r="R1030" s="36">
        <f t="shared" si="156"/>
        <v>331</v>
      </c>
      <c r="S1030" s="102"/>
      <c r="T1030" s="37">
        <f t="shared" si="157"/>
        <v>789.85</v>
      </c>
      <c r="U1030" s="62">
        <v>1.0</v>
      </c>
      <c r="V1030" s="63"/>
      <c r="W1030" s="63"/>
      <c r="X1030" s="83">
        <v>0.17</v>
      </c>
      <c r="Y1030" s="35" t="str">
        <f t="shared" si="163"/>
        <v>#N/A</v>
      </c>
      <c r="Z1030" s="40" t="str">
        <f t="shared" si="159"/>
        <v>#N/A</v>
      </c>
      <c r="AA1030" s="65">
        <v>134.0</v>
      </c>
      <c r="AB1030" s="41" t="str">
        <f t="shared" si="161"/>
        <v>#N/A</v>
      </c>
      <c r="AC1030" s="42" t="b">
        <v>1</v>
      </c>
      <c r="AD1030" s="42" t="s">
        <v>138</v>
      </c>
      <c r="AE1030" s="42" t="s">
        <v>138</v>
      </c>
      <c r="AF1030" s="42" t="str">
        <f t="array" ref="AF1030">INDEX('Deal Info'!D:D, MATCH(A1030,'Deal Info'!A:A, 0))</f>
        <v>#N/A</v>
      </c>
      <c r="AG1030" s="43" t="str">
        <f t="array" ref="AG1030">INDEX('Deal Info'!G:G, MATCH(A1030,'Deal Info'!A:A, 0))</f>
        <v>#N/A</v>
      </c>
    </row>
    <row r="1031" hidden="1">
      <c r="A1031" s="23" t="b">
        <f t="array" ref="A1031">if(G1031='Room Info'!$B$1, INDEX('Room Info'!$A$2:$A3446, MATCH(B1031,'Room Info'!$B$2:$B3446, 0)),if(G1031='Room Info'!$C$1, INDEX('Room Info'!$A$2:$A3446, MATCH(B1031,'Room Info'!$C$2:$C3446, 0)),if(G1031='Room Info'!$D$1, INDEX('Room Info'!$A$2:$A3446, MATCH(B1031,'Room Info'!$D$2:$D3446, 0)),if(G1031='Room Info'!$E$1, INDEX('Room Info'!$A$2:$A3446, MATCH(B1031,'Room Info'!$E$2:$E3446, 0)),if(G1031='Room Info'!$F$1, INDEX('Room Info'!$A$2:$A3446, MATCH(B1031,'Room Info'!$F$2:$F3446, 0)),if(G1031='Room Info'!$H$1, INDEX('Room Info'!$A$2:$A3446, MATCH(B1031,'Room Info'!$H$2:$H3446, 0)),if(G1031='Room Info'!$G$1, INDEX('Room Info'!$A$2:$A3446, MATCH(B1031,'Room Info'!$G$2:$G3446, 0)))))))))</f>
        <v>0</v>
      </c>
      <c r="B1031" s="59" t="s">
        <v>206</v>
      </c>
      <c r="C1031" s="104">
        <v>44774.0</v>
      </c>
      <c r="D1031" s="104">
        <v>44804.0</v>
      </c>
      <c r="E1031" s="52">
        <v>44774.0</v>
      </c>
      <c r="F1031" s="53" t="s">
        <v>12</v>
      </c>
      <c r="G1031" s="59" t="s">
        <v>142</v>
      </c>
      <c r="H1031" s="54" t="s">
        <v>39</v>
      </c>
      <c r="I1031" s="54" t="s">
        <v>7</v>
      </c>
      <c r="J1031" s="79">
        <v>5.0</v>
      </c>
      <c r="K1031" s="80">
        <v>5.0</v>
      </c>
      <c r="L1031" s="77">
        <v>-2.39</v>
      </c>
      <c r="M1031" s="58">
        <v>1.0</v>
      </c>
      <c r="N1031" s="33">
        <f t="shared" si="155"/>
        <v>25</v>
      </c>
      <c r="O1031" s="50">
        <v>26.0</v>
      </c>
      <c r="P1031" s="34">
        <f t="shared" si="14"/>
        <v>5.2</v>
      </c>
      <c r="Q1031" s="60"/>
      <c r="R1031" s="36">
        <f t="shared" si="156"/>
        <v>1</v>
      </c>
      <c r="S1031" s="102"/>
      <c r="T1031" s="37">
        <f t="shared" si="157"/>
        <v>-1.39</v>
      </c>
      <c r="U1031" s="62">
        <v>1.0</v>
      </c>
      <c r="V1031" s="63"/>
      <c r="W1031" s="63"/>
      <c r="X1031" s="83">
        <v>0.16</v>
      </c>
      <c r="Y1031" s="35" t="str">
        <f t="shared" si="163"/>
        <v>#N/A</v>
      </c>
      <c r="Z1031" s="40" t="str">
        <f t="shared" si="159"/>
        <v>#N/A</v>
      </c>
      <c r="AA1031" s="65">
        <v>0.0</v>
      </c>
      <c r="AB1031" s="41" t="str">
        <f t="shared" si="161"/>
        <v>#N/A</v>
      </c>
      <c r="AC1031" s="42" t="b">
        <v>1</v>
      </c>
      <c r="AD1031" s="42" t="s">
        <v>138</v>
      </c>
      <c r="AE1031" s="42" t="s">
        <v>138</v>
      </c>
      <c r="AF1031" s="42" t="str">
        <f t="array" ref="AF1031">INDEX('Deal Info'!D:D, MATCH(A1031,'Deal Info'!A:A, 0))</f>
        <v>#N/A</v>
      </c>
      <c r="AG1031" s="43" t="str">
        <f t="array" ref="AG1031">INDEX('Deal Info'!G:G, MATCH(A1031,'Deal Info'!A:A, 0))</f>
        <v>#N/A</v>
      </c>
    </row>
    <row r="1032" hidden="1">
      <c r="A1032" s="23" t="b">
        <f t="array" ref="A1032">if(G1032='Room Info'!$B$1, INDEX('Room Info'!$A$2:$A3446, MATCH(B1032,'Room Info'!$B$2:$B3446, 0)),if(G1032='Room Info'!$C$1, INDEX('Room Info'!$A$2:$A3446, MATCH(B1032,'Room Info'!$C$2:$C3446, 0)),if(G1032='Room Info'!$D$1, INDEX('Room Info'!$A$2:$A3446, MATCH(B1032,'Room Info'!$D$2:$D3446, 0)),if(G1032='Room Info'!$E$1, INDEX('Room Info'!$A$2:$A3446, MATCH(B1032,'Room Info'!$E$2:$E3446, 0)),if(G1032='Room Info'!$F$1, INDEX('Room Info'!$A$2:$A3446, MATCH(B1032,'Room Info'!$F$2:$F3446, 0)),if(G1032='Room Info'!$H$1, INDEX('Room Info'!$A$2:$A3446, MATCH(B1032,'Room Info'!$H$2:$H3446, 0)),if(G1032='Room Info'!$G$1, INDEX('Room Info'!$A$2:$A3446, MATCH(B1032,'Room Info'!$G$2:$G3446, 0)))))))))</f>
        <v>0</v>
      </c>
      <c r="B1032" s="50" t="s">
        <v>206</v>
      </c>
      <c r="C1032" s="51">
        <v>44774.0</v>
      </c>
      <c r="D1032" s="51">
        <v>44804.0</v>
      </c>
      <c r="E1032" s="52">
        <v>44774.0</v>
      </c>
      <c r="F1032" s="53" t="s">
        <v>12</v>
      </c>
      <c r="G1032" s="59" t="s">
        <v>142</v>
      </c>
      <c r="H1032" s="54" t="s">
        <v>50</v>
      </c>
      <c r="I1032" s="54" t="s">
        <v>7</v>
      </c>
      <c r="J1032" s="55">
        <v>10.0</v>
      </c>
      <c r="K1032" s="56">
        <v>5.0</v>
      </c>
      <c r="L1032" s="57">
        <v>-4.78</v>
      </c>
      <c r="M1032" s="58">
        <v>2.0</v>
      </c>
      <c r="N1032" s="33">
        <f t="shared" si="155"/>
        <v>50</v>
      </c>
      <c r="O1032" s="59">
        <v>61.0</v>
      </c>
      <c r="P1032" s="34">
        <f t="shared" si="14"/>
        <v>12.2</v>
      </c>
      <c r="Q1032" s="60"/>
      <c r="R1032" s="36">
        <f t="shared" si="156"/>
        <v>2</v>
      </c>
      <c r="S1032" s="71"/>
      <c r="T1032" s="37">
        <f t="shared" si="157"/>
        <v>-2.78</v>
      </c>
      <c r="U1032" s="62">
        <v>1.0</v>
      </c>
      <c r="V1032" s="63"/>
      <c r="W1032" s="63"/>
      <c r="X1032" s="83">
        <v>0.16</v>
      </c>
      <c r="Y1032" s="35" t="str">
        <f t="shared" si="163"/>
        <v>#N/A</v>
      </c>
      <c r="Z1032" s="40" t="str">
        <f t="shared" si="159"/>
        <v>#N/A</v>
      </c>
      <c r="AA1032" s="65">
        <v>0.0</v>
      </c>
      <c r="AB1032" s="41" t="str">
        <f t="shared" si="161"/>
        <v>#N/A</v>
      </c>
      <c r="AC1032" s="42" t="b">
        <v>1</v>
      </c>
      <c r="AD1032" s="42" t="s">
        <v>138</v>
      </c>
      <c r="AE1032" s="42" t="s">
        <v>138</v>
      </c>
      <c r="AF1032" s="42" t="str">
        <f t="array" ref="AF1032">INDEX('Deal Info'!D:D, MATCH(A1032,'Deal Info'!A:A, 0))</f>
        <v>#N/A</v>
      </c>
      <c r="AG1032" s="43" t="str">
        <f t="array" ref="AG1032">INDEX('Deal Info'!G:G, MATCH(A1032,'Deal Info'!A:A, 0))</f>
        <v>#N/A</v>
      </c>
    </row>
    <row r="1033" hidden="1">
      <c r="A1033" s="23" t="b">
        <f t="array" ref="A1033">if(G1033='Room Info'!$B$1, INDEX('Room Info'!$A$2:$A3446, MATCH(B1033,'Room Info'!$B$2:$B3446, 0)),if(G1033='Room Info'!$C$1, INDEX('Room Info'!$A$2:$A3446, MATCH(B1033,'Room Info'!$C$2:$C3446, 0)),if(G1033='Room Info'!$D$1, INDEX('Room Info'!$A$2:$A3446, MATCH(B1033,'Room Info'!$D$2:$D3446, 0)),if(G1033='Room Info'!$E$1, INDEX('Room Info'!$A$2:$A3446, MATCH(B1033,'Room Info'!$E$2:$E3446, 0)),if(G1033='Room Info'!$F$1, INDEX('Room Info'!$A$2:$A3446, MATCH(B1033,'Room Info'!$F$2:$F3446, 0)),if(G1033='Room Info'!$H$1, INDEX('Room Info'!$A$2:$A3446, MATCH(B1033,'Room Info'!$H$2:$H3446, 0)),if(G1033='Room Info'!$G$1, INDEX('Room Info'!$A$2:$A3446, MATCH(B1033,'Room Info'!$G$2:$G3446, 0)))))))))</f>
        <v>0</v>
      </c>
      <c r="B1033" s="50" t="s">
        <v>206</v>
      </c>
      <c r="C1033" s="51">
        <v>44774.0</v>
      </c>
      <c r="D1033" s="51">
        <v>44804.0</v>
      </c>
      <c r="E1033" s="52">
        <v>44774.0</v>
      </c>
      <c r="F1033" s="53" t="s">
        <v>12</v>
      </c>
      <c r="G1033" s="59" t="s">
        <v>142</v>
      </c>
      <c r="H1033" s="54" t="s">
        <v>61</v>
      </c>
      <c r="I1033" s="54" t="s">
        <v>7</v>
      </c>
      <c r="J1033" s="55">
        <v>20.0</v>
      </c>
      <c r="K1033" s="56">
        <v>1370.0</v>
      </c>
      <c r="L1033" s="57">
        <v>-2620.94</v>
      </c>
      <c r="M1033" s="58">
        <v>959.0</v>
      </c>
      <c r="N1033" s="33">
        <f t="shared" si="155"/>
        <v>27400</v>
      </c>
      <c r="O1033" s="59">
        <v>57900.0</v>
      </c>
      <c r="P1033" s="34">
        <f t="shared" si="14"/>
        <v>42.26277372</v>
      </c>
      <c r="Q1033" s="60"/>
      <c r="R1033" s="36">
        <f t="shared" si="156"/>
        <v>959</v>
      </c>
      <c r="S1033" s="71"/>
      <c r="T1033" s="37">
        <f t="shared" si="157"/>
        <v>-1661.94</v>
      </c>
      <c r="U1033" s="62">
        <v>1.0</v>
      </c>
      <c r="V1033" s="63"/>
      <c r="W1033" s="63"/>
      <c r="X1033" s="83">
        <v>0.16</v>
      </c>
      <c r="Y1033" s="35" t="str">
        <f t="shared" si="163"/>
        <v>#N/A</v>
      </c>
      <c r="Z1033" s="40" t="str">
        <f t="shared" si="159"/>
        <v>#N/A</v>
      </c>
      <c r="AA1033" s="65">
        <v>-266.0</v>
      </c>
      <c r="AB1033" s="41" t="str">
        <f t="shared" si="161"/>
        <v>#N/A</v>
      </c>
      <c r="AC1033" s="42" t="b">
        <v>1</v>
      </c>
      <c r="AD1033" s="42" t="s">
        <v>138</v>
      </c>
      <c r="AE1033" s="42" t="s">
        <v>138</v>
      </c>
      <c r="AF1033" s="42" t="str">
        <f t="array" ref="AF1033">INDEX('Deal Info'!D:D, MATCH(A1033,'Deal Info'!A:A, 0))</f>
        <v>#N/A</v>
      </c>
      <c r="AG1033" s="43" t="str">
        <f t="array" ref="AG1033">INDEX('Deal Info'!G:G, MATCH(A1033,'Deal Info'!A:A, 0))</f>
        <v>#N/A</v>
      </c>
    </row>
    <row r="1034" hidden="1">
      <c r="A1034" s="23" t="b">
        <f t="array" ref="A1034">if(G1034='Room Info'!$B$1, INDEX('Room Info'!$A$2:$A3446, MATCH(B1034,'Room Info'!$B$2:$B3446, 0)),if(G1034='Room Info'!$C$1, INDEX('Room Info'!$A$2:$A3446, MATCH(B1034,'Room Info'!$C$2:$C3446, 0)),if(G1034='Room Info'!$D$1, INDEX('Room Info'!$A$2:$A3446, MATCH(B1034,'Room Info'!$D$2:$D3446, 0)),if(G1034='Room Info'!$E$1, INDEX('Room Info'!$A$2:$A3446, MATCH(B1034,'Room Info'!$E$2:$E3446, 0)),if(G1034='Room Info'!$F$1, INDEX('Room Info'!$A$2:$A3446, MATCH(B1034,'Room Info'!$F$2:$F3446, 0)),if(G1034='Room Info'!$H$1, INDEX('Room Info'!$A$2:$A3446, MATCH(B1034,'Room Info'!$H$2:$H3446, 0)),if(G1034='Room Info'!$G$1, INDEX('Room Info'!$A$2:$A3446, MATCH(B1034,'Room Info'!$G$2:$G3446, 0)))))))))</f>
        <v>0</v>
      </c>
      <c r="B1034" s="50" t="s">
        <v>206</v>
      </c>
      <c r="C1034" s="104">
        <v>44774.0</v>
      </c>
      <c r="D1034" s="104">
        <v>44804.0</v>
      </c>
      <c r="E1034" s="52">
        <v>44774.0</v>
      </c>
      <c r="F1034" s="50" t="s">
        <v>12</v>
      </c>
      <c r="G1034" s="50" t="s">
        <v>142</v>
      </c>
      <c r="H1034" s="54" t="s">
        <v>77</v>
      </c>
      <c r="I1034" s="54" t="s">
        <v>7</v>
      </c>
      <c r="J1034" s="79">
        <v>50.0</v>
      </c>
      <c r="K1034" s="80">
        <v>157.0</v>
      </c>
      <c r="L1034" s="77">
        <v>-750.89</v>
      </c>
      <c r="M1034" s="81">
        <v>275.0</v>
      </c>
      <c r="N1034" s="33">
        <f t="shared" si="155"/>
        <v>7850</v>
      </c>
      <c r="O1034" s="50">
        <v>-10146.0</v>
      </c>
      <c r="P1034" s="34">
        <f t="shared" si="14"/>
        <v>-64.62420382</v>
      </c>
      <c r="Q1034" s="60"/>
      <c r="R1034" s="36">
        <f t="shared" si="156"/>
        <v>275</v>
      </c>
      <c r="S1034" s="102"/>
      <c r="T1034" s="37">
        <f t="shared" si="157"/>
        <v>-475.89</v>
      </c>
      <c r="U1034" s="62">
        <v>1.0</v>
      </c>
      <c r="V1034" s="63"/>
      <c r="W1034" s="63"/>
      <c r="X1034" s="83">
        <v>0.16</v>
      </c>
      <c r="Y1034" s="35" t="str">
        <f t="shared" si="163"/>
        <v>#N/A</v>
      </c>
      <c r="Z1034" s="40" t="str">
        <f t="shared" si="159"/>
        <v>#N/A</v>
      </c>
      <c r="AA1034" s="65">
        <v>-76.0</v>
      </c>
      <c r="AB1034" s="41" t="str">
        <f t="shared" si="161"/>
        <v>#N/A</v>
      </c>
      <c r="AC1034" s="42" t="b">
        <v>1</v>
      </c>
      <c r="AD1034" s="42" t="s">
        <v>138</v>
      </c>
      <c r="AE1034" s="42" t="s">
        <v>138</v>
      </c>
      <c r="AF1034" s="42" t="str">
        <f t="array" ref="AF1034">INDEX('Deal Info'!D:D, MATCH(A1034,'Deal Info'!A:A, 0))</f>
        <v>#N/A</v>
      </c>
      <c r="AG1034" s="43" t="str">
        <f t="array" ref="AG1034">INDEX('Deal Info'!G:G, MATCH(A1034,'Deal Info'!A:A, 0))</f>
        <v>#N/A</v>
      </c>
    </row>
    <row r="1035" hidden="1">
      <c r="A1035" s="23" t="b">
        <f t="array" ref="A1035">if(G1035='Room Info'!$B$1, INDEX('Room Info'!$A$2:$A3446, MATCH(B1035,'Room Info'!$B$2:$B3446, 0)),if(G1035='Room Info'!$C$1, INDEX('Room Info'!$A$2:$A3446, MATCH(B1035,'Room Info'!$C$2:$C3446, 0)),if(G1035='Room Info'!$D$1, INDEX('Room Info'!$A$2:$A3446, MATCH(B1035,'Room Info'!$D$2:$D3446, 0)),if(G1035='Room Info'!$E$1, INDEX('Room Info'!$A$2:$A3446, MATCH(B1035,'Room Info'!$E$2:$E3446, 0)),if(G1035='Room Info'!$F$1, INDEX('Room Info'!$A$2:$A3446, MATCH(B1035,'Room Info'!$F$2:$F3446, 0)),if(G1035='Room Info'!$H$1, INDEX('Room Info'!$A$2:$A3446, MATCH(B1035,'Room Info'!$H$2:$H3446, 0)),if(G1035='Room Info'!$G$1, INDEX('Room Info'!$A$2:$A3446, MATCH(B1035,'Room Info'!$G$2:$G3446, 0)))))))))</f>
        <v>0</v>
      </c>
      <c r="B1035" s="59" t="s">
        <v>206</v>
      </c>
      <c r="C1035" s="51">
        <v>44805.0</v>
      </c>
      <c r="D1035" s="51">
        <v>44834.0</v>
      </c>
      <c r="E1035" s="52">
        <v>44805.0</v>
      </c>
      <c r="F1035" s="50" t="s">
        <v>12</v>
      </c>
      <c r="G1035" s="59" t="s">
        <v>142</v>
      </c>
      <c r="H1035" s="54" t="s">
        <v>39</v>
      </c>
      <c r="I1035" s="54" t="s">
        <v>7</v>
      </c>
      <c r="J1035" s="79">
        <v>5.0</v>
      </c>
      <c r="K1035" s="80">
        <v>12.0</v>
      </c>
      <c r="L1035" s="77">
        <v>-4.06</v>
      </c>
      <c r="M1035" s="58">
        <v>2.0</v>
      </c>
      <c r="N1035" s="33">
        <f t="shared" si="155"/>
        <v>60</v>
      </c>
      <c r="O1035" s="50">
        <v>448.0</v>
      </c>
      <c r="P1035" s="34">
        <f t="shared" si="14"/>
        <v>37.33333333</v>
      </c>
      <c r="Q1035" s="60"/>
      <c r="R1035" s="36">
        <f t="shared" si="156"/>
        <v>2</v>
      </c>
      <c r="S1035" s="102"/>
      <c r="T1035" s="37">
        <f t="shared" si="157"/>
        <v>-2.06</v>
      </c>
      <c r="U1035" s="62">
        <v>1.0</v>
      </c>
      <c r="V1035" s="63"/>
      <c r="W1035" s="63"/>
      <c r="X1035" s="83">
        <v>0.16</v>
      </c>
      <c r="Y1035" s="35" t="str">
        <f t="shared" si="163"/>
        <v>#N/A</v>
      </c>
      <c r="Z1035" s="40" t="str">
        <f t="shared" si="159"/>
        <v>#N/A</v>
      </c>
      <c r="AA1035" s="65">
        <v>0.0</v>
      </c>
      <c r="AB1035" s="41" t="str">
        <f t="shared" si="161"/>
        <v>#N/A</v>
      </c>
      <c r="AC1035" s="42" t="b">
        <v>1</v>
      </c>
      <c r="AD1035" s="42" t="s">
        <v>138</v>
      </c>
      <c r="AE1035" s="42" t="s">
        <v>138</v>
      </c>
      <c r="AF1035" s="42" t="str">
        <f t="array" ref="AF1035">INDEX('Deal Info'!D:D, MATCH(A1035,'Deal Info'!A:A, 0))</f>
        <v>#N/A</v>
      </c>
      <c r="AG1035" s="43" t="str">
        <f t="array" ref="AG1035">INDEX('Deal Info'!G:G, MATCH(A1035,'Deal Info'!A:A, 0))</f>
        <v>#N/A</v>
      </c>
    </row>
    <row r="1036" hidden="1">
      <c r="A1036" s="23" t="b">
        <f t="array" ref="A1036">if(G1036='Room Info'!$B$1, INDEX('Room Info'!$A$2:$A3446, MATCH(B1036,'Room Info'!$B$2:$B3446, 0)),if(G1036='Room Info'!$C$1, INDEX('Room Info'!$A$2:$A3446, MATCH(B1036,'Room Info'!$C$2:$C3446, 0)),if(G1036='Room Info'!$D$1, INDEX('Room Info'!$A$2:$A3446, MATCH(B1036,'Room Info'!$D$2:$D3446, 0)),if(G1036='Room Info'!$E$1, INDEX('Room Info'!$A$2:$A3446, MATCH(B1036,'Room Info'!$E$2:$E3446, 0)),if(G1036='Room Info'!$F$1, INDEX('Room Info'!$A$2:$A3446, MATCH(B1036,'Room Info'!$F$2:$F3446, 0)),if(G1036='Room Info'!$H$1, INDEX('Room Info'!$A$2:$A3446, MATCH(B1036,'Room Info'!$H$2:$H3446, 0)),if(G1036='Room Info'!$G$1, INDEX('Room Info'!$A$2:$A3446, MATCH(B1036,'Room Info'!$G$2:$G3446, 0)))))))))</f>
        <v>0</v>
      </c>
      <c r="B1036" s="59" t="s">
        <v>206</v>
      </c>
      <c r="C1036" s="51">
        <v>44805.0</v>
      </c>
      <c r="D1036" s="51">
        <v>44834.0</v>
      </c>
      <c r="E1036" s="52">
        <v>44805.0</v>
      </c>
      <c r="F1036" s="50" t="s">
        <v>12</v>
      </c>
      <c r="G1036" s="59" t="s">
        <v>142</v>
      </c>
      <c r="H1036" s="54" t="s">
        <v>61</v>
      </c>
      <c r="I1036" s="54" t="s">
        <v>7</v>
      </c>
      <c r="J1036" s="55">
        <v>20.0</v>
      </c>
      <c r="K1036" s="56">
        <v>52.0</v>
      </c>
      <c r="L1036" s="57">
        <v>-70.4</v>
      </c>
      <c r="M1036" s="58">
        <v>36.0</v>
      </c>
      <c r="N1036" s="33">
        <f t="shared" si="155"/>
        <v>1040</v>
      </c>
      <c r="O1036" s="59">
        <v>3855.0</v>
      </c>
      <c r="P1036" s="34">
        <f t="shared" si="14"/>
        <v>74.13461538</v>
      </c>
      <c r="Q1036" s="60"/>
      <c r="R1036" s="36">
        <f t="shared" si="156"/>
        <v>36</v>
      </c>
      <c r="S1036" s="71"/>
      <c r="T1036" s="37">
        <f t="shared" si="157"/>
        <v>-34.4</v>
      </c>
      <c r="U1036" s="62">
        <v>1.0</v>
      </c>
      <c r="V1036" s="63"/>
      <c r="W1036" s="63"/>
      <c r="X1036" s="83">
        <v>0.16</v>
      </c>
      <c r="Y1036" s="35" t="str">
        <f t="shared" si="163"/>
        <v>#N/A</v>
      </c>
      <c r="Z1036" s="40" t="str">
        <f t="shared" si="159"/>
        <v>#N/A</v>
      </c>
      <c r="AA1036" s="65">
        <v>-5.0</v>
      </c>
      <c r="AB1036" s="41" t="str">
        <f t="shared" si="161"/>
        <v>#N/A</v>
      </c>
      <c r="AC1036" s="42" t="b">
        <v>1</v>
      </c>
      <c r="AD1036" s="42" t="s">
        <v>138</v>
      </c>
      <c r="AE1036" s="42" t="s">
        <v>138</v>
      </c>
      <c r="AF1036" s="42" t="str">
        <f t="array" ref="AF1036">INDEX('Deal Info'!D:D, MATCH(A1036,'Deal Info'!A:A, 0))</f>
        <v>#N/A</v>
      </c>
      <c r="AG1036" s="43" t="str">
        <f t="array" ref="AG1036">INDEX('Deal Info'!G:G, MATCH(A1036,'Deal Info'!A:A, 0))</f>
        <v>#N/A</v>
      </c>
    </row>
    <row r="1037" hidden="1">
      <c r="A1037" s="23" t="b">
        <f t="array" ref="A1037">if(G1037='Room Info'!$B$1, INDEX('Room Info'!$A$2:$A3446, MATCH(B1037,'Room Info'!$B$2:$B3446, 0)),if(G1037='Room Info'!$C$1, INDEX('Room Info'!$A$2:$A3446, MATCH(B1037,'Room Info'!$C$2:$C3446, 0)),if(G1037='Room Info'!$D$1, INDEX('Room Info'!$A$2:$A3446, MATCH(B1037,'Room Info'!$D$2:$D3446, 0)),if(G1037='Room Info'!$E$1, INDEX('Room Info'!$A$2:$A3446, MATCH(B1037,'Room Info'!$E$2:$E3446, 0)),if(G1037='Room Info'!$F$1, INDEX('Room Info'!$A$2:$A3446, MATCH(B1037,'Room Info'!$F$2:$F3446, 0)),if(G1037='Room Info'!$H$1, INDEX('Room Info'!$A$2:$A3446, MATCH(B1037,'Room Info'!$H$2:$H3446, 0)),if(G1037='Room Info'!$G$1, INDEX('Room Info'!$A$2:$A3446, MATCH(B1037,'Room Info'!$G$2:$G3446, 0)))))))))</f>
        <v>0</v>
      </c>
      <c r="B1037" s="50" t="s">
        <v>206</v>
      </c>
      <c r="C1037" s="82">
        <v>44805.0</v>
      </c>
      <c r="D1037" s="82">
        <v>44834.0</v>
      </c>
      <c r="E1037" s="52">
        <v>44805.0</v>
      </c>
      <c r="F1037" s="53" t="s">
        <v>12</v>
      </c>
      <c r="G1037" s="50" t="s">
        <v>142</v>
      </c>
      <c r="H1037" s="54" t="s">
        <v>77</v>
      </c>
      <c r="I1037" s="54" t="s">
        <v>7</v>
      </c>
      <c r="J1037" s="79">
        <v>50.0</v>
      </c>
      <c r="K1037" s="80">
        <v>2553.0</v>
      </c>
      <c r="L1037" s="77">
        <v>-8640.54</v>
      </c>
      <c r="M1037" s="81">
        <v>4468.0</v>
      </c>
      <c r="N1037" s="33">
        <f t="shared" si="155"/>
        <v>127650</v>
      </c>
      <c r="O1037" s="50">
        <v>81059.0</v>
      </c>
      <c r="P1037" s="34">
        <f t="shared" si="14"/>
        <v>31.75048962</v>
      </c>
      <c r="Q1037" s="60"/>
      <c r="R1037" s="36">
        <f t="shared" si="156"/>
        <v>4468</v>
      </c>
      <c r="S1037" s="102"/>
      <c r="T1037" s="37">
        <f t="shared" si="157"/>
        <v>-4172.54</v>
      </c>
      <c r="U1037" s="62">
        <v>1.0</v>
      </c>
      <c r="V1037" s="63"/>
      <c r="W1037" s="63"/>
      <c r="X1037" s="83">
        <v>0.16</v>
      </c>
      <c r="Y1037" s="35" t="str">
        <f t="shared" si="163"/>
        <v>#N/A</v>
      </c>
      <c r="Z1037" s="40" t="str">
        <f t="shared" si="159"/>
        <v>#N/A</v>
      </c>
      <c r="AA1037" s="65">
        <v>-668.0</v>
      </c>
      <c r="AB1037" s="41" t="str">
        <f t="shared" si="161"/>
        <v>#N/A</v>
      </c>
      <c r="AC1037" s="42" t="b">
        <v>1</v>
      </c>
      <c r="AD1037" s="42" t="s">
        <v>138</v>
      </c>
      <c r="AE1037" s="42" t="s">
        <v>138</v>
      </c>
      <c r="AF1037" s="42" t="str">
        <f t="array" ref="AF1037">INDEX('Deal Info'!D:D, MATCH(A1037,'Deal Info'!A:A, 0))</f>
        <v>#N/A</v>
      </c>
      <c r="AG1037" s="43" t="str">
        <f t="array" ref="AG1037">INDEX('Deal Info'!G:G, MATCH(A1037,'Deal Info'!A:A, 0))</f>
        <v>#N/A</v>
      </c>
    </row>
    <row r="1038" hidden="1">
      <c r="A1038" s="23" t="b">
        <f t="array" ref="A1038">if(G1038='Room Info'!$B$1, INDEX('Room Info'!$A$2:$A3446, MATCH(B1038,'Room Info'!$B$2:$B3446, 0)),if(G1038='Room Info'!$C$1, INDEX('Room Info'!$A$2:$A3446, MATCH(B1038,'Room Info'!$C$2:$C3446, 0)),if(G1038='Room Info'!$D$1, INDEX('Room Info'!$A$2:$A3446, MATCH(B1038,'Room Info'!$D$2:$D3446, 0)),if(G1038='Room Info'!$E$1, INDEX('Room Info'!$A$2:$A3446, MATCH(B1038,'Room Info'!$E$2:$E3446, 0)),if(G1038='Room Info'!$F$1, INDEX('Room Info'!$A$2:$A3446, MATCH(B1038,'Room Info'!$F$2:$F3446, 0)),if(G1038='Room Info'!$H$1, INDEX('Room Info'!$A$2:$A3446, MATCH(B1038,'Room Info'!$H$2:$H3446, 0)),if(G1038='Room Info'!$G$1, INDEX('Room Info'!$A$2:$A3446, MATCH(B1038,'Room Info'!$G$2:$G3446, 0)))))))))</f>
        <v>0</v>
      </c>
      <c r="B1038" s="50" t="s">
        <v>206</v>
      </c>
      <c r="C1038" s="82">
        <v>44835.0</v>
      </c>
      <c r="D1038" s="82">
        <v>44865.0</v>
      </c>
      <c r="E1038" s="52">
        <v>44835.0</v>
      </c>
      <c r="F1038" s="53" t="s">
        <v>12</v>
      </c>
      <c r="G1038" s="59" t="s">
        <v>142</v>
      </c>
      <c r="H1038" s="54" t="s">
        <v>39</v>
      </c>
      <c r="I1038" s="54" t="s">
        <v>7</v>
      </c>
      <c r="J1038" s="79">
        <v>5.0</v>
      </c>
      <c r="K1038" s="80">
        <v>12.0</v>
      </c>
      <c r="L1038" s="77">
        <v>-3.62</v>
      </c>
      <c r="M1038" s="58">
        <v>2.0</v>
      </c>
      <c r="N1038" s="33">
        <f t="shared" si="155"/>
        <v>60</v>
      </c>
      <c r="O1038" s="50">
        <v>168.0</v>
      </c>
      <c r="P1038" s="34">
        <f t="shared" si="14"/>
        <v>14</v>
      </c>
      <c r="Q1038" s="60"/>
      <c r="R1038" s="36">
        <f t="shared" si="156"/>
        <v>2</v>
      </c>
      <c r="S1038" s="102"/>
      <c r="T1038" s="37">
        <f t="shared" si="157"/>
        <v>-1.62</v>
      </c>
      <c r="U1038" s="62">
        <v>1.0</v>
      </c>
      <c r="V1038" s="63"/>
      <c r="W1038" s="63"/>
      <c r="X1038" s="83">
        <v>0.16</v>
      </c>
      <c r="Y1038" s="35" t="str">
        <f t="shared" si="163"/>
        <v>#N/A</v>
      </c>
      <c r="Z1038" s="40" t="str">
        <f t="shared" si="159"/>
        <v>#N/A</v>
      </c>
      <c r="AA1038" s="65">
        <v>0.0</v>
      </c>
      <c r="AB1038" s="41" t="str">
        <f t="shared" si="161"/>
        <v>#N/A</v>
      </c>
      <c r="AC1038" s="42" t="b">
        <v>1</v>
      </c>
      <c r="AD1038" s="42" t="s">
        <v>138</v>
      </c>
      <c r="AE1038" s="42" t="s">
        <v>138</v>
      </c>
      <c r="AF1038" s="42" t="str">
        <f t="array" ref="AF1038">INDEX('Deal Info'!D:D, MATCH(A1038,'Deal Info'!A:A, 0))</f>
        <v>#N/A</v>
      </c>
      <c r="AG1038" s="43" t="str">
        <f t="array" ref="AG1038">INDEX('Deal Info'!G:G, MATCH(A1038,'Deal Info'!A:A, 0))</f>
        <v>#N/A</v>
      </c>
    </row>
    <row r="1039" hidden="1">
      <c r="A1039" s="23" t="b">
        <f t="array" ref="A1039">if(G1039='Room Info'!$B$1, INDEX('Room Info'!$A$2:$A3446, MATCH(B1039,'Room Info'!$B$2:$B3446, 0)),if(G1039='Room Info'!$C$1, INDEX('Room Info'!$A$2:$A3446, MATCH(B1039,'Room Info'!$C$2:$C3446, 0)),if(G1039='Room Info'!$D$1, INDEX('Room Info'!$A$2:$A3446, MATCH(B1039,'Room Info'!$D$2:$D3446, 0)),if(G1039='Room Info'!$E$1, INDEX('Room Info'!$A$2:$A3446, MATCH(B1039,'Room Info'!$E$2:$E3446, 0)),if(G1039='Room Info'!$F$1, INDEX('Room Info'!$A$2:$A3446, MATCH(B1039,'Room Info'!$F$2:$F3446, 0)),if(G1039='Room Info'!$H$1, INDEX('Room Info'!$A$2:$A3446, MATCH(B1039,'Room Info'!$H$2:$H3446, 0)),if(G1039='Room Info'!$G$1, INDEX('Room Info'!$A$2:$A3446, MATCH(B1039,'Room Info'!$G$2:$G3446, 0)))))))))</f>
        <v>0</v>
      </c>
      <c r="B1039" s="50" t="s">
        <v>206</v>
      </c>
      <c r="C1039" s="51">
        <v>44835.0</v>
      </c>
      <c r="D1039" s="51">
        <v>44865.0</v>
      </c>
      <c r="E1039" s="52">
        <v>44835.0</v>
      </c>
      <c r="F1039" s="53" t="s">
        <v>12</v>
      </c>
      <c r="G1039" s="59" t="s">
        <v>142</v>
      </c>
      <c r="H1039" s="54" t="s">
        <v>50</v>
      </c>
      <c r="I1039" s="54" t="s">
        <v>7</v>
      </c>
      <c r="J1039" s="55">
        <v>10.0</v>
      </c>
      <c r="K1039" s="56">
        <v>5.0</v>
      </c>
      <c r="L1039" s="57">
        <v>-3.02</v>
      </c>
      <c r="M1039" s="58">
        <v>2.0</v>
      </c>
      <c r="N1039" s="33">
        <f t="shared" si="155"/>
        <v>50</v>
      </c>
      <c r="O1039" s="59">
        <v>-140.0</v>
      </c>
      <c r="P1039" s="34">
        <f t="shared" si="14"/>
        <v>-28</v>
      </c>
      <c r="Q1039" s="60"/>
      <c r="R1039" s="36">
        <f t="shared" si="156"/>
        <v>2</v>
      </c>
      <c r="S1039" s="71"/>
      <c r="T1039" s="37">
        <f t="shared" si="157"/>
        <v>-1.02</v>
      </c>
      <c r="U1039" s="62">
        <v>1.0</v>
      </c>
      <c r="V1039" s="63"/>
      <c r="W1039" s="63"/>
      <c r="X1039" s="83">
        <v>0.16</v>
      </c>
      <c r="Y1039" s="35" t="str">
        <f t="shared" si="163"/>
        <v>#N/A</v>
      </c>
      <c r="Z1039" s="40" t="str">
        <f t="shared" si="159"/>
        <v>#N/A</v>
      </c>
      <c r="AA1039" s="65">
        <v>0.0</v>
      </c>
      <c r="AB1039" s="41" t="str">
        <f t="shared" si="161"/>
        <v>#N/A</v>
      </c>
      <c r="AC1039" s="42" t="b">
        <v>1</v>
      </c>
      <c r="AD1039" s="42" t="s">
        <v>138</v>
      </c>
      <c r="AE1039" s="42" t="s">
        <v>138</v>
      </c>
      <c r="AF1039" s="42" t="str">
        <f t="array" ref="AF1039">INDEX('Deal Info'!D:D, MATCH(A1039,'Deal Info'!A:A, 0))</f>
        <v>#N/A</v>
      </c>
      <c r="AG1039" s="43" t="str">
        <f t="array" ref="AG1039">INDEX('Deal Info'!G:G, MATCH(A1039,'Deal Info'!A:A, 0))</f>
        <v>#N/A</v>
      </c>
    </row>
    <row r="1040" hidden="1">
      <c r="A1040" s="23" t="b">
        <f t="array" ref="A1040">if(G1040='Room Info'!$B$1, INDEX('Room Info'!$A$2:$A3446, MATCH(B1040,'Room Info'!$B$2:$B3446, 0)),if(G1040='Room Info'!$C$1, INDEX('Room Info'!$A$2:$A3446, MATCH(B1040,'Room Info'!$C$2:$C3446, 0)),if(G1040='Room Info'!$D$1, INDEX('Room Info'!$A$2:$A3446, MATCH(B1040,'Room Info'!$D$2:$D3446, 0)),if(G1040='Room Info'!$E$1, INDEX('Room Info'!$A$2:$A3446, MATCH(B1040,'Room Info'!$E$2:$E3446, 0)),if(G1040='Room Info'!$F$1, INDEX('Room Info'!$A$2:$A3446, MATCH(B1040,'Room Info'!$F$2:$F3446, 0)),if(G1040='Room Info'!$H$1, INDEX('Room Info'!$A$2:$A3446, MATCH(B1040,'Room Info'!$H$2:$H3446, 0)),if(G1040='Room Info'!$G$1, INDEX('Room Info'!$A$2:$A3446, MATCH(B1040,'Room Info'!$G$2:$G3446, 0)))))))))</f>
        <v>0</v>
      </c>
      <c r="B1040" s="50" t="s">
        <v>206</v>
      </c>
      <c r="C1040" s="51">
        <v>44835.0</v>
      </c>
      <c r="D1040" s="51">
        <v>44865.0</v>
      </c>
      <c r="E1040" s="52">
        <v>44835.0</v>
      </c>
      <c r="F1040" s="53" t="s">
        <v>12</v>
      </c>
      <c r="G1040" s="59" t="s">
        <v>142</v>
      </c>
      <c r="H1040" s="54" t="s">
        <v>61</v>
      </c>
      <c r="I1040" s="54" t="s">
        <v>7</v>
      </c>
      <c r="J1040" s="55">
        <v>20.0</v>
      </c>
      <c r="K1040" s="56">
        <v>1513.0</v>
      </c>
      <c r="L1040" s="57">
        <v>-1826.05</v>
      </c>
      <c r="M1040" s="58">
        <v>1059.0</v>
      </c>
      <c r="N1040" s="33">
        <f t="shared" si="155"/>
        <v>30260</v>
      </c>
      <c r="O1040" s="59">
        <v>12104.0</v>
      </c>
      <c r="P1040" s="34">
        <f t="shared" si="14"/>
        <v>8</v>
      </c>
      <c r="Q1040" s="60"/>
      <c r="R1040" s="36">
        <f t="shared" si="156"/>
        <v>1059</v>
      </c>
      <c r="S1040" s="71"/>
      <c r="T1040" s="37">
        <f t="shared" si="157"/>
        <v>-767.05</v>
      </c>
      <c r="U1040" s="62">
        <v>1.0</v>
      </c>
      <c r="V1040" s="63"/>
      <c r="W1040" s="63"/>
      <c r="X1040" s="83">
        <v>0.16</v>
      </c>
      <c r="Y1040" s="35" t="str">
        <f t="shared" si="163"/>
        <v>#N/A</v>
      </c>
      <c r="Z1040" s="40" t="str">
        <f t="shared" si="159"/>
        <v>#N/A</v>
      </c>
      <c r="AA1040" s="65">
        <v>-123.0</v>
      </c>
      <c r="AB1040" s="41" t="str">
        <f t="shared" si="161"/>
        <v>#N/A</v>
      </c>
      <c r="AC1040" s="42" t="b">
        <v>1</v>
      </c>
      <c r="AD1040" s="42" t="s">
        <v>138</v>
      </c>
      <c r="AE1040" s="42" t="s">
        <v>138</v>
      </c>
      <c r="AF1040" s="42" t="str">
        <f t="array" ref="AF1040">INDEX('Deal Info'!D:D, MATCH(A1040,'Deal Info'!A:A, 0))</f>
        <v>#N/A</v>
      </c>
      <c r="AG1040" s="43" t="str">
        <f t="array" ref="AG1040">INDEX('Deal Info'!G:G, MATCH(A1040,'Deal Info'!A:A, 0))</f>
        <v>#N/A</v>
      </c>
    </row>
    <row r="1041" hidden="1">
      <c r="A1041" s="23" t="b">
        <f t="array" ref="A1041">if(G1041='Room Info'!$B$1, INDEX('Room Info'!$A$2:$A3446, MATCH(B1041,'Room Info'!$B$2:$B3446, 0)),if(G1041='Room Info'!$C$1, INDEX('Room Info'!$A$2:$A3446, MATCH(B1041,'Room Info'!$C$2:$C3446, 0)),if(G1041='Room Info'!$D$1, INDEX('Room Info'!$A$2:$A3446, MATCH(B1041,'Room Info'!$D$2:$D3446, 0)),if(G1041='Room Info'!$E$1, INDEX('Room Info'!$A$2:$A3446, MATCH(B1041,'Room Info'!$E$2:$E3446, 0)),if(G1041='Room Info'!$F$1, INDEX('Room Info'!$A$2:$A3446, MATCH(B1041,'Room Info'!$F$2:$F3446, 0)),if(G1041='Room Info'!$H$1, INDEX('Room Info'!$A$2:$A3446, MATCH(B1041,'Room Info'!$H$2:$H3446, 0)),if(G1041='Room Info'!$G$1, INDEX('Room Info'!$A$2:$A3446, MATCH(B1041,'Room Info'!$G$2:$G3446, 0)))))))))</f>
        <v>0</v>
      </c>
      <c r="B1041" s="50" t="s">
        <v>206</v>
      </c>
      <c r="C1041" s="51">
        <v>44835.0</v>
      </c>
      <c r="D1041" s="51">
        <v>44865.0</v>
      </c>
      <c r="E1041" s="52">
        <v>44835.0</v>
      </c>
      <c r="F1041" s="53" t="s">
        <v>12</v>
      </c>
      <c r="G1041" s="50" t="s">
        <v>142</v>
      </c>
      <c r="H1041" s="54" t="s">
        <v>77</v>
      </c>
      <c r="I1041" s="54" t="s">
        <v>7</v>
      </c>
      <c r="J1041" s="55">
        <v>50.0</v>
      </c>
      <c r="K1041" s="56">
        <v>250.0</v>
      </c>
      <c r="L1041" s="57">
        <v>-754.32</v>
      </c>
      <c r="M1041" s="58">
        <v>438.0</v>
      </c>
      <c r="N1041" s="33">
        <f t="shared" si="155"/>
        <v>12500</v>
      </c>
      <c r="O1041" s="59">
        <v>7500.0</v>
      </c>
      <c r="P1041" s="34">
        <f t="shared" si="14"/>
        <v>30</v>
      </c>
      <c r="Q1041" s="60"/>
      <c r="R1041" s="36">
        <f t="shared" si="156"/>
        <v>438</v>
      </c>
      <c r="S1041" s="71"/>
      <c r="T1041" s="37">
        <f t="shared" si="157"/>
        <v>-316.32</v>
      </c>
      <c r="U1041" s="62">
        <v>1.0</v>
      </c>
      <c r="V1041" s="63"/>
      <c r="W1041" s="63"/>
      <c r="X1041" s="83">
        <v>0.16</v>
      </c>
      <c r="Y1041" s="35" t="str">
        <f t="shared" si="163"/>
        <v>#N/A</v>
      </c>
      <c r="Z1041" s="40" t="str">
        <f t="shared" si="159"/>
        <v>#N/A</v>
      </c>
      <c r="AA1041" s="65">
        <v>-51.0</v>
      </c>
      <c r="AB1041" s="41" t="str">
        <f t="shared" si="161"/>
        <v>#N/A</v>
      </c>
      <c r="AC1041" s="42" t="b">
        <v>1</v>
      </c>
      <c r="AD1041" s="42" t="s">
        <v>138</v>
      </c>
      <c r="AE1041" s="42" t="s">
        <v>138</v>
      </c>
      <c r="AF1041" s="42" t="str">
        <f t="array" ref="AF1041">INDEX('Deal Info'!D:D, MATCH(A1041,'Deal Info'!A:A, 0))</f>
        <v>#N/A</v>
      </c>
      <c r="AG1041" s="43" t="str">
        <f t="array" ref="AG1041">INDEX('Deal Info'!G:G, MATCH(A1041,'Deal Info'!A:A, 0))</f>
        <v>#N/A</v>
      </c>
    </row>
    <row r="1042" hidden="1">
      <c r="A1042" s="23" t="b">
        <f t="array" ref="A1042">if(G1042='Room Info'!$B$1, INDEX('Room Info'!$A$2:$A3446, MATCH(B1042,'Room Info'!$B$2:$B3446, 0)),if(G1042='Room Info'!$C$1, INDEX('Room Info'!$A$2:$A3446, MATCH(B1042,'Room Info'!$C$2:$C3446, 0)),if(G1042='Room Info'!$D$1, INDEX('Room Info'!$A$2:$A3446, MATCH(B1042,'Room Info'!$D$2:$D3446, 0)),if(G1042='Room Info'!$E$1, INDEX('Room Info'!$A$2:$A3446, MATCH(B1042,'Room Info'!$E$2:$E3446, 0)),if(G1042='Room Info'!$F$1, INDEX('Room Info'!$A$2:$A3446, MATCH(B1042,'Room Info'!$F$2:$F3446, 0)),if(G1042='Room Info'!$H$1, INDEX('Room Info'!$A$2:$A3446, MATCH(B1042,'Room Info'!$H$2:$H3446, 0)),if(G1042='Room Info'!$G$1, INDEX('Room Info'!$A$2:$A3446, MATCH(B1042,'Room Info'!$G$2:$G3446, 0)))))))))</f>
        <v>0</v>
      </c>
      <c r="B1042" s="50" t="s">
        <v>206</v>
      </c>
      <c r="C1042" s="51">
        <v>44866.0</v>
      </c>
      <c r="D1042" s="51">
        <v>44872.0</v>
      </c>
      <c r="E1042" s="52">
        <v>44866.0</v>
      </c>
      <c r="F1042" s="53" t="s">
        <v>12</v>
      </c>
      <c r="G1042" s="50" t="s">
        <v>142</v>
      </c>
      <c r="H1042" s="54" t="s">
        <v>77</v>
      </c>
      <c r="I1042" s="54" t="s">
        <v>7</v>
      </c>
      <c r="J1042" s="55">
        <v>50.0</v>
      </c>
      <c r="K1042" s="116"/>
      <c r="L1042" s="57">
        <v>15810.0</v>
      </c>
      <c r="M1042" s="67"/>
      <c r="N1042" s="33">
        <f t="shared" si="155"/>
        <v>0</v>
      </c>
      <c r="O1042" s="70"/>
      <c r="P1042" s="34" t="str">
        <f t="shared" si="14"/>
        <v/>
      </c>
      <c r="Q1042" s="60"/>
      <c r="R1042" s="36">
        <f t="shared" si="156"/>
        <v>0</v>
      </c>
      <c r="S1042" s="71"/>
      <c r="T1042" s="37">
        <f t="shared" si="157"/>
        <v>15810</v>
      </c>
      <c r="U1042" s="62">
        <v>1.0</v>
      </c>
      <c r="V1042" s="63"/>
      <c r="W1042" s="63"/>
      <c r="X1042" s="83">
        <v>0.16</v>
      </c>
      <c r="Y1042" s="35" t="str">
        <f t="shared" si="163"/>
        <v>#N/A</v>
      </c>
      <c r="Z1042" s="40" t="str">
        <f t="shared" si="159"/>
        <v>#N/A</v>
      </c>
      <c r="AA1042" s="65">
        <v>2533.0</v>
      </c>
      <c r="AB1042" s="41" t="str">
        <f t="shared" si="161"/>
        <v>#N/A</v>
      </c>
      <c r="AC1042" s="42" t="b">
        <v>1</v>
      </c>
      <c r="AD1042" s="42" t="s">
        <v>138</v>
      </c>
      <c r="AE1042" s="42" t="s">
        <v>138</v>
      </c>
      <c r="AF1042" s="42" t="str">
        <f t="array" ref="AF1042">INDEX('Deal Info'!D:D, MATCH(A1042,'Deal Info'!A:A, 0))</f>
        <v>#N/A</v>
      </c>
      <c r="AG1042" s="43" t="str">
        <f t="array" ref="AG1042">INDEX('Deal Info'!G:G, MATCH(A1042,'Deal Info'!A:A, 0))</f>
        <v>#N/A</v>
      </c>
    </row>
    <row r="1043" hidden="1">
      <c r="A1043" s="23" t="b">
        <f t="array" ref="A1043">if(G1043='Room Info'!$B$1, INDEX('Room Info'!$A$2:$A3446, MATCH(B1043,'Room Info'!$B$2:$B3446, 0)),if(G1043='Room Info'!$C$1, INDEX('Room Info'!$A$2:$A3446, MATCH(B1043,'Room Info'!$C$2:$C3446, 0)),if(G1043='Room Info'!$D$1, INDEX('Room Info'!$A$2:$A3446, MATCH(B1043,'Room Info'!$D$2:$D3446, 0)),if(G1043='Room Info'!$E$1, INDEX('Room Info'!$A$2:$A3446, MATCH(B1043,'Room Info'!$E$2:$E3446, 0)),if(G1043='Room Info'!$F$1, INDEX('Room Info'!$A$2:$A3446, MATCH(B1043,'Room Info'!$F$2:$F3446, 0)),if(G1043='Room Info'!$H$1, INDEX('Room Info'!$A$2:$A3446, MATCH(B1043,'Room Info'!$H$2:$H3446, 0)),if(G1043='Room Info'!$G$1, INDEX('Room Info'!$A$2:$A3446, MATCH(B1043,'Room Info'!$G$2:$G3446, 0)))))))))</f>
        <v>0</v>
      </c>
      <c r="B1043" s="50" t="s">
        <v>206</v>
      </c>
      <c r="C1043" s="51">
        <v>44873.0</v>
      </c>
      <c r="D1043" s="51">
        <v>44895.0</v>
      </c>
      <c r="E1043" s="52">
        <v>44866.0</v>
      </c>
      <c r="F1043" s="53" t="s">
        <v>12</v>
      </c>
      <c r="G1043" s="50" t="s">
        <v>142</v>
      </c>
      <c r="H1043" s="54" t="s">
        <v>39</v>
      </c>
      <c r="I1043" s="54" t="s">
        <v>7</v>
      </c>
      <c r="J1043" s="55">
        <v>5.0</v>
      </c>
      <c r="K1043" s="56">
        <v>13.0</v>
      </c>
      <c r="L1043" s="57">
        <v>1.03</v>
      </c>
      <c r="M1043" s="58">
        <v>2.0</v>
      </c>
      <c r="N1043" s="33">
        <f t="shared" si="155"/>
        <v>65</v>
      </c>
      <c r="O1043" s="70"/>
      <c r="P1043" s="34">
        <f t="shared" si="14"/>
        <v>0</v>
      </c>
      <c r="Q1043" s="60"/>
      <c r="R1043" s="36">
        <f t="shared" si="156"/>
        <v>2</v>
      </c>
      <c r="S1043" s="71"/>
      <c r="T1043" s="37">
        <f t="shared" si="157"/>
        <v>3.03</v>
      </c>
      <c r="U1043" s="62">
        <v>1.0</v>
      </c>
      <c r="V1043" s="63"/>
      <c r="W1043" s="63"/>
      <c r="X1043" s="83">
        <v>0.23</v>
      </c>
      <c r="Y1043" s="35" t="str">
        <f t="shared" si="163"/>
        <v>#N/A</v>
      </c>
      <c r="Z1043" s="40" t="str">
        <f t="shared" si="159"/>
        <v>#N/A</v>
      </c>
      <c r="AA1043" s="65">
        <v>1.0</v>
      </c>
      <c r="AB1043" s="41" t="str">
        <f t="shared" si="161"/>
        <v>#N/A</v>
      </c>
      <c r="AC1043" s="42" t="b">
        <v>1</v>
      </c>
      <c r="AD1043" s="42" t="s">
        <v>138</v>
      </c>
      <c r="AE1043" s="42" t="s">
        <v>138</v>
      </c>
      <c r="AF1043" s="42" t="str">
        <f t="array" ref="AF1043">INDEX('Deal Info'!D:D, MATCH(A1043,'Deal Info'!A:A, 0))</f>
        <v>#N/A</v>
      </c>
      <c r="AG1043" s="43" t="str">
        <f t="array" ref="AG1043">INDEX('Deal Info'!G:G, MATCH(A1043,'Deal Info'!A:A, 0))</f>
        <v>#N/A</v>
      </c>
    </row>
    <row r="1044" hidden="1">
      <c r="A1044" s="23" t="b">
        <f t="array" ref="A1044">if(G1044='Room Info'!$B$1, INDEX('Room Info'!$A$2:$A3446, MATCH(B1044,'Room Info'!$B$2:$B3446, 0)),if(G1044='Room Info'!$C$1, INDEX('Room Info'!$A$2:$A3446, MATCH(B1044,'Room Info'!$C$2:$C3446, 0)),if(G1044='Room Info'!$D$1, INDEX('Room Info'!$A$2:$A3446, MATCH(B1044,'Room Info'!$D$2:$D3446, 0)),if(G1044='Room Info'!$E$1, INDEX('Room Info'!$A$2:$A3446, MATCH(B1044,'Room Info'!$E$2:$E3446, 0)),if(G1044='Room Info'!$F$1, INDEX('Room Info'!$A$2:$A3446, MATCH(B1044,'Room Info'!$F$2:$F3446, 0)),if(G1044='Room Info'!$H$1, INDEX('Room Info'!$A$2:$A3446, MATCH(B1044,'Room Info'!$H$2:$H3446, 0)),if(G1044='Room Info'!$G$1, INDEX('Room Info'!$A$2:$A3446, MATCH(B1044,'Room Info'!$G$2:$G3446, 0)))))))))</f>
        <v>0</v>
      </c>
      <c r="B1044" s="50" t="s">
        <v>206</v>
      </c>
      <c r="C1044" s="51">
        <v>44873.0</v>
      </c>
      <c r="D1044" s="51">
        <v>44895.0</v>
      </c>
      <c r="E1044" s="52">
        <v>44866.0</v>
      </c>
      <c r="F1044" s="53" t="s">
        <v>12</v>
      </c>
      <c r="G1044" s="50" t="s">
        <v>142</v>
      </c>
      <c r="H1044" s="54" t="s">
        <v>50</v>
      </c>
      <c r="I1044" s="54" t="s">
        <v>7</v>
      </c>
      <c r="J1044" s="55">
        <v>10.0</v>
      </c>
      <c r="K1044" s="56">
        <v>5.0</v>
      </c>
      <c r="L1044" s="57">
        <v>0.79</v>
      </c>
      <c r="M1044" s="58">
        <v>2.0</v>
      </c>
      <c r="N1044" s="33">
        <f t="shared" si="155"/>
        <v>50</v>
      </c>
      <c r="O1044" s="70"/>
      <c r="P1044" s="34">
        <f t="shared" si="14"/>
        <v>0</v>
      </c>
      <c r="Q1044" s="60"/>
      <c r="R1044" s="36">
        <f t="shared" si="156"/>
        <v>2</v>
      </c>
      <c r="S1044" s="71"/>
      <c r="T1044" s="37">
        <f t="shared" si="157"/>
        <v>2.79</v>
      </c>
      <c r="U1044" s="62">
        <v>1.0</v>
      </c>
      <c r="V1044" s="63"/>
      <c r="W1044" s="63"/>
      <c r="X1044" s="83">
        <v>0.23</v>
      </c>
      <c r="Y1044" s="35" t="str">
        <f t="shared" si="163"/>
        <v>#N/A</v>
      </c>
      <c r="Z1044" s="40" t="str">
        <f t="shared" si="159"/>
        <v>#N/A</v>
      </c>
      <c r="AA1044" s="65">
        <v>1.0</v>
      </c>
      <c r="AB1044" s="41" t="str">
        <f t="shared" si="161"/>
        <v>#N/A</v>
      </c>
      <c r="AC1044" s="42" t="b">
        <v>1</v>
      </c>
      <c r="AD1044" s="42" t="s">
        <v>138</v>
      </c>
      <c r="AE1044" s="42" t="s">
        <v>138</v>
      </c>
      <c r="AF1044" s="42" t="str">
        <f t="array" ref="AF1044">INDEX('Deal Info'!D:D, MATCH(A1044,'Deal Info'!A:A, 0))</f>
        <v>#N/A</v>
      </c>
      <c r="AG1044" s="43" t="str">
        <f t="array" ref="AG1044">INDEX('Deal Info'!G:G, MATCH(A1044,'Deal Info'!A:A, 0))</f>
        <v>#N/A</v>
      </c>
    </row>
    <row r="1045" hidden="1">
      <c r="A1045" s="23" t="b">
        <f t="array" ref="A1045">if(G1045='Room Info'!$B$1, INDEX('Room Info'!$A$2:$A3446, MATCH(B1045,'Room Info'!$B$2:$B3446, 0)),if(G1045='Room Info'!$C$1, INDEX('Room Info'!$A$2:$A3446, MATCH(B1045,'Room Info'!$C$2:$C3446, 0)),if(G1045='Room Info'!$D$1, INDEX('Room Info'!$A$2:$A3446, MATCH(B1045,'Room Info'!$D$2:$D3446, 0)),if(G1045='Room Info'!$E$1, INDEX('Room Info'!$A$2:$A3446, MATCH(B1045,'Room Info'!$E$2:$E3446, 0)),if(G1045='Room Info'!$F$1, INDEX('Room Info'!$A$2:$A3446, MATCH(B1045,'Room Info'!$F$2:$F3446, 0)),if(G1045='Room Info'!$H$1, INDEX('Room Info'!$A$2:$A3446, MATCH(B1045,'Room Info'!$H$2:$H3446, 0)),if(G1045='Room Info'!$G$1, INDEX('Room Info'!$A$2:$A3446, MATCH(B1045,'Room Info'!$G$2:$G3446, 0)))))))))</f>
        <v>0</v>
      </c>
      <c r="B1045" s="59" t="s">
        <v>206</v>
      </c>
      <c r="C1045" s="51">
        <v>44873.0</v>
      </c>
      <c r="D1045" s="51">
        <v>44895.0</v>
      </c>
      <c r="E1045" s="52">
        <v>44866.0</v>
      </c>
      <c r="F1045" s="50" t="s">
        <v>12</v>
      </c>
      <c r="G1045" s="59" t="s">
        <v>142</v>
      </c>
      <c r="H1045" s="54" t="s">
        <v>61</v>
      </c>
      <c r="I1045" s="54" t="s">
        <v>7</v>
      </c>
      <c r="J1045" s="55">
        <v>20.0</v>
      </c>
      <c r="K1045" s="56">
        <v>14.0</v>
      </c>
      <c r="L1045" s="57">
        <v>4.44</v>
      </c>
      <c r="M1045" s="58">
        <v>10.0</v>
      </c>
      <c r="N1045" s="33">
        <f t="shared" si="155"/>
        <v>280</v>
      </c>
      <c r="O1045" s="70"/>
      <c r="P1045" s="34">
        <f t="shared" si="14"/>
        <v>0</v>
      </c>
      <c r="Q1045" s="60"/>
      <c r="R1045" s="36">
        <f t="shared" si="156"/>
        <v>10</v>
      </c>
      <c r="S1045" s="71"/>
      <c r="T1045" s="37">
        <f t="shared" si="157"/>
        <v>14.44</v>
      </c>
      <c r="U1045" s="62">
        <v>1.0</v>
      </c>
      <c r="V1045" s="63"/>
      <c r="W1045" s="63"/>
      <c r="X1045" s="83">
        <v>0.23</v>
      </c>
      <c r="Y1045" s="35" t="str">
        <f t="shared" si="163"/>
        <v>#N/A</v>
      </c>
      <c r="Z1045" s="40" t="str">
        <f t="shared" si="159"/>
        <v>#N/A</v>
      </c>
      <c r="AA1045" s="65">
        <v>3.0</v>
      </c>
      <c r="AB1045" s="41" t="str">
        <f t="shared" si="161"/>
        <v>#N/A</v>
      </c>
      <c r="AC1045" s="42" t="b">
        <v>1</v>
      </c>
      <c r="AD1045" s="42" t="s">
        <v>138</v>
      </c>
      <c r="AE1045" s="42" t="s">
        <v>138</v>
      </c>
      <c r="AF1045" s="42" t="str">
        <f t="array" ref="AF1045">INDEX('Deal Info'!D:D, MATCH(A1045,'Deal Info'!A:A, 0))</f>
        <v>#N/A</v>
      </c>
      <c r="AG1045" s="43" t="str">
        <f t="array" ref="AG1045">INDEX('Deal Info'!G:G, MATCH(A1045,'Deal Info'!A:A, 0))</f>
        <v>#N/A</v>
      </c>
    </row>
    <row r="1046" hidden="1">
      <c r="A1046" s="23" t="b">
        <f t="array" ref="A1046">if(G1046='Room Info'!$B$1, INDEX('Room Info'!$A$2:$A3446, MATCH(B1046,'Room Info'!$B$2:$B3446, 0)),if(G1046='Room Info'!$C$1, INDEX('Room Info'!$A$2:$A3446, MATCH(B1046,'Room Info'!$C$2:$C3446, 0)),if(G1046='Room Info'!$D$1, INDEX('Room Info'!$A$2:$A3446, MATCH(B1046,'Room Info'!$D$2:$D3446, 0)),if(G1046='Room Info'!$E$1, INDEX('Room Info'!$A$2:$A3446, MATCH(B1046,'Room Info'!$E$2:$E3446, 0)),if(G1046='Room Info'!$F$1, INDEX('Room Info'!$A$2:$A3446, MATCH(B1046,'Room Info'!$F$2:$F3446, 0)),if(G1046='Room Info'!$H$1, INDEX('Room Info'!$A$2:$A3446, MATCH(B1046,'Room Info'!$H$2:$H3446, 0)),if(G1046='Room Info'!$G$1, INDEX('Room Info'!$A$2:$A3446, MATCH(B1046,'Room Info'!$G$2:$G3446, 0)))))))))</f>
        <v>0</v>
      </c>
      <c r="B1046" s="59" t="s">
        <v>206</v>
      </c>
      <c r="C1046" s="51">
        <v>44873.0</v>
      </c>
      <c r="D1046" s="51">
        <v>44895.0</v>
      </c>
      <c r="E1046" s="52">
        <v>44866.0</v>
      </c>
      <c r="F1046" s="50" t="s">
        <v>12</v>
      </c>
      <c r="G1046" s="59" t="s">
        <v>142</v>
      </c>
      <c r="H1046" s="54" t="s">
        <v>77</v>
      </c>
      <c r="I1046" s="54" t="s">
        <v>7</v>
      </c>
      <c r="J1046" s="55">
        <v>50.0</v>
      </c>
      <c r="K1046" s="56">
        <v>612.0</v>
      </c>
      <c r="L1046" s="57">
        <v>484.95</v>
      </c>
      <c r="M1046" s="58">
        <v>1071.0</v>
      </c>
      <c r="N1046" s="33">
        <f t="shared" si="155"/>
        <v>30600</v>
      </c>
      <c r="O1046" s="70"/>
      <c r="P1046" s="34">
        <f t="shared" si="14"/>
        <v>0</v>
      </c>
      <c r="Q1046" s="60"/>
      <c r="R1046" s="36">
        <f t="shared" si="156"/>
        <v>1071</v>
      </c>
      <c r="S1046" s="71"/>
      <c r="T1046" s="37">
        <f t="shared" si="157"/>
        <v>1555.95</v>
      </c>
      <c r="U1046" s="62">
        <v>1.0</v>
      </c>
      <c r="V1046" s="63"/>
      <c r="W1046" s="63"/>
      <c r="X1046" s="83">
        <v>0.23</v>
      </c>
      <c r="Y1046" s="35" t="str">
        <f t="shared" si="163"/>
        <v>#N/A</v>
      </c>
      <c r="Z1046" s="40" t="str">
        <f t="shared" si="159"/>
        <v>#N/A</v>
      </c>
      <c r="AA1046" s="65">
        <v>358.0</v>
      </c>
      <c r="AB1046" s="41" t="str">
        <f t="shared" si="161"/>
        <v>#N/A</v>
      </c>
      <c r="AC1046" s="42" t="b">
        <v>1</v>
      </c>
      <c r="AD1046" s="42" t="s">
        <v>138</v>
      </c>
      <c r="AE1046" s="42" t="s">
        <v>138</v>
      </c>
      <c r="AF1046" s="42" t="str">
        <f t="array" ref="AF1046">INDEX('Deal Info'!D:D, MATCH(A1046,'Deal Info'!A:A, 0))</f>
        <v>#N/A</v>
      </c>
      <c r="AG1046" s="43" t="str">
        <f t="array" ref="AG1046">INDEX('Deal Info'!G:G, MATCH(A1046,'Deal Info'!A:A, 0))</f>
        <v>#N/A</v>
      </c>
    </row>
    <row r="1047" hidden="1">
      <c r="A1047" s="23" t="b">
        <f t="array" ref="A1047">if(G1047='Room Info'!$B$1, INDEX('Room Info'!$A$2:$A3446, MATCH(B1047,'Room Info'!$B$2:$B3446, 0)),if(G1047='Room Info'!$C$1, INDEX('Room Info'!$A$2:$A3446, MATCH(B1047,'Room Info'!$C$2:$C3446, 0)),if(G1047='Room Info'!$D$1, INDEX('Room Info'!$A$2:$A3446, MATCH(B1047,'Room Info'!$D$2:$D3446, 0)),if(G1047='Room Info'!$E$1, INDEX('Room Info'!$A$2:$A3446, MATCH(B1047,'Room Info'!$E$2:$E3446, 0)),if(G1047='Room Info'!$F$1, INDEX('Room Info'!$A$2:$A3446, MATCH(B1047,'Room Info'!$F$2:$F3446, 0)),if(G1047='Room Info'!$H$1, INDEX('Room Info'!$A$2:$A3446, MATCH(B1047,'Room Info'!$H$2:$H3446, 0)),if(G1047='Room Info'!$G$1, INDEX('Room Info'!$A$2:$A3446, MATCH(B1047,'Room Info'!$G$2:$G3446, 0)))))))))</f>
        <v>0</v>
      </c>
      <c r="B1047" s="50" t="s">
        <v>206</v>
      </c>
      <c r="C1047" s="51">
        <v>44873.0</v>
      </c>
      <c r="D1047" s="51">
        <v>44895.0</v>
      </c>
      <c r="E1047" s="52">
        <v>44866.0</v>
      </c>
      <c r="F1047" s="53" t="s">
        <v>12</v>
      </c>
      <c r="G1047" s="50" t="s">
        <v>142</v>
      </c>
      <c r="H1047" s="54" t="s">
        <v>89</v>
      </c>
      <c r="I1047" s="54" t="s">
        <v>7</v>
      </c>
      <c r="J1047" s="55">
        <v>100.0</v>
      </c>
      <c r="K1047" s="56">
        <v>27.0</v>
      </c>
      <c r="L1047" s="57">
        <v>42.79</v>
      </c>
      <c r="M1047" s="58">
        <v>95.0</v>
      </c>
      <c r="N1047" s="33">
        <f t="shared" si="155"/>
        <v>2700</v>
      </c>
      <c r="O1047" s="70"/>
      <c r="P1047" s="34">
        <f t="shared" si="14"/>
        <v>0</v>
      </c>
      <c r="Q1047" s="60"/>
      <c r="R1047" s="36">
        <f t="shared" si="156"/>
        <v>95</v>
      </c>
      <c r="S1047" s="71"/>
      <c r="T1047" s="37">
        <f t="shared" si="157"/>
        <v>137.79</v>
      </c>
      <c r="U1047" s="62">
        <v>1.0</v>
      </c>
      <c r="V1047" s="63"/>
      <c r="W1047" s="63"/>
      <c r="X1047" s="83">
        <v>0.23</v>
      </c>
      <c r="Y1047" s="35" t="str">
        <f t="shared" si="163"/>
        <v>#N/A</v>
      </c>
      <c r="Z1047" s="40" t="str">
        <f t="shared" si="159"/>
        <v>#N/A</v>
      </c>
      <c r="AA1047" s="65">
        <v>32.0</v>
      </c>
      <c r="AB1047" s="41" t="str">
        <f t="shared" si="161"/>
        <v>#N/A</v>
      </c>
      <c r="AC1047" s="42" t="b">
        <v>1</v>
      </c>
      <c r="AD1047" s="42" t="s">
        <v>138</v>
      </c>
      <c r="AE1047" s="42" t="s">
        <v>138</v>
      </c>
      <c r="AF1047" s="42" t="str">
        <f t="array" ref="AF1047">INDEX('Deal Info'!D:D, MATCH(A1047,'Deal Info'!A:A, 0))</f>
        <v>#N/A</v>
      </c>
      <c r="AG1047" s="43" t="str">
        <f t="array" ref="AG1047">INDEX('Deal Info'!G:G, MATCH(A1047,'Deal Info'!A:A, 0))</f>
        <v>#N/A</v>
      </c>
    </row>
    <row r="1048" hidden="1">
      <c r="A1048" s="23" t="b">
        <f t="array" ref="A1048">if(G1048='Room Info'!$B$1, INDEX('Room Info'!$A$2:$A3446, MATCH(B1048,'Room Info'!$B$2:$B3446, 0)),if(G1048='Room Info'!$C$1, INDEX('Room Info'!$A$2:$A3446, MATCH(B1048,'Room Info'!$C$2:$C3446, 0)),if(G1048='Room Info'!$D$1, INDEX('Room Info'!$A$2:$A3446, MATCH(B1048,'Room Info'!$D$2:$D3446, 0)),if(G1048='Room Info'!$E$1, INDEX('Room Info'!$A$2:$A3446, MATCH(B1048,'Room Info'!$E$2:$E3446, 0)),if(G1048='Room Info'!$F$1, INDEX('Room Info'!$A$2:$A3446, MATCH(B1048,'Room Info'!$F$2:$F3446, 0)),if(G1048='Room Info'!$H$1, INDEX('Room Info'!$A$2:$A3446, MATCH(B1048,'Room Info'!$H$2:$H3446, 0)),if(G1048='Room Info'!$G$1, INDEX('Room Info'!$A$2:$A3446, MATCH(B1048,'Room Info'!$G$2:$G3446, 0)))))))))</f>
        <v>0</v>
      </c>
      <c r="B1048" s="50" t="s">
        <v>206</v>
      </c>
      <c r="C1048" s="51">
        <v>44896.0</v>
      </c>
      <c r="D1048" s="51">
        <v>44921.0</v>
      </c>
      <c r="E1048" s="52">
        <v>44896.0</v>
      </c>
      <c r="F1048" s="53" t="s">
        <v>12</v>
      </c>
      <c r="G1048" s="50" t="s">
        <v>142</v>
      </c>
      <c r="H1048" s="54" t="s">
        <v>39</v>
      </c>
      <c r="I1048" s="54" t="s">
        <v>7</v>
      </c>
      <c r="J1048" s="55">
        <v>5.0</v>
      </c>
      <c r="K1048" s="56">
        <v>16.0</v>
      </c>
      <c r="L1048" s="57">
        <v>0.37</v>
      </c>
      <c r="M1048" s="58">
        <v>3.0</v>
      </c>
      <c r="N1048" s="33">
        <f t="shared" si="155"/>
        <v>80</v>
      </c>
      <c r="O1048" s="70"/>
      <c r="P1048" s="34">
        <f t="shared" si="14"/>
        <v>0</v>
      </c>
      <c r="Q1048" s="60"/>
      <c r="R1048" s="36">
        <f t="shared" si="156"/>
        <v>3</v>
      </c>
      <c r="S1048" s="71"/>
      <c r="T1048" s="37">
        <f t="shared" si="157"/>
        <v>3.37</v>
      </c>
      <c r="U1048" s="62">
        <v>1.0</v>
      </c>
      <c r="V1048" s="63"/>
      <c r="W1048" s="63"/>
      <c r="X1048" s="83">
        <v>0.17</v>
      </c>
      <c r="Y1048" s="35" t="str">
        <f t="shared" si="163"/>
        <v>#N/A</v>
      </c>
      <c r="Z1048" s="40" t="str">
        <f t="shared" si="159"/>
        <v>#N/A</v>
      </c>
      <c r="AA1048" s="65">
        <v>1.0</v>
      </c>
      <c r="AB1048" s="41" t="str">
        <f t="shared" si="161"/>
        <v>#N/A</v>
      </c>
      <c r="AC1048" s="42" t="b">
        <v>1</v>
      </c>
      <c r="AD1048" s="42" t="s">
        <v>138</v>
      </c>
      <c r="AE1048" s="42" t="s">
        <v>138</v>
      </c>
      <c r="AF1048" s="42" t="str">
        <f t="array" ref="AF1048">INDEX('Deal Info'!D:D, MATCH(A1048,'Deal Info'!A:A, 0))</f>
        <v>#N/A</v>
      </c>
      <c r="AG1048" s="43" t="str">
        <f t="array" ref="AG1048">INDEX('Deal Info'!G:G, MATCH(A1048,'Deal Info'!A:A, 0))</f>
        <v>#N/A</v>
      </c>
    </row>
    <row r="1049" hidden="1">
      <c r="A1049" s="23" t="b">
        <f t="array" ref="A1049">if(G1049='Room Info'!$B$1, INDEX('Room Info'!$A$2:$A3446, MATCH(B1049,'Room Info'!$B$2:$B3446, 0)),if(G1049='Room Info'!$C$1, INDEX('Room Info'!$A$2:$A3446, MATCH(B1049,'Room Info'!$C$2:$C3446, 0)),if(G1049='Room Info'!$D$1, INDEX('Room Info'!$A$2:$A3446, MATCH(B1049,'Room Info'!$D$2:$D3446, 0)),if(G1049='Room Info'!$E$1, INDEX('Room Info'!$A$2:$A3446, MATCH(B1049,'Room Info'!$E$2:$E3446, 0)),if(G1049='Room Info'!$F$1, INDEX('Room Info'!$A$2:$A3446, MATCH(B1049,'Room Info'!$F$2:$F3446, 0)),if(G1049='Room Info'!$H$1, INDEX('Room Info'!$A$2:$A3446, MATCH(B1049,'Room Info'!$H$2:$H3446, 0)),if(G1049='Room Info'!$G$1, INDEX('Room Info'!$A$2:$A3446, MATCH(B1049,'Room Info'!$G$2:$G3446, 0)))))))))</f>
        <v>0</v>
      </c>
      <c r="B1049" s="50" t="s">
        <v>206</v>
      </c>
      <c r="C1049" s="51">
        <v>44896.0</v>
      </c>
      <c r="D1049" s="51">
        <v>44921.0</v>
      </c>
      <c r="E1049" s="52">
        <v>44896.0</v>
      </c>
      <c r="F1049" s="53" t="s">
        <v>12</v>
      </c>
      <c r="G1049" s="50" t="s">
        <v>142</v>
      </c>
      <c r="H1049" s="54" t="s">
        <v>50</v>
      </c>
      <c r="I1049" s="54" t="s">
        <v>7</v>
      </c>
      <c r="J1049" s="55">
        <v>10.0</v>
      </c>
      <c r="K1049" s="56">
        <v>14.0</v>
      </c>
      <c r="L1049" s="57">
        <v>0.64</v>
      </c>
      <c r="M1049" s="58">
        <v>5.0</v>
      </c>
      <c r="N1049" s="33">
        <f t="shared" si="155"/>
        <v>140</v>
      </c>
      <c r="O1049" s="70"/>
      <c r="P1049" s="34">
        <f t="shared" si="14"/>
        <v>0</v>
      </c>
      <c r="Q1049" s="60"/>
      <c r="R1049" s="36">
        <f t="shared" si="156"/>
        <v>5</v>
      </c>
      <c r="S1049" s="71"/>
      <c r="T1049" s="37">
        <f t="shared" si="157"/>
        <v>5.64</v>
      </c>
      <c r="U1049" s="62">
        <v>1.0</v>
      </c>
      <c r="V1049" s="63"/>
      <c r="W1049" s="63"/>
      <c r="X1049" s="83">
        <v>0.17</v>
      </c>
      <c r="Y1049" s="35" t="str">
        <f t="shared" si="163"/>
        <v>#N/A</v>
      </c>
      <c r="Z1049" s="40" t="str">
        <f t="shared" si="159"/>
        <v>#N/A</v>
      </c>
      <c r="AA1049" s="65">
        <v>1.0</v>
      </c>
      <c r="AB1049" s="41" t="str">
        <f t="shared" si="161"/>
        <v>#N/A</v>
      </c>
      <c r="AC1049" s="42" t="b">
        <v>1</v>
      </c>
      <c r="AD1049" s="42" t="s">
        <v>138</v>
      </c>
      <c r="AE1049" s="42" t="s">
        <v>138</v>
      </c>
      <c r="AF1049" s="42" t="str">
        <f t="array" ref="AF1049">INDEX('Deal Info'!D:D, MATCH(A1049,'Deal Info'!A:A, 0))</f>
        <v>#N/A</v>
      </c>
      <c r="AG1049" s="43" t="str">
        <f t="array" ref="AG1049">INDEX('Deal Info'!G:G, MATCH(A1049,'Deal Info'!A:A, 0))</f>
        <v>#N/A</v>
      </c>
    </row>
    <row r="1050" hidden="1">
      <c r="A1050" s="23" t="b">
        <f t="array" ref="A1050">if(G1050='Room Info'!$B$1, INDEX('Room Info'!$A$2:$A3446, MATCH(B1050,'Room Info'!$B$2:$B3446, 0)),if(G1050='Room Info'!$C$1, INDEX('Room Info'!$A$2:$A3446, MATCH(B1050,'Room Info'!$C$2:$C3446, 0)),if(G1050='Room Info'!$D$1, INDEX('Room Info'!$A$2:$A3446, MATCH(B1050,'Room Info'!$D$2:$D3446, 0)),if(G1050='Room Info'!$E$1, INDEX('Room Info'!$A$2:$A3446, MATCH(B1050,'Room Info'!$E$2:$E3446, 0)),if(G1050='Room Info'!$F$1, INDEX('Room Info'!$A$2:$A3446, MATCH(B1050,'Room Info'!$F$2:$F3446, 0)),if(G1050='Room Info'!$H$1, INDEX('Room Info'!$A$2:$A3446, MATCH(B1050,'Room Info'!$H$2:$H3446, 0)),if(G1050='Room Info'!$G$1, INDEX('Room Info'!$A$2:$A3446, MATCH(B1050,'Room Info'!$G$2:$G3446, 0)))))))))</f>
        <v>0</v>
      </c>
      <c r="B1050" s="50" t="s">
        <v>206</v>
      </c>
      <c r="C1050" s="51">
        <v>44896.0</v>
      </c>
      <c r="D1050" s="51">
        <v>44921.0</v>
      </c>
      <c r="E1050" s="52">
        <v>44896.0</v>
      </c>
      <c r="F1050" s="53" t="s">
        <v>12</v>
      </c>
      <c r="G1050" s="50" t="s">
        <v>142</v>
      </c>
      <c r="H1050" s="54" t="s">
        <v>61</v>
      </c>
      <c r="I1050" s="54" t="s">
        <v>7</v>
      </c>
      <c r="J1050" s="55">
        <v>20.0</v>
      </c>
      <c r="K1050" s="56">
        <v>13.0</v>
      </c>
      <c r="L1050" s="57">
        <v>1.2</v>
      </c>
      <c r="M1050" s="58">
        <v>9.0</v>
      </c>
      <c r="N1050" s="33">
        <f t="shared" si="155"/>
        <v>260</v>
      </c>
      <c r="O1050" s="70"/>
      <c r="P1050" s="34">
        <f t="shared" si="14"/>
        <v>0</v>
      </c>
      <c r="Q1050" s="60"/>
      <c r="R1050" s="36">
        <f t="shared" si="156"/>
        <v>9</v>
      </c>
      <c r="S1050" s="71"/>
      <c r="T1050" s="37">
        <f t="shared" si="157"/>
        <v>10.2</v>
      </c>
      <c r="U1050" s="62">
        <v>1.0</v>
      </c>
      <c r="V1050" s="63"/>
      <c r="W1050" s="63"/>
      <c r="X1050" s="83">
        <v>0.17</v>
      </c>
      <c r="Y1050" s="35" t="str">
        <f t="shared" si="163"/>
        <v>#N/A</v>
      </c>
      <c r="Z1050" s="40" t="str">
        <f t="shared" si="159"/>
        <v>#N/A</v>
      </c>
      <c r="AA1050" s="65">
        <v>2.0</v>
      </c>
      <c r="AB1050" s="41" t="str">
        <f t="shared" si="161"/>
        <v>#N/A</v>
      </c>
      <c r="AC1050" s="42" t="b">
        <v>1</v>
      </c>
      <c r="AD1050" s="42" t="s">
        <v>138</v>
      </c>
      <c r="AE1050" s="42" t="s">
        <v>138</v>
      </c>
      <c r="AF1050" s="42" t="str">
        <f t="array" ref="AF1050">INDEX('Deal Info'!D:D, MATCH(A1050,'Deal Info'!A:A, 0))</f>
        <v>#N/A</v>
      </c>
      <c r="AG1050" s="43" t="str">
        <f t="array" ref="AG1050">INDEX('Deal Info'!G:G, MATCH(A1050,'Deal Info'!A:A, 0))</f>
        <v>#N/A</v>
      </c>
    </row>
    <row r="1051" hidden="1">
      <c r="A1051" s="23" t="b">
        <f t="array" ref="A1051">if(G1051='Room Info'!$B$1, INDEX('Room Info'!$A$2:$A3446, MATCH(B1051,'Room Info'!$B$2:$B3446, 0)),if(G1051='Room Info'!$C$1, INDEX('Room Info'!$A$2:$A3446, MATCH(B1051,'Room Info'!$C$2:$C3446, 0)),if(G1051='Room Info'!$D$1, INDEX('Room Info'!$A$2:$A3446, MATCH(B1051,'Room Info'!$D$2:$D3446, 0)),if(G1051='Room Info'!$E$1, INDEX('Room Info'!$A$2:$A3446, MATCH(B1051,'Room Info'!$E$2:$E3446, 0)),if(G1051='Room Info'!$F$1, INDEX('Room Info'!$A$2:$A3446, MATCH(B1051,'Room Info'!$F$2:$F3446, 0)),if(G1051='Room Info'!$H$1, INDEX('Room Info'!$A$2:$A3446, MATCH(B1051,'Room Info'!$H$2:$H3446, 0)),if(G1051='Room Info'!$G$1, INDEX('Room Info'!$A$2:$A3446, MATCH(B1051,'Room Info'!$G$2:$G3446, 0)))))))))</f>
        <v>0</v>
      </c>
      <c r="B1051" s="50" t="s">
        <v>206</v>
      </c>
      <c r="C1051" s="51">
        <v>44896.0</v>
      </c>
      <c r="D1051" s="51">
        <v>44921.0</v>
      </c>
      <c r="E1051" s="52">
        <v>44896.0</v>
      </c>
      <c r="F1051" s="53" t="s">
        <v>12</v>
      </c>
      <c r="G1051" s="50" t="s">
        <v>142</v>
      </c>
      <c r="H1051" s="54" t="s">
        <v>77</v>
      </c>
      <c r="I1051" s="54" t="s">
        <v>7</v>
      </c>
      <c r="J1051" s="55">
        <v>50.0</v>
      </c>
      <c r="K1051" s="56">
        <v>1053.0</v>
      </c>
      <c r="L1051" s="57">
        <v>242.01</v>
      </c>
      <c r="M1051" s="58">
        <v>1843.0</v>
      </c>
      <c r="N1051" s="33">
        <f t="shared" si="155"/>
        <v>52650</v>
      </c>
      <c r="O1051" s="70"/>
      <c r="P1051" s="34">
        <f t="shared" si="14"/>
        <v>0</v>
      </c>
      <c r="Q1051" s="60"/>
      <c r="R1051" s="36">
        <f t="shared" si="156"/>
        <v>1843</v>
      </c>
      <c r="S1051" s="71"/>
      <c r="T1051" s="37">
        <f t="shared" si="157"/>
        <v>2085.01</v>
      </c>
      <c r="U1051" s="62">
        <v>1.0</v>
      </c>
      <c r="V1051" s="63"/>
      <c r="W1051" s="63"/>
      <c r="X1051" s="83">
        <v>0.17</v>
      </c>
      <c r="Y1051" s="35" t="str">
        <f t="shared" si="163"/>
        <v>#N/A</v>
      </c>
      <c r="Z1051" s="40" t="str">
        <f t="shared" si="159"/>
        <v>#N/A</v>
      </c>
      <c r="AA1051" s="65">
        <v>354.0</v>
      </c>
      <c r="AB1051" s="41" t="str">
        <f t="shared" si="161"/>
        <v>#N/A</v>
      </c>
      <c r="AC1051" s="42" t="b">
        <v>1</v>
      </c>
      <c r="AD1051" s="42" t="s">
        <v>138</v>
      </c>
      <c r="AE1051" s="42" t="s">
        <v>138</v>
      </c>
      <c r="AF1051" s="42" t="str">
        <f t="array" ref="AF1051">INDEX('Deal Info'!D:D, MATCH(A1051,'Deal Info'!A:A, 0))</f>
        <v>#N/A</v>
      </c>
      <c r="AG1051" s="43" t="str">
        <f t="array" ref="AG1051">INDEX('Deal Info'!G:G, MATCH(A1051,'Deal Info'!A:A, 0))</f>
        <v>#N/A</v>
      </c>
    </row>
    <row r="1052" hidden="1">
      <c r="A1052" s="23" t="b">
        <f t="array" ref="A1052">if(G1052='Room Info'!$B$1, INDEX('Room Info'!$A$2:$A3446, MATCH(B1052,'Room Info'!$B$2:$B3446, 0)),if(G1052='Room Info'!$C$1, INDEX('Room Info'!$A$2:$A3446, MATCH(B1052,'Room Info'!$C$2:$C3446, 0)),if(G1052='Room Info'!$D$1, INDEX('Room Info'!$A$2:$A3446, MATCH(B1052,'Room Info'!$D$2:$D3446, 0)),if(G1052='Room Info'!$E$1, INDEX('Room Info'!$A$2:$A3446, MATCH(B1052,'Room Info'!$E$2:$E3446, 0)),if(G1052='Room Info'!$F$1, INDEX('Room Info'!$A$2:$A3446, MATCH(B1052,'Room Info'!$F$2:$F3446, 0)),if(G1052='Room Info'!$H$1, INDEX('Room Info'!$A$2:$A3446, MATCH(B1052,'Room Info'!$H$2:$H3446, 0)),if(G1052='Room Info'!$G$1, INDEX('Room Info'!$A$2:$A3446, MATCH(B1052,'Room Info'!$G$2:$G3446, 0)))))))))</f>
        <v>0</v>
      </c>
      <c r="B1052" s="50" t="s">
        <v>206</v>
      </c>
      <c r="C1052" s="51">
        <v>44896.0</v>
      </c>
      <c r="D1052" s="51">
        <v>44921.0</v>
      </c>
      <c r="E1052" s="52">
        <v>44896.0</v>
      </c>
      <c r="F1052" s="53" t="s">
        <v>12</v>
      </c>
      <c r="G1052" s="50" t="s">
        <v>142</v>
      </c>
      <c r="H1052" s="54" t="s">
        <v>89</v>
      </c>
      <c r="I1052" s="54" t="s">
        <v>7</v>
      </c>
      <c r="J1052" s="55">
        <v>100.0</v>
      </c>
      <c r="K1052" s="56">
        <v>774.0</v>
      </c>
      <c r="L1052" s="57">
        <v>355.78</v>
      </c>
      <c r="M1052" s="58">
        <v>2709.0</v>
      </c>
      <c r="N1052" s="33">
        <f t="shared" si="155"/>
        <v>77400</v>
      </c>
      <c r="O1052" s="70"/>
      <c r="P1052" s="34">
        <f t="shared" si="14"/>
        <v>0</v>
      </c>
      <c r="Q1052" s="60"/>
      <c r="R1052" s="36">
        <f t="shared" si="156"/>
        <v>2709</v>
      </c>
      <c r="S1052" s="71"/>
      <c r="T1052" s="37">
        <f t="shared" si="157"/>
        <v>3064.78</v>
      </c>
      <c r="U1052" s="62">
        <v>1.0</v>
      </c>
      <c r="V1052" s="63"/>
      <c r="W1052" s="63"/>
      <c r="X1052" s="83">
        <v>0.17</v>
      </c>
      <c r="Y1052" s="35" t="str">
        <f t="shared" si="163"/>
        <v>#N/A</v>
      </c>
      <c r="Z1052" s="40" t="str">
        <f t="shared" si="159"/>
        <v>#N/A</v>
      </c>
      <c r="AA1052" s="65">
        <v>521.0</v>
      </c>
      <c r="AB1052" s="41" t="str">
        <f t="shared" si="161"/>
        <v>#N/A</v>
      </c>
      <c r="AC1052" s="42" t="b">
        <v>1</v>
      </c>
      <c r="AD1052" s="42" t="s">
        <v>138</v>
      </c>
      <c r="AE1052" s="42" t="s">
        <v>138</v>
      </c>
      <c r="AF1052" s="42" t="str">
        <f t="array" ref="AF1052">INDEX('Deal Info'!D:D, MATCH(A1052,'Deal Info'!A:A, 0))</f>
        <v>#N/A</v>
      </c>
      <c r="AG1052" s="43" t="str">
        <f t="array" ref="AG1052">INDEX('Deal Info'!G:G, MATCH(A1052,'Deal Info'!A:A, 0))</f>
        <v>#N/A</v>
      </c>
    </row>
    <row r="1053" hidden="1">
      <c r="A1053" s="23" t="b">
        <f t="array" ref="A1053">if(G1053='Room Info'!$B$1, INDEX('Room Info'!$A$2:$A3446, MATCH(B1053,'Room Info'!$B$2:$B3446, 0)),if(G1053='Room Info'!$C$1, INDEX('Room Info'!$A$2:$A3446, MATCH(B1053,'Room Info'!$C$2:$C3446, 0)),if(G1053='Room Info'!$D$1, INDEX('Room Info'!$A$2:$A3446, MATCH(B1053,'Room Info'!$D$2:$D3446, 0)),if(G1053='Room Info'!$E$1, INDEX('Room Info'!$A$2:$A3446, MATCH(B1053,'Room Info'!$E$2:$E3446, 0)),if(G1053='Room Info'!$F$1, INDEX('Room Info'!$A$2:$A3446, MATCH(B1053,'Room Info'!$F$2:$F3446, 0)),if(G1053='Room Info'!$H$1, INDEX('Room Info'!$A$2:$A3446, MATCH(B1053,'Room Info'!$H$2:$H3446, 0)),if(G1053='Room Info'!$G$1, INDEX('Room Info'!$A$2:$A3446, MATCH(B1053,'Room Info'!$G$2:$G3446, 0)))))))))</f>
        <v>0</v>
      </c>
      <c r="B1053" s="50" t="s">
        <v>206</v>
      </c>
      <c r="C1053" s="51">
        <v>44896.0</v>
      </c>
      <c r="D1053" s="51">
        <v>44921.0</v>
      </c>
      <c r="E1053" s="52">
        <v>44896.0</v>
      </c>
      <c r="F1053" s="53" t="s">
        <v>12</v>
      </c>
      <c r="G1053" s="50" t="s">
        <v>142</v>
      </c>
      <c r="H1053" s="54" t="s">
        <v>89</v>
      </c>
      <c r="I1053" s="54" t="s">
        <v>7</v>
      </c>
      <c r="J1053" s="55">
        <v>100.0</v>
      </c>
      <c r="K1053" s="56">
        <v>14.0</v>
      </c>
      <c r="L1053" s="57">
        <v>17.0</v>
      </c>
      <c r="M1053" s="58">
        <v>70.0</v>
      </c>
      <c r="N1053" s="33">
        <f t="shared" si="155"/>
        <v>1400</v>
      </c>
      <c r="O1053" s="70"/>
      <c r="P1053" s="34">
        <f t="shared" si="14"/>
        <v>0</v>
      </c>
      <c r="Q1053" s="60"/>
      <c r="R1053" s="36">
        <f t="shared" si="156"/>
        <v>70</v>
      </c>
      <c r="S1053" s="71"/>
      <c r="T1053" s="37">
        <f t="shared" si="157"/>
        <v>87</v>
      </c>
      <c r="U1053" s="62">
        <v>1.0</v>
      </c>
      <c r="V1053" s="63"/>
      <c r="W1053" s="63"/>
      <c r="X1053" s="83">
        <v>0.17</v>
      </c>
      <c r="Y1053" s="35" t="str">
        <f t="shared" si="163"/>
        <v>#N/A</v>
      </c>
      <c r="Z1053" s="40" t="str">
        <f t="shared" si="159"/>
        <v>#N/A</v>
      </c>
      <c r="AA1053" s="65">
        <v>15.0</v>
      </c>
      <c r="AB1053" s="41" t="str">
        <f t="shared" si="161"/>
        <v>#N/A</v>
      </c>
      <c r="AC1053" s="42" t="b">
        <v>1</v>
      </c>
      <c r="AD1053" s="42" t="s">
        <v>138</v>
      </c>
      <c r="AE1053" s="42" t="s">
        <v>138</v>
      </c>
      <c r="AF1053" s="42" t="str">
        <f t="array" ref="AF1053">INDEX('Deal Info'!D:D, MATCH(A1053,'Deal Info'!A:A, 0))</f>
        <v>#N/A</v>
      </c>
      <c r="AG1053" s="43" t="str">
        <f t="array" ref="AG1053">INDEX('Deal Info'!G:G, MATCH(A1053,'Deal Info'!A:A, 0))</f>
        <v>#N/A</v>
      </c>
    </row>
    <row r="1054" hidden="1">
      <c r="A1054" s="23" t="b">
        <f t="array" ref="A1054">if(G1054='Room Info'!$B$1, INDEX('Room Info'!$A$2:$A3446, MATCH(B1054,'Room Info'!$B$2:$B3446, 0)),if(G1054='Room Info'!$C$1, INDEX('Room Info'!$A$2:$A3446, MATCH(B1054,'Room Info'!$C$2:$C3446, 0)),if(G1054='Room Info'!$D$1, INDEX('Room Info'!$A$2:$A3446, MATCH(B1054,'Room Info'!$D$2:$D3446, 0)),if(G1054='Room Info'!$E$1, INDEX('Room Info'!$A$2:$A3446, MATCH(B1054,'Room Info'!$E$2:$E3446, 0)),if(G1054='Room Info'!$F$1, INDEX('Room Info'!$A$2:$A3446, MATCH(B1054,'Room Info'!$F$2:$F3446, 0)),if(G1054='Room Info'!$H$1, INDEX('Room Info'!$A$2:$A3446, MATCH(B1054,'Room Info'!$H$2:$H3446, 0)),if(G1054='Room Info'!$G$1, INDEX('Room Info'!$A$2:$A3446, MATCH(B1054,'Room Info'!$G$2:$G3446, 0)))))))))</f>
        <v>0</v>
      </c>
      <c r="B1054" s="50" t="s">
        <v>206</v>
      </c>
      <c r="C1054" s="51">
        <v>44922.0</v>
      </c>
      <c r="D1054" s="51">
        <v>44957.0</v>
      </c>
      <c r="E1054" s="52">
        <v>44927.0</v>
      </c>
      <c r="F1054" s="53" t="s">
        <v>12</v>
      </c>
      <c r="G1054" s="50" t="s">
        <v>142</v>
      </c>
      <c r="H1054" s="54" t="s">
        <v>39</v>
      </c>
      <c r="I1054" s="54" t="s">
        <v>7</v>
      </c>
      <c r="J1054" s="55">
        <v>5.0</v>
      </c>
      <c r="K1054" s="56">
        <v>18.0</v>
      </c>
      <c r="L1054" s="57">
        <v>3.95</v>
      </c>
      <c r="M1054" s="58">
        <v>3.0</v>
      </c>
      <c r="N1054" s="33">
        <f t="shared" si="155"/>
        <v>90</v>
      </c>
      <c r="O1054" s="59">
        <v>288.0</v>
      </c>
      <c r="P1054" s="34">
        <f t="shared" si="14"/>
        <v>16</v>
      </c>
      <c r="Q1054" s="60"/>
      <c r="R1054" s="36">
        <f t="shared" si="156"/>
        <v>3</v>
      </c>
      <c r="S1054" s="71"/>
      <c r="T1054" s="37">
        <f t="shared" si="157"/>
        <v>6.95</v>
      </c>
      <c r="U1054" s="62">
        <v>1.0</v>
      </c>
      <c r="V1054" s="63"/>
      <c r="W1054" s="63"/>
      <c r="X1054" s="83">
        <v>0.12</v>
      </c>
      <c r="Y1054" s="35" t="str">
        <f t="shared" si="163"/>
        <v>#N/A</v>
      </c>
      <c r="Z1054" s="40" t="str">
        <f t="shared" si="159"/>
        <v>#N/A</v>
      </c>
      <c r="AA1054" s="65">
        <v>1.0</v>
      </c>
      <c r="AB1054" s="41" t="str">
        <f t="shared" si="161"/>
        <v>#N/A</v>
      </c>
      <c r="AC1054" s="42" t="b">
        <v>1</v>
      </c>
      <c r="AD1054" s="42" t="s">
        <v>138</v>
      </c>
      <c r="AE1054" s="42" t="s">
        <v>138</v>
      </c>
      <c r="AF1054" s="42" t="str">
        <f t="array" ref="AF1054">INDEX('Deal Info'!D:D, MATCH(A1054,'Deal Info'!A:A, 0))</f>
        <v>#N/A</v>
      </c>
      <c r="AG1054" s="43" t="str">
        <f t="array" ref="AG1054">INDEX('Deal Info'!G:G, MATCH(A1054,'Deal Info'!A:A, 0))</f>
        <v>#N/A</v>
      </c>
    </row>
    <row r="1055" hidden="1">
      <c r="A1055" s="23" t="b">
        <f t="array" ref="A1055">if(G1055='Room Info'!$B$1, INDEX('Room Info'!$A$2:$A3446, MATCH(B1055,'Room Info'!$B$2:$B3446, 0)),if(G1055='Room Info'!$C$1, INDEX('Room Info'!$A$2:$A3446, MATCH(B1055,'Room Info'!$C$2:$C3446, 0)),if(G1055='Room Info'!$D$1, INDEX('Room Info'!$A$2:$A3446, MATCH(B1055,'Room Info'!$D$2:$D3446, 0)),if(G1055='Room Info'!$E$1, INDEX('Room Info'!$A$2:$A3446, MATCH(B1055,'Room Info'!$E$2:$E3446, 0)),if(G1055='Room Info'!$F$1, INDEX('Room Info'!$A$2:$A3446, MATCH(B1055,'Room Info'!$F$2:$F3446, 0)),if(G1055='Room Info'!$H$1, INDEX('Room Info'!$A$2:$A3446, MATCH(B1055,'Room Info'!$H$2:$H3446, 0)),if(G1055='Room Info'!$G$1, INDEX('Room Info'!$A$2:$A3446, MATCH(B1055,'Room Info'!$G$2:$G3446, 0)))))))))</f>
        <v>0</v>
      </c>
      <c r="B1055" s="50" t="s">
        <v>206</v>
      </c>
      <c r="C1055" s="82">
        <v>44922.0</v>
      </c>
      <c r="D1055" s="82">
        <v>44957.0</v>
      </c>
      <c r="E1055" s="52">
        <v>44927.0</v>
      </c>
      <c r="F1055" s="53" t="s">
        <v>12</v>
      </c>
      <c r="G1055" s="50" t="s">
        <v>142</v>
      </c>
      <c r="H1055" s="54" t="s">
        <v>50</v>
      </c>
      <c r="I1055" s="54" t="s">
        <v>7</v>
      </c>
      <c r="J1055" s="79">
        <v>10.0</v>
      </c>
      <c r="K1055" s="80">
        <v>4.0</v>
      </c>
      <c r="L1055" s="77">
        <v>1.76</v>
      </c>
      <c r="M1055" s="81">
        <v>1.0</v>
      </c>
      <c r="N1055" s="33">
        <f t="shared" si="155"/>
        <v>40</v>
      </c>
      <c r="O1055" s="50">
        <v>-336.0</v>
      </c>
      <c r="P1055" s="34">
        <f t="shared" si="14"/>
        <v>-84</v>
      </c>
      <c r="Q1055" s="60"/>
      <c r="R1055" s="36">
        <f t="shared" si="156"/>
        <v>1</v>
      </c>
      <c r="S1055" s="102"/>
      <c r="T1055" s="37">
        <f t="shared" si="157"/>
        <v>2.76</v>
      </c>
      <c r="U1055" s="62">
        <v>1.0</v>
      </c>
      <c r="V1055" s="63"/>
      <c r="W1055" s="63"/>
      <c r="X1055" s="83">
        <v>0.12</v>
      </c>
      <c r="Y1055" s="35" t="str">
        <f t="shared" si="163"/>
        <v>#N/A</v>
      </c>
      <c r="Z1055" s="40" t="str">
        <f t="shared" si="159"/>
        <v>#N/A</v>
      </c>
      <c r="AA1055" s="65">
        <v>0.0</v>
      </c>
      <c r="AB1055" s="41" t="str">
        <f t="shared" si="161"/>
        <v>#N/A</v>
      </c>
      <c r="AC1055" s="42" t="b">
        <v>1</v>
      </c>
      <c r="AD1055" s="42" t="s">
        <v>138</v>
      </c>
      <c r="AE1055" s="42" t="s">
        <v>138</v>
      </c>
      <c r="AF1055" s="42" t="str">
        <f t="array" ref="AF1055">INDEX('Deal Info'!D:D, MATCH(A1055,'Deal Info'!A:A, 0))</f>
        <v>#N/A</v>
      </c>
      <c r="AG1055" s="43" t="str">
        <f t="array" ref="AG1055">INDEX('Deal Info'!G:G, MATCH(A1055,'Deal Info'!A:A, 0))</f>
        <v>#N/A</v>
      </c>
    </row>
    <row r="1056" hidden="1">
      <c r="A1056" s="23" t="b">
        <f t="array" ref="A1056">if(G1056='Room Info'!$B$1, INDEX('Room Info'!$A$2:$A3446, MATCH(B1056,'Room Info'!$B$2:$B3446, 0)),if(G1056='Room Info'!$C$1, INDEX('Room Info'!$A$2:$A3446, MATCH(B1056,'Room Info'!$C$2:$C3446, 0)),if(G1056='Room Info'!$D$1, INDEX('Room Info'!$A$2:$A3446, MATCH(B1056,'Room Info'!$D$2:$D3446, 0)),if(G1056='Room Info'!$E$1, INDEX('Room Info'!$A$2:$A3446, MATCH(B1056,'Room Info'!$E$2:$E3446, 0)),if(G1056='Room Info'!$F$1, INDEX('Room Info'!$A$2:$A3446, MATCH(B1056,'Room Info'!$F$2:$F3446, 0)),if(G1056='Room Info'!$H$1, INDEX('Room Info'!$A$2:$A3446, MATCH(B1056,'Room Info'!$H$2:$H3446, 0)),if(G1056='Room Info'!$G$1, INDEX('Room Info'!$A$2:$A3446, MATCH(B1056,'Room Info'!$G$2:$G3446, 0)))))))))</f>
        <v>0</v>
      </c>
      <c r="B1056" s="50" t="s">
        <v>206</v>
      </c>
      <c r="C1056" s="82">
        <v>44922.0</v>
      </c>
      <c r="D1056" s="82">
        <v>44957.0</v>
      </c>
      <c r="E1056" s="52">
        <v>44927.0</v>
      </c>
      <c r="F1056" s="53" t="s">
        <v>12</v>
      </c>
      <c r="G1056" s="50" t="s">
        <v>142</v>
      </c>
      <c r="H1056" s="54" t="s">
        <v>61</v>
      </c>
      <c r="I1056" s="54" t="s">
        <v>7</v>
      </c>
      <c r="J1056" s="79">
        <v>20.0</v>
      </c>
      <c r="K1056" s="80">
        <v>19.0</v>
      </c>
      <c r="L1056" s="77">
        <v>16.69</v>
      </c>
      <c r="M1056" s="81">
        <v>13.0</v>
      </c>
      <c r="N1056" s="33">
        <f t="shared" si="155"/>
        <v>380</v>
      </c>
      <c r="O1056" s="50">
        <v>-722.0</v>
      </c>
      <c r="P1056" s="34">
        <f t="shared" si="14"/>
        <v>-38</v>
      </c>
      <c r="Q1056" s="60"/>
      <c r="R1056" s="36">
        <f t="shared" si="156"/>
        <v>13</v>
      </c>
      <c r="S1056" s="102"/>
      <c r="T1056" s="37">
        <f t="shared" si="157"/>
        <v>29.69</v>
      </c>
      <c r="U1056" s="62">
        <v>1.0</v>
      </c>
      <c r="V1056" s="63"/>
      <c r="W1056" s="63"/>
      <c r="X1056" s="83">
        <v>0.12</v>
      </c>
      <c r="Y1056" s="35" t="str">
        <f t="shared" si="163"/>
        <v>#N/A</v>
      </c>
      <c r="Z1056" s="40" t="str">
        <f t="shared" si="159"/>
        <v>#N/A</v>
      </c>
      <c r="AA1056" s="65">
        <v>4.0</v>
      </c>
      <c r="AB1056" s="41" t="str">
        <f t="shared" si="161"/>
        <v>#N/A</v>
      </c>
      <c r="AC1056" s="42" t="b">
        <v>1</v>
      </c>
      <c r="AD1056" s="42" t="s">
        <v>138</v>
      </c>
      <c r="AE1056" s="42" t="s">
        <v>138</v>
      </c>
      <c r="AF1056" s="42" t="str">
        <f t="array" ref="AF1056">INDEX('Deal Info'!D:D, MATCH(A1056,'Deal Info'!A:A, 0))</f>
        <v>#N/A</v>
      </c>
      <c r="AG1056" s="43" t="str">
        <f t="array" ref="AG1056">INDEX('Deal Info'!G:G, MATCH(A1056,'Deal Info'!A:A, 0))</f>
        <v>#N/A</v>
      </c>
    </row>
    <row r="1057" hidden="1">
      <c r="A1057" s="23" t="b">
        <f t="array" ref="A1057">if(G1057='Room Info'!$B$1, INDEX('Room Info'!$A$2:$A3446, MATCH(B1057,'Room Info'!$B$2:$B3446, 0)),if(G1057='Room Info'!$C$1, INDEX('Room Info'!$A$2:$A3446, MATCH(B1057,'Room Info'!$C$2:$C3446, 0)),if(G1057='Room Info'!$D$1, INDEX('Room Info'!$A$2:$A3446, MATCH(B1057,'Room Info'!$D$2:$D3446, 0)),if(G1057='Room Info'!$E$1, INDEX('Room Info'!$A$2:$A3446, MATCH(B1057,'Room Info'!$E$2:$E3446, 0)),if(G1057='Room Info'!$F$1, INDEX('Room Info'!$A$2:$A3446, MATCH(B1057,'Room Info'!$F$2:$F3446, 0)),if(G1057='Room Info'!$H$1, INDEX('Room Info'!$A$2:$A3446, MATCH(B1057,'Room Info'!$H$2:$H3446, 0)),if(G1057='Room Info'!$G$1, INDEX('Room Info'!$A$2:$A3446, MATCH(B1057,'Room Info'!$G$2:$G3446, 0)))))))))</f>
        <v>0</v>
      </c>
      <c r="B1057" s="50" t="s">
        <v>206</v>
      </c>
      <c r="C1057" s="51">
        <v>44922.0</v>
      </c>
      <c r="D1057" s="51">
        <v>44957.0</v>
      </c>
      <c r="E1057" s="52">
        <v>44927.0</v>
      </c>
      <c r="F1057" s="53" t="s">
        <v>12</v>
      </c>
      <c r="G1057" s="50" t="s">
        <v>142</v>
      </c>
      <c r="H1057" s="54" t="s">
        <v>77</v>
      </c>
      <c r="I1057" s="54" t="s">
        <v>7</v>
      </c>
      <c r="J1057" s="55">
        <v>50.0</v>
      </c>
      <c r="K1057" s="56">
        <v>1636.0</v>
      </c>
      <c r="L1057" s="57">
        <v>3593.43</v>
      </c>
      <c r="M1057" s="58">
        <v>2863.0</v>
      </c>
      <c r="N1057" s="33">
        <f t="shared" si="155"/>
        <v>81800</v>
      </c>
      <c r="O1057" s="59">
        <v>68712.0</v>
      </c>
      <c r="P1057" s="34">
        <f t="shared" si="14"/>
        <v>42</v>
      </c>
      <c r="Q1057" s="60"/>
      <c r="R1057" s="36">
        <f t="shared" si="156"/>
        <v>2863</v>
      </c>
      <c r="S1057" s="71"/>
      <c r="T1057" s="37">
        <f t="shared" si="157"/>
        <v>6456.43</v>
      </c>
      <c r="U1057" s="62">
        <v>1.0</v>
      </c>
      <c r="V1057" s="63"/>
      <c r="W1057" s="63"/>
      <c r="X1057" s="83">
        <v>0.12</v>
      </c>
      <c r="Y1057" s="35" t="str">
        <f t="shared" si="163"/>
        <v>#N/A</v>
      </c>
      <c r="Z1057" s="40" t="str">
        <f t="shared" si="159"/>
        <v>#N/A</v>
      </c>
      <c r="AA1057" s="65">
        <v>775.0</v>
      </c>
      <c r="AB1057" s="41" t="str">
        <f t="shared" si="161"/>
        <v>#N/A</v>
      </c>
      <c r="AC1057" s="42" t="b">
        <v>1</v>
      </c>
      <c r="AD1057" s="42" t="s">
        <v>138</v>
      </c>
      <c r="AE1057" s="42" t="s">
        <v>138</v>
      </c>
      <c r="AF1057" s="42" t="str">
        <f t="array" ref="AF1057">INDEX('Deal Info'!D:D, MATCH(A1057,'Deal Info'!A:A, 0))</f>
        <v>#N/A</v>
      </c>
      <c r="AG1057" s="43" t="str">
        <f t="array" ref="AG1057">INDEX('Deal Info'!G:G, MATCH(A1057,'Deal Info'!A:A, 0))</f>
        <v>#N/A</v>
      </c>
    </row>
    <row r="1058" hidden="1">
      <c r="A1058" s="23" t="b">
        <f t="array" ref="A1058">if(G1058='Room Info'!$B$1, INDEX('Room Info'!$A$2:$A3446, MATCH(B1058,'Room Info'!$B$2:$B3446, 0)),if(G1058='Room Info'!$C$1, INDEX('Room Info'!$A$2:$A3446, MATCH(B1058,'Room Info'!$C$2:$C3446, 0)),if(G1058='Room Info'!$D$1, INDEX('Room Info'!$A$2:$A3446, MATCH(B1058,'Room Info'!$D$2:$D3446, 0)),if(G1058='Room Info'!$E$1, INDEX('Room Info'!$A$2:$A3446, MATCH(B1058,'Room Info'!$E$2:$E3446, 0)),if(G1058='Room Info'!$F$1, INDEX('Room Info'!$A$2:$A3446, MATCH(B1058,'Room Info'!$F$2:$F3446, 0)),if(G1058='Room Info'!$H$1, INDEX('Room Info'!$A$2:$A3446, MATCH(B1058,'Room Info'!$H$2:$H3446, 0)),if(G1058='Room Info'!$G$1, INDEX('Room Info'!$A$2:$A3446, MATCH(B1058,'Room Info'!$G$2:$G3446, 0)))))))))</f>
        <v>0</v>
      </c>
      <c r="B1058" s="50" t="s">
        <v>206</v>
      </c>
      <c r="C1058" s="82">
        <v>44922.0</v>
      </c>
      <c r="D1058" s="82">
        <v>44957.0</v>
      </c>
      <c r="E1058" s="52">
        <v>44927.0</v>
      </c>
      <c r="F1058" s="53" t="s">
        <v>12</v>
      </c>
      <c r="G1058" s="50" t="s">
        <v>142</v>
      </c>
      <c r="H1058" s="54" t="s">
        <v>89</v>
      </c>
      <c r="I1058" s="54" t="s">
        <v>7</v>
      </c>
      <c r="J1058" s="79">
        <v>100.0</v>
      </c>
      <c r="K1058" s="80">
        <v>212.0</v>
      </c>
      <c r="L1058" s="77">
        <v>931.3</v>
      </c>
      <c r="M1058" s="81">
        <v>742.0</v>
      </c>
      <c r="N1058" s="33">
        <f t="shared" si="155"/>
        <v>21200</v>
      </c>
      <c r="O1058" s="50">
        <v>8268.0</v>
      </c>
      <c r="P1058" s="34">
        <f t="shared" si="14"/>
        <v>39</v>
      </c>
      <c r="Q1058" s="60"/>
      <c r="R1058" s="36">
        <f t="shared" si="156"/>
        <v>742</v>
      </c>
      <c r="S1058" s="102"/>
      <c r="T1058" s="37">
        <f t="shared" si="157"/>
        <v>1673.3</v>
      </c>
      <c r="U1058" s="62">
        <v>1.0</v>
      </c>
      <c r="V1058" s="63"/>
      <c r="W1058" s="63"/>
      <c r="X1058" s="83">
        <v>0.12</v>
      </c>
      <c r="Y1058" s="35" t="str">
        <f t="shared" si="163"/>
        <v>#N/A</v>
      </c>
      <c r="Z1058" s="40" t="str">
        <f t="shared" si="159"/>
        <v>#N/A</v>
      </c>
      <c r="AA1058" s="65">
        <v>201.0</v>
      </c>
      <c r="AB1058" s="41" t="str">
        <f t="shared" si="161"/>
        <v>#N/A</v>
      </c>
      <c r="AC1058" s="42" t="b">
        <v>1</v>
      </c>
      <c r="AD1058" s="42" t="s">
        <v>138</v>
      </c>
      <c r="AE1058" s="42" t="s">
        <v>138</v>
      </c>
      <c r="AF1058" s="42" t="str">
        <f t="array" ref="AF1058">INDEX('Deal Info'!D:D, MATCH(A1058,'Deal Info'!A:A, 0))</f>
        <v>#N/A</v>
      </c>
      <c r="AG1058" s="43" t="str">
        <f t="array" ref="AG1058">INDEX('Deal Info'!G:G, MATCH(A1058,'Deal Info'!A:A, 0))</f>
        <v>#N/A</v>
      </c>
    </row>
    <row r="1059" hidden="1">
      <c r="A1059" s="23" t="b">
        <f t="array" ref="A1059">if(G1059='Room Info'!$B$1, INDEX('Room Info'!$A$2:$A3446, MATCH(B1059,'Room Info'!$B$2:$B3446, 0)),if(G1059='Room Info'!$C$1, INDEX('Room Info'!$A$2:$A3446, MATCH(B1059,'Room Info'!$C$2:$C3446, 0)),if(G1059='Room Info'!$D$1, INDEX('Room Info'!$A$2:$A3446, MATCH(B1059,'Room Info'!$D$2:$D3446, 0)),if(G1059='Room Info'!$E$1, INDEX('Room Info'!$A$2:$A3446, MATCH(B1059,'Room Info'!$E$2:$E3446, 0)),if(G1059='Room Info'!$F$1, INDEX('Room Info'!$A$2:$A3446, MATCH(B1059,'Room Info'!$F$2:$F3446, 0)),if(G1059='Room Info'!$H$1, INDEX('Room Info'!$A$2:$A3446, MATCH(B1059,'Room Info'!$H$2:$H3446, 0)),if(G1059='Room Info'!$G$1, INDEX('Room Info'!$A$2:$A3446, MATCH(B1059,'Room Info'!$G$2:$G3446, 0)))))))))</f>
        <v>0</v>
      </c>
      <c r="B1059" s="50" t="s">
        <v>206</v>
      </c>
      <c r="C1059" s="82">
        <v>44922.0</v>
      </c>
      <c r="D1059" s="82">
        <v>44957.0</v>
      </c>
      <c r="E1059" s="52">
        <v>44927.0</v>
      </c>
      <c r="F1059" s="53" t="s">
        <v>12</v>
      </c>
      <c r="G1059" s="50" t="s">
        <v>142</v>
      </c>
      <c r="H1059" s="54" t="s">
        <v>95</v>
      </c>
      <c r="I1059" s="54" t="s">
        <v>7</v>
      </c>
      <c r="J1059" s="79">
        <v>200.0</v>
      </c>
      <c r="K1059" s="80">
        <v>28.0</v>
      </c>
      <c r="L1059" s="77">
        <v>210.86</v>
      </c>
      <c r="M1059" s="81">
        <v>168.0</v>
      </c>
      <c r="N1059" s="33">
        <f t="shared" si="155"/>
        <v>5600</v>
      </c>
      <c r="O1059" s="50">
        <v>84.0</v>
      </c>
      <c r="P1059" s="34">
        <f t="shared" si="14"/>
        <v>3</v>
      </c>
      <c r="Q1059" s="60"/>
      <c r="R1059" s="36">
        <f t="shared" si="156"/>
        <v>168</v>
      </c>
      <c r="S1059" s="102"/>
      <c r="T1059" s="37">
        <f t="shared" si="157"/>
        <v>378.86</v>
      </c>
      <c r="U1059" s="62">
        <v>1.0</v>
      </c>
      <c r="V1059" s="63"/>
      <c r="W1059" s="63"/>
      <c r="X1059" s="83">
        <v>0.12</v>
      </c>
      <c r="Y1059" s="35" t="str">
        <f t="shared" si="163"/>
        <v>#N/A</v>
      </c>
      <c r="Z1059" s="40" t="str">
        <f t="shared" si="159"/>
        <v>#N/A</v>
      </c>
      <c r="AA1059" s="65">
        <v>45.0</v>
      </c>
      <c r="AB1059" s="41" t="str">
        <f t="shared" si="161"/>
        <v>#N/A</v>
      </c>
      <c r="AC1059" s="42" t="b">
        <v>1</v>
      </c>
      <c r="AD1059" s="42" t="s">
        <v>138</v>
      </c>
      <c r="AE1059" s="42" t="s">
        <v>138</v>
      </c>
      <c r="AF1059" s="42" t="str">
        <f t="array" ref="AF1059">INDEX('Deal Info'!D:D, MATCH(A1059,'Deal Info'!A:A, 0))</f>
        <v>#N/A</v>
      </c>
      <c r="AG1059" s="43" t="str">
        <f t="array" ref="AG1059">INDEX('Deal Info'!G:G, MATCH(A1059,'Deal Info'!A:A, 0))</f>
        <v>#N/A</v>
      </c>
    </row>
    <row r="1060" hidden="1">
      <c r="A1060" s="23" t="str">
        <f t="array" ref="A1060">if(G1060='Room Info'!$B$1, INDEX('Room Info'!$A$2:$A3446, MATCH(B1060,'Room Info'!$B$2:$B3446, 0)),if(G1060='Room Info'!$C$1, INDEX('Room Info'!$A$2:$A3446, MATCH(B1060,'Room Info'!$C$2:$C3446, 0)),if(G1060='Room Info'!$D$1, INDEX('Room Info'!$A$2:$A3446, MATCH(B1060,'Room Info'!$D$2:$D3446, 0)),if(G1060='Room Info'!$E$1, INDEX('Room Info'!$A$2:$A3446, MATCH(B1060,'Room Info'!$E$2:$E3446, 0)),if(G1060='Room Info'!$F$1, INDEX('Room Info'!$A$2:$A3446, MATCH(B1060,'Room Info'!$F$2:$F3446, 0)),if(G1060='Room Info'!$H$1, INDEX('Room Info'!$A$2:$A3446, MATCH(B1060,'Room Info'!$H$2:$H3446, 0)),if(G1060='Room Info'!$G$1, INDEX('Room Info'!$A$2:$A3446, MATCH(B1060,'Room Info'!$G$2:$G3446, 0)))))))))</f>
        <v>overplayKK</v>
      </c>
      <c r="B1060" s="50" t="s">
        <v>207</v>
      </c>
      <c r="C1060" s="82">
        <v>44064.0</v>
      </c>
      <c r="D1060" s="82">
        <v>44094.0</v>
      </c>
      <c r="E1060" s="52">
        <v>44075.0</v>
      </c>
      <c r="F1060" s="53" t="s">
        <v>4</v>
      </c>
      <c r="G1060" s="50" t="s">
        <v>5</v>
      </c>
      <c r="H1060" s="54" t="s">
        <v>34</v>
      </c>
      <c r="I1060" s="54" t="s">
        <v>7</v>
      </c>
      <c r="J1060" s="79">
        <v>5.0</v>
      </c>
      <c r="K1060" s="80">
        <v>243.0</v>
      </c>
      <c r="L1060" s="77">
        <v>80.0</v>
      </c>
      <c r="M1060" s="81">
        <v>16.0</v>
      </c>
      <c r="N1060" s="33">
        <f t="shared" si="155"/>
        <v>1215</v>
      </c>
      <c r="O1060" s="50">
        <v>23336.0</v>
      </c>
      <c r="P1060" s="34">
        <f t="shared" si="14"/>
        <v>96.03292181</v>
      </c>
      <c r="Q1060" s="60"/>
      <c r="R1060" s="36">
        <f t="shared" si="156"/>
        <v>16</v>
      </c>
      <c r="S1060" s="78">
        <v>127.0</v>
      </c>
      <c r="T1060" s="37">
        <f t="shared" si="157"/>
        <v>143</v>
      </c>
      <c r="U1060" s="62">
        <v>1.0</v>
      </c>
      <c r="V1060" s="63"/>
      <c r="W1060" s="63"/>
      <c r="X1060" s="83">
        <v>0.25</v>
      </c>
      <c r="Y1060" s="35">
        <f t="shared" si="163"/>
        <v>0</v>
      </c>
      <c r="Z1060" s="40">
        <f t="shared" si="159"/>
        <v>107.25</v>
      </c>
      <c r="AA1060" s="34">
        <f t="shared" ref="AA1060:AA1135" si="165">if(AD1060="EUR",((T1060-R1060)*X1060)*U1060+(R1060*X1060),(T1060*X1060))</f>
        <v>35.75</v>
      </c>
      <c r="AB1060" s="41">
        <f t="shared" si="161"/>
        <v>0</v>
      </c>
      <c r="AC1060" s="42" t="b">
        <v>1</v>
      </c>
      <c r="AD1060" s="42" t="s">
        <v>138</v>
      </c>
      <c r="AE1060" s="42" t="s">
        <v>138</v>
      </c>
      <c r="AF1060" s="42" t="str">
        <f t="array" ref="AF1060">INDEX('Deal Info'!D:D, MATCH(A1060,'Deal Info'!A:A, 0))</f>
        <v>SF</v>
      </c>
      <c r="AG1060" s="43" t="str">
        <f t="array" ref="AG1060">INDEX('Deal Info'!G:G, MATCH(A1060,'Deal Info'!A:A, 0))</f>
        <v>None</v>
      </c>
    </row>
    <row r="1061" hidden="1">
      <c r="A1061" s="23" t="str">
        <f t="array" ref="A1061">if(G1061='Room Info'!$B$1, INDEX('Room Info'!$A$2:$A3446, MATCH(B1061,'Room Info'!$B$2:$B3446, 0)),if(G1061='Room Info'!$C$1, INDEX('Room Info'!$A$2:$A3446, MATCH(B1061,'Room Info'!$C$2:$C3446, 0)),if(G1061='Room Info'!$D$1, INDEX('Room Info'!$A$2:$A3446, MATCH(B1061,'Room Info'!$D$2:$D3446, 0)),if(G1061='Room Info'!$E$1, INDEX('Room Info'!$A$2:$A3446, MATCH(B1061,'Room Info'!$E$2:$E3446, 0)),if(G1061='Room Info'!$F$1, INDEX('Room Info'!$A$2:$A3446, MATCH(B1061,'Room Info'!$F$2:$F3446, 0)),if(G1061='Room Info'!$H$1, INDEX('Room Info'!$A$2:$A3446, MATCH(B1061,'Room Info'!$H$2:$H3446, 0)),if(G1061='Room Info'!$G$1, INDEX('Room Info'!$A$2:$A3446, MATCH(B1061,'Room Info'!$G$2:$G3446, 0)))))))))</f>
        <v>overplayKK</v>
      </c>
      <c r="B1061" s="50" t="s">
        <v>207</v>
      </c>
      <c r="C1061" s="51">
        <v>44064.0</v>
      </c>
      <c r="D1061" s="51">
        <v>44094.0</v>
      </c>
      <c r="E1061" s="52">
        <v>44075.0</v>
      </c>
      <c r="F1061" s="53" t="s">
        <v>4</v>
      </c>
      <c r="G1061" s="59" t="s">
        <v>5</v>
      </c>
      <c r="H1061" s="54" t="s">
        <v>47</v>
      </c>
      <c r="I1061" s="54" t="s">
        <v>7</v>
      </c>
      <c r="J1061" s="55">
        <v>10.0</v>
      </c>
      <c r="K1061" s="56">
        <v>1420.0</v>
      </c>
      <c r="L1061" s="57">
        <v>750.0</v>
      </c>
      <c r="M1061" s="58">
        <v>223.0</v>
      </c>
      <c r="N1061" s="33">
        <f t="shared" si="155"/>
        <v>14200</v>
      </c>
      <c r="O1061" s="59">
        <v>78212.0</v>
      </c>
      <c r="P1061" s="34">
        <f t="shared" si="14"/>
        <v>55.07887324</v>
      </c>
      <c r="Q1061" s="60"/>
      <c r="R1061" s="36">
        <f t="shared" si="156"/>
        <v>223</v>
      </c>
      <c r="S1061" s="61">
        <v>263.0</v>
      </c>
      <c r="T1061" s="37">
        <f t="shared" si="157"/>
        <v>486</v>
      </c>
      <c r="U1061" s="62">
        <v>1.0</v>
      </c>
      <c r="V1061" s="63"/>
      <c r="W1061" s="63"/>
      <c r="X1061" s="83">
        <v>0.25</v>
      </c>
      <c r="Y1061" s="35">
        <f t="shared" si="163"/>
        <v>0</v>
      </c>
      <c r="Z1061" s="40">
        <f t="shared" si="159"/>
        <v>364.5</v>
      </c>
      <c r="AA1061" s="34">
        <f t="shared" si="165"/>
        <v>121.5</v>
      </c>
      <c r="AB1061" s="41">
        <f t="shared" si="161"/>
        <v>0</v>
      </c>
      <c r="AC1061" s="42" t="b">
        <v>1</v>
      </c>
      <c r="AD1061" s="42" t="s">
        <v>138</v>
      </c>
      <c r="AE1061" s="42" t="s">
        <v>138</v>
      </c>
      <c r="AF1061" s="42" t="str">
        <f t="array" ref="AF1061">INDEX('Deal Info'!D:D, MATCH(A1061,'Deal Info'!A:A, 0))</f>
        <v>SF</v>
      </c>
      <c r="AG1061" s="43" t="str">
        <f t="array" ref="AG1061">INDEX('Deal Info'!G:G, MATCH(A1061,'Deal Info'!A:A, 0))</f>
        <v>None</v>
      </c>
    </row>
    <row r="1062" hidden="1">
      <c r="A1062" s="23" t="str">
        <f t="array" ref="A1062">if(G1062='Room Info'!$B$1, INDEX('Room Info'!$A$2:$A3446, MATCH(B1062,'Room Info'!$B$2:$B3446, 0)),if(G1062='Room Info'!$C$1, INDEX('Room Info'!$A$2:$A3446, MATCH(B1062,'Room Info'!$C$2:$C3446, 0)),if(G1062='Room Info'!$D$1, INDEX('Room Info'!$A$2:$A3446, MATCH(B1062,'Room Info'!$D$2:$D3446, 0)),if(G1062='Room Info'!$E$1, INDEX('Room Info'!$A$2:$A3446, MATCH(B1062,'Room Info'!$E$2:$E3446, 0)),if(G1062='Room Info'!$F$1, INDEX('Room Info'!$A$2:$A3446, MATCH(B1062,'Room Info'!$F$2:$F3446, 0)),if(G1062='Room Info'!$H$1, INDEX('Room Info'!$A$2:$A3446, MATCH(B1062,'Room Info'!$H$2:$H3446, 0)),if(G1062='Room Info'!$G$1, INDEX('Room Info'!$A$2:$A3446, MATCH(B1062,'Room Info'!$G$2:$G3446, 0)))))))))</f>
        <v>overplayKK</v>
      </c>
      <c r="B1062" s="50" t="s">
        <v>207</v>
      </c>
      <c r="C1062" s="51">
        <v>44064.0</v>
      </c>
      <c r="D1062" s="51">
        <v>44094.0</v>
      </c>
      <c r="E1062" s="52">
        <v>44075.0</v>
      </c>
      <c r="F1062" s="53" t="s">
        <v>4</v>
      </c>
      <c r="G1062" s="59" t="s">
        <v>5</v>
      </c>
      <c r="H1062" s="54" t="s">
        <v>47</v>
      </c>
      <c r="I1062" s="54" t="s">
        <v>7</v>
      </c>
      <c r="J1062" s="55">
        <v>10.0</v>
      </c>
      <c r="K1062" s="56">
        <v>8.0</v>
      </c>
      <c r="L1062" s="57">
        <v>60.0</v>
      </c>
      <c r="M1062" s="67"/>
      <c r="N1062" s="33">
        <f t="shared" si="155"/>
        <v>80</v>
      </c>
      <c r="O1062" s="59">
        <v>1873.0</v>
      </c>
      <c r="P1062" s="34">
        <f t="shared" si="14"/>
        <v>234.125</v>
      </c>
      <c r="Q1062" s="60"/>
      <c r="R1062" s="36">
        <f t="shared" si="156"/>
        <v>0</v>
      </c>
      <c r="S1062" s="61">
        <v>28.0</v>
      </c>
      <c r="T1062" s="37">
        <f t="shared" si="157"/>
        <v>28</v>
      </c>
      <c r="U1062" s="62">
        <v>1.0</v>
      </c>
      <c r="V1062" s="63"/>
      <c r="W1062" s="63"/>
      <c r="X1062" s="83">
        <v>0.25</v>
      </c>
      <c r="Y1062" s="35">
        <f t="shared" si="163"/>
        <v>0</v>
      </c>
      <c r="Z1062" s="40">
        <f t="shared" si="159"/>
        <v>21</v>
      </c>
      <c r="AA1062" s="34">
        <f t="shared" si="165"/>
        <v>7</v>
      </c>
      <c r="AB1062" s="41">
        <f t="shared" si="161"/>
        <v>0</v>
      </c>
      <c r="AC1062" s="42" t="b">
        <v>1</v>
      </c>
      <c r="AD1062" s="42" t="s">
        <v>138</v>
      </c>
      <c r="AE1062" s="42" t="s">
        <v>138</v>
      </c>
      <c r="AF1062" s="42" t="str">
        <f t="array" ref="AF1062">INDEX('Deal Info'!D:D, MATCH(A1062,'Deal Info'!A:A, 0))</f>
        <v>SF</v>
      </c>
      <c r="AG1062" s="43" t="str">
        <f t="array" ref="AG1062">INDEX('Deal Info'!G:G, MATCH(A1062,'Deal Info'!A:A, 0))</f>
        <v>None</v>
      </c>
    </row>
    <row r="1063" hidden="1">
      <c r="A1063" s="23" t="str">
        <f t="array" ref="A1063">if(G1063='Room Info'!$B$1, INDEX('Room Info'!$A$2:$A3446, MATCH(B1063,'Room Info'!$B$2:$B3446, 0)),if(G1063='Room Info'!$C$1, INDEX('Room Info'!$A$2:$A3446, MATCH(B1063,'Room Info'!$C$2:$C3446, 0)),if(G1063='Room Info'!$D$1, INDEX('Room Info'!$A$2:$A3446, MATCH(B1063,'Room Info'!$D$2:$D3446, 0)),if(G1063='Room Info'!$E$1, INDEX('Room Info'!$A$2:$A3446, MATCH(B1063,'Room Info'!$E$2:$E3446, 0)),if(G1063='Room Info'!$F$1, INDEX('Room Info'!$A$2:$A3446, MATCH(B1063,'Room Info'!$F$2:$F3446, 0)),if(G1063='Room Info'!$H$1, INDEX('Room Info'!$A$2:$A3446, MATCH(B1063,'Room Info'!$H$2:$H3446, 0)),if(G1063='Room Info'!$G$1, INDEX('Room Info'!$A$2:$A3446, MATCH(B1063,'Room Info'!$G$2:$G3446, 0)))))))))</f>
        <v>overplayKK</v>
      </c>
      <c r="B1063" s="50" t="s">
        <v>207</v>
      </c>
      <c r="C1063" s="51">
        <v>44095.0</v>
      </c>
      <c r="D1063" s="51">
        <v>44124.0</v>
      </c>
      <c r="E1063" s="52">
        <v>44105.0</v>
      </c>
      <c r="F1063" s="53" t="s">
        <v>4</v>
      </c>
      <c r="G1063" s="59" t="s">
        <v>5</v>
      </c>
      <c r="H1063" s="54" t="s">
        <v>34</v>
      </c>
      <c r="I1063" s="54" t="s">
        <v>7</v>
      </c>
      <c r="J1063" s="55">
        <v>5.0</v>
      </c>
      <c r="K1063" s="56">
        <v>1854.0</v>
      </c>
      <c r="L1063" s="57">
        <v>405.0</v>
      </c>
      <c r="M1063" s="58">
        <v>33.0</v>
      </c>
      <c r="N1063" s="33">
        <f t="shared" si="155"/>
        <v>9270</v>
      </c>
      <c r="O1063" s="59">
        <v>126350.0</v>
      </c>
      <c r="P1063" s="34">
        <f t="shared" si="14"/>
        <v>68.14994606</v>
      </c>
      <c r="Q1063" s="60"/>
      <c r="R1063" s="36">
        <f t="shared" si="156"/>
        <v>33</v>
      </c>
      <c r="S1063" s="61">
        <v>463.0</v>
      </c>
      <c r="T1063" s="37">
        <f t="shared" si="157"/>
        <v>496</v>
      </c>
      <c r="U1063" s="62">
        <v>1.0</v>
      </c>
      <c r="V1063" s="63"/>
      <c r="W1063" s="63"/>
      <c r="X1063" s="83">
        <v>0.25</v>
      </c>
      <c r="Y1063" s="35">
        <f t="shared" si="163"/>
        <v>0</v>
      </c>
      <c r="Z1063" s="40">
        <f t="shared" si="159"/>
        <v>372</v>
      </c>
      <c r="AA1063" s="34">
        <f t="shared" si="165"/>
        <v>124</v>
      </c>
      <c r="AB1063" s="41">
        <f t="shared" si="161"/>
        <v>0</v>
      </c>
      <c r="AC1063" s="42" t="b">
        <v>1</v>
      </c>
      <c r="AD1063" s="42" t="s">
        <v>138</v>
      </c>
      <c r="AE1063" s="42" t="s">
        <v>138</v>
      </c>
      <c r="AF1063" s="42" t="str">
        <f t="array" ref="AF1063">INDEX('Deal Info'!D:D, MATCH(A1063,'Deal Info'!A:A, 0))</f>
        <v>SF</v>
      </c>
      <c r="AG1063" s="43" t="str">
        <f t="array" ref="AG1063">INDEX('Deal Info'!G:G, MATCH(A1063,'Deal Info'!A:A, 0))</f>
        <v>None</v>
      </c>
    </row>
    <row r="1064" hidden="1">
      <c r="A1064" s="23" t="str">
        <f t="array" ref="A1064">if(G1064='Room Info'!$B$1, INDEX('Room Info'!$A$2:$A3446, MATCH(B1064,'Room Info'!$B$2:$B3446, 0)),if(G1064='Room Info'!$C$1, INDEX('Room Info'!$A$2:$A3446, MATCH(B1064,'Room Info'!$C$2:$C3446, 0)),if(G1064='Room Info'!$D$1, INDEX('Room Info'!$A$2:$A3446, MATCH(B1064,'Room Info'!$D$2:$D3446, 0)),if(G1064='Room Info'!$E$1, INDEX('Room Info'!$A$2:$A3446, MATCH(B1064,'Room Info'!$E$2:$E3446, 0)),if(G1064='Room Info'!$F$1, INDEX('Room Info'!$A$2:$A3446, MATCH(B1064,'Room Info'!$F$2:$F3446, 0)),if(G1064='Room Info'!$H$1, INDEX('Room Info'!$A$2:$A3446, MATCH(B1064,'Room Info'!$H$2:$H3446, 0)),if(G1064='Room Info'!$G$1, INDEX('Room Info'!$A$2:$A3446, MATCH(B1064,'Room Info'!$G$2:$G3446, 0)))))))))</f>
        <v>overplayKK</v>
      </c>
      <c r="B1064" s="50" t="s">
        <v>207</v>
      </c>
      <c r="C1064" s="51">
        <v>44095.0</v>
      </c>
      <c r="D1064" s="51">
        <v>44124.0</v>
      </c>
      <c r="E1064" s="52">
        <v>44105.0</v>
      </c>
      <c r="F1064" s="53" t="s">
        <v>4</v>
      </c>
      <c r="G1064" s="59" t="s">
        <v>5</v>
      </c>
      <c r="H1064" s="54" t="s">
        <v>47</v>
      </c>
      <c r="I1064" s="54" t="s">
        <v>7</v>
      </c>
      <c r="J1064" s="55">
        <v>10.0</v>
      </c>
      <c r="K1064" s="56">
        <v>510.0</v>
      </c>
      <c r="L1064" s="57">
        <v>480.0</v>
      </c>
      <c r="M1064" s="58">
        <v>21.0</v>
      </c>
      <c r="N1064" s="33">
        <f t="shared" si="155"/>
        <v>5100</v>
      </c>
      <c r="O1064" s="59">
        <v>38720.0</v>
      </c>
      <c r="P1064" s="34">
        <f t="shared" si="14"/>
        <v>75.92156863</v>
      </c>
      <c r="Q1064" s="60"/>
      <c r="R1064" s="36">
        <f t="shared" si="156"/>
        <v>21</v>
      </c>
      <c r="S1064" s="61">
        <v>269.0</v>
      </c>
      <c r="T1064" s="37">
        <f t="shared" si="157"/>
        <v>290</v>
      </c>
      <c r="U1064" s="62">
        <v>1.0</v>
      </c>
      <c r="V1064" s="63"/>
      <c r="W1064" s="63"/>
      <c r="X1064" s="83">
        <v>0.25</v>
      </c>
      <c r="Y1064" s="35">
        <f t="shared" si="163"/>
        <v>0</v>
      </c>
      <c r="Z1064" s="40">
        <f t="shared" si="159"/>
        <v>217.5</v>
      </c>
      <c r="AA1064" s="34">
        <f t="shared" si="165"/>
        <v>72.5</v>
      </c>
      <c r="AB1064" s="41">
        <f t="shared" si="161"/>
        <v>0</v>
      </c>
      <c r="AC1064" s="42" t="b">
        <v>1</v>
      </c>
      <c r="AD1064" s="42" t="s">
        <v>138</v>
      </c>
      <c r="AE1064" s="42" t="s">
        <v>138</v>
      </c>
      <c r="AF1064" s="42" t="str">
        <f t="array" ref="AF1064">INDEX('Deal Info'!D:D, MATCH(A1064,'Deal Info'!A:A, 0))</f>
        <v>SF</v>
      </c>
      <c r="AG1064" s="43" t="str">
        <f t="array" ref="AG1064">INDEX('Deal Info'!G:G, MATCH(A1064,'Deal Info'!A:A, 0))</f>
        <v>None</v>
      </c>
    </row>
    <row r="1065" hidden="1">
      <c r="A1065" s="23" t="str">
        <f t="array" ref="A1065">if(G1065='Room Info'!$B$1, INDEX('Room Info'!$A$2:$A3446, MATCH(B1065,'Room Info'!$B$2:$B3446, 0)),if(G1065='Room Info'!$C$1, INDEX('Room Info'!$A$2:$A3446, MATCH(B1065,'Room Info'!$C$2:$C3446, 0)),if(G1065='Room Info'!$D$1, INDEX('Room Info'!$A$2:$A3446, MATCH(B1065,'Room Info'!$D$2:$D3446, 0)),if(G1065='Room Info'!$E$1, INDEX('Room Info'!$A$2:$A3446, MATCH(B1065,'Room Info'!$E$2:$E3446, 0)),if(G1065='Room Info'!$F$1, INDEX('Room Info'!$A$2:$A3446, MATCH(B1065,'Room Info'!$F$2:$F3446, 0)),if(G1065='Room Info'!$H$1, INDEX('Room Info'!$A$2:$A3446, MATCH(B1065,'Room Info'!$H$2:$H3446, 0)),if(G1065='Room Info'!$G$1, INDEX('Room Info'!$A$2:$A3446, MATCH(B1065,'Room Info'!$G$2:$G3446, 0)))))))))</f>
        <v>overplayKK</v>
      </c>
      <c r="B1065" s="59" t="s">
        <v>207</v>
      </c>
      <c r="C1065" s="51">
        <v>44125.0</v>
      </c>
      <c r="D1065" s="51">
        <v>44155.0</v>
      </c>
      <c r="E1065" s="52">
        <v>44136.0</v>
      </c>
      <c r="F1065" s="50" t="s">
        <v>4</v>
      </c>
      <c r="G1065" s="59" t="s">
        <v>5</v>
      </c>
      <c r="H1065" s="54" t="s">
        <v>34</v>
      </c>
      <c r="I1065" s="54" t="s">
        <v>7</v>
      </c>
      <c r="J1065" s="55">
        <v>5.0</v>
      </c>
      <c r="K1065" s="56">
        <v>2743.0</v>
      </c>
      <c r="L1065" s="57">
        <v>765.0</v>
      </c>
      <c r="M1065" s="58">
        <v>42.0</v>
      </c>
      <c r="N1065" s="33">
        <f t="shared" si="155"/>
        <v>13715</v>
      </c>
      <c r="O1065" s="59">
        <v>221428.0</v>
      </c>
      <c r="P1065" s="34">
        <f t="shared" si="14"/>
        <v>80.72475392</v>
      </c>
      <c r="Q1065" s="60"/>
      <c r="R1065" s="36">
        <f t="shared" si="156"/>
        <v>42</v>
      </c>
      <c r="S1065" s="61">
        <v>989.0</v>
      </c>
      <c r="T1065" s="37">
        <f t="shared" si="157"/>
        <v>1031</v>
      </c>
      <c r="U1065" s="62">
        <v>1.0</v>
      </c>
      <c r="V1065" s="63"/>
      <c r="W1065" s="63"/>
      <c r="X1065" s="83">
        <v>0.25</v>
      </c>
      <c r="Y1065" s="35">
        <f t="shared" si="163"/>
        <v>0</v>
      </c>
      <c r="Z1065" s="40">
        <f t="shared" si="159"/>
        <v>773.25</v>
      </c>
      <c r="AA1065" s="34">
        <f t="shared" si="165"/>
        <v>257.75</v>
      </c>
      <c r="AB1065" s="41">
        <f t="shared" si="161"/>
        <v>0</v>
      </c>
      <c r="AC1065" s="42" t="b">
        <v>1</v>
      </c>
      <c r="AD1065" s="42" t="s">
        <v>138</v>
      </c>
      <c r="AE1065" s="42" t="s">
        <v>138</v>
      </c>
      <c r="AF1065" s="42" t="str">
        <f t="array" ref="AF1065">INDEX('Deal Info'!D:D, MATCH(A1065,'Deal Info'!A:A, 0))</f>
        <v>SF</v>
      </c>
      <c r="AG1065" s="43" t="str">
        <f t="array" ref="AG1065">INDEX('Deal Info'!G:G, MATCH(A1065,'Deal Info'!A:A, 0))</f>
        <v>None</v>
      </c>
    </row>
    <row r="1066" hidden="1">
      <c r="A1066" s="23" t="str">
        <f t="array" ref="A1066">if(G1066='Room Info'!$B$1, INDEX('Room Info'!$A$2:$A3446, MATCH(B1066,'Room Info'!$B$2:$B3446, 0)),if(G1066='Room Info'!$C$1, INDEX('Room Info'!$A$2:$A3446, MATCH(B1066,'Room Info'!$C$2:$C3446, 0)),if(G1066='Room Info'!$D$1, INDEX('Room Info'!$A$2:$A3446, MATCH(B1066,'Room Info'!$D$2:$D3446, 0)),if(G1066='Room Info'!$E$1, INDEX('Room Info'!$A$2:$A3446, MATCH(B1066,'Room Info'!$E$2:$E3446, 0)),if(G1066='Room Info'!$F$1, INDEX('Room Info'!$A$2:$A3446, MATCH(B1066,'Room Info'!$F$2:$F3446, 0)),if(G1066='Room Info'!$H$1, INDEX('Room Info'!$A$2:$A3446, MATCH(B1066,'Room Info'!$H$2:$H3446, 0)),if(G1066='Room Info'!$G$1, INDEX('Room Info'!$A$2:$A3446, MATCH(B1066,'Room Info'!$G$2:$G3446, 0)))))))))</f>
        <v>overplayKK</v>
      </c>
      <c r="B1066" s="59" t="s">
        <v>207</v>
      </c>
      <c r="C1066" s="51">
        <v>44125.0</v>
      </c>
      <c r="D1066" s="51">
        <v>44155.0</v>
      </c>
      <c r="E1066" s="52">
        <v>44136.0</v>
      </c>
      <c r="F1066" s="50" t="s">
        <v>4</v>
      </c>
      <c r="G1066" s="59" t="s">
        <v>5</v>
      </c>
      <c r="H1066" s="54" t="s">
        <v>46</v>
      </c>
      <c r="I1066" s="54" t="s">
        <v>7</v>
      </c>
      <c r="J1066" s="55">
        <v>10.0</v>
      </c>
      <c r="K1066" s="56">
        <v>504.0</v>
      </c>
      <c r="L1066" s="57">
        <v>-70.0</v>
      </c>
      <c r="M1066" s="58">
        <v>18.0</v>
      </c>
      <c r="N1066" s="33">
        <f t="shared" si="155"/>
        <v>5040</v>
      </c>
      <c r="O1066" s="59">
        <v>5749.0</v>
      </c>
      <c r="P1066" s="34">
        <f t="shared" si="14"/>
        <v>11.40674603</v>
      </c>
      <c r="Q1066" s="60"/>
      <c r="R1066" s="36">
        <f t="shared" si="156"/>
        <v>18</v>
      </c>
      <c r="S1066" s="61">
        <v>-329.0</v>
      </c>
      <c r="T1066" s="37">
        <f t="shared" si="157"/>
        <v>-311</v>
      </c>
      <c r="U1066" s="62">
        <v>1.0</v>
      </c>
      <c r="V1066" s="63"/>
      <c r="W1066" s="63"/>
      <c r="X1066" s="83">
        <v>0.25</v>
      </c>
      <c r="Y1066" s="35">
        <f t="shared" si="163"/>
        <v>0</v>
      </c>
      <c r="Z1066" s="40">
        <f t="shared" si="159"/>
        <v>-233.25</v>
      </c>
      <c r="AA1066" s="34">
        <f t="shared" si="165"/>
        <v>-77.75</v>
      </c>
      <c r="AB1066" s="41">
        <f t="shared" si="161"/>
        <v>0</v>
      </c>
      <c r="AC1066" s="42" t="b">
        <v>1</v>
      </c>
      <c r="AD1066" s="42" t="s">
        <v>138</v>
      </c>
      <c r="AE1066" s="42" t="s">
        <v>138</v>
      </c>
      <c r="AF1066" s="42" t="str">
        <f t="array" ref="AF1066">INDEX('Deal Info'!D:D, MATCH(A1066,'Deal Info'!A:A, 0))</f>
        <v>SF</v>
      </c>
      <c r="AG1066" s="43" t="str">
        <f t="array" ref="AG1066">INDEX('Deal Info'!G:G, MATCH(A1066,'Deal Info'!A:A, 0))</f>
        <v>None</v>
      </c>
    </row>
    <row r="1067" hidden="1">
      <c r="A1067" s="23" t="str">
        <f t="array" ref="A1067">if(G1067='Room Info'!$B$1, INDEX('Room Info'!$A$2:$A3446, MATCH(B1067,'Room Info'!$B$2:$B3446, 0)),if(G1067='Room Info'!$C$1, INDEX('Room Info'!$A$2:$A3446, MATCH(B1067,'Room Info'!$C$2:$C3446, 0)),if(G1067='Room Info'!$D$1, INDEX('Room Info'!$A$2:$A3446, MATCH(B1067,'Room Info'!$D$2:$D3446, 0)),if(G1067='Room Info'!$E$1, INDEX('Room Info'!$A$2:$A3446, MATCH(B1067,'Room Info'!$E$2:$E3446, 0)),if(G1067='Room Info'!$F$1, INDEX('Room Info'!$A$2:$A3446, MATCH(B1067,'Room Info'!$F$2:$F3446, 0)),if(G1067='Room Info'!$H$1, INDEX('Room Info'!$A$2:$A3446, MATCH(B1067,'Room Info'!$H$2:$H3446, 0)),if(G1067='Room Info'!$G$1, INDEX('Room Info'!$A$2:$A3446, MATCH(B1067,'Room Info'!$G$2:$G3446, 0)))))))))</f>
        <v>overplayKK</v>
      </c>
      <c r="B1067" s="50" t="s">
        <v>207</v>
      </c>
      <c r="C1067" s="51">
        <v>44156.0</v>
      </c>
      <c r="D1067" s="51">
        <v>44185.0</v>
      </c>
      <c r="E1067" s="52">
        <v>44166.0</v>
      </c>
      <c r="F1067" s="53" t="s">
        <v>4</v>
      </c>
      <c r="G1067" s="50" t="s">
        <v>5</v>
      </c>
      <c r="H1067" s="54" t="s">
        <v>34</v>
      </c>
      <c r="I1067" s="54" t="s">
        <v>7</v>
      </c>
      <c r="J1067" s="55">
        <v>5.0</v>
      </c>
      <c r="K1067" s="56">
        <v>2490.0</v>
      </c>
      <c r="L1067" s="57">
        <v>1180.0</v>
      </c>
      <c r="M1067" s="58">
        <v>57.0</v>
      </c>
      <c r="N1067" s="33">
        <f t="shared" si="155"/>
        <v>12450</v>
      </c>
      <c r="O1067" s="59">
        <v>146059.0</v>
      </c>
      <c r="P1067" s="34">
        <f t="shared" si="14"/>
        <v>58.65823293</v>
      </c>
      <c r="Q1067" s="60"/>
      <c r="R1067" s="36">
        <f t="shared" si="156"/>
        <v>57</v>
      </c>
      <c r="S1067" s="61">
        <v>391.0</v>
      </c>
      <c r="T1067" s="37">
        <f t="shared" si="157"/>
        <v>448</v>
      </c>
      <c r="U1067" s="62">
        <v>1.0</v>
      </c>
      <c r="V1067" s="63"/>
      <c r="W1067" s="63"/>
      <c r="X1067" s="83">
        <v>0.25</v>
      </c>
      <c r="Y1067" s="35">
        <f t="shared" si="163"/>
        <v>0</v>
      </c>
      <c r="Z1067" s="40">
        <f t="shared" si="159"/>
        <v>336</v>
      </c>
      <c r="AA1067" s="34">
        <f t="shared" si="165"/>
        <v>112</v>
      </c>
      <c r="AB1067" s="41">
        <f t="shared" si="161"/>
        <v>0</v>
      </c>
      <c r="AC1067" s="42" t="b">
        <v>1</v>
      </c>
      <c r="AD1067" s="42" t="s">
        <v>138</v>
      </c>
      <c r="AE1067" s="42" t="s">
        <v>138</v>
      </c>
      <c r="AF1067" s="42" t="str">
        <f t="array" ref="AF1067">INDEX('Deal Info'!D:D, MATCH(A1067,'Deal Info'!A:A, 0))</f>
        <v>SF</v>
      </c>
      <c r="AG1067" s="43" t="str">
        <f t="array" ref="AG1067">INDEX('Deal Info'!G:G, MATCH(A1067,'Deal Info'!A:A, 0))</f>
        <v>None</v>
      </c>
    </row>
    <row r="1068" hidden="1">
      <c r="A1068" s="23" t="str">
        <f t="array" ref="A1068">if(G1068='Room Info'!$B$1, INDEX('Room Info'!$A$2:$A3446, MATCH(B1068,'Room Info'!$B$2:$B3446, 0)),if(G1068='Room Info'!$C$1, INDEX('Room Info'!$A$2:$A3446, MATCH(B1068,'Room Info'!$C$2:$C3446, 0)),if(G1068='Room Info'!$D$1, INDEX('Room Info'!$A$2:$A3446, MATCH(B1068,'Room Info'!$D$2:$D3446, 0)),if(G1068='Room Info'!$E$1, INDEX('Room Info'!$A$2:$A3446, MATCH(B1068,'Room Info'!$E$2:$E3446, 0)),if(G1068='Room Info'!$F$1, INDEX('Room Info'!$A$2:$A3446, MATCH(B1068,'Room Info'!$F$2:$F3446, 0)),if(G1068='Room Info'!$H$1, INDEX('Room Info'!$A$2:$A3446, MATCH(B1068,'Room Info'!$H$2:$H3446, 0)),if(G1068='Room Info'!$G$1, INDEX('Room Info'!$A$2:$A3446, MATCH(B1068,'Room Info'!$G$2:$G3446, 0)))))))))</f>
        <v>overplayKK</v>
      </c>
      <c r="B1068" s="50" t="s">
        <v>207</v>
      </c>
      <c r="C1068" s="51">
        <v>44156.0</v>
      </c>
      <c r="D1068" s="51">
        <v>44185.0</v>
      </c>
      <c r="E1068" s="52">
        <v>44166.0</v>
      </c>
      <c r="F1068" s="53" t="s">
        <v>4</v>
      </c>
      <c r="G1068" s="50" t="s">
        <v>5</v>
      </c>
      <c r="H1068" s="54" t="s">
        <v>46</v>
      </c>
      <c r="I1068" s="54" t="s">
        <v>7</v>
      </c>
      <c r="J1068" s="55">
        <v>10.0</v>
      </c>
      <c r="K1068" s="56">
        <v>140.0</v>
      </c>
      <c r="L1068" s="57">
        <v>-50.0</v>
      </c>
      <c r="M1068" s="58">
        <v>7.0</v>
      </c>
      <c r="N1068" s="33">
        <f t="shared" si="155"/>
        <v>1400</v>
      </c>
      <c r="O1068" s="59">
        <v>1525.0</v>
      </c>
      <c r="P1068" s="34">
        <f t="shared" si="14"/>
        <v>10.89285714</v>
      </c>
      <c r="Q1068" s="60"/>
      <c r="R1068" s="36">
        <f t="shared" si="156"/>
        <v>7</v>
      </c>
      <c r="S1068" s="61">
        <v>-91.0</v>
      </c>
      <c r="T1068" s="37">
        <f t="shared" si="157"/>
        <v>-84</v>
      </c>
      <c r="U1068" s="62">
        <v>1.0</v>
      </c>
      <c r="V1068" s="63"/>
      <c r="W1068" s="63"/>
      <c r="X1068" s="83">
        <v>0.25</v>
      </c>
      <c r="Y1068" s="35">
        <f t="shared" si="163"/>
        <v>0</v>
      </c>
      <c r="Z1068" s="40">
        <f t="shared" si="159"/>
        <v>-63</v>
      </c>
      <c r="AA1068" s="34">
        <f t="shared" si="165"/>
        <v>-21</v>
      </c>
      <c r="AB1068" s="41">
        <f t="shared" si="161"/>
        <v>0</v>
      </c>
      <c r="AC1068" s="42" t="b">
        <v>1</v>
      </c>
      <c r="AD1068" s="42" t="s">
        <v>138</v>
      </c>
      <c r="AE1068" s="42" t="s">
        <v>138</v>
      </c>
      <c r="AF1068" s="42" t="str">
        <f t="array" ref="AF1068">INDEX('Deal Info'!D:D, MATCH(A1068,'Deal Info'!A:A, 0))</f>
        <v>SF</v>
      </c>
      <c r="AG1068" s="43" t="str">
        <f t="array" ref="AG1068">INDEX('Deal Info'!G:G, MATCH(A1068,'Deal Info'!A:A, 0))</f>
        <v>None</v>
      </c>
    </row>
    <row r="1069" hidden="1">
      <c r="A1069" s="23" t="str">
        <f t="array" ref="A1069">if(G1069='Room Info'!$B$1, INDEX('Room Info'!$A$2:$A3446, MATCH(B1069,'Room Info'!$B$2:$B3446, 0)),if(G1069='Room Info'!$C$1, INDEX('Room Info'!$A$2:$A3446, MATCH(B1069,'Room Info'!$C$2:$C3446, 0)),if(G1069='Room Info'!$D$1, INDEX('Room Info'!$A$2:$A3446, MATCH(B1069,'Room Info'!$D$2:$D3446, 0)),if(G1069='Room Info'!$E$1, INDEX('Room Info'!$A$2:$A3446, MATCH(B1069,'Room Info'!$E$2:$E3446, 0)),if(G1069='Room Info'!$F$1, INDEX('Room Info'!$A$2:$A3446, MATCH(B1069,'Room Info'!$F$2:$F3446, 0)),if(G1069='Room Info'!$H$1, INDEX('Room Info'!$A$2:$A3446, MATCH(B1069,'Room Info'!$H$2:$H3446, 0)),if(G1069='Room Info'!$G$1, INDEX('Room Info'!$A$2:$A3446, MATCH(B1069,'Room Info'!$G$2:$G3446, 0)))))))))</f>
        <v>overplayKK</v>
      </c>
      <c r="B1069" s="50" t="s">
        <v>207</v>
      </c>
      <c r="C1069" s="51">
        <v>44186.0</v>
      </c>
      <c r="D1069" s="51">
        <v>44216.0</v>
      </c>
      <c r="E1069" s="52">
        <v>44197.0</v>
      </c>
      <c r="F1069" s="53" t="s">
        <v>4</v>
      </c>
      <c r="G1069" s="50" t="s">
        <v>5</v>
      </c>
      <c r="H1069" s="54" t="s">
        <v>34</v>
      </c>
      <c r="I1069" s="54" t="s">
        <v>7</v>
      </c>
      <c r="J1069" s="55">
        <v>5.0</v>
      </c>
      <c r="K1069" s="56">
        <v>948.0</v>
      </c>
      <c r="L1069" s="57">
        <v>115.0</v>
      </c>
      <c r="M1069" s="58">
        <v>16.0</v>
      </c>
      <c r="N1069" s="33">
        <f t="shared" si="155"/>
        <v>4740</v>
      </c>
      <c r="O1069" s="59">
        <v>67343.0</v>
      </c>
      <c r="P1069" s="34">
        <f t="shared" si="14"/>
        <v>71.03691983</v>
      </c>
      <c r="Q1069" s="60"/>
      <c r="R1069" s="36">
        <f t="shared" si="156"/>
        <v>16</v>
      </c>
      <c r="S1069" s="61">
        <v>248.0</v>
      </c>
      <c r="T1069" s="37">
        <f t="shared" si="157"/>
        <v>264</v>
      </c>
      <c r="U1069" s="62">
        <v>1.0</v>
      </c>
      <c r="V1069" s="63"/>
      <c r="W1069" s="63"/>
      <c r="X1069" s="83">
        <v>0.3</v>
      </c>
      <c r="Y1069" s="35">
        <f t="shared" si="163"/>
        <v>0</v>
      </c>
      <c r="Z1069" s="40">
        <f t="shared" si="159"/>
        <v>184.8</v>
      </c>
      <c r="AA1069" s="34">
        <f t="shared" si="165"/>
        <v>79.2</v>
      </c>
      <c r="AB1069" s="41">
        <f t="shared" si="161"/>
        <v>0</v>
      </c>
      <c r="AC1069" s="42" t="b">
        <v>1</v>
      </c>
      <c r="AD1069" s="42" t="s">
        <v>138</v>
      </c>
      <c r="AE1069" s="42" t="s">
        <v>138</v>
      </c>
      <c r="AF1069" s="42" t="str">
        <f t="array" ref="AF1069">INDEX('Deal Info'!D:D, MATCH(A1069,'Deal Info'!A:A, 0))</f>
        <v>SF</v>
      </c>
      <c r="AG1069" s="43" t="str">
        <f t="array" ref="AG1069">INDEX('Deal Info'!G:G, MATCH(A1069,'Deal Info'!A:A, 0))</f>
        <v>None</v>
      </c>
    </row>
    <row r="1070" hidden="1">
      <c r="A1070" s="23" t="str">
        <f t="array" ref="A1070">if(G1070='Room Info'!$B$1, INDEX('Room Info'!$A$2:$A3446, MATCH(B1070,'Room Info'!$B$2:$B3446, 0)),if(G1070='Room Info'!$C$1, INDEX('Room Info'!$A$2:$A3446, MATCH(B1070,'Room Info'!$C$2:$C3446, 0)),if(G1070='Room Info'!$D$1, INDEX('Room Info'!$A$2:$A3446, MATCH(B1070,'Room Info'!$D$2:$D3446, 0)),if(G1070='Room Info'!$E$1, INDEX('Room Info'!$A$2:$A3446, MATCH(B1070,'Room Info'!$E$2:$E3446, 0)),if(G1070='Room Info'!$F$1, INDEX('Room Info'!$A$2:$A3446, MATCH(B1070,'Room Info'!$F$2:$F3446, 0)),if(G1070='Room Info'!$H$1, INDEX('Room Info'!$A$2:$A3446, MATCH(B1070,'Room Info'!$H$2:$H3446, 0)),if(G1070='Room Info'!$G$1, INDEX('Room Info'!$A$2:$A3446, MATCH(B1070,'Room Info'!$G$2:$G3446, 0)))))))))</f>
        <v>overplayKK</v>
      </c>
      <c r="B1070" s="50" t="s">
        <v>207</v>
      </c>
      <c r="C1070" s="51">
        <v>44186.0</v>
      </c>
      <c r="D1070" s="51">
        <v>44216.0</v>
      </c>
      <c r="E1070" s="52">
        <v>44197.0</v>
      </c>
      <c r="F1070" s="53" t="s">
        <v>4</v>
      </c>
      <c r="G1070" s="50" t="s">
        <v>5</v>
      </c>
      <c r="H1070" s="54" t="s">
        <v>46</v>
      </c>
      <c r="I1070" s="54" t="s">
        <v>7</v>
      </c>
      <c r="J1070" s="55">
        <v>10.0</v>
      </c>
      <c r="K1070" s="56">
        <v>212.0</v>
      </c>
      <c r="L1070" s="57">
        <v>340.0</v>
      </c>
      <c r="M1070" s="58">
        <v>31.0</v>
      </c>
      <c r="N1070" s="33">
        <f t="shared" si="155"/>
        <v>2120</v>
      </c>
      <c r="O1070" s="59">
        <v>21704.0</v>
      </c>
      <c r="P1070" s="34">
        <f t="shared" si="14"/>
        <v>102.3773585</v>
      </c>
      <c r="Q1070" s="60"/>
      <c r="R1070" s="36">
        <f t="shared" si="156"/>
        <v>31</v>
      </c>
      <c r="S1070" s="61">
        <v>207.0</v>
      </c>
      <c r="T1070" s="37">
        <f t="shared" si="157"/>
        <v>238</v>
      </c>
      <c r="U1070" s="62">
        <v>1.0</v>
      </c>
      <c r="V1070" s="63"/>
      <c r="W1070" s="63"/>
      <c r="X1070" s="83">
        <v>0.3</v>
      </c>
      <c r="Y1070" s="35">
        <f t="shared" si="163"/>
        <v>0</v>
      </c>
      <c r="Z1070" s="40">
        <f t="shared" si="159"/>
        <v>166.6</v>
      </c>
      <c r="AA1070" s="34">
        <f t="shared" si="165"/>
        <v>71.4</v>
      </c>
      <c r="AB1070" s="41">
        <f t="shared" si="161"/>
        <v>0</v>
      </c>
      <c r="AC1070" s="42" t="b">
        <v>1</v>
      </c>
      <c r="AD1070" s="42" t="s">
        <v>138</v>
      </c>
      <c r="AE1070" s="42" t="s">
        <v>138</v>
      </c>
      <c r="AF1070" s="42" t="str">
        <f t="array" ref="AF1070">INDEX('Deal Info'!D:D, MATCH(A1070,'Deal Info'!A:A, 0))</f>
        <v>SF</v>
      </c>
      <c r="AG1070" s="43" t="str">
        <f t="array" ref="AG1070">INDEX('Deal Info'!G:G, MATCH(A1070,'Deal Info'!A:A, 0))</f>
        <v>None</v>
      </c>
    </row>
    <row r="1071" hidden="1">
      <c r="A1071" s="23" t="str">
        <f t="array" ref="A1071">if(G1071='Room Info'!$B$1, INDEX('Room Info'!$A$2:$A3446, MATCH(B1071,'Room Info'!$B$2:$B3446, 0)),if(G1071='Room Info'!$C$1, INDEX('Room Info'!$A$2:$A3446, MATCH(B1071,'Room Info'!$C$2:$C3446, 0)),if(G1071='Room Info'!$D$1, INDEX('Room Info'!$A$2:$A3446, MATCH(B1071,'Room Info'!$D$2:$D3446, 0)),if(G1071='Room Info'!$E$1, INDEX('Room Info'!$A$2:$A3446, MATCH(B1071,'Room Info'!$E$2:$E3446, 0)),if(G1071='Room Info'!$F$1, INDEX('Room Info'!$A$2:$A3446, MATCH(B1071,'Room Info'!$F$2:$F3446, 0)),if(G1071='Room Info'!$H$1, INDEX('Room Info'!$A$2:$A3446, MATCH(B1071,'Room Info'!$H$2:$H3446, 0)),if(G1071='Room Info'!$G$1, INDEX('Room Info'!$A$2:$A3446, MATCH(B1071,'Room Info'!$G$2:$G3446, 0)))))))))</f>
        <v>overplayKK</v>
      </c>
      <c r="B1071" s="50" t="s">
        <v>207</v>
      </c>
      <c r="C1071" s="51">
        <v>44217.0</v>
      </c>
      <c r="D1071" s="51">
        <v>44247.0</v>
      </c>
      <c r="E1071" s="52">
        <v>44228.0</v>
      </c>
      <c r="F1071" s="53" t="s">
        <v>4</v>
      </c>
      <c r="G1071" s="50" t="s">
        <v>5</v>
      </c>
      <c r="H1071" s="54" t="s">
        <v>28</v>
      </c>
      <c r="I1071" s="54" t="s">
        <v>7</v>
      </c>
      <c r="J1071" s="55">
        <v>2.0</v>
      </c>
      <c r="K1071" s="56">
        <v>40.0</v>
      </c>
      <c r="L1071" s="57">
        <v>18.0</v>
      </c>
      <c r="M1071" s="58">
        <v>2.0</v>
      </c>
      <c r="N1071" s="33">
        <f t="shared" si="155"/>
        <v>80</v>
      </c>
      <c r="O1071" s="59">
        <v>7000.0</v>
      </c>
      <c r="P1071" s="34">
        <f t="shared" si="14"/>
        <v>175</v>
      </c>
      <c r="Q1071" s="60"/>
      <c r="R1071" s="36">
        <f t="shared" si="156"/>
        <v>2</v>
      </c>
      <c r="S1071" s="61">
        <v>18.0</v>
      </c>
      <c r="T1071" s="37">
        <f t="shared" si="157"/>
        <v>20</v>
      </c>
      <c r="U1071" s="62">
        <v>1.0</v>
      </c>
      <c r="V1071" s="63"/>
      <c r="W1071" s="63"/>
      <c r="X1071" s="83">
        <v>0.25</v>
      </c>
      <c r="Y1071" s="35">
        <f t="shared" si="163"/>
        <v>0</v>
      </c>
      <c r="Z1071" s="40">
        <f t="shared" si="159"/>
        <v>15</v>
      </c>
      <c r="AA1071" s="34">
        <f t="shared" si="165"/>
        <v>5</v>
      </c>
      <c r="AB1071" s="41">
        <f t="shared" si="161"/>
        <v>0</v>
      </c>
      <c r="AC1071" s="42" t="b">
        <v>1</v>
      </c>
      <c r="AD1071" s="42" t="s">
        <v>138</v>
      </c>
      <c r="AE1071" s="42" t="s">
        <v>138</v>
      </c>
      <c r="AF1071" s="42" t="str">
        <f t="array" ref="AF1071">INDEX('Deal Info'!D:D, MATCH(A1071,'Deal Info'!A:A, 0))</f>
        <v>SF</v>
      </c>
      <c r="AG1071" s="43" t="str">
        <f t="array" ref="AG1071">INDEX('Deal Info'!G:G, MATCH(A1071,'Deal Info'!A:A, 0))</f>
        <v>None</v>
      </c>
    </row>
    <row r="1072" hidden="1">
      <c r="A1072" s="23" t="str">
        <f t="array" ref="A1072">if(G1072='Room Info'!$B$1, INDEX('Room Info'!$A$2:$A3446, MATCH(B1072,'Room Info'!$B$2:$B3446, 0)),if(G1072='Room Info'!$C$1, INDEX('Room Info'!$A$2:$A3446, MATCH(B1072,'Room Info'!$C$2:$C3446, 0)),if(G1072='Room Info'!$D$1, INDEX('Room Info'!$A$2:$A3446, MATCH(B1072,'Room Info'!$D$2:$D3446, 0)),if(G1072='Room Info'!$E$1, INDEX('Room Info'!$A$2:$A3446, MATCH(B1072,'Room Info'!$E$2:$E3446, 0)),if(G1072='Room Info'!$F$1, INDEX('Room Info'!$A$2:$A3446, MATCH(B1072,'Room Info'!$F$2:$F3446, 0)),if(G1072='Room Info'!$H$1, INDEX('Room Info'!$A$2:$A3446, MATCH(B1072,'Room Info'!$H$2:$H3446, 0)),if(G1072='Room Info'!$G$1, INDEX('Room Info'!$A$2:$A3446, MATCH(B1072,'Room Info'!$G$2:$G3446, 0)))))))))</f>
        <v>overplayKK</v>
      </c>
      <c r="B1072" s="50" t="s">
        <v>207</v>
      </c>
      <c r="C1072" s="51">
        <v>44217.0</v>
      </c>
      <c r="D1072" s="51">
        <v>44247.0</v>
      </c>
      <c r="E1072" s="52">
        <v>44228.0</v>
      </c>
      <c r="F1072" s="53" t="s">
        <v>4</v>
      </c>
      <c r="G1072" s="50" t="s">
        <v>5</v>
      </c>
      <c r="H1072" s="54" t="s">
        <v>34</v>
      </c>
      <c r="I1072" s="54" t="s">
        <v>7</v>
      </c>
      <c r="J1072" s="55">
        <v>5.0</v>
      </c>
      <c r="K1072" s="56">
        <v>1844.0</v>
      </c>
      <c r="L1072" s="57">
        <v>665.0</v>
      </c>
      <c r="M1072" s="58">
        <v>200.0</v>
      </c>
      <c r="N1072" s="33">
        <f t="shared" si="155"/>
        <v>9220</v>
      </c>
      <c r="O1072" s="59">
        <v>159087.0</v>
      </c>
      <c r="P1072" s="34">
        <f t="shared" si="14"/>
        <v>86.27277657</v>
      </c>
      <c r="Q1072" s="60"/>
      <c r="R1072" s="36">
        <f t="shared" si="156"/>
        <v>200</v>
      </c>
      <c r="S1072" s="61">
        <v>765.0</v>
      </c>
      <c r="T1072" s="37">
        <f t="shared" si="157"/>
        <v>965</v>
      </c>
      <c r="U1072" s="62">
        <v>1.0</v>
      </c>
      <c r="V1072" s="63"/>
      <c r="W1072" s="63"/>
      <c r="X1072" s="83">
        <v>0.25</v>
      </c>
      <c r="Y1072" s="35">
        <f t="shared" si="163"/>
        <v>0</v>
      </c>
      <c r="Z1072" s="40">
        <f t="shared" si="159"/>
        <v>723.75</v>
      </c>
      <c r="AA1072" s="34">
        <f t="shared" si="165"/>
        <v>241.25</v>
      </c>
      <c r="AB1072" s="41">
        <f t="shared" si="161"/>
        <v>0</v>
      </c>
      <c r="AC1072" s="42" t="b">
        <v>1</v>
      </c>
      <c r="AD1072" s="42" t="s">
        <v>138</v>
      </c>
      <c r="AE1072" s="42" t="s">
        <v>138</v>
      </c>
      <c r="AF1072" s="42" t="str">
        <f t="array" ref="AF1072">INDEX('Deal Info'!D:D, MATCH(A1072,'Deal Info'!A:A, 0))</f>
        <v>SF</v>
      </c>
      <c r="AG1072" s="43" t="str">
        <f t="array" ref="AG1072">INDEX('Deal Info'!G:G, MATCH(A1072,'Deal Info'!A:A, 0))</f>
        <v>None</v>
      </c>
    </row>
    <row r="1073" hidden="1">
      <c r="A1073" s="23" t="str">
        <f t="array" ref="A1073">if(G1073='Room Info'!$B$1, INDEX('Room Info'!$A$2:$A3446, MATCH(B1073,'Room Info'!$B$2:$B3446, 0)),if(G1073='Room Info'!$C$1, INDEX('Room Info'!$A$2:$A3446, MATCH(B1073,'Room Info'!$C$2:$C3446, 0)),if(G1073='Room Info'!$D$1, INDEX('Room Info'!$A$2:$A3446, MATCH(B1073,'Room Info'!$D$2:$D3446, 0)),if(G1073='Room Info'!$E$1, INDEX('Room Info'!$A$2:$A3446, MATCH(B1073,'Room Info'!$E$2:$E3446, 0)),if(G1073='Room Info'!$F$1, INDEX('Room Info'!$A$2:$A3446, MATCH(B1073,'Room Info'!$F$2:$F3446, 0)),if(G1073='Room Info'!$H$1, INDEX('Room Info'!$A$2:$A3446, MATCH(B1073,'Room Info'!$H$2:$H3446, 0)),if(G1073='Room Info'!$G$1, INDEX('Room Info'!$A$2:$A3446, MATCH(B1073,'Room Info'!$G$2:$G3446, 0)))))))))</f>
        <v>overplayKK</v>
      </c>
      <c r="B1073" s="50" t="s">
        <v>207</v>
      </c>
      <c r="C1073" s="51">
        <v>44217.0</v>
      </c>
      <c r="D1073" s="51">
        <v>44247.0</v>
      </c>
      <c r="E1073" s="52">
        <v>44228.0</v>
      </c>
      <c r="F1073" s="53" t="s">
        <v>4</v>
      </c>
      <c r="G1073" s="50" t="s">
        <v>5</v>
      </c>
      <c r="H1073" s="54" t="s">
        <v>46</v>
      </c>
      <c r="I1073" s="54" t="s">
        <v>7</v>
      </c>
      <c r="J1073" s="55">
        <v>10.0</v>
      </c>
      <c r="K1073" s="56">
        <v>127.0</v>
      </c>
      <c r="L1073" s="57">
        <v>40.0</v>
      </c>
      <c r="M1073" s="58">
        <v>31.0</v>
      </c>
      <c r="N1073" s="33">
        <f t="shared" si="155"/>
        <v>1270</v>
      </c>
      <c r="O1073" s="59">
        <v>16650.0</v>
      </c>
      <c r="P1073" s="34">
        <f t="shared" si="14"/>
        <v>131.1023622</v>
      </c>
      <c r="Q1073" s="60"/>
      <c r="R1073" s="36">
        <f t="shared" si="156"/>
        <v>31</v>
      </c>
      <c r="S1073" s="61">
        <v>192.0</v>
      </c>
      <c r="T1073" s="37">
        <f t="shared" si="157"/>
        <v>223</v>
      </c>
      <c r="U1073" s="62">
        <v>1.0</v>
      </c>
      <c r="V1073" s="63"/>
      <c r="W1073" s="63"/>
      <c r="X1073" s="83">
        <v>0.25</v>
      </c>
      <c r="Y1073" s="35">
        <f t="shared" si="163"/>
        <v>0</v>
      </c>
      <c r="Z1073" s="40">
        <f t="shared" si="159"/>
        <v>167.25</v>
      </c>
      <c r="AA1073" s="34">
        <f t="shared" si="165"/>
        <v>55.75</v>
      </c>
      <c r="AB1073" s="41">
        <f t="shared" si="161"/>
        <v>0</v>
      </c>
      <c r="AC1073" s="42" t="b">
        <v>1</v>
      </c>
      <c r="AD1073" s="42" t="s">
        <v>138</v>
      </c>
      <c r="AE1073" s="42" t="s">
        <v>138</v>
      </c>
      <c r="AF1073" s="42" t="str">
        <f t="array" ref="AF1073">INDEX('Deal Info'!D:D, MATCH(A1073,'Deal Info'!A:A, 0))</f>
        <v>SF</v>
      </c>
      <c r="AG1073" s="43" t="str">
        <f t="array" ref="AG1073">INDEX('Deal Info'!G:G, MATCH(A1073,'Deal Info'!A:A, 0))</f>
        <v>None</v>
      </c>
    </row>
    <row r="1074" hidden="1">
      <c r="A1074" s="23" t="str">
        <f t="array" ref="A1074">if(G1074='Room Info'!$B$1, INDEX('Room Info'!$A$2:$A3446, MATCH(B1074,'Room Info'!$B$2:$B3446, 0)),if(G1074='Room Info'!$C$1, INDEX('Room Info'!$A$2:$A3446, MATCH(B1074,'Room Info'!$C$2:$C3446, 0)),if(G1074='Room Info'!$D$1, INDEX('Room Info'!$A$2:$A3446, MATCH(B1074,'Room Info'!$D$2:$D3446, 0)),if(G1074='Room Info'!$E$1, INDEX('Room Info'!$A$2:$A3446, MATCH(B1074,'Room Info'!$E$2:$E3446, 0)),if(G1074='Room Info'!$F$1, INDEX('Room Info'!$A$2:$A3446, MATCH(B1074,'Room Info'!$F$2:$F3446, 0)),if(G1074='Room Info'!$H$1, INDEX('Room Info'!$A$2:$A3446, MATCH(B1074,'Room Info'!$H$2:$H3446, 0)),if(G1074='Room Info'!$G$1, INDEX('Room Info'!$A$2:$A3446, MATCH(B1074,'Room Info'!$G$2:$G3446, 0)))))))))</f>
        <v>overplayKK</v>
      </c>
      <c r="B1074" s="50" t="s">
        <v>207</v>
      </c>
      <c r="C1074" s="51">
        <v>44248.0</v>
      </c>
      <c r="D1074" s="51">
        <v>44275.0</v>
      </c>
      <c r="E1074" s="52">
        <v>44256.0</v>
      </c>
      <c r="F1074" s="53" t="s">
        <v>4</v>
      </c>
      <c r="G1074" s="50" t="s">
        <v>5</v>
      </c>
      <c r="H1074" s="54" t="s">
        <v>34</v>
      </c>
      <c r="I1074" s="54" t="s">
        <v>7</v>
      </c>
      <c r="J1074" s="55">
        <v>5.0</v>
      </c>
      <c r="K1074" s="56">
        <v>156.0</v>
      </c>
      <c r="L1074" s="57">
        <v>20.0</v>
      </c>
      <c r="M1074" s="58">
        <v>17.0</v>
      </c>
      <c r="N1074" s="33">
        <f t="shared" si="155"/>
        <v>780</v>
      </c>
      <c r="O1074" s="59">
        <v>15627.0</v>
      </c>
      <c r="P1074" s="34">
        <f t="shared" si="14"/>
        <v>100.1730769</v>
      </c>
      <c r="Q1074" s="60"/>
      <c r="R1074" s="36">
        <f t="shared" si="156"/>
        <v>17</v>
      </c>
      <c r="S1074" s="61">
        <v>80.0</v>
      </c>
      <c r="T1074" s="37">
        <f t="shared" si="157"/>
        <v>97</v>
      </c>
      <c r="U1074" s="62">
        <v>1.0</v>
      </c>
      <c r="V1074" s="63"/>
      <c r="W1074" s="63"/>
      <c r="X1074" s="83">
        <v>0.22</v>
      </c>
      <c r="Y1074" s="35">
        <f t="shared" si="163"/>
        <v>0</v>
      </c>
      <c r="Z1074" s="40">
        <f t="shared" si="159"/>
        <v>75.66</v>
      </c>
      <c r="AA1074" s="34">
        <f t="shared" si="165"/>
        <v>21.34</v>
      </c>
      <c r="AB1074" s="41">
        <f t="shared" si="161"/>
        <v>0</v>
      </c>
      <c r="AC1074" s="42" t="b">
        <v>1</v>
      </c>
      <c r="AD1074" s="42" t="s">
        <v>138</v>
      </c>
      <c r="AE1074" s="42" t="s">
        <v>138</v>
      </c>
      <c r="AF1074" s="42" t="str">
        <f t="array" ref="AF1074">INDEX('Deal Info'!D:D, MATCH(A1074,'Deal Info'!A:A, 0))</f>
        <v>SF</v>
      </c>
      <c r="AG1074" s="43" t="str">
        <f t="array" ref="AG1074">INDEX('Deal Info'!G:G, MATCH(A1074,'Deal Info'!A:A, 0))</f>
        <v>None</v>
      </c>
    </row>
    <row r="1075" hidden="1">
      <c r="A1075" s="23" t="str">
        <f t="array" ref="A1075">if(G1075='Room Info'!$B$1, INDEX('Room Info'!$A$2:$A3446, MATCH(B1075,'Room Info'!$B$2:$B3446, 0)),if(G1075='Room Info'!$C$1, INDEX('Room Info'!$A$2:$A3446, MATCH(B1075,'Room Info'!$C$2:$C3446, 0)),if(G1075='Room Info'!$D$1, INDEX('Room Info'!$A$2:$A3446, MATCH(B1075,'Room Info'!$D$2:$D3446, 0)),if(G1075='Room Info'!$E$1, INDEX('Room Info'!$A$2:$A3446, MATCH(B1075,'Room Info'!$E$2:$E3446, 0)),if(G1075='Room Info'!$F$1, INDEX('Room Info'!$A$2:$A3446, MATCH(B1075,'Room Info'!$F$2:$F3446, 0)),if(G1075='Room Info'!$H$1, INDEX('Room Info'!$A$2:$A3446, MATCH(B1075,'Room Info'!$H$2:$H3446, 0)),if(G1075='Room Info'!$G$1, INDEX('Room Info'!$A$2:$A3446, MATCH(B1075,'Room Info'!$G$2:$G3446, 0)))))))))</f>
        <v>overplayKK</v>
      </c>
      <c r="B1075" s="50" t="s">
        <v>207</v>
      </c>
      <c r="C1075" s="51">
        <v>44248.0</v>
      </c>
      <c r="D1075" s="51">
        <v>44275.0</v>
      </c>
      <c r="E1075" s="52">
        <v>44256.0</v>
      </c>
      <c r="F1075" s="53" t="s">
        <v>4</v>
      </c>
      <c r="G1075" s="50" t="s">
        <v>5</v>
      </c>
      <c r="H1075" s="54" t="s">
        <v>46</v>
      </c>
      <c r="I1075" s="54" t="s">
        <v>7</v>
      </c>
      <c r="J1075" s="55">
        <v>10.0</v>
      </c>
      <c r="K1075" s="56">
        <v>135.0</v>
      </c>
      <c r="L1075" s="57">
        <v>150.0</v>
      </c>
      <c r="M1075" s="58">
        <v>35.0</v>
      </c>
      <c r="N1075" s="33">
        <f t="shared" si="155"/>
        <v>1350</v>
      </c>
      <c r="O1075" s="59">
        <v>8810.0</v>
      </c>
      <c r="P1075" s="34">
        <f t="shared" si="14"/>
        <v>65.25925926</v>
      </c>
      <c r="Q1075" s="60"/>
      <c r="R1075" s="36">
        <f t="shared" si="156"/>
        <v>35</v>
      </c>
      <c r="S1075" s="61">
        <v>38.0</v>
      </c>
      <c r="T1075" s="37">
        <f t="shared" si="157"/>
        <v>73</v>
      </c>
      <c r="U1075" s="62">
        <v>1.0</v>
      </c>
      <c r="V1075" s="63"/>
      <c r="W1075" s="63"/>
      <c r="X1075" s="83">
        <v>0.22</v>
      </c>
      <c r="Y1075" s="35">
        <f t="shared" si="163"/>
        <v>0</v>
      </c>
      <c r="Z1075" s="40">
        <f t="shared" si="159"/>
        <v>56.94</v>
      </c>
      <c r="AA1075" s="34">
        <f t="shared" si="165"/>
        <v>16.06</v>
      </c>
      <c r="AB1075" s="41">
        <f t="shared" si="161"/>
        <v>0</v>
      </c>
      <c r="AC1075" s="42" t="b">
        <v>1</v>
      </c>
      <c r="AD1075" s="42" t="s">
        <v>138</v>
      </c>
      <c r="AE1075" s="42" t="s">
        <v>138</v>
      </c>
      <c r="AF1075" s="42" t="str">
        <f t="array" ref="AF1075">INDEX('Deal Info'!D:D, MATCH(A1075,'Deal Info'!A:A, 0))</f>
        <v>SF</v>
      </c>
      <c r="AG1075" s="43" t="str">
        <f t="array" ref="AG1075">INDEX('Deal Info'!G:G, MATCH(A1075,'Deal Info'!A:A, 0))</f>
        <v>None</v>
      </c>
    </row>
    <row r="1076" hidden="1">
      <c r="A1076" s="23" t="str">
        <f t="array" ref="A1076">if(G1076='Room Info'!$B$1, INDEX('Room Info'!$A$2:$A3446, MATCH(B1076,'Room Info'!$B$2:$B3446, 0)),if(G1076='Room Info'!$C$1, INDEX('Room Info'!$A$2:$A3446, MATCH(B1076,'Room Info'!$C$2:$C3446, 0)),if(G1076='Room Info'!$D$1, INDEX('Room Info'!$A$2:$A3446, MATCH(B1076,'Room Info'!$D$2:$D3446, 0)),if(G1076='Room Info'!$E$1, INDEX('Room Info'!$A$2:$A3446, MATCH(B1076,'Room Info'!$E$2:$E3446, 0)),if(G1076='Room Info'!$F$1, INDEX('Room Info'!$A$2:$A3446, MATCH(B1076,'Room Info'!$F$2:$F3446, 0)),if(G1076='Room Info'!$H$1, INDEX('Room Info'!$A$2:$A3446, MATCH(B1076,'Room Info'!$H$2:$H3446, 0)),if(G1076='Room Info'!$G$1, INDEX('Room Info'!$A$2:$A3446, MATCH(B1076,'Room Info'!$G$2:$G3446, 0)))))))))</f>
        <v>overplayKK</v>
      </c>
      <c r="B1076" s="50" t="s">
        <v>208</v>
      </c>
      <c r="C1076" s="51">
        <v>44248.0</v>
      </c>
      <c r="D1076" s="51">
        <v>44275.0</v>
      </c>
      <c r="E1076" s="52">
        <v>44256.0</v>
      </c>
      <c r="F1076" s="53" t="s">
        <v>4</v>
      </c>
      <c r="G1076" s="50" t="s">
        <v>13</v>
      </c>
      <c r="H1076" s="54" t="s">
        <v>45</v>
      </c>
      <c r="I1076" s="54" t="s">
        <v>18</v>
      </c>
      <c r="J1076" s="55">
        <v>10.0</v>
      </c>
      <c r="K1076" s="56">
        <v>4477.0</v>
      </c>
      <c r="L1076" s="57">
        <v>-960.0</v>
      </c>
      <c r="M1076" s="58">
        <v>3165.0</v>
      </c>
      <c r="N1076" s="33">
        <f t="shared" si="155"/>
        <v>44770</v>
      </c>
      <c r="O1076" s="59">
        <v>141045.0</v>
      </c>
      <c r="P1076" s="34">
        <f t="shared" si="14"/>
        <v>31.5043556</v>
      </c>
      <c r="Q1076" s="60"/>
      <c r="R1076" s="36">
        <f t="shared" si="156"/>
        <v>3165</v>
      </c>
      <c r="S1076" s="61">
        <v>-847.0</v>
      </c>
      <c r="T1076" s="37">
        <f t="shared" si="157"/>
        <v>2318</v>
      </c>
      <c r="U1076" s="62">
        <v>1.0</v>
      </c>
      <c r="V1076" s="63"/>
      <c r="W1076" s="63"/>
      <c r="X1076" s="83">
        <v>0.22</v>
      </c>
      <c r="Y1076" s="35">
        <f t="shared" si="163"/>
        <v>0</v>
      </c>
      <c r="Z1076" s="40">
        <f t="shared" si="159"/>
        <v>1808.04</v>
      </c>
      <c r="AA1076" s="34">
        <f t="shared" si="165"/>
        <v>509.96</v>
      </c>
      <c r="AB1076" s="41">
        <f t="shared" si="161"/>
        <v>0</v>
      </c>
      <c r="AC1076" s="42" t="b">
        <v>1</v>
      </c>
      <c r="AD1076" s="42" t="s">
        <v>138</v>
      </c>
      <c r="AE1076" s="42" t="s">
        <v>138</v>
      </c>
      <c r="AF1076" s="42" t="str">
        <f t="array" ref="AF1076">INDEX('Deal Info'!D:D, MATCH(A1076,'Deal Info'!A:A, 0))</f>
        <v>SF</v>
      </c>
      <c r="AG1076" s="43" t="str">
        <f t="array" ref="AG1076">INDEX('Deal Info'!G:G, MATCH(A1076,'Deal Info'!A:A, 0))</f>
        <v>None</v>
      </c>
    </row>
    <row r="1077" hidden="1">
      <c r="A1077" s="23" t="str">
        <f t="array" ref="A1077">if(G1077='Room Info'!$B$1, INDEX('Room Info'!$A$2:$A3446, MATCH(B1077,'Room Info'!$B$2:$B3446, 0)),if(G1077='Room Info'!$C$1, INDEX('Room Info'!$A$2:$A3446, MATCH(B1077,'Room Info'!$C$2:$C3446, 0)),if(G1077='Room Info'!$D$1, INDEX('Room Info'!$A$2:$A3446, MATCH(B1077,'Room Info'!$D$2:$D3446, 0)),if(G1077='Room Info'!$E$1, INDEX('Room Info'!$A$2:$A3446, MATCH(B1077,'Room Info'!$E$2:$E3446, 0)),if(G1077='Room Info'!$F$1, INDEX('Room Info'!$A$2:$A3446, MATCH(B1077,'Room Info'!$F$2:$F3446, 0)),if(G1077='Room Info'!$H$1, INDEX('Room Info'!$A$2:$A3446, MATCH(B1077,'Room Info'!$H$2:$H3446, 0)),if(G1077='Room Info'!$G$1, INDEX('Room Info'!$A$2:$A3446, MATCH(B1077,'Room Info'!$G$2:$G3446, 0)))))))))</f>
        <v>overplayKK</v>
      </c>
      <c r="B1077" s="50" t="s">
        <v>208</v>
      </c>
      <c r="C1077" s="82">
        <v>44248.0</v>
      </c>
      <c r="D1077" s="82">
        <v>44275.0</v>
      </c>
      <c r="E1077" s="52">
        <v>44256.0</v>
      </c>
      <c r="F1077" s="53" t="s">
        <v>4</v>
      </c>
      <c r="G1077" s="50" t="s">
        <v>13</v>
      </c>
      <c r="H1077" s="54" t="s">
        <v>45</v>
      </c>
      <c r="I1077" s="54" t="s">
        <v>18</v>
      </c>
      <c r="J1077" s="79">
        <v>10.0</v>
      </c>
      <c r="K1077" s="80">
        <v>3939.0</v>
      </c>
      <c r="L1077" s="77">
        <v>-2210.0</v>
      </c>
      <c r="M1077" s="81">
        <v>2784.0</v>
      </c>
      <c r="N1077" s="33">
        <f t="shared" si="155"/>
        <v>39390</v>
      </c>
      <c r="O1077" s="50">
        <v>49163.0</v>
      </c>
      <c r="P1077" s="34">
        <f t="shared" si="14"/>
        <v>12.48108657</v>
      </c>
      <c r="Q1077" s="60"/>
      <c r="R1077" s="36">
        <f t="shared" si="156"/>
        <v>2784</v>
      </c>
      <c r="S1077" s="78">
        <v>-1631.0</v>
      </c>
      <c r="T1077" s="37">
        <f t="shared" si="157"/>
        <v>1153</v>
      </c>
      <c r="U1077" s="62">
        <v>1.0</v>
      </c>
      <c r="V1077" s="63"/>
      <c r="W1077" s="63"/>
      <c r="X1077" s="83">
        <v>0.22</v>
      </c>
      <c r="Y1077" s="35">
        <f t="shared" si="163"/>
        <v>0</v>
      </c>
      <c r="Z1077" s="40">
        <f t="shared" si="159"/>
        <v>899.34</v>
      </c>
      <c r="AA1077" s="34">
        <f t="shared" si="165"/>
        <v>253.66</v>
      </c>
      <c r="AB1077" s="41">
        <f t="shared" si="161"/>
        <v>0</v>
      </c>
      <c r="AC1077" s="42" t="b">
        <v>1</v>
      </c>
      <c r="AD1077" s="42" t="s">
        <v>138</v>
      </c>
      <c r="AE1077" s="42" t="s">
        <v>138</v>
      </c>
      <c r="AF1077" s="42" t="str">
        <f t="array" ref="AF1077">INDEX('Deal Info'!D:D, MATCH(A1077,'Deal Info'!A:A, 0))</f>
        <v>SF</v>
      </c>
      <c r="AG1077" s="43" t="str">
        <f t="array" ref="AG1077">INDEX('Deal Info'!G:G, MATCH(A1077,'Deal Info'!A:A, 0))</f>
        <v>None</v>
      </c>
    </row>
    <row r="1078" hidden="1">
      <c r="A1078" s="23" t="str">
        <f t="array" ref="A1078">if(G1078='Room Info'!$B$1, INDEX('Room Info'!$A$2:$A3446, MATCH(B1078,'Room Info'!$B$2:$B3446, 0)),if(G1078='Room Info'!$C$1, INDEX('Room Info'!$A$2:$A3446, MATCH(B1078,'Room Info'!$C$2:$C3446, 0)),if(G1078='Room Info'!$D$1, INDEX('Room Info'!$A$2:$A3446, MATCH(B1078,'Room Info'!$D$2:$D3446, 0)),if(G1078='Room Info'!$E$1, INDEX('Room Info'!$A$2:$A3446, MATCH(B1078,'Room Info'!$E$2:$E3446, 0)),if(G1078='Room Info'!$F$1, INDEX('Room Info'!$A$2:$A3446, MATCH(B1078,'Room Info'!$F$2:$F3446, 0)),if(G1078='Room Info'!$H$1, INDEX('Room Info'!$A$2:$A3446, MATCH(B1078,'Room Info'!$H$2:$H3446, 0)),if(G1078='Room Info'!$G$1, INDEX('Room Info'!$A$2:$A3446, MATCH(B1078,'Room Info'!$G$2:$G3446, 0)))))))))</f>
        <v>overplayKK</v>
      </c>
      <c r="B1078" s="50" t="s">
        <v>208</v>
      </c>
      <c r="C1078" s="82">
        <v>44248.0</v>
      </c>
      <c r="D1078" s="82">
        <v>44275.0</v>
      </c>
      <c r="E1078" s="52">
        <v>44256.0</v>
      </c>
      <c r="F1078" s="53" t="s">
        <v>4</v>
      </c>
      <c r="G1078" s="59" t="s">
        <v>13</v>
      </c>
      <c r="H1078" s="54" t="s">
        <v>59</v>
      </c>
      <c r="I1078" s="54" t="s">
        <v>18</v>
      </c>
      <c r="J1078" s="79">
        <v>20.0</v>
      </c>
      <c r="K1078" s="80">
        <v>49.0</v>
      </c>
      <c r="L1078" s="77">
        <v>380.0</v>
      </c>
      <c r="M1078" s="58">
        <v>69.0</v>
      </c>
      <c r="N1078" s="33">
        <f t="shared" si="155"/>
        <v>980</v>
      </c>
      <c r="O1078" s="50">
        <v>369.0</v>
      </c>
      <c r="P1078" s="34">
        <f t="shared" si="14"/>
        <v>7.530612245</v>
      </c>
      <c r="Q1078" s="60"/>
      <c r="R1078" s="36">
        <f t="shared" si="156"/>
        <v>69</v>
      </c>
      <c r="S1078" s="78">
        <v>-61.0</v>
      </c>
      <c r="T1078" s="37">
        <f t="shared" si="157"/>
        <v>8</v>
      </c>
      <c r="U1078" s="62">
        <v>1.0</v>
      </c>
      <c r="V1078" s="63"/>
      <c r="W1078" s="63"/>
      <c r="X1078" s="83">
        <v>0.22</v>
      </c>
      <c r="Y1078" s="35">
        <f t="shared" si="163"/>
        <v>0</v>
      </c>
      <c r="Z1078" s="40">
        <f t="shared" si="159"/>
        <v>6.24</v>
      </c>
      <c r="AA1078" s="34">
        <f t="shared" si="165"/>
        <v>1.76</v>
      </c>
      <c r="AB1078" s="41">
        <f t="shared" si="161"/>
        <v>0</v>
      </c>
      <c r="AC1078" s="42" t="b">
        <v>1</v>
      </c>
      <c r="AD1078" s="42" t="s">
        <v>138</v>
      </c>
      <c r="AE1078" s="42" t="s">
        <v>138</v>
      </c>
      <c r="AF1078" s="42" t="str">
        <f t="array" ref="AF1078">INDEX('Deal Info'!D:D, MATCH(A1078,'Deal Info'!A:A, 0))</f>
        <v>SF</v>
      </c>
      <c r="AG1078" s="43" t="str">
        <f t="array" ref="AG1078">INDEX('Deal Info'!G:G, MATCH(A1078,'Deal Info'!A:A, 0))</f>
        <v>None</v>
      </c>
    </row>
    <row r="1079" hidden="1">
      <c r="A1079" s="23" t="str">
        <f t="array" ref="A1079">if(G1079='Room Info'!$B$1, INDEX('Room Info'!$A$2:$A3446, MATCH(B1079,'Room Info'!$B$2:$B3446, 0)),if(G1079='Room Info'!$C$1, INDEX('Room Info'!$A$2:$A3446, MATCH(B1079,'Room Info'!$C$2:$C3446, 0)),if(G1079='Room Info'!$D$1, INDEX('Room Info'!$A$2:$A3446, MATCH(B1079,'Room Info'!$D$2:$D3446, 0)),if(G1079='Room Info'!$E$1, INDEX('Room Info'!$A$2:$A3446, MATCH(B1079,'Room Info'!$E$2:$E3446, 0)),if(G1079='Room Info'!$F$1, INDEX('Room Info'!$A$2:$A3446, MATCH(B1079,'Room Info'!$F$2:$F3446, 0)),if(G1079='Room Info'!$H$1, INDEX('Room Info'!$A$2:$A3446, MATCH(B1079,'Room Info'!$H$2:$H3446, 0)),if(G1079='Room Info'!$G$1, INDEX('Room Info'!$A$2:$A3446, MATCH(B1079,'Room Info'!$G$2:$G3446, 0)))))))))</f>
        <v>overplayKK</v>
      </c>
      <c r="B1079" s="50" t="s">
        <v>208</v>
      </c>
      <c r="C1079" s="82">
        <v>44248.0</v>
      </c>
      <c r="D1079" s="82">
        <v>44275.0</v>
      </c>
      <c r="E1079" s="52">
        <v>44256.0</v>
      </c>
      <c r="F1079" s="53" t="s">
        <v>4</v>
      </c>
      <c r="G1079" s="50" t="s">
        <v>13</v>
      </c>
      <c r="H1079" s="54" t="s">
        <v>59</v>
      </c>
      <c r="I1079" s="54" t="s">
        <v>18</v>
      </c>
      <c r="J1079" s="79">
        <v>20.0</v>
      </c>
      <c r="K1079" s="80">
        <v>89.0</v>
      </c>
      <c r="L1079" s="77">
        <v>-20.0</v>
      </c>
      <c r="M1079" s="81">
        <v>126.0</v>
      </c>
      <c r="N1079" s="33">
        <f t="shared" si="155"/>
        <v>1780</v>
      </c>
      <c r="O1079" s="50">
        <v>-2422.0</v>
      </c>
      <c r="P1079" s="34">
        <f t="shared" si="14"/>
        <v>-27.21348315</v>
      </c>
      <c r="Q1079" s="60"/>
      <c r="R1079" s="36">
        <f t="shared" si="156"/>
        <v>126</v>
      </c>
      <c r="S1079" s="78">
        <v>-278.0</v>
      </c>
      <c r="T1079" s="37">
        <f t="shared" si="157"/>
        <v>-152</v>
      </c>
      <c r="U1079" s="62">
        <v>1.0</v>
      </c>
      <c r="V1079" s="63"/>
      <c r="W1079" s="63"/>
      <c r="X1079" s="83">
        <v>0.22</v>
      </c>
      <c r="Y1079" s="35">
        <f t="shared" si="163"/>
        <v>0</v>
      </c>
      <c r="Z1079" s="40">
        <f t="shared" si="159"/>
        <v>-118.56</v>
      </c>
      <c r="AA1079" s="34">
        <f t="shared" si="165"/>
        <v>-33.44</v>
      </c>
      <c r="AB1079" s="41">
        <f t="shared" si="161"/>
        <v>0</v>
      </c>
      <c r="AC1079" s="42" t="b">
        <v>1</v>
      </c>
      <c r="AD1079" s="42" t="s">
        <v>138</v>
      </c>
      <c r="AE1079" s="42" t="s">
        <v>138</v>
      </c>
      <c r="AF1079" s="42" t="str">
        <f t="array" ref="AF1079">INDEX('Deal Info'!D:D, MATCH(A1079,'Deal Info'!A:A, 0))</f>
        <v>SF</v>
      </c>
      <c r="AG1079" s="43" t="str">
        <f t="array" ref="AG1079">INDEX('Deal Info'!G:G, MATCH(A1079,'Deal Info'!A:A, 0))</f>
        <v>None</v>
      </c>
    </row>
    <row r="1080" hidden="1">
      <c r="A1080" s="23" t="str">
        <f t="array" ref="A1080">if(G1080='Room Info'!$B$1, INDEX('Room Info'!$A$2:$A3446, MATCH(B1080,'Room Info'!$B$2:$B3446, 0)),if(G1080='Room Info'!$C$1, INDEX('Room Info'!$A$2:$A3446, MATCH(B1080,'Room Info'!$C$2:$C3446, 0)),if(G1080='Room Info'!$D$1, INDEX('Room Info'!$A$2:$A3446, MATCH(B1080,'Room Info'!$D$2:$D3446, 0)),if(G1080='Room Info'!$E$1, INDEX('Room Info'!$A$2:$A3446, MATCH(B1080,'Room Info'!$E$2:$E3446, 0)),if(G1080='Room Info'!$F$1, INDEX('Room Info'!$A$2:$A3446, MATCH(B1080,'Room Info'!$F$2:$F3446, 0)),if(G1080='Room Info'!$H$1, INDEX('Room Info'!$A$2:$A3446, MATCH(B1080,'Room Info'!$H$2:$H3446, 0)),if(G1080='Room Info'!$G$1, INDEX('Room Info'!$A$2:$A3446, MATCH(B1080,'Room Info'!$G$2:$G3446, 0)))))))))</f>
        <v>overplayKK</v>
      </c>
      <c r="B1080" s="50" t="s">
        <v>208</v>
      </c>
      <c r="C1080" s="82">
        <v>44276.0</v>
      </c>
      <c r="D1080" s="82">
        <v>44306.0</v>
      </c>
      <c r="E1080" s="52">
        <v>44287.0</v>
      </c>
      <c r="F1080" s="53" t="s">
        <v>4</v>
      </c>
      <c r="G1080" s="50" t="s">
        <v>13</v>
      </c>
      <c r="H1080" s="54" t="s">
        <v>45</v>
      </c>
      <c r="I1080" s="54" t="s">
        <v>18</v>
      </c>
      <c r="J1080" s="79">
        <v>10.0</v>
      </c>
      <c r="K1080" s="80">
        <v>4690.0</v>
      </c>
      <c r="L1080" s="77">
        <v>-1660.0</v>
      </c>
      <c r="M1080" s="81">
        <v>2840.0</v>
      </c>
      <c r="N1080" s="33">
        <f t="shared" si="155"/>
        <v>46900</v>
      </c>
      <c r="O1080" s="50">
        <v>30700.0</v>
      </c>
      <c r="P1080" s="34">
        <f t="shared" si="14"/>
        <v>6.545842217</v>
      </c>
      <c r="Q1080" s="60"/>
      <c r="R1080" s="36">
        <f t="shared" si="156"/>
        <v>2840</v>
      </c>
      <c r="S1080" s="78">
        <v>-2702.0</v>
      </c>
      <c r="T1080" s="37">
        <f t="shared" si="157"/>
        <v>138</v>
      </c>
      <c r="U1080" s="62">
        <v>1.0</v>
      </c>
      <c r="V1080" s="63"/>
      <c r="W1080" s="63"/>
      <c r="X1080" s="83">
        <v>0.3</v>
      </c>
      <c r="Y1080" s="35">
        <f t="shared" si="163"/>
        <v>0</v>
      </c>
      <c r="Z1080" s="40">
        <f t="shared" si="159"/>
        <v>96.6</v>
      </c>
      <c r="AA1080" s="34">
        <f t="shared" si="165"/>
        <v>41.4</v>
      </c>
      <c r="AB1080" s="41">
        <f t="shared" si="161"/>
        <v>0</v>
      </c>
      <c r="AC1080" s="42" t="b">
        <v>1</v>
      </c>
      <c r="AD1080" s="42" t="s">
        <v>138</v>
      </c>
      <c r="AE1080" s="42" t="s">
        <v>138</v>
      </c>
      <c r="AF1080" s="42" t="str">
        <f t="array" ref="AF1080">INDEX('Deal Info'!D:D, MATCH(A1080,'Deal Info'!A:A, 0))</f>
        <v>SF</v>
      </c>
      <c r="AG1080" s="43" t="str">
        <f t="array" ref="AG1080">INDEX('Deal Info'!G:G, MATCH(A1080,'Deal Info'!A:A, 0))</f>
        <v>None</v>
      </c>
    </row>
    <row r="1081" hidden="1">
      <c r="A1081" s="23" t="str">
        <f t="array" ref="A1081">if(G1081='Room Info'!$B$1, INDEX('Room Info'!$A$2:$A3446, MATCH(B1081,'Room Info'!$B$2:$B3446, 0)),if(G1081='Room Info'!$C$1, INDEX('Room Info'!$A$2:$A3446, MATCH(B1081,'Room Info'!$C$2:$C3446, 0)),if(G1081='Room Info'!$D$1, INDEX('Room Info'!$A$2:$A3446, MATCH(B1081,'Room Info'!$D$2:$D3446, 0)),if(G1081='Room Info'!$E$1, INDEX('Room Info'!$A$2:$A3446, MATCH(B1081,'Room Info'!$E$2:$E3446, 0)),if(G1081='Room Info'!$F$1, INDEX('Room Info'!$A$2:$A3446, MATCH(B1081,'Room Info'!$F$2:$F3446, 0)),if(G1081='Room Info'!$H$1, INDEX('Room Info'!$A$2:$A3446, MATCH(B1081,'Room Info'!$H$2:$H3446, 0)),if(G1081='Room Info'!$G$1, INDEX('Room Info'!$A$2:$A3446, MATCH(B1081,'Room Info'!$G$2:$G3446, 0)))))))))</f>
        <v>overplayKK</v>
      </c>
      <c r="B1081" s="50" t="s">
        <v>208</v>
      </c>
      <c r="C1081" s="82">
        <v>44276.0</v>
      </c>
      <c r="D1081" s="82">
        <v>44306.0</v>
      </c>
      <c r="E1081" s="52">
        <v>44287.0</v>
      </c>
      <c r="F1081" s="53" t="s">
        <v>4</v>
      </c>
      <c r="G1081" s="50" t="s">
        <v>13</v>
      </c>
      <c r="H1081" s="54" t="s">
        <v>59</v>
      </c>
      <c r="I1081" s="54" t="s">
        <v>18</v>
      </c>
      <c r="J1081" s="79">
        <v>20.0</v>
      </c>
      <c r="K1081" s="80">
        <v>4826.0</v>
      </c>
      <c r="L1081" s="77">
        <v>-9200.0</v>
      </c>
      <c r="M1081" s="81">
        <v>5845.0</v>
      </c>
      <c r="N1081" s="33">
        <f t="shared" si="155"/>
        <v>96520</v>
      </c>
      <c r="O1081" s="50">
        <v>17633.0</v>
      </c>
      <c r="P1081" s="34">
        <f t="shared" si="14"/>
        <v>3.653750518</v>
      </c>
      <c r="Q1081" s="60"/>
      <c r="R1081" s="36">
        <f t="shared" si="156"/>
        <v>5845</v>
      </c>
      <c r="S1081" s="78">
        <v>-6365.0</v>
      </c>
      <c r="T1081" s="37">
        <f t="shared" si="157"/>
        <v>-520</v>
      </c>
      <c r="U1081" s="62">
        <v>1.0</v>
      </c>
      <c r="V1081" s="63"/>
      <c r="W1081" s="63"/>
      <c r="X1081" s="83">
        <v>0.3</v>
      </c>
      <c r="Y1081" s="35">
        <f t="shared" si="163"/>
        <v>0</v>
      </c>
      <c r="Z1081" s="40">
        <f t="shared" si="159"/>
        <v>-364</v>
      </c>
      <c r="AA1081" s="34">
        <f t="shared" si="165"/>
        <v>-156</v>
      </c>
      <c r="AB1081" s="41">
        <f t="shared" si="161"/>
        <v>0</v>
      </c>
      <c r="AC1081" s="42" t="b">
        <v>1</v>
      </c>
      <c r="AD1081" s="42" t="s">
        <v>138</v>
      </c>
      <c r="AE1081" s="42" t="s">
        <v>138</v>
      </c>
      <c r="AF1081" s="42" t="str">
        <f t="array" ref="AF1081">INDEX('Deal Info'!D:D, MATCH(A1081,'Deal Info'!A:A, 0))</f>
        <v>SF</v>
      </c>
      <c r="AG1081" s="43" t="str">
        <f t="array" ref="AG1081">INDEX('Deal Info'!G:G, MATCH(A1081,'Deal Info'!A:A, 0))</f>
        <v>None</v>
      </c>
    </row>
    <row r="1082" hidden="1">
      <c r="A1082" s="23" t="str">
        <f t="array" ref="A1082">if(G1082='Room Info'!$B$1, INDEX('Room Info'!$A$2:$A3446, MATCH(B1082,'Room Info'!$B$2:$B3446, 0)),if(G1082='Room Info'!$C$1, INDEX('Room Info'!$A$2:$A3446, MATCH(B1082,'Room Info'!$C$2:$C3446, 0)),if(G1082='Room Info'!$D$1, INDEX('Room Info'!$A$2:$A3446, MATCH(B1082,'Room Info'!$D$2:$D3446, 0)),if(G1082='Room Info'!$E$1, INDEX('Room Info'!$A$2:$A3446, MATCH(B1082,'Room Info'!$E$2:$E3446, 0)),if(G1082='Room Info'!$F$1, INDEX('Room Info'!$A$2:$A3446, MATCH(B1082,'Room Info'!$F$2:$F3446, 0)),if(G1082='Room Info'!$H$1, INDEX('Room Info'!$A$2:$A3446, MATCH(B1082,'Room Info'!$H$2:$H3446, 0)),if(G1082='Room Info'!$G$1, INDEX('Room Info'!$A$2:$A3446, MATCH(B1082,'Room Info'!$G$2:$G3446, 0)))))))))</f>
        <v>overplayKK</v>
      </c>
      <c r="B1082" s="50" t="s">
        <v>208</v>
      </c>
      <c r="C1082" s="82">
        <v>44307.0</v>
      </c>
      <c r="D1082" s="82">
        <v>44336.0</v>
      </c>
      <c r="E1082" s="52">
        <v>44317.0</v>
      </c>
      <c r="F1082" s="53" t="s">
        <v>4</v>
      </c>
      <c r="G1082" s="50" t="s">
        <v>13</v>
      </c>
      <c r="H1082" s="54" t="s">
        <v>59</v>
      </c>
      <c r="I1082" s="54" t="s">
        <v>18</v>
      </c>
      <c r="J1082" s="79">
        <v>20.0</v>
      </c>
      <c r="K1082" s="80">
        <v>7498.0</v>
      </c>
      <c r="L1082" s="77">
        <v>-11900.0</v>
      </c>
      <c r="M1082" s="81">
        <v>8029.0</v>
      </c>
      <c r="N1082" s="33">
        <f t="shared" si="155"/>
        <v>149960</v>
      </c>
      <c r="O1082" s="50">
        <v>12652.0</v>
      </c>
      <c r="P1082" s="34">
        <f t="shared" si="14"/>
        <v>1.687383302</v>
      </c>
      <c r="Q1082" s="60"/>
      <c r="R1082" s="36">
        <f t="shared" si="156"/>
        <v>8029</v>
      </c>
      <c r="S1082" s="78">
        <v>-10740.0</v>
      </c>
      <c r="T1082" s="37">
        <f t="shared" si="157"/>
        <v>-2711</v>
      </c>
      <c r="U1082" s="62">
        <v>1.0</v>
      </c>
      <c r="V1082" s="63"/>
      <c r="W1082" s="63"/>
      <c r="X1082" s="83">
        <v>0.3</v>
      </c>
      <c r="Y1082" s="35">
        <f t="shared" si="163"/>
        <v>0</v>
      </c>
      <c r="Z1082" s="40">
        <f t="shared" si="159"/>
        <v>-1897.7</v>
      </c>
      <c r="AA1082" s="34">
        <f t="shared" si="165"/>
        <v>-813.3</v>
      </c>
      <c r="AB1082" s="41">
        <f t="shared" si="161"/>
        <v>0</v>
      </c>
      <c r="AC1082" s="42" t="b">
        <v>1</v>
      </c>
      <c r="AD1082" s="42" t="s">
        <v>138</v>
      </c>
      <c r="AE1082" s="42" t="s">
        <v>138</v>
      </c>
      <c r="AF1082" s="42" t="str">
        <f t="array" ref="AF1082">INDEX('Deal Info'!D:D, MATCH(A1082,'Deal Info'!A:A, 0))</f>
        <v>SF</v>
      </c>
      <c r="AG1082" s="43" t="str">
        <f t="array" ref="AG1082">INDEX('Deal Info'!G:G, MATCH(A1082,'Deal Info'!A:A, 0))</f>
        <v>None</v>
      </c>
    </row>
    <row r="1083" hidden="1">
      <c r="A1083" s="23" t="str">
        <f t="array" ref="A1083">if(G1083='Room Info'!$B$1, INDEX('Room Info'!$A$2:$A3446, MATCH(B1083,'Room Info'!$B$2:$B3446, 0)),if(G1083='Room Info'!$C$1, INDEX('Room Info'!$A$2:$A3446, MATCH(B1083,'Room Info'!$C$2:$C3446, 0)),if(G1083='Room Info'!$D$1, INDEX('Room Info'!$A$2:$A3446, MATCH(B1083,'Room Info'!$D$2:$D3446, 0)),if(G1083='Room Info'!$E$1, INDEX('Room Info'!$A$2:$A3446, MATCH(B1083,'Room Info'!$E$2:$E3446, 0)),if(G1083='Room Info'!$F$1, INDEX('Room Info'!$A$2:$A3446, MATCH(B1083,'Room Info'!$F$2:$F3446, 0)),if(G1083='Room Info'!$H$1, INDEX('Room Info'!$A$2:$A3446, MATCH(B1083,'Room Info'!$H$2:$H3446, 0)),if(G1083='Room Info'!$G$1, INDEX('Room Info'!$A$2:$A3446, MATCH(B1083,'Room Info'!$G$2:$G3446, 0)))))))))</f>
        <v>overplayKK</v>
      </c>
      <c r="B1083" s="50" t="s">
        <v>208</v>
      </c>
      <c r="C1083" s="82">
        <v>44307.0</v>
      </c>
      <c r="D1083" s="82">
        <v>44336.0</v>
      </c>
      <c r="E1083" s="52">
        <v>44317.0</v>
      </c>
      <c r="F1083" s="53" t="s">
        <v>4</v>
      </c>
      <c r="G1083" s="50" t="s">
        <v>13</v>
      </c>
      <c r="H1083" s="54" t="s">
        <v>74</v>
      </c>
      <c r="I1083" s="54" t="s">
        <v>18</v>
      </c>
      <c r="J1083" s="79">
        <v>50.0</v>
      </c>
      <c r="K1083" s="80">
        <v>67.0</v>
      </c>
      <c r="L1083" s="77">
        <v>750.0</v>
      </c>
      <c r="M1083" s="81">
        <v>3529.0</v>
      </c>
      <c r="N1083" s="33">
        <f t="shared" si="155"/>
        <v>3350</v>
      </c>
      <c r="O1083" s="50">
        <v>1355.0</v>
      </c>
      <c r="P1083" s="34">
        <f t="shared" si="14"/>
        <v>20.2238806</v>
      </c>
      <c r="Q1083" s="60"/>
      <c r="R1083" s="36">
        <f t="shared" si="156"/>
        <v>3529</v>
      </c>
      <c r="S1083" s="78">
        <v>-61.0</v>
      </c>
      <c r="T1083" s="37">
        <f t="shared" si="157"/>
        <v>3468</v>
      </c>
      <c r="U1083" s="62">
        <v>1.0</v>
      </c>
      <c r="V1083" s="63"/>
      <c r="W1083" s="63"/>
      <c r="X1083" s="83">
        <v>0.3</v>
      </c>
      <c r="Y1083" s="35">
        <f t="shared" si="163"/>
        <v>0</v>
      </c>
      <c r="Z1083" s="40">
        <f t="shared" si="159"/>
        <v>2427.6</v>
      </c>
      <c r="AA1083" s="34">
        <f t="shared" si="165"/>
        <v>1040.4</v>
      </c>
      <c r="AB1083" s="41">
        <f t="shared" si="161"/>
        <v>0</v>
      </c>
      <c r="AC1083" s="42" t="b">
        <v>1</v>
      </c>
      <c r="AD1083" s="42" t="s">
        <v>138</v>
      </c>
      <c r="AE1083" s="42" t="s">
        <v>138</v>
      </c>
      <c r="AF1083" s="42" t="str">
        <f t="array" ref="AF1083">INDEX('Deal Info'!D:D, MATCH(A1083,'Deal Info'!A:A, 0))</f>
        <v>SF</v>
      </c>
      <c r="AG1083" s="43" t="str">
        <f t="array" ref="AG1083">INDEX('Deal Info'!G:G, MATCH(A1083,'Deal Info'!A:A, 0))</f>
        <v>None</v>
      </c>
    </row>
    <row r="1084" hidden="1">
      <c r="A1084" s="23" t="str">
        <f t="array" ref="A1084">if(G1084='Room Info'!$B$1, INDEX('Room Info'!$A$2:$A3446, MATCH(B1084,'Room Info'!$B$2:$B3446, 0)),if(G1084='Room Info'!$C$1, INDEX('Room Info'!$A$2:$A3446, MATCH(B1084,'Room Info'!$C$2:$C3446, 0)),if(G1084='Room Info'!$D$1, INDEX('Room Info'!$A$2:$A3446, MATCH(B1084,'Room Info'!$D$2:$D3446, 0)),if(G1084='Room Info'!$E$1, INDEX('Room Info'!$A$2:$A3446, MATCH(B1084,'Room Info'!$E$2:$E3446, 0)),if(G1084='Room Info'!$F$1, INDEX('Room Info'!$A$2:$A3446, MATCH(B1084,'Room Info'!$F$2:$F3446, 0)),if(G1084='Room Info'!$H$1, INDEX('Room Info'!$A$2:$A3446, MATCH(B1084,'Room Info'!$H$2:$H3446, 0)),if(G1084='Room Info'!$G$1, INDEX('Room Info'!$A$2:$A3446, MATCH(B1084,'Room Info'!$G$2:$G3446, 0)))))))))</f>
        <v>overplayKK</v>
      </c>
      <c r="B1084" s="50" t="s">
        <v>208</v>
      </c>
      <c r="C1084" s="82">
        <v>44337.0</v>
      </c>
      <c r="D1084" s="82">
        <v>44367.0</v>
      </c>
      <c r="E1084" s="52">
        <v>44348.0</v>
      </c>
      <c r="F1084" s="53" t="s">
        <v>4</v>
      </c>
      <c r="G1084" s="50" t="s">
        <v>13</v>
      </c>
      <c r="H1084" s="54" t="s">
        <v>59</v>
      </c>
      <c r="I1084" s="54" t="s">
        <v>18</v>
      </c>
      <c r="J1084" s="79">
        <v>20.0</v>
      </c>
      <c r="K1084" s="80">
        <v>5029.0</v>
      </c>
      <c r="L1084" s="77">
        <v>-3900.0</v>
      </c>
      <c r="M1084" s="81">
        <v>6944.0</v>
      </c>
      <c r="N1084" s="33">
        <f t="shared" si="155"/>
        <v>100580</v>
      </c>
      <c r="O1084" s="50">
        <v>33583.0</v>
      </c>
      <c r="P1084" s="34">
        <f t="shared" si="14"/>
        <v>6.677868363</v>
      </c>
      <c r="Q1084" s="60"/>
      <c r="R1084" s="36">
        <f t="shared" si="156"/>
        <v>6944</v>
      </c>
      <c r="S1084" s="78">
        <v>-5250.0</v>
      </c>
      <c r="T1084" s="37">
        <f t="shared" si="157"/>
        <v>1694</v>
      </c>
      <c r="U1084" s="62">
        <v>1.0</v>
      </c>
      <c r="V1084" s="63"/>
      <c r="W1084" s="63"/>
      <c r="X1084" s="83">
        <v>0.22</v>
      </c>
      <c r="Y1084" s="35">
        <f t="shared" si="163"/>
        <v>0</v>
      </c>
      <c r="Z1084" s="40">
        <f t="shared" si="159"/>
        <v>1321.32</v>
      </c>
      <c r="AA1084" s="34">
        <f t="shared" si="165"/>
        <v>372.68</v>
      </c>
      <c r="AB1084" s="41">
        <f t="shared" si="161"/>
        <v>0</v>
      </c>
      <c r="AC1084" s="42" t="b">
        <v>1</v>
      </c>
      <c r="AD1084" s="42" t="s">
        <v>138</v>
      </c>
      <c r="AE1084" s="42" t="s">
        <v>138</v>
      </c>
      <c r="AF1084" s="42" t="str">
        <f t="array" ref="AF1084">INDEX('Deal Info'!D:D, MATCH(A1084,'Deal Info'!A:A, 0))</f>
        <v>SF</v>
      </c>
      <c r="AG1084" s="43" t="str">
        <f t="array" ref="AG1084">INDEX('Deal Info'!G:G, MATCH(A1084,'Deal Info'!A:A, 0))</f>
        <v>None</v>
      </c>
    </row>
    <row r="1085" hidden="1">
      <c r="A1085" s="23" t="str">
        <f t="array" ref="A1085">if(G1085='Room Info'!$B$1, INDEX('Room Info'!$A$2:$A3446, MATCH(B1085,'Room Info'!$B$2:$B3446, 0)),if(G1085='Room Info'!$C$1, INDEX('Room Info'!$A$2:$A3446, MATCH(B1085,'Room Info'!$C$2:$C3446, 0)),if(G1085='Room Info'!$D$1, INDEX('Room Info'!$A$2:$A3446, MATCH(B1085,'Room Info'!$D$2:$D3446, 0)),if(G1085='Room Info'!$E$1, INDEX('Room Info'!$A$2:$A3446, MATCH(B1085,'Room Info'!$E$2:$E3446, 0)),if(G1085='Room Info'!$F$1, INDEX('Room Info'!$A$2:$A3446, MATCH(B1085,'Room Info'!$F$2:$F3446, 0)),if(G1085='Room Info'!$H$1, INDEX('Room Info'!$A$2:$A3446, MATCH(B1085,'Room Info'!$H$2:$H3446, 0)),if(G1085='Room Info'!$G$1, INDEX('Room Info'!$A$2:$A3446, MATCH(B1085,'Room Info'!$G$2:$G3446, 0)))))))))</f>
        <v>overplayKK</v>
      </c>
      <c r="B1085" s="59" t="s">
        <v>208</v>
      </c>
      <c r="C1085" s="104">
        <v>44337.0</v>
      </c>
      <c r="D1085" s="82">
        <v>44367.0</v>
      </c>
      <c r="E1085" s="52">
        <v>44348.0</v>
      </c>
      <c r="F1085" s="53" t="s">
        <v>4</v>
      </c>
      <c r="G1085" s="59" t="s">
        <v>13</v>
      </c>
      <c r="H1085" s="54" t="s">
        <v>74</v>
      </c>
      <c r="I1085" s="54" t="s">
        <v>18</v>
      </c>
      <c r="J1085" s="55">
        <v>50.0</v>
      </c>
      <c r="K1085" s="56">
        <v>13.0</v>
      </c>
      <c r="L1085" s="57">
        <v>100.0</v>
      </c>
      <c r="M1085" s="58">
        <v>45.0</v>
      </c>
      <c r="N1085" s="33">
        <f t="shared" si="155"/>
        <v>650</v>
      </c>
      <c r="O1085" s="59">
        <v>672.0</v>
      </c>
      <c r="P1085" s="34">
        <f t="shared" si="14"/>
        <v>51.69230769</v>
      </c>
      <c r="Q1085" s="60"/>
      <c r="R1085" s="36">
        <f t="shared" si="156"/>
        <v>45</v>
      </c>
      <c r="S1085" s="61">
        <v>50.0</v>
      </c>
      <c r="T1085" s="37">
        <f t="shared" si="157"/>
        <v>95</v>
      </c>
      <c r="U1085" s="62">
        <v>1.0</v>
      </c>
      <c r="V1085" s="63"/>
      <c r="W1085" s="63"/>
      <c r="X1085" s="83">
        <v>0.22</v>
      </c>
      <c r="Y1085" s="35">
        <f t="shared" si="163"/>
        <v>0</v>
      </c>
      <c r="Z1085" s="40">
        <f t="shared" si="159"/>
        <v>74.1</v>
      </c>
      <c r="AA1085" s="34">
        <f t="shared" si="165"/>
        <v>20.9</v>
      </c>
      <c r="AB1085" s="41">
        <f t="shared" si="161"/>
        <v>0</v>
      </c>
      <c r="AC1085" s="42" t="b">
        <v>1</v>
      </c>
      <c r="AD1085" s="42" t="s">
        <v>138</v>
      </c>
      <c r="AE1085" s="42" t="s">
        <v>138</v>
      </c>
      <c r="AF1085" s="42" t="str">
        <f t="array" ref="AF1085">INDEX('Deal Info'!D:D, MATCH(A1085,'Deal Info'!A:A, 0))</f>
        <v>SF</v>
      </c>
      <c r="AG1085" s="43" t="str">
        <f t="array" ref="AG1085">INDEX('Deal Info'!G:G, MATCH(A1085,'Deal Info'!A:A, 0))</f>
        <v>None</v>
      </c>
    </row>
    <row r="1086" hidden="1">
      <c r="A1086" s="23" t="str">
        <f t="array" ref="A1086">if(G1086='Room Info'!$B$1, INDEX('Room Info'!$A$2:$A3446, MATCH(B1086,'Room Info'!$B$2:$B3446, 0)),if(G1086='Room Info'!$C$1, INDEX('Room Info'!$A$2:$A3446, MATCH(B1086,'Room Info'!$C$2:$C3446, 0)),if(G1086='Room Info'!$D$1, INDEX('Room Info'!$A$2:$A3446, MATCH(B1086,'Room Info'!$D$2:$D3446, 0)),if(G1086='Room Info'!$E$1, INDEX('Room Info'!$A$2:$A3446, MATCH(B1086,'Room Info'!$E$2:$E3446, 0)),if(G1086='Room Info'!$F$1, INDEX('Room Info'!$A$2:$A3446, MATCH(B1086,'Room Info'!$F$2:$F3446, 0)),if(G1086='Room Info'!$H$1, INDEX('Room Info'!$A$2:$A3446, MATCH(B1086,'Room Info'!$H$2:$H3446, 0)),if(G1086='Room Info'!$G$1, INDEX('Room Info'!$A$2:$A3446, MATCH(B1086,'Room Info'!$G$2:$G3446, 0)))))))))</f>
        <v>overplayKK</v>
      </c>
      <c r="B1086" s="59" t="s">
        <v>208</v>
      </c>
      <c r="C1086" s="104">
        <v>44368.0</v>
      </c>
      <c r="D1086" s="82">
        <v>44397.0</v>
      </c>
      <c r="E1086" s="52">
        <v>44378.0</v>
      </c>
      <c r="F1086" s="53" t="s">
        <v>4</v>
      </c>
      <c r="G1086" s="59" t="s">
        <v>13</v>
      </c>
      <c r="H1086" s="54" t="s">
        <v>45</v>
      </c>
      <c r="I1086" s="54" t="s">
        <v>18</v>
      </c>
      <c r="J1086" s="55">
        <v>10.0</v>
      </c>
      <c r="K1086" s="56">
        <v>3263.0</v>
      </c>
      <c r="L1086" s="57">
        <v>-2270.0</v>
      </c>
      <c r="M1086" s="58">
        <v>1641.0</v>
      </c>
      <c r="N1086" s="33">
        <f t="shared" si="155"/>
        <v>32630</v>
      </c>
      <c r="O1086" s="59">
        <v>13784.0</v>
      </c>
      <c r="P1086" s="34">
        <f t="shared" si="14"/>
        <v>4.224333435</v>
      </c>
      <c r="Q1086" s="60"/>
      <c r="R1086" s="36">
        <f t="shared" si="156"/>
        <v>1641</v>
      </c>
      <c r="S1086" s="61">
        <v>-2025.0</v>
      </c>
      <c r="T1086" s="37">
        <f t="shared" si="157"/>
        <v>-384</v>
      </c>
      <c r="U1086" s="62">
        <v>1.0</v>
      </c>
      <c r="V1086" s="63"/>
      <c r="W1086" s="63"/>
      <c r="X1086" s="83">
        <v>0.22</v>
      </c>
      <c r="Y1086" s="35">
        <f t="shared" si="163"/>
        <v>0</v>
      </c>
      <c r="Z1086" s="40">
        <f t="shared" si="159"/>
        <v>-299.52</v>
      </c>
      <c r="AA1086" s="34">
        <f t="shared" si="165"/>
        <v>-84.48</v>
      </c>
      <c r="AB1086" s="41">
        <f t="shared" si="161"/>
        <v>0</v>
      </c>
      <c r="AC1086" s="42" t="b">
        <v>1</v>
      </c>
      <c r="AD1086" s="42" t="s">
        <v>138</v>
      </c>
      <c r="AE1086" s="42" t="s">
        <v>138</v>
      </c>
      <c r="AF1086" s="42" t="str">
        <f t="array" ref="AF1086">INDEX('Deal Info'!D:D, MATCH(A1086,'Deal Info'!A:A, 0))</f>
        <v>SF</v>
      </c>
      <c r="AG1086" s="43" t="str">
        <f t="array" ref="AG1086">INDEX('Deal Info'!G:G, MATCH(A1086,'Deal Info'!A:A, 0))</f>
        <v>None</v>
      </c>
    </row>
    <row r="1087" hidden="1">
      <c r="A1087" s="23" t="str">
        <f t="array" ref="A1087">if(G1087='Room Info'!$B$1, INDEX('Room Info'!$A$2:$A3446, MATCH(B1087,'Room Info'!$B$2:$B3446, 0)),if(G1087='Room Info'!$C$1, INDEX('Room Info'!$A$2:$A3446, MATCH(B1087,'Room Info'!$C$2:$C3446, 0)),if(G1087='Room Info'!$D$1, INDEX('Room Info'!$A$2:$A3446, MATCH(B1087,'Room Info'!$D$2:$D3446, 0)),if(G1087='Room Info'!$E$1, INDEX('Room Info'!$A$2:$A3446, MATCH(B1087,'Room Info'!$E$2:$E3446, 0)),if(G1087='Room Info'!$F$1, INDEX('Room Info'!$A$2:$A3446, MATCH(B1087,'Room Info'!$F$2:$F3446, 0)),if(G1087='Room Info'!$H$1, INDEX('Room Info'!$A$2:$A3446, MATCH(B1087,'Room Info'!$H$2:$H3446, 0)),if(G1087='Room Info'!$G$1, INDEX('Room Info'!$A$2:$A3446, MATCH(B1087,'Room Info'!$G$2:$G3446, 0)))))))))</f>
        <v>overplayKK</v>
      </c>
      <c r="B1087" s="50" t="s">
        <v>208</v>
      </c>
      <c r="C1087" s="51">
        <v>44368.0</v>
      </c>
      <c r="D1087" s="51">
        <v>44397.0</v>
      </c>
      <c r="E1087" s="52">
        <v>44378.0</v>
      </c>
      <c r="F1087" s="53" t="s">
        <v>4</v>
      </c>
      <c r="G1087" s="59" t="s">
        <v>13</v>
      </c>
      <c r="H1087" s="54" t="s">
        <v>59</v>
      </c>
      <c r="I1087" s="54" t="s">
        <v>18</v>
      </c>
      <c r="J1087" s="55">
        <v>20.0</v>
      </c>
      <c r="K1087" s="56">
        <v>889.0</v>
      </c>
      <c r="L1087" s="57">
        <v>-2100.0</v>
      </c>
      <c r="M1087" s="58">
        <v>894.0</v>
      </c>
      <c r="N1087" s="33">
        <f t="shared" si="155"/>
        <v>17780</v>
      </c>
      <c r="O1087" s="59">
        <v>1845.0</v>
      </c>
      <c r="P1087" s="34">
        <f t="shared" si="14"/>
        <v>2.075365579</v>
      </c>
      <c r="Q1087" s="60"/>
      <c r="R1087" s="36">
        <f t="shared" si="156"/>
        <v>894</v>
      </c>
      <c r="S1087" s="61">
        <v>-1213.0</v>
      </c>
      <c r="T1087" s="37">
        <f t="shared" si="157"/>
        <v>-319</v>
      </c>
      <c r="U1087" s="62">
        <v>1.0</v>
      </c>
      <c r="V1087" s="63"/>
      <c r="W1087" s="63"/>
      <c r="X1087" s="83">
        <v>0.22</v>
      </c>
      <c r="Y1087" s="35">
        <f t="shared" si="163"/>
        <v>0</v>
      </c>
      <c r="Z1087" s="40">
        <f t="shared" si="159"/>
        <v>-248.82</v>
      </c>
      <c r="AA1087" s="34">
        <f t="shared" si="165"/>
        <v>-70.18</v>
      </c>
      <c r="AB1087" s="41">
        <f t="shared" si="161"/>
        <v>0</v>
      </c>
      <c r="AC1087" s="42" t="b">
        <v>1</v>
      </c>
      <c r="AD1087" s="42" t="s">
        <v>138</v>
      </c>
      <c r="AE1087" s="42" t="s">
        <v>138</v>
      </c>
      <c r="AF1087" s="42" t="str">
        <f t="array" ref="AF1087">INDEX('Deal Info'!D:D, MATCH(A1087,'Deal Info'!A:A, 0))</f>
        <v>SF</v>
      </c>
      <c r="AG1087" s="43" t="str">
        <f t="array" ref="AG1087">INDEX('Deal Info'!G:G, MATCH(A1087,'Deal Info'!A:A, 0))</f>
        <v>None</v>
      </c>
    </row>
    <row r="1088" hidden="1">
      <c r="A1088" s="23" t="str">
        <f t="array" ref="A1088">if(G1088='Room Info'!$B$1, INDEX('Room Info'!$A$2:$A3446, MATCH(B1088,'Room Info'!$B$2:$B3446, 0)),if(G1088='Room Info'!$C$1, INDEX('Room Info'!$A$2:$A3446, MATCH(B1088,'Room Info'!$C$2:$C3446, 0)),if(G1088='Room Info'!$D$1, INDEX('Room Info'!$A$2:$A3446, MATCH(B1088,'Room Info'!$D$2:$D3446, 0)),if(G1088='Room Info'!$E$1, INDEX('Room Info'!$A$2:$A3446, MATCH(B1088,'Room Info'!$E$2:$E3446, 0)),if(G1088='Room Info'!$F$1, INDEX('Room Info'!$A$2:$A3446, MATCH(B1088,'Room Info'!$F$2:$F3446, 0)),if(G1088='Room Info'!$H$1, INDEX('Room Info'!$A$2:$A3446, MATCH(B1088,'Room Info'!$H$2:$H3446, 0)),if(G1088='Room Info'!$G$1, INDEX('Room Info'!$A$2:$A3446, MATCH(B1088,'Room Info'!$G$2:$G3446, 0)))))))))</f>
        <v>overplayKK</v>
      </c>
      <c r="B1088" s="50" t="s">
        <v>208</v>
      </c>
      <c r="C1088" s="51">
        <v>44368.0</v>
      </c>
      <c r="D1088" s="51">
        <v>44397.0</v>
      </c>
      <c r="E1088" s="52">
        <v>44378.0</v>
      </c>
      <c r="F1088" s="53" t="s">
        <v>4</v>
      </c>
      <c r="G1088" s="59" t="s">
        <v>13</v>
      </c>
      <c r="H1088" s="54" t="s">
        <v>74</v>
      </c>
      <c r="I1088" s="54" t="s">
        <v>18</v>
      </c>
      <c r="J1088" s="55">
        <v>50.0</v>
      </c>
      <c r="K1088" s="56">
        <v>6.0</v>
      </c>
      <c r="L1088" s="57">
        <v>-150.0</v>
      </c>
      <c r="M1088" s="58">
        <v>15.0</v>
      </c>
      <c r="N1088" s="33">
        <f t="shared" si="155"/>
        <v>300</v>
      </c>
      <c r="O1088" s="59">
        <v>-348.0</v>
      </c>
      <c r="P1088" s="34">
        <f t="shared" si="14"/>
        <v>-58</v>
      </c>
      <c r="Q1088" s="60"/>
      <c r="R1088" s="36">
        <f t="shared" si="156"/>
        <v>15</v>
      </c>
      <c r="S1088" s="61">
        <v>-72.0</v>
      </c>
      <c r="T1088" s="37">
        <f t="shared" si="157"/>
        <v>-57</v>
      </c>
      <c r="U1088" s="62">
        <v>1.0</v>
      </c>
      <c r="V1088" s="63"/>
      <c r="W1088" s="63"/>
      <c r="X1088" s="83">
        <v>0.22</v>
      </c>
      <c r="Y1088" s="35">
        <f t="shared" si="163"/>
        <v>0</v>
      </c>
      <c r="Z1088" s="40">
        <f t="shared" si="159"/>
        <v>-44.46</v>
      </c>
      <c r="AA1088" s="34">
        <f t="shared" si="165"/>
        <v>-12.54</v>
      </c>
      <c r="AB1088" s="41">
        <f t="shared" si="161"/>
        <v>0</v>
      </c>
      <c r="AC1088" s="42" t="b">
        <v>1</v>
      </c>
      <c r="AD1088" s="42" t="s">
        <v>138</v>
      </c>
      <c r="AE1088" s="42" t="s">
        <v>138</v>
      </c>
      <c r="AF1088" s="42" t="str">
        <f t="array" ref="AF1088">INDEX('Deal Info'!D:D, MATCH(A1088,'Deal Info'!A:A, 0))</f>
        <v>SF</v>
      </c>
      <c r="AG1088" s="43" t="str">
        <f t="array" ref="AG1088">INDEX('Deal Info'!G:G, MATCH(A1088,'Deal Info'!A:A, 0))</f>
        <v>None</v>
      </c>
    </row>
    <row r="1089" hidden="1">
      <c r="A1089" s="23" t="str">
        <f t="array" ref="A1089">if(G1089='Room Info'!$B$1, INDEX('Room Info'!$A$2:$A3446, MATCH(B1089,'Room Info'!$B$2:$B3446, 0)),if(G1089='Room Info'!$C$1, INDEX('Room Info'!$A$2:$A3446, MATCH(B1089,'Room Info'!$C$2:$C3446, 0)),if(G1089='Room Info'!$D$1, INDEX('Room Info'!$A$2:$A3446, MATCH(B1089,'Room Info'!$D$2:$D3446, 0)),if(G1089='Room Info'!$E$1, INDEX('Room Info'!$A$2:$A3446, MATCH(B1089,'Room Info'!$E$2:$E3446, 0)),if(G1089='Room Info'!$F$1, INDEX('Room Info'!$A$2:$A3446, MATCH(B1089,'Room Info'!$F$2:$F3446, 0)),if(G1089='Room Info'!$H$1, INDEX('Room Info'!$A$2:$A3446, MATCH(B1089,'Room Info'!$H$2:$H3446, 0)),if(G1089='Room Info'!$G$1, INDEX('Room Info'!$A$2:$A3446, MATCH(B1089,'Room Info'!$G$2:$G3446, 0)))))))))</f>
        <v>overplayKK</v>
      </c>
      <c r="B1089" s="50" t="s">
        <v>208</v>
      </c>
      <c r="C1089" s="82">
        <v>44398.0</v>
      </c>
      <c r="D1089" s="82">
        <v>44428.0</v>
      </c>
      <c r="E1089" s="52">
        <v>44409.0</v>
      </c>
      <c r="F1089" s="53" t="s">
        <v>4</v>
      </c>
      <c r="G1089" s="50" t="s">
        <v>13</v>
      </c>
      <c r="H1089" s="54" t="s">
        <v>32</v>
      </c>
      <c r="I1089" s="54" t="s">
        <v>18</v>
      </c>
      <c r="J1089" s="79">
        <v>3.0</v>
      </c>
      <c r="K1089" s="80">
        <v>845.0</v>
      </c>
      <c r="L1089" s="77">
        <v>171.0</v>
      </c>
      <c r="M1089" s="81">
        <v>66.0</v>
      </c>
      <c r="N1089" s="33">
        <f t="shared" si="155"/>
        <v>2535</v>
      </c>
      <c r="O1089" s="50">
        <v>25106.0</v>
      </c>
      <c r="P1089" s="34">
        <f t="shared" si="14"/>
        <v>29.7112426</v>
      </c>
      <c r="Q1089" s="60"/>
      <c r="R1089" s="36">
        <f t="shared" si="156"/>
        <v>66</v>
      </c>
      <c r="S1089" s="78">
        <v>23.0</v>
      </c>
      <c r="T1089" s="37">
        <f t="shared" si="157"/>
        <v>89</v>
      </c>
      <c r="U1089" s="62">
        <v>1.0</v>
      </c>
      <c r="V1089" s="63"/>
      <c r="W1089" s="63"/>
      <c r="X1089" s="83">
        <v>0.22</v>
      </c>
      <c r="Y1089" s="35">
        <f t="shared" si="163"/>
        <v>0</v>
      </c>
      <c r="Z1089" s="40">
        <f t="shared" si="159"/>
        <v>69.42</v>
      </c>
      <c r="AA1089" s="34">
        <f t="shared" si="165"/>
        <v>19.58</v>
      </c>
      <c r="AB1089" s="41">
        <f t="shared" si="161"/>
        <v>0</v>
      </c>
      <c r="AC1089" s="42" t="b">
        <v>1</v>
      </c>
      <c r="AD1089" s="42" t="s">
        <v>138</v>
      </c>
      <c r="AE1089" s="42" t="s">
        <v>138</v>
      </c>
      <c r="AF1089" s="42" t="str">
        <f t="array" ref="AF1089">INDEX('Deal Info'!D:D, MATCH(A1089,'Deal Info'!A:A, 0))</f>
        <v>SF</v>
      </c>
      <c r="AG1089" s="43" t="str">
        <f t="array" ref="AG1089">INDEX('Deal Info'!G:G, MATCH(A1089,'Deal Info'!A:A, 0))</f>
        <v>None</v>
      </c>
    </row>
    <row r="1090" hidden="1">
      <c r="A1090" s="23" t="str">
        <f t="array" ref="A1090">if(G1090='Room Info'!$B$1, INDEX('Room Info'!$A$2:$A3446, MATCH(B1090,'Room Info'!$B$2:$B3446, 0)),if(G1090='Room Info'!$C$1, INDEX('Room Info'!$A$2:$A3446, MATCH(B1090,'Room Info'!$C$2:$C3446, 0)),if(G1090='Room Info'!$D$1, INDEX('Room Info'!$A$2:$A3446, MATCH(B1090,'Room Info'!$D$2:$D3446, 0)),if(G1090='Room Info'!$E$1, INDEX('Room Info'!$A$2:$A3446, MATCH(B1090,'Room Info'!$E$2:$E3446, 0)),if(G1090='Room Info'!$F$1, INDEX('Room Info'!$A$2:$A3446, MATCH(B1090,'Room Info'!$F$2:$F3446, 0)),if(G1090='Room Info'!$H$1, INDEX('Room Info'!$A$2:$A3446, MATCH(B1090,'Room Info'!$H$2:$H3446, 0)),if(G1090='Room Info'!$G$1, INDEX('Room Info'!$A$2:$A3446, MATCH(B1090,'Room Info'!$G$2:$G3446, 0)))))))))</f>
        <v>overplayKK</v>
      </c>
      <c r="B1090" s="59" t="s">
        <v>208</v>
      </c>
      <c r="C1090" s="51">
        <v>44398.0</v>
      </c>
      <c r="D1090" s="51">
        <v>44428.0</v>
      </c>
      <c r="E1090" s="52">
        <v>44409.0</v>
      </c>
      <c r="F1090" s="50" t="s">
        <v>4</v>
      </c>
      <c r="G1090" s="59" t="s">
        <v>13</v>
      </c>
      <c r="H1090" s="54" t="s">
        <v>34</v>
      </c>
      <c r="I1090" s="54" t="s">
        <v>18</v>
      </c>
      <c r="J1090" s="79">
        <v>5.0</v>
      </c>
      <c r="K1090" s="80">
        <v>5525.0</v>
      </c>
      <c r="L1090" s="77">
        <v>-685.0</v>
      </c>
      <c r="M1090" s="58">
        <v>715.0</v>
      </c>
      <c r="N1090" s="33">
        <f t="shared" si="155"/>
        <v>27625</v>
      </c>
      <c r="O1090" s="50">
        <v>84365.0</v>
      </c>
      <c r="P1090" s="34">
        <f t="shared" si="14"/>
        <v>15.26968326</v>
      </c>
      <c r="Q1090" s="60"/>
      <c r="R1090" s="36">
        <f t="shared" si="156"/>
        <v>715</v>
      </c>
      <c r="S1090" s="78">
        <v>-904.0</v>
      </c>
      <c r="T1090" s="37">
        <f t="shared" si="157"/>
        <v>-189</v>
      </c>
      <c r="U1090" s="62">
        <v>1.0</v>
      </c>
      <c r="V1090" s="63"/>
      <c r="W1090" s="63"/>
      <c r="X1090" s="83">
        <v>0.22</v>
      </c>
      <c r="Y1090" s="35">
        <f t="shared" si="163"/>
        <v>0</v>
      </c>
      <c r="Z1090" s="40">
        <f t="shared" si="159"/>
        <v>-147.42</v>
      </c>
      <c r="AA1090" s="34">
        <f t="shared" si="165"/>
        <v>-41.58</v>
      </c>
      <c r="AB1090" s="41">
        <f t="shared" si="161"/>
        <v>0</v>
      </c>
      <c r="AC1090" s="42" t="b">
        <v>1</v>
      </c>
      <c r="AD1090" s="42" t="s">
        <v>138</v>
      </c>
      <c r="AE1090" s="42" t="s">
        <v>138</v>
      </c>
      <c r="AF1090" s="42" t="str">
        <f t="array" ref="AF1090">INDEX('Deal Info'!D:D, MATCH(A1090,'Deal Info'!A:A, 0))</f>
        <v>SF</v>
      </c>
      <c r="AG1090" s="43" t="str">
        <f t="array" ref="AG1090">INDEX('Deal Info'!G:G, MATCH(A1090,'Deal Info'!A:A, 0))</f>
        <v>None</v>
      </c>
    </row>
    <row r="1091" hidden="1">
      <c r="A1091" s="23" t="str">
        <f t="array" ref="A1091">if(G1091='Room Info'!$B$1, INDEX('Room Info'!$A$2:$A3446, MATCH(B1091,'Room Info'!$B$2:$B3446, 0)),if(G1091='Room Info'!$C$1, INDEX('Room Info'!$A$2:$A3446, MATCH(B1091,'Room Info'!$C$2:$C3446, 0)),if(G1091='Room Info'!$D$1, INDEX('Room Info'!$A$2:$A3446, MATCH(B1091,'Room Info'!$D$2:$D3446, 0)),if(G1091='Room Info'!$E$1, INDEX('Room Info'!$A$2:$A3446, MATCH(B1091,'Room Info'!$E$2:$E3446, 0)),if(G1091='Room Info'!$F$1, INDEX('Room Info'!$A$2:$A3446, MATCH(B1091,'Room Info'!$F$2:$F3446, 0)),if(G1091='Room Info'!$H$1, INDEX('Room Info'!$A$2:$A3446, MATCH(B1091,'Room Info'!$H$2:$H3446, 0)),if(G1091='Room Info'!$G$1, INDEX('Room Info'!$A$2:$A3446, MATCH(B1091,'Room Info'!$G$2:$G3446, 0)))))))))</f>
        <v>overplayKK</v>
      </c>
      <c r="B1091" s="59" t="s">
        <v>208</v>
      </c>
      <c r="C1091" s="51">
        <v>44398.0</v>
      </c>
      <c r="D1091" s="51">
        <v>44428.0</v>
      </c>
      <c r="E1091" s="52">
        <v>44409.0</v>
      </c>
      <c r="F1091" s="50" t="s">
        <v>4</v>
      </c>
      <c r="G1091" s="59" t="s">
        <v>13</v>
      </c>
      <c r="H1091" s="54" t="s">
        <v>45</v>
      </c>
      <c r="I1091" s="54" t="s">
        <v>18</v>
      </c>
      <c r="J1091" s="79">
        <v>10.0</v>
      </c>
      <c r="K1091" s="80">
        <v>1008.0</v>
      </c>
      <c r="L1091" s="77">
        <v>-30.0</v>
      </c>
      <c r="M1091" s="58">
        <v>261.0</v>
      </c>
      <c r="N1091" s="33">
        <f t="shared" si="155"/>
        <v>10080</v>
      </c>
      <c r="O1091" s="50">
        <v>18108.0</v>
      </c>
      <c r="P1091" s="34">
        <f t="shared" si="14"/>
        <v>17.96428571</v>
      </c>
      <c r="Q1091" s="60"/>
      <c r="R1091" s="36">
        <f t="shared" si="156"/>
        <v>261</v>
      </c>
      <c r="S1091" s="78">
        <v>-248.0</v>
      </c>
      <c r="T1091" s="37">
        <f t="shared" si="157"/>
        <v>13</v>
      </c>
      <c r="U1091" s="62">
        <v>1.0</v>
      </c>
      <c r="V1091" s="63"/>
      <c r="W1091" s="63"/>
      <c r="X1091" s="83">
        <v>0.22</v>
      </c>
      <c r="Y1091" s="35">
        <f t="shared" si="163"/>
        <v>0</v>
      </c>
      <c r="Z1091" s="40">
        <f t="shared" si="159"/>
        <v>10.14</v>
      </c>
      <c r="AA1091" s="34">
        <f t="shared" si="165"/>
        <v>2.86</v>
      </c>
      <c r="AB1091" s="41">
        <f t="shared" si="161"/>
        <v>0</v>
      </c>
      <c r="AC1091" s="42" t="b">
        <v>1</v>
      </c>
      <c r="AD1091" s="42" t="s">
        <v>138</v>
      </c>
      <c r="AE1091" s="42" t="s">
        <v>138</v>
      </c>
      <c r="AF1091" s="42" t="str">
        <f t="array" ref="AF1091">INDEX('Deal Info'!D:D, MATCH(A1091,'Deal Info'!A:A, 0))</f>
        <v>SF</v>
      </c>
      <c r="AG1091" s="43" t="str">
        <f t="array" ref="AG1091">INDEX('Deal Info'!G:G, MATCH(A1091,'Deal Info'!A:A, 0))</f>
        <v>None</v>
      </c>
    </row>
    <row r="1092" hidden="1">
      <c r="A1092" s="23" t="str">
        <f t="array" ref="A1092">if(G1092='Room Info'!$B$1, INDEX('Room Info'!$A$2:$A3446, MATCH(B1092,'Room Info'!$B$2:$B3446, 0)),if(G1092='Room Info'!$C$1, INDEX('Room Info'!$A$2:$A3446, MATCH(B1092,'Room Info'!$C$2:$C3446, 0)),if(G1092='Room Info'!$D$1, INDEX('Room Info'!$A$2:$A3446, MATCH(B1092,'Room Info'!$D$2:$D3446, 0)),if(G1092='Room Info'!$E$1, INDEX('Room Info'!$A$2:$A3446, MATCH(B1092,'Room Info'!$E$2:$E3446, 0)),if(G1092='Room Info'!$F$1, INDEX('Room Info'!$A$2:$A3446, MATCH(B1092,'Room Info'!$F$2:$F3446, 0)),if(G1092='Room Info'!$H$1, INDEX('Room Info'!$A$2:$A3446, MATCH(B1092,'Room Info'!$H$2:$H3446, 0)),if(G1092='Room Info'!$G$1, INDEX('Room Info'!$A$2:$A3446, MATCH(B1092,'Room Info'!$G$2:$G3446, 0)))))))))</f>
        <v>overplayKK</v>
      </c>
      <c r="B1092" s="50" t="s">
        <v>208</v>
      </c>
      <c r="C1092" s="82">
        <v>44398.0</v>
      </c>
      <c r="D1092" s="51">
        <v>44428.0</v>
      </c>
      <c r="E1092" s="52">
        <v>44409.0</v>
      </c>
      <c r="F1092" s="53" t="s">
        <v>4</v>
      </c>
      <c r="G1092" s="59" t="s">
        <v>13</v>
      </c>
      <c r="H1092" s="54" t="s">
        <v>59</v>
      </c>
      <c r="I1092" s="54" t="s">
        <v>18</v>
      </c>
      <c r="J1092" s="79">
        <v>20.0</v>
      </c>
      <c r="K1092" s="80">
        <v>2.0</v>
      </c>
      <c r="L1092" s="77">
        <v>-40.0</v>
      </c>
      <c r="M1092" s="58">
        <v>1.0</v>
      </c>
      <c r="N1092" s="33">
        <f t="shared" si="155"/>
        <v>40</v>
      </c>
      <c r="O1092" s="50">
        <v>-205.0</v>
      </c>
      <c r="P1092" s="34">
        <f t="shared" si="14"/>
        <v>-102.5</v>
      </c>
      <c r="Q1092" s="60"/>
      <c r="R1092" s="36">
        <f t="shared" si="156"/>
        <v>1</v>
      </c>
      <c r="S1092" s="78">
        <v>-15.0</v>
      </c>
      <c r="T1092" s="37">
        <f t="shared" si="157"/>
        <v>-14</v>
      </c>
      <c r="U1092" s="62">
        <v>1.0</v>
      </c>
      <c r="V1092" s="63"/>
      <c r="W1092" s="63"/>
      <c r="X1092" s="83">
        <v>0.22</v>
      </c>
      <c r="Y1092" s="35">
        <f t="shared" si="163"/>
        <v>0</v>
      </c>
      <c r="Z1092" s="40">
        <f t="shared" si="159"/>
        <v>-10.92</v>
      </c>
      <c r="AA1092" s="34">
        <f t="shared" si="165"/>
        <v>-3.08</v>
      </c>
      <c r="AB1092" s="41">
        <f t="shared" si="161"/>
        <v>0</v>
      </c>
      <c r="AC1092" s="42" t="b">
        <v>1</v>
      </c>
      <c r="AD1092" s="42" t="s">
        <v>138</v>
      </c>
      <c r="AE1092" s="42" t="s">
        <v>138</v>
      </c>
      <c r="AF1092" s="42" t="str">
        <f t="array" ref="AF1092">INDEX('Deal Info'!D:D, MATCH(A1092,'Deal Info'!A:A, 0))</f>
        <v>SF</v>
      </c>
      <c r="AG1092" s="43" t="str">
        <f t="array" ref="AG1092">INDEX('Deal Info'!G:G, MATCH(A1092,'Deal Info'!A:A, 0))</f>
        <v>None</v>
      </c>
    </row>
    <row r="1093" hidden="1">
      <c r="A1093" s="23" t="str">
        <f t="array" ref="A1093">if(G1093='Room Info'!$B$1, INDEX('Room Info'!$A$2:$A3446, MATCH(B1093,'Room Info'!$B$2:$B3446, 0)),if(G1093='Room Info'!$C$1, INDEX('Room Info'!$A$2:$A3446, MATCH(B1093,'Room Info'!$C$2:$C3446, 0)),if(G1093='Room Info'!$D$1, INDEX('Room Info'!$A$2:$A3446, MATCH(B1093,'Room Info'!$D$2:$D3446, 0)),if(G1093='Room Info'!$E$1, INDEX('Room Info'!$A$2:$A3446, MATCH(B1093,'Room Info'!$E$2:$E3446, 0)),if(G1093='Room Info'!$F$1, INDEX('Room Info'!$A$2:$A3446, MATCH(B1093,'Room Info'!$F$2:$F3446, 0)),if(G1093='Room Info'!$H$1, INDEX('Room Info'!$A$2:$A3446, MATCH(B1093,'Room Info'!$H$2:$H3446, 0)),if(G1093='Room Info'!$G$1, INDEX('Room Info'!$A$2:$A3446, MATCH(B1093,'Room Info'!$G$2:$G3446, 0)))))))))</f>
        <v>overplayKK</v>
      </c>
      <c r="B1093" s="50" t="s">
        <v>208</v>
      </c>
      <c r="C1093" s="82">
        <v>44429.0</v>
      </c>
      <c r="D1093" s="51">
        <v>44459.0</v>
      </c>
      <c r="E1093" s="52">
        <v>44440.0</v>
      </c>
      <c r="F1093" s="53" t="s">
        <v>4</v>
      </c>
      <c r="G1093" s="59" t="s">
        <v>13</v>
      </c>
      <c r="H1093" s="54" t="s">
        <v>34</v>
      </c>
      <c r="I1093" s="54" t="s">
        <v>18</v>
      </c>
      <c r="J1093" s="79">
        <v>5.0</v>
      </c>
      <c r="K1093" s="80">
        <v>15333.0</v>
      </c>
      <c r="L1093" s="77">
        <v>-920.0</v>
      </c>
      <c r="M1093" s="58">
        <v>4768.0</v>
      </c>
      <c r="N1093" s="33">
        <f t="shared" si="155"/>
        <v>76665</v>
      </c>
      <c r="O1093" s="50">
        <v>252465.0</v>
      </c>
      <c r="P1093" s="34">
        <f t="shared" si="14"/>
        <v>16.46546664</v>
      </c>
      <c r="Q1093" s="60"/>
      <c r="R1093" s="36">
        <f t="shared" si="156"/>
        <v>4768</v>
      </c>
      <c r="S1093" s="78">
        <v>-2154.0</v>
      </c>
      <c r="T1093" s="37">
        <f t="shared" si="157"/>
        <v>2614</v>
      </c>
      <c r="U1093" s="62">
        <v>1.0</v>
      </c>
      <c r="V1093" s="63"/>
      <c r="W1093" s="63"/>
      <c r="X1093" s="83">
        <v>0.22</v>
      </c>
      <c r="Y1093" s="35">
        <f t="shared" si="163"/>
        <v>0</v>
      </c>
      <c r="Z1093" s="40">
        <f t="shared" si="159"/>
        <v>2038.92</v>
      </c>
      <c r="AA1093" s="34">
        <f t="shared" si="165"/>
        <v>575.08</v>
      </c>
      <c r="AB1093" s="41">
        <f t="shared" si="161"/>
        <v>0</v>
      </c>
      <c r="AC1093" s="42" t="b">
        <v>1</v>
      </c>
      <c r="AD1093" s="42" t="s">
        <v>138</v>
      </c>
      <c r="AE1093" s="42" t="s">
        <v>138</v>
      </c>
      <c r="AF1093" s="42" t="str">
        <f t="array" ref="AF1093">INDEX('Deal Info'!D:D, MATCH(A1093,'Deal Info'!A:A, 0))</f>
        <v>SF</v>
      </c>
      <c r="AG1093" s="43" t="str">
        <f t="array" ref="AG1093">INDEX('Deal Info'!G:G, MATCH(A1093,'Deal Info'!A:A, 0))</f>
        <v>None</v>
      </c>
    </row>
    <row r="1094" hidden="1">
      <c r="A1094" s="23" t="str">
        <f t="array" ref="A1094">if(G1094='Room Info'!$B$1, INDEX('Room Info'!$A$2:$A3446, MATCH(B1094,'Room Info'!$B$2:$B3446, 0)),if(G1094='Room Info'!$C$1, INDEX('Room Info'!$A$2:$A3446, MATCH(B1094,'Room Info'!$C$2:$C3446, 0)),if(G1094='Room Info'!$D$1, INDEX('Room Info'!$A$2:$A3446, MATCH(B1094,'Room Info'!$D$2:$D3446, 0)),if(G1094='Room Info'!$E$1, INDEX('Room Info'!$A$2:$A3446, MATCH(B1094,'Room Info'!$E$2:$E3446, 0)),if(G1094='Room Info'!$F$1, INDEX('Room Info'!$A$2:$A3446, MATCH(B1094,'Room Info'!$F$2:$F3446, 0)),if(G1094='Room Info'!$H$1, INDEX('Room Info'!$A$2:$A3446, MATCH(B1094,'Room Info'!$H$2:$H3446, 0)),if(G1094='Room Info'!$G$1, INDEX('Room Info'!$A$2:$A3446, MATCH(B1094,'Room Info'!$G$2:$G3446, 0)))))))))</f>
        <v>overplayKK</v>
      </c>
      <c r="B1094" s="50" t="s">
        <v>208</v>
      </c>
      <c r="C1094" s="82">
        <v>44460.0</v>
      </c>
      <c r="D1094" s="51">
        <v>44489.0</v>
      </c>
      <c r="E1094" s="52">
        <v>44470.0</v>
      </c>
      <c r="F1094" s="53" t="s">
        <v>4</v>
      </c>
      <c r="G1094" s="50" t="s">
        <v>13</v>
      </c>
      <c r="H1094" s="54" t="s">
        <v>34</v>
      </c>
      <c r="I1094" s="54" t="s">
        <v>18</v>
      </c>
      <c r="J1094" s="79">
        <v>5.0</v>
      </c>
      <c r="K1094" s="80">
        <v>1942.0</v>
      </c>
      <c r="L1094" s="77">
        <v>-165.0</v>
      </c>
      <c r="M1094" s="81">
        <v>1705.0</v>
      </c>
      <c r="N1094" s="33">
        <f t="shared" si="155"/>
        <v>9710</v>
      </c>
      <c r="O1094" s="50">
        <v>48550.0</v>
      </c>
      <c r="P1094" s="34">
        <f t="shared" si="14"/>
        <v>25</v>
      </c>
      <c r="Q1094" s="60"/>
      <c r="R1094" s="36">
        <f t="shared" si="156"/>
        <v>1705</v>
      </c>
      <c r="S1094" s="78">
        <v>-35.0</v>
      </c>
      <c r="T1094" s="37">
        <f t="shared" si="157"/>
        <v>1670</v>
      </c>
      <c r="U1094" s="62">
        <v>1.0</v>
      </c>
      <c r="V1094" s="63"/>
      <c r="W1094" s="63"/>
      <c r="X1094" s="83">
        <v>0.22</v>
      </c>
      <c r="Y1094" s="35">
        <f t="shared" si="163"/>
        <v>0</v>
      </c>
      <c r="Z1094" s="40">
        <f t="shared" si="159"/>
        <v>1302.6</v>
      </c>
      <c r="AA1094" s="34">
        <f t="shared" si="165"/>
        <v>367.4</v>
      </c>
      <c r="AB1094" s="41">
        <f t="shared" si="161"/>
        <v>0</v>
      </c>
      <c r="AC1094" s="42" t="b">
        <v>1</v>
      </c>
      <c r="AD1094" s="42" t="s">
        <v>138</v>
      </c>
      <c r="AE1094" s="42" t="s">
        <v>138</v>
      </c>
      <c r="AF1094" s="42" t="str">
        <f t="array" ref="AF1094">INDEX('Deal Info'!D:D, MATCH(A1094,'Deal Info'!A:A, 0))</f>
        <v>SF</v>
      </c>
      <c r="AG1094" s="43" t="str">
        <f t="array" ref="AG1094">INDEX('Deal Info'!G:G, MATCH(A1094,'Deal Info'!A:A, 0))</f>
        <v>None</v>
      </c>
    </row>
    <row r="1095" hidden="1">
      <c r="A1095" s="23" t="str">
        <f t="array" ref="A1095">if(G1095='Room Info'!$B$1, INDEX('Room Info'!$A$2:$A3446, MATCH(B1095,'Room Info'!$B$2:$B3446, 0)),if(G1095='Room Info'!$C$1, INDEX('Room Info'!$A$2:$A3446, MATCH(B1095,'Room Info'!$C$2:$C3446, 0)),if(G1095='Room Info'!$D$1, INDEX('Room Info'!$A$2:$A3446, MATCH(B1095,'Room Info'!$D$2:$D3446, 0)),if(G1095='Room Info'!$E$1, INDEX('Room Info'!$A$2:$A3446, MATCH(B1095,'Room Info'!$E$2:$E3446, 0)),if(G1095='Room Info'!$F$1, INDEX('Room Info'!$A$2:$A3446, MATCH(B1095,'Room Info'!$F$2:$F3446, 0)),if(G1095='Room Info'!$H$1, INDEX('Room Info'!$A$2:$A3446, MATCH(B1095,'Room Info'!$H$2:$H3446, 0)),if(G1095='Room Info'!$G$1, INDEX('Room Info'!$A$2:$A3446, MATCH(B1095,'Room Info'!$G$2:$G3446, 0)))))))))</f>
        <v>overplayKK</v>
      </c>
      <c r="B1095" s="50" t="s">
        <v>208</v>
      </c>
      <c r="C1095" s="51">
        <v>44460.0</v>
      </c>
      <c r="D1095" s="51">
        <v>44489.0</v>
      </c>
      <c r="E1095" s="52">
        <v>44470.0</v>
      </c>
      <c r="F1095" s="53" t="s">
        <v>4</v>
      </c>
      <c r="G1095" s="59" t="s">
        <v>13</v>
      </c>
      <c r="H1095" s="54" t="s">
        <v>45</v>
      </c>
      <c r="I1095" s="54" t="s">
        <v>18</v>
      </c>
      <c r="J1095" s="55">
        <v>10.0</v>
      </c>
      <c r="K1095" s="56">
        <v>3690.0</v>
      </c>
      <c r="L1095" s="57">
        <v>-1960.0</v>
      </c>
      <c r="M1095" s="58">
        <v>935.0</v>
      </c>
      <c r="N1095" s="33">
        <f t="shared" si="155"/>
        <v>36900</v>
      </c>
      <c r="O1095" s="59">
        <v>39159.0</v>
      </c>
      <c r="P1095" s="34">
        <f t="shared" si="14"/>
        <v>10.61219512</v>
      </c>
      <c r="Q1095" s="60"/>
      <c r="R1095" s="36">
        <f t="shared" si="156"/>
        <v>935</v>
      </c>
      <c r="S1095" s="61">
        <v>-1585.0</v>
      </c>
      <c r="T1095" s="37">
        <f t="shared" si="157"/>
        <v>-650</v>
      </c>
      <c r="U1095" s="62">
        <v>1.0</v>
      </c>
      <c r="V1095" s="63"/>
      <c r="W1095" s="63"/>
      <c r="X1095" s="83">
        <v>0.22</v>
      </c>
      <c r="Y1095" s="35">
        <f t="shared" si="163"/>
        <v>0</v>
      </c>
      <c r="Z1095" s="40">
        <f t="shared" si="159"/>
        <v>-507</v>
      </c>
      <c r="AA1095" s="34">
        <f t="shared" si="165"/>
        <v>-143</v>
      </c>
      <c r="AB1095" s="41">
        <f t="shared" si="161"/>
        <v>0</v>
      </c>
      <c r="AC1095" s="42" t="b">
        <v>1</v>
      </c>
      <c r="AD1095" s="42" t="s">
        <v>138</v>
      </c>
      <c r="AE1095" s="42" t="s">
        <v>138</v>
      </c>
      <c r="AF1095" s="42" t="str">
        <f t="array" ref="AF1095">INDEX('Deal Info'!D:D, MATCH(A1095,'Deal Info'!A:A, 0))</f>
        <v>SF</v>
      </c>
      <c r="AG1095" s="43" t="str">
        <f t="array" ref="AG1095">INDEX('Deal Info'!G:G, MATCH(A1095,'Deal Info'!A:A, 0))</f>
        <v>None</v>
      </c>
    </row>
    <row r="1096" hidden="1">
      <c r="A1096" s="23" t="str">
        <f t="array" ref="A1096">if(G1096='Room Info'!$B$1, INDEX('Room Info'!$A$2:$A3446, MATCH(B1096,'Room Info'!$B$2:$B3446, 0)),if(G1096='Room Info'!$C$1, INDEX('Room Info'!$A$2:$A3446, MATCH(B1096,'Room Info'!$C$2:$C3446, 0)),if(G1096='Room Info'!$D$1, INDEX('Room Info'!$A$2:$A3446, MATCH(B1096,'Room Info'!$D$2:$D3446, 0)),if(G1096='Room Info'!$E$1, INDEX('Room Info'!$A$2:$A3446, MATCH(B1096,'Room Info'!$E$2:$E3446, 0)),if(G1096='Room Info'!$F$1, INDEX('Room Info'!$A$2:$A3446, MATCH(B1096,'Room Info'!$F$2:$F3446, 0)),if(G1096='Room Info'!$H$1, INDEX('Room Info'!$A$2:$A3446, MATCH(B1096,'Room Info'!$H$2:$H3446, 0)),if(G1096='Room Info'!$G$1, INDEX('Room Info'!$A$2:$A3446, MATCH(B1096,'Room Info'!$G$2:$G3446, 0)))))))))</f>
        <v>overplayKK</v>
      </c>
      <c r="B1096" s="50" t="s">
        <v>207</v>
      </c>
      <c r="C1096" s="51">
        <v>44490.0</v>
      </c>
      <c r="D1096" s="51">
        <v>44520.0</v>
      </c>
      <c r="E1096" s="52">
        <v>44501.0</v>
      </c>
      <c r="F1096" s="53" t="s">
        <v>4</v>
      </c>
      <c r="G1096" s="59" t="s">
        <v>5</v>
      </c>
      <c r="H1096" s="54" t="s">
        <v>35</v>
      </c>
      <c r="I1096" s="54" t="s">
        <v>7</v>
      </c>
      <c r="J1096" s="55">
        <v>5.0</v>
      </c>
      <c r="K1096" s="56">
        <v>661.0</v>
      </c>
      <c r="L1096" s="57">
        <v>365.0</v>
      </c>
      <c r="M1096" s="58">
        <v>114.0</v>
      </c>
      <c r="N1096" s="33">
        <f t="shared" si="155"/>
        <v>3305</v>
      </c>
      <c r="O1096" s="59">
        <v>50905.0</v>
      </c>
      <c r="P1096" s="34">
        <f t="shared" si="14"/>
        <v>77.01210287</v>
      </c>
      <c r="Q1096" s="60"/>
      <c r="R1096" s="36">
        <f t="shared" si="156"/>
        <v>114</v>
      </c>
      <c r="S1096" s="61">
        <v>170.0</v>
      </c>
      <c r="T1096" s="37">
        <f t="shared" si="157"/>
        <v>284</v>
      </c>
      <c r="U1096" s="62">
        <v>1.0</v>
      </c>
      <c r="V1096" s="63"/>
      <c r="W1096" s="63"/>
      <c r="X1096" s="83">
        <v>0.3</v>
      </c>
      <c r="Y1096" s="35">
        <f t="shared" si="163"/>
        <v>0</v>
      </c>
      <c r="Z1096" s="40">
        <f t="shared" si="159"/>
        <v>198.8</v>
      </c>
      <c r="AA1096" s="34">
        <f t="shared" si="165"/>
        <v>85.2</v>
      </c>
      <c r="AB1096" s="41">
        <f t="shared" si="161"/>
        <v>0</v>
      </c>
      <c r="AC1096" s="42" t="b">
        <v>1</v>
      </c>
      <c r="AD1096" s="42" t="s">
        <v>138</v>
      </c>
      <c r="AE1096" s="42" t="s">
        <v>138</v>
      </c>
      <c r="AF1096" s="42" t="str">
        <f t="array" ref="AF1096">INDEX('Deal Info'!D:D, MATCH(A1096,'Deal Info'!A:A, 0))</f>
        <v>SF</v>
      </c>
      <c r="AG1096" s="43" t="str">
        <f t="array" ref="AG1096">INDEX('Deal Info'!G:G, MATCH(A1096,'Deal Info'!A:A, 0))</f>
        <v>None</v>
      </c>
    </row>
    <row r="1097" hidden="1">
      <c r="A1097" s="23" t="str">
        <f t="array" ref="A1097">if(G1097='Room Info'!$B$1, INDEX('Room Info'!$A$2:$A3446, MATCH(B1097,'Room Info'!$B$2:$B3446, 0)),if(G1097='Room Info'!$C$1, INDEX('Room Info'!$A$2:$A3446, MATCH(B1097,'Room Info'!$C$2:$C3446, 0)),if(G1097='Room Info'!$D$1, INDEX('Room Info'!$A$2:$A3446, MATCH(B1097,'Room Info'!$D$2:$D3446, 0)),if(G1097='Room Info'!$E$1, INDEX('Room Info'!$A$2:$A3446, MATCH(B1097,'Room Info'!$E$2:$E3446, 0)),if(G1097='Room Info'!$F$1, INDEX('Room Info'!$A$2:$A3446, MATCH(B1097,'Room Info'!$F$2:$F3446, 0)),if(G1097='Room Info'!$H$1, INDEX('Room Info'!$A$2:$A3446, MATCH(B1097,'Room Info'!$H$2:$H3446, 0)),if(G1097='Room Info'!$G$1, INDEX('Room Info'!$A$2:$A3446, MATCH(B1097,'Room Info'!$G$2:$G3446, 0)))))))))</f>
        <v>overplayKK</v>
      </c>
      <c r="B1097" s="50" t="s">
        <v>207</v>
      </c>
      <c r="C1097" s="51">
        <v>44490.0</v>
      </c>
      <c r="D1097" s="51">
        <v>44520.0</v>
      </c>
      <c r="E1097" s="52">
        <v>44501.0</v>
      </c>
      <c r="F1097" s="53" t="s">
        <v>4</v>
      </c>
      <c r="G1097" s="50" t="s">
        <v>5</v>
      </c>
      <c r="H1097" s="54" t="s">
        <v>45</v>
      </c>
      <c r="I1097" s="54" t="s">
        <v>7</v>
      </c>
      <c r="J1097" s="55">
        <v>10.0</v>
      </c>
      <c r="K1097" s="56">
        <v>617.0</v>
      </c>
      <c r="L1097" s="57">
        <v>70.0</v>
      </c>
      <c r="M1097" s="58">
        <v>186.0</v>
      </c>
      <c r="N1097" s="33">
        <f t="shared" si="155"/>
        <v>6170</v>
      </c>
      <c r="O1097" s="59">
        <v>9990.0</v>
      </c>
      <c r="P1097" s="34">
        <f t="shared" si="14"/>
        <v>16.19124797</v>
      </c>
      <c r="Q1097" s="60"/>
      <c r="R1097" s="36">
        <f t="shared" si="156"/>
        <v>186</v>
      </c>
      <c r="S1097" s="61">
        <v>-271.0</v>
      </c>
      <c r="T1097" s="37">
        <f t="shared" si="157"/>
        <v>-85</v>
      </c>
      <c r="U1097" s="62">
        <v>1.0</v>
      </c>
      <c r="V1097" s="63"/>
      <c r="W1097" s="63"/>
      <c r="X1097" s="83">
        <v>0.3</v>
      </c>
      <c r="Y1097" s="35">
        <f t="shared" si="163"/>
        <v>0</v>
      </c>
      <c r="Z1097" s="40">
        <f t="shared" si="159"/>
        <v>-59.5</v>
      </c>
      <c r="AA1097" s="34">
        <f t="shared" si="165"/>
        <v>-25.5</v>
      </c>
      <c r="AB1097" s="41">
        <f t="shared" si="161"/>
        <v>0</v>
      </c>
      <c r="AC1097" s="42" t="b">
        <v>1</v>
      </c>
      <c r="AD1097" s="42" t="s">
        <v>138</v>
      </c>
      <c r="AE1097" s="42" t="s">
        <v>138</v>
      </c>
      <c r="AF1097" s="42" t="str">
        <f t="array" ref="AF1097">INDEX('Deal Info'!D:D, MATCH(A1097,'Deal Info'!A:A, 0))</f>
        <v>SF</v>
      </c>
      <c r="AG1097" s="43" t="str">
        <f t="array" ref="AG1097">INDEX('Deal Info'!G:G, MATCH(A1097,'Deal Info'!A:A, 0))</f>
        <v>None</v>
      </c>
    </row>
    <row r="1098" hidden="1">
      <c r="A1098" s="23" t="str">
        <f t="array" ref="A1098">if(G1098='Room Info'!$B$1, INDEX('Room Info'!$A$2:$A3446, MATCH(B1098,'Room Info'!$B$2:$B3446, 0)),if(G1098='Room Info'!$C$1, INDEX('Room Info'!$A$2:$A3446, MATCH(B1098,'Room Info'!$C$2:$C3446, 0)),if(G1098='Room Info'!$D$1, INDEX('Room Info'!$A$2:$A3446, MATCH(B1098,'Room Info'!$D$2:$D3446, 0)),if(G1098='Room Info'!$E$1, INDEX('Room Info'!$A$2:$A3446, MATCH(B1098,'Room Info'!$E$2:$E3446, 0)),if(G1098='Room Info'!$F$1, INDEX('Room Info'!$A$2:$A3446, MATCH(B1098,'Room Info'!$F$2:$F3446, 0)),if(G1098='Room Info'!$H$1, INDEX('Room Info'!$A$2:$A3446, MATCH(B1098,'Room Info'!$H$2:$H3446, 0)),if(G1098='Room Info'!$G$1, INDEX('Room Info'!$A$2:$A3446, MATCH(B1098,'Room Info'!$G$2:$G3446, 0)))))))))</f>
        <v>overplayKK</v>
      </c>
      <c r="B1098" s="50" t="s">
        <v>208</v>
      </c>
      <c r="C1098" s="51">
        <v>44490.0</v>
      </c>
      <c r="D1098" s="51">
        <v>44520.0</v>
      </c>
      <c r="E1098" s="52">
        <v>44501.0</v>
      </c>
      <c r="F1098" s="53" t="s">
        <v>4</v>
      </c>
      <c r="G1098" s="50" t="s">
        <v>13</v>
      </c>
      <c r="H1098" s="54" t="s">
        <v>34</v>
      </c>
      <c r="I1098" s="54" t="s">
        <v>18</v>
      </c>
      <c r="J1098" s="55">
        <v>5.0</v>
      </c>
      <c r="K1098" s="56">
        <v>785.0</v>
      </c>
      <c r="L1098" s="57">
        <v>60.0</v>
      </c>
      <c r="M1098" s="58">
        <v>130.0</v>
      </c>
      <c r="N1098" s="33">
        <f t="shared" si="155"/>
        <v>3925</v>
      </c>
      <c r="O1098" s="59">
        <v>11116.0</v>
      </c>
      <c r="P1098" s="34">
        <f t="shared" si="14"/>
        <v>14.16050955</v>
      </c>
      <c r="Q1098" s="60"/>
      <c r="R1098" s="36">
        <f t="shared" si="156"/>
        <v>130</v>
      </c>
      <c r="S1098" s="61">
        <v>-126.0</v>
      </c>
      <c r="T1098" s="37">
        <f t="shared" si="157"/>
        <v>4</v>
      </c>
      <c r="U1098" s="62">
        <v>1.0</v>
      </c>
      <c r="V1098" s="63"/>
      <c r="W1098" s="63"/>
      <c r="X1098" s="83">
        <v>0.3</v>
      </c>
      <c r="Y1098" s="35">
        <f t="shared" si="163"/>
        <v>0</v>
      </c>
      <c r="Z1098" s="40">
        <f t="shared" si="159"/>
        <v>2.8</v>
      </c>
      <c r="AA1098" s="34">
        <f t="shared" si="165"/>
        <v>1.2</v>
      </c>
      <c r="AB1098" s="41">
        <f t="shared" si="161"/>
        <v>0</v>
      </c>
      <c r="AC1098" s="42" t="b">
        <v>1</v>
      </c>
      <c r="AD1098" s="42" t="s">
        <v>138</v>
      </c>
      <c r="AE1098" s="42" t="s">
        <v>138</v>
      </c>
      <c r="AF1098" s="42" t="str">
        <f t="array" ref="AF1098">INDEX('Deal Info'!D:D, MATCH(A1098,'Deal Info'!A:A, 0))</f>
        <v>SF</v>
      </c>
      <c r="AG1098" s="43" t="str">
        <f t="array" ref="AG1098">INDEX('Deal Info'!G:G, MATCH(A1098,'Deal Info'!A:A, 0))</f>
        <v>None</v>
      </c>
    </row>
    <row r="1099" hidden="1">
      <c r="A1099" s="23" t="str">
        <f t="array" ref="A1099">if(G1099='Room Info'!$B$1, INDEX('Room Info'!$A$2:$A3446, MATCH(B1099,'Room Info'!$B$2:$B3446, 0)),if(G1099='Room Info'!$C$1, INDEX('Room Info'!$A$2:$A3446, MATCH(B1099,'Room Info'!$C$2:$C3446, 0)),if(G1099='Room Info'!$D$1, INDEX('Room Info'!$A$2:$A3446, MATCH(B1099,'Room Info'!$D$2:$D3446, 0)),if(G1099='Room Info'!$E$1, INDEX('Room Info'!$A$2:$A3446, MATCH(B1099,'Room Info'!$E$2:$E3446, 0)),if(G1099='Room Info'!$F$1, INDEX('Room Info'!$A$2:$A3446, MATCH(B1099,'Room Info'!$F$2:$F3446, 0)),if(G1099='Room Info'!$H$1, INDEX('Room Info'!$A$2:$A3446, MATCH(B1099,'Room Info'!$H$2:$H3446, 0)),if(G1099='Room Info'!$G$1, INDEX('Room Info'!$A$2:$A3446, MATCH(B1099,'Room Info'!$G$2:$G3446, 0)))))))))</f>
        <v>overplayKK</v>
      </c>
      <c r="B1099" s="50" t="s">
        <v>208</v>
      </c>
      <c r="C1099" s="51">
        <v>44490.0</v>
      </c>
      <c r="D1099" s="51">
        <v>44520.0</v>
      </c>
      <c r="E1099" s="52">
        <v>44501.0</v>
      </c>
      <c r="F1099" s="53" t="s">
        <v>4</v>
      </c>
      <c r="G1099" s="50" t="s">
        <v>13</v>
      </c>
      <c r="H1099" s="54" t="s">
        <v>45</v>
      </c>
      <c r="I1099" s="54" t="s">
        <v>18</v>
      </c>
      <c r="J1099" s="55">
        <v>10.0</v>
      </c>
      <c r="K1099" s="56">
        <v>2.0</v>
      </c>
      <c r="L1099" s="57">
        <v>0.0</v>
      </c>
      <c r="M1099" s="58">
        <v>2.0</v>
      </c>
      <c r="N1099" s="33">
        <f t="shared" si="155"/>
        <v>20</v>
      </c>
      <c r="O1099" s="59">
        <v>340.0</v>
      </c>
      <c r="P1099" s="34">
        <f t="shared" si="14"/>
        <v>170</v>
      </c>
      <c r="Q1099" s="60"/>
      <c r="R1099" s="36">
        <f t="shared" si="156"/>
        <v>2</v>
      </c>
      <c r="S1099" s="61">
        <v>8.0</v>
      </c>
      <c r="T1099" s="37">
        <f t="shared" si="157"/>
        <v>10</v>
      </c>
      <c r="U1099" s="62">
        <v>1.0</v>
      </c>
      <c r="V1099" s="63"/>
      <c r="W1099" s="63"/>
      <c r="X1099" s="83">
        <v>0.3</v>
      </c>
      <c r="Y1099" s="35">
        <f t="shared" si="163"/>
        <v>0</v>
      </c>
      <c r="Z1099" s="40">
        <f t="shared" si="159"/>
        <v>7</v>
      </c>
      <c r="AA1099" s="34">
        <f t="shared" si="165"/>
        <v>3</v>
      </c>
      <c r="AB1099" s="41">
        <f t="shared" si="161"/>
        <v>0</v>
      </c>
      <c r="AC1099" s="42" t="b">
        <v>1</v>
      </c>
      <c r="AD1099" s="42" t="s">
        <v>138</v>
      </c>
      <c r="AE1099" s="42" t="s">
        <v>138</v>
      </c>
      <c r="AF1099" s="42" t="str">
        <f t="array" ref="AF1099">INDEX('Deal Info'!D:D, MATCH(A1099,'Deal Info'!A:A, 0))</f>
        <v>SF</v>
      </c>
      <c r="AG1099" s="43" t="str">
        <f t="array" ref="AG1099">INDEX('Deal Info'!G:G, MATCH(A1099,'Deal Info'!A:A, 0))</f>
        <v>None</v>
      </c>
    </row>
    <row r="1100" hidden="1">
      <c r="A1100" s="23" t="str">
        <f t="array" ref="A1100">if(G1100='Room Info'!$B$1, INDEX('Room Info'!$A$2:$A3446, MATCH(B1100,'Room Info'!$B$2:$B3446, 0)),if(G1100='Room Info'!$C$1, INDEX('Room Info'!$A$2:$A3446, MATCH(B1100,'Room Info'!$C$2:$C3446, 0)),if(G1100='Room Info'!$D$1, INDEX('Room Info'!$A$2:$A3446, MATCH(B1100,'Room Info'!$D$2:$D3446, 0)),if(G1100='Room Info'!$E$1, INDEX('Room Info'!$A$2:$A3446, MATCH(B1100,'Room Info'!$E$2:$E3446, 0)),if(G1100='Room Info'!$F$1, INDEX('Room Info'!$A$2:$A3446, MATCH(B1100,'Room Info'!$F$2:$F3446, 0)),if(G1100='Room Info'!$H$1, INDEX('Room Info'!$A$2:$A3446, MATCH(B1100,'Room Info'!$H$2:$H3446, 0)),if(G1100='Room Info'!$G$1, INDEX('Room Info'!$A$2:$A3446, MATCH(B1100,'Room Info'!$G$2:$G3446, 0)))))))))</f>
        <v>overplayKK</v>
      </c>
      <c r="B1100" s="50" t="s">
        <v>207</v>
      </c>
      <c r="C1100" s="51">
        <v>44490.0</v>
      </c>
      <c r="D1100" s="51">
        <v>44520.0</v>
      </c>
      <c r="E1100" s="52">
        <v>44501.0</v>
      </c>
      <c r="F1100" s="53" t="s">
        <v>12</v>
      </c>
      <c r="G1100" s="50" t="s">
        <v>5</v>
      </c>
      <c r="H1100" s="54" t="s">
        <v>6</v>
      </c>
      <c r="I1100" s="54" t="s">
        <v>7</v>
      </c>
      <c r="J1100" s="55">
        <v>0.25</v>
      </c>
      <c r="K1100" s="56">
        <v>4.0</v>
      </c>
      <c r="L1100" s="57">
        <v>1.5</v>
      </c>
      <c r="M1100" s="67"/>
      <c r="N1100" s="33">
        <f t="shared" si="155"/>
        <v>1</v>
      </c>
      <c r="O1100" s="70"/>
      <c r="P1100" s="34">
        <f t="shared" si="14"/>
        <v>0</v>
      </c>
      <c r="Q1100" s="60"/>
      <c r="R1100" s="36">
        <f t="shared" si="156"/>
        <v>0</v>
      </c>
      <c r="S1100" s="71"/>
      <c r="T1100" s="37">
        <f t="shared" si="157"/>
        <v>1.5</v>
      </c>
      <c r="U1100" s="62">
        <v>1.0</v>
      </c>
      <c r="V1100" s="63"/>
      <c r="W1100" s="63"/>
      <c r="X1100" s="83">
        <v>0.3</v>
      </c>
      <c r="Y1100" s="35">
        <f t="shared" si="163"/>
        <v>0</v>
      </c>
      <c r="Z1100" s="40">
        <f t="shared" si="159"/>
        <v>1.05</v>
      </c>
      <c r="AA1100" s="34">
        <f t="shared" si="165"/>
        <v>0.45</v>
      </c>
      <c r="AB1100" s="41">
        <f t="shared" si="161"/>
        <v>0</v>
      </c>
      <c r="AC1100" s="42" t="b">
        <v>1</v>
      </c>
      <c r="AD1100" s="42" t="s">
        <v>138</v>
      </c>
      <c r="AE1100" s="42" t="s">
        <v>138</v>
      </c>
      <c r="AF1100" s="42" t="str">
        <f t="array" ref="AF1100">INDEX('Deal Info'!D:D, MATCH(A1100,'Deal Info'!A:A, 0))</f>
        <v>SF</v>
      </c>
      <c r="AG1100" s="43" t="str">
        <f t="array" ref="AG1100">INDEX('Deal Info'!G:G, MATCH(A1100,'Deal Info'!A:A, 0))</f>
        <v>None</v>
      </c>
    </row>
    <row r="1101" hidden="1">
      <c r="A1101" s="23" t="str">
        <f t="array" ref="A1101">if(G1101='Room Info'!$B$1, INDEX('Room Info'!$A$2:$A3446, MATCH(B1101,'Room Info'!$B$2:$B3446, 0)),if(G1101='Room Info'!$C$1, INDEX('Room Info'!$A$2:$A3446, MATCH(B1101,'Room Info'!$C$2:$C3446, 0)),if(G1101='Room Info'!$D$1, INDEX('Room Info'!$A$2:$A3446, MATCH(B1101,'Room Info'!$D$2:$D3446, 0)),if(G1101='Room Info'!$E$1, INDEX('Room Info'!$A$2:$A3446, MATCH(B1101,'Room Info'!$E$2:$E3446, 0)),if(G1101='Room Info'!$F$1, INDEX('Room Info'!$A$2:$A3446, MATCH(B1101,'Room Info'!$F$2:$F3446, 0)),if(G1101='Room Info'!$H$1, INDEX('Room Info'!$A$2:$A3446, MATCH(B1101,'Room Info'!$H$2:$H3446, 0)),if(G1101='Room Info'!$G$1, INDEX('Room Info'!$A$2:$A3446, MATCH(B1101,'Room Info'!$G$2:$G3446, 0)))))))))</f>
        <v>overplayKK</v>
      </c>
      <c r="B1101" s="50" t="s">
        <v>207</v>
      </c>
      <c r="C1101" s="51">
        <v>44490.0</v>
      </c>
      <c r="D1101" s="51">
        <v>44520.0</v>
      </c>
      <c r="E1101" s="52">
        <v>44501.0</v>
      </c>
      <c r="F1101" s="53" t="s">
        <v>12</v>
      </c>
      <c r="G1101" s="50" t="s">
        <v>5</v>
      </c>
      <c r="H1101" s="54" t="s">
        <v>10</v>
      </c>
      <c r="I1101" s="54" t="s">
        <v>11</v>
      </c>
      <c r="J1101" s="55">
        <v>0.25</v>
      </c>
      <c r="K1101" s="56">
        <v>9.0</v>
      </c>
      <c r="L1101" s="57">
        <v>-1.75</v>
      </c>
      <c r="M1101" s="67"/>
      <c r="N1101" s="33">
        <f t="shared" si="155"/>
        <v>2.25</v>
      </c>
      <c r="O1101" s="70"/>
      <c r="P1101" s="34">
        <f t="shared" si="14"/>
        <v>0</v>
      </c>
      <c r="Q1101" s="60"/>
      <c r="R1101" s="36">
        <f t="shared" si="156"/>
        <v>0</v>
      </c>
      <c r="S1101" s="71"/>
      <c r="T1101" s="37">
        <f t="shared" si="157"/>
        <v>-1.75</v>
      </c>
      <c r="U1101" s="62">
        <v>1.0</v>
      </c>
      <c r="V1101" s="63"/>
      <c r="W1101" s="63"/>
      <c r="X1101" s="83">
        <v>0.3</v>
      </c>
      <c r="Y1101" s="35">
        <f t="shared" si="163"/>
        <v>0</v>
      </c>
      <c r="Z1101" s="40">
        <f t="shared" si="159"/>
        <v>-1.225</v>
      </c>
      <c r="AA1101" s="34">
        <f t="shared" si="165"/>
        <v>-0.525</v>
      </c>
      <c r="AB1101" s="41">
        <f t="shared" si="161"/>
        <v>0</v>
      </c>
      <c r="AC1101" s="42" t="b">
        <v>1</v>
      </c>
      <c r="AD1101" s="42" t="s">
        <v>138</v>
      </c>
      <c r="AE1101" s="42" t="s">
        <v>138</v>
      </c>
      <c r="AF1101" s="42" t="str">
        <f t="array" ref="AF1101">INDEX('Deal Info'!D:D, MATCH(A1101,'Deal Info'!A:A, 0))</f>
        <v>SF</v>
      </c>
      <c r="AG1101" s="43" t="str">
        <f t="array" ref="AG1101">INDEX('Deal Info'!G:G, MATCH(A1101,'Deal Info'!A:A, 0))</f>
        <v>None</v>
      </c>
    </row>
    <row r="1102" hidden="1">
      <c r="A1102" s="23" t="str">
        <f t="array" ref="A1102">if(G1102='Room Info'!$B$1, INDEX('Room Info'!$A$2:$A3446, MATCH(B1102,'Room Info'!$B$2:$B3446, 0)),if(G1102='Room Info'!$C$1, INDEX('Room Info'!$A$2:$A3446, MATCH(B1102,'Room Info'!$C$2:$C3446, 0)),if(G1102='Room Info'!$D$1, INDEX('Room Info'!$A$2:$A3446, MATCH(B1102,'Room Info'!$D$2:$D3446, 0)),if(G1102='Room Info'!$E$1, INDEX('Room Info'!$A$2:$A3446, MATCH(B1102,'Room Info'!$E$2:$E3446, 0)),if(G1102='Room Info'!$F$1, INDEX('Room Info'!$A$2:$A3446, MATCH(B1102,'Room Info'!$F$2:$F3446, 0)),if(G1102='Room Info'!$H$1, INDEX('Room Info'!$A$2:$A3446, MATCH(B1102,'Room Info'!$H$2:$H3446, 0)),if(G1102='Room Info'!$G$1, INDEX('Room Info'!$A$2:$A3446, MATCH(B1102,'Room Info'!$G$2:$G3446, 0)))))))))</f>
        <v>overplayKK</v>
      </c>
      <c r="B1102" s="50" t="s">
        <v>208</v>
      </c>
      <c r="C1102" s="51">
        <v>44521.0</v>
      </c>
      <c r="D1102" s="51">
        <v>44550.0</v>
      </c>
      <c r="E1102" s="52">
        <v>44531.0</v>
      </c>
      <c r="F1102" s="53" t="s">
        <v>4</v>
      </c>
      <c r="G1102" s="50" t="s">
        <v>13</v>
      </c>
      <c r="H1102" s="54" t="s">
        <v>34</v>
      </c>
      <c r="I1102" s="54" t="s">
        <v>18</v>
      </c>
      <c r="J1102" s="55">
        <v>5.0</v>
      </c>
      <c r="K1102" s="56">
        <v>2060.0</v>
      </c>
      <c r="L1102" s="57">
        <v>-100.0</v>
      </c>
      <c r="M1102" s="58">
        <v>500.0</v>
      </c>
      <c r="N1102" s="33">
        <f t="shared" si="155"/>
        <v>10300</v>
      </c>
      <c r="O1102" s="59">
        <v>39007.0</v>
      </c>
      <c r="P1102" s="34">
        <f t="shared" si="14"/>
        <v>18.93543689</v>
      </c>
      <c r="Q1102" s="60"/>
      <c r="R1102" s="36">
        <f t="shared" si="156"/>
        <v>500</v>
      </c>
      <c r="S1102" s="61">
        <v>-210.0</v>
      </c>
      <c r="T1102" s="37">
        <f t="shared" si="157"/>
        <v>290</v>
      </c>
      <c r="U1102" s="62">
        <v>1.0</v>
      </c>
      <c r="V1102" s="63"/>
      <c r="W1102" s="63"/>
      <c r="X1102" s="83">
        <v>0.25</v>
      </c>
      <c r="Y1102" s="35">
        <f t="shared" si="163"/>
        <v>0</v>
      </c>
      <c r="Z1102" s="40">
        <f t="shared" si="159"/>
        <v>217.5</v>
      </c>
      <c r="AA1102" s="34">
        <f t="shared" si="165"/>
        <v>72.5</v>
      </c>
      <c r="AB1102" s="41">
        <f t="shared" si="161"/>
        <v>0</v>
      </c>
      <c r="AC1102" s="42" t="b">
        <v>1</v>
      </c>
      <c r="AD1102" s="42" t="s">
        <v>138</v>
      </c>
      <c r="AE1102" s="42" t="s">
        <v>138</v>
      </c>
      <c r="AF1102" s="42" t="str">
        <f t="array" ref="AF1102">INDEX('Deal Info'!D:D, MATCH(A1102,'Deal Info'!A:A, 0))</f>
        <v>SF</v>
      </c>
      <c r="AG1102" s="43" t="str">
        <f t="array" ref="AG1102">INDEX('Deal Info'!G:G, MATCH(A1102,'Deal Info'!A:A, 0))</f>
        <v>None</v>
      </c>
    </row>
    <row r="1103" hidden="1">
      <c r="A1103" s="23" t="str">
        <f t="array" ref="A1103">if(G1103='Room Info'!$B$1, INDEX('Room Info'!$A$2:$A3446, MATCH(B1103,'Room Info'!$B$2:$B3446, 0)),if(G1103='Room Info'!$C$1, INDEX('Room Info'!$A$2:$A3446, MATCH(B1103,'Room Info'!$C$2:$C3446, 0)),if(G1103='Room Info'!$D$1, INDEX('Room Info'!$A$2:$A3446, MATCH(B1103,'Room Info'!$D$2:$D3446, 0)),if(G1103='Room Info'!$E$1, INDEX('Room Info'!$A$2:$A3446, MATCH(B1103,'Room Info'!$E$2:$E3446, 0)),if(G1103='Room Info'!$F$1, INDEX('Room Info'!$A$2:$A3446, MATCH(B1103,'Room Info'!$F$2:$F3446, 0)),if(G1103='Room Info'!$H$1, INDEX('Room Info'!$A$2:$A3446, MATCH(B1103,'Room Info'!$H$2:$H3446, 0)),if(G1103='Room Info'!$G$1, INDEX('Room Info'!$A$2:$A3446, MATCH(B1103,'Room Info'!$G$2:$G3446, 0)))))))))</f>
        <v>overplayKK</v>
      </c>
      <c r="B1103" s="50" t="s">
        <v>208</v>
      </c>
      <c r="C1103" s="51">
        <v>44521.0</v>
      </c>
      <c r="D1103" s="51">
        <v>44550.0</v>
      </c>
      <c r="E1103" s="52">
        <v>44531.0</v>
      </c>
      <c r="F1103" s="53" t="s">
        <v>4</v>
      </c>
      <c r="G1103" s="50" t="s">
        <v>13</v>
      </c>
      <c r="H1103" s="54" t="s">
        <v>45</v>
      </c>
      <c r="I1103" s="54" t="s">
        <v>18</v>
      </c>
      <c r="J1103" s="55">
        <v>10.0</v>
      </c>
      <c r="K1103" s="56">
        <v>3297.0</v>
      </c>
      <c r="L1103" s="57">
        <v>-1460.0</v>
      </c>
      <c r="M1103" s="58">
        <v>1500.0</v>
      </c>
      <c r="N1103" s="33">
        <f t="shared" si="155"/>
        <v>32970</v>
      </c>
      <c r="O1103" s="59">
        <v>54635.0</v>
      </c>
      <c r="P1103" s="34">
        <f t="shared" si="14"/>
        <v>16.57112527</v>
      </c>
      <c r="Q1103" s="60"/>
      <c r="R1103" s="36">
        <f t="shared" si="156"/>
        <v>1500</v>
      </c>
      <c r="S1103" s="61">
        <v>-870.0</v>
      </c>
      <c r="T1103" s="37">
        <f t="shared" si="157"/>
        <v>630</v>
      </c>
      <c r="U1103" s="62">
        <v>1.0</v>
      </c>
      <c r="V1103" s="63"/>
      <c r="W1103" s="63"/>
      <c r="X1103" s="83">
        <v>0.25</v>
      </c>
      <c r="Y1103" s="35">
        <f t="shared" si="163"/>
        <v>0</v>
      </c>
      <c r="Z1103" s="40">
        <f t="shared" si="159"/>
        <v>472.5</v>
      </c>
      <c r="AA1103" s="34">
        <f t="shared" si="165"/>
        <v>157.5</v>
      </c>
      <c r="AB1103" s="41">
        <f t="shared" si="161"/>
        <v>0</v>
      </c>
      <c r="AC1103" s="42" t="b">
        <v>1</v>
      </c>
      <c r="AD1103" s="42" t="s">
        <v>138</v>
      </c>
      <c r="AE1103" s="42" t="s">
        <v>138</v>
      </c>
      <c r="AF1103" s="42" t="str">
        <f t="array" ref="AF1103">INDEX('Deal Info'!D:D, MATCH(A1103,'Deal Info'!A:A, 0))</f>
        <v>SF</v>
      </c>
      <c r="AG1103" s="43" t="str">
        <f t="array" ref="AG1103">INDEX('Deal Info'!G:G, MATCH(A1103,'Deal Info'!A:A, 0))</f>
        <v>None</v>
      </c>
    </row>
    <row r="1104" hidden="1">
      <c r="A1104" s="23" t="str">
        <f t="array" ref="A1104">if(G1104='Room Info'!$B$1, INDEX('Room Info'!$A$2:$A3446, MATCH(B1104,'Room Info'!$B$2:$B3446, 0)),if(G1104='Room Info'!$C$1, INDEX('Room Info'!$A$2:$A3446, MATCH(B1104,'Room Info'!$C$2:$C3446, 0)),if(G1104='Room Info'!$D$1, INDEX('Room Info'!$A$2:$A3446, MATCH(B1104,'Room Info'!$D$2:$D3446, 0)),if(G1104='Room Info'!$E$1, INDEX('Room Info'!$A$2:$A3446, MATCH(B1104,'Room Info'!$E$2:$E3446, 0)),if(G1104='Room Info'!$F$1, INDEX('Room Info'!$A$2:$A3446, MATCH(B1104,'Room Info'!$F$2:$F3446, 0)),if(G1104='Room Info'!$H$1, INDEX('Room Info'!$A$2:$A3446, MATCH(B1104,'Room Info'!$H$2:$H3446, 0)),if(G1104='Room Info'!$G$1, INDEX('Room Info'!$A$2:$A3446, MATCH(B1104,'Room Info'!$G$2:$G3446, 0)))))))))</f>
        <v>overplayKK</v>
      </c>
      <c r="B1104" s="50" t="s">
        <v>208</v>
      </c>
      <c r="C1104" s="51">
        <v>44521.0</v>
      </c>
      <c r="D1104" s="51">
        <v>44550.0</v>
      </c>
      <c r="E1104" s="52">
        <v>44531.0</v>
      </c>
      <c r="F1104" s="53" t="s">
        <v>4</v>
      </c>
      <c r="G1104" s="50" t="s">
        <v>13</v>
      </c>
      <c r="H1104" s="54" t="s">
        <v>59</v>
      </c>
      <c r="I1104" s="54" t="s">
        <v>18</v>
      </c>
      <c r="J1104" s="55">
        <v>20.0</v>
      </c>
      <c r="K1104" s="56">
        <v>62.0</v>
      </c>
      <c r="L1104" s="57">
        <v>-620.0</v>
      </c>
      <c r="M1104" s="58">
        <v>89.0</v>
      </c>
      <c r="N1104" s="33">
        <f t="shared" si="155"/>
        <v>1240</v>
      </c>
      <c r="O1104" s="59">
        <v>505.0</v>
      </c>
      <c r="P1104" s="34">
        <f t="shared" si="14"/>
        <v>8.14516129</v>
      </c>
      <c r="Q1104" s="60"/>
      <c r="R1104" s="36">
        <f t="shared" si="156"/>
        <v>89</v>
      </c>
      <c r="S1104" s="61">
        <v>-64.0</v>
      </c>
      <c r="T1104" s="37">
        <f t="shared" si="157"/>
        <v>25</v>
      </c>
      <c r="U1104" s="62">
        <v>1.0</v>
      </c>
      <c r="V1104" s="63"/>
      <c r="W1104" s="63"/>
      <c r="X1104" s="83">
        <v>0.25</v>
      </c>
      <c r="Y1104" s="35">
        <f t="shared" si="163"/>
        <v>0</v>
      </c>
      <c r="Z1104" s="40">
        <f t="shared" si="159"/>
        <v>18.75</v>
      </c>
      <c r="AA1104" s="34">
        <f t="shared" si="165"/>
        <v>6.25</v>
      </c>
      <c r="AB1104" s="41">
        <f t="shared" si="161"/>
        <v>0</v>
      </c>
      <c r="AC1104" s="42" t="b">
        <v>1</v>
      </c>
      <c r="AD1104" s="42" t="s">
        <v>138</v>
      </c>
      <c r="AE1104" s="42" t="s">
        <v>138</v>
      </c>
      <c r="AF1104" s="42" t="str">
        <f t="array" ref="AF1104">INDEX('Deal Info'!D:D, MATCH(A1104,'Deal Info'!A:A, 0))</f>
        <v>SF</v>
      </c>
      <c r="AG1104" s="43" t="str">
        <f t="array" ref="AG1104">INDEX('Deal Info'!G:G, MATCH(A1104,'Deal Info'!A:A, 0))</f>
        <v>None</v>
      </c>
    </row>
    <row r="1105" hidden="1">
      <c r="A1105" s="23" t="str">
        <f t="array" ref="A1105">if(G1105='Room Info'!$B$1, INDEX('Room Info'!$A$2:$A3446, MATCH(B1105,'Room Info'!$B$2:$B3446, 0)),if(G1105='Room Info'!$C$1, INDEX('Room Info'!$A$2:$A3446, MATCH(B1105,'Room Info'!$C$2:$C3446, 0)),if(G1105='Room Info'!$D$1, INDEX('Room Info'!$A$2:$A3446, MATCH(B1105,'Room Info'!$D$2:$D3446, 0)),if(G1105='Room Info'!$E$1, INDEX('Room Info'!$A$2:$A3446, MATCH(B1105,'Room Info'!$E$2:$E3446, 0)),if(G1105='Room Info'!$F$1, INDEX('Room Info'!$A$2:$A3446, MATCH(B1105,'Room Info'!$F$2:$F3446, 0)),if(G1105='Room Info'!$H$1, INDEX('Room Info'!$A$2:$A3446, MATCH(B1105,'Room Info'!$H$2:$H3446, 0)),if(G1105='Room Info'!$G$1, INDEX('Room Info'!$A$2:$A3446, MATCH(B1105,'Room Info'!$G$2:$G3446, 0)))))))))</f>
        <v>overplayKK</v>
      </c>
      <c r="B1105" s="50" t="s">
        <v>208</v>
      </c>
      <c r="C1105" s="51">
        <v>44551.0</v>
      </c>
      <c r="D1105" s="51">
        <v>44581.0</v>
      </c>
      <c r="E1105" s="52">
        <v>44562.0</v>
      </c>
      <c r="F1105" s="53" t="s">
        <v>4</v>
      </c>
      <c r="G1105" s="50" t="s">
        <v>13</v>
      </c>
      <c r="H1105" s="54" t="s">
        <v>34</v>
      </c>
      <c r="I1105" s="54" t="s">
        <v>18</v>
      </c>
      <c r="J1105" s="55">
        <v>5.0</v>
      </c>
      <c r="K1105" s="56">
        <v>5788.0</v>
      </c>
      <c r="L1105" s="57">
        <v>-155.0</v>
      </c>
      <c r="M1105" s="58">
        <v>2295.0</v>
      </c>
      <c r="N1105" s="33">
        <f t="shared" si="155"/>
        <v>28940</v>
      </c>
      <c r="O1105" s="59">
        <v>101129.0</v>
      </c>
      <c r="P1105" s="34">
        <f t="shared" si="14"/>
        <v>17.47218383</v>
      </c>
      <c r="Q1105" s="60"/>
      <c r="R1105" s="36">
        <f t="shared" si="156"/>
        <v>2295</v>
      </c>
      <c r="S1105" s="61">
        <v>-695.0</v>
      </c>
      <c r="T1105" s="37">
        <f t="shared" si="157"/>
        <v>1600</v>
      </c>
      <c r="U1105" s="62">
        <v>1.0</v>
      </c>
      <c r="V1105" s="63"/>
      <c r="W1105" s="63"/>
      <c r="X1105" s="83">
        <v>0.25</v>
      </c>
      <c r="Y1105" s="35">
        <f t="shared" si="163"/>
        <v>0</v>
      </c>
      <c r="Z1105" s="40">
        <f t="shared" si="159"/>
        <v>1200</v>
      </c>
      <c r="AA1105" s="34">
        <f t="shared" si="165"/>
        <v>400</v>
      </c>
      <c r="AB1105" s="41">
        <f t="shared" si="161"/>
        <v>0</v>
      </c>
      <c r="AC1105" s="42" t="b">
        <v>1</v>
      </c>
      <c r="AD1105" s="42" t="s">
        <v>138</v>
      </c>
      <c r="AE1105" s="42" t="s">
        <v>138</v>
      </c>
      <c r="AF1105" s="42" t="str">
        <f t="array" ref="AF1105">INDEX('Deal Info'!D:D, MATCH(A1105,'Deal Info'!A:A, 0))</f>
        <v>SF</v>
      </c>
      <c r="AG1105" s="43" t="str">
        <f t="array" ref="AG1105">INDEX('Deal Info'!G:G, MATCH(A1105,'Deal Info'!A:A, 0))</f>
        <v>None</v>
      </c>
    </row>
    <row r="1106" hidden="1">
      <c r="A1106" s="23" t="str">
        <f t="array" ref="A1106">if(G1106='Room Info'!$B$1, INDEX('Room Info'!$A$2:$A3446, MATCH(B1106,'Room Info'!$B$2:$B3446, 0)),if(G1106='Room Info'!$C$1, INDEX('Room Info'!$A$2:$A3446, MATCH(B1106,'Room Info'!$C$2:$C3446, 0)),if(G1106='Room Info'!$D$1, INDEX('Room Info'!$A$2:$A3446, MATCH(B1106,'Room Info'!$D$2:$D3446, 0)),if(G1106='Room Info'!$E$1, INDEX('Room Info'!$A$2:$A3446, MATCH(B1106,'Room Info'!$E$2:$E3446, 0)),if(G1106='Room Info'!$F$1, INDEX('Room Info'!$A$2:$A3446, MATCH(B1106,'Room Info'!$F$2:$F3446, 0)),if(G1106='Room Info'!$H$1, INDEX('Room Info'!$A$2:$A3446, MATCH(B1106,'Room Info'!$H$2:$H3446, 0)),if(G1106='Room Info'!$G$1, INDEX('Room Info'!$A$2:$A3446, MATCH(B1106,'Room Info'!$G$2:$G3446, 0)))))))))</f>
        <v>overplayKK</v>
      </c>
      <c r="B1106" s="50" t="s">
        <v>208</v>
      </c>
      <c r="C1106" s="51">
        <v>44551.0</v>
      </c>
      <c r="D1106" s="51">
        <v>44581.0</v>
      </c>
      <c r="E1106" s="52">
        <v>44562.0</v>
      </c>
      <c r="F1106" s="53" t="s">
        <v>4</v>
      </c>
      <c r="G1106" s="50" t="s">
        <v>13</v>
      </c>
      <c r="H1106" s="54" t="s">
        <v>45</v>
      </c>
      <c r="I1106" s="54" t="s">
        <v>18</v>
      </c>
      <c r="J1106" s="55">
        <v>10.0</v>
      </c>
      <c r="K1106" s="56">
        <v>1036.0</v>
      </c>
      <c r="L1106" s="57">
        <v>590.0</v>
      </c>
      <c r="M1106" s="58">
        <v>620.0</v>
      </c>
      <c r="N1106" s="33">
        <f t="shared" si="155"/>
        <v>10360</v>
      </c>
      <c r="O1106" s="59">
        <v>17407.0</v>
      </c>
      <c r="P1106" s="34">
        <f t="shared" si="14"/>
        <v>16.80212355</v>
      </c>
      <c r="Q1106" s="60"/>
      <c r="R1106" s="36">
        <f t="shared" si="156"/>
        <v>620</v>
      </c>
      <c r="S1106" s="61">
        <v>-266.0</v>
      </c>
      <c r="T1106" s="37">
        <f t="shared" si="157"/>
        <v>354</v>
      </c>
      <c r="U1106" s="62">
        <v>1.0</v>
      </c>
      <c r="V1106" s="63"/>
      <c r="W1106" s="63"/>
      <c r="X1106" s="83">
        <v>0.25</v>
      </c>
      <c r="Y1106" s="35">
        <f t="shared" si="163"/>
        <v>0</v>
      </c>
      <c r="Z1106" s="40">
        <f t="shared" si="159"/>
        <v>265.5</v>
      </c>
      <c r="AA1106" s="34">
        <f t="shared" si="165"/>
        <v>88.5</v>
      </c>
      <c r="AB1106" s="41">
        <f t="shared" si="161"/>
        <v>0</v>
      </c>
      <c r="AC1106" s="42" t="b">
        <v>1</v>
      </c>
      <c r="AD1106" s="42" t="s">
        <v>138</v>
      </c>
      <c r="AE1106" s="42" t="s">
        <v>138</v>
      </c>
      <c r="AF1106" s="42" t="str">
        <f t="array" ref="AF1106">INDEX('Deal Info'!D:D, MATCH(A1106,'Deal Info'!A:A, 0))</f>
        <v>SF</v>
      </c>
      <c r="AG1106" s="43" t="str">
        <f t="array" ref="AG1106">INDEX('Deal Info'!G:G, MATCH(A1106,'Deal Info'!A:A, 0))</f>
        <v>None</v>
      </c>
    </row>
    <row r="1107" hidden="1">
      <c r="A1107" s="23" t="str">
        <f t="array" ref="A1107">if(G1107='Room Info'!$B$1, INDEX('Room Info'!$A$2:$A3446, MATCH(B1107,'Room Info'!$B$2:$B3446, 0)),if(G1107='Room Info'!$C$1, INDEX('Room Info'!$A$2:$A3446, MATCH(B1107,'Room Info'!$C$2:$C3446, 0)),if(G1107='Room Info'!$D$1, INDEX('Room Info'!$A$2:$A3446, MATCH(B1107,'Room Info'!$D$2:$D3446, 0)),if(G1107='Room Info'!$E$1, INDEX('Room Info'!$A$2:$A3446, MATCH(B1107,'Room Info'!$E$2:$E3446, 0)),if(G1107='Room Info'!$F$1, INDEX('Room Info'!$A$2:$A3446, MATCH(B1107,'Room Info'!$F$2:$F3446, 0)),if(G1107='Room Info'!$H$1, INDEX('Room Info'!$A$2:$A3446, MATCH(B1107,'Room Info'!$H$2:$H3446, 0)),if(G1107='Room Info'!$G$1, INDEX('Room Info'!$A$2:$A3446, MATCH(B1107,'Room Info'!$G$2:$G3446, 0)))))))))</f>
        <v>overplayKK</v>
      </c>
      <c r="B1107" s="50" t="s">
        <v>208</v>
      </c>
      <c r="C1107" s="51">
        <v>44551.0</v>
      </c>
      <c r="D1107" s="51">
        <v>44581.0</v>
      </c>
      <c r="E1107" s="52">
        <v>44562.0</v>
      </c>
      <c r="F1107" s="53" t="s">
        <v>4</v>
      </c>
      <c r="G1107" s="50" t="s">
        <v>13</v>
      </c>
      <c r="H1107" s="54" t="s">
        <v>59</v>
      </c>
      <c r="I1107" s="54" t="s">
        <v>18</v>
      </c>
      <c r="J1107" s="55">
        <v>20.0</v>
      </c>
      <c r="K1107" s="56">
        <v>791.0</v>
      </c>
      <c r="L1107" s="57">
        <v>-940.0</v>
      </c>
      <c r="M1107" s="58">
        <v>310.0</v>
      </c>
      <c r="N1107" s="33">
        <f t="shared" si="155"/>
        <v>15820</v>
      </c>
      <c r="O1107" s="59">
        <v>14230.0</v>
      </c>
      <c r="P1107" s="34">
        <f t="shared" si="14"/>
        <v>17.98988622</v>
      </c>
      <c r="Q1107" s="60"/>
      <c r="R1107" s="36">
        <f t="shared" si="156"/>
        <v>310</v>
      </c>
      <c r="S1107" s="61">
        <v>-352.0</v>
      </c>
      <c r="T1107" s="37">
        <f t="shared" si="157"/>
        <v>-42</v>
      </c>
      <c r="U1107" s="62">
        <v>1.0</v>
      </c>
      <c r="V1107" s="63"/>
      <c r="W1107" s="63"/>
      <c r="X1107" s="83">
        <v>0.25</v>
      </c>
      <c r="Y1107" s="35">
        <f t="shared" si="163"/>
        <v>0</v>
      </c>
      <c r="Z1107" s="40">
        <f t="shared" si="159"/>
        <v>-31.5</v>
      </c>
      <c r="AA1107" s="34">
        <f t="shared" si="165"/>
        <v>-10.5</v>
      </c>
      <c r="AB1107" s="41">
        <f t="shared" si="161"/>
        <v>0</v>
      </c>
      <c r="AC1107" s="42" t="b">
        <v>1</v>
      </c>
      <c r="AD1107" s="42" t="s">
        <v>138</v>
      </c>
      <c r="AE1107" s="42" t="s">
        <v>138</v>
      </c>
      <c r="AF1107" s="42" t="str">
        <f t="array" ref="AF1107">INDEX('Deal Info'!D:D, MATCH(A1107,'Deal Info'!A:A, 0))</f>
        <v>SF</v>
      </c>
      <c r="AG1107" s="43" t="str">
        <f t="array" ref="AG1107">INDEX('Deal Info'!G:G, MATCH(A1107,'Deal Info'!A:A, 0))</f>
        <v>None</v>
      </c>
    </row>
    <row r="1108" hidden="1">
      <c r="A1108" s="23" t="str">
        <f t="array" ref="A1108">if(G1108='Room Info'!$B$1, INDEX('Room Info'!$A$2:$A3446, MATCH(B1108,'Room Info'!$B$2:$B3446, 0)),if(G1108='Room Info'!$C$1, INDEX('Room Info'!$A$2:$A3446, MATCH(B1108,'Room Info'!$C$2:$C3446, 0)),if(G1108='Room Info'!$D$1, INDEX('Room Info'!$A$2:$A3446, MATCH(B1108,'Room Info'!$D$2:$D3446, 0)),if(G1108='Room Info'!$E$1, INDEX('Room Info'!$A$2:$A3446, MATCH(B1108,'Room Info'!$E$2:$E3446, 0)),if(G1108='Room Info'!$F$1, INDEX('Room Info'!$A$2:$A3446, MATCH(B1108,'Room Info'!$F$2:$F3446, 0)),if(G1108='Room Info'!$H$1, INDEX('Room Info'!$A$2:$A3446, MATCH(B1108,'Room Info'!$H$2:$H3446, 0)),if(G1108='Room Info'!$G$1, INDEX('Room Info'!$A$2:$A3446, MATCH(B1108,'Room Info'!$G$2:$G3446, 0)))))))))</f>
        <v>overplayKK</v>
      </c>
      <c r="B1108" s="50" t="s">
        <v>208</v>
      </c>
      <c r="C1108" s="51">
        <v>44582.0</v>
      </c>
      <c r="D1108" s="51">
        <v>44612.0</v>
      </c>
      <c r="E1108" s="52">
        <v>44593.0</v>
      </c>
      <c r="F1108" s="53" t="s">
        <v>4</v>
      </c>
      <c r="G1108" s="50" t="s">
        <v>13</v>
      </c>
      <c r="H1108" s="54" t="s">
        <v>45</v>
      </c>
      <c r="I1108" s="54" t="s">
        <v>18</v>
      </c>
      <c r="J1108" s="55">
        <v>10.0</v>
      </c>
      <c r="K1108" s="56">
        <v>1848.0</v>
      </c>
      <c r="L1108" s="57">
        <v>830.0</v>
      </c>
      <c r="M1108" s="58">
        <v>975.0</v>
      </c>
      <c r="N1108" s="33">
        <f t="shared" si="155"/>
        <v>18480</v>
      </c>
      <c r="O1108" s="59">
        <v>38866.0</v>
      </c>
      <c r="P1108" s="34">
        <f t="shared" si="14"/>
        <v>21.03138528</v>
      </c>
      <c r="Q1108" s="60"/>
      <c r="R1108" s="36">
        <f t="shared" si="156"/>
        <v>975</v>
      </c>
      <c r="S1108" s="61">
        <v>-241.0</v>
      </c>
      <c r="T1108" s="37">
        <f t="shared" si="157"/>
        <v>734</v>
      </c>
      <c r="U1108" s="62">
        <v>1.0</v>
      </c>
      <c r="V1108" s="63"/>
      <c r="W1108" s="63"/>
      <c r="X1108" s="83">
        <v>0.22</v>
      </c>
      <c r="Y1108" s="35">
        <f t="shared" si="163"/>
        <v>0</v>
      </c>
      <c r="Z1108" s="40">
        <f t="shared" si="159"/>
        <v>572.52</v>
      </c>
      <c r="AA1108" s="34">
        <f t="shared" si="165"/>
        <v>161.48</v>
      </c>
      <c r="AB1108" s="41">
        <f t="shared" si="161"/>
        <v>0</v>
      </c>
      <c r="AC1108" s="42" t="b">
        <v>1</v>
      </c>
      <c r="AD1108" s="42" t="s">
        <v>138</v>
      </c>
      <c r="AE1108" s="42" t="s">
        <v>138</v>
      </c>
      <c r="AF1108" s="42" t="str">
        <f t="array" ref="AF1108">INDEX('Deal Info'!D:D, MATCH(A1108,'Deal Info'!A:A, 0))</f>
        <v>SF</v>
      </c>
      <c r="AG1108" s="43" t="str">
        <f t="array" ref="AG1108">INDEX('Deal Info'!G:G, MATCH(A1108,'Deal Info'!A:A, 0))</f>
        <v>None</v>
      </c>
    </row>
    <row r="1109" hidden="1">
      <c r="A1109" s="23" t="str">
        <f t="array" ref="A1109">if(G1109='Room Info'!$B$1, INDEX('Room Info'!$A$2:$A3446, MATCH(B1109,'Room Info'!$B$2:$B3446, 0)),if(G1109='Room Info'!$C$1, INDEX('Room Info'!$A$2:$A3446, MATCH(B1109,'Room Info'!$C$2:$C3446, 0)),if(G1109='Room Info'!$D$1, INDEX('Room Info'!$A$2:$A3446, MATCH(B1109,'Room Info'!$D$2:$D3446, 0)),if(G1109='Room Info'!$E$1, INDEX('Room Info'!$A$2:$A3446, MATCH(B1109,'Room Info'!$E$2:$E3446, 0)),if(G1109='Room Info'!$F$1, INDEX('Room Info'!$A$2:$A3446, MATCH(B1109,'Room Info'!$F$2:$F3446, 0)),if(G1109='Room Info'!$H$1, INDEX('Room Info'!$A$2:$A3446, MATCH(B1109,'Room Info'!$H$2:$H3446, 0)),if(G1109='Room Info'!$G$1, INDEX('Room Info'!$A$2:$A3446, MATCH(B1109,'Room Info'!$G$2:$G3446, 0)))))))))</f>
        <v>overplayKK</v>
      </c>
      <c r="B1109" s="50" t="s">
        <v>208</v>
      </c>
      <c r="C1109" s="51">
        <v>44582.0</v>
      </c>
      <c r="D1109" s="51">
        <v>44612.0</v>
      </c>
      <c r="E1109" s="52">
        <v>44593.0</v>
      </c>
      <c r="F1109" s="53" t="s">
        <v>4</v>
      </c>
      <c r="G1109" s="50" t="s">
        <v>13</v>
      </c>
      <c r="H1109" s="54" t="s">
        <v>59</v>
      </c>
      <c r="I1109" s="54" t="s">
        <v>18</v>
      </c>
      <c r="J1109" s="55">
        <v>20.0</v>
      </c>
      <c r="K1109" s="56">
        <v>3455.0</v>
      </c>
      <c r="L1109" s="57">
        <v>-5280.0</v>
      </c>
      <c r="M1109" s="58">
        <v>3646.0</v>
      </c>
      <c r="N1109" s="33">
        <f t="shared" si="155"/>
        <v>69100</v>
      </c>
      <c r="O1109" s="59">
        <v>33942.0</v>
      </c>
      <c r="P1109" s="34">
        <f t="shared" si="14"/>
        <v>9.824023155</v>
      </c>
      <c r="Q1109" s="60"/>
      <c r="R1109" s="36">
        <f t="shared" si="156"/>
        <v>3646</v>
      </c>
      <c r="S1109" s="61">
        <v>-3067.0</v>
      </c>
      <c r="T1109" s="37">
        <f t="shared" si="157"/>
        <v>579</v>
      </c>
      <c r="U1109" s="62">
        <v>1.0</v>
      </c>
      <c r="V1109" s="63"/>
      <c r="W1109" s="63"/>
      <c r="X1109" s="83">
        <v>0.22</v>
      </c>
      <c r="Y1109" s="35">
        <f t="shared" si="163"/>
        <v>0</v>
      </c>
      <c r="Z1109" s="40">
        <f t="shared" si="159"/>
        <v>451.62</v>
      </c>
      <c r="AA1109" s="34">
        <f t="shared" si="165"/>
        <v>127.38</v>
      </c>
      <c r="AB1109" s="41">
        <f t="shared" si="161"/>
        <v>0</v>
      </c>
      <c r="AC1109" s="42" t="b">
        <v>1</v>
      </c>
      <c r="AD1109" s="42" t="s">
        <v>138</v>
      </c>
      <c r="AE1109" s="42" t="s">
        <v>138</v>
      </c>
      <c r="AF1109" s="42" t="str">
        <f t="array" ref="AF1109">INDEX('Deal Info'!D:D, MATCH(A1109,'Deal Info'!A:A, 0))</f>
        <v>SF</v>
      </c>
      <c r="AG1109" s="43" t="str">
        <f t="array" ref="AG1109">INDEX('Deal Info'!G:G, MATCH(A1109,'Deal Info'!A:A, 0))</f>
        <v>None</v>
      </c>
    </row>
    <row r="1110" hidden="1">
      <c r="A1110" s="23" t="str">
        <f t="array" ref="A1110">if(G1110='Room Info'!$B$1, INDEX('Room Info'!$A$2:$A3446, MATCH(B1110,'Room Info'!$B$2:$B3446, 0)),if(G1110='Room Info'!$C$1, INDEX('Room Info'!$A$2:$A3446, MATCH(B1110,'Room Info'!$C$2:$C3446, 0)),if(G1110='Room Info'!$D$1, INDEX('Room Info'!$A$2:$A3446, MATCH(B1110,'Room Info'!$D$2:$D3446, 0)),if(G1110='Room Info'!$E$1, INDEX('Room Info'!$A$2:$A3446, MATCH(B1110,'Room Info'!$E$2:$E3446, 0)),if(G1110='Room Info'!$F$1, INDEX('Room Info'!$A$2:$A3446, MATCH(B1110,'Room Info'!$F$2:$F3446, 0)),if(G1110='Room Info'!$H$1, INDEX('Room Info'!$A$2:$A3446, MATCH(B1110,'Room Info'!$H$2:$H3446, 0)),if(G1110='Room Info'!$G$1, INDEX('Room Info'!$A$2:$A3446, MATCH(B1110,'Room Info'!$G$2:$G3446, 0)))))))))</f>
        <v>overplayKK</v>
      </c>
      <c r="B1110" s="50" t="s">
        <v>208</v>
      </c>
      <c r="C1110" s="51">
        <v>44613.0</v>
      </c>
      <c r="D1110" s="51">
        <v>44640.0</v>
      </c>
      <c r="E1110" s="52">
        <v>44621.0</v>
      </c>
      <c r="F1110" s="53" t="s">
        <v>4</v>
      </c>
      <c r="G1110" s="50" t="s">
        <v>13</v>
      </c>
      <c r="H1110" s="54" t="s">
        <v>45</v>
      </c>
      <c r="I1110" s="54" t="s">
        <v>18</v>
      </c>
      <c r="J1110" s="55">
        <v>10.0</v>
      </c>
      <c r="K1110" s="56">
        <v>2915.0</v>
      </c>
      <c r="L1110" s="57">
        <v>-840.0</v>
      </c>
      <c r="M1110" s="58">
        <v>1468.0</v>
      </c>
      <c r="N1110" s="33">
        <f t="shared" si="155"/>
        <v>29150</v>
      </c>
      <c r="O1110" s="59">
        <v>48916.0</v>
      </c>
      <c r="P1110" s="34">
        <f t="shared" si="14"/>
        <v>16.78078902</v>
      </c>
      <c r="Q1110" s="60"/>
      <c r="R1110" s="36">
        <f t="shared" si="156"/>
        <v>1468</v>
      </c>
      <c r="S1110" s="61">
        <v>-754.0</v>
      </c>
      <c r="T1110" s="37">
        <f t="shared" si="157"/>
        <v>714</v>
      </c>
      <c r="U1110" s="62">
        <v>1.0</v>
      </c>
      <c r="V1110" s="63"/>
      <c r="W1110" s="63"/>
      <c r="X1110" s="83">
        <v>0.22</v>
      </c>
      <c r="Y1110" s="35">
        <f t="shared" si="163"/>
        <v>0</v>
      </c>
      <c r="Z1110" s="40">
        <f t="shared" si="159"/>
        <v>556.92</v>
      </c>
      <c r="AA1110" s="34">
        <f t="shared" si="165"/>
        <v>157.08</v>
      </c>
      <c r="AB1110" s="41">
        <f t="shared" si="161"/>
        <v>0</v>
      </c>
      <c r="AC1110" s="42" t="b">
        <v>1</v>
      </c>
      <c r="AD1110" s="42" t="s">
        <v>138</v>
      </c>
      <c r="AE1110" s="42" t="s">
        <v>138</v>
      </c>
      <c r="AF1110" s="42" t="str">
        <f t="array" ref="AF1110">INDEX('Deal Info'!D:D, MATCH(A1110,'Deal Info'!A:A, 0))</f>
        <v>SF</v>
      </c>
      <c r="AG1110" s="43" t="str">
        <f t="array" ref="AG1110">INDEX('Deal Info'!G:G, MATCH(A1110,'Deal Info'!A:A, 0))</f>
        <v>None</v>
      </c>
    </row>
    <row r="1111" hidden="1">
      <c r="A1111" s="23" t="str">
        <f t="array" ref="A1111">if(G1111='Room Info'!$B$1, INDEX('Room Info'!$A$2:$A3446, MATCH(B1111,'Room Info'!$B$2:$B3446, 0)),if(G1111='Room Info'!$C$1, INDEX('Room Info'!$A$2:$A3446, MATCH(B1111,'Room Info'!$C$2:$C3446, 0)),if(G1111='Room Info'!$D$1, INDEX('Room Info'!$A$2:$A3446, MATCH(B1111,'Room Info'!$D$2:$D3446, 0)),if(G1111='Room Info'!$E$1, INDEX('Room Info'!$A$2:$A3446, MATCH(B1111,'Room Info'!$E$2:$E3446, 0)),if(G1111='Room Info'!$F$1, INDEX('Room Info'!$A$2:$A3446, MATCH(B1111,'Room Info'!$F$2:$F3446, 0)),if(G1111='Room Info'!$H$1, INDEX('Room Info'!$A$2:$A3446, MATCH(B1111,'Room Info'!$H$2:$H3446, 0)),if(G1111='Room Info'!$G$1, INDEX('Room Info'!$A$2:$A3446, MATCH(B1111,'Room Info'!$G$2:$G3446, 0)))))))))</f>
        <v>overplayKK</v>
      </c>
      <c r="B1111" s="50" t="s">
        <v>208</v>
      </c>
      <c r="C1111" s="82">
        <v>44613.0</v>
      </c>
      <c r="D1111" s="82">
        <v>44640.0</v>
      </c>
      <c r="E1111" s="52">
        <v>44621.0</v>
      </c>
      <c r="F1111" s="53" t="s">
        <v>4</v>
      </c>
      <c r="G1111" s="50" t="s">
        <v>13</v>
      </c>
      <c r="H1111" s="54" t="s">
        <v>59</v>
      </c>
      <c r="I1111" s="54" t="s">
        <v>18</v>
      </c>
      <c r="J1111" s="79">
        <v>20.0</v>
      </c>
      <c r="K1111" s="80">
        <v>2746.0</v>
      </c>
      <c r="L1111" s="77">
        <v>-1700.0</v>
      </c>
      <c r="M1111" s="81">
        <v>2767.0</v>
      </c>
      <c r="N1111" s="33">
        <f t="shared" si="155"/>
        <v>54920</v>
      </c>
      <c r="O1111" s="50">
        <v>42974.0</v>
      </c>
      <c r="P1111" s="34">
        <f t="shared" si="14"/>
        <v>15.64967225</v>
      </c>
      <c r="Q1111" s="60"/>
      <c r="R1111" s="36">
        <f t="shared" si="156"/>
        <v>2767</v>
      </c>
      <c r="S1111" s="78">
        <v>-1600.0</v>
      </c>
      <c r="T1111" s="37">
        <f t="shared" si="157"/>
        <v>1167</v>
      </c>
      <c r="U1111" s="62">
        <v>1.0</v>
      </c>
      <c r="V1111" s="63"/>
      <c r="W1111" s="63"/>
      <c r="X1111" s="83">
        <v>0.22</v>
      </c>
      <c r="Y1111" s="35">
        <f t="shared" si="163"/>
        <v>0</v>
      </c>
      <c r="Z1111" s="40">
        <f t="shared" si="159"/>
        <v>910.26</v>
      </c>
      <c r="AA1111" s="34">
        <f t="shared" si="165"/>
        <v>256.74</v>
      </c>
      <c r="AB1111" s="41">
        <f t="shared" si="161"/>
        <v>0</v>
      </c>
      <c r="AC1111" s="42" t="b">
        <v>1</v>
      </c>
      <c r="AD1111" s="42" t="s">
        <v>138</v>
      </c>
      <c r="AE1111" s="42" t="s">
        <v>138</v>
      </c>
      <c r="AF1111" s="42" t="str">
        <f t="array" ref="AF1111">INDEX('Deal Info'!D:D, MATCH(A1111,'Deal Info'!A:A, 0))</f>
        <v>SF</v>
      </c>
      <c r="AG1111" s="43" t="str">
        <f t="array" ref="AG1111">INDEX('Deal Info'!G:G, MATCH(A1111,'Deal Info'!A:A, 0))</f>
        <v>None</v>
      </c>
    </row>
    <row r="1112" hidden="1">
      <c r="A1112" s="23" t="str">
        <f t="array" ref="A1112">if(G1112='Room Info'!$B$1, INDEX('Room Info'!$A$2:$A3446, MATCH(B1112,'Room Info'!$B$2:$B3446, 0)),if(G1112='Room Info'!$C$1, INDEX('Room Info'!$A$2:$A3446, MATCH(B1112,'Room Info'!$C$2:$C3446, 0)),if(G1112='Room Info'!$D$1, INDEX('Room Info'!$A$2:$A3446, MATCH(B1112,'Room Info'!$D$2:$D3446, 0)),if(G1112='Room Info'!$E$1, INDEX('Room Info'!$A$2:$A3446, MATCH(B1112,'Room Info'!$E$2:$E3446, 0)),if(G1112='Room Info'!$F$1, INDEX('Room Info'!$A$2:$A3446, MATCH(B1112,'Room Info'!$F$2:$F3446, 0)),if(G1112='Room Info'!$H$1, INDEX('Room Info'!$A$2:$A3446, MATCH(B1112,'Room Info'!$H$2:$H3446, 0)),if(G1112='Room Info'!$G$1, INDEX('Room Info'!$A$2:$A3446, MATCH(B1112,'Room Info'!$G$2:$G3446, 0)))))))))</f>
        <v>overplayKK</v>
      </c>
      <c r="B1112" s="50" t="s">
        <v>208</v>
      </c>
      <c r="C1112" s="51">
        <v>44641.0</v>
      </c>
      <c r="D1112" s="51">
        <v>44671.0</v>
      </c>
      <c r="E1112" s="52">
        <v>44652.0</v>
      </c>
      <c r="F1112" s="53" t="s">
        <v>4</v>
      </c>
      <c r="G1112" s="50" t="s">
        <v>13</v>
      </c>
      <c r="H1112" s="54" t="s">
        <v>45</v>
      </c>
      <c r="I1112" s="54" t="s">
        <v>18</v>
      </c>
      <c r="J1112" s="55">
        <v>10.0</v>
      </c>
      <c r="K1112" s="56">
        <v>2.0</v>
      </c>
      <c r="L1112" s="57">
        <v>30.0</v>
      </c>
      <c r="M1112" s="58">
        <v>1.0</v>
      </c>
      <c r="N1112" s="33">
        <f t="shared" si="155"/>
        <v>20</v>
      </c>
      <c r="O1112" s="59">
        <v>-808.0</v>
      </c>
      <c r="P1112" s="34">
        <f t="shared" si="14"/>
        <v>-404</v>
      </c>
      <c r="Q1112" s="60"/>
      <c r="R1112" s="36">
        <f t="shared" si="156"/>
        <v>1</v>
      </c>
      <c r="S1112" s="61">
        <v>-25.0</v>
      </c>
      <c r="T1112" s="37">
        <f t="shared" si="157"/>
        <v>-24</v>
      </c>
      <c r="U1112" s="62">
        <v>1.0</v>
      </c>
      <c r="V1112" s="63"/>
      <c r="W1112" s="63"/>
      <c r="X1112" s="83">
        <v>0.22</v>
      </c>
      <c r="Y1112" s="35">
        <f t="shared" si="163"/>
        <v>0</v>
      </c>
      <c r="Z1112" s="40">
        <f t="shared" si="159"/>
        <v>-18.72</v>
      </c>
      <c r="AA1112" s="34">
        <f t="shared" si="165"/>
        <v>-5.28</v>
      </c>
      <c r="AB1112" s="41">
        <f t="shared" si="161"/>
        <v>0</v>
      </c>
      <c r="AC1112" s="42" t="b">
        <v>1</v>
      </c>
      <c r="AD1112" s="42" t="s">
        <v>138</v>
      </c>
      <c r="AE1112" s="42" t="s">
        <v>138</v>
      </c>
      <c r="AF1112" s="42" t="str">
        <f t="array" ref="AF1112">INDEX('Deal Info'!D:D, MATCH(A1112,'Deal Info'!A:A, 0))</f>
        <v>SF</v>
      </c>
      <c r="AG1112" s="43" t="str">
        <f t="array" ref="AG1112">INDEX('Deal Info'!G:G, MATCH(A1112,'Deal Info'!A:A, 0))</f>
        <v>None</v>
      </c>
    </row>
    <row r="1113" hidden="1">
      <c r="A1113" s="23" t="str">
        <f t="array" ref="A1113">if(G1113='Room Info'!$B$1, INDEX('Room Info'!$A$2:$A3446, MATCH(B1113,'Room Info'!$B$2:$B3446, 0)),if(G1113='Room Info'!$C$1, INDEX('Room Info'!$A$2:$A3446, MATCH(B1113,'Room Info'!$C$2:$C3446, 0)),if(G1113='Room Info'!$D$1, INDEX('Room Info'!$A$2:$A3446, MATCH(B1113,'Room Info'!$D$2:$D3446, 0)),if(G1113='Room Info'!$E$1, INDEX('Room Info'!$A$2:$A3446, MATCH(B1113,'Room Info'!$E$2:$E3446, 0)),if(G1113='Room Info'!$F$1, INDEX('Room Info'!$A$2:$A3446, MATCH(B1113,'Room Info'!$F$2:$F3446, 0)),if(G1113='Room Info'!$H$1, INDEX('Room Info'!$A$2:$A3446, MATCH(B1113,'Room Info'!$H$2:$H3446, 0)),if(G1113='Room Info'!$G$1, INDEX('Room Info'!$A$2:$A3446, MATCH(B1113,'Room Info'!$G$2:$G3446, 0)))))))))</f>
        <v>overplayKK</v>
      </c>
      <c r="B1113" s="50" t="s">
        <v>208</v>
      </c>
      <c r="C1113" s="82">
        <v>44641.0</v>
      </c>
      <c r="D1113" s="82">
        <v>44671.0</v>
      </c>
      <c r="E1113" s="52">
        <v>44652.0</v>
      </c>
      <c r="F1113" s="53" t="s">
        <v>4</v>
      </c>
      <c r="G1113" s="50" t="s">
        <v>13</v>
      </c>
      <c r="H1113" s="54" t="s">
        <v>59</v>
      </c>
      <c r="I1113" s="54" t="s">
        <v>18</v>
      </c>
      <c r="J1113" s="79">
        <v>20.0</v>
      </c>
      <c r="K1113" s="80">
        <v>427.0</v>
      </c>
      <c r="L1113" s="77">
        <v>-420.0</v>
      </c>
      <c r="M1113" s="81">
        <v>482.0</v>
      </c>
      <c r="N1113" s="33">
        <f t="shared" si="155"/>
        <v>8540</v>
      </c>
      <c r="O1113" s="50">
        <v>17142.0</v>
      </c>
      <c r="P1113" s="34">
        <f t="shared" si="14"/>
        <v>40.14519906</v>
      </c>
      <c r="Q1113" s="60"/>
      <c r="R1113" s="36">
        <f t="shared" si="156"/>
        <v>482</v>
      </c>
      <c r="S1113" s="78">
        <v>388.0</v>
      </c>
      <c r="T1113" s="37">
        <f t="shared" si="157"/>
        <v>870</v>
      </c>
      <c r="U1113" s="62">
        <v>1.0</v>
      </c>
      <c r="V1113" s="63"/>
      <c r="W1113" s="63"/>
      <c r="X1113" s="83">
        <v>0.22</v>
      </c>
      <c r="Y1113" s="35">
        <f t="shared" si="163"/>
        <v>0</v>
      </c>
      <c r="Z1113" s="40">
        <f t="shared" si="159"/>
        <v>678.6</v>
      </c>
      <c r="AA1113" s="34">
        <f t="shared" si="165"/>
        <v>191.4</v>
      </c>
      <c r="AB1113" s="41">
        <f t="shared" si="161"/>
        <v>0</v>
      </c>
      <c r="AC1113" s="42" t="b">
        <v>1</v>
      </c>
      <c r="AD1113" s="42" t="s">
        <v>138</v>
      </c>
      <c r="AE1113" s="42" t="s">
        <v>138</v>
      </c>
      <c r="AF1113" s="42" t="str">
        <f t="array" ref="AF1113">INDEX('Deal Info'!D:D, MATCH(A1113,'Deal Info'!A:A, 0))</f>
        <v>SF</v>
      </c>
      <c r="AG1113" s="43" t="str">
        <f t="array" ref="AG1113">INDEX('Deal Info'!G:G, MATCH(A1113,'Deal Info'!A:A, 0))</f>
        <v>None</v>
      </c>
    </row>
    <row r="1114" hidden="1">
      <c r="A1114" s="23" t="str">
        <f t="array" ref="A1114">if(G1114='Room Info'!$B$1, INDEX('Room Info'!$A$2:$A3446, MATCH(B1114,'Room Info'!$B$2:$B3446, 0)),if(G1114='Room Info'!$C$1, INDEX('Room Info'!$A$2:$A3446, MATCH(B1114,'Room Info'!$C$2:$C3446, 0)),if(G1114='Room Info'!$D$1, INDEX('Room Info'!$A$2:$A3446, MATCH(B1114,'Room Info'!$D$2:$D3446, 0)),if(G1114='Room Info'!$E$1, INDEX('Room Info'!$A$2:$A3446, MATCH(B1114,'Room Info'!$E$2:$E3446, 0)),if(G1114='Room Info'!$F$1, INDEX('Room Info'!$A$2:$A3446, MATCH(B1114,'Room Info'!$F$2:$F3446, 0)),if(G1114='Room Info'!$H$1, INDEX('Room Info'!$A$2:$A3446, MATCH(B1114,'Room Info'!$H$2:$H3446, 0)),if(G1114='Room Info'!$G$1, INDEX('Room Info'!$A$2:$A3446, MATCH(B1114,'Room Info'!$G$2:$G3446, 0)))))))))</f>
        <v>overplayKK</v>
      </c>
      <c r="B1114" s="50" t="s">
        <v>208</v>
      </c>
      <c r="C1114" s="82">
        <v>44641.0</v>
      </c>
      <c r="D1114" s="82">
        <v>44671.0</v>
      </c>
      <c r="E1114" s="52">
        <v>44652.0</v>
      </c>
      <c r="F1114" s="53" t="s">
        <v>4</v>
      </c>
      <c r="G1114" s="50" t="s">
        <v>13</v>
      </c>
      <c r="H1114" s="54" t="s">
        <v>74</v>
      </c>
      <c r="I1114" s="54" t="s">
        <v>18</v>
      </c>
      <c r="J1114" s="79">
        <v>50.0</v>
      </c>
      <c r="K1114" s="80">
        <v>1923.0</v>
      </c>
      <c r="L1114" s="77">
        <v>750.0</v>
      </c>
      <c r="M1114" s="81">
        <v>5422.0</v>
      </c>
      <c r="N1114" s="33">
        <f t="shared" si="155"/>
        <v>96150</v>
      </c>
      <c r="O1114" s="50">
        <v>28945.0</v>
      </c>
      <c r="P1114" s="34">
        <f t="shared" si="14"/>
        <v>15.05200208</v>
      </c>
      <c r="Q1114" s="60"/>
      <c r="R1114" s="36">
        <f t="shared" si="156"/>
        <v>5422</v>
      </c>
      <c r="S1114" s="78">
        <v>-2576.0</v>
      </c>
      <c r="T1114" s="37">
        <f t="shared" si="157"/>
        <v>2846</v>
      </c>
      <c r="U1114" s="62">
        <v>1.0</v>
      </c>
      <c r="V1114" s="63"/>
      <c r="W1114" s="63"/>
      <c r="X1114" s="83">
        <v>0.22</v>
      </c>
      <c r="Y1114" s="35">
        <f t="shared" si="163"/>
        <v>0</v>
      </c>
      <c r="Z1114" s="40">
        <f t="shared" si="159"/>
        <v>2219.88</v>
      </c>
      <c r="AA1114" s="34">
        <f t="shared" si="165"/>
        <v>626.12</v>
      </c>
      <c r="AB1114" s="41">
        <f t="shared" si="161"/>
        <v>0</v>
      </c>
      <c r="AC1114" s="42" t="b">
        <v>1</v>
      </c>
      <c r="AD1114" s="42" t="s">
        <v>138</v>
      </c>
      <c r="AE1114" s="42" t="s">
        <v>138</v>
      </c>
      <c r="AF1114" s="42" t="str">
        <f t="array" ref="AF1114">INDEX('Deal Info'!D:D, MATCH(A1114,'Deal Info'!A:A, 0))</f>
        <v>SF</v>
      </c>
      <c r="AG1114" s="43" t="str">
        <f t="array" ref="AG1114">INDEX('Deal Info'!G:G, MATCH(A1114,'Deal Info'!A:A, 0))</f>
        <v>None</v>
      </c>
    </row>
    <row r="1115" hidden="1">
      <c r="A1115" s="23" t="str">
        <f t="array" ref="A1115">if(G1115='Room Info'!$B$1, INDEX('Room Info'!$A$2:$A3446, MATCH(B1115,'Room Info'!$B$2:$B3446, 0)),if(G1115='Room Info'!$C$1, INDEX('Room Info'!$A$2:$A3446, MATCH(B1115,'Room Info'!$C$2:$C3446, 0)),if(G1115='Room Info'!$D$1, INDEX('Room Info'!$A$2:$A3446, MATCH(B1115,'Room Info'!$D$2:$D3446, 0)),if(G1115='Room Info'!$E$1, INDEX('Room Info'!$A$2:$A3446, MATCH(B1115,'Room Info'!$E$2:$E3446, 0)),if(G1115='Room Info'!$F$1, INDEX('Room Info'!$A$2:$A3446, MATCH(B1115,'Room Info'!$F$2:$F3446, 0)),if(G1115='Room Info'!$H$1, INDEX('Room Info'!$A$2:$A3446, MATCH(B1115,'Room Info'!$H$2:$H3446, 0)),if(G1115='Room Info'!$G$1, INDEX('Room Info'!$A$2:$A3446, MATCH(B1115,'Room Info'!$G$2:$G3446, 0)))))))))</f>
        <v>overplayKK</v>
      </c>
      <c r="B1115" s="50" t="s">
        <v>208</v>
      </c>
      <c r="C1115" s="51">
        <v>44672.0</v>
      </c>
      <c r="D1115" s="51">
        <v>44701.0</v>
      </c>
      <c r="E1115" s="52">
        <v>44682.0</v>
      </c>
      <c r="F1115" s="53" t="s">
        <v>4</v>
      </c>
      <c r="G1115" s="59" t="s">
        <v>13</v>
      </c>
      <c r="H1115" s="54" t="s">
        <v>59</v>
      </c>
      <c r="I1115" s="54" t="s">
        <v>18</v>
      </c>
      <c r="J1115" s="55">
        <v>20.0</v>
      </c>
      <c r="K1115" s="56">
        <v>4073.0</v>
      </c>
      <c r="L1115" s="57">
        <v>-3200.0</v>
      </c>
      <c r="M1115" s="58">
        <v>3502.0</v>
      </c>
      <c r="N1115" s="33">
        <f t="shared" si="155"/>
        <v>81460</v>
      </c>
      <c r="O1115" s="59">
        <v>53269.0</v>
      </c>
      <c r="P1115" s="34">
        <f t="shared" si="14"/>
        <v>13.07856617</v>
      </c>
      <c r="Q1115" s="60"/>
      <c r="R1115" s="36">
        <f t="shared" si="156"/>
        <v>3502</v>
      </c>
      <c r="S1115" s="61">
        <v>-2837.0</v>
      </c>
      <c r="T1115" s="37">
        <f t="shared" si="157"/>
        <v>665</v>
      </c>
      <c r="U1115" s="62">
        <v>1.0</v>
      </c>
      <c r="V1115" s="63"/>
      <c r="W1115" s="63"/>
      <c r="X1115" s="83">
        <v>0.3</v>
      </c>
      <c r="Y1115" s="35">
        <f t="shared" si="163"/>
        <v>0</v>
      </c>
      <c r="Z1115" s="40">
        <f t="shared" si="159"/>
        <v>465.5</v>
      </c>
      <c r="AA1115" s="34">
        <f t="shared" si="165"/>
        <v>199.5</v>
      </c>
      <c r="AB1115" s="41">
        <f t="shared" si="161"/>
        <v>0</v>
      </c>
      <c r="AC1115" s="42" t="b">
        <v>1</v>
      </c>
      <c r="AD1115" s="42" t="s">
        <v>138</v>
      </c>
      <c r="AE1115" s="42" t="s">
        <v>138</v>
      </c>
      <c r="AF1115" s="42" t="str">
        <f t="array" ref="AF1115">INDEX('Deal Info'!D:D, MATCH(A1115,'Deal Info'!A:A, 0))</f>
        <v>SF</v>
      </c>
      <c r="AG1115" s="43" t="str">
        <f t="array" ref="AG1115">INDEX('Deal Info'!G:G, MATCH(A1115,'Deal Info'!A:A, 0))</f>
        <v>None</v>
      </c>
    </row>
    <row r="1116" hidden="1">
      <c r="A1116" s="23" t="str">
        <f t="array" ref="A1116">if(G1116='Room Info'!$B$1, INDEX('Room Info'!$A$2:$A3446, MATCH(B1116,'Room Info'!$B$2:$B3446, 0)),if(G1116='Room Info'!$C$1, INDEX('Room Info'!$A$2:$A3446, MATCH(B1116,'Room Info'!$C$2:$C3446, 0)),if(G1116='Room Info'!$D$1, INDEX('Room Info'!$A$2:$A3446, MATCH(B1116,'Room Info'!$D$2:$D3446, 0)),if(G1116='Room Info'!$E$1, INDEX('Room Info'!$A$2:$A3446, MATCH(B1116,'Room Info'!$E$2:$E3446, 0)),if(G1116='Room Info'!$F$1, INDEX('Room Info'!$A$2:$A3446, MATCH(B1116,'Room Info'!$F$2:$F3446, 0)),if(G1116='Room Info'!$H$1, INDEX('Room Info'!$A$2:$A3446, MATCH(B1116,'Room Info'!$H$2:$H3446, 0)),if(G1116='Room Info'!$G$1, INDEX('Room Info'!$A$2:$A3446, MATCH(B1116,'Room Info'!$G$2:$G3446, 0)))))))))</f>
        <v>overplayKK</v>
      </c>
      <c r="B1116" s="50" t="s">
        <v>208</v>
      </c>
      <c r="C1116" s="51">
        <v>44672.0</v>
      </c>
      <c r="D1116" s="51">
        <v>44701.0</v>
      </c>
      <c r="E1116" s="52">
        <v>44682.0</v>
      </c>
      <c r="F1116" s="53" t="s">
        <v>4</v>
      </c>
      <c r="G1116" s="59" t="s">
        <v>13</v>
      </c>
      <c r="H1116" s="54" t="s">
        <v>74</v>
      </c>
      <c r="I1116" s="54" t="s">
        <v>18</v>
      </c>
      <c r="J1116" s="55">
        <v>50.0</v>
      </c>
      <c r="K1116" s="56">
        <v>1524.0</v>
      </c>
      <c r="L1116" s="57">
        <v>-8250.0</v>
      </c>
      <c r="M1116" s="58">
        <v>3276.0</v>
      </c>
      <c r="N1116" s="33">
        <f t="shared" si="155"/>
        <v>76200</v>
      </c>
      <c r="O1116" s="59">
        <v>5566.0</v>
      </c>
      <c r="P1116" s="34">
        <f t="shared" si="14"/>
        <v>3.652230971</v>
      </c>
      <c r="Q1116" s="60"/>
      <c r="R1116" s="36">
        <f t="shared" si="156"/>
        <v>3276</v>
      </c>
      <c r="S1116" s="61">
        <v>-4720.0</v>
      </c>
      <c r="T1116" s="37">
        <f t="shared" si="157"/>
        <v>-1444</v>
      </c>
      <c r="U1116" s="62">
        <v>1.0</v>
      </c>
      <c r="V1116" s="63"/>
      <c r="W1116" s="63"/>
      <c r="X1116" s="83">
        <v>0.3</v>
      </c>
      <c r="Y1116" s="35">
        <f t="shared" si="163"/>
        <v>0</v>
      </c>
      <c r="Z1116" s="40">
        <f t="shared" si="159"/>
        <v>-1010.8</v>
      </c>
      <c r="AA1116" s="34">
        <f t="shared" si="165"/>
        <v>-433.2</v>
      </c>
      <c r="AB1116" s="41">
        <f t="shared" si="161"/>
        <v>0</v>
      </c>
      <c r="AC1116" s="42" t="b">
        <v>1</v>
      </c>
      <c r="AD1116" s="42" t="s">
        <v>138</v>
      </c>
      <c r="AE1116" s="42" t="s">
        <v>138</v>
      </c>
      <c r="AF1116" s="42" t="str">
        <f t="array" ref="AF1116">INDEX('Deal Info'!D:D, MATCH(A1116,'Deal Info'!A:A, 0))</f>
        <v>SF</v>
      </c>
      <c r="AG1116" s="43" t="str">
        <f t="array" ref="AG1116">INDEX('Deal Info'!G:G, MATCH(A1116,'Deal Info'!A:A, 0))</f>
        <v>None</v>
      </c>
    </row>
    <row r="1117" hidden="1">
      <c r="A1117" s="23" t="str">
        <f t="array" ref="A1117">if(G1117='Room Info'!$B$1, INDEX('Room Info'!$A$2:$A3446, MATCH(B1117,'Room Info'!$B$2:$B3446, 0)),if(G1117='Room Info'!$C$1, INDEX('Room Info'!$A$2:$A3446, MATCH(B1117,'Room Info'!$C$2:$C3446, 0)),if(G1117='Room Info'!$D$1, INDEX('Room Info'!$A$2:$A3446, MATCH(B1117,'Room Info'!$D$2:$D3446, 0)),if(G1117='Room Info'!$E$1, INDEX('Room Info'!$A$2:$A3446, MATCH(B1117,'Room Info'!$E$2:$E3446, 0)),if(G1117='Room Info'!$F$1, INDEX('Room Info'!$A$2:$A3446, MATCH(B1117,'Room Info'!$F$2:$F3446, 0)),if(G1117='Room Info'!$H$1, INDEX('Room Info'!$A$2:$A3446, MATCH(B1117,'Room Info'!$H$2:$H3446, 0)),if(G1117='Room Info'!$G$1, INDEX('Room Info'!$A$2:$A3446, MATCH(B1117,'Room Info'!$G$2:$G3446, 0)))))))))</f>
        <v>overplayKK</v>
      </c>
      <c r="B1117" s="50" t="s">
        <v>208</v>
      </c>
      <c r="C1117" s="51">
        <v>44702.0</v>
      </c>
      <c r="D1117" s="51">
        <v>44732.0</v>
      </c>
      <c r="E1117" s="52">
        <v>44713.0</v>
      </c>
      <c r="F1117" s="53" t="s">
        <v>4</v>
      </c>
      <c r="G1117" s="59" t="s">
        <v>13</v>
      </c>
      <c r="H1117" s="54" t="s">
        <v>59</v>
      </c>
      <c r="I1117" s="54" t="s">
        <v>18</v>
      </c>
      <c r="J1117" s="55">
        <v>20.0</v>
      </c>
      <c r="K1117" s="56">
        <v>4956.0</v>
      </c>
      <c r="L1117" s="57">
        <v>-4480.0</v>
      </c>
      <c r="M1117" s="58">
        <v>5814.0</v>
      </c>
      <c r="N1117" s="33">
        <f t="shared" si="155"/>
        <v>99120</v>
      </c>
      <c r="O1117" s="59">
        <v>45693.0</v>
      </c>
      <c r="P1117" s="34">
        <f t="shared" si="14"/>
        <v>9.219733656</v>
      </c>
      <c r="Q1117" s="60"/>
      <c r="R1117" s="36">
        <f t="shared" si="156"/>
        <v>5814</v>
      </c>
      <c r="S1117" s="61">
        <v>-4468.0</v>
      </c>
      <c r="T1117" s="37">
        <f t="shared" si="157"/>
        <v>1346</v>
      </c>
      <c r="U1117" s="62">
        <v>1.0</v>
      </c>
      <c r="V1117" s="63"/>
      <c r="W1117" s="63"/>
      <c r="X1117" s="83">
        <v>0.3</v>
      </c>
      <c r="Y1117" s="35">
        <f t="shared" si="163"/>
        <v>0</v>
      </c>
      <c r="Z1117" s="40">
        <f t="shared" si="159"/>
        <v>942.2</v>
      </c>
      <c r="AA1117" s="34">
        <f t="shared" si="165"/>
        <v>403.8</v>
      </c>
      <c r="AB1117" s="41">
        <f t="shared" si="161"/>
        <v>0</v>
      </c>
      <c r="AC1117" s="42" t="b">
        <v>1</v>
      </c>
      <c r="AD1117" s="42" t="s">
        <v>138</v>
      </c>
      <c r="AE1117" s="42" t="s">
        <v>138</v>
      </c>
      <c r="AF1117" s="42" t="str">
        <f t="array" ref="AF1117">INDEX('Deal Info'!D:D, MATCH(A1117,'Deal Info'!A:A, 0))</f>
        <v>SF</v>
      </c>
      <c r="AG1117" s="43" t="str">
        <f t="array" ref="AG1117">INDEX('Deal Info'!G:G, MATCH(A1117,'Deal Info'!A:A, 0))</f>
        <v>None</v>
      </c>
    </row>
    <row r="1118" hidden="1">
      <c r="A1118" s="23" t="str">
        <f t="array" ref="A1118">if(G1118='Room Info'!$B$1, INDEX('Room Info'!$A$2:$A3446, MATCH(B1118,'Room Info'!$B$2:$B3446, 0)),if(G1118='Room Info'!$C$1, INDEX('Room Info'!$A$2:$A3446, MATCH(B1118,'Room Info'!$C$2:$C3446, 0)),if(G1118='Room Info'!$D$1, INDEX('Room Info'!$A$2:$A3446, MATCH(B1118,'Room Info'!$D$2:$D3446, 0)),if(G1118='Room Info'!$E$1, INDEX('Room Info'!$A$2:$A3446, MATCH(B1118,'Room Info'!$E$2:$E3446, 0)),if(G1118='Room Info'!$F$1, INDEX('Room Info'!$A$2:$A3446, MATCH(B1118,'Room Info'!$F$2:$F3446, 0)),if(G1118='Room Info'!$H$1, INDEX('Room Info'!$A$2:$A3446, MATCH(B1118,'Room Info'!$H$2:$H3446, 0)),if(G1118='Room Info'!$G$1, INDEX('Room Info'!$A$2:$A3446, MATCH(B1118,'Room Info'!$G$2:$G3446, 0)))))))))</f>
        <v>overplayKK</v>
      </c>
      <c r="B1118" s="59" t="s">
        <v>208</v>
      </c>
      <c r="C1118" s="51">
        <v>44702.0</v>
      </c>
      <c r="D1118" s="51">
        <v>44732.0</v>
      </c>
      <c r="E1118" s="52">
        <v>44713.0</v>
      </c>
      <c r="F1118" s="50" t="s">
        <v>4</v>
      </c>
      <c r="G1118" s="59" t="s">
        <v>13</v>
      </c>
      <c r="H1118" s="54" t="s">
        <v>74</v>
      </c>
      <c r="I1118" s="54" t="s">
        <v>18</v>
      </c>
      <c r="J1118" s="55">
        <v>50.0</v>
      </c>
      <c r="K1118" s="56">
        <v>1.0</v>
      </c>
      <c r="L1118" s="57">
        <v>50.0</v>
      </c>
      <c r="M1118" s="67"/>
      <c r="N1118" s="33">
        <f t="shared" si="155"/>
        <v>50</v>
      </c>
      <c r="O1118" s="59">
        <v>531.0</v>
      </c>
      <c r="P1118" s="34">
        <f t="shared" si="14"/>
        <v>531</v>
      </c>
      <c r="Q1118" s="60"/>
      <c r="R1118" s="36">
        <f t="shared" si="156"/>
        <v>0</v>
      </c>
      <c r="S1118" s="61">
        <v>73.0</v>
      </c>
      <c r="T1118" s="37">
        <f t="shared" si="157"/>
        <v>73</v>
      </c>
      <c r="U1118" s="62">
        <v>1.0</v>
      </c>
      <c r="V1118" s="63"/>
      <c r="W1118" s="63"/>
      <c r="X1118" s="83">
        <v>0.3</v>
      </c>
      <c r="Y1118" s="35">
        <f t="shared" si="163"/>
        <v>0</v>
      </c>
      <c r="Z1118" s="40">
        <f t="shared" si="159"/>
        <v>51.1</v>
      </c>
      <c r="AA1118" s="34">
        <f t="shared" si="165"/>
        <v>21.9</v>
      </c>
      <c r="AB1118" s="41">
        <f t="shared" si="161"/>
        <v>0</v>
      </c>
      <c r="AC1118" s="42" t="b">
        <v>1</v>
      </c>
      <c r="AD1118" s="42" t="s">
        <v>138</v>
      </c>
      <c r="AE1118" s="42" t="s">
        <v>138</v>
      </c>
      <c r="AF1118" s="42" t="str">
        <f t="array" ref="AF1118">INDEX('Deal Info'!D:D, MATCH(A1118,'Deal Info'!A:A, 0))</f>
        <v>SF</v>
      </c>
      <c r="AG1118" s="43" t="str">
        <f t="array" ref="AG1118">INDEX('Deal Info'!G:G, MATCH(A1118,'Deal Info'!A:A, 0))</f>
        <v>None</v>
      </c>
    </row>
    <row r="1119" hidden="1">
      <c r="A1119" s="23" t="str">
        <f t="array" ref="A1119">if(G1119='Room Info'!$B$1, INDEX('Room Info'!$A$2:$A3446, MATCH(B1119,'Room Info'!$B$2:$B3446, 0)),if(G1119='Room Info'!$C$1, INDEX('Room Info'!$A$2:$A3446, MATCH(B1119,'Room Info'!$C$2:$C3446, 0)),if(G1119='Room Info'!$D$1, INDEX('Room Info'!$A$2:$A3446, MATCH(B1119,'Room Info'!$D$2:$D3446, 0)),if(G1119='Room Info'!$E$1, INDEX('Room Info'!$A$2:$A3446, MATCH(B1119,'Room Info'!$E$2:$E3446, 0)),if(G1119='Room Info'!$F$1, INDEX('Room Info'!$A$2:$A3446, MATCH(B1119,'Room Info'!$F$2:$F3446, 0)),if(G1119='Room Info'!$H$1, INDEX('Room Info'!$A$2:$A3446, MATCH(B1119,'Room Info'!$H$2:$H3446, 0)),if(G1119='Room Info'!$G$1, INDEX('Room Info'!$A$2:$A3446, MATCH(B1119,'Room Info'!$G$2:$G3446, 0)))))))))</f>
        <v>overplayKK</v>
      </c>
      <c r="B1119" s="59" t="s">
        <v>208</v>
      </c>
      <c r="C1119" s="51">
        <v>44733.0</v>
      </c>
      <c r="D1119" s="51">
        <v>44762.0</v>
      </c>
      <c r="E1119" s="52">
        <v>44743.0</v>
      </c>
      <c r="F1119" s="50" t="s">
        <v>4</v>
      </c>
      <c r="G1119" s="59" t="s">
        <v>13</v>
      </c>
      <c r="H1119" s="54" t="s">
        <v>45</v>
      </c>
      <c r="I1119" s="54" t="s">
        <v>18</v>
      </c>
      <c r="J1119" s="55">
        <v>10.0</v>
      </c>
      <c r="K1119" s="56">
        <v>107.0</v>
      </c>
      <c r="L1119" s="57">
        <v>-140.0</v>
      </c>
      <c r="M1119" s="58">
        <v>54.0</v>
      </c>
      <c r="N1119" s="33">
        <f t="shared" si="155"/>
        <v>1070</v>
      </c>
      <c r="O1119" s="59">
        <v>1049.0</v>
      </c>
      <c r="P1119" s="34">
        <f t="shared" si="14"/>
        <v>9.803738318</v>
      </c>
      <c r="Q1119" s="60"/>
      <c r="R1119" s="36">
        <f t="shared" si="156"/>
        <v>54</v>
      </c>
      <c r="S1119" s="61">
        <v>-50.0</v>
      </c>
      <c r="T1119" s="37">
        <f t="shared" si="157"/>
        <v>4</v>
      </c>
      <c r="U1119" s="62">
        <v>1.0</v>
      </c>
      <c r="V1119" s="63"/>
      <c r="W1119" s="63"/>
      <c r="X1119" s="83">
        <v>0.3</v>
      </c>
      <c r="Y1119" s="35">
        <f t="shared" si="163"/>
        <v>0</v>
      </c>
      <c r="Z1119" s="40">
        <f t="shared" si="159"/>
        <v>2.8</v>
      </c>
      <c r="AA1119" s="34">
        <f t="shared" si="165"/>
        <v>1.2</v>
      </c>
      <c r="AB1119" s="41">
        <f t="shared" si="161"/>
        <v>0</v>
      </c>
      <c r="AC1119" s="42" t="b">
        <v>1</v>
      </c>
      <c r="AD1119" s="42" t="s">
        <v>138</v>
      </c>
      <c r="AE1119" s="42" t="s">
        <v>138</v>
      </c>
      <c r="AF1119" s="42" t="str">
        <f t="array" ref="AF1119">INDEX('Deal Info'!D:D, MATCH(A1119,'Deal Info'!A:A, 0))</f>
        <v>SF</v>
      </c>
      <c r="AG1119" s="43" t="str">
        <f t="array" ref="AG1119">INDEX('Deal Info'!G:G, MATCH(A1119,'Deal Info'!A:A, 0))</f>
        <v>None</v>
      </c>
    </row>
    <row r="1120" hidden="1">
      <c r="A1120" s="23" t="str">
        <f t="array" ref="A1120">if(G1120='Room Info'!$B$1, INDEX('Room Info'!$A$2:$A3446, MATCH(B1120,'Room Info'!$B$2:$B3446, 0)),if(G1120='Room Info'!$C$1, INDEX('Room Info'!$A$2:$A3446, MATCH(B1120,'Room Info'!$C$2:$C3446, 0)),if(G1120='Room Info'!$D$1, INDEX('Room Info'!$A$2:$A3446, MATCH(B1120,'Room Info'!$D$2:$D3446, 0)),if(G1120='Room Info'!$E$1, INDEX('Room Info'!$A$2:$A3446, MATCH(B1120,'Room Info'!$E$2:$E3446, 0)),if(G1120='Room Info'!$F$1, INDEX('Room Info'!$A$2:$A3446, MATCH(B1120,'Room Info'!$F$2:$F3446, 0)),if(G1120='Room Info'!$H$1, INDEX('Room Info'!$A$2:$A3446, MATCH(B1120,'Room Info'!$H$2:$H3446, 0)),if(G1120='Room Info'!$G$1, INDEX('Room Info'!$A$2:$A3446, MATCH(B1120,'Room Info'!$G$2:$G3446, 0)))))))))</f>
        <v>overplayKK</v>
      </c>
      <c r="B1120" s="50" t="s">
        <v>208</v>
      </c>
      <c r="C1120" s="51">
        <v>44733.0</v>
      </c>
      <c r="D1120" s="51">
        <v>44762.0</v>
      </c>
      <c r="E1120" s="52">
        <v>44743.0</v>
      </c>
      <c r="F1120" s="53" t="s">
        <v>4</v>
      </c>
      <c r="G1120" s="50" t="s">
        <v>13</v>
      </c>
      <c r="H1120" s="54" t="s">
        <v>59</v>
      </c>
      <c r="I1120" s="54" t="s">
        <v>18</v>
      </c>
      <c r="J1120" s="55">
        <v>20.0</v>
      </c>
      <c r="K1120" s="56">
        <v>5617.0</v>
      </c>
      <c r="L1120" s="57">
        <v>-1120.0</v>
      </c>
      <c r="M1120" s="58">
        <v>5639.0</v>
      </c>
      <c r="N1120" s="33">
        <f t="shared" si="155"/>
        <v>112340</v>
      </c>
      <c r="O1120" s="59">
        <v>72272.0</v>
      </c>
      <c r="P1120" s="34">
        <f t="shared" si="14"/>
        <v>12.8666548</v>
      </c>
      <c r="Q1120" s="60"/>
      <c r="R1120" s="36">
        <f t="shared" si="156"/>
        <v>5639</v>
      </c>
      <c r="S1120" s="61">
        <v>-4230.0</v>
      </c>
      <c r="T1120" s="37">
        <f t="shared" si="157"/>
        <v>1409</v>
      </c>
      <c r="U1120" s="62">
        <v>1.0</v>
      </c>
      <c r="V1120" s="63"/>
      <c r="W1120" s="63"/>
      <c r="X1120" s="83">
        <v>0.3</v>
      </c>
      <c r="Y1120" s="35">
        <f t="shared" si="163"/>
        <v>0</v>
      </c>
      <c r="Z1120" s="40">
        <f t="shared" si="159"/>
        <v>986.3</v>
      </c>
      <c r="AA1120" s="34">
        <f t="shared" si="165"/>
        <v>422.7</v>
      </c>
      <c r="AB1120" s="41">
        <f t="shared" si="161"/>
        <v>0</v>
      </c>
      <c r="AC1120" s="42" t="b">
        <v>1</v>
      </c>
      <c r="AD1120" s="42" t="s">
        <v>138</v>
      </c>
      <c r="AE1120" s="42" t="s">
        <v>138</v>
      </c>
      <c r="AF1120" s="42" t="str">
        <f t="array" ref="AF1120">INDEX('Deal Info'!D:D, MATCH(A1120,'Deal Info'!A:A, 0))</f>
        <v>SF</v>
      </c>
      <c r="AG1120" s="43" t="str">
        <f t="array" ref="AG1120">INDEX('Deal Info'!G:G, MATCH(A1120,'Deal Info'!A:A, 0))</f>
        <v>None</v>
      </c>
    </row>
    <row r="1121" hidden="1">
      <c r="A1121" s="23" t="str">
        <f t="array" ref="A1121">if(G1121='Room Info'!$B$1, INDEX('Room Info'!$A$2:$A3446, MATCH(B1121,'Room Info'!$B$2:$B3446, 0)),if(G1121='Room Info'!$C$1, INDEX('Room Info'!$A$2:$A3446, MATCH(B1121,'Room Info'!$C$2:$C3446, 0)),if(G1121='Room Info'!$D$1, INDEX('Room Info'!$A$2:$A3446, MATCH(B1121,'Room Info'!$D$2:$D3446, 0)),if(G1121='Room Info'!$E$1, INDEX('Room Info'!$A$2:$A3446, MATCH(B1121,'Room Info'!$E$2:$E3446, 0)),if(G1121='Room Info'!$F$1, INDEX('Room Info'!$A$2:$A3446, MATCH(B1121,'Room Info'!$F$2:$F3446, 0)),if(G1121='Room Info'!$H$1, INDEX('Room Info'!$A$2:$A3446, MATCH(B1121,'Room Info'!$H$2:$H3446, 0)),if(G1121='Room Info'!$G$1, INDEX('Room Info'!$A$2:$A3446, MATCH(B1121,'Room Info'!$G$2:$G3446, 0)))))))))</f>
        <v>overplayKK</v>
      </c>
      <c r="B1121" s="50" t="s">
        <v>208</v>
      </c>
      <c r="C1121" s="51">
        <v>44733.0</v>
      </c>
      <c r="D1121" s="51">
        <v>44762.0</v>
      </c>
      <c r="E1121" s="52">
        <v>44743.0</v>
      </c>
      <c r="F1121" s="53" t="s">
        <v>4</v>
      </c>
      <c r="G1121" s="50" t="s">
        <v>13</v>
      </c>
      <c r="H1121" s="54" t="s">
        <v>74</v>
      </c>
      <c r="I1121" s="54" t="s">
        <v>18</v>
      </c>
      <c r="J1121" s="55">
        <v>50.0</v>
      </c>
      <c r="K1121" s="56">
        <v>498.0</v>
      </c>
      <c r="L1121" s="57">
        <v>-3800.0</v>
      </c>
      <c r="M1121" s="58">
        <v>1250.0</v>
      </c>
      <c r="N1121" s="33">
        <f t="shared" si="155"/>
        <v>24900</v>
      </c>
      <c r="O1121" s="59">
        <v>2919.0</v>
      </c>
      <c r="P1121" s="34">
        <f t="shared" si="14"/>
        <v>5.861445783</v>
      </c>
      <c r="Q1121" s="60"/>
      <c r="R1121" s="36">
        <f t="shared" si="156"/>
        <v>1250</v>
      </c>
      <c r="S1121" s="61">
        <v>-1439.0</v>
      </c>
      <c r="T1121" s="37">
        <f t="shared" si="157"/>
        <v>-189</v>
      </c>
      <c r="U1121" s="62">
        <v>1.0</v>
      </c>
      <c r="V1121" s="63"/>
      <c r="W1121" s="63"/>
      <c r="X1121" s="83">
        <v>0.3</v>
      </c>
      <c r="Y1121" s="35">
        <f t="shared" si="163"/>
        <v>0</v>
      </c>
      <c r="Z1121" s="40">
        <f t="shared" si="159"/>
        <v>-132.3</v>
      </c>
      <c r="AA1121" s="34">
        <f t="shared" si="165"/>
        <v>-56.7</v>
      </c>
      <c r="AB1121" s="41">
        <f t="shared" si="161"/>
        <v>0</v>
      </c>
      <c r="AC1121" s="42" t="b">
        <v>1</v>
      </c>
      <c r="AD1121" s="42" t="s">
        <v>138</v>
      </c>
      <c r="AE1121" s="42" t="s">
        <v>138</v>
      </c>
      <c r="AF1121" s="42" t="str">
        <f t="array" ref="AF1121">INDEX('Deal Info'!D:D, MATCH(A1121,'Deal Info'!A:A, 0))</f>
        <v>SF</v>
      </c>
      <c r="AG1121" s="43" t="str">
        <f t="array" ref="AG1121">INDEX('Deal Info'!G:G, MATCH(A1121,'Deal Info'!A:A, 0))</f>
        <v>None</v>
      </c>
    </row>
    <row r="1122" hidden="1">
      <c r="A1122" s="23" t="str">
        <f t="array" ref="A1122">if(G1122='Room Info'!$B$1, INDEX('Room Info'!$A$2:$A3446, MATCH(B1122,'Room Info'!$B$2:$B3446, 0)),if(G1122='Room Info'!$C$1, INDEX('Room Info'!$A$2:$A3446, MATCH(B1122,'Room Info'!$C$2:$C3446, 0)),if(G1122='Room Info'!$D$1, INDEX('Room Info'!$A$2:$A3446, MATCH(B1122,'Room Info'!$D$2:$D3446, 0)),if(G1122='Room Info'!$E$1, INDEX('Room Info'!$A$2:$A3446, MATCH(B1122,'Room Info'!$E$2:$E3446, 0)),if(G1122='Room Info'!$F$1, INDEX('Room Info'!$A$2:$A3446, MATCH(B1122,'Room Info'!$F$2:$F3446, 0)),if(G1122='Room Info'!$H$1, INDEX('Room Info'!$A$2:$A3446, MATCH(B1122,'Room Info'!$H$2:$H3446, 0)),if(G1122='Room Info'!$G$1, INDEX('Room Info'!$A$2:$A3446, MATCH(B1122,'Room Info'!$G$2:$G3446, 0)))))))))</f>
        <v>overplayKK</v>
      </c>
      <c r="B1122" s="50" t="s">
        <v>208</v>
      </c>
      <c r="C1122" s="51">
        <v>44763.0</v>
      </c>
      <c r="D1122" s="51">
        <v>44793.0</v>
      </c>
      <c r="E1122" s="52">
        <v>44774.0</v>
      </c>
      <c r="F1122" s="53" t="s">
        <v>4</v>
      </c>
      <c r="G1122" s="50" t="s">
        <v>13</v>
      </c>
      <c r="H1122" s="54" t="s">
        <v>34</v>
      </c>
      <c r="I1122" s="54" t="s">
        <v>18</v>
      </c>
      <c r="J1122" s="55">
        <v>5.0</v>
      </c>
      <c r="K1122" s="56">
        <v>958.0</v>
      </c>
      <c r="L1122" s="57">
        <v>130.0</v>
      </c>
      <c r="M1122" s="58">
        <v>225.0</v>
      </c>
      <c r="N1122" s="33">
        <f t="shared" si="155"/>
        <v>4790</v>
      </c>
      <c r="O1122" s="59">
        <v>37334.0</v>
      </c>
      <c r="P1122" s="34">
        <f t="shared" si="14"/>
        <v>38.97077244</v>
      </c>
      <c r="Q1122" s="60"/>
      <c r="R1122" s="36">
        <f t="shared" si="156"/>
        <v>225</v>
      </c>
      <c r="S1122" s="61">
        <v>190.0</v>
      </c>
      <c r="T1122" s="37">
        <f t="shared" si="157"/>
        <v>415</v>
      </c>
      <c r="U1122" s="62">
        <v>1.0</v>
      </c>
      <c r="V1122" s="63"/>
      <c r="W1122" s="63"/>
      <c r="X1122" s="83">
        <v>0.25</v>
      </c>
      <c r="Y1122" s="35">
        <f t="shared" si="163"/>
        <v>0</v>
      </c>
      <c r="Z1122" s="40">
        <f t="shared" si="159"/>
        <v>311.25</v>
      </c>
      <c r="AA1122" s="34">
        <f t="shared" si="165"/>
        <v>103.75</v>
      </c>
      <c r="AB1122" s="41">
        <f t="shared" si="161"/>
        <v>0</v>
      </c>
      <c r="AC1122" s="42" t="b">
        <v>1</v>
      </c>
      <c r="AD1122" s="42" t="s">
        <v>138</v>
      </c>
      <c r="AE1122" s="42" t="s">
        <v>138</v>
      </c>
      <c r="AF1122" s="42" t="str">
        <f t="array" ref="AF1122">INDEX('Deal Info'!D:D, MATCH(A1122,'Deal Info'!A:A, 0))</f>
        <v>SF</v>
      </c>
      <c r="AG1122" s="43" t="str">
        <f t="array" ref="AG1122">INDEX('Deal Info'!G:G, MATCH(A1122,'Deal Info'!A:A, 0))</f>
        <v>None</v>
      </c>
    </row>
    <row r="1123" hidden="1">
      <c r="A1123" s="23" t="str">
        <f t="array" ref="A1123">if(G1123='Room Info'!$B$1, INDEX('Room Info'!$A$2:$A3446, MATCH(B1123,'Room Info'!$B$2:$B3446, 0)),if(G1123='Room Info'!$C$1, INDEX('Room Info'!$A$2:$A3446, MATCH(B1123,'Room Info'!$C$2:$C3446, 0)),if(G1123='Room Info'!$D$1, INDEX('Room Info'!$A$2:$A3446, MATCH(B1123,'Room Info'!$D$2:$D3446, 0)),if(G1123='Room Info'!$E$1, INDEX('Room Info'!$A$2:$A3446, MATCH(B1123,'Room Info'!$E$2:$E3446, 0)),if(G1123='Room Info'!$F$1, INDEX('Room Info'!$A$2:$A3446, MATCH(B1123,'Room Info'!$F$2:$F3446, 0)),if(G1123='Room Info'!$H$1, INDEX('Room Info'!$A$2:$A3446, MATCH(B1123,'Room Info'!$H$2:$H3446, 0)),if(G1123='Room Info'!$G$1, INDEX('Room Info'!$A$2:$A3446, MATCH(B1123,'Room Info'!$G$2:$G3446, 0)))))))))</f>
        <v>overplayKK</v>
      </c>
      <c r="B1123" s="50" t="s">
        <v>208</v>
      </c>
      <c r="C1123" s="51">
        <v>44763.0</v>
      </c>
      <c r="D1123" s="51">
        <v>44793.0</v>
      </c>
      <c r="E1123" s="52">
        <v>44774.0</v>
      </c>
      <c r="F1123" s="53" t="s">
        <v>4</v>
      </c>
      <c r="G1123" s="50" t="s">
        <v>13</v>
      </c>
      <c r="H1123" s="54" t="s">
        <v>45</v>
      </c>
      <c r="I1123" s="54" t="s">
        <v>18</v>
      </c>
      <c r="J1123" s="55">
        <v>10.0</v>
      </c>
      <c r="K1123" s="56">
        <v>2500.0</v>
      </c>
      <c r="L1123" s="57">
        <v>210.0</v>
      </c>
      <c r="M1123" s="58">
        <v>1174.0</v>
      </c>
      <c r="N1123" s="33">
        <f t="shared" si="155"/>
        <v>25000</v>
      </c>
      <c r="O1123" s="59">
        <v>44842.0</v>
      </c>
      <c r="P1123" s="34">
        <f t="shared" si="14"/>
        <v>17.9368</v>
      </c>
      <c r="Q1123" s="60"/>
      <c r="R1123" s="36">
        <f t="shared" si="156"/>
        <v>1174</v>
      </c>
      <c r="S1123" s="61">
        <v>-523.0</v>
      </c>
      <c r="T1123" s="37">
        <f t="shared" si="157"/>
        <v>651</v>
      </c>
      <c r="U1123" s="62">
        <v>1.0</v>
      </c>
      <c r="V1123" s="63"/>
      <c r="W1123" s="63"/>
      <c r="X1123" s="83">
        <v>0.25</v>
      </c>
      <c r="Y1123" s="35">
        <f t="shared" si="163"/>
        <v>0</v>
      </c>
      <c r="Z1123" s="40">
        <f t="shared" si="159"/>
        <v>488.25</v>
      </c>
      <c r="AA1123" s="34">
        <f t="shared" si="165"/>
        <v>162.75</v>
      </c>
      <c r="AB1123" s="41">
        <f t="shared" si="161"/>
        <v>0</v>
      </c>
      <c r="AC1123" s="42" t="b">
        <v>1</v>
      </c>
      <c r="AD1123" s="42" t="s">
        <v>138</v>
      </c>
      <c r="AE1123" s="42" t="s">
        <v>138</v>
      </c>
      <c r="AF1123" s="42" t="str">
        <f t="array" ref="AF1123">INDEX('Deal Info'!D:D, MATCH(A1123,'Deal Info'!A:A, 0))</f>
        <v>SF</v>
      </c>
      <c r="AG1123" s="43" t="str">
        <f t="array" ref="AG1123">INDEX('Deal Info'!G:G, MATCH(A1123,'Deal Info'!A:A, 0))</f>
        <v>None</v>
      </c>
    </row>
    <row r="1124" hidden="1">
      <c r="A1124" s="23" t="str">
        <f t="array" ref="A1124">if(G1124='Room Info'!$B$1, INDEX('Room Info'!$A$2:$A3446, MATCH(B1124,'Room Info'!$B$2:$B3446, 0)),if(G1124='Room Info'!$C$1, INDEX('Room Info'!$A$2:$A3446, MATCH(B1124,'Room Info'!$C$2:$C3446, 0)),if(G1124='Room Info'!$D$1, INDEX('Room Info'!$A$2:$A3446, MATCH(B1124,'Room Info'!$D$2:$D3446, 0)),if(G1124='Room Info'!$E$1, INDEX('Room Info'!$A$2:$A3446, MATCH(B1124,'Room Info'!$E$2:$E3446, 0)),if(G1124='Room Info'!$F$1, INDEX('Room Info'!$A$2:$A3446, MATCH(B1124,'Room Info'!$F$2:$F3446, 0)),if(G1124='Room Info'!$H$1, INDEX('Room Info'!$A$2:$A3446, MATCH(B1124,'Room Info'!$H$2:$H3446, 0)),if(G1124='Room Info'!$G$1, INDEX('Room Info'!$A$2:$A3446, MATCH(B1124,'Room Info'!$G$2:$G3446, 0)))))))))</f>
        <v>overplayKK</v>
      </c>
      <c r="B1124" s="50" t="s">
        <v>208</v>
      </c>
      <c r="C1124" s="51">
        <v>44763.0</v>
      </c>
      <c r="D1124" s="51">
        <v>44793.0</v>
      </c>
      <c r="E1124" s="52">
        <v>44774.0</v>
      </c>
      <c r="F1124" s="53" t="s">
        <v>4</v>
      </c>
      <c r="G1124" s="50" t="s">
        <v>13</v>
      </c>
      <c r="H1124" s="54" t="s">
        <v>59</v>
      </c>
      <c r="I1124" s="54" t="s">
        <v>18</v>
      </c>
      <c r="J1124" s="55">
        <v>20.0</v>
      </c>
      <c r="K1124" s="56">
        <v>1502.0</v>
      </c>
      <c r="L1124" s="57">
        <v>-2940.0</v>
      </c>
      <c r="M1124" s="58">
        <v>1411.0</v>
      </c>
      <c r="N1124" s="33">
        <f t="shared" si="155"/>
        <v>30040</v>
      </c>
      <c r="O1124" s="59">
        <v>17898.0</v>
      </c>
      <c r="P1124" s="34">
        <f t="shared" si="14"/>
        <v>11.91611185</v>
      </c>
      <c r="Q1124" s="60"/>
      <c r="R1124" s="36">
        <f t="shared" si="156"/>
        <v>1411</v>
      </c>
      <c r="S1124" s="61">
        <v>-1148.0</v>
      </c>
      <c r="T1124" s="37">
        <f t="shared" si="157"/>
        <v>263</v>
      </c>
      <c r="U1124" s="62">
        <v>1.0</v>
      </c>
      <c r="V1124" s="63"/>
      <c r="W1124" s="63"/>
      <c r="X1124" s="83">
        <v>0.25</v>
      </c>
      <c r="Y1124" s="35">
        <f t="shared" si="163"/>
        <v>0</v>
      </c>
      <c r="Z1124" s="40">
        <f t="shared" si="159"/>
        <v>197.25</v>
      </c>
      <c r="AA1124" s="34">
        <f t="shared" si="165"/>
        <v>65.75</v>
      </c>
      <c r="AB1124" s="41">
        <f t="shared" si="161"/>
        <v>0</v>
      </c>
      <c r="AC1124" s="42" t="b">
        <v>1</v>
      </c>
      <c r="AD1124" s="42" t="s">
        <v>138</v>
      </c>
      <c r="AE1124" s="42" t="s">
        <v>138</v>
      </c>
      <c r="AF1124" s="42" t="str">
        <f t="array" ref="AF1124">INDEX('Deal Info'!D:D, MATCH(A1124,'Deal Info'!A:A, 0))</f>
        <v>SF</v>
      </c>
      <c r="AG1124" s="43" t="str">
        <f t="array" ref="AG1124">INDEX('Deal Info'!G:G, MATCH(A1124,'Deal Info'!A:A, 0))</f>
        <v>None</v>
      </c>
    </row>
    <row r="1125" hidden="1">
      <c r="A1125" s="23" t="str">
        <f t="array" ref="A1125">if(G1125='Room Info'!$B$1, INDEX('Room Info'!$A$2:$A3446, MATCH(B1125,'Room Info'!$B$2:$B3446, 0)),if(G1125='Room Info'!$C$1, INDEX('Room Info'!$A$2:$A3446, MATCH(B1125,'Room Info'!$C$2:$C3446, 0)),if(G1125='Room Info'!$D$1, INDEX('Room Info'!$A$2:$A3446, MATCH(B1125,'Room Info'!$D$2:$D3446, 0)),if(G1125='Room Info'!$E$1, INDEX('Room Info'!$A$2:$A3446, MATCH(B1125,'Room Info'!$E$2:$E3446, 0)),if(G1125='Room Info'!$F$1, INDEX('Room Info'!$A$2:$A3446, MATCH(B1125,'Room Info'!$F$2:$F3446, 0)),if(G1125='Room Info'!$H$1, INDEX('Room Info'!$A$2:$A3446, MATCH(B1125,'Room Info'!$H$2:$H3446, 0)),if(G1125='Room Info'!$G$1, INDEX('Room Info'!$A$2:$A3446, MATCH(B1125,'Room Info'!$G$2:$G3446, 0)))))))))</f>
        <v>overplayKK</v>
      </c>
      <c r="B1125" s="50" t="s">
        <v>208</v>
      </c>
      <c r="C1125" s="51">
        <v>44794.0</v>
      </c>
      <c r="D1125" s="51">
        <v>44824.0</v>
      </c>
      <c r="E1125" s="52">
        <v>44805.0</v>
      </c>
      <c r="F1125" s="53" t="s">
        <v>4</v>
      </c>
      <c r="G1125" s="50" t="s">
        <v>13</v>
      </c>
      <c r="H1125" s="54" t="s">
        <v>34</v>
      </c>
      <c r="I1125" s="54" t="s">
        <v>18</v>
      </c>
      <c r="J1125" s="55">
        <v>5.0</v>
      </c>
      <c r="K1125" s="56">
        <v>2473.0</v>
      </c>
      <c r="L1125" s="57">
        <v>-90.0</v>
      </c>
      <c r="M1125" s="58">
        <v>660.0</v>
      </c>
      <c r="N1125" s="33">
        <f t="shared" si="155"/>
        <v>12365</v>
      </c>
      <c r="O1125" s="59">
        <v>67866.0</v>
      </c>
      <c r="P1125" s="34">
        <f t="shared" si="14"/>
        <v>27.44278205</v>
      </c>
      <c r="Q1125" s="60"/>
      <c r="R1125" s="36">
        <f t="shared" si="156"/>
        <v>660</v>
      </c>
      <c r="S1125" s="61">
        <v>62.0</v>
      </c>
      <c r="T1125" s="37">
        <f t="shared" si="157"/>
        <v>722</v>
      </c>
      <c r="U1125" s="62">
        <v>1.0</v>
      </c>
      <c r="V1125" s="63"/>
      <c r="W1125" s="63"/>
      <c r="X1125" s="83">
        <v>0.25</v>
      </c>
      <c r="Y1125" s="35">
        <f t="shared" si="163"/>
        <v>0</v>
      </c>
      <c r="Z1125" s="40">
        <f t="shared" si="159"/>
        <v>541.5</v>
      </c>
      <c r="AA1125" s="34">
        <f t="shared" si="165"/>
        <v>180.5</v>
      </c>
      <c r="AB1125" s="41">
        <f t="shared" si="161"/>
        <v>0</v>
      </c>
      <c r="AC1125" s="42" t="b">
        <v>1</v>
      </c>
      <c r="AD1125" s="42" t="s">
        <v>138</v>
      </c>
      <c r="AE1125" s="42" t="s">
        <v>138</v>
      </c>
      <c r="AF1125" s="42" t="str">
        <f t="array" ref="AF1125">INDEX('Deal Info'!D:D, MATCH(A1125,'Deal Info'!A:A, 0))</f>
        <v>SF</v>
      </c>
      <c r="AG1125" s="43" t="str">
        <f t="array" ref="AG1125">INDEX('Deal Info'!G:G, MATCH(A1125,'Deal Info'!A:A, 0))</f>
        <v>None</v>
      </c>
    </row>
    <row r="1126" hidden="1">
      <c r="A1126" s="23" t="str">
        <f t="array" ref="A1126">if(G1126='Room Info'!$B$1, INDEX('Room Info'!$A$2:$A3446, MATCH(B1126,'Room Info'!$B$2:$B3446, 0)),if(G1126='Room Info'!$C$1, INDEX('Room Info'!$A$2:$A3446, MATCH(B1126,'Room Info'!$C$2:$C3446, 0)),if(G1126='Room Info'!$D$1, INDEX('Room Info'!$A$2:$A3446, MATCH(B1126,'Room Info'!$D$2:$D3446, 0)),if(G1126='Room Info'!$E$1, INDEX('Room Info'!$A$2:$A3446, MATCH(B1126,'Room Info'!$E$2:$E3446, 0)),if(G1126='Room Info'!$F$1, INDEX('Room Info'!$A$2:$A3446, MATCH(B1126,'Room Info'!$F$2:$F3446, 0)),if(G1126='Room Info'!$H$1, INDEX('Room Info'!$A$2:$A3446, MATCH(B1126,'Room Info'!$H$2:$H3446, 0)),if(G1126='Room Info'!$G$1, INDEX('Room Info'!$A$2:$A3446, MATCH(B1126,'Room Info'!$G$2:$G3446, 0)))))))))</f>
        <v>overplayKK</v>
      </c>
      <c r="B1126" s="50" t="s">
        <v>208</v>
      </c>
      <c r="C1126" s="51">
        <v>44794.0</v>
      </c>
      <c r="D1126" s="51">
        <v>44824.0</v>
      </c>
      <c r="E1126" s="52">
        <v>44805.0</v>
      </c>
      <c r="F1126" s="53" t="s">
        <v>4</v>
      </c>
      <c r="G1126" s="50" t="s">
        <v>13</v>
      </c>
      <c r="H1126" s="54" t="s">
        <v>45</v>
      </c>
      <c r="I1126" s="54" t="s">
        <v>18</v>
      </c>
      <c r="J1126" s="55">
        <v>10.0</v>
      </c>
      <c r="K1126" s="56">
        <v>2192.0</v>
      </c>
      <c r="L1126" s="57">
        <v>-390.0</v>
      </c>
      <c r="M1126" s="58">
        <v>1170.0</v>
      </c>
      <c r="N1126" s="33">
        <f t="shared" si="155"/>
        <v>21920</v>
      </c>
      <c r="O1126" s="59">
        <v>55121.0</v>
      </c>
      <c r="P1126" s="34">
        <f t="shared" si="14"/>
        <v>25.14644161</v>
      </c>
      <c r="Q1126" s="60"/>
      <c r="R1126" s="36">
        <f t="shared" si="156"/>
        <v>1170</v>
      </c>
      <c r="S1126" s="61">
        <v>-34.0</v>
      </c>
      <c r="T1126" s="37">
        <f t="shared" si="157"/>
        <v>1136</v>
      </c>
      <c r="U1126" s="62">
        <v>1.0</v>
      </c>
      <c r="V1126" s="63"/>
      <c r="W1126" s="63"/>
      <c r="X1126" s="83">
        <v>0.25</v>
      </c>
      <c r="Y1126" s="35">
        <f t="shared" si="163"/>
        <v>0</v>
      </c>
      <c r="Z1126" s="40">
        <f t="shared" si="159"/>
        <v>852</v>
      </c>
      <c r="AA1126" s="34">
        <f t="shared" si="165"/>
        <v>284</v>
      </c>
      <c r="AB1126" s="41">
        <f t="shared" si="161"/>
        <v>0</v>
      </c>
      <c r="AC1126" s="42" t="b">
        <v>1</v>
      </c>
      <c r="AD1126" s="42" t="s">
        <v>138</v>
      </c>
      <c r="AE1126" s="42" t="s">
        <v>138</v>
      </c>
      <c r="AF1126" s="42" t="str">
        <f t="array" ref="AF1126">INDEX('Deal Info'!D:D, MATCH(A1126,'Deal Info'!A:A, 0))</f>
        <v>SF</v>
      </c>
      <c r="AG1126" s="43" t="str">
        <f t="array" ref="AG1126">INDEX('Deal Info'!G:G, MATCH(A1126,'Deal Info'!A:A, 0))</f>
        <v>None</v>
      </c>
    </row>
    <row r="1127" hidden="1">
      <c r="A1127" s="23" t="str">
        <f t="array" ref="A1127">if(G1127='Room Info'!$B$1, INDEX('Room Info'!$A$2:$A3446, MATCH(B1127,'Room Info'!$B$2:$B3446, 0)),if(G1127='Room Info'!$C$1, INDEX('Room Info'!$A$2:$A3446, MATCH(B1127,'Room Info'!$C$2:$C3446, 0)),if(G1127='Room Info'!$D$1, INDEX('Room Info'!$A$2:$A3446, MATCH(B1127,'Room Info'!$D$2:$D3446, 0)),if(G1127='Room Info'!$E$1, INDEX('Room Info'!$A$2:$A3446, MATCH(B1127,'Room Info'!$E$2:$E3446, 0)),if(G1127='Room Info'!$F$1, INDEX('Room Info'!$A$2:$A3446, MATCH(B1127,'Room Info'!$F$2:$F3446, 0)),if(G1127='Room Info'!$H$1, INDEX('Room Info'!$A$2:$A3446, MATCH(B1127,'Room Info'!$H$2:$H3446, 0)),if(G1127='Room Info'!$G$1, INDEX('Room Info'!$A$2:$A3446, MATCH(B1127,'Room Info'!$G$2:$G3446, 0)))))))))</f>
        <v>overplayKK</v>
      </c>
      <c r="B1127" s="50" t="s">
        <v>208</v>
      </c>
      <c r="C1127" s="104">
        <v>44794.0</v>
      </c>
      <c r="D1127" s="104">
        <v>44824.0</v>
      </c>
      <c r="E1127" s="52">
        <v>44805.0</v>
      </c>
      <c r="F1127" s="50" t="s">
        <v>4</v>
      </c>
      <c r="G1127" s="50" t="s">
        <v>13</v>
      </c>
      <c r="H1127" s="54" t="s">
        <v>59</v>
      </c>
      <c r="I1127" s="54" t="s">
        <v>18</v>
      </c>
      <c r="J1127" s="79">
        <v>20.0</v>
      </c>
      <c r="K1127" s="80">
        <v>7.0</v>
      </c>
      <c r="L1127" s="77">
        <v>60.0</v>
      </c>
      <c r="M1127" s="81">
        <v>7.0</v>
      </c>
      <c r="N1127" s="33">
        <f t="shared" si="155"/>
        <v>140</v>
      </c>
      <c r="O1127" s="50">
        <v>-857.0</v>
      </c>
      <c r="P1127" s="34">
        <f t="shared" si="14"/>
        <v>-122.4285714</v>
      </c>
      <c r="Q1127" s="60"/>
      <c r="R1127" s="36">
        <f t="shared" si="156"/>
        <v>7</v>
      </c>
      <c r="S1127" s="78">
        <v>-60.0</v>
      </c>
      <c r="T1127" s="37">
        <f t="shared" si="157"/>
        <v>-53</v>
      </c>
      <c r="U1127" s="62">
        <v>1.0</v>
      </c>
      <c r="V1127" s="63"/>
      <c r="W1127" s="63"/>
      <c r="X1127" s="83">
        <v>0.25</v>
      </c>
      <c r="Y1127" s="35">
        <f t="shared" si="163"/>
        <v>0</v>
      </c>
      <c r="Z1127" s="40">
        <f t="shared" si="159"/>
        <v>-39.75</v>
      </c>
      <c r="AA1127" s="34">
        <f t="shared" si="165"/>
        <v>-13.25</v>
      </c>
      <c r="AB1127" s="41">
        <f t="shared" si="161"/>
        <v>0</v>
      </c>
      <c r="AC1127" s="42" t="b">
        <v>1</v>
      </c>
      <c r="AD1127" s="42" t="s">
        <v>138</v>
      </c>
      <c r="AE1127" s="42" t="s">
        <v>138</v>
      </c>
      <c r="AF1127" s="42" t="str">
        <f t="array" ref="AF1127">INDEX('Deal Info'!D:D, MATCH(A1127,'Deal Info'!A:A, 0))</f>
        <v>SF</v>
      </c>
      <c r="AG1127" s="43" t="str">
        <f t="array" ref="AG1127">INDEX('Deal Info'!G:G, MATCH(A1127,'Deal Info'!A:A, 0))</f>
        <v>None</v>
      </c>
    </row>
    <row r="1128" hidden="1">
      <c r="A1128" s="23" t="str">
        <f t="array" ref="A1128">if(G1128='Room Info'!$B$1, INDEX('Room Info'!$A$2:$A3446, MATCH(B1128,'Room Info'!$B$2:$B3446, 0)),if(G1128='Room Info'!$C$1, INDEX('Room Info'!$A$2:$A3446, MATCH(B1128,'Room Info'!$C$2:$C3446, 0)),if(G1128='Room Info'!$D$1, INDEX('Room Info'!$A$2:$A3446, MATCH(B1128,'Room Info'!$D$2:$D3446, 0)),if(G1128='Room Info'!$E$1, INDEX('Room Info'!$A$2:$A3446, MATCH(B1128,'Room Info'!$E$2:$E3446, 0)),if(G1128='Room Info'!$F$1, INDEX('Room Info'!$A$2:$A3446, MATCH(B1128,'Room Info'!$F$2:$F3446, 0)),if(G1128='Room Info'!$H$1, INDEX('Room Info'!$A$2:$A3446, MATCH(B1128,'Room Info'!$H$2:$H3446, 0)),if(G1128='Room Info'!$G$1, INDEX('Room Info'!$A$2:$A3446, MATCH(B1128,'Room Info'!$G$2:$G3446, 0)))))))))</f>
        <v>overplayKK</v>
      </c>
      <c r="B1128" s="50" t="s">
        <v>208</v>
      </c>
      <c r="C1128" s="104">
        <v>44825.0</v>
      </c>
      <c r="D1128" s="104">
        <v>44854.0</v>
      </c>
      <c r="E1128" s="52">
        <v>44835.0</v>
      </c>
      <c r="F1128" s="50" t="s">
        <v>4</v>
      </c>
      <c r="G1128" s="59" t="s">
        <v>13</v>
      </c>
      <c r="H1128" s="54" t="s">
        <v>34</v>
      </c>
      <c r="I1128" s="54" t="s">
        <v>18</v>
      </c>
      <c r="J1128" s="79">
        <v>5.0</v>
      </c>
      <c r="K1128" s="80">
        <v>4.0</v>
      </c>
      <c r="L1128" s="77">
        <v>5.0</v>
      </c>
      <c r="M1128" s="58">
        <v>8.0</v>
      </c>
      <c r="N1128" s="33">
        <f t="shared" si="155"/>
        <v>20</v>
      </c>
      <c r="O1128" s="50">
        <v>147.0</v>
      </c>
      <c r="P1128" s="34">
        <f t="shared" si="14"/>
        <v>36.75</v>
      </c>
      <c r="Q1128" s="60"/>
      <c r="R1128" s="36">
        <f t="shared" si="156"/>
        <v>8</v>
      </c>
      <c r="S1128" s="78">
        <v>1.0</v>
      </c>
      <c r="T1128" s="37">
        <f t="shared" si="157"/>
        <v>9</v>
      </c>
      <c r="U1128" s="62">
        <v>1.0</v>
      </c>
      <c r="V1128" s="63"/>
      <c r="W1128" s="63"/>
      <c r="X1128" s="83">
        <v>0.3</v>
      </c>
      <c r="Y1128" s="35">
        <f t="shared" si="163"/>
        <v>0</v>
      </c>
      <c r="Z1128" s="40">
        <f t="shared" si="159"/>
        <v>6.3</v>
      </c>
      <c r="AA1128" s="34">
        <f t="shared" si="165"/>
        <v>2.7</v>
      </c>
      <c r="AB1128" s="41">
        <f t="shared" si="161"/>
        <v>0</v>
      </c>
      <c r="AC1128" s="42" t="b">
        <v>1</v>
      </c>
      <c r="AD1128" s="42" t="s">
        <v>138</v>
      </c>
      <c r="AE1128" s="42" t="s">
        <v>138</v>
      </c>
      <c r="AF1128" s="42" t="str">
        <f t="array" ref="AF1128">INDEX('Deal Info'!D:D, MATCH(A1128,'Deal Info'!A:A, 0))</f>
        <v>SF</v>
      </c>
      <c r="AG1128" s="43" t="str">
        <f t="array" ref="AG1128">INDEX('Deal Info'!G:G, MATCH(A1128,'Deal Info'!A:A, 0))</f>
        <v>None</v>
      </c>
    </row>
    <row r="1129" hidden="1">
      <c r="A1129" s="23" t="str">
        <f t="array" ref="A1129">if(G1129='Room Info'!$B$1, INDEX('Room Info'!$A$2:$A3446, MATCH(B1129,'Room Info'!$B$2:$B3446, 0)),if(G1129='Room Info'!$C$1, INDEX('Room Info'!$A$2:$A3446, MATCH(B1129,'Room Info'!$C$2:$C3446, 0)),if(G1129='Room Info'!$D$1, INDEX('Room Info'!$A$2:$A3446, MATCH(B1129,'Room Info'!$D$2:$D3446, 0)),if(G1129='Room Info'!$E$1, INDEX('Room Info'!$A$2:$A3446, MATCH(B1129,'Room Info'!$E$2:$E3446, 0)),if(G1129='Room Info'!$F$1, INDEX('Room Info'!$A$2:$A3446, MATCH(B1129,'Room Info'!$F$2:$F3446, 0)),if(G1129='Room Info'!$H$1, INDEX('Room Info'!$A$2:$A3446, MATCH(B1129,'Room Info'!$H$2:$H3446, 0)),if(G1129='Room Info'!$G$1, INDEX('Room Info'!$A$2:$A3446, MATCH(B1129,'Room Info'!$G$2:$G3446, 0)))))))))</f>
        <v>overplayKK</v>
      </c>
      <c r="B1129" s="50" t="s">
        <v>208</v>
      </c>
      <c r="C1129" s="82">
        <v>44825.0</v>
      </c>
      <c r="D1129" s="82">
        <v>44854.0</v>
      </c>
      <c r="E1129" s="52">
        <v>44835.0</v>
      </c>
      <c r="F1129" s="53" t="s">
        <v>4</v>
      </c>
      <c r="G1129" s="50" t="s">
        <v>13</v>
      </c>
      <c r="H1129" s="54" t="s">
        <v>45</v>
      </c>
      <c r="I1129" s="54" t="s">
        <v>18</v>
      </c>
      <c r="J1129" s="79">
        <v>10.0</v>
      </c>
      <c r="K1129" s="80">
        <v>5400.0</v>
      </c>
      <c r="L1129" s="77">
        <v>-3540.0</v>
      </c>
      <c r="M1129" s="81">
        <v>2160.0</v>
      </c>
      <c r="N1129" s="33">
        <f t="shared" si="155"/>
        <v>54000</v>
      </c>
      <c r="O1129" s="50">
        <v>74218.0</v>
      </c>
      <c r="P1129" s="34">
        <f t="shared" si="14"/>
        <v>13.74407407</v>
      </c>
      <c r="Q1129" s="60"/>
      <c r="R1129" s="36">
        <f t="shared" si="156"/>
        <v>2160</v>
      </c>
      <c r="S1129" s="78">
        <v>-1818.0</v>
      </c>
      <c r="T1129" s="37">
        <f t="shared" si="157"/>
        <v>342</v>
      </c>
      <c r="U1129" s="62">
        <v>1.0</v>
      </c>
      <c r="V1129" s="63"/>
      <c r="W1129" s="63"/>
      <c r="X1129" s="83">
        <v>0.3</v>
      </c>
      <c r="Y1129" s="35">
        <f t="shared" si="163"/>
        <v>0</v>
      </c>
      <c r="Z1129" s="40">
        <f t="shared" si="159"/>
        <v>239.4</v>
      </c>
      <c r="AA1129" s="34">
        <f t="shared" si="165"/>
        <v>102.6</v>
      </c>
      <c r="AB1129" s="41">
        <f t="shared" si="161"/>
        <v>0</v>
      </c>
      <c r="AC1129" s="42" t="b">
        <v>1</v>
      </c>
      <c r="AD1129" s="42" t="s">
        <v>138</v>
      </c>
      <c r="AE1129" s="42" t="s">
        <v>138</v>
      </c>
      <c r="AF1129" s="42" t="str">
        <f t="array" ref="AF1129">INDEX('Deal Info'!D:D, MATCH(A1129,'Deal Info'!A:A, 0))</f>
        <v>SF</v>
      </c>
      <c r="AG1129" s="43" t="str">
        <f t="array" ref="AG1129">INDEX('Deal Info'!G:G, MATCH(A1129,'Deal Info'!A:A, 0))</f>
        <v>None</v>
      </c>
    </row>
    <row r="1130" hidden="1">
      <c r="A1130" s="23" t="str">
        <f t="array" ref="A1130">if(G1130='Room Info'!$B$1, INDEX('Room Info'!$A$2:$A3446, MATCH(B1130,'Room Info'!$B$2:$B3446, 0)),if(G1130='Room Info'!$C$1, INDEX('Room Info'!$A$2:$A3446, MATCH(B1130,'Room Info'!$C$2:$C3446, 0)),if(G1130='Room Info'!$D$1, INDEX('Room Info'!$A$2:$A3446, MATCH(B1130,'Room Info'!$D$2:$D3446, 0)),if(G1130='Room Info'!$E$1, INDEX('Room Info'!$A$2:$A3446, MATCH(B1130,'Room Info'!$E$2:$E3446, 0)),if(G1130='Room Info'!$F$1, INDEX('Room Info'!$A$2:$A3446, MATCH(B1130,'Room Info'!$F$2:$F3446, 0)),if(G1130='Room Info'!$H$1, INDEX('Room Info'!$A$2:$A3446, MATCH(B1130,'Room Info'!$H$2:$H3446, 0)),if(G1130='Room Info'!$G$1, INDEX('Room Info'!$A$2:$A3446, MATCH(B1130,'Room Info'!$G$2:$G3446, 0)))))))))</f>
        <v>overplayKK</v>
      </c>
      <c r="B1130" s="50" t="s">
        <v>208</v>
      </c>
      <c r="C1130" s="82">
        <v>44855.0</v>
      </c>
      <c r="D1130" s="82">
        <v>44885.0</v>
      </c>
      <c r="E1130" s="52">
        <v>44866.0</v>
      </c>
      <c r="F1130" s="53" t="s">
        <v>4</v>
      </c>
      <c r="G1130" s="50" t="s">
        <v>13</v>
      </c>
      <c r="H1130" s="96" t="s">
        <v>45</v>
      </c>
      <c r="I1130" s="54" t="s">
        <v>18</v>
      </c>
      <c r="J1130" s="79">
        <v>10.0</v>
      </c>
      <c r="K1130" s="80">
        <v>8.0</v>
      </c>
      <c r="L1130" s="77">
        <v>20.0</v>
      </c>
      <c r="M1130" s="81">
        <v>2.0</v>
      </c>
      <c r="N1130" s="33">
        <f t="shared" si="155"/>
        <v>80</v>
      </c>
      <c r="O1130" s="50">
        <v>554.0</v>
      </c>
      <c r="P1130" s="34">
        <f t="shared" si="14"/>
        <v>69.25</v>
      </c>
      <c r="Q1130" s="60"/>
      <c r="R1130" s="36">
        <f t="shared" si="156"/>
        <v>2</v>
      </c>
      <c r="S1130" s="78">
        <v>10.0</v>
      </c>
      <c r="T1130" s="37">
        <f t="shared" si="157"/>
        <v>12</v>
      </c>
      <c r="U1130" s="62">
        <v>1.0</v>
      </c>
      <c r="V1130" s="63"/>
      <c r="W1130" s="63"/>
      <c r="X1130" s="83">
        <v>0.22</v>
      </c>
      <c r="Y1130" s="35">
        <f t="shared" si="163"/>
        <v>0</v>
      </c>
      <c r="Z1130" s="40">
        <f t="shared" si="159"/>
        <v>9.36</v>
      </c>
      <c r="AA1130" s="34">
        <f t="shared" si="165"/>
        <v>2.64</v>
      </c>
      <c r="AB1130" s="41">
        <f t="shared" si="161"/>
        <v>0</v>
      </c>
      <c r="AC1130" s="42" t="b">
        <v>1</v>
      </c>
      <c r="AD1130" s="42" t="s">
        <v>138</v>
      </c>
      <c r="AE1130" s="42" t="s">
        <v>138</v>
      </c>
      <c r="AF1130" s="42" t="str">
        <f t="array" ref="AF1130">INDEX('Deal Info'!D:D, MATCH(A1130,'Deal Info'!A:A, 0))</f>
        <v>SF</v>
      </c>
      <c r="AG1130" s="43" t="str">
        <f t="array" ref="AG1130">INDEX('Deal Info'!G:G, MATCH(A1130,'Deal Info'!A:A, 0))</f>
        <v>None</v>
      </c>
    </row>
    <row r="1131" hidden="1">
      <c r="A1131" s="23" t="str">
        <f t="array" ref="A1131">if(G1131='Room Info'!$B$1, INDEX('Room Info'!$A$2:$A3446, MATCH(B1131,'Room Info'!$B$2:$B3446, 0)),if(G1131='Room Info'!$C$1, INDEX('Room Info'!$A$2:$A3446, MATCH(B1131,'Room Info'!$C$2:$C3446, 0)),if(G1131='Room Info'!$D$1, INDEX('Room Info'!$A$2:$A3446, MATCH(B1131,'Room Info'!$D$2:$D3446, 0)),if(G1131='Room Info'!$E$1, INDEX('Room Info'!$A$2:$A3446, MATCH(B1131,'Room Info'!$E$2:$E3446, 0)),if(G1131='Room Info'!$F$1, INDEX('Room Info'!$A$2:$A3446, MATCH(B1131,'Room Info'!$F$2:$F3446, 0)),if(G1131='Room Info'!$H$1, INDEX('Room Info'!$A$2:$A3446, MATCH(B1131,'Room Info'!$H$2:$H3446, 0)),if(G1131='Room Info'!$G$1, INDEX('Room Info'!$A$2:$A3446, MATCH(B1131,'Room Info'!$G$2:$G3446, 0)))))))))</f>
        <v>overplayKK</v>
      </c>
      <c r="B1131" s="50" t="s">
        <v>208</v>
      </c>
      <c r="C1131" s="51">
        <v>44855.0</v>
      </c>
      <c r="D1131" s="51">
        <v>44885.0</v>
      </c>
      <c r="E1131" s="52">
        <v>44866.0</v>
      </c>
      <c r="F1131" s="50" t="s">
        <v>4</v>
      </c>
      <c r="G1131" s="59" t="s">
        <v>13</v>
      </c>
      <c r="H1131" s="54" t="s">
        <v>59</v>
      </c>
      <c r="I1131" s="54" t="s">
        <v>18</v>
      </c>
      <c r="J1131" s="55">
        <v>20.0</v>
      </c>
      <c r="K1131" s="56">
        <v>7421.0</v>
      </c>
      <c r="L1131" s="57">
        <v>-5300.0</v>
      </c>
      <c r="M1131" s="58">
        <v>7575.0</v>
      </c>
      <c r="N1131" s="33">
        <f t="shared" si="155"/>
        <v>148420</v>
      </c>
      <c r="O1131" s="59">
        <v>87606.0</v>
      </c>
      <c r="P1131" s="34">
        <f t="shared" si="14"/>
        <v>11.80514755</v>
      </c>
      <c r="Q1131" s="60"/>
      <c r="R1131" s="36">
        <f t="shared" si="156"/>
        <v>7575</v>
      </c>
      <c r="S1131" s="61">
        <v>-6069.0</v>
      </c>
      <c r="T1131" s="37">
        <f t="shared" si="157"/>
        <v>1506</v>
      </c>
      <c r="U1131" s="62">
        <v>1.0</v>
      </c>
      <c r="V1131" s="63"/>
      <c r="W1131" s="63"/>
      <c r="X1131" s="83">
        <v>0.22</v>
      </c>
      <c r="Y1131" s="35">
        <f t="shared" si="163"/>
        <v>0</v>
      </c>
      <c r="Z1131" s="40">
        <f t="shared" si="159"/>
        <v>1174.68</v>
      </c>
      <c r="AA1131" s="34">
        <f t="shared" si="165"/>
        <v>331.32</v>
      </c>
      <c r="AB1131" s="41">
        <f t="shared" si="161"/>
        <v>0</v>
      </c>
      <c r="AC1131" s="42" t="b">
        <v>1</v>
      </c>
      <c r="AD1131" s="42" t="s">
        <v>138</v>
      </c>
      <c r="AE1131" s="42" t="s">
        <v>138</v>
      </c>
      <c r="AF1131" s="42" t="str">
        <f t="array" ref="AF1131">INDEX('Deal Info'!D:D, MATCH(A1131,'Deal Info'!A:A, 0))</f>
        <v>SF</v>
      </c>
      <c r="AG1131" s="43" t="str">
        <f t="array" ref="AG1131">INDEX('Deal Info'!G:G, MATCH(A1131,'Deal Info'!A:A, 0))</f>
        <v>None</v>
      </c>
    </row>
    <row r="1132" hidden="1">
      <c r="A1132" s="23" t="str">
        <f t="array" ref="A1132">if(G1132='Room Info'!$B$1, INDEX('Room Info'!$A$2:$A3446, MATCH(B1132,'Room Info'!$B$2:$B3446, 0)),if(G1132='Room Info'!$C$1, INDEX('Room Info'!$A$2:$A3446, MATCH(B1132,'Room Info'!$C$2:$C3446, 0)),if(G1132='Room Info'!$D$1, INDEX('Room Info'!$A$2:$A3446, MATCH(B1132,'Room Info'!$D$2:$D3446, 0)),if(G1132='Room Info'!$E$1, INDEX('Room Info'!$A$2:$A3446, MATCH(B1132,'Room Info'!$E$2:$E3446, 0)),if(G1132='Room Info'!$F$1, INDEX('Room Info'!$A$2:$A3446, MATCH(B1132,'Room Info'!$F$2:$F3446, 0)),if(G1132='Room Info'!$H$1, INDEX('Room Info'!$A$2:$A3446, MATCH(B1132,'Room Info'!$H$2:$H3446, 0)),if(G1132='Room Info'!$G$1, INDEX('Room Info'!$A$2:$A3446, MATCH(B1132,'Room Info'!$G$2:$G3446, 0)))))))))</f>
        <v>overplayKK</v>
      </c>
      <c r="B1132" s="50" t="s">
        <v>208</v>
      </c>
      <c r="C1132" s="51">
        <v>44886.0</v>
      </c>
      <c r="D1132" s="51">
        <v>44915.0</v>
      </c>
      <c r="E1132" s="52">
        <v>44896.0</v>
      </c>
      <c r="F1132" s="50" t="s">
        <v>4</v>
      </c>
      <c r="G1132" s="59" t="s">
        <v>13</v>
      </c>
      <c r="H1132" s="54" t="s">
        <v>45</v>
      </c>
      <c r="I1132" s="54" t="s">
        <v>18</v>
      </c>
      <c r="J1132" s="55">
        <v>10.0</v>
      </c>
      <c r="K1132" s="56">
        <v>3892.0</v>
      </c>
      <c r="L1132" s="57">
        <v>480.0</v>
      </c>
      <c r="M1132" s="58">
        <v>2231.0</v>
      </c>
      <c r="N1132" s="33">
        <f t="shared" si="155"/>
        <v>38920</v>
      </c>
      <c r="O1132" s="59">
        <v>75820.0</v>
      </c>
      <c r="P1132" s="34">
        <f t="shared" si="14"/>
        <v>19.48098664</v>
      </c>
      <c r="Q1132" s="60"/>
      <c r="R1132" s="36">
        <f t="shared" si="156"/>
        <v>2231</v>
      </c>
      <c r="S1132" s="61">
        <v>-666.0</v>
      </c>
      <c r="T1132" s="37">
        <f t="shared" si="157"/>
        <v>1565</v>
      </c>
      <c r="U1132" s="62">
        <v>1.0</v>
      </c>
      <c r="V1132" s="63"/>
      <c r="W1132" s="63"/>
      <c r="X1132" s="83">
        <v>0.22</v>
      </c>
      <c r="Y1132" s="35">
        <f t="shared" si="163"/>
        <v>0</v>
      </c>
      <c r="Z1132" s="40">
        <f t="shared" si="159"/>
        <v>1220.7</v>
      </c>
      <c r="AA1132" s="34">
        <f t="shared" si="165"/>
        <v>344.3</v>
      </c>
      <c r="AB1132" s="41">
        <f t="shared" si="161"/>
        <v>0</v>
      </c>
      <c r="AC1132" s="42" t="b">
        <v>1</v>
      </c>
      <c r="AD1132" s="42" t="s">
        <v>138</v>
      </c>
      <c r="AE1132" s="42" t="s">
        <v>138</v>
      </c>
      <c r="AF1132" s="42" t="str">
        <f t="array" ref="AF1132">INDEX('Deal Info'!D:D, MATCH(A1132,'Deal Info'!A:A, 0))</f>
        <v>SF</v>
      </c>
      <c r="AG1132" s="43" t="str">
        <f t="array" ref="AG1132">INDEX('Deal Info'!G:G, MATCH(A1132,'Deal Info'!A:A, 0))</f>
        <v>None</v>
      </c>
    </row>
    <row r="1133" hidden="1">
      <c r="A1133" s="23" t="str">
        <f t="array" ref="A1133">if(G1133='Room Info'!$B$1, INDEX('Room Info'!$A$2:$A3446, MATCH(B1133,'Room Info'!$B$2:$B3446, 0)),if(G1133='Room Info'!$C$1, INDEX('Room Info'!$A$2:$A3446, MATCH(B1133,'Room Info'!$C$2:$C3446, 0)),if(G1133='Room Info'!$D$1, INDEX('Room Info'!$A$2:$A3446, MATCH(B1133,'Room Info'!$D$2:$D3446, 0)),if(G1133='Room Info'!$E$1, INDEX('Room Info'!$A$2:$A3446, MATCH(B1133,'Room Info'!$E$2:$E3446, 0)),if(G1133='Room Info'!$F$1, INDEX('Room Info'!$A$2:$A3446, MATCH(B1133,'Room Info'!$F$2:$F3446, 0)),if(G1133='Room Info'!$H$1, INDEX('Room Info'!$A$2:$A3446, MATCH(B1133,'Room Info'!$H$2:$H3446, 0)),if(G1133='Room Info'!$G$1, INDEX('Room Info'!$A$2:$A3446, MATCH(B1133,'Room Info'!$G$2:$G3446, 0)))))))))</f>
        <v>overplayKK</v>
      </c>
      <c r="B1133" s="50" t="s">
        <v>208</v>
      </c>
      <c r="C1133" s="104">
        <v>44886.0</v>
      </c>
      <c r="D1133" s="104">
        <v>44915.0</v>
      </c>
      <c r="E1133" s="52">
        <v>44896.0</v>
      </c>
      <c r="F1133" s="50" t="s">
        <v>4</v>
      </c>
      <c r="G1133" s="50" t="s">
        <v>13</v>
      </c>
      <c r="H1133" s="54" t="s">
        <v>59</v>
      </c>
      <c r="I1133" s="54" t="s">
        <v>18</v>
      </c>
      <c r="J1133" s="79">
        <v>20.0</v>
      </c>
      <c r="K1133" s="80">
        <v>3173.0</v>
      </c>
      <c r="L1133" s="77">
        <v>-5340.0</v>
      </c>
      <c r="M1133" s="81">
        <v>3638.0</v>
      </c>
      <c r="N1133" s="33">
        <f t="shared" si="155"/>
        <v>63460</v>
      </c>
      <c r="O1133" s="50">
        <v>30658.0</v>
      </c>
      <c r="P1133" s="34">
        <f t="shared" si="14"/>
        <v>9.662149385</v>
      </c>
      <c r="Q1133" s="60"/>
      <c r="R1133" s="36">
        <f t="shared" si="156"/>
        <v>3638</v>
      </c>
      <c r="S1133" s="78">
        <v>-2878.0</v>
      </c>
      <c r="T1133" s="37">
        <f t="shared" si="157"/>
        <v>760</v>
      </c>
      <c r="U1133" s="62">
        <v>1.0</v>
      </c>
      <c r="V1133" s="63"/>
      <c r="W1133" s="63"/>
      <c r="X1133" s="83">
        <v>0.22</v>
      </c>
      <c r="Y1133" s="35">
        <f t="shared" si="163"/>
        <v>0</v>
      </c>
      <c r="Z1133" s="40">
        <f t="shared" si="159"/>
        <v>592.8</v>
      </c>
      <c r="AA1133" s="34">
        <f t="shared" si="165"/>
        <v>167.2</v>
      </c>
      <c r="AB1133" s="41">
        <f t="shared" si="161"/>
        <v>0</v>
      </c>
      <c r="AC1133" s="42" t="b">
        <v>1</v>
      </c>
      <c r="AD1133" s="42" t="s">
        <v>138</v>
      </c>
      <c r="AE1133" s="42" t="s">
        <v>138</v>
      </c>
      <c r="AF1133" s="42" t="str">
        <f t="array" ref="AF1133">INDEX('Deal Info'!D:D, MATCH(A1133,'Deal Info'!A:A, 0))</f>
        <v>SF</v>
      </c>
      <c r="AG1133" s="43" t="str">
        <f t="array" ref="AG1133">INDEX('Deal Info'!G:G, MATCH(A1133,'Deal Info'!A:A, 0))</f>
        <v>None</v>
      </c>
    </row>
    <row r="1134" hidden="1">
      <c r="A1134" s="23" t="str">
        <f t="array" ref="A1134">if(G1134='Room Info'!$B$1, INDEX('Room Info'!$A$2:$A3446, MATCH(B1134,'Room Info'!$B$2:$B3446, 0)),if(G1134='Room Info'!$C$1, INDEX('Room Info'!$A$2:$A3446, MATCH(B1134,'Room Info'!$C$2:$C3446, 0)),if(G1134='Room Info'!$D$1, INDEX('Room Info'!$A$2:$A3446, MATCH(B1134,'Room Info'!$D$2:$D3446, 0)),if(G1134='Room Info'!$E$1, INDEX('Room Info'!$A$2:$A3446, MATCH(B1134,'Room Info'!$E$2:$E3446, 0)),if(G1134='Room Info'!$F$1, INDEX('Room Info'!$A$2:$A3446, MATCH(B1134,'Room Info'!$F$2:$F3446, 0)),if(G1134='Room Info'!$H$1, INDEX('Room Info'!$A$2:$A3446, MATCH(B1134,'Room Info'!$H$2:$H3446, 0)),if(G1134='Room Info'!$G$1, INDEX('Room Info'!$A$2:$A3446, MATCH(B1134,'Room Info'!$G$2:$G3446, 0)))))))))</f>
        <v>overplayKK</v>
      </c>
      <c r="B1134" s="50" t="s">
        <v>209</v>
      </c>
      <c r="C1134" s="51">
        <v>44916.0</v>
      </c>
      <c r="D1134" s="51">
        <v>44946.0</v>
      </c>
      <c r="E1134" s="52">
        <v>44927.0</v>
      </c>
      <c r="F1134" s="53" t="s">
        <v>4</v>
      </c>
      <c r="G1134" s="59" t="s">
        <v>13</v>
      </c>
      <c r="H1134" s="54" t="s">
        <v>45</v>
      </c>
      <c r="I1134" s="54" t="s">
        <v>18</v>
      </c>
      <c r="J1134" s="55">
        <v>10.0</v>
      </c>
      <c r="K1134" s="56">
        <v>5906.0</v>
      </c>
      <c r="L1134" s="57">
        <v>-1720.0</v>
      </c>
      <c r="M1134" s="58">
        <v>2660.0</v>
      </c>
      <c r="N1134" s="33">
        <f t="shared" si="155"/>
        <v>59060</v>
      </c>
      <c r="O1134" s="59">
        <v>116716.0</v>
      </c>
      <c r="P1134" s="34">
        <f t="shared" si="14"/>
        <v>19.76227565</v>
      </c>
      <c r="Q1134" s="60"/>
      <c r="R1134" s="36">
        <f t="shared" si="156"/>
        <v>2660</v>
      </c>
      <c r="S1134" s="61">
        <v>-860.0</v>
      </c>
      <c r="T1134" s="37">
        <f t="shared" si="157"/>
        <v>1800</v>
      </c>
      <c r="U1134" s="62">
        <v>1.0</v>
      </c>
      <c r="V1134" s="63"/>
      <c r="W1134" s="63"/>
      <c r="X1134" s="83">
        <v>0.22</v>
      </c>
      <c r="Y1134" s="35">
        <f t="shared" si="163"/>
        <v>0</v>
      </c>
      <c r="Z1134" s="40">
        <f t="shared" si="159"/>
        <v>1404</v>
      </c>
      <c r="AA1134" s="34">
        <f t="shared" si="165"/>
        <v>396</v>
      </c>
      <c r="AB1134" s="41">
        <f t="shared" si="161"/>
        <v>0</v>
      </c>
      <c r="AC1134" s="42" t="b">
        <v>1</v>
      </c>
      <c r="AD1134" s="42" t="s">
        <v>138</v>
      </c>
      <c r="AE1134" s="42" t="s">
        <v>138</v>
      </c>
      <c r="AF1134" s="42" t="str">
        <f t="array" ref="AF1134">INDEX('Deal Info'!D:D, MATCH(A1134,'Deal Info'!A:A, 0))</f>
        <v>SF</v>
      </c>
      <c r="AG1134" s="43" t="str">
        <f t="array" ref="AG1134">INDEX('Deal Info'!G:G, MATCH(A1134,'Deal Info'!A:A, 0))</f>
        <v>None</v>
      </c>
    </row>
    <row r="1135" hidden="1">
      <c r="A1135" s="23" t="str">
        <f t="array" ref="A1135">if(G1135='Room Info'!$B$1, INDEX('Room Info'!$A$2:$A3446, MATCH(B1135,'Room Info'!$B$2:$B3446, 0)),if(G1135='Room Info'!$C$1, INDEX('Room Info'!$A$2:$A3446, MATCH(B1135,'Room Info'!$C$2:$C3446, 0)),if(G1135='Room Info'!$D$1, INDEX('Room Info'!$A$2:$A3446, MATCH(B1135,'Room Info'!$D$2:$D3446, 0)),if(G1135='Room Info'!$E$1, INDEX('Room Info'!$A$2:$A3446, MATCH(B1135,'Room Info'!$E$2:$E3446, 0)),if(G1135='Room Info'!$F$1, INDEX('Room Info'!$A$2:$A3446, MATCH(B1135,'Room Info'!$F$2:$F3446, 0)),if(G1135='Room Info'!$H$1, INDEX('Room Info'!$A$2:$A3446, MATCH(B1135,'Room Info'!$H$2:$H3446, 0)),if(G1135='Room Info'!$G$1, INDEX('Room Info'!$A$2:$A3446, MATCH(B1135,'Room Info'!$G$2:$G3446, 0)))))))))</f>
        <v>overplayKK</v>
      </c>
      <c r="B1135" s="50" t="s">
        <v>209</v>
      </c>
      <c r="C1135" s="51">
        <v>44916.0</v>
      </c>
      <c r="D1135" s="51">
        <v>44946.0</v>
      </c>
      <c r="E1135" s="52">
        <v>44927.0</v>
      </c>
      <c r="F1135" s="53" t="s">
        <v>4</v>
      </c>
      <c r="G1135" s="59" t="s">
        <v>13</v>
      </c>
      <c r="H1135" s="54" t="s">
        <v>59</v>
      </c>
      <c r="I1135" s="54" t="s">
        <v>18</v>
      </c>
      <c r="J1135" s="55">
        <v>20.0</v>
      </c>
      <c r="K1135" s="56">
        <v>5.0</v>
      </c>
      <c r="L1135" s="57">
        <v>40.0</v>
      </c>
      <c r="M1135" s="58">
        <v>7.0</v>
      </c>
      <c r="N1135" s="33">
        <f t="shared" si="155"/>
        <v>100</v>
      </c>
      <c r="O1135" s="59">
        <v>691.0</v>
      </c>
      <c r="P1135" s="34">
        <f t="shared" si="14"/>
        <v>138.2</v>
      </c>
      <c r="Q1135" s="60"/>
      <c r="R1135" s="36">
        <f t="shared" si="156"/>
        <v>7</v>
      </c>
      <c r="S1135" s="61">
        <v>33.0</v>
      </c>
      <c r="T1135" s="37">
        <f t="shared" si="157"/>
        <v>40</v>
      </c>
      <c r="U1135" s="62">
        <v>1.0</v>
      </c>
      <c r="V1135" s="63"/>
      <c r="W1135" s="63"/>
      <c r="X1135" s="83">
        <v>0.22</v>
      </c>
      <c r="Y1135" s="35">
        <f t="shared" si="163"/>
        <v>0</v>
      </c>
      <c r="Z1135" s="40">
        <f t="shared" si="159"/>
        <v>31.2</v>
      </c>
      <c r="AA1135" s="34">
        <f t="shared" si="165"/>
        <v>8.8</v>
      </c>
      <c r="AB1135" s="41">
        <f t="shared" si="161"/>
        <v>0</v>
      </c>
      <c r="AC1135" s="42" t="b">
        <v>1</v>
      </c>
      <c r="AD1135" s="42" t="s">
        <v>138</v>
      </c>
      <c r="AE1135" s="42" t="s">
        <v>138</v>
      </c>
      <c r="AF1135" s="42" t="str">
        <f t="array" ref="AF1135">INDEX('Deal Info'!D:D, MATCH(A1135,'Deal Info'!A:A, 0))</f>
        <v>SF</v>
      </c>
      <c r="AG1135" s="43" t="str">
        <f t="array" ref="AG1135">INDEX('Deal Info'!G:G, MATCH(A1135,'Deal Info'!A:A, 0))</f>
        <v>None</v>
      </c>
    </row>
    <row r="1136" hidden="1">
      <c r="A1136" s="23" t="str">
        <f t="array" ref="A1136">if(G1136='Room Info'!$B$1, INDEX('Room Info'!$A$2:$A3446, MATCH(B1136,'Room Info'!$B$2:$B3446, 0)),if(G1136='Room Info'!$C$1, INDEX('Room Info'!$A$2:$A3446, MATCH(B1136,'Room Info'!$C$2:$C3446, 0)),if(G1136='Room Info'!$D$1, INDEX('Room Info'!$A$2:$A3446, MATCH(B1136,'Room Info'!$D$2:$D3446, 0)),if(G1136='Room Info'!$E$1, INDEX('Room Info'!$A$2:$A3446, MATCH(B1136,'Room Info'!$E$2:$E3446, 0)),if(G1136='Room Info'!$F$1, INDEX('Room Info'!$A$2:$A3446, MATCH(B1136,'Room Info'!$F$2:$F3446, 0)),if(G1136='Room Info'!$H$1, INDEX('Room Info'!$A$2:$A3446, MATCH(B1136,'Room Info'!$H$2:$H3446, 0)),if(G1136='Room Info'!$G$1, INDEX('Room Info'!$A$2:$A3446, MATCH(B1136,'Room Info'!$G$2:$G3446, 0)))))))))</f>
        <v>QQcheliQ</v>
      </c>
      <c r="B1136" s="50" t="s">
        <v>210</v>
      </c>
      <c r="C1136" s="82">
        <v>44632.0</v>
      </c>
      <c r="D1136" s="51">
        <v>44640.0</v>
      </c>
      <c r="E1136" s="52">
        <v>44621.0</v>
      </c>
      <c r="F1136" s="53" t="s">
        <v>4</v>
      </c>
      <c r="G1136" s="50" t="s">
        <v>5</v>
      </c>
      <c r="H1136" s="54" t="s">
        <v>45</v>
      </c>
      <c r="I1136" s="54" t="s">
        <v>7</v>
      </c>
      <c r="J1136" s="55">
        <v>10.0</v>
      </c>
      <c r="K1136" s="56">
        <v>404.0</v>
      </c>
      <c r="L1136" s="57">
        <v>500.0</v>
      </c>
      <c r="M1136" s="58">
        <v>45.0</v>
      </c>
      <c r="N1136" s="33">
        <f t="shared" si="155"/>
        <v>4040</v>
      </c>
      <c r="O1136" s="59">
        <v>27472.0</v>
      </c>
      <c r="P1136" s="34">
        <f t="shared" si="14"/>
        <v>68</v>
      </c>
      <c r="Q1136" s="60"/>
      <c r="R1136" s="36">
        <f t="shared" si="156"/>
        <v>45</v>
      </c>
      <c r="S1136" s="61">
        <v>202.0</v>
      </c>
      <c r="T1136" s="37">
        <f t="shared" si="157"/>
        <v>247</v>
      </c>
      <c r="U1136" s="62">
        <v>1.0</v>
      </c>
      <c r="V1136" s="63"/>
      <c r="W1136" s="63"/>
      <c r="X1136" s="83">
        <v>0.23</v>
      </c>
      <c r="Y1136" s="35">
        <f t="shared" si="163"/>
        <v>0</v>
      </c>
      <c r="Z1136" s="40">
        <f t="shared" si="159"/>
        <v>190</v>
      </c>
      <c r="AA1136" s="65">
        <v>57.0</v>
      </c>
      <c r="AB1136" s="41">
        <f t="shared" si="161"/>
        <v>0</v>
      </c>
      <c r="AC1136" s="42" t="b">
        <v>1</v>
      </c>
      <c r="AD1136" s="42" t="s">
        <v>138</v>
      </c>
      <c r="AE1136" s="42" t="s">
        <v>138</v>
      </c>
      <c r="AF1136" s="42" t="str">
        <f t="array" ref="AF1136">INDEX('Deal Info'!D:D, MATCH(A1136,'Deal Info'!A:A, 0))</f>
        <v>DoEV</v>
      </c>
      <c r="AG1136" s="43" t="str">
        <f t="array" ref="AG1136">INDEX('Deal Info'!G:G, MATCH(A1136,'Deal Info'!A:A, 0))</f>
        <v>None</v>
      </c>
    </row>
    <row r="1137" hidden="1">
      <c r="A1137" s="23" t="str">
        <f t="array" ref="A1137">if(G1137='Room Info'!$B$1, INDEX('Room Info'!$A$2:$A3446, MATCH(B1137,'Room Info'!$B$2:$B3446, 0)),if(G1137='Room Info'!$C$1, INDEX('Room Info'!$A$2:$A3446, MATCH(B1137,'Room Info'!$C$2:$C3446, 0)),if(G1137='Room Info'!$D$1, INDEX('Room Info'!$A$2:$A3446, MATCH(B1137,'Room Info'!$D$2:$D3446, 0)),if(G1137='Room Info'!$E$1, INDEX('Room Info'!$A$2:$A3446, MATCH(B1137,'Room Info'!$E$2:$E3446, 0)),if(G1137='Room Info'!$F$1, INDEX('Room Info'!$A$2:$A3446, MATCH(B1137,'Room Info'!$F$2:$F3446, 0)),if(G1137='Room Info'!$H$1, INDEX('Room Info'!$A$2:$A3446, MATCH(B1137,'Room Info'!$H$2:$H3446, 0)),if(G1137='Room Info'!$G$1, INDEX('Room Info'!$A$2:$A3446, MATCH(B1137,'Room Info'!$G$2:$G3446, 0)))))))))</f>
        <v>QQcheliQ</v>
      </c>
      <c r="B1137" s="50" t="s">
        <v>210</v>
      </c>
      <c r="C1137" s="51">
        <v>44641.0</v>
      </c>
      <c r="D1137" s="51">
        <v>44671.0</v>
      </c>
      <c r="E1137" s="52">
        <v>44652.0</v>
      </c>
      <c r="F1137" s="53" t="s">
        <v>4</v>
      </c>
      <c r="G1137" s="50" t="s">
        <v>5</v>
      </c>
      <c r="H1137" s="54" t="s">
        <v>45</v>
      </c>
      <c r="I1137" s="54" t="s">
        <v>7</v>
      </c>
      <c r="J1137" s="55">
        <v>10.0</v>
      </c>
      <c r="K1137" s="56">
        <v>1932.0</v>
      </c>
      <c r="L1137" s="57">
        <v>460.0</v>
      </c>
      <c r="M1137" s="58">
        <v>380.0</v>
      </c>
      <c r="N1137" s="33">
        <f t="shared" si="155"/>
        <v>19320</v>
      </c>
      <c r="O1137" s="59">
        <v>125504.0</v>
      </c>
      <c r="P1137" s="34">
        <f t="shared" si="14"/>
        <v>64.96066253</v>
      </c>
      <c r="Q1137" s="60"/>
      <c r="R1137" s="36">
        <f t="shared" si="156"/>
        <v>380</v>
      </c>
      <c r="S1137" s="61">
        <v>955.0</v>
      </c>
      <c r="T1137" s="37">
        <f t="shared" si="157"/>
        <v>1335</v>
      </c>
      <c r="U1137" s="62">
        <v>1.0</v>
      </c>
      <c r="V1137" s="63"/>
      <c r="W1137" s="63"/>
      <c r="X1137" s="83">
        <v>0.23</v>
      </c>
      <c r="Y1137" s="35">
        <f t="shared" si="163"/>
        <v>0</v>
      </c>
      <c r="Z1137" s="40">
        <f t="shared" si="159"/>
        <v>1028</v>
      </c>
      <c r="AA1137" s="65">
        <v>307.0</v>
      </c>
      <c r="AB1137" s="41">
        <f t="shared" si="161"/>
        <v>0</v>
      </c>
      <c r="AC1137" s="42" t="b">
        <v>1</v>
      </c>
      <c r="AD1137" s="42" t="s">
        <v>138</v>
      </c>
      <c r="AE1137" s="42" t="s">
        <v>138</v>
      </c>
      <c r="AF1137" s="42" t="str">
        <f t="array" ref="AF1137">INDEX('Deal Info'!D:D, MATCH(A1137,'Deal Info'!A:A, 0))</f>
        <v>DoEV</v>
      </c>
      <c r="AG1137" s="43" t="str">
        <f t="array" ref="AG1137">INDEX('Deal Info'!G:G, MATCH(A1137,'Deal Info'!A:A, 0))</f>
        <v>None</v>
      </c>
    </row>
    <row r="1138" hidden="1">
      <c r="A1138" s="23" t="str">
        <f t="array" ref="A1138">if(G1138='Room Info'!$B$1, INDEX('Room Info'!$A$2:$A3446, MATCH(B1138,'Room Info'!$B$2:$B3446, 0)),if(G1138='Room Info'!$C$1, INDEX('Room Info'!$A$2:$A3446, MATCH(B1138,'Room Info'!$C$2:$C3446, 0)),if(G1138='Room Info'!$D$1, INDEX('Room Info'!$A$2:$A3446, MATCH(B1138,'Room Info'!$D$2:$D3446, 0)),if(G1138='Room Info'!$E$1, INDEX('Room Info'!$A$2:$A3446, MATCH(B1138,'Room Info'!$E$2:$E3446, 0)),if(G1138='Room Info'!$F$1, INDEX('Room Info'!$A$2:$A3446, MATCH(B1138,'Room Info'!$F$2:$F3446, 0)),if(G1138='Room Info'!$H$1, INDEX('Room Info'!$A$2:$A3446, MATCH(B1138,'Room Info'!$H$2:$H3446, 0)),if(G1138='Room Info'!$G$1, INDEX('Room Info'!$A$2:$A3446, MATCH(B1138,'Room Info'!$G$2:$G3446, 0)))))))))</f>
        <v>QQcheliQ</v>
      </c>
      <c r="B1138" s="50" t="s">
        <v>210</v>
      </c>
      <c r="C1138" s="51">
        <v>44641.0</v>
      </c>
      <c r="D1138" s="51">
        <v>44671.0</v>
      </c>
      <c r="E1138" s="52">
        <v>44652.0</v>
      </c>
      <c r="F1138" s="53" t="s">
        <v>4</v>
      </c>
      <c r="G1138" s="50" t="s">
        <v>5</v>
      </c>
      <c r="H1138" s="54" t="s">
        <v>62</v>
      </c>
      <c r="I1138" s="54" t="s">
        <v>7</v>
      </c>
      <c r="J1138" s="55">
        <v>25.0</v>
      </c>
      <c r="K1138" s="56">
        <v>250.0</v>
      </c>
      <c r="L1138" s="57">
        <v>-775.0</v>
      </c>
      <c r="M1138" s="58">
        <v>105.0</v>
      </c>
      <c r="N1138" s="33">
        <f t="shared" si="155"/>
        <v>6250</v>
      </c>
      <c r="O1138" s="59">
        <v>217.0</v>
      </c>
      <c r="P1138" s="34">
        <f t="shared" si="14"/>
        <v>0.868</v>
      </c>
      <c r="Q1138" s="60"/>
      <c r="R1138" s="36">
        <f t="shared" si="156"/>
        <v>105</v>
      </c>
      <c r="S1138" s="61">
        <v>-366.0</v>
      </c>
      <c r="T1138" s="37">
        <f t="shared" si="157"/>
        <v>-261</v>
      </c>
      <c r="U1138" s="62">
        <v>1.0</v>
      </c>
      <c r="V1138" s="63"/>
      <c r="W1138" s="63"/>
      <c r="X1138" s="83">
        <v>0.23</v>
      </c>
      <c r="Y1138" s="35">
        <f t="shared" si="163"/>
        <v>0</v>
      </c>
      <c r="Z1138" s="40">
        <f t="shared" si="159"/>
        <v>-201</v>
      </c>
      <c r="AA1138" s="65">
        <v>-60.0</v>
      </c>
      <c r="AB1138" s="41">
        <f t="shared" si="161"/>
        <v>0</v>
      </c>
      <c r="AC1138" s="42" t="b">
        <v>1</v>
      </c>
      <c r="AD1138" s="42" t="s">
        <v>138</v>
      </c>
      <c r="AE1138" s="42" t="s">
        <v>138</v>
      </c>
      <c r="AF1138" s="42" t="str">
        <f t="array" ref="AF1138">INDEX('Deal Info'!D:D, MATCH(A1138,'Deal Info'!A:A, 0))</f>
        <v>DoEV</v>
      </c>
      <c r="AG1138" s="43" t="str">
        <f t="array" ref="AG1138">INDEX('Deal Info'!G:G, MATCH(A1138,'Deal Info'!A:A, 0))</f>
        <v>None</v>
      </c>
    </row>
    <row r="1139" hidden="1">
      <c r="A1139" s="23" t="str">
        <f t="array" ref="A1139">if(G1139='Room Info'!$B$1, INDEX('Room Info'!$A$2:$A3446, MATCH(B1139,'Room Info'!$B$2:$B3446, 0)),if(G1139='Room Info'!$C$1, INDEX('Room Info'!$A$2:$A3446, MATCH(B1139,'Room Info'!$C$2:$C3446, 0)),if(G1139='Room Info'!$D$1, INDEX('Room Info'!$A$2:$A3446, MATCH(B1139,'Room Info'!$D$2:$D3446, 0)),if(G1139='Room Info'!$E$1, INDEX('Room Info'!$A$2:$A3446, MATCH(B1139,'Room Info'!$E$2:$E3446, 0)),if(G1139='Room Info'!$F$1, INDEX('Room Info'!$A$2:$A3446, MATCH(B1139,'Room Info'!$F$2:$F3446, 0)),if(G1139='Room Info'!$H$1, INDEX('Room Info'!$A$2:$A3446, MATCH(B1139,'Room Info'!$H$2:$H3446, 0)),if(G1139='Room Info'!$G$1, INDEX('Room Info'!$A$2:$A3446, MATCH(B1139,'Room Info'!$G$2:$G3446, 0)))))))))</f>
        <v>QQcheliQ</v>
      </c>
      <c r="B1139" s="59" t="s">
        <v>210</v>
      </c>
      <c r="C1139" s="51">
        <v>44672.0</v>
      </c>
      <c r="D1139" s="51">
        <v>44701.0</v>
      </c>
      <c r="E1139" s="52">
        <v>44682.0</v>
      </c>
      <c r="F1139" s="50" t="s">
        <v>4</v>
      </c>
      <c r="G1139" s="59" t="s">
        <v>5</v>
      </c>
      <c r="H1139" s="54" t="s">
        <v>45</v>
      </c>
      <c r="I1139" s="54" t="s">
        <v>7</v>
      </c>
      <c r="J1139" s="79">
        <v>10.0</v>
      </c>
      <c r="K1139" s="80">
        <v>164.0</v>
      </c>
      <c r="L1139" s="77">
        <v>460.0</v>
      </c>
      <c r="M1139" s="58">
        <v>28.0</v>
      </c>
      <c r="N1139" s="33">
        <f t="shared" si="155"/>
        <v>1640</v>
      </c>
      <c r="O1139" s="50">
        <v>17179.0</v>
      </c>
      <c r="P1139" s="34">
        <f t="shared" si="14"/>
        <v>104.75</v>
      </c>
      <c r="Q1139" s="60"/>
      <c r="R1139" s="36">
        <f t="shared" si="156"/>
        <v>28</v>
      </c>
      <c r="S1139" s="78">
        <v>195.0</v>
      </c>
      <c r="T1139" s="37">
        <f t="shared" si="157"/>
        <v>223</v>
      </c>
      <c r="U1139" s="62">
        <v>1.0</v>
      </c>
      <c r="V1139" s="63"/>
      <c r="W1139" s="63"/>
      <c r="X1139" s="83">
        <v>0.3</v>
      </c>
      <c r="Y1139" s="35">
        <f t="shared" si="163"/>
        <v>0</v>
      </c>
      <c r="Z1139" s="40">
        <f t="shared" si="159"/>
        <v>156</v>
      </c>
      <c r="AA1139" s="65">
        <v>67.0</v>
      </c>
      <c r="AB1139" s="41">
        <f t="shared" si="161"/>
        <v>0</v>
      </c>
      <c r="AC1139" s="42" t="b">
        <v>1</v>
      </c>
      <c r="AD1139" s="42" t="s">
        <v>138</v>
      </c>
      <c r="AE1139" s="42" t="s">
        <v>138</v>
      </c>
      <c r="AF1139" s="42" t="str">
        <f t="array" ref="AF1139">INDEX('Deal Info'!D:D, MATCH(A1139,'Deal Info'!A:A, 0))</f>
        <v>DoEV</v>
      </c>
      <c r="AG1139" s="43" t="str">
        <f t="array" ref="AG1139">INDEX('Deal Info'!G:G, MATCH(A1139,'Deal Info'!A:A, 0))</f>
        <v>None</v>
      </c>
    </row>
    <row r="1140" hidden="1">
      <c r="A1140" s="23" t="str">
        <f t="array" ref="A1140">if(G1140='Room Info'!$B$1, INDEX('Room Info'!$A$2:$A3446, MATCH(B1140,'Room Info'!$B$2:$B3446, 0)),if(G1140='Room Info'!$C$1, INDEX('Room Info'!$A$2:$A3446, MATCH(B1140,'Room Info'!$C$2:$C3446, 0)),if(G1140='Room Info'!$D$1, INDEX('Room Info'!$A$2:$A3446, MATCH(B1140,'Room Info'!$D$2:$D3446, 0)),if(G1140='Room Info'!$E$1, INDEX('Room Info'!$A$2:$A3446, MATCH(B1140,'Room Info'!$E$2:$E3446, 0)),if(G1140='Room Info'!$F$1, INDEX('Room Info'!$A$2:$A3446, MATCH(B1140,'Room Info'!$F$2:$F3446, 0)),if(G1140='Room Info'!$H$1, INDEX('Room Info'!$A$2:$A3446, MATCH(B1140,'Room Info'!$H$2:$H3446, 0)),if(G1140='Room Info'!$G$1, INDEX('Room Info'!$A$2:$A3446, MATCH(B1140,'Room Info'!$G$2:$G3446, 0)))))))))</f>
        <v>QQcheliQ</v>
      </c>
      <c r="B1140" s="59" t="s">
        <v>211</v>
      </c>
      <c r="C1140" s="51">
        <v>44682.0</v>
      </c>
      <c r="D1140" s="51">
        <v>44712.0</v>
      </c>
      <c r="E1140" s="52">
        <v>44682.0</v>
      </c>
      <c r="F1140" s="50" t="s">
        <v>4</v>
      </c>
      <c r="G1140" s="59" t="s">
        <v>16</v>
      </c>
      <c r="H1140" s="54" t="s">
        <v>59</v>
      </c>
      <c r="I1140" s="54" t="s">
        <v>7</v>
      </c>
      <c r="J1140" s="79">
        <v>20.0</v>
      </c>
      <c r="K1140" s="80">
        <v>1467.0</v>
      </c>
      <c r="L1140" s="77">
        <v>120.0</v>
      </c>
      <c r="M1140" s="58">
        <v>1595.0</v>
      </c>
      <c r="N1140" s="33">
        <f t="shared" si="155"/>
        <v>29340</v>
      </c>
      <c r="O1140" s="50">
        <v>81147.0</v>
      </c>
      <c r="P1140" s="34">
        <f t="shared" si="14"/>
        <v>55.31492843</v>
      </c>
      <c r="Q1140" s="60"/>
      <c r="R1140" s="36">
        <f t="shared" si="156"/>
        <v>1595</v>
      </c>
      <c r="S1140" s="78">
        <v>1210.0</v>
      </c>
      <c r="T1140" s="37">
        <f t="shared" si="157"/>
        <v>2805</v>
      </c>
      <c r="U1140" s="62">
        <v>1.0</v>
      </c>
      <c r="V1140" s="63"/>
      <c r="W1140" s="63"/>
      <c r="X1140" s="83">
        <v>0.17</v>
      </c>
      <c r="Y1140" s="35">
        <f t="shared" si="163"/>
        <v>0</v>
      </c>
      <c r="Z1140" s="40">
        <f t="shared" si="159"/>
        <v>2328</v>
      </c>
      <c r="AA1140" s="65">
        <v>477.0</v>
      </c>
      <c r="AB1140" s="41">
        <f t="shared" si="161"/>
        <v>0</v>
      </c>
      <c r="AC1140" s="42" t="b">
        <v>1</v>
      </c>
      <c r="AD1140" s="42" t="s">
        <v>138</v>
      </c>
      <c r="AE1140" s="42" t="s">
        <v>138</v>
      </c>
      <c r="AF1140" s="42" t="str">
        <f t="array" ref="AF1140">INDEX('Deal Info'!D:D, MATCH(A1140,'Deal Info'!A:A, 0))</f>
        <v>DoEV</v>
      </c>
      <c r="AG1140" s="43" t="str">
        <f t="array" ref="AG1140">INDEX('Deal Info'!G:G, MATCH(A1140,'Deal Info'!A:A, 0))</f>
        <v>None</v>
      </c>
    </row>
    <row r="1141" hidden="1">
      <c r="A1141" s="23" t="str">
        <f t="array" ref="A1141">if(G1141='Room Info'!$B$1, INDEX('Room Info'!$A$2:$A3446, MATCH(B1141,'Room Info'!$B$2:$B3446, 0)),if(G1141='Room Info'!$C$1, INDEX('Room Info'!$A$2:$A3446, MATCH(B1141,'Room Info'!$C$2:$C3446, 0)),if(G1141='Room Info'!$D$1, INDEX('Room Info'!$A$2:$A3446, MATCH(B1141,'Room Info'!$D$2:$D3446, 0)),if(G1141='Room Info'!$E$1, INDEX('Room Info'!$A$2:$A3446, MATCH(B1141,'Room Info'!$E$2:$E3446, 0)),if(G1141='Room Info'!$F$1, INDEX('Room Info'!$A$2:$A3446, MATCH(B1141,'Room Info'!$F$2:$F3446, 0)),if(G1141='Room Info'!$H$1, INDEX('Room Info'!$A$2:$A3446, MATCH(B1141,'Room Info'!$H$2:$H3446, 0)),if(G1141='Room Info'!$G$1, INDEX('Room Info'!$A$2:$A3446, MATCH(B1141,'Room Info'!$G$2:$G3446, 0)))))))))</f>
        <v>QQcheliQ</v>
      </c>
      <c r="B1141" s="50" t="s">
        <v>211</v>
      </c>
      <c r="C1141" s="104">
        <v>44682.0</v>
      </c>
      <c r="D1141" s="104">
        <v>44712.0</v>
      </c>
      <c r="E1141" s="52">
        <v>44682.0</v>
      </c>
      <c r="F1141" s="50" t="s">
        <v>12</v>
      </c>
      <c r="G1141" s="50" t="s">
        <v>16</v>
      </c>
      <c r="H1141" s="54" t="s">
        <v>33</v>
      </c>
      <c r="I1141" s="54" t="s">
        <v>27</v>
      </c>
      <c r="J1141" s="79">
        <v>3.0</v>
      </c>
      <c r="K1141" s="80">
        <v>3.0</v>
      </c>
      <c r="L1141" s="77">
        <v>21.0</v>
      </c>
      <c r="M1141" s="81">
        <v>0.0</v>
      </c>
      <c r="N1141" s="33">
        <f t="shared" si="155"/>
        <v>9</v>
      </c>
      <c r="O1141" s="101"/>
      <c r="P1141" s="34">
        <f t="shared" si="14"/>
        <v>0</v>
      </c>
      <c r="Q1141" s="60"/>
      <c r="R1141" s="36">
        <f t="shared" si="156"/>
        <v>0</v>
      </c>
      <c r="S1141" s="102"/>
      <c r="T1141" s="37">
        <f t="shared" si="157"/>
        <v>21</v>
      </c>
      <c r="U1141" s="62">
        <v>1.0</v>
      </c>
      <c r="V1141" s="63"/>
      <c r="W1141" s="63"/>
      <c r="X1141" s="83">
        <v>0.17</v>
      </c>
      <c r="Y1141" s="35">
        <f t="shared" si="163"/>
        <v>0</v>
      </c>
      <c r="Z1141" s="40">
        <f t="shared" si="159"/>
        <v>17</v>
      </c>
      <c r="AA1141" s="65">
        <v>4.0</v>
      </c>
      <c r="AB1141" s="41">
        <f t="shared" si="161"/>
        <v>0</v>
      </c>
      <c r="AC1141" s="42" t="b">
        <v>1</v>
      </c>
      <c r="AD1141" s="42" t="s">
        <v>138</v>
      </c>
      <c r="AE1141" s="42" t="s">
        <v>138</v>
      </c>
      <c r="AF1141" s="42" t="str">
        <f t="array" ref="AF1141">INDEX('Deal Info'!D:D, MATCH(A1141,'Deal Info'!A:A, 0))</f>
        <v>DoEV</v>
      </c>
      <c r="AG1141" s="43" t="str">
        <f t="array" ref="AG1141">INDEX('Deal Info'!G:G, MATCH(A1141,'Deal Info'!A:A, 0))</f>
        <v>None</v>
      </c>
    </row>
    <row r="1142" hidden="1">
      <c r="A1142" s="23" t="str">
        <f t="array" ref="A1142">if(G1142='Room Info'!$B$1, INDEX('Room Info'!$A$2:$A3446, MATCH(B1142,'Room Info'!$B$2:$B3446, 0)),if(G1142='Room Info'!$C$1, INDEX('Room Info'!$A$2:$A3446, MATCH(B1142,'Room Info'!$C$2:$C3446, 0)),if(G1142='Room Info'!$D$1, INDEX('Room Info'!$A$2:$A3446, MATCH(B1142,'Room Info'!$D$2:$D3446, 0)),if(G1142='Room Info'!$E$1, INDEX('Room Info'!$A$2:$A3446, MATCH(B1142,'Room Info'!$E$2:$E3446, 0)),if(G1142='Room Info'!$F$1, INDEX('Room Info'!$A$2:$A3446, MATCH(B1142,'Room Info'!$F$2:$F3446, 0)),if(G1142='Room Info'!$H$1, INDEX('Room Info'!$A$2:$A3446, MATCH(B1142,'Room Info'!$H$2:$H3446, 0)),if(G1142='Room Info'!$G$1, INDEX('Room Info'!$A$2:$A3446, MATCH(B1142,'Room Info'!$G$2:$G3446, 0)))))))))</f>
        <v>QQcheliQ</v>
      </c>
      <c r="B1142" s="50" t="s">
        <v>211</v>
      </c>
      <c r="C1142" s="104">
        <v>44682.0</v>
      </c>
      <c r="D1142" s="104">
        <v>44712.0</v>
      </c>
      <c r="E1142" s="52">
        <v>44682.0</v>
      </c>
      <c r="F1142" s="53" t="s">
        <v>12</v>
      </c>
      <c r="G1142" s="59" t="s">
        <v>16</v>
      </c>
      <c r="H1142" s="54" t="s">
        <v>35</v>
      </c>
      <c r="I1142" s="54" t="s">
        <v>7</v>
      </c>
      <c r="J1142" s="79">
        <v>5.0</v>
      </c>
      <c r="K1142" s="80">
        <v>1.0</v>
      </c>
      <c r="L1142" s="77">
        <v>0.0</v>
      </c>
      <c r="M1142" s="58">
        <v>0.0</v>
      </c>
      <c r="N1142" s="33">
        <f t="shared" si="155"/>
        <v>5</v>
      </c>
      <c r="O1142" s="101"/>
      <c r="P1142" s="34">
        <f t="shared" si="14"/>
        <v>0</v>
      </c>
      <c r="Q1142" s="60"/>
      <c r="R1142" s="36">
        <f t="shared" si="156"/>
        <v>0</v>
      </c>
      <c r="S1142" s="102"/>
      <c r="T1142" s="37">
        <f t="shared" si="157"/>
        <v>0</v>
      </c>
      <c r="U1142" s="62">
        <v>1.0</v>
      </c>
      <c r="V1142" s="63"/>
      <c r="W1142" s="63"/>
      <c r="X1142" s="83">
        <v>0.17</v>
      </c>
      <c r="Y1142" s="35">
        <f t="shared" si="163"/>
        <v>0</v>
      </c>
      <c r="Z1142" s="40">
        <f t="shared" si="159"/>
        <v>0</v>
      </c>
      <c r="AA1142" s="65">
        <v>0.0</v>
      </c>
      <c r="AB1142" s="41">
        <f t="shared" si="161"/>
        <v>0</v>
      </c>
      <c r="AC1142" s="42" t="b">
        <v>1</v>
      </c>
      <c r="AD1142" s="42" t="s">
        <v>138</v>
      </c>
      <c r="AE1142" s="42" t="s">
        <v>138</v>
      </c>
      <c r="AF1142" s="42" t="str">
        <f t="array" ref="AF1142">INDEX('Deal Info'!D:D, MATCH(A1142,'Deal Info'!A:A, 0))</f>
        <v>DoEV</v>
      </c>
      <c r="AG1142" s="43" t="str">
        <f t="array" ref="AG1142">INDEX('Deal Info'!G:G, MATCH(A1142,'Deal Info'!A:A, 0))</f>
        <v>None</v>
      </c>
    </row>
    <row r="1143" hidden="1">
      <c r="A1143" s="23" t="str">
        <f t="array" ref="A1143">if(G1143='Room Info'!$B$1, INDEX('Room Info'!$A$2:$A3446, MATCH(B1143,'Room Info'!$B$2:$B3446, 0)),if(G1143='Room Info'!$C$1, INDEX('Room Info'!$A$2:$A3446, MATCH(B1143,'Room Info'!$C$2:$C3446, 0)),if(G1143='Room Info'!$D$1, INDEX('Room Info'!$A$2:$A3446, MATCH(B1143,'Room Info'!$D$2:$D3446, 0)),if(G1143='Room Info'!$E$1, INDEX('Room Info'!$A$2:$A3446, MATCH(B1143,'Room Info'!$E$2:$E3446, 0)),if(G1143='Room Info'!$F$1, INDEX('Room Info'!$A$2:$A3446, MATCH(B1143,'Room Info'!$F$2:$F3446, 0)),if(G1143='Room Info'!$H$1, INDEX('Room Info'!$A$2:$A3446, MATCH(B1143,'Room Info'!$H$2:$H3446, 0)),if(G1143='Room Info'!$G$1, INDEX('Room Info'!$A$2:$A3446, MATCH(B1143,'Room Info'!$G$2:$G3446, 0)))))))))</f>
        <v>QQcheliQ</v>
      </c>
      <c r="B1143" s="50" t="s">
        <v>211</v>
      </c>
      <c r="C1143" s="104">
        <v>44682.0</v>
      </c>
      <c r="D1143" s="104">
        <v>44712.0</v>
      </c>
      <c r="E1143" s="52">
        <v>44682.0</v>
      </c>
      <c r="F1143" s="53" t="s">
        <v>12</v>
      </c>
      <c r="G1143" s="59" t="s">
        <v>16</v>
      </c>
      <c r="H1143" s="54" t="s">
        <v>74</v>
      </c>
      <c r="I1143" s="54" t="s">
        <v>7</v>
      </c>
      <c r="J1143" s="79">
        <v>50.0</v>
      </c>
      <c r="K1143" s="80">
        <v>56.0</v>
      </c>
      <c r="L1143" s="77">
        <v>-750.0</v>
      </c>
      <c r="M1143" s="58">
        <v>2.0</v>
      </c>
      <c r="N1143" s="33">
        <f t="shared" si="155"/>
        <v>2800</v>
      </c>
      <c r="O1143" s="101"/>
      <c r="P1143" s="34">
        <f t="shared" si="14"/>
        <v>0</v>
      </c>
      <c r="Q1143" s="60"/>
      <c r="R1143" s="36">
        <f t="shared" si="156"/>
        <v>2</v>
      </c>
      <c r="S1143" s="102"/>
      <c r="T1143" s="37">
        <f t="shared" si="157"/>
        <v>-748</v>
      </c>
      <c r="U1143" s="62">
        <v>1.0</v>
      </c>
      <c r="V1143" s="63"/>
      <c r="W1143" s="63"/>
      <c r="X1143" s="83">
        <v>0.17</v>
      </c>
      <c r="Y1143" s="35">
        <f t="shared" si="163"/>
        <v>0</v>
      </c>
      <c r="Z1143" s="40">
        <f t="shared" si="159"/>
        <v>-621</v>
      </c>
      <c r="AA1143" s="65">
        <v>-127.0</v>
      </c>
      <c r="AB1143" s="41">
        <f t="shared" si="161"/>
        <v>0</v>
      </c>
      <c r="AC1143" s="42" t="b">
        <v>1</v>
      </c>
      <c r="AD1143" s="42" t="s">
        <v>138</v>
      </c>
      <c r="AE1143" s="42" t="s">
        <v>138</v>
      </c>
      <c r="AF1143" s="42" t="str">
        <f t="array" ref="AF1143">INDEX('Deal Info'!D:D, MATCH(A1143,'Deal Info'!A:A, 0))</f>
        <v>DoEV</v>
      </c>
      <c r="AG1143" s="43" t="str">
        <f t="array" ref="AG1143">INDEX('Deal Info'!G:G, MATCH(A1143,'Deal Info'!A:A, 0))</f>
        <v>None</v>
      </c>
    </row>
    <row r="1144" hidden="1">
      <c r="A1144" s="23" t="str">
        <f t="array" ref="A1144">if(G1144='Room Info'!$B$1, INDEX('Room Info'!$A$2:$A3446, MATCH(B1144,'Room Info'!$B$2:$B3446, 0)),if(G1144='Room Info'!$C$1, INDEX('Room Info'!$A$2:$A3446, MATCH(B1144,'Room Info'!$C$2:$C3446, 0)),if(G1144='Room Info'!$D$1, INDEX('Room Info'!$A$2:$A3446, MATCH(B1144,'Room Info'!$D$2:$D3446, 0)),if(G1144='Room Info'!$E$1, INDEX('Room Info'!$A$2:$A3446, MATCH(B1144,'Room Info'!$E$2:$E3446, 0)),if(G1144='Room Info'!$F$1, INDEX('Room Info'!$A$2:$A3446, MATCH(B1144,'Room Info'!$F$2:$F3446, 0)),if(G1144='Room Info'!$H$1, INDEX('Room Info'!$A$2:$A3446, MATCH(B1144,'Room Info'!$H$2:$H3446, 0)),if(G1144='Room Info'!$G$1, INDEX('Room Info'!$A$2:$A3446, MATCH(B1144,'Room Info'!$G$2:$G3446, 0)))))))))</f>
        <v>QQcheliQ</v>
      </c>
      <c r="B1144" s="50" t="s">
        <v>210</v>
      </c>
      <c r="C1144" s="104">
        <v>44702.0</v>
      </c>
      <c r="D1144" s="104">
        <v>44732.0</v>
      </c>
      <c r="E1144" s="52">
        <v>44713.0</v>
      </c>
      <c r="F1144" s="53" t="s">
        <v>4</v>
      </c>
      <c r="G1144" s="59" t="s">
        <v>5</v>
      </c>
      <c r="H1144" s="54" t="s">
        <v>62</v>
      </c>
      <c r="I1144" s="54" t="s">
        <v>7</v>
      </c>
      <c r="J1144" s="79">
        <v>25.0</v>
      </c>
      <c r="K1144" s="80">
        <v>959.0</v>
      </c>
      <c r="L1144" s="77">
        <v>-375.0</v>
      </c>
      <c r="M1144" s="58">
        <v>380.0</v>
      </c>
      <c r="N1144" s="33">
        <f t="shared" si="155"/>
        <v>23975</v>
      </c>
      <c r="O1144" s="50">
        <v>44649.0</v>
      </c>
      <c r="P1144" s="34">
        <f t="shared" si="14"/>
        <v>46.55787278</v>
      </c>
      <c r="Q1144" s="60"/>
      <c r="R1144" s="36">
        <f t="shared" si="156"/>
        <v>380</v>
      </c>
      <c r="S1144" s="78">
        <v>577.0</v>
      </c>
      <c r="T1144" s="37">
        <f t="shared" si="157"/>
        <v>957</v>
      </c>
      <c r="U1144" s="62">
        <v>1.0</v>
      </c>
      <c r="V1144" s="63"/>
      <c r="W1144" s="63"/>
      <c r="X1144" s="83">
        <v>0.17</v>
      </c>
      <c r="Y1144" s="35">
        <f t="shared" si="163"/>
        <v>0</v>
      </c>
      <c r="Z1144" s="40">
        <f t="shared" si="159"/>
        <v>794</v>
      </c>
      <c r="AA1144" s="65">
        <v>163.0</v>
      </c>
      <c r="AB1144" s="41">
        <f t="shared" si="161"/>
        <v>0</v>
      </c>
      <c r="AC1144" s="42" t="b">
        <v>1</v>
      </c>
      <c r="AD1144" s="42" t="s">
        <v>138</v>
      </c>
      <c r="AE1144" s="42" t="s">
        <v>138</v>
      </c>
      <c r="AF1144" s="42" t="str">
        <f t="array" ref="AF1144">INDEX('Deal Info'!D:D, MATCH(A1144,'Deal Info'!A:A, 0))</f>
        <v>DoEV</v>
      </c>
      <c r="AG1144" s="43" t="str">
        <f t="array" ref="AG1144">INDEX('Deal Info'!G:G, MATCH(A1144,'Deal Info'!A:A, 0))</f>
        <v>None</v>
      </c>
    </row>
    <row r="1145" hidden="1">
      <c r="A1145" s="23" t="str">
        <f t="array" ref="A1145">if(G1145='Room Info'!$B$1, INDEX('Room Info'!$A$2:$A3446, MATCH(B1145,'Room Info'!$B$2:$B3446, 0)),if(G1145='Room Info'!$C$1, INDEX('Room Info'!$A$2:$A3446, MATCH(B1145,'Room Info'!$C$2:$C3446, 0)),if(G1145='Room Info'!$D$1, INDEX('Room Info'!$A$2:$A3446, MATCH(B1145,'Room Info'!$D$2:$D3446, 0)),if(G1145='Room Info'!$E$1, INDEX('Room Info'!$A$2:$A3446, MATCH(B1145,'Room Info'!$E$2:$E3446, 0)),if(G1145='Room Info'!$F$1, INDEX('Room Info'!$A$2:$A3446, MATCH(B1145,'Room Info'!$F$2:$F3446, 0)),if(G1145='Room Info'!$H$1, INDEX('Room Info'!$A$2:$A3446, MATCH(B1145,'Room Info'!$H$2:$H3446, 0)),if(G1145='Room Info'!$G$1, INDEX('Room Info'!$A$2:$A3446, MATCH(B1145,'Room Info'!$G$2:$G3446, 0)))))))))</f>
        <v>QQcheliQ</v>
      </c>
      <c r="B1145" s="50" t="s">
        <v>211</v>
      </c>
      <c r="C1145" s="51">
        <v>44713.0</v>
      </c>
      <c r="D1145" s="51">
        <v>44742.0</v>
      </c>
      <c r="E1145" s="52">
        <v>44713.0</v>
      </c>
      <c r="F1145" s="53" t="s">
        <v>12</v>
      </c>
      <c r="G1145" s="59" t="s">
        <v>16</v>
      </c>
      <c r="H1145" s="54" t="s">
        <v>45</v>
      </c>
      <c r="I1145" s="54" t="s">
        <v>7</v>
      </c>
      <c r="J1145" s="55">
        <v>10.0</v>
      </c>
      <c r="K1145" s="56">
        <v>2.0</v>
      </c>
      <c r="L1145" s="57">
        <v>100.0</v>
      </c>
      <c r="M1145" s="58">
        <v>74.0</v>
      </c>
      <c r="N1145" s="33">
        <f t="shared" si="155"/>
        <v>20</v>
      </c>
      <c r="O1145" s="59">
        <v>792.0</v>
      </c>
      <c r="P1145" s="34">
        <f t="shared" si="14"/>
        <v>396</v>
      </c>
      <c r="Q1145" s="60"/>
      <c r="R1145" s="36">
        <f t="shared" si="156"/>
        <v>74</v>
      </c>
      <c r="S1145" s="61"/>
      <c r="T1145" s="37">
        <f t="shared" si="157"/>
        <v>174</v>
      </c>
      <c r="U1145" s="62">
        <v>1.0</v>
      </c>
      <c r="V1145" s="63"/>
      <c r="W1145" s="63"/>
      <c r="X1145" s="83">
        <v>0.3</v>
      </c>
      <c r="Y1145" s="35">
        <f t="shared" si="163"/>
        <v>0</v>
      </c>
      <c r="Z1145" s="40">
        <f t="shared" si="159"/>
        <v>122</v>
      </c>
      <c r="AA1145" s="65">
        <v>52.0</v>
      </c>
      <c r="AB1145" s="41">
        <f t="shared" si="161"/>
        <v>0</v>
      </c>
      <c r="AC1145" s="42" t="b">
        <v>1</v>
      </c>
      <c r="AD1145" s="42" t="s">
        <v>138</v>
      </c>
      <c r="AE1145" s="42" t="s">
        <v>138</v>
      </c>
      <c r="AF1145" s="42" t="str">
        <f t="array" ref="AF1145">INDEX('Deal Info'!D:D, MATCH(A1145,'Deal Info'!A:A, 0))</f>
        <v>DoEV</v>
      </c>
      <c r="AG1145" s="43" t="str">
        <f t="array" ref="AG1145">INDEX('Deal Info'!G:G, MATCH(A1145,'Deal Info'!A:A, 0))</f>
        <v>None</v>
      </c>
    </row>
    <row r="1146" hidden="1">
      <c r="A1146" s="23" t="str">
        <f t="array" ref="A1146">if(G1146='Room Info'!$B$1, INDEX('Room Info'!$A$2:$A3446, MATCH(B1146,'Room Info'!$B$2:$B3446, 0)),if(G1146='Room Info'!$C$1, INDEX('Room Info'!$A$2:$A3446, MATCH(B1146,'Room Info'!$C$2:$C3446, 0)),if(G1146='Room Info'!$D$1, INDEX('Room Info'!$A$2:$A3446, MATCH(B1146,'Room Info'!$D$2:$D3446, 0)),if(G1146='Room Info'!$E$1, INDEX('Room Info'!$A$2:$A3446, MATCH(B1146,'Room Info'!$E$2:$E3446, 0)),if(G1146='Room Info'!$F$1, INDEX('Room Info'!$A$2:$A3446, MATCH(B1146,'Room Info'!$F$2:$F3446, 0)),if(G1146='Room Info'!$H$1, INDEX('Room Info'!$A$2:$A3446, MATCH(B1146,'Room Info'!$H$2:$H3446, 0)),if(G1146='Room Info'!$G$1, INDEX('Room Info'!$A$2:$A3446, MATCH(B1146,'Room Info'!$G$2:$G3446, 0)))))))))</f>
        <v>QQcheliQ</v>
      </c>
      <c r="B1146" s="50" t="s">
        <v>211</v>
      </c>
      <c r="C1146" s="51">
        <v>44713.0</v>
      </c>
      <c r="D1146" s="51">
        <v>44742.0</v>
      </c>
      <c r="E1146" s="52">
        <v>44713.0</v>
      </c>
      <c r="F1146" s="53" t="s">
        <v>12</v>
      </c>
      <c r="G1146" s="50" t="s">
        <v>16</v>
      </c>
      <c r="H1146" s="54" t="s">
        <v>59</v>
      </c>
      <c r="I1146" s="54" t="s">
        <v>7</v>
      </c>
      <c r="J1146" s="55">
        <v>20.0</v>
      </c>
      <c r="K1146" s="56">
        <v>363.0</v>
      </c>
      <c r="L1146" s="57">
        <v>-460.0</v>
      </c>
      <c r="M1146" s="58">
        <v>388.0</v>
      </c>
      <c r="N1146" s="33">
        <f t="shared" si="155"/>
        <v>7260</v>
      </c>
      <c r="O1146" s="59">
        <v>1769.0</v>
      </c>
      <c r="P1146" s="34">
        <f t="shared" si="14"/>
        <v>4.873278237</v>
      </c>
      <c r="Q1146" s="60"/>
      <c r="R1146" s="36">
        <f t="shared" si="156"/>
        <v>388</v>
      </c>
      <c r="S1146" s="61"/>
      <c r="T1146" s="37">
        <f t="shared" si="157"/>
        <v>-72</v>
      </c>
      <c r="U1146" s="62">
        <v>1.0</v>
      </c>
      <c r="V1146" s="63"/>
      <c r="W1146" s="63"/>
      <c r="X1146" s="83">
        <v>0.3</v>
      </c>
      <c r="Y1146" s="35">
        <f t="shared" si="163"/>
        <v>0</v>
      </c>
      <c r="Z1146" s="40">
        <f t="shared" si="159"/>
        <v>-50</v>
      </c>
      <c r="AA1146" s="65">
        <v>-22.0</v>
      </c>
      <c r="AB1146" s="41">
        <f t="shared" si="161"/>
        <v>0</v>
      </c>
      <c r="AC1146" s="42" t="b">
        <v>1</v>
      </c>
      <c r="AD1146" s="42" t="s">
        <v>138</v>
      </c>
      <c r="AE1146" s="42" t="s">
        <v>138</v>
      </c>
      <c r="AF1146" s="42" t="str">
        <f t="array" ref="AF1146">INDEX('Deal Info'!D:D, MATCH(A1146,'Deal Info'!A:A, 0))</f>
        <v>DoEV</v>
      </c>
      <c r="AG1146" s="43" t="str">
        <f t="array" ref="AG1146">INDEX('Deal Info'!G:G, MATCH(A1146,'Deal Info'!A:A, 0))</f>
        <v>None</v>
      </c>
    </row>
    <row r="1147" hidden="1">
      <c r="A1147" s="23" t="str">
        <f t="array" ref="A1147">if(G1147='Room Info'!$B$1, INDEX('Room Info'!$A$2:$A3446, MATCH(B1147,'Room Info'!$B$2:$B3446, 0)),if(G1147='Room Info'!$C$1, INDEX('Room Info'!$A$2:$A3446, MATCH(B1147,'Room Info'!$C$2:$C3446, 0)),if(G1147='Room Info'!$D$1, INDEX('Room Info'!$A$2:$A3446, MATCH(B1147,'Room Info'!$D$2:$D3446, 0)),if(G1147='Room Info'!$E$1, INDEX('Room Info'!$A$2:$A3446, MATCH(B1147,'Room Info'!$E$2:$E3446, 0)),if(G1147='Room Info'!$F$1, INDEX('Room Info'!$A$2:$A3446, MATCH(B1147,'Room Info'!$F$2:$F3446, 0)),if(G1147='Room Info'!$H$1, INDEX('Room Info'!$A$2:$A3446, MATCH(B1147,'Room Info'!$H$2:$H3446, 0)),if(G1147='Room Info'!$G$1, INDEX('Room Info'!$A$2:$A3446, MATCH(B1147,'Room Info'!$G$2:$G3446, 0)))))))))</f>
        <v>QQcheliQ</v>
      </c>
      <c r="B1147" s="50" t="s">
        <v>211</v>
      </c>
      <c r="C1147" s="51">
        <v>44713.0</v>
      </c>
      <c r="D1147" s="51">
        <v>44742.0</v>
      </c>
      <c r="E1147" s="52">
        <v>44713.0</v>
      </c>
      <c r="F1147" s="53" t="s">
        <v>12</v>
      </c>
      <c r="G1147" s="50" t="s">
        <v>16</v>
      </c>
      <c r="H1147" s="54" t="s">
        <v>35</v>
      </c>
      <c r="I1147" s="54" t="s">
        <v>7</v>
      </c>
      <c r="J1147" s="55">
        <v>5.0</v>
      </c>
      <c r="K1147" s="56">
        <v>17.0</v>
      </c>
      <c r="L1147" s="57">
        <v>5.0</v>
      </c>
      <c r="M1147" s="58">
        <v>0.0</v>
      </c>
      <c r="N1147" s="33">
        <f t="shared" si="155"/>
        <v>85</v>
      </c>
      <c r="O1147" s="70"/>
      <c r="P1147" s="34">
        <f t="shared" si="14"/>
        <v>0</v>
      </c>
      <c r="Q1147" s="60"/>
      <c r="R1147" s="36">
        <f t="shared" si="156"/>
        <v>0</v>
      </c>
      <c r="S1147" s="71"/>
      <c r="T1147" s="37">
        <f t="shared" si="157"/>
        <v>5</v>
      </c>
      <c r="U1147" s="62">
        <v>1.0</v>
      </c>
      <c r="V1147" s="63"/>
      <c r="W1147" s="63"/>
      <c r="X1147" s="83">
        <v>0.3</v>
      </c>
      <c r="Y1147" s="35">
        <f t="shared" si="163"/>
        <v>0</v>
      </c>
      <c r="Z1147" s="40">
        <f t="shared" si="159"/>
        <v>4</v>
      </c>
      <c r="AA1147" s="65">
        <v>1.0</v>
      </c>
      <c r="AB1147" s="41">
        <f t="shared" si="161"/>
        <v>0</v>
      </c>
      <c r="AC1147" s="42" t="b">
        <v>1</v>
      </c>
      <c r="AD1147" s="42" t="s">
        <v>138</v>
      </c>
      <c r="AE1147" s="42" t="s">
        <v>138</v>
      </c>
      <c r="AF1147" s="42" t="str">
        <f t="array" ref="AF1147">INDEX('Deal Info'!D:D, MATCH(A1147,'Deal Info'!A:A, 0))</f>
        <v>DoEV</v>
      </c>
      <c r="AG1147" s="43" t="str">
        <f t="array" ref="AG1147">INDEX('Deal Info'!G:G, MATCH(A1147,'Deal Info'!A:A, 0))</f>
        <v>None</v>
      </c>
    </row>
    <row r="1148" hidden="1">
      <c r="A1148" s="23" t="str">
        <f t="array" ref="A1148">if(G1148='Room Info'!$B$1, INDEX('Room Info'!$A$2:$A3446, MATCH(B1148,'Room Info'!$B$2:$B3446, 0)),if(G1148='Room Info'!$C$1, INDEX('Room Info'!$A$2:$A3446, MATCH(B1148,'Room Info'!$C$2:$C3446, 0)),if(G1148='Room Info'!$D$1, INDEX('Room Info'!$A$2:$A3446, MATCH(B1148,'Room Info'!$D$2:$D3446, 0)),if(G1148='Room Info'!$E$1, INDEX('Room Info'!$A$2:$A3446, MATCH(B1148,'Room Info'!$E$2:$E3446, 0)),if(G1148='Room Info'!$F$1, INDEX('Room Info'!$A$2:$A3446, MATCH(B1148,'Room Info'!$F$2:$F3446, 0)),if(G1148='Room Info'!$H$1, INDEX('Room Info'!$A$2:$A3446, MATCH(B1148,'Room Info'!$H$2:$H3446, 0)),if(G1148='Room Info'!$G$1, INDEX('Room Info'!$A$2:$A3446, MATCH(B1148,'Room Info'!$G$2:$G3446, 0)))))))))</f>
        <v>QQcheliQ</v>
      </c>
      <c r="B1148" s="50" t="s">
        <v>210</v>
      </c>
      <c r="C1148" s="51">
        <v>44733.0</v>
      </c>
      <c r="D1148" s="51">
        <v>44762.0</v>
      </c>
      <c r="E1148" s="52">
        <v>44743.0</v>
      </c>
      <c r="F1148" s="53" t="s">
        <v>4</v>
      </c>
      <c r="G1148" s="50" t="s">
        <v>5</v>
      </c>
      <c r="H1148" s="54" t="s">
        <v>35</v>
      </c>
      <c r="I1148" s="54" t="s">
        <v>7</v>
      </c>
      <c r="J1148" s="55">
        <v>5.0</v>
      </c>
      <c r="K1148" s="56">
        <v>1.0</v>
      </c>
      <c r="L1148" s="57">
        <v>-5.0</v>
      </c>
      <c r="M1148" s="67"/>
      <c r="N1148" s="33">
        <f t="shared" si="155"/>
        <v>5</v>
      </c>
      <c r="O1148" s="59">
        <v>-9.0</v>
      </c>
      <c r="P1148" s="34">
        <f t="shared" si="14"/>
        <v>-9</v>
      </c>
      <c r="Q1148" s="60"/>
      <c r="R1148" s="36">
        <f t="shared" si="156"/>
        <v>0</v>
      </c>
      <c r="S1148" s="61">
        <v>-1.0</v>
      </c>
      <c r="T1148" s="37">
        <f t="shared" si="157"/>
        <v>-1</v>
      </c>
      <c r="U1148" s="62">
        <v>1.0</v>
      </c>
      <c r="V1148" s="63"/>
      <c r="W1148" s="63"/>
      <c r="X1148" s="83">
        <v>0.3</v>
      </c>
      <c r="Y1148" s="35">
        <f t="shared" si="163"/>
        <v>0</v>
      </c>
      <c r="Z1148" s="40">
        <f t="shared" si="159"/>
        <v>-1</v>
      </c>
      <c r="AA1148" s="65">
        <v>0.0</v>
      </c>
      <c r="AB1148" s="41">
        <f t="shared" si="161"/>
        <v>0</v>
      </c>
      <c r="AC1148" s="42" t="b">
        <v>1</v>
      </c>
      <c r="AD1148" s="42" t="s">
        <v>138</v>
      </c>
      <c r="AE1148" s="42" t="s">
        <v>138</v>
      </c>
      <c r="AF1148" s="42" t="str">
        <f t="array" ref="AF1148">INDEX('Deal Info'!D:D, MATCH(A1148,'Deal Info'!A:A, 0))</f>
        <v>DoEV</v>
      </c>
      <c r="AG1148" s="43" t="str">
        <f t="array" ref="AG1148">INDEX('Deal Info'!G:G, MATCH(A1148,'Deal Info'!A:A, 0))</f>
        <v>None</v>
      </c>
    </row>
    <row r="1149" hidden="1">
      <c r="A1149" s="23" t="str">
        <f t="array" ref="A1149">if(G1149='Room Info'!$B$1, INDEX('Room Info'!$A$2:$A3446, MATCH(B1149,'Room Info'!$B$2:$B3446, 0)),if(G1149='Room Info'!$C$1, INDEX('Room Info'!$A$2:$A3446, MATCH(B1149,'Room Info'!$C$2:$C3446, 0)),if(G1149='Room Info'!$D$1, INDEX('Room Info'!$A$2:$A3446, MATCH(B1149,'Room Info'!$D$2:$D3446, 0)),if(G1149='Room Info'!$E$1, INDEX('Room Info'!$A$2:$A3446, MATCH(B1149,'Room Info'!$E$2:$E3446, 0)),if(G1149='Room Info'!$F$1, INDEX('Room Info'!$A$2:$A3446, MATCH(B1149,'Room Info'!$F$2:$F3446, 0)),if(G1149='Room Info'!$H$1, INDEX('Room Info'!$A$2:$A3446, MATCH(B1149,'Room Info'!$H$2:$H3446, 0)),if(G1149='Room Info'!$G$1, INDEX('Room Info'!$A$2:$A3446, MATCH(B1149,'Room Info'!$G$2:$G3446, 0)))))))))</f>
        <v>QQcheliQ</v>
      </c>
      <c r="B1149" s="50" t="s">
        <v>210</v>
      </c>
      <c r="C1149" s="51">
        <v>44733.0</v>
      </c>
      <c r="D1149" s="51">
        <v>44762.0</v>
      </c>
      <c r="E1149" s="52">
        <v>44743.0</v>
      </c>
      <c r="F1149" s="53" t="s">
        <v>4</v>
      </c>
      <c r="G1149" s="50" t="s">
        <v>5</v>
      </c>
      <c r="H1149" s="54" t="s">
        <v>62</v>
      </c>
      <c r="I1149" s="54" t="s">
        <v>7</v>
      </c>
      <c r="J1149" s="55">
        <v>25.0</v>
      </c>
      <c r="K1149" s="56">
        <v>1904.0</v>
      </c>
      <c r="L1149" s="57">
        <v>-2000.0</v>
      </c>
      <c r="M1149" s="58">
        <v>889.0</v>
      </c>
      <c r="N1149" s="33">
        <f t="shared" si="155"/>
        <v>47600</v>
      </c>
      <c r="O1149" s="59">
        <v>30799.0</v>
      </c>
      <c r="P1149" s="34">
        <f t="shared" si="14"/>
        <v>16.17594538</v>
      </c>
      <c r="Q1149" s="60"/>
      <c r="R1149" s="36">
        <f t="shared" si="156"/>
        <v>889</v>
      </c>
      <c r="S1149" s="61">
        <v>-1682.0</v>
      </c>
      <c r="T1149" s="37">
        <f t="shared" si="157"/>
        <v>-793</v>
      </c>
      <c r="U1149" s="62">
        <v>1.0</v>
      </c>
      <c r="V1149" s="63"/>
      <c r="W1149" s="63"/>
      <c r="X1149" s="83">
        <v>0.3</v>
      </c>
      <c r="Y1149" s="35">
        <f t="shared" si="163"/>
        <v>0</v>
      </c>
      <c r="Z1149" s="40">
        <f t="shared" si="159"/>
        <v>-556</v>
      </c>
      <c r="AA1149" s="65">
        <v>-237.0</v>
      </c>
      <c r="AB1149" s="41">
        <f t="shared" si="161"/>
        <v>0</v>
      </c>
      <c r="AC1149" s="42" t="b">
        <v>1</v>
      </c>
      <c r="AD1149" s="42" t="s">
        <v>138</v>
      </c>
      <c r="AE1149" s="42" t="s">
        <v>138</v>
      </c>
      <c r="AF1149" s="42" t="str">
        <f t="array" ref="AF1149">INDEX('Deal Info'!D:D, MATCH(A1149,'Deal Info'!A:A, 0))</f>
        <v>DoEV</v>
      </c>
      <c r="AG1149" s="43" t="str">
        <f t="array" ref="AG1149">INDEX('Deal Info'!G:G, MATCH(A1149,'Deal Info'!A:A, 0))</f>
        <v>None</v>
      </c>
    </row>
    <row r="1150" hidden="1">
      <c r="A1150" s="23" t="str">
        <f t="array" ref="A1150">if(G1150='Room Info'!$B$1, INDEX('Room Info'!$A$2:$A3446, MATCH(B1150,'Room Info'!$B$2:$B3446, 0)),if(G1150='Room Info'!$C$1, INDEX('Room Info'!$A$2:$A3446, MATCH(B1150,'Room Info'!$C$2:$C3446, 0)),if(G1150='Room Info'!$D$1, INDEX('Room Info'!$A$2:$A3446, MATCH(B1150,'Room Info'!$D$2:$D3446, 0)),if(G1150='Room Info'!$E$1, INDEX('Room Info'!$A$2:$A3446, MATCH(B1150,'Room Info'!$E$2:$E3446, 0)),if(G1150='Room Info'!$F$1, INDEX('Room Info'!$A$2:$A3446, MATCH(B1150,'Room Info'!$F$2:$F3446, 0)),if(G1150='Room Info'!$H$1, INDEX('Room Info'!$A$2:$A3446, MATCH(B1150,'Room Info'!$H$2:$H3446, 0)),if(G1150='Room Info'!$G$1, INDEX('Room Info'!$A$2:$A3446, MATCH(B1150,'Room Info'!$G$2:$G3446, 0)))))))))</f>
        <v>QQcheliQ</v>
      </c>
      <c r="B1150" s="50" t="s">
        <v>210</v>
      </c>
      <c r="C1150" s="51">
        <v>44733.0</v>
      </c>
      <c r="D1150" s="51">
        <v>44762.0</v>
      </c>
      <c r="E1150" s="52">
        <v>44743.0</v>
      </c>
      <c r="F1150" s="50" t="s">
        <v>12</v>
      </c>
      <c r="G1150" s="59" t="s">
        <v>5</v>
      </c>
      <c r="H1150" s="54" t="s">
        <v>23</v>
      </c>
      <c r="I1150" s="54" t="s">
        <v>11</v>
      </c>
      <c r="J1150" s="55">
        <v>1.0</v>
      </c>
      <c r="K1150" s="56">
        <v>2.0</v>
      </c>
      <c r="L1150" s="57">
        <v>0.0</v>
      </c>
      <c r="M1150" s="67"/>
      <c r="N1150" s="33">
        <f t="shared" si="155"/>
        <v>2</v>
      </c>
      <c r="O1150" s="70"/>
      <c r="P1150" s="34">
        <f t="shared" si="14"/>
        <v>0</v>
      </c>
      <c r="Q1150" s="60"/>
      <c r="R1150" s="36">
        <f t="shared" si="156"/>
        <v>0</v>
      </c>
      <c r="S1150" s="71"/>
      <c r="T1150" s="37">
        <f t="shared" si="157"/>
        <v>0</v>
      </c>
      <c r="U1150" s="62">
        <v>1.0</v>
      </c>
      <c r="V1150" s="63"/>
      <c r="W1150" s="63"/>
      <c r="X1150" s="83">
        <v>0.3</v>
      </c>
      <c r="Y1150" s="35">
        <f t="shared" si="163"/>
        <v>0</v>
      </c>
      <c r="Z1150" s="40">
        <f t="shared" si="159"/>
        <v>0</v>
      </c>
      <c r="AA1150" s="65">
        <v>0.0</v>
      </c>
      <c r="AB1150" s="41">
        <f t="shared" si="161"/>
        <v>0</v>
      </c>
      <c r="AC1150" s="42" t="b">
        <v>1</v>
      </c>
      <c r="AD1150" s="42" t="s">
        <v>138</v>
      </c>
      <c r="AE1150" s="42" t="s">
        <v>138</v>
      </c>
      <c r="AF1150" s="42" t="str">
        <f t="array" ref="AF1150">INDEX('Deal Info'!D:D, MATCH(A1150,'Deal Info'!A:A, 0))</f>
        <v>DoEV</v>
      </c>
      <c r="AG1150" s="43" t="str">
        <f t="array" ref="AG1150">INDEX('Deal Info'!G:G, MATCH(A1150,'Deal Info'!A:A, 0))</f>
        <v>None</v>
      </c>
    </row>
    <row r="1151" hidden="1">
      <c r="A1151" s="23" t="str">
        <f t="array" ref="A1151">if(G1151='Room Info'!$B$1, INDEX('Room Info'!$A$2:$A3446, MATCH(B1151,'Room Info'!$B$2:$B3446, 0)),if(G1151='Room Info'!$C$1, INDEX('Room Info'!$A$2:$A3446, MATCH(B1151,'Room Info'!$C$2:$C3446, 0)),if(G1151='Room Info'!$D$1, INDEX('Room Info'!$A$2:$A3446, MATCH(B1151,'Room Info'!$D$2:$D3446, 0)),if(G1151='Room Info'!$E$1, INDEX('Room Info'!$A$2:$A3446, MATCH(B1151,'Room Info'!$E$2:$E3446, 0)),if(G1151='Room Info'!$F$1, INDEX('Room Info'!$A$2:$A3446, MATCH(B1151,'Room Info'!$F$2:$F3446, 0)),if(G1151='Room Info'!$H$1, INDEX('Room Info'!$A$2:$A3446, MATCH(B1151,'Room Info'!$H$2:$H3446, 0)),if(G1151='Room Info'!$G$1, INDEX('Room Info'!$A$2:$A3446, MATCH(B1151,'Room Info'!$G$2:$G3446, 0)))))))))</f>
        <v>QQcheliQ</v>
      </c>
      <c r="B1151" s="50" t="s">
        <v>210</v>
      </c>
      <c r="C1151" s="51">
        <v>44733.0</v>
      </c>
      <c r="D1151" s="51">
        <v>44762.0</v>
      </c>
      <c r="E1151" s="52">
        <v>44743.0</v>
      </c>
      <c r="F1151" s="53" t="s">
        <v>12</v>
      </c>
      <c r="G1151" s="50" t="s">
        <v>5</v>
      </c>
      <c r="H1151" s="54" t="s">
        <v>28</v>
      </c>
      <c r="I1151" s="54" t="s">
        <v>7</v>
      </c>
      <c r="J1151" s="55">
        <v>2.0</v>
      </c>
      <c r="K1151" s="56">
        <v>44.0</v>
      </c>
      <c r="L1151" s="57">
        <v>6.0</v>
      </c>
      <c r="M1151" s="58">
        <v>2.0</v>
      </c>
      <c r="N1151" s="33">
        <f t="shared" si="155"/>
        <v>88</v>
      </c>
      <c r="O1151" s="70"/>
      <c r="P1151" s="34">
        <f t="shared" si="14"/>
        <v>0</v>
      </c>
      <c r="Q1151" s="60"/>
      <c r="R1151" s="36">
        <f t="shared" si="156"/>
        <v>2</v>
      </c>
      <c r="S1151" s="71"/>
      <c r="T1151" s="37">
        <f t="shared" si="157"/>
        <v>8</v>
      </c>
      <c r="U1151" s="62">
        <v>1.0</v>
      </c>
      <c r="V1151" s="63"/>
      <c r="W1151" s="63"/>
      <c r="X1151" s="83">
        <v>0.3</v>
      </c>
      <c r="Y1151" s="35">
        <f t="shared" si="163"/>
        <v>0</v>
      </c>
      <c r="Z1151" s="40">
        <f t="shared" si="159"/>
        <v>6</v>
      </c>
      <c r="AA1151" s="65">
        <v>2.0</v>
      </c>
      <c r="AB1151" s="41">
        <f t="shared" si="161"/>
        <v>0</v>
      </c>
      <c r="AC1151" s="42" t="b">
        <v>1</v>
      </c>
      <c r="AD1151" s="42" t="s">
        <v>138</v>
      </c>
      <c r="AE1151" s="42" t="s">
        <v>138</v>
      </c>
      <c r="AF1151" s="42" t="str">
        <f t="array" ref="AF1151">INDEX('Deal Info'!D:D, MATCH(A1151,'Deal Info'!A:A, 0))</f>
        <v>DoEV</v>
      </c>
      <c r="AG1151" s="43" t="str">
        <f t="array" ref="AG1151">INDEX('Deal Info'!G:G, MATCH(A1151,'Deal Info'!A:A, 0))</f>
        <v>None</v>
      </c>
    </row>
    <row r="1152" hidden="1">
      <c r="A1152" s="23" t="str">
        <f t="array" ref="A1152">if(G1152='Room Info'!$B$1, INDEX('Room Info'!$A$2:$A3446, MATCH(B1152,'Room Info'!$B$2:$B3446, 0)),if(G1152='Room Info'!$C$1, INDEX('Room Info'!$A$2:$A3446, MATCH(B1152,'Room Info'!$C$2:$C3446, 0)),if(G1152='Room Info'!$D$1, INDEX('Room Info'!$A$2:$A3446, MATCH(B1152,'Room Info'!$D$2:$D3446, 0)),if(G1152='Room Info'!$E$1, INDEX('Room Info'!$A$2:$A3446, MATCH(B1152,'Room Info'!$E$2:$E3446, 0)),if(G1152='Room Info'!$F$1, INDEX('Room Info'!$A$2:$A3446, MATCH(B1152,'Room Info'!$F$2:$F3446, 0)),if(G1152='Room Info'!$H$1, INDEX('Room Info'!$A$2:$A3446, MATCH(B1152,'Room Info'!$H$2:$H3446, 0)),if(G1152='Room Info'!$G$1, INDEX('Room Info'!$A$2:$A3446, MATCH(B1152,'Room Info'!$G$2:$G3446, 0)))))))))</f>
        <v>QQcheliQ</v>
      </c>
      <c r="B1152" s="50" t="s">
        <v>210</v>
      </c>
      <c r="C1152" s="51">
        <v>44733.0</v>
      </c>
      <c r="D1152" s="51">
        <v>44762.0</v>
      </c>
      <c r="E1152" s="52">
        <v>44743.0</v>
      </c>
      <c r="F1152" s="53" t="s">
        <v>12</v>
      </c>
      <c r="G1152" s="50" t="s">
        <v>5</v>
      </c>
      <c r="H1152" s="54" t="s">
        <v>10</v>
      </c>
      <c r="I1152" s="54" t="s">
        <v>11</v>
      </c>
      <c r="J1152" s="55">
        <v>0.25</v>
      </c>
      <c r="K1152" s="56">
        <v>2.0</v>
      </c>
      <c r="L1152" s="57">
        <v>-1.0</v>
      </c>
      <c r="M1152" s="67"/>
      <c r="N1152" s="33">
        <f t="shared" si="155"/>
        <v>0.5</v>
      </c>
      <c r="O1152" s="70"/>
      <c r="P1152" s="34">
        <f t="shared" si="14"/>
        <v>0</v>
      </c>
      <c r="Q1152" s="60"/>
      <c r="R1152" s="36">
        <f t="shared" si="156"/>
        <v>0</v>
      </c>
      <c r="S1152" s="71"/>
      <c r="T1152" s="37">
        <f t="shared" si="157"/>
        <v>-1</v>
      </c>
      <c r="U1152" s="62">
        <v>1.0</v>
      </c>
      <c r="V1152" s="63"/>
      <c r="W1152" s="63"/>
      <c r="X1152" s="83">
        <v>0.3</v>
      </c>
      <c r="Y1152" s="35">
        <f t="shared" si="163"/>
        <v>0</v>
      </c>
      <c r="Z1152" s="40">
        <f t="shared" si="159"/>
        <v>-1</v>
      </c>
      <c r="AA1152" s="65">
        <v>0.0</v>
      </c>
      <c r="AB1152" s="41">
        <f t="shared" si="161"/>
        <v>0</v>
      </c>
      <c r="AC1152" s="42" t="b">
        <v>1</v>
      </c>
      <c r="AD1152" s="42" t="s">
        <v>138</v>
      </c>
      <c r="AE1152" s="42" t="s">
        <v>138</v>
      </c>
      <c r="AF1152" s="42" t="str">
        <f t="array" ref="AF1152">INDEX('Deal Info'!D:D, MATCH(A1152,'Deal Info'!A:A, 0))</f>
        <v>DoEV</v>
      </c>
      <c r="AG1152" s="43" t="str">
        <f t="array" ref="AG1152">INDEX('Deal Info'!G:G, MATCH(A1152,'Deal Info'!A:A, 0))</f>
        <v>None</v>
      </c>
    </row>
    <row r="1153" hidden="1">
      <c r="A1153" s="23" t="str">
        <f t="array" ref="A1153">if(G1153='Room Info'!$B$1, INDEX('Room Info'!$A$2:$A3446, MATCH(B1153,'Room Info'!$B$2:$B3446, 0)),if(G1153='Room Info'!$C$1, INDEX('Room Info'!$A$2:$A3446, MATCH(B1153,'Room Info'!$C$2:$C3446, 0)),if(G1153='Room Info'!$D$1, INDEX('Room Info'!$A$2:$A3446, MATCH(B1153,'Room Info'!$D$2:$D3446, 0)),if(G1153='Room Info'!$E$1, INDEX('Room Info'!$A$2:$A3446, MATCH(B1153,'Room Info'!$E$2:$E3446, 0)),if(G1153='Room Info'!$F$1, INDEX('Room Info'!$A$2:$A3446, MATCH(B1153,'Room Info'!$F$2:$F3446, 0)),if(G1153='Room Info'!$H$1, INDEX('Room Info'!$A$2:$A3446, MATCH(B1153,'Room Info'!$H$2:$H3446, 0)),if(G1153='Room Info'!$G$1, INDEX('Room Info'!$A$2:$A3446, MATCH(B1153,'Room Info'!$G$2:$G3446, 0)))))))))</f>
        <v>QQcheliQ</v>
      </c>
      <c r="B1153" s="50" t="s">
        <v>210</v>
      </c>
      <c r="C1153" s="51">
        <v>44763.0</v>
      </c>
      <c r="D1153" s="51">
        <v>44793.0</v>
      </c>
      <c r="E1153" s="52">
        <v>44774.0</v>
      </c>
      <c r="F1153" s="53" t="s">
        <v>4</v>
      </c>
      <c r="G1153" s="50" t="s">
        <v>5</v>
      </c>
      <c r="H1153" s="54" t="s">
        <v>35</v>
      </c>
      <c r="I1153" s="54" t="s">
        <v>7</v>
      </c>
      <c r="J1153" s="55">
        <v>5.0</v>
      </c>
      <c r="K1153" s="56">
        <v>6.0</v>
      </c>
      <c r="L1153" s="57">
        <v>10.0</v>
      </c>
      <c r="M1153" s="58">
        <v>1.0</v>
      </c>
      <c r="N1153" s="33">
        <f t="shared" si="155"/>
        <v>30</v>
      </c>
      <c r="O1153" s="59">
        <v>973.0</v>
      </c>
      <c r="P1153" s="34">
        <f t="shared" si="14"/>
        <v>162.1666667</v>
      </c>
      <c r="Q1153" s="60"/>
      <c r="R1153" s="36">
        <f t="shared" si="156"/>
        <v>1</v>
      </c>
      <c r="S1153" s="61">
        <v>6.0</v>
      </c>
      <c r="T1153" s="37">
        <f t="shared" si="157"/>
        <v>7</v>
      </c>
      <c r="U1153" s="62">
        <v>1.0</v>
      </c>
      <c r="V1153" s="63"/>
      <c r="W1153" s="63"/>
      <c r="X1153" s="83">
        <v>0.3</v>
      </c>
      <c r="Y1153" s="35">
        <f t="shared" si="163"/>
        <v>0</v>
      </c>
      <c r="Z1153" s="40">
        <f t="shared" si="159"/>
        <v>5</v>
      </c>
      <c r="AA1153" s="65">
        <v>2.0</v>
      </c>
      <c r="AB1153" s="41">
        <f t="shared" si="161"/>
        <v>0</v>
      </c>
      <c r="AC1153" s="42" t="b">
        <v>1</v>
      </c>
      <c r="AD1153" s="42" t="s">
        <v>138</v>
      </c>
      <c r="AE1153" s="42" t="s">
        <v>138</v>
      </c>
      <c r="AF1153" s="42" t="str">
        <f t="array" ref="AF1153">INDEX('Deal Info'!D:D, MATCH(A1153,'Deal Info'!A:A, 0))</f>
        <v>DoEV</v>
      </c>
      <c r="AG1153" s="43" t="str">
        <f t="array" ref="AG1153">INDEX('Deal Info'!G:G, MATCH(A1153,'Deal Info'!A:A, 0))</f>
        <v>None</v>
      </c>
    </row>
    <row r="1154" hidden="1">
      <c r="A1154" s="23" t="str">
        <f t="array" ref="A1154">if(G1154='Room Info'!$B$1, INDEX('Room Info'!$A$2:$A3446, MATCH(B1154,'Room Info'!$B$2:$B3446, 0)),if(G1154='Room Info'!$C$1, INDEX('Room Info'!$A$2:$A3446, MATCH(B1154,'Room Info'!$C$2:$C3446, 0)),if(G1154='Room Info'!$D$1, INDEX('Room Info'!$A$2:$A3446, MATCH(B1154,'Room Info'!$D$2:$D3446, 0)),if(G1154='Room Info'!$E$1, INDEX('Room Info'!$A$2:$A3446, MATCH(B1154,'Room Info'!$E$2:$E3446, 0)),if(G1154='Room Info'!$F$1, INDEX('Room Info'!$A$2:$A3446, MATCH(B1154,'Room Info'!$F$2:$F3446, 0)),if(G1154='Room Info'!$H$1, INDEX('Room Info'!$A$2:$A3446, MATCH(B1154,'Room Info'!$H$2:$H3446, 0)),if(G1154='Room Info'!$G$1, INDEX('Room Info'!$A$2:$A3446, MATCH(B1154,'Room Info'!$G$2:$G3446, 0)))))))))</f>
        <v>QQcheliQ</v>
      </c>
      <c r="B1154" s="50" t="s">
        <v>210</v>
      </c>
      <c r="C1154" s="51">
        <v>44763.0</v>
      </c>
      <c r="D1154" s="51">
        <v>44793.0</v>
      </c>
      <c r="E1154" s="52">
        <v>44774.0</v>
      </c>
      <c r="F1154" s="53" t="s">
        <v>4</v>
      </c>
      <c r="G1154" s="50" t="s">
        <v>5</v>
      </c>
      <c r="H1154" s="54" t="s">
        <v>45</v>
      </c>
      <c r="I1154" s="54" t="s">
        <v>7</v>
      </c>
      <c r="J1154" s="55">
        <v>10.0</v>
      </c>
      <c r="K1154" s="56">
        <v>12.0</v>
      </c>
      <c r="L1154" s="57">
        <v>-20.0</v>
      </c>
      <c r="M1154" s="58">
        <v>3.0</v>
      </c>
      <c r="N1154" s="33">
        <f t="shared" si="155"/>
        <v>120</v>
      </c>
      <c r="O1154" s="59">
        <v>2049.0</v>
      </c>
      <c r="P1154" s="34">
        <f t="shared" si="14"/>
        <v>170.75</v>
      </c>
      <c r="Q1154" s="60"/>
      <c r="R1154" s="36">
        <f t="shared" si="156"/>
        <v>3</v>
      </c>
      <c r="S1154" s="61">
        <v>29.0</v>
      </c>
      <c r="T1154" s="37">
        <f t="shared" si="157"/>
        <v>32</v>
      </c>
      <c r="U1154" s="62">
        <v>1.0</v>
      </c>
      <c r="V1154" s="63"/>
      <c r="W1154" s="63"/>
      <c r="X1154" s="83">
        <v>0.3</v>
      </c>
      <c r="Y1154" s="35">
        <f t="shared" si="163"/>
        <v>0</v>
      </c>
      <c r="Z1154" s="40">
        <f t="shared" si="159"/>
        <v>22</v>
      </c>
      <c r="AA1154" s="65">
        <v>10.0</v>
      </c>
      <c r="AB1154" s="41">
        <f t="shared" si="161"/>
        <v>0</v>
      </c>
      <c r="AC1154" s="42" t="b">
        <v>1</v>
      </c>
      <c r="AD1154" s="42" t="s">
        <v>138</v>
      </c>
      <c r="AE1154" s="42" t="s">
        <v>138</v>
      </c>
      <c r="AF1154" s="42" t="str">
        <f t="array" ref="AF1154">INDEX('Deal Info'!D:D, MATCH(A1154,'Deal Info'!A:A, 0))</f>
        <v>DoEV</v>
      </c>
      <c r="AG1154" s="43" t="str">
        <f t="array" ref="AG1154">INDEX('Deal Info'!G:G, MATCH(A1154,'Deal Info'!A:A, 0))</f>
        <v>None</v>
      </c>
    </row>
    <row r="1155" hidden="1">
      <c r="A1155" s="23" t="str">
        <f t="array" ref="A1155">if(G1155='Room Info'!$B$1, INDEX('Room Info'!$A$2:$A3446, MATCH(B1155,'Room Info'!$B$2:$B3446, 0)),if(G1155='Room Info'!$C$1, INDEX('Room Info'!$A$2:$A3446, MATCH(B1155,'Room Info'!$C$2:$C3446, 0)),if(G1155='Room Info'!$D$1, INDEX('Room Info'!$A$2:$A3446, MATCH(B1155,'Room Info'!$D$2:$D3446, 0)),if(G1155='Room Info'!$E$1, INDEX('Room Info'!$A$2:$A3446, MATCH(B1155,'Room Info'!$E$2:$E3446, 0)),if(G1155='Room Info'!$F$1, INDEX('Room Info'!$A$2:$A3446, MATCH(B1155,'Room Info'!$F$2:$F3446, 0)),if(G1155='Room Info'!$H$1, INDEX('Room Info'!$A$2:$A3446, MATCH(B1155,'Room Info'!$H$2:$H3446, 0)),if(G1155='Room Info'!$G$1, INDEX('Room Info'!$A$2:$A3446, MATCH(B1155,'Room Info'!$G$2:$G3446, 0)))))))))</f>
        <v>QQcheliQ</v>
      </c>
      <c r="B1155" s="50" t="s">
        <v>210</v>
      </c>
      <c r="C1155" s="104">
        <v>44763.0</v>
      </c>
      <c r="D1155" s="104">
        <v>44793.0</v>
      </c>
      <c r="E1155" s="52">
        <v>44774.0</v>
      </c>
      <c r="F1155" s="50" t="s">
        <v>4</v>
      </c>
      <c r="G1155" s="50" t="s">
        <v>5</v>
      </c>
      <c r="H1155" s="54" t="s">
        <v>62</v>
      </c>
      <c r="I1155" s="54" t="s">
        <v>7</v>
      </c>
      <c r="J1155" s="79">
        <v>25.0</v>
      </c>
      <c r="K1155" s="80">
        <v>1250.0</v>
      </c>
      <c r="L1155" s="77">
        <v>1025.0</v>
      </c>
      <c r="M1155" s="81">
        <v>718.0</v>
      </c>
      <c r="N1155" s="33">
        <f t="shared" si="155"/>
        <v>31250</v>
      </c>
      <c r="O1155" s="50">
        <v>44115.0</v>
      </c>
      <c r="P1155" s="34">
        <f t="shared" si="14"/>
        <v>35.292</v>
      </c>
      <c r="Q1155" s="60"/>
      <c r="R1155" s="36">
        <f t="shared" si="156"/>
        <v>718</v>
      </c>
      <c r="S1155" s="78">
        <v>71.0</v>
      </c>
      <c r="T1155" s="37">
        <f t="shared" si="157"/>
        <v>789</v>
      </c>
      <c r="U1155" s="62">
        <v>1.0</v>
      </c>
      <c r="V1155" s="63"/>
      <c r="W1155" s="63"/>
      <c r="X1155" s="83">
        <v>0.3</v>
      </c>
      <c r="Y1155" s="35">
        <f t="shared" si="163"/>
        <v>0</v>
      </c>
      <c r="Z1155" s="40">
        <f t="shared" si="159"/>
        <v>553</v>
      </c>
      <c r="AA1155" s="65">
        <v>236.0</v>
      </c>
      <c r="AB1155" s="41">
        <f t="shared" si="161"/>
        <v>0</v>
      </c>
      <c r="AC1155" s="42" t="b">
        <v>1</v>
      </c>
      <c r="AD1155" s="42" t="s">
        <v>138</v>
      </c>
      <c r="AE1155" s="42" t="s">
        <v>138</v>
      </c>
      <c r="AF1155" s="42" t="str">
        <f t="array" ref="AF1155">INDEX('Deal Info'!D:D, MATCH(A1155,'Deal Info'!A:A, 0))</f>
        <v>DoEV</v>
      </c>
      <c r="AG1155" s="43" t="str">
        <f t="array" ref="AG1155">INDEX('Deal Info'!G:G, MATCH(A1155,'Deal Info'!A:A, 0))</f>
        <v>None</v>
      </c>
    </row>
    <row r="1156" hidden="1">
      <c r="A1156" s="23" t="str">
        <f t="array" ref="A1156">if(G1156='Room Info'!$B$1, INDEX('Room Info'!$A$2:$A3446, MATCH(B1156,'Room Info'!$B$2:$B3446, 0)),if(G1156='Room Info'!$C$1, INDEX('Room Info'!$A$2:$A3446, MATCH(B1156,'Room Info'!$C$2:$C3446, 0)),if(G1156='Room Info'!$D$1, INDEX('Room Info'!$A$2:$A3446, MATCH(B1156,'Room Info'!$D$2:$D3446, 0)),if(G1156='Room Info'!$E$1, INDEX('Room Info'!$A$2:$A3446, MATCH(B1156,'Room Info'!$E$2:$E3446, 0)),if(G1156='Room Info'!$F$1, INDEX('Room Info'!$A$2:$A3446, MATCH(B1156,'Room Info'!$F$2:$F3446, 0)),if(G1156='Room Info'!$H$1, INDEX('Room Info'!$A$2:$A3446, MATCH(B1156,'Room Info'!$H$2:$H3446, 0)),if(G1156='Room Info'!$G$1, INDEX('Room Info'!$A$2:$A3446, MATCH(B1156,'Room Info'!$G$2:$G3446, 0)))))))))</f>
        <v>QQcheliQ</v>
      </c>
      <c r="B1156" s="50" t="s">
        <v>210</v>
      </c>
      <c r="C1156" s="51">
        <v>44763.0</v>
      </c>
      <c r="D1156" s="51">
        <v>44793.0</v>
      </c>
      <c r="E1156" s="52">
        <v>44774.0</v>
      </c>
      <c r="F1156" s="53" t="s">
        <v>12</v>
      </c>
      <c r="G1156" s="50" t="s">
        <v>5</v>
      </c>
      <c r="H1156" s="54" t="s">
        <v>10</v>
      </c>
      <c r="I1156" s="54" t="s">
        <v>11</v>
      </c>
      <c r="J1156" s="55">
        <v>0.25</v>
      </c>
      <c r="K1156" s="56">
        <v>4.0</v>
      </c>
      <c r="L1156" s="57">
        <v>0.0</v>
      </c>
      <c r="M1156" s="67"/>
      <c r="N1156" s="33">
        <f t="shared" si="155"/>
        <v>1</v>
      </c>
      <c r="O1156" s="70"/>
      <c r="P1156" s="34">
        <f t="shared" si="14"/>
        <v>0</v>
      </c>
      <c r="Q1156" s="60"/>
      <c r="R1156" s="36">
        <f t="shared" si="156"/>
        <v>0</v>
      </c>
      <c r="S1156" s="71"/>
      <c r="T1156" s="37">
        <f t="shared" si="157"/>
        <v>0</v>
      </c>
      <c r="U1156" s="62">
        <v>1.0</v>
      </c>
      <c r="V1156" s="63"/>
      <c r="W1156" s="63"/>
      <c r="X1156" s="83">
        <v>0.3</v>
      </c>
      <c r="Y1156" s="35">
        <f t="shared" si="163"/>
        <v>0</v>
      </c>
      <c r="Z1156" s="40">
        <f t="shared" si="159"/>
        <v>0</v>
      </c>
      <c r="AA1156" s="65">
        <v>0.0</v>
      </c>
      <c r="AB1156" s="41">
        <f t="shared" si="161"/>
        <v>0</v>
      </c>
      <c r="AC1156" s="42" t="b">
        <v>1</v>
      </c>
      <c r="AD1156" s="42" t="s">
        <v>138</v>
      </c>
      <c r="AE1156" s="42" t="s">
        <v>138</v>
      </c>
      <c r="AF1156" s="42" t="str">
        <f t="array" ref="AF1156">INDEX('Deal Info'!D:D, MATCH(A1156,'Deal Info'!A:A, 0))</f>
        <v>DoEV</v>
      </c>
      <c r="AG1156" s="43" t="str">
        <f t="array" ref="AG1156">INDEX('Deal Info'!G:G, MATCH(A1156,'Deal Info'!A:A, 0))</f>
        <v>None</v>
      </c>
    </row>
    <row r="1157" hidden="1">
      <c r="A1157" s="23" t="str">
        <f t="array" ref="A1157">if(G1157='Room Info'!$B$1, INDEX('Room Info'!$A$2:$A3446, MATCH(B1157,'Room Info'!$B$2:$B3446, 0)),if(G1157='Room Info'!$C$1, INDEX('Room Info'!$A$2:$A3446, MATCH(B1157,'Room Info'!$C$2:$C3446, 0)),if(G1157='Room Info'!$D$1, INDEX('Room Info'!$A$2:$A3446, MATCH(B1157,'Room Info'!$D$2:$D3446, 0)),if(G1157='Room Info'!$E$1, INDEX('Room Info'!$A$2:$A3446, MATCH(B1157,'Room Info'!$E$2:$E3446, 0)),if(G1157='Room Info'!$F$1, INDEX('Room Info'!$A$2:$A3446, MATCH(B1157,'Room Info'!$F$2:$F3446, 0)),if(G1157='Room Info'!$H$1, INDEX('Room Info'!$A$2:$A3446, MATCH(B1157,'Room Info'!$H$2:$H3446, 0)),if(G1157='Room Info'!$G$1, INDEX('Room Info'!$A$2:$A3446, MATCH(B1157,'Room Info'!$G$2:$G3446, 0)))))))))</f>
        <v>QQcheliQ</v>
      </c>
      <c r="B1157" s="50" t="s">
        <v>210</v>
      </c>
      <c r="C1157" s="51">
        <v>44763.0</v>
      </c>
      <c r="D1157" s="51">
        <v>44793.0</v>
      </c>
      <c r="E1157" s="52">
        <v>44774.0</v>
      </c>
      <c r="F1157" s="53" t="s">
        <v>12</v>
      </c>
      <c r="G1157" s="50" t="s">
        <v>5</v>
      </c>
      <c r="H1157" s="54" t="s">
        <v>28</v>
      </c>
      <c r="I1157" s="54" t="s">
        <v>7</v>
      </c>
      <c r="J1157" s="55">
        <v>2.0</v>
      </c>
      <c r="K1157" s="56">
        <v>2.0</v>
      </c>
      <c r="L1157" s="57">
        <v>-4.0</v>
      </c>
      <c r="M1157" s="67"/>
      <c r="N1157" s="33">
        <f t="shared" si="155"/>
        <v>4</v>
      </c>
      <c r="O1157" s="70"/>
      <c r="P1157" s="34">
        <f t="shared" si="14"/>
        <v>0</v>
      </c>
      <c r="Q1157" s="60"/>
      <c r="R1157" s="36">
        <f t="shared" si="156"/>
        <v>0</v>
      </c>
      <c r="S1157" s="71"/>
      <c r="T1157" s="37">
        <f t="shared" si="157"/>
        <v>-4</v>
      </c>
      <c r="U1157" s="62">
        <v>1.0</v>
      </c>
      <c r="V1157" s="63"/>
      <c r="W1157" s="63"/>
      <c r="X1157" s="83">
        <v>0.3</v>
      </c>
      <c r="Y1157" s="35">
        <f t="shared" si="163"/>
        <v>0</v>
      </c>
      <c r="Z1157" s="40">
        <f t="shared" si="159"/>
        <v>-3</v>
      </c>
      <c r="AA1157" s="65">
        <v>-1.0</v>
      </c>
      <c r="AB1157" s="41">
        <f t="shared" si="161"/>
        <v>0</v>
      </c>
      <c r="AC1157" s="42" t="b">
        <v>1</v>
      </c>
      <c r="AD1157" s="42" t="s">
        <v>138</v>
      </c>
      <c r="AE1157" s="42" t="s">
        <v>138</v>
      </c>
      <c r="AF1157" s="42" t="str">
        <f t="array" ref="AF1157">INDEX('Deal Info'!D:D, MATCH(A1157,'Deal Info'!A:A, 0))</f>
        <v>DoEV</v>
      </c>
      <c r="AG1157" s="43" t="str">
        <f t="array" ref="AG1157">INDEX('Deal Info'!G:G, MATCH(A1157,'Deal Info'!A:A, 0))</f>
        <v>None</v>
      </c>
    </row>
    <row r="1158" hidden="1">
      <c r="A1158" s="23" t="str">
        <f t="array" ref="A1158">if(G1158='Room Info'!$B$1, INDEX('Room Info'!$A$2:$A3446, MATCH(B1158,'Room Info'!$B$2:$B3446, 0)),if(G1158='Room Info'!$C$1, INDEX('Room Info'!$A$2:$A3446, MATCH(B1158,'Room Info'!$C$2:$C3446, 0)),if(G1158='Room Info'!$D$1, INDEX('Room Info'!$A$2:$A3446, MATCH(B1158,'Room Info'!$D$2:$D3446, 0)),if(G1158='Room Info'!$E$1, INDEX('Room Info'!$A$2:$A3446, MATCH(B1158,'Room Info'!$E$2:$E3446, 0)),if(G1158='Room Info'!$F$1, INDEX('Room Info'!$A$2:$A3446, MATCH(B1158,'Room Info'!$F$2:$F3446, 0)),if(G1158='Room Info'!$H$1, INDEX('Room Info'!$A$2:$A3446, MATCH(B1158,'Room Info'!$H$2:$H3446, 0)),if(G1158='Room Info'!$G$1, INDEX('Room Info'!$A$2:$A3446, MATCH(B1158,'Room Info'!$G$2:$G3446, 0)))))))))</f>
        <v>QQcheliQ</v>
      </c>
      <c r="B1158" s="50" t="s">
        <v>211</v>
      </c>
      <c r="C1158" s="51">
        <v>44774.0</v>
      </c>
      <c r="D1158" s="51">
        <v>44804.0</v>
      </c>
      <c r="E1158" s="52">
        <v>44774.0</v>
      </c>
      <c r="F1158" s="53" t="s">
        <v>4</v>
      </c>
      <c r="G1158" s="50" t="s">
        <v>16</v>
      </c>
      <c r="H1158" s="54" t="s">
        <v>45</v>
      </c>
      <c r="I1158" s="54" t="s">
        <v>7</v>
      </c>
      <c r="J1158" s="55">
        <v>10.0</v>
      </c>
      <c r="K1158" s="56">
        <v>44.0</v>
      </c>
      <c r="L1158" s="57">
        <v>130.0</v>
      </c>
      <c r="M1158" s="58">
        <v>18.0</v>
      </c>
      <c r="N1158" s="33">
        <f t="shared" si="155"/>
        <v>440</v>
      </c>
      <c r="O1158" s="59">
        <v>4428.0</v>
      </c>
      <c r="P1158" s="34">
        <f t="shared" si="14"/>
        <v>100.6363636</v>
      </c>
      <c r="Q1158" s="60"/>
      <c r="R1158" s="36">
        <f t="shared" si="156"/>
        <v>18</v>
      </c>
      <c r="S1158" s="61">
        <v>54.0</v>
      </c>
      <c r="T1158" s="37">
        <f t="shared" si="157"/>
        <v>72</v>
      </c>
      <c r="U1158" s="62">
        <v>1.0</v>
      </c>
      <c r="V1158" s="63"/>
      <c r="W1158" s="63"/>
      <c r="X1158" s="83">
        <v>0.17</v>
      </c>
      <c r="Y1158" s="35">
        <f t="shared" si="163"/>
        <v>0</v>
      </c>
      <c r="Z1158" s="40">
        <f t="shared" si="159"/>
        <v>60</v>
      </c>
      <c r="AA1158" s="65">
        <v>12.0</v>
      </c>
      <c r="AB1158" s="41">
        <f t="shared" si="161"/>
        <v>0</v>
      </c>
      <c r="AC1158" s="42" t="b">
        <v>1</v>
      </c>
      <c r="AD1158" s="42" t="s">
        <v>138</v>
      </c>
      <c r="AE1158" s="42" t="s">
        <v>138</v>
      </c>
      <c r="AF1158" s="42" t="str">
        <f t="array" ref="AF1158">INDEX('Deal Info'!D:D, MATCH(A1158,'Deal Info'!A:A, 0))</f>
        <v>DoEV</v>
      </c>
      <c r="AG1158" s="43" t="str">
        <f t="array" ref="AG1158">INDEX('Deal Info'!G:G, MATCH(A1158,'Deal Info'!A:A, 0))</f>
        <v>None</v>
      </c>
    </row>
    <row r="1159" hidden="1">
      <c r="A1159" s="23" t="str">
        <f t="array" ref="A1159">if(G1159='Room Info'!$B$1, INDEX('Room Info'!$A$2:$A3446, MATCH(B1159,'Room Info'!$B$2:$B3446, 0)),if(G1159='Room Info'!$C$1, INDEX('Room Info'!$A$2:$A3446, MATCH(B1159,'Room Info'!$C$2:$C3446, 0)),if(G1159='Room Info'!$D$1, INDEX('Room Info'!$A$2:$A3446, MATCH(B1159,'Room Info'!$D$2:$D3446, 0)),if(G1159='Room Info'!$E$1, INDEX('Room Info'!$A$2:$A3446, MATCH(B1159,'Room Info'!$E$2:$E3446, 0)),if(G1159='Room Info'!$F$1, INDEX('Room Info'!$A$2:$A3446, MATCH(B1159,'Room Info'!$F$2:$F3446, 0)),if(G1159='Room Info'!$H$1, INDEX('Room Info'!$A$2:$A3446, MATCH(B1159,'Room Info'!$H$2:$H3446, 0)),if(G1159='Room Info'!$G$1, INDEX('Room Info'!$A$2:$A3446, MATCH(B1159,'Room Info'!$G$2:$G3446, 0)))))))))</f>
        <v>QQcheliQ</v>
      </c>
      <c r="B1159" s="50" t="s">
        <v>210</v>
      </c>
      <c r="C1159" s="51">
        <v>44794.0</v>
      </c>
      <c r="D1159" s="51">
        <v>44824.0</v>
      </c>
      <c r="E1159" s="52">
        <v>44805.0</v>
      </c>
      <c r="F1159" s="53" t="s">
        <v>4</v>
      </c>
      <c r="G1159" s="50" t="s">
        <v>5</v>
      </c>
      <c r="H1159" s="54" t="s">
        <v>35</v>
      </c>
      <c r="I1159" s="54" t="s">
        <v>7</v>
      </c>
      <c r="J1159" s="55">
        <v>5.0</v>
      </c>
      <c r="K1159" s="56">
        <v>122.0</v>
      </c>
      <c r="L1159" s="57">
        <v>55.0</v>
      </c>
      <c r="M1159" s="58">
        <v>37.0</v>
      </c>
      <c r="N1159" s="33">
        <f t="shared" si="155"/>
        <v>610</v>
      </c>
      <c r="O1159" s="59">
        <v>8511.0</v>
      </c>
      <c r="P1159" s="34">
        <f t="shared" si="14"/>
        <v>69.76229508</v>
      </c>
      <c r="Q1159" s="60"/>
      <c r="R1159" s="36">
        <f t="shared" si="156"/>
        <v>37</v>
      </c>
      <c r="S1159" s="61">
        <v>23.0</v>
      </c>
      <c r="T1159" s="37">
        <f t="shared" si="157"/>
        <v>60</v>
      </c>
      <c r="U1159" s="62">
        <v>1.0</v>
      </c>
      <c r="V1159" s="63"/>
      <c r="W1159" s="63"/>
      <c r="X1159" s="83">
        <v>0.17</v>
      </c>
      <c r="Y1159" s="35">
        <f t="shared" si="163"/>
        <v>0</v>
      </c>
      <c r="Z1159" s="40">
        <f t="shared" si="159"/>
        <v>50</v>
      </c>
      <c r="AA1159" s="65">
        <v>10.0</v>
      </c>
      <c r="AB1159" s="41">
        <f t="shared" si="161"/>
        <v>0</v>
      </c>
      <c r="AC1159" s="42" t="b">
        <v>1</v>
      </c>
      <c r="AD1159" s="42" t="s">
        <v>138</v>
      </c>
      <c r="AE1159" s="42" t="s">
        <v>138</v>
      </c>
      <c r="AF1159" s="42" t="str">
        <f t="array" ref="AF1159">INDEX('Deal Info'!D:D, MATCH(A1159,'Deal Info'!A:A, 0))</f>
        <v>DoEV</v>
      </c>
      <c r="AG1159" s="43" t="str">
        <f t="array" ref="AG1159">INDEX('Deal Info'!G:G, MATCH(A1159,'Deal Info'!A:A, 0))</f>
        <v>None</v>
      </c>
    </row>
    <row r="1160" hidden="1">
      <c r="A1160" s="23" t="str">
        <f t="array" ref="A1160">if(G1160='Room Info'!$B$1, INDEX('Room Info'!$A$2:$A3446, MATCH(B1160,'Room Info'!$B$2:$B3446, 0)),if(G1160='Room Info'!$C$1, INDEX('Room Info'!$A$2:$A3446, MATCH(B1160,'Room Info'!$C$2:$C3446, 0)),if(G1160='Room Info'!$D$1, INDEX('Room Info'!$A$2:$A3446, MATCH(B1160,'Room Info'!$D$2:$D3446, 0)),if(G1160='Room Info'!$E$1, INDEX('Room Info'!$A$2:$A3446, MATCH(B1160,'Room Info'!$E$2:$E3446, 0)),if(G1160='Room Info'!$F$1, INDEX('Room Info'!$A$2:$A3446, MATCH(B1160,'Room Info'!$F$2:$F3446, 0)),if(G1160='Room Info'!$H$1, INDEX('Room Info'!$A$2:$A3446, MATCH(B1160,'Room Info'!$H$2:$H3446, 0)),if(G1160='Room Info'!$G$1, INDEX('Room Info'!$A$2:$A3446, MATCH(B1160,'Room Info'!$G$2:$G3446, 0)))))))))</f>
        <v>QQcheliQ</v>
      </c>
      <c r="B1160" s="50" t="s">
        <v>210</v>
      </c>
      <c r="C1160" s="51">
        <v>44794.0</v>
      </c>
      <c r="D1160" s="51">
        <v>44824.0</v>
      </c>
      <c r="E1160" s="52">
        <v>44805.0</v>
      </c>
      <c r="F1160" s="53" t="s">
        <v>4</v>
      </c>
      <c r="G1160" s="50" t="s">
        <v>5</v>
      </c>
      <c r="H1160" s="54" t="s">
        <v>45</v>
      </c>
      <c r="I1160" s="54" t="s">
        <v>7</v>
      </c>
      <c r="J1160" s="55">
        <v>10.0</v>
      </c>
      <c r="K1160" s="56">
        <v>19.0</v>
      </c>
      <c r="L1160" s="57">
        <v>0.0</v>
      </c>
      <c r="M1160" s="58">
        <v>10.0</v>
      </c>
      <c r="N1160" s="33">
        <f t="shared" si="155"/>
        <v>190</v>
      </c>
      <c r="O1160" s="59">
        <v>2062.0</v>
      </c>
      <c r="P1160" s="34">
        <f t="shared" si="14"/>
        <v>108.5263158</v>
      </c>
      <c r="Q1160" s="60"/>
      <c r="R1160" s="36">
        <f t="shared" si="156"/>
        <v>10</v>
      </c>
      <c r="S1160" s="61">
        <v>24.0</v>
      </c>
      <c r="T1160" s="37">
        <f t="shared" si="157"/>
        <v>34</v>
      </c>
      <c r="U1160" s="62">
        <v>1.0</v>
      </c>
      <c r="V1160" s="63"/>
      <c r="W1160" s="63"/>
      <c r="X1160" s="83">
        <v>0.17</v>
      </c>
      <c r="Y1160" s="35">
        <f t="shared" si="163"/>
        <v>0</v>
      </c>
      <c r="Z1160" s="40">
        <f t="shared" si="159"/>
        <v>28</v>
      </c>
      <c r="AA1160" s="65">
        <v>6.0</v>
      </c>
      <c r="AB1160" s="41">
        <f t="shared" si="161"/>
        <v>0</v>
      </c>
      <c r="AC1160" s="42" t="b">
        <v>1</v>
      </c>
      <c r="AD1160" s="42" t="s">
        <v>138</v>
      </c>
      <c r="AE1160" s="42" t="s">
        <v>138</v>
      </c>
      <c r="AF1160" s="42" t="str">
        <f t="array" ref="AF1160">INDEX('Deal Info'!D:D, MATCH(A1160,'Deal Info'!A:A, 0))</f>
        <v>DoEV</v>
      </c>
      <c r="AG1160" s="43" t="str">
        <f t="array" ref="AG1160">INDEX('Deal Info'!G:G, MATCH(A1160,'Deal Info'!A:A, 0))</f>
        <v>None</v>
      </c>
    </row>
    <row r="1161" hidden="1">
      <c r="A1161" s="23" t="str">
        <f t="array" ref="A1161">if(G1161='Room Info'!$B$1, INDEX('Room Info'!$A$2:$A3446, MATCH(B1161,'Room Info'!$B$2:$B3446, 0)),if(G1161='Room Info'!$C$1, INDEX('Room Info'!$A$2:$A3446, MATCH(B1161,'Room Info'!$C$2:$C3446, 0)),if(G1161='Room Info'!$D$1, INDEX('Room Info'!$A$2:$A3446, MATCH(B1161,'Room Info'!$D$2:$D3446, 0)),if(G1161='Room Info'!$E$1, INDEX('Room Info'!$A$2:$A3446, MATCH(B1161,'Room Info'!$E$2:$E3446, 0)),if(G1161='Room Info'!$F$1, INDEX('Room Info'!$A$2:$A3446, MATCH(B1161,'Room Info'!$F$2:$F3446, 0)),if(G1161='Room Info'!$H$1, INDEX('Room Info'!$A$2:$A3446, MATCH(B1161,'Room Info'!$H$2:$H3446, 0)),if(G1161='Room Info'!$G$1, INDEX('Room Info'!$A$2:$A3446, MATCH(B1161,'Room Info'!$G$2:$G3446, 0)))))))))</f>
        <v>QQcheliQ</v>
      </c>
      <c r="B1161" s="50" t="s">
        <v>210</v>
      </c>
      <c r="C1161" s="104">
        <v>44794.0</v>
      </c>
      <c r="D1161" s="104">
        <v>44824.0</v>
      </c>
      <c r="E1161" s="52">
        <v>44805.0</v>
      </c>
      <c r="F1161" s="50" t="s">
        <v>4</v>
      </c>
      <c r="G1161" s="50" t="s">
        <v>5</v>
      </c>
      <c r="H1161" s="96" t="s">
        <v>62</v>
      </c>
      <c r="I1161" s="54" t="s">
        <v>7</v>
      </c>
      <c r="J1161" s="79">
        <v>25.0</v>
      </c>
      <c r="K1161" s="80">
        <v>1774.0</v>
      </c>
      <c r="L1161" s="77">
        <v>-750.0</v>
      </c>
      <c r="M1161" s="81">
        <v>2008.0</v>
      </c>
      <c r="N1161" s="33">
        <f t="shared" si="155"/>
        <v>44350</v>
      </c>
      <c r="O1161" s="50">
        <v>63008.0</v>
      </c>
      <c r="P1161" s="34">
        <f t="shared" si="14"/>
        <v>35.51747463</v>
      </c>
      <c r="Q1161" s="60"/>
      <c r="R1161" s="36">
        <f t="shared" si="156"/>
        <v>2008</v>
      </c>
      <c r="S1161" s="78">
        <v>57.0</v>
      </c>
      <c r="T1161" s="37">
        <f t="shared" si="157"/>
        <v>2065</v>
      </c>
      <c r="U1161" s="62">
        <v>1.0</v>
      </c>
      <c r="V1161" s="63"/>
      <c r="W1161" s="63"/>
      <c r="X1161" s="83">
        <v>0.17</v>
      </c>
      <c r="Y1161" s="35">
        <f t="shared" si="163"/>
        <v>0</v>
      </c>
      <c r="Z1161" s="40">
        <f t="shared" si="159"/>
        <v>1713</v>
      </c>
      <c r="AA1161" s="65">
        <v>352.0</v>
      </c>
      <c r="AB1161" s="41">
        <f t="shared" si="161"/>
        <v>0</v>
      </c>
      <c r="AC1161" s="42" t="b">
        <v>1</v>
      </c>
      <c r="AD1161" s="42" t="s">
        <v>138</v>
      </c>
      <c r="AE1161" s="42" t="s">
        <v>138</v>
      </c>
      <c r="AF1161" s="42" t="str">
        <f t="array" ref="AF1161">INDEX('Deal Info'!D:D, MATCH(A1161,'Deal Info'!A:A, 0))</f>
        <v>DoEV</v>
      </c>
      <c r="AG1161" s="43" t="str">
        <f t="array" ref="AG1161">INDEX('Deal Info'!G:G, MATCH(A1161,'Deal Info'!A:A, 0))</f>
        <v>None</v>
      </c>
    </row>
    <row r="1162" hidden="1">
      <c r="A1162" s="23" t="str">
        <f t="array" ref="A1162">if(G1162='Room Info'!$B$1, INDEX('Room Info'!$A$2:$A3446, MATCH(B1162,'Room Info'!$B$2:$B3446, 0)),if(G1162='Room Info'!$C$1, INDEX('Room Info'!$A$2:$A3446, MATCH(B1162,'Room Info'!$C$2:$C3446, 0)),if(G1162='Room Info'!$D$1, INDEX('Room Info'!$A$2:$A3446, MATCH(B1162,'Room Info'!$D$2:$D3446, 0)),if(G1162='Room Info'!$E$1, INDEX('Room Info'!$A$2:$A3446, MATCH(B1162,'Room Info'!$E$2:$E3446, 0)),if(G1162='Room Info'!$F$1, INDEX('Room Info'!$A$2:$A3446, MATCH(B1162,'Room Info'!$F$2:$F3446, 0)),if(G1162='Room Info'!$H$1, INDEX('Room Info'!$A$2:$A3446, MATCH(B1162,'Room Info'!$H$2:$H3446, 0)),if(G1162='Room Info'!$G$1, INDEX('Room Info'!$A$2:$A3446, MATCH(B1162,'Room Info'!$G$2:$G3446, 0)))))))))</f>
        <v>QQcheliQ</v>
      </c>
      <c r="B1162" s="50" t="s">
        <v>210</v>
      </c>
      <c r="C1162" s="104">
        <v>44794.0</v>
      </c>
      <c r="D1162" s="104">
        <v>44824.0</v>
      </c>
      <c r="E1162" s="52">
        <v>44805.0</v>
      </c>
      <c r="F1162" s="50" t="s">
        <v>12</v>
      </c>
      <c r="G1162" s="50" t="s">
        <v>5</v>
      </c>
      <c r="H1162" s="54" t="s">
        <v>10</v>
      </c>
      <c r="I1162" s="54" t="s">
        <v>11</v>
      </c>
      <c r="J1162" s="55">
        <v>0.25</v>
      </c>
      <c r="K1162" s="56">
        <v>2.0</v>
      </c>
      <c r="L1162" s="57">
        <v>-0.5</v>
      </c>
      <c r="M1162" s="67"/>
      <c r="N1162" s="33">
        <f t="shared" si="155"/>
        <v>0.5</v>
      </c>
      <c r="O1162" s="70"/>
      <c r="P1162" s="34">
        <f t="shared" si="14"/>
        <v>0</v>
      </c>
      <c r="Q1162" s="60"/>
      <c r="R1162" s="36">
        <f t="shared" si="156"/>
        <v>0</v>
      </c>
      <c r="S1162" s="71"/>
      <c r="T1162" s="37">
        <f t="shared" si="157"/>
        <v>-0.5</v>
      </c>
      <c r="U1162" s="62">
        <v>1.0</v>
      </c>
      <c r="V1162" s="63"/>
      <c r="W1162" s="63"/>
      <c r="X1162" s="83">
        <v>0.17</v>
      </c>
      <c r="Y1162" s="35">
        <f t="shared" si="163"/>
        <v>0</v>
      </c>
      <c r="Z1162" s="40">
        <f t="shared" si="159"/>
        <v>-0.5</v>
      </c>
      <c r="AA1162" s="65">
        <v>0.0</v>
      </c>
      <c r="AB1162" s="41">
        <f t="shared" si="161"/>
        <v>0</v>
      </c>
      <c r="AC1162" s="42" t="b">
        <v>1</v>
      </c>
      <c r="AD1162" s="42" t="s">
        <v>138</v>
      </c>
      <c r="AE1162" s="42" t="s">
        <v>138</v>
      </c>
      <c r="AF1162" s="42" t="str">
        <f t="array" ref="AF1162">INDEX('Deal Info'!D:D, MATCH(A1162,'Deal Info'!A:A, 0))</f>
        <v>DoEV</v>
      </c>
      <c r="AG1162" s="43" t="str">
        <f t="array" ref="AG1162">INDEX('Deal Info'!G:G, MATCH(A1162,'Deal Info'!A:A, 0))</f>
        <v>None</v>
      </c>
    </row>
    <row r="1163" hidden="1">
      <c r="A1163" s="23" t="str">
        <f t="array" ref="A1163">if(G1163='Room Info'!$B$1, INDEX('Room Info'!$A$2:$A3446, MATCH(B1163,'Room Info'!$B$2:$B3446, 0)),if(G1163='Room Info'!$C$1, INDEX('Room Info'!$A$2:$A3446, MATCH(B1163,'Room Info'!$C$2:$C3446, 0)),if(G1163='Room Info'!$D$1, INDEX('Room Info'!$A$2:$A3446, MATCH(B1163,'Room Info'!$D$2:$D3446, 0)),if(G1163='Room Info'!$E$1, INDEX('Room Info'!$A$2:$A3446, MATCH(B1163,'Room Info'!$E$2:$E3446, 0)),if(G1163='Room Info'!$F$1, INDEX('Room Info'!$A$2:$A3446, MATCH(B1163,'Room Info'!$F$2:$F3446, 0)),if(G1163='Room Info'!$H$1, INDEX('Room Info'!$A$2:$A3446, MATCH(B1163,'Room Info'!$H$2:$H3446, 0)),if(G1163='Room Info'!$G$1, INDEX('Room Info'!$A$2:$A3446, MATCH(B1163,'Room Info'!$G$2:$G3446, 0)))))))))</f>
        <v>QQcheliQ</v>
      </c>
      <c r="B1163" s="50" t="s">
        <v>210</v>
      </c>
      <c r="C1163" s="104">
        <v>44794.0</v>
      </c>
      <c r="D1163" s="104">
        <v>44824.0</v>
      </c>
      <c r="E1163" s="52">
        <v>44805.0</v>
      </c>
      <c r="F1163" s="50" t="s">
        <v>12</v>
      </c>
      <c r="G1163" s="50" t="s">
        <v>5</v>
      </c>
      <c r="H1163" s="54" t="s">
        <v>23</v>
      </c>
      <c r="I1163" s="54" t="s">
        <v>11</v>
      </c>
      <c r="J1163" s="55">
        <v>1.0</v>
      </c>
      <c r="K1163" s="56">
        <v>1.0</v>
      </c>
      <c r="L1163" s="57">
        <v>-1.0</v>
      </c>
      <c r="M1163" s="67"/>
      <c r="N1163" s="33">
        <f t="shared" si="155"/>
        <v>1</v>
      </c>
      <c r="O1163" s="70"/>
      <c r="P1163" s="34">
        <f t="shared" si="14"/>
        <v>0</v>
      </c>
      <c r="Q1163" s="60"/>
      <c r="R1163" s="36">
        <f t="shared" si="156"/>
        <v>0</v>
      </c>
      <c r="S1163" s="71"/>
      <c r="T1163" s="37">
        <f t="shared" si="157"/>
        <v>-1</v>
      </c>
      <c r="U1163" s="62">
        <v>1.0</v>
      </c>
      <c r="V1163" s="63"/>
      <c r="W1163" s="63"/>
      <c r="X1163" s="83">
        <v>0.17</v>
      </c>
      <c r="Y1163" s="35">
        <f t="shared" si="163"/>
        <v>0</v>
      </c>
      <c r="Z1163" s="40">
        <f t="shared" si="159"/>
        <v>-1</v>
      </c>
      <c r="AA1163" s="65">
        <v>0.0</v>
      </c>
      <c r="AB1163" s="41">
        <f t="shared" si="161"/>
        <v>0</v>
      </c>
      <c r="AC1163" s="42" t="b">
        <v>1</v>
      </c>
      <c r="AD1163" s="42" t="s">
        <v>138</v>
      </c>
      <c r="AE1163" s="42" t="s">
        <v>138</v>
      </c>
      <c r="AF1163" s="42" t="str">
        <f t="array" ref="AF1163">INDEX('Deal Info'!D:D, MATCH(A1163,'Deal Info'!A:A, 0))</f>
        <v>DoEV</v>
      </c>
      <c r="AG1163" s="43" t="str">
        <f t="array" ref="AG1163">INDEX('Deal Info'!G:G, MATCH(A1163,'Deal Info'!A:A, 0))</f>
        <v>None</v>
      </c>
    </row>
    <row r="1164" hidden="1">
      <c r="A1164" s="23" t="str">
        <f t="array" ref="A1164">if(G1164='Room Info'!$B$1, INDEX('Room Info'!$A$2:$A3446, MATCH(B1164,'Room Info'!$B$2:$B3446, 0)),if(G1164='Room Info'!$C$1, INDEX('Room Info'!$A$2:$A3446, MATCH(B1164,'Room Info'!$C$2:$C3446, 0)),if(G1164='Room Info'!$D$1, INDEX('Room Info'!$A$2:$A3446, MATCH(B1164,'Room Info'!$D$2:$D3446, 0)),if(G1164='Room Info'!$E$1, INDEX('Room Info'!$A$2:$A3446, MATCH(B1164,'Room Info'!$E$2:$E3446, 0)),if(G1164='Room Info'!$F$1, INDEX('Room Info'!$A$2:$A3446, MATCH(B1164,'Room Info'!$F$2:$F3446, 0)),if(G1164='Room Info'!$H$1, INDEX('Room Info'!$A$2:$A3446, MATCH(B1164,'Room Info'!$H$2:$H3446, 0)),if(G1164='Room Info'!$G$1, INDEX('Room Info'!$A$2:$A3446, MATCH(B1164,'Room Info'!$G$2:$G3446, 0)))))))))</f>
        <v>QQcheliQ</v>
      </c>
      <c r="B1164" s="50" t="s">
        <v>210</v>
      </c>
      <c r="C1164" s="51">
        <v>44825.0</v>
      </c>
      <c r="D1164" s="51">
        <v>44854.0</v>
      </c>
      <c r="E1164" s="52">
        <v>44835.0</v>
      </c>
      <c r="F1164" s="53" t="s">
        <v>4</v>
      </c>
      <c r="G1164" s="50" t="s">
        <v>5</v>
      </c>
      <c r="H1164" s="54" t="s">
        <v>62</v>
      </c>
      <c r="I1164" s="54" t="s">
        <v>7</v>
      </c>
      <c r="J1164" s="55">
        <v>25.0</v>
      </c>
      <c r="K1164" s="56">
        <v>730.0</v>
      </c>
      <c r="L1164" s="57">
        <v>-1475.0</v>
      </c>
      <c r="M1164" s="58">
        <v>225.0</v>
      </c>
      <c r="N1164" s="33">
        <f t="shared" si="155"/>
        <v>18250</v>
      </c>
      <c r="O1164" s="59">
        <v>9494.0</v>
      </c>
      <c r="P1164" s="34">
        <f t="shared" si="14"/>
        <v>13.00547945</v>
      </c>
      <c r="Q1164" s="60"/>
      <c r="R1164" s="36">
        <f t="shared" si="156"/>
        <v>225</v>
      </c>
      <c r="S1164" s="61">
        <v>-726.0</v>
      </c>
      <c r="T1164" s="37">
        <f t="shared" si="157"/>
        <v>-501</v>
      </c>
      <c r="U1164" s="62">
        <v>1.0</v>
      </c>
      <c r="V1164" s="63"/>
      <c r="W1164" s="63"/>
      <c r="X1164" s="83">
        <v>0.3</v>
      </c>
      <c r="Y1164" s="35">
        <f t="shared" si="163"/>
        <v>0</v>
      </c>
      <c r="Z1164" s="40">
        <f t="shared" si="159"/>
        <v>-347</v>
      </c>
      <c r="AA1164" s="65">
        <v>-154.0</v>
      </c>
      <c r="AB1164" s="41">
        <f t="shared" si="161"/>
        <v>0</v>
      </c>
      <c r="AC1164" s="42" t="b">
        <v>1</v>
      </c>
      <c r="AD1164" s="42" t="s">
        <v>138</v>
      </c>
      <c r="AE1164" s="42" t="s">
        <v>138</v>
      </c>
      <c r="AF1164" s="42" t="str">
        <f t="array" ref="AF1164">INDEX('Deal Info'!D:D, MATCH(A1164,'Deal Info'!A:A, 0))</f>
        <v>DoEV</v>
      </c>
      <c r="AG1164" s="43" t="str">
        <f t="array" ref="AG1164">INDEX('Deal Info'!G:G, MATCH(A1164,'Deal Info'!A:A, 0))</f>
        <v>None</v>
      </c>
    </row>
    <row r="1165" hidden="1">
      <c r="A1165" s="23" t="str">
        <f t="array" ref="A1165">if(G1165='Room Info'!$B$1, INDEX('Room Info'!$A$2:$A3446, MATCH(B1165,'Room Info'!$B$2:$B3446, 0)),if(G1165='Room Info'!$C$1, INDEX('Room Info'!$A$2:$A3446, MATCH(B1165,'Room Info'!$C$2:$C3446, 0)),if(G1165='Room Info'!$D$1, INDEX('Room Info'!$A$2:$A3446, MATCH(B1165,'Room Info'!$D$2:$D3446, 0)),if(G1165='Room Info'!$E$1, INDEX('Room Info'!$A$2:$A3446, MATCH(B1165,'Room Info'!$E$2:$E3446, 0)),if(G1165='Room Info'!$F$1, INDEX('Room Info'!$A$2:$A3446, MATCH(B1165,'Room Info'!$F$2:$F3446, 0)),if(G1165='Room Info'!$H$1, INDEX('Room Info'!$A$2:$A3446, MATCH(B1165,'Room Info'!$H$2:$H3446, 0)),if(G1165='Room Info'!$G$1, INDEX('Room Info'!$A$2:$A3446, MATCH(B1165,'Room Info'!$G$2:$G3446, 0)))))))))</f>
        <v>QQcheliQ</v>
      </c>
      <c r="B1165" s="50" t="s">
        <v>210</v>
      </c>
      <c r="C1165" s="51">
        <v>44855.0</v>
      </c>
      <c r="D1165" s="51">
        <v>44885.0</v>
      </c>
      <c r="E1165" s="52">
        <v>44866.0</v>
      </c>
      <c r="F1165" s="50" t="s">
        <v>4</v>
      </c>
      <c r="G1165" s="50" t="s">
        <v>5</v>
      </c>
      <c r="H1165" s="54" t="s">
        <v>35</v>
      </c>
      <c r="I1165" s="54" t="s">
        <v>7</v>
      </c>
      <c r="J1165" s="55">
        <v>5.0</v>
      </c>
      <c r="K1165" s="56">
        <v>38.0</v>
      </c>
      <c r="L1165" s="57">
        <v>-10.0</v>
      </c>
      <c r="M1165" s="58">
        <v>10.0</v>
      </c>
      <c r="N1165" s="33">
        <f t="shared" si="155"/>
        <v>190</v>
      </c>
      <c r="O1165" s="59">
        <v>1888.0</v>
      </c>
      <c r="P1165" s="34">
        <f t="shared" si="14"/>
        <v>49.68421053</v>
      </c>
      <c r="Q1165" s="60"/>
      <c r="R1165" s="36">
        <f t="shared" si="156"/>
        <v>10</v>
      </c>
      <c r="S1165" s="61">
        <v>0.0</v>
      </c>
      <c r="T1165" s="37">
        <f t="shared" si="157"/>
        <v>10</v>
      </c>
      <c r="U1165" s="62">
        <v>1.0</v>
      </c>
      <c r="V1165" s="63"/>
      <c r="W1165" s="63"/>
      <c r="X1165" s="83">
        <v>0.3</v>
      </c>
      <c r="Y1165" s="35">
        <f t="shared" si="163"/>
        <v>0</v>
      </c>
      <c r="Z1165" s="40">
        <f t="shared" si="159"/>
        <v>7</v>
      </c>
      <c r="AA1165" s="65">
        <v>3.0</v>
      </c>
      <c r="AB1165" s="41">
        <f t="shared" si="161"/>
        <v>0</v>
      </c>
      <c r="AC1165" s="42" t="b">
        <v>1</v>
      </c>
      <c r="AD1165" s="42" t="s">
        <v>138</v>
      </c>
      <c r="AE1165" s="42" t="s">
        <v>138</v>
      </c>
      <c r="AF1165" s="42" t="str">
        <f t="array" ref="AF1165">INDEX('Deal Info'!D:D, MATCH(A1165,'Deal Info'!A:A, 0))</f>
        <v>DoEV</v>
      </c>
      <c r="AG1165" s="43" t="str">
        <f t="array" ref="AG1165">INDEX('Deal Info'!G:G, MATCH(A1165,'Deal Info'!A:A, 0))</f>
        <v>None</v>
      </c>
    </row>
    <row r="1166" hidden="1">
      <c r="A1166" s="23" t="str">
        <f t="array" ref="A1166">if(G1166='Room Info'!$B$1, INDEX('Room Info'!$A$2:$A3446, MATCH(B1166,'Room Info'!$B$2:$B3446, 0)),if(G1166='Room Info'!$C$1, INDEX('Room Info'!$A$2:$A3446, MATCH(B1166,'Room Info'!$C$2:$C3446, 0)),if(G1166='Room Info'!$D$1, INDEX('Room Info'!$A$2:$A3446, MATCH(B1166,'Room Info'!$D$2:$D3446, 0)),if(G1166='Room Info'!$E$1, INDEX('Room Info'!$A$2:$A3446, MATCH(B1166,'Room Info'!$E$2:$E3446, 0)),if(G1166='Room Info'!$F$1, INDEX('Room Info'!$A$2:$A3446, MATCH(B1166,'Room Info'!$F$2:$F3446, 0)),if(G1166='Room Info'!$H$1, INDEX('Room Info'!$A$2:$A3446, MATCH(B1166,'Room Info'!$H$2:$H3446, 0)),if(G1166='Room Info'!$G$1, INDEX('Room Info'!$A$2:$A3446, MATCH(B1166,'Room Info'!$G$2:$G3446, 0)))))))))</f>
        <v>QQcheliQ</v>
      </c>
      <c r="B1166" s="50" t="s">
        <v>210</v>
      </c>
      <c r="C1166" s="51">
        <v>44855.0</v>
      </c>
      <c r="D1166" s="51">
        <v>44885.0</v>
      </c>
      <c r="E1166" s="52">
        <v>44866.0</v>
      </c>
      <c r="F1166" s="50" t="s">
        <v>4</v>
      </c>
      <c r="G1166" s="50" t="s">
        <v>5</v>
      </c>
      <c r="H1166" s="54" t="s">
        <v>62</v>
      </c>
      <c r="I1166" s="54" t="s">
        <v>7</v>
      </c>
      <c r="J1166" s="55">
        <v>25.0</v>
      </c>
      <c r="K1166" s="56">
        <v>1928.0</v>
      </c>
      <c r="L1166" s="57">
        <v>-1175.0</v>
      </c>
      <c r="M1166" s="58">
        <v>1895.0</v>
      </c>
      <c r="N1166" s="33">
        <f t="shared" si="155"/>
        <v>48200</v>
      </c>
      <c r="O1166" s="59">
        <v>43157.0</v>
      </c>
      <c r="P1166" s="34">
        <f t="shared" si="14"/>
        <v>22.3843361</v>
      </c>
      <c r="Q1166" s="60"/>
      <c r="R1166" s="36">
        <f t="shared" si="156"/>
        <v>1895</v>
      </c>
      <c r="S1166" s="61">
        <v>-1148.0</v>
      </c>
      <c r="T1166" s="37">
        <f t="shared" si="157"/>
        <v>747</v>
      </c>
      <c r="U1166" s="62">
        <v>1.0</v>
      </c>
      <c r="V1166" s="63"/>
      <c r="W1166" s="63"/>
      <c r="X1166" s="83">
        <v>0.3</v>
      </c>
      <c r="Y1166" s="35">
        <f t="shared" si="163"/>
        <v>0</v>
      </c>
      <c r="Z1166" s="40">
        <f t="shared" si="159"/>
        <v>517</v>
      </c>
      <c r="AA1166" s="65">
        <v>230.0</v>
      </c>
      <c r="AB1166" s="41">
        <f t="shared" si="161"/>
        <v>0</v>
      </c>
      <c r="AC1166" s="42" t="b">
        <v>1</v>
      </c>
      <c r="AD1166" s="42" t="s">
        <v>138</v>
      </c>
      <c r="AE1166" s="42" t="s">
        <v>138</v>
      </c>
      <c r="AF1166" s="42" t="str">
        <f t="array" ref="AF1166">INDEX('Deal Info'!D:D, MATCH(A1166,'Deal Info'!A:A, 0))</f>
        <v>DoEV</v>
      </c>
      <c r="AG1166" s="43" t="str">
        <f t="array" ref="AG1166">INDEX('Deal Info'!G:G, MATCH(A1166,'Deal Info'!A:A, 0))</f>
        <v>None</v>
      </c>
    </row>
    <row r="1167" hidden="1">
      <c r="A1167" s="23" t="str">
        <f t="array" ref="A1167">if(G1167='Room Info'!$B$1, INDEX('Room Info'!$A$2:$A3446, MATCH(B1167,'Room Info'!$B$2:$B3446, 0)),if(G1167='Room Info'!$C$1, INDEX('Room Info'!$A$2:$A3446, MATCH(B1167,'Room Info'!$C$2:$C3446, 0)),if(G1167='Room Info'!$D$1, INDEX('Room Info'!$A$2:$A3446, MATCH(B1167,'Room Info'!$D$2:$D3446, 0)),if(G1167='Room Info'!$E$1, INDEX('Room Info'!$A$2:$A3446, MATCH(B1167,'Room Info'!$E$2:$E3446, 0)),if(G1167='Room Info'!$F$1, INDEX('Room Info'!$A$2:$A3446, MATCH(B1167,'Room Info'!$F$2:$F3446, 0)),if(G1167='Room Info'!$H$1, INDEX('Room Info'!$A$2:$A3446, MATCH(B1167,'Room Info'!$H$2:$H3446, 0)),if(G1167='Room Info'!$G$1, INDEX('Room Info'!$A$2:$A3446, MATCH(B1167,'Room Info'!$G$2:$G3446, 0)))))))))</f>
        <v>QQcheliQ</v>
      </c>
      <c r="B1167" s="50" t="s">
        <v>210</v>
      </c>
      <c r="C1167" s="51">
        <v>44886.0</v>
      </c>
      <c r="D1167" s="51">
        <v>44915.0</v>
      </c>
      <c r="E1167" s="52">
        <v>44896.0</v>
      </c>
      <c r="F1167" s="50" t="s">
        <v>4</v>
      </c>
      <c r="G1167" s="59" t="s">
        <v>5</v>
      </c>
      <c r="H1167" s="54" t="s">
        <v>35</v>
      </c>
      <c r="I1167" s="54" t="s">
        <v>7</v>
      </c>
      <c r="J1167" s="55">
        <v>5.0</v>
      </c>
      <c r="K1167" s="56">
        <v>4.0</v>
      </c>
      <c r="L1167" s="57">
        <v>5.0</v>
      </c>
      <c r="M1167" s="58">
        <v>1.0</v>
      </c>
      <c r="N1167" s="33">
        <f t="shared" si="155"/>
        <v>20</v>
      </c>
      <c r="O1167" s="59">
        <v>572.0</v>
      </c>
      <c r="P1167" s="34">
        <f t="shared" si="14"/>
        <v>143</v>
      </c>
      <c r="Q1167" s="60"/>
      <c r="R1167" s="36">
        <f t="shared" si="156"/>
        <v>1</v>
      </c>
      <c r="S1167" s="61">
        <v>3.0</v>
      </c>
      <c r="T1167" s="37">
        <f t="shared" si="157"/>
        <v>4</v>
      </c>
      <c r="U1167" s="62">
        <v>1.0</v>
      </c>
      <c r="V1167" s="63"/>
      <c r="W1167" s="63"/>
      <c r="X1167" s="83">
        <v>0.23</v>
      </c>
      <c r="Y1167" s="35">
        <f t="shared" si="163"/>
        <v>0</v>
      </c>
      <c r="Z1167" s="40">
        <f t="shared" si="159"/>
        <v>3</v>
      </c>
      <c r="AA1167" s="65">
        <v>1.0</v>
      </c>
      <c r="AB1167" s="41">
        <f t="shared" si="161"/>
        <v>0</v>
      </c>
      <c r="AC1167" s="42" t="b">
        <v>1</v>
      </c>
      <c r="AD1167" s="42" t="s">
        <v>138</v>
      </c>
      <c r="AE1167" s="42" t="s">
        <v>138</v>
      </c>
      <c r="AF1167" s="42" t="str">
        <f t="array" ref="AF1167">INDEX('Deal Info'!D:D, MATCH(A1167,'Deal Info'!A:A, 0))</f>
        <v>DoEV</v>
      </c>
      <c r="AG1167" s="43" t="str">
        <f t="array" ref="AG1167">INDEX('Deal Info'!G:G, MATCH(A1167,'Deal Info'!A:A, 0))</f>
        <v>None</v>
      </c>
    </row>
    <row r="1168" hidden="1">
      <c r="A1168" s="23" t="str">
        <f t="array" ref="A1168">if(G1168='Room Info'!$B$1, INDEX('Room Info'!$A$2:$A3446, MATCH(B1168,'Room Info'!$B$2:$B3446, 0)),if(G1168='Room Info'!$C$1, INDEX('Room Info'!$A$2:$A3446, MATCH(B1168,'Room Info'!$C$2:$C3446, 0)),if(G1168='Room Info'!$D$1, INDEX('Room Info'!$A$2:$A3446, MATCH(B1168,'Room Info'!$D$2:$D3446, 0)),if(G1168='Room Info'!$E$1, INDEX('Room Info'!$A$2:$A3446, MATCH(B1168,'Room Info'!$E$2:$E3446, 0)),if(G1168='Room Info'!$F$1, INDEX('Room Info'!$A$2:$A3446, MATCH(B1168,'Room Info'!$F$2:$F3446, 0)),if(G1168='Room Info'!$H$1, INDEX('Room Info'!$A$2:$A3446, MATCH(B1168,'Room Info'!$H$2:$H3446, 0)),if(G1168='Room Info'!$G$1, INDEX('Room Info'!$A$2:$A3446, MATCH(B1168,'Room Info'!$G$2:$G3446, 0)))))))))</f>
        <v>QQcheliQ</v>
      </c>
      <c r="B1168" s="50" t="s">
        <v>210</v>
      </c>
      <c r="C1168" s="51">
        <v>44886.0</v>
      </c>
      <c r="D1168" s="51">
        <v>44915.0</v>
      </c>
      <c r="E1168" s="52">
        <v>44896.0</v>
      </c>
      <c r="F1168" s="50" t="s">
        <v>4</v>
      </c>
      <c r="G1168" s="59" t="s">
        <v>5</v>
      </c>
      <c r="H1168" s="54" t="s">
        <v>45</v>
      </c>
      <c r="I1168" s="54" t="s">
        <v>7</v>
      </c>
      <c r="J1168" s="55">
        <v>10.0</v>
      </c>
      <c r="K1168" s="56">
        <v>1.0</v>
      </c>
      <c r="L1168" s="57">
        <v>40.0</v>
      </c>
      <c r="M1168" s="67"/>
      <c r="N1168" s="33">
        <f t="shared" si="155"/>
        <v>10</v>
      </c>
      <c r="O1168" s="59">
        <v>485.0</v>
      </c>
      <c r="P1168" s="34">
        <f t="shared" si="14"/>
        <v>485</v>
      </c>
      <c r="Q1168" s="60"/>
      <c r="R1168" s="36">
        <f t="shared" si="156"/>
        <v>0</v>
      </c>
      <c r="S1168" s="61">
        <v>8.0</v>
      </c>
      <c r="T1168" s="37">
        <f t="shared" si="157"/>
        <v>8</v>
      </c>
      <c r="U1168" s="62">
        <v>1.0</v>
      </c>
      <c r="V1168" s="63"/>
      <c r="W1168" s="63"/>
      <c r="X1168" s="83">
        <v>0.23</v>
      </c>
      <c r="Y1168" s="35">
        <f t="shared" si="163"/>
        <v>0</v>
      </c>
      <c r="Z1168" s="40">
        <f t="shared" si="159"/>
        <v>6</v>
      </c>
      <c r="AA1168" s="65">
        <v>2.0</v>
      </c>
      <c r="AB1168" s="41">
        <f t="shared" si="161"/>
        <v>0</v>
      </c>
      <c r="AC1168" s="42" t="b">
        <v>1</v>
      </c>
      <c r="AD1168" s="42" t="s">
        <v>138</v>
      </c>
      <c r="AE1168" s="42" t="s">
        <v>138</v>
      </c>
      <c r="AF1168" s="42" t="str">
        <f t="array" ref="AF1168">INDEX('Deal Info'!D:D, MATCH(A1168,'Deal Info'!A:A, 0))</f>
        <v>DoEV</v>
      </c>
      <c r="AG1168" s="43" t="str">
        <f t="array" ref="AG1168">INDEX('Deal Info'!G:G, MATCH(A1168,'Deal Info'!A:A, 0))</f>
        <v>None</v>
      </c>
    </row>
    <row r="1169" hidden="1">
      <c r="A1169" s="23" t="str">
        <f t="array" ref="A1169">if(G1169='Room Info'!$B$1, INDEX('Room Info'!$A$2:$A3446, MATCH(B1169,'Room Info'!$B$2:$B3446, 0)),if(G1169='Room Info'!$C$1, INDEX('Room Info'!$A$2:$A3446, MATCH(B1169,'Room Info'!$C$2:$C3446, 0)),if(G1169='Room Info'!$D$1, INDEX('Room Info'!$A$2:$A3446, MATCH(B1169,'Room Info'!$D$2:$D3446, 0)),if(G1169='Room Info'!$E$1, INDEX('Room Info'!$A$2:$A3446, MATCH(B1169,'Room Info'!$E$2:$E3446, 0)),if(G1169='Room Info'!$F$1, INDEX('Room Info'!$A$2:$A3446, MATCH(B1169,'Room Info'!$F$2:$F3446, 0)),if(G1169='Room Info'!$H$1, INDEX('Room Info'!$A$2:$A3446, MATCH(B1169,'Room Info'!$H$2:$H3446, 0)),if(G1169='Room Info'!$G$1, INDEX('Room Info'!$A$2:$A3446, MATCH(B1169,'Room Info'!$G$2:$G3446, 0)))))))))</f>
        <v>QQcheliQ</v>
      </c>
      <c r="B1169" s="50" t="s">
        <v>210</v>
      </c>
      <c r="C1169" s="104">
        <v>44886.0</v>
      </c>
      <c r="D1169" s="104">
        <v>44915.0</v>
      </c>
      <c r="E1169" s="52">
        <v>44896.0</v>
      </c>
      <c r="F1169" s="50" t="s">
        <v>4</v>
      </c>
      <c r="G1169" s="50" t="s">
        <v>5</v>
      </c>
      <c r="H1169" s="54" t="s">
        <v>62</v>
      </c>
      <c r="I1169" s="54" t="s">
        <v>7</v>
      </c>
      <c r="J1169" s="79">
        <v>25.0</v>
      </c>
      <c r="K1169" s="80">
        <v>2097.0</v>
      </c>
      <c r="L1169" s="77">
        <v>-2875.0</v>
      </c>
      <c r="M1169" s="81">
        <v>1767.0</v>
      </c>
      <c r="N1169" s="33">
        <f t="shared" si="155"/>
        <v>52425</v>
      </c>
      <c r="O1169" s="50">
        <v>58557.0</v>
      </c>
      <c r="P1169" s="34">
        <f t="shared" si="14"/>
        <v>27.9241774</v>
      </c>
      <c r="Q1169" s="60"/>
      <c r="R1169" s="36">
        <f t="shared" si="156"/>
        <v>1767</v>
      </c>
      <c r="S1169" s="78">
        <v>-631.0</v>
      </c>
      <c r="T1169" s="37">
        <f t="shared" si="157"/>
        <v>1136</v>
      </c>
      <c r="U1169" s="62">
        <v>1.0</v>
      </c>
      <c r="V1169" s="63"/>
      <c r="W1169" s="63"/>
      <c r="X1169" s="83">
        <v>0.23</v>
      </c>
      <c r="Y1169" s="35">
        <f t="shared" si="163"/>
        <v>0</v>
      </c>
      <c r="Z1169" s="40">
        <f t="shared" si="159"/>
        <v>875</v>
      </c>
      <c r="AA1169" s="65">
        <v>261.0</v>
      </c>
      <c r="AB1169" s="41">
        <f t="shared" si="161"/>
        <v>0</v>
      </c>
      <c r="AC1169" s="42" t="b">
        <v>1</v>
      </c>
      <c r="AD1169" s="42" t="s">
        <v>138</v>
      </c>
      <c r="AE1169" s="42" t="s">
        <v>138</v>
      </c>
      <c r="AF1169" s="42" t="str">
        <f t="array" ref="AF1169">INDEX('Deal Info'!D:D, MATCH(A1169,'Deal Info'!A:A, 0))</f>
        <v>DoEV</v>
      </c>
      <c r="AG1169" s="43" t="str">
        <f t="array" ref="AG1169">INDEX('Deal Info'!G:G, MATCH(A1169,'Deal Info'!A:A, 0))</f>
        <v>None</v>
      </c>
    </row>
    <row r="1170" hidden="1">
      <c r="A1170" s="23" t="str">
        <f t="array" ref="A1170">if(G1170='Room Info'!$B$1, INDEX('Room Info'!$A$2:$A3446, MATCH(B1170,'Room Info'!$B$2:$B3446, 0)),if(G1170='Room Info'!$C$1, INDEX('Room Info'!$A$2:$A3446, MATCH(B1170,'Room Info'!$C$2:$C3446, 0)),if(G1170='Room Info'!$D$1, INDEX('Room Info'!$A$2:$A3446, MATCH(B1170,'Room Info'!$D$2:$D3446, 0)),if(G1170='Room Info'!$E$1, INDEX('Room Info'!$A$2:$A3446, MATCH(B1170,'Room Info'!$E$2:$E3446, 0)),if(G1170='Room Info'!$F$1, INDEX('Room Info'!$A$2:$A3446, MATCH(B1170,'Room Info'!$F$2:$F3446, 0)),if(G1170='Room Info'!$H$1, INDEX('Room Info'!$A$2:$A3446, MATCH(B1170,'Room Info'!$H$2:$H3446, 0)),if(G1170='Room Info'!$G$1, INDEX('Room Info'!$A$2:$A3446, MATCH(B1170,'Room Info'!$G$2:$G3446, 0)))))))))</f>
        <v>QQcheliQ</v>
      </c>
      <c r="B1170" s="50" t="s">
        <v>210</v>
      </c>
      <c r="C1170" s="104">
        <v>44916.0</v>
      </c>
      <c r="D1170" s="104">
        <v>44946.0</v>
      </c>
      <c r="E1170" s="52">
        <v>44927.0</v>
      </c>
      <c r="F1170" s="50" t="s">
        <v>4</v>
      </c>
      <c r="G1170" s="50" t="s">
        <v>5</v>
      </c>
      <c r="H1170" s="54" t="s">
        <v>35</v>
      </c>
      <c r="I1170" s="54" t="s">
        <v>7</v>
      </c>
      <c r="J1170" s="79">
        <v>5.0</v>
      </c>
      <c r="K1170" s="80">
        <v>22.0</v>
      </c>
      <c r="L1170" s="77">
        <v>10.0</v>
      </c>
      <c r="M1170" s="81">
        <v>7.0</v>
      </c>
      <c r="N1170" s="33">
        <f t="shared" si="155"/>
        <v>110</v>
      </c>
      <c r="O1170" s="50">
        <v>2006.0</v>
      </c>
      <c r="P1170" s="34">
        <f t="shared" si="14"/>
        <v>91.18181818</v>
      </c>
      <c r="Q1170" s="60"/>
      <c r="R1170" s="36">
        <f t="shared" si="156"/>
        <v>7</v>
      </c>
      <c r="S1170" s="78">
        <v>9.0</v>
      </c>
      <c r="T1170" s="37">
        <f t="shared" si="157"/>
        <v>16</v>
      </c>
      <c r="U1170" s="62">
        <v>1.0</v>
      </c>
      <c r="V1170" s="63"/>
      <c r="W1170" s="63"/>
      <c r="X1170" s="83">
        <v>0.23</v>
      </c>
      <c r="Y1170" s="35">
        <f t="shared" si="163"/>
        <v>0</v>
      </c>
      <c r="Z1170" s="40">
        <f t="shared" si="159"/>
        <v>12</v>
      </c>
      <c r="AA1170" s="65">
        <v>4.0</v>
      </c>
      <c r="AB1170" s="41">
        <f t="shared" si="161"/>
        <v>0</v>
      </c>
      <c r="AC1170" s="42" t="b">
        <v>1</v>
      </c>
      <c r="AD1170" s="42" t="s">
        <v>138</v>
      </c>
      <c r="AE1170" s="42" t="s">
        <v>138</v>
      </c>
      <c r="AF1170" s="42" t="str">
        <f t="array" ref="AF1170">INDEX('Deal Info'!D:D, MATCH(A1170,'Deal Info'!A:A, 0))</f>
        <v>DoEV</v>
      </c>
      <c r="AG1170" s="43" t="str">
        <f t="array" ref="AG1170">INDEX('Deal Info'!G:G, MATCH(A1170,'Deal Info'!A:A, 0))</f>
        <v>None</v>
      </c>
    </row>
    <row r="1171" hidden="1">
      <c r="A1171" s="23" t="str">
        <f t="array" ref="A1171">if(G1171='Room Info'!$B$1, INDEX('Room Info'!$A$2:$A3446, MATCH(B1171,'Room Info'!$B$2:$B3446, 0)),if(G1171='Room Info'!$C$1, INDEX('Room Info'!$A$2:$A3446, MATCH(B1171,'Room Info'!$C$2:$C3446, 0)),if(G1171='Room Info'!$D$1, INDEX('Room Info'!$A$2:$A3446, MATCH(B1171,'Room Info'!$D$2:$D3446, 0)),if(G1171='Room Info'!$E$1, INDEX('Room Info'!$A$2:$A3446, MATCH(B1171,'Room Info'!$E$2:$E3446, 0)),if(G1171='Room Info'!$F$1, INDEX('Room Info'!$A$2:$A3446, MATCH(B1171,'Room Info'!$F$2:$F3446, 0)),if(G1171='Room Info'!$H$1, INDEX('Room Info'!$A$2:$A3446, MATCH(B1171,'Room Info'!$H$2:$H3446, 0)),if(G1171='Room Info'!$G$1, INDEX('Room Info'!$A$2:$A3446, MATCH(B1171,'Room Info'!$G$2:$G3446, 0)))))))))</f>
        <v>QQcheliQ</v>
      </c>
      <c r="B1171" s="50" t="s">
        <v>210</v>
      </c>
      <c r="C1171" s="51">
        <v>44916.0</v>
      </c>
      <c r="D1171" s="51">
        <v>44946.0</v>
      </c>
      <c r="E1171" s="52">
        <v>44927.0</v>
      </c>
      <c r="F1171" s="53" t="s">
        <v>4</v>
      </c>
      <c r="G1171" s="59" t="s">
        <v>5</v>
      </c>
      <c r="H1171" s="54" t="s">
        <v>45</v>
      </c>
      <c r="I1171" s="54" t="s">
        <v>7</v>
      </c>
      <c r="J1171" s="55">
        <v>10.0</v>
      </c>
      <c r="K1171" s="56">
        <v>11.0</v>
      </c>
      <c r="L1171" s="57">
        <v>0.0</v>
      </c>
      <c r="M1171" s="58">
        <v>6.0</v>
      </c>
      <c r="N1171" s="33">
        <f t="shared" si="155"/>
        <v>110</v>
      </c>
      <c r="O1171" s="59">
        <v>1210.0</v>
      </c>
      <c r="P1171" s="34">
        <f t="shared" si="14"/>
        <v>110</v>
      </c>
      <c r="Q1171" s="60"/>
      <c r="R1171" s="36">
        <f t="shared" si="156"/>
        <v>6</v>
      </c>
      <c r="S1171" s="61">
        <v>14.0</v>
      </c>
      <c r="T1171" s="37">
        <f t="shared" si="157"/>
        <v>20</v>
      </c>
      <c r="U1171" s="62">
        <v>1.0</v>
      </c>
      <c r="V1171" s="63"/>
      <c r="W1171" s="63"/>
      <c r="X1171" s="83">
        <v>0.23</v>
      </c>
      <c r="Y1171" s="35">
        <f t="shared" si="163"/>
        <v>0</v>
      </c>
      <c r="Z1171" s="40">
        <f t="shared" si="159"/>
        <v>15</v>
      </c>
      <c r="AA1171" s="65">
        <v>5.0</v>
      </c>
      <c r="AB1171" s="41">
        <f t="shared" si="161"/>
        <v>0</v>
      </c>
      <c r="AC1171" s="42" t="b">
        <v>1</v>
      </c>
      <c r="AD1171" s="42" t="s">
        <v>138</v>
      </c>
      <c r="AE1171" s="42" t="s">
        <v>138</v>
      </c>
      <c r="AF1171" s="42" t="str">
        <f t="array" ref="AF1171">INDEX('Deal Info'!D:D, MATCH(A1171,'Deal Info'!A:A, 0))</f>
        <v>DoEV</v>
      </c>
      <c r="AG1171" s="43" t="str">
        <f t="array" ref="AG1171">INDEX('Deal Info'!G:G, MATCH(A1171,'Deal Info'!A:A, 0))</f>
        <v>None</v>
      </c>
    </row>
    <row r="1172" hidden="1">
      <c r="A1172" s="23" t="str">
        <f t="array" ref="A1172">if(G1172='Room Info'!$B$1, INDEX('Room Info'!$A$2:$A3446, MATCH(B1172,'Room Info'!$B$2:$B3446, 0)),if(G1172='Room Info'!$C$1, INDEX('Room Info'!$A$2:$A3446, MATCH(B1172,'Room Info'!$C$2:$C3446, 0)),if(G1172='Room Info'!$D$1, INDEX('Room Info'!$A$2:$A3446, MATCH(B1172,'Room Info'!$D$2:$D3446, 0)),if(G1172='Room Info'!$E$1, INDEX('Room Info'!$A$2:$A3446, MATCH(B1172,'Room Info'!$E$2:$E3446, 0)),if(G1172='Room Info'!$F$1, INDEX('Room Info'!$A$2:$A3446, MATCH(B1172,'Room Info'!$F$2:$F3446, 0)),if(G1172='Room Info'!$H$1, INDEX('Room Info'!$A$2:$A3446, MATCH(B1172,'Room Info'!$H$2:$H3446, 0)),if(G1172='Room Info'!$G$1, INDEX('Room Info'!$A$2:$A3446, MATCH(B1172,'Room Info'!$G$2:$G3446, 0)))))))))</f>
        <v>QQcheliQ</v>
      </c>
      <c r="B1172" s="50" t="s">
        <v>210</v>
      </c>
      <c r="C1172" s="51">
        <v>44916.0</v>
      </c>
      <c r="D1172" s="51">
        <v>44946.0</v>
      </c>
      <c r="E1172" s="52">
        <v>44927.0</v>
      </c>
      <c r="F1172" s="53" t="s">
        <v>4</v>
      </c>
      <c r="G1172" s="59" t="s">
        <v>5</v>
      </c>
      <c r="H1172" s="54" t="s">
        <v>62</v>
      </c>
      <c r="I1172" s="54" t="s">
        <v>7</v>
      </c>
      <c r="J1172" s="55">
        <v>25.0</v>
      </c>
      <c r="K1172" s="56">
        <v>2151.0</v>
      </c>
      <c r="L1172" s="57">
        <v>1200.0</v>
      </c>
      <c r="M1172" s="58">
        <v>2582.0</v>
      </c>
      <c r="N1172" s="33">
        <f t="shared" si="155"/>
        <v>53775</v>
      </c>
      <c r="O1172" s="59">
        <v>37625.0</v>
      </c>
      <c r="P1172" s="34">
        <f t="shared" si="14"/>
        <v>17.49186425</v>
      </c>
      <c r="Q1172" s="60"/>
      <c r="R1172" s="36">
        <f t="shared" si="156"/>
        <v>2582</v>
      </c>
      <c r="S1172" s="61">
        <v>-1594.0</v>
      </c>
      <c r="T1172" s="37">
        <f t="shared" si="157"/>
        <v>988</v>
      </c>
      <c r="U1172" s="62">
        <v>1.0</v>
      </c>
      <c r="V1172" s="63"/>
      <c r="W1172" s="63"/>
      <c r="X1172" s="83">
        <v>0.23</v>
      </c>
      <c r="Y1172" s="35">
        <f t="shared" si="163"/>
        <v>0</v>
      </c>
      <c r="Z1172" s="40">
        <f t="shared" si="159"/>
        <v>761</v>
      </c>
      <c r="AA1172" s="65">
        <v>227.0</v>
      </c>
      <c r="AB1172" s="41">
        <f t="shared" si="161"/>
        <v>0</v>
      </c>
      <c r="AC1172" s="42" t="b">
        <v>1</v>
      </c>
      <c r="AD1172" s="42" t="s">
        <v>138</v>
      </c>
      <c r="AE1172" s="42" t="s">
        <v>138</v>
      </c>
      <c r="AF1172" s="42" t="str">
        <f t="array" ref="AF1172">INDEX('Deal Info'!D:D, MATCH(A1172,'Deal Info'!A:A, 0))</f>
        <v>DoEV</v>
      </c>
      <c r="AG1172" s="43" t="str">
        <f t="array" ref="AG1172">INDEX('Deal Info'!G:G, MATCH(A1172,'Deal Info'!A:A, 0))</f>
        <v>None</v>
      </c>
    </row>
    <row r="1173" hidden="1">
      <c r="A1173" s="23" t="str">
        <f t="array" ref="A1173">if(G1173='Room Info'!$B$1, INDEX('Room Info'!$A$2:$A3446, MATCH(B1173,'Room Info'!$B$2:$B3446, 0)),if(G1173='Room Info'!$C$1, INDEX('Room Info'!$A$2:$A3446, MATCH(B1173,'Room Info'!$C$2:$C3446, 0)),if(G1173='Room Info'!$D$1, INDEX('Room Info'!$A$2:$A3446, MATCH(B1173,'Room Info'!$D$2:$D3446, 0)),if(G1173='Room Info'!$E$1, INDEX('Room Info'!$A$2:$A3446, MATCH(B1173,'Room Info'!$E$2:$E3446, 0)),if(G1173='Room Info'!$F$1, INDEX('Room Info'!$A$2:$A3446, MATCH(B1173,'Room Info'!$F$2:$F3446, 0)),if(G1173='Room Info'!$H$1, INDEX('Room Info'!$A$2:$A3446, MATCH(B1173,'Room Info'!$H$2:$H3446, 0)),if(G1173='Room Info'!$G$1, INDEX('Room Info'!$A$2:$A3446, MATCH(B1173,'Room Info'!$G$2:$G3446, 0)))))))))</f>
        <v>QQcheliQ</v>
      </c>
      <c r="B1173" s="50" t="s">
        <v>210</v>
      </c>
      <c r="C1173" s="51">
        <v>44916.0</v>
      </c>
      <c r="D1173" s="51">
        <v>44946.0</v>
      </c>
      <c r="E1173" s="52">
        <v>44927.0</v>
      </c>
      <c r="F1173" s="53" t="s">
        <v>4</v>
      </c>
      <c r="G1173" s="59" t="s">
        <v>5</v>
      </c>
      <c r="H1173" s="54" t="s">
        <v>74</v>
      </c>
      <c r="I1173" s="54" t="s">
        <v>7</v>
      </c>
      <c r="J1173" s="55">
        <v>50.0</v>
      </c>
      <c r="K1173" s="56">
        <v>306.0</v>
      </c>
      <c r="L1173" s="57">
        <v>-800.0</v>
      </c>
      <c r="M1173" s="58">
        <v>735.0</v>
      </c>
      <c r="N1173" s="33">
        <f t="shared" si="155"/>
        <v>15300</v>
      </c>
      <c r="O1173" s="59">
        <v>10779.0</v>
      </c>
      <c r="P1173" s="34">
        <f t="shared" si="14"/>
        <v>35.2254902</v>
      </c>
      <c r="Q1173" s="60"/>
      <c r="R1173" s="36">
        <f t="shared" si="156"/>
        <v>735</v>
      </c>
      <c r="S1173" s="61">
        <v>50.0</v>
      </c>
      <c r="T1173" s="37">
        <f t="shared" si="157"/>
        <v>785</v>
      </c>
      <c r="U1173" s="62">
        <v>1.0</v>
      </c>
      <c r="V1173" s="63"/>
      <c r="W1173" s="63"/>
      <c r="X1173" s="83">
        <v>0.23</v>
      </c>
      <c r="Y1173" s="35">
        <f t="shared" si="163"/>
        <v>0</v>
      </c>
      <c r="Z1173" s="40">
        <f t="shared" si="159"/>
        <v>605</v>
      </c>
      <c r="AA1173" s="65">
        <v>180.0</v>
      </c>
      <c r="AB1173" s="41">
        <f t="shared" si="161"/>
        <v>0</v>
      </c>
      <c r="AC1173" s="42" t="b">
        <v>1</v>
      </c>
      <c r="AD1173" s="42" t="s">
        <v>138</v>
      </c>
      <c r="AE1173" s="42" t="s">
        <v>138</v>
      </c>
      <c r="AF1173" s="42" t="str">
        <f t="array" ref="AF1173">INDEX('Deal Info'!D:D, MATCH(A1173,'Deal Info'!A:A, 0))</f>
        <v>DoEV</v>
      </c>
      <c r="AG1173" s="43" t="str">
        <f t="array" ref="AG1173">INDEX('Deal Info'!G:G, MATCH(A1173,'Deal Info'!A:A, 0))</f>
        <v>None</v>
      </c>
    </row>
    <row r="1174" hidden="1">
      <c r="A1174" s="23" t="b">
        <f t="array" ref="A1174">if(G1174='Room Info'!$B$1, INDEX('Room Info'!$A$2:$A3446, MATCH(B1174,'Room Info'!$B$2:$B3446, 0)),if(G1174='Room Info'!$C$1, INDEX('Room Info'!$A$2:$A3446, MATCH(B1174,'Room Info'!$C$2:$C3446, 0)),if(G1174='Room Info'!$D$1, INDEX('Room Info'!$A$2:$A3446, MATCH(B1174,'Room Info'!$D$2:$D3446, 0)),if(G1174='Room Info'!$E$1, INDEX('Room Info'!$A$2:$A3446, MATCH(B1174,'Room Info'!$E$2:$E3446, 0)),if(G1174='Room Info'!$F$1, INDEX('Room Info'!$A$2:$A3446, MATCH(B1174,'Room Info'!$F$2:$F3446, 0)),if(G1174='Room Info'!$H$1, INDEX('Room Info'!$A$2:$A3446, MATCH(B1174,'Room Info'!$H$2:$H3446, 0)),if(G1174='Room Info'!$G$1, INDEX('Room Info'!$A$2:$A3446, MATCH(B1174,'Room Info'!$G$2:$G3446, 0)))))))))</f>
        <v>0</v>
      </c>
      <c r="B1174" s="50" t="s">
        <v>212</v>
      </c>
      <c r="C1174" s="104">
        <v>44682.0</v>
      </c>
      <c r="D1174" s="104">
        <v>44712.0</v>
      </c>
      <c r="E1174" s="52">
        <v>44682.0</v>
      </c>
      <c r="F1174" s="50" t="s">
        <v>12</v>
      </c>
      <c r="G1174" s="50" t="s">
        <v>142</v>
      </c>
      <c r="H1174" s="54" t="s">
        <v>50</v>
      </c>
      <c r="I1174" s="54" t="s">
        <v>7</v>
      </c>
      <c r="J1174" s="55">
        <v>10.0</v>
      </c>
      <c r="K1174" s="56">
        <v>10.0</v>
      </c>
      <c r="L1174" s="57">
        <v>-4.38</v>
      </c>
      <c r="M1174" s="58">
        <v>4.0</v>
      </c>
      <c r="N1174" s="33">
        <f t="shared" si="155"/>
        <v>100</v>
      </c>
      <c r="O1174" s="59">
        <v>-66.0</v>
      </c>
      <c r="P1174" s="34">
        <f t="shared" si="14"/>
        <v>-6.6</v>
      </c>
      <c r="Q1174" s="60"/>
      <c r="R1174" s="36">
        <f t="shared" si="156"/>
        <v>4</v>
      </c>
      <c r="S1174" s="61"/>
      <c r="T1174" s="37">
        <f t="shared" si="157"/>
        <v>-0.38</v>
      </c>
      <c r="U1174" s="62">
        <v>0.935</v>
      </c>
      <c r="V1174" s="63"/>
      <c r="W1174" s="63"/>
      <c r="X1174" s="83">
        <v>0.3</v>
      </c>
      <c r="Y1174" s="35" t="str">
        <f t="shared" si="163"/>
        <v>#N/A</v>
      </c>
      <c r="Z1174" s="40" t="str">
        <f t="shared" si="159"/>
        <v>#N/A</v>
      </c>
      <c r="AA1174" s="65">
        <v>0.0</v>
      </c>
      <c r="AB1174" s="41" t="str">
        <f t="shared" si="161"/>
        <v>#N/A</v>
      </c>
      <c r="AC1174" s="42" t="b">
        <v>1</v>
      </c>
      <c r="AD1174" s="66" t="s">
        <v>140</v>
      </c>
      <c r="AE1174" s="66"/>
      <c r="AF1174" s="42" t="str">
        <f t="array" ref="AF1174">INDEX('Deal Info'!D:D, MATCH(A1174,'Deal Info'!A:A, 0))</f>
        <v>#N/A</v>
      </c>
      <c r="AG1174" s="43" t="str">
        <f t="array" ref="AG1174">INDEX('Deal Info'!G:G, MATCH(A1174,'Deal Info'!A:A, 0))</f>
        <v>#N/A</v>
      </c>
    </row>
    <row r="1175" hidden="1">
      <c r="A1175" s="23" t="b">
        <f t="array" ref="A1175">if(G1175='Room Info'!$B$1, INDEX('Room Info'!$A$2:$A3446, MATCH(B1175,'Room Info'!$B$2:$B3446, 0)),if(G1175='Room Info'!$C$1, INDEX('Room Info'!$A$2:$A3446, MATCH(B1175,'Room Info'!$C$2:$C3446, 0)),if(G1175='Room Info'!$D$1, INDEX('Room Info'!$A$2:$A3446, MATCH(B1175,'Room Info'!$D$2:$D3446, 0)),if(G1175='Room Info'!$E$1, INDEX('Room Info'!$A$2:$A3446, MATCH(B1175,'Room Info'!$E$2:$E3446, 0)),if(G1175='Room Info'!$F$1, INDEX('Room Info'!$A$2:$A3446, MATCH(B1175,'Room Info'!$F$2:$F3446, 0)),if(G1175='Room Info'!$H$1, INDEX('Room Info'!$A$2:$A3446, MATCH(B1175,'Room Info'!$H$2:$H3446, 0)),if(G1175='Room Info'!$G$1, INDEX('Room Info'!$A$2:$A3446, MATCH(B1175,'Room Info'!$G$2:$G3446, 0)))))))))</f>
        <v>0</v>
      </c>
      <c r="B1175" s="59" t="s">
        <v>212</v>
      </c>
      <c r="C1175" s="51">
        <v>44682.0</v>
      </c>
      <c r="D1175" s="51">
        <v>44712.0</v>
      </c>
      <c r="E1175" s="52">
        <v>44682.0</v>
      </c>
      <c r="F1175" s="50" t="s">
        <v>12</v>
      </c>
      <c r="G1175" s="59" t="s">
        <v>142</v>
      </c>
      <c r="H1175" s="54" t="s">
        <v>61</v>
      </c>
      <c r="I1175" s="54" t="s">
        <v>7</v>
      </c>
      <c r="J1175" s="55">
        <v>20.0</v>
      </c>
      <c r="K1175" s="56">
        <v>2214.0</v>
      </c>
      <c r="L1175" s="57">
        <v>-1941.62</v>
      </c>
      <c r="M1175" s="58">
        <v>1550.0</v>
      </c>
      <c r="N1175" s="33">
        <f t="shared" si="155"/>
        <v>44280</v>
      </c>
      <c r="O1175" s="59">
        <v>66466.0</v>
      </c>
      <c r="P1175" s="34">
        <f t="shared" si="14"/>
        <v>30.02077687</v>
      </c>
      <c r="Q1175" s="60"/>
      <c r="R1175" s="36">
        <f t="shared" si="156"/>
        <v>1550</v>
      </c>
      <c r="S1175" s="61"/>
      <c r="T1175" s="37">
        <f t="shared" si="157"/>
        <v>-391.62</v>
      </c>
      <c r="U1175" s="62">
        <v>0.935</v>
      </c>
      <c r="V1175" s="63"/>
      <c r="W1175" s="63"/>
      <c r="X1175" s="83">
        <v>0.3</v>
      </c>
      <c r="Y1175" s="35" t="str">
        <f t="shared" si="163"/>
        <v>#N/A</v>
      </c>
      <c r="Z1175" s="40" t="str">
        <f t="shared" si="159"/>
        <v>#N/A</v>
      </c>
      <c r="AA1175" s="65">
        <v>-110.0</v>
      </c>
      <c r="AB1175" s="41" t="str">
        <f t="shared" si="161"/>
        <v>#N/A</v>
      </c>
      <c r="AC1175" s="42" t="b">
        <v>1</v>
      </c>
      <c r="AD1175" s="66" t="s">
        <v>140</v>
      </c>
      <c r="AE1175" s="66"/>
      <c r="AF1175" s="42" t="str">
        <f t="array" ref="AF1175">INDEX('Deal Info'!D:D, MATCH(A1175,'Deal Info'!A:A, 0))</f>
        <v>#N/A</v>
      </c>
      <c r="AG1175" s="43" t="str">
        <f t="array" ref="AG1175">INDEX('Deal Info'!G:G, MATCH(A1175,'Deal Info'!A:A, 0))</f>
        <v>#N/A</v>
      </c>
    </row>
    <row r="1176" hidden="1">
      <c r="A1176" s="23" t="b">
        <f t="array" ref="A1176">if(G1176='Room Info'!$B$1, INDEX('Room Info'!$A$2:$A3446, MATCH(B1176,'Room Info'!$B$2:$B3446, 0)),if(G1176='Room Info'!$C$1, INDEX('Room Info'!$A$2:$A3446, MATCH(B1176,'Room Info'!$C$2:$C3446, 0)),if(G1176='Room Info'!$D$1, INDEX('Room Info'!$A$2:$A3446, MATCH(B1176,'Room Info'!$D$2:$D3446, 0)),if(G1176='Room Info'!$E$1, INDEX('Room Info'!$A$2:$A3446, MATCH(B1176,'Room Info'!$E$2:$E3446, 0)),if(G1176='Room Info'!$F$1, INDEX('Room Info'!$A$2:$A3446, MATCH(B1176,'Room Info'!$F$2:$F3446, 0)),if(G1176='Room Info'!$H$1, INDEX('Room Info'!$A$2:$A3446, MATCH(B1176,'Room Info'!$H$2:$H3446, 0)),if(G1176='Room Info'!$G$1, INDEX('Room Info'!$A$2:$A3446, MATCH(B1176,'Room Info'!$G$2:$G3446, 0)))))))))</f>
        <v>0</v>
      </c>
      <c r="B1176" s="50" t="s">
        <v>212</v>
      </c>
      <c r="C1176" s="51">
        <v>44713.0</v>
      </c>
      <c r="D1176" s="51">
        <v>44742.0</v>
      </c>
      <c r="E1176" s="52">
        <v>44713.0</v>
      </c>
      <c r="F1176" s="53" t="s">
        <v>12</v>
      </c>
      <c r="G1176" s="50" t="s">
        <v>142</v>
      </c>
      <c r="H1176" s="54" t="s">
        <v>50</v>
      </c>
      <c r="I1176" s="54" t="s">
        <v>7</v>
      </c>
      <c r="J1176" s="55">
        <v>10.0</v>
      </c>
      <c r="K1176" s="56">
        <v>8.0</v>
      </c>
      <c r="L1176" s="57">
        <v>-1.82</v>
      </c>
      <c r="M1176" s="58">
        <v>3.0</v>
      </c>
      <c r="N1176" s="33">
        <f t="shared" si="155"/>
        <v>80</v>
      </c>
      <c r="O1176" s="59">
        <v>-448.0</v>
      </c>
      <c r="P1176" s="34">
        <f t="shared" si="14"/>
        <v>-56</v>
      </c>
      <c r="Q1176" s="60"/>
      <c r="R1176" s="36">
        <f t="shared" si="156"/>
        <v>3</v>
      </c>
      <c r="S1176" s="61"/>
      <c r="T1176" s="37">
        <f t="shared" si="157"/>
        <v>1.18</v>
      </c>
      <c r="U1176" s="62">
        <v>0.935</v>
      </c>
      <c r="V1176" s="63"/>
      <c r="W1176" s="63"/>
      <c r="X1176" s="83">
        <v>0.3</v>
      </c>
      <c r="Y1176" s="35" t="str">
        <f t="shared" si="163"/>
        <v>#N/A</v>
      </c>
      <c r="Z1176" s="40" t="str">
        <f t="shared" si="159"/>
        <v>#N/A</v>
      </c>
      <c r="AA1176" s="65">
        <v>0.0</v>
      </c>
      <c r="AB1176" s="41" t="str">
        <f t="shared" si="161"/>
        <v>#N/A</v>
      </c>
      <c r="AC1176" s="42" t="b">
        <v>1</v>
      </c>
      <c r="AD1176" s="66" t="s">
        <v>140</v>
      </c>
      <c r="AE1176" s="66"/>
      <c r="AF1176" s="42" t="str">
        <f t="array" ref="AF1176">INDEX('Deal Info'!D:D, MATCH(A1176,'Deal Info'!A:A, 0))</f>
        <v>#N/A</v>
      </c>
      <c r="AG1176" s="43" t="str">
        <f t="array" ref="AG1176">INDEX('Deal Info'!G:G, MATCH(A1176,'Deal Info'!A:A, 0))</f>
        <v>#N/A</v>
      </c>
    </row>
    <row r="1177" hidden="1">
      <c r="A1177" s="23" t="b">
        <f t="array" ref="A1177">if(G1177='Room Info'!$B$1, INDEX('Room Info'!$A$2:$A3446, MATCH(B1177,'Room Info'!$B$2:$B3446, 0)),if(G1177='Room Info'!$C$1, INDEX('Room Info'!$A$2:$A3446, MATCH(B1177,'Room Info'!$C$2:$C3446, 0)),if(G1177='Room Info'!$D$1, INDEX('Room Info'!$A$2:$A3446, MATCH(B1177,'Room Info'!$D$2:$D3446, 0)),if(G1177='Room Info'!$E$1, INDEX('Room Info'!$A$2:$A3446, MATCH(B1177,'Room Info'!$E$2:$E3446, 0)),if(G1177='Room Info'!$F$1, INDEX('Room Info'!$A$2:$A3446, MATCH(B1177,'Room Info'!$F$2:$F3446, 0)),if(G1177='Room Info'!$H$1, INDEX('Room Info'!$A$2:$A3446, MATCH(B1177,'Room Info'!$H$2:$H3446, 0)),if(G1177='Room Info'!$G$1, INDEX('Room Info'!$A$2:$A3446, MATCH(B1177,'Room Info'!$G$2:$G3446, 0)))))))))</f>
        <v>0</v>
      </c>
      <c r="B1177" s="50" t="s">
        <v>212</v>
      </c>
      <c r="C1177" s="51">
        <v>44713.0</v>
      </c>
      <c r="D1177" s="51">
        <v>44742.0</v>
      </c>
      <c r="E1177" s="52">
        <v>44713.0</v>
      </c>
      <c r="F1177" s="53" t="s">
        <v>12</v>
      </c>
      <c r="G1177" s="50" t="s">
        <v>142</v>
      </c>
      <c r="H1177" s="54" t="s">
        <v>61</v>
      </c>
      <c r="I1177" s="54" t="s">
        <v>7</v>
      </c>
      <c r="J1177" s="55">
        <v>20.0</v>
      </c>
      <c r="K1177" s="56">
        <v>1892.0</v>
      </c>
      <c r="L1177" s="57">
        <v>-862.18</v>
      </c>
      <c r="M1177" s="58">
        <v>1324.0</v>
      </c>
      <c r="N1177" s="33">
        <f t="shared" si="155"/>
        <v>37840</v>
      </c>
      <c r="O1177" s="59">
        <v>93921.0</v>
      </c>
      <c r="P1177" s="34">
        <f t="shared" si="14"/>
        <v>49.64112051</v>
      </c>
      <c r="Q1177" s="60"/>
      <c r="R1177" s="36">
        <f t="shared" si="156"/>
        <v>1324</v>
      </c>
      <c r="S1177" s="61"/>
      <c r="T1177" s="37">
        <f t="shared" si="157"/>
        <v>461.82</v>
      </c>
      <c r="U1177" s="62">
        <v>0.935</v>
      </c>
      <c r="V1177" s="63"/>
      <c r="W1177" s="63"/>
      <c r="X1177" s="83">
        <v>0.3</v>
      </c>
      <c r="Y1177" s="35" t="str">
        <f t="shared" si="163"/>
        <v>#N/A</v>
      </c>
      <c r="Z1177" s="40" t="str">
        <f t="shared" si="159"/>
        <v>#N/A</v>
      </c>
      <c r="AA1177" s="65">
        <v>130.0</v>
      </c>
      <c r="AB1177" s="41" t="str">
        <f t="shared" si="161"/>
        <v>#N/A</v>
      </c>
      <c r="AC1177" s="42" t="b">
        <v>1</v>
      </c>
      <c r="AD1177" s="66" t="s">
        <v>140</v>
      </c>
      <c r="AE1177" s="66"/>
      <c r="AF1177" s="42" t="str">
        <f t="array" ref="AF1177">INDEX('Deal Info'!D:D, MATCH(A1177,'Deal Info'!A:A, 0))</f>
        <v>#N/A</v>
      </c>
      <c r="AG1177" s="43" t="str">
        <f t="array" ref="AG1177">INDEX('Deal Info'!G:G, MATCH(A1177,'Deal Info'!A:A, 0))</f>
        <v>#N/A</v>
      </c>
    </row>
    <row r="1178" hidden="1">
      <c r="A1178" s="23" t="b">
        <f t="array" ref="A1178">if(G1178='Room Info'!$B$1, INDEX('Room Info'!$A$2:$A3446, MATCH(B1178,'Room Info'!$B$2:$B3446, 0)),if(G1178='Room Info'!$C$1, INDEX('Room Info'!$A$2:$A3446, MATCH(B1178,'Room Info'!$C$2:$C3446, 0)),if(G1178='Room Info'!$D$1, INDEX('Room Info'!$A$2:$A3446, MATCH(B1178,'Room Info'!$D$2:$D3446, 0)),if(G1178='Room Info'!$E$1, INDEX('Room Info'!$A$2:$A3446, MATCH(B1178,'Room Info'!$E$2:$E3446, 0)),if(G1178='Room Info'!$F$1, INDEX('Room Info'!$A$2:$A3446, MATCH(B1178,'Room Info'!$F$2:$F3446, 0)),if(G1178='Room Info'!$H$1, INDEX('Room Info'!$A$2:$A3446, MATCH(B1178,'Room Info'!$H$2:$H3446, 0)),if(G1178='Room Info'!$G$1, INDEX('Room Info'!$A$2:$A3446, MATCH(B1178,'Room Info'!$G$2:$G3446, 0)))))))))</f>
        <v>0</v>
      </c>
      <c r="B1178" s="50" t="s">
        <v>212</v>
      </c>
      <c r="C1178" s="51">
        <v>44743.0</v>
      </c>
      <c r="D1178" s="51">
        <v>44773.0</v>
      </c>
      <c r="E1178" s="52">
        <v>44743.0</v>
      </c>
      <c r="F1178" s="53" t="s">
        <v>12</v>
      </c>
      <c r="G1178" s="50" t="s">
        <v>142</v>
      </c>
      <c r="H1178" s="54" t="s">
        <v>61</v>
      </c>
      <c r="I1178" s="54" t="s">
        <v>7</v>
      </c>
      <c r="J1178" s="55">
        <v>20.0</v>
      </c>
      <c r="K1178" s="56">
        <v>3031.0</v>
      </c>
      <c r="L1178" s="57">
        <v>5465.0</v>
      </c>
      <c r="M1178" s="58">
        <v>2122.0</v>
      </c>
      <c r="N1178" s="33">
        <f t="shared" si="155"/>
        <v>60620</v>
      </c>
      <c r="O1178" s="59">
        <v>153126.0</v>
      </c>
      <c r="P1178" s="34">
        <f t="shared" si="14"/>
        <v>50.51996041</v>
      </c>
      <c r="Q1178" s="60"/>
      <c r="R1178" s="36">
        <f t="shared" si="156"/>
        <v>2122</v>
      </c>
      <c r="S1178" s="61"/>
      <c r="T1178" s="37">
        <f t="shared" si="157"/>
        <v>7587</v>
      </c>
      <c r="U1178" s="62">
        <v>0.979</v>
      </c>
      <c r="V1178" s="63"/>
      <c r="W1178" s="63"/>
      <c r="X1178" s="83">
        <v>0.17</v>
      </c>
      <c r="Y1178" s="35" t="str">
        <f t="shared" si="163"/>
        <v>#N/A</v>
      </c>
      <c r="Z1178" s="40" t="str">
        <f t="shared" si="159"/>
        <v>#N/A</v>
      </c>
      <c r="AA1178" s="65">
        <v>1263.0</v>
      </c>
      <c r="AB1178" s="41" t="str">
        <f t="shared" si="161"/>
        <v>#N/A</v>
      </c>
      <c r="AC1178" s="42" t="b">
        <v>1</v>
      </c>
      <c r="AD1178" s="66" t="s">
        <v>140</v>
      </c>
      <c r="AE1178" s="66"/>
      <c r="AF1178" s="42" t="str">
        <f t="array" ref="AF1178">INDEX('Deal Info'!D:D, MATCH(A1178,'Deal Info'!A:A, 0))</f>
        <v>#N/A</v>
      </c>
      <c r="AG1178" s="43" t="str">
        <f t="array" ref="AG1178">INDEX('Deal Info'!G:G, MATCH(A1178,'Deal Info'!A:A, 0))</f>
        <v>#N/A</v>
      </c>
    </row>
    <row r="1179" hidden="1">
      <c r="A1179" s="23" t="b">
        <f t="array" ref="A1179">if(G1179='Room Info'!$B$1, INDEX('Room Info'!$A$2:$A3446, MATCH(B1179,'Room Info'!$B$2:$B3446, 0)),if(G1179='Room Info'!$C$1, INDEX('Room Info'!$A$2:$A3446, MATCH(B1179,'Room Info'!$C$2:$C3446, 0)),if(G1179='Room Info'!$D$1, INDEX('Room Info'!$A$2:$A3446, MATCH(B1179,'Room Info'!$D$2:$D3446, 0)),if(G1179='Room Info'!$E$1, INDEX('Room Info'!$A$2:$A3446, MATCH(B1179,'Room Info'!$E$2:$E3446, 0)),if(G1179='Room Info'!$F$1, INDEX('Room Info'!$A$2:$A3446, MATCH(B1179,'Room Info'!$F$2:$F3446, 0)),if(G1179='Room Info'!$H$1, INDEX('Room Info'!$A$2:$A3446, MATCH(B1179,'Room Info'!$H$2:$H3446, 0)),if(G1179='Room Info'!$G$1, INDEX('Room Info'!$A$2:$A3446, MATCH(B1179,'Room Info'!$G$2:$G3446, 0)))))))))</f>
        <v>0</v>
      </c>
      <c r="B1179" s="50" t="s">
        <v>212</v>
      </c>
      <c r="C1179" s="51">
        <v>44774.0</v>
      </c>
      <c r="D1179" s="51">
        <v>44804.0</v>
      </c>
      <c r="E1179" s="52">
        <v>44774.0</v>
      </c>
      <c r="F1179" s="53" t="s">
        <v>12</v>
      </c>
      <c r="G1179" s="50" t="s">
        <v>142</v>
      </c>
      <c r="H1179" s="54" t="s">
        <v>50</v>
      </c>
      <c r="I1179" s="54" t="s">
        <v>7</v>
      </c>
      <c r="J1179" s="55">
        <v>10.0</v>
      </c>
      <c r="K1179" s="56">
        <v>5.0</v>
      </c>
      <c r="L1179" s="57">
        <v>1.0</v>
      </c>
      <c r="M1179" s="58">
        <v>2.0</v>
      </c>
      <c r="N1179" s="33">
        <f t="shared" si="155"/>
        <v>50</v>
      </c>
      <c r="O1179" s="59">
        <v>-218.0</v>
      </c>
      <c r="P1179" s="34">
        <f t="shared" si="14"/>
        <v>-43.6</v>
      </c>
      <c r="Q1179" s="60"/>
      <c r="R1179" s="36">
        <f t="shared" si="156"/>
        <v>2</v>
      </c>
      <c r="S1179" s="61"/>
      <c r="T1179" s="37">
        <f t="shared" si="157"/>
        <v>3</v>
      </c>
      <c r="U1179" s="62">
        <v>1.0</v>
      </c>
      <c r="V1179" s="63"/>
      <c r="W1179" s="63"/>
      <c r="X1179" s="83">
        <v>0.23</v>
      </c>
      <c r="Y1179" s="35" t="str">
        <f t="shared" si="163"/>
        <v>#N/A</v>
      </c>
      <c r="Z1179" s="40" t="str">
        <f t="shared" si="159"/>
        <v>#N/A</v>
      </c>
      <c r="AA1179" s="65">
        <v>1.0</v>
      </c>
      <c r="AB1179" s="41" t="str">
        <f t="shared" si="161"/>
        <v>#N/A</v>
      </c>
      <c r="AC1179" s="42" t="b">
        <v>1</v>
      </c>
      <c r="AD1179" s="42" t="s">
        <v>138</v>
      </c>
      <c r="AE1179" s="42" t="s">
        <v>138</v>
      </c>
      <c r="AF1179" s="42" t="str">
        <f t="array" ref="AF1179">INDEX('Deal Info'!D:D, MATCH(A1179,'Deal Info'!A:A, 0))</f>
        <v>#N/A</v>
      </c>
      <c r="AG1179" s="43" t="str">
        <f t="array" ref="AG1179">INDEX('Deal Info'!G:G, MATCH(A1179,'Deal Info'!A:A, 0))</f>
        <v>#N/A</v>
      </c>
    </row>
    <row r="1180" hidden="1">
      <c r="A1180" s="23" t="b">
        <f t="array" ref="A1180">if(G1180='Room Info'!$B$1, INDEX('Room Info'!$A$2:$A3446, MATCH(B1180,'Room Info'!$B$2:$B3446, 0)),if(G1180='Room Info'!$C$1, INDEX('Room Info'!$A$2:$A3446, MATCH(B1180,'Room Info'!$C$2:$C3446, 0)),if(G1180='Room Info'!$D$1, INDEX('Room Info'!$A$2:$A3446, MATCH(B1180,'Room Info'!$D$2:$D3446, 0)),if(G1180='Room Info'!$E$1, INDEX('Room Info'!$A$2:$A3446, MATCH(B1180,'Room Info'!$E$2:$E3446, 0)),if(G1180='Room Info'!$F$1, INDEX('Room Info'!$A$2:$A3446, MATCH(B1180,'Room Info'!$F$2:$F3446, 0)),if(G1180='Room Info'!$H$1, INDEX('Room Info'!$A$2:$A3446, MATCH(B1180,'Room Info'!$H$2:$H3446, 0)),if(G1180='Room Info'!$G$1, INDEX('Room Info'!$A$2:$A3446, MATCH(B1180,'Room Info'!$G$2:$G3446, 0)))))))))</f>
        <v>0</v>
      </c>
      <c r="B1180" s="50" t="s">
        <v>212</v>
      </c>
      <c r="C1180" s="51">
        <v>44774.0</v>
      </c>
      <c r="D1180" s="51">
        <v>44804.0</v>
      </c>
      <c r="E1180" s="52">
        <v>44774.0</v>
      </c>
      <c r="F1180" s="53" t="s">
        <v>12</v>
      </c>
      <c r="G1180" s="50" t="s">
        <v>142</v>
      </c>
      <c r="H1180" s="54" t="s">
        <v>61</v>
      </c>
      <c r="I1180" s="54" t="s">
        <v>7</v>
      </c>
      <c r="J1180" s="55">
        <v>20.0</v>
      </c>
      <c r="K1180" s="56">
        <v>1239.0</v>
      </c>
      <c r="L1180" s="57">
        <v>69.0</v>
      </c>
      <c r="M1180" s="58">
        <v>867.0</v>
      </c>
      <c r="N1180" s="33">
        <f t="shared" si="155"/>
        <v>24780</v>
      </c>
      <c r="O1180" s="59">
        <v>41776.0</v>
      </c>
      <c r="P1180" s="34">
        <f t="shared" si="14"/>
        <v>33.71751412</v>
      </c>
      <c r="Q1180" s="60"/>
      <c r="R1180" s="36">
        <f t="shared" si="156"/>
        <v>867</v>
      </c>
      <c r="S1180" s="61"/>
      <c r="T1180" s="37">
        <f t="shared" si="157"/>
        <v>936</v>
      </c>
      <c r="U1180" s="62">
        <v>1.0</v>
      </c>
      <c r="V1180" s="63"/>
      <c r="W1180" s="63"/>
      <c r="X1180" s="83">
        <v>0.23</v>
      </c>
      <c r="Y1180" s="35" t="str">
        <f t="shared" si="163"/>
        <v>#N/A</v>
      </c>
      <c r="Z1180" s="40" t="str">
        <f t="shared" si="159"/>
        <v>#N/A</v>
      </c>
      <c r="AA1180" s="65">
        <v>215.0</v>
      </c>
      <c r="AB1180" s="41" t="str">
        <f t="shared" si="161"/>
        <v>#N/A</v>
      </c>
      <c r="AC1180" s="42" t="b">
        <v>1</v>
      </c>
      <c r="AD1180" s="42" t="s">
        <v>138</v>
      </c>
      <c r="AE1180" s="42" t="s">
        <v>138</v>
      </c>
      <c r="AF1180" s="42" t="str">
        <f t="array" ref="AF1180">INDEX('Deal Info'!D:D, MATCH(A1180,'Deal Info'!A:A, 0))</f>
        <v>#N/A</v>
      </c>
      <c r="AG1180" s="43" t="str">
        <f t="array" ref="AG1180">INDEX('Deal Info'!G:G, MATCH(A1180,'Deal Info'!A:A, 0))</f>
        <v>#N/A</v>
      </c>
    </row>
    <row r="1181" hidden="1">
      <c r="A1181" s="23" t="b">
        <f t="array" ref="A1181">if(G1181='Room Info'!$B$1, INDEX('Room Info'!$A$2:$A3446, MATCH(B1181,'Room Info'!$B$2:$B3446, 0)),if(G1181='Room Info'!$C$1, INDEX('Room Info'!$A$2:$A3446, MATCH(B1181,'Room Info'!$C$2:$C3446, 0)),if(G1181='Room Info'!$D$1, INDEX('Room Info'!$A$2:$A3446, MATCH(B1181,'Room Info'!$D$2:$D3446, 0)),if(G1181='Room Info'!$E$1, INDEX('Room Info'!$A$2:$A3446, MATCH(B1181,'Room Info'!$E$2:$E3446, 0)),if(G1181='Room Info'!$F$1, INDEX('Room Info'!$A$2:$A3446, MATCH(B1181,'Room Info'!$F$2:$F3446, 0)),if(G1181='Room Info'!$H$1, INDEX('Room Info'!$A$2:$A3446, MATCH(B1181,'Room Info'!$H$2:$H3446, 0)),if(G1181='Room Info'!$G$1, INDEX('Room Info'!$A$2:$A3446, MATCH(B1181,'Room Info'!$G$2:$G3446, 0)))))))))</f>
        <v>0</v>
      </c>
      <c r="B1181" s="50" t="s">
        <v>212</v>
      </c>
      <c r="C1181" s="104">
        <v>44805.0</v>
      </c>
      <c r="D1181" s="51">
        <v>44834.0</v>
      </c>
      <c r="E1181" s="52">
        <v>44805.0</v>
      </c>
      <c r="F1181" s="50" t="s">
        <v>12</v>
      </c>
      <c r="G1181" s="59" t="s">
        <v>142</v>
      </c>
      <c r="H1181" s="54" t="s">
        <v>50</v>
      </c>
      <c r="I1181" s="54" t="s">
        <v>7</v>
      </c>
      <c r="J1181" s="79">
        <v>10.0</v>
      </c>
      <c r="K1181" s="80">
        <v>21.0</v>
      </c>
      <c r="L1181" s="77">
        <v>1.0</v>
      </c>
      <c r="M1181" s="58">
        <v>7.0</v>
      </c>
      <c r="N1181" s="33">
        <f t="shared" si="155"/>
        <v>210</v>
      </c>
      <c r="O1181" s="50">
        <v>2646.0</v>
      </c>
      <c r="P1181" s="34">
        <f t="shared" si="14"/>
        <v>126</v>
      </c>
      <c r="Q1181" s="60"/>
      <c r="R1181" s="36">
        <f t="shared" si="156"/>
        <v>7</v>
      </c>
      <c r="S1181" s="78"/>
      <c r="T1181" s="37">
        <f t="shared" si="157"/>
        <v>8</v>
      </c>
      <c r="U1181" s="62">
        <v>1.0</v>
      </c>
      <c r="V1181" s="63"/>
      <c r="W1181" s="63"/>
      <c r="X1181" s="83">
        <v>0.23</v>
      </c>
      <c r="Y1181" s="35" t="str">
        <f t="shared" si="163"/>
        <v>#N/A</v>
      </c>
      <c r="Z1181" s="40" t="str">
        <f t="shared" si="159"/>
        <v>#N/A</v>
      </c>
      <c r="AA1181" s="65">
        <v>2.0</v>
      </c>
      <c r="AB1181" s="41" t="str">
        <f t="shared" si="161"/>
        <v>#N/A</v>
      </c>
      <c r="AC1181" s="42" t="b">
        <v>1</v>
      </c>
      <c r="AD1181" s="42" t="s">
        <v>138</v>
      </c>
      <c r="AE1181" s="42" t="s">
        <v>138</v>
      </c>
      <c r="AF1181" s="42" t="str">
        <f t="array" ref="AF1181">INDEX('Deal Info'!D:D, MATCH(A1181,'Deal Info'!A:A, 0))</f>
        <v>#N/A</v>
      </c>
      <c r="AG1181" s="43" t="str">
        <f t="array" ref="AG1181">INDEX('Deal Info'!G:G, MATCH(A1181,'Deal Info'!A:A, 0))</f>
        <v>#N/A</v>
      </c>
    </row>
    <row r="1182" hidden="1">
      <c r="A1182" s="23" t="b">
        <f t="array" ref="A1182">if(G1182='Room Info'!$B$1, INDEX('Room Info'!$A$2:$A3446, MATCH(B1182,'Room Info'!$B$2:$B3446, 0)),if(G1182='Room Info'!$C$1, INDEX('Room Info'!$A$2:$A3446, MATCH(B1182,'Room Info'!$C$2:$C3446, 0)),if(G1182='Room Info'!$D$1, INDEX('Room Info'!$A$2:$A3446, MATCH(B1182,'Room Info'!$D$2:$D3446, 0)),if(G1182='Room Info'!$E$1, INDEX('Room Info'!$A$2:$A3446, MATCH(B1182,'Room Info'!$E$2:$E3446, 0)),if(G1182='Room Info'!$F$1, INDEX('Room Info'!$A$2:$A3446, MATCH(B1182,'Room Info'!$F$2:$F3446, 0)),if(G1182='Room Info'!$H$1, INDEX('Room Info'!$A$2:$A3446, MATCH(B1182,'Room Info'!$H$2:$H3446, 0)),if(G1182='Room Info'!$G$1, INDEX('Room Info'!$A$2:$A3446, MATCH(B1182,'Room Info'!$G$2:$G3446, 0)))))))))</f>
        <v>0</v>
      </c>
      <c r="B1182" s="50" t="s">
        <v>212</v>
      </c>
      <c r="C1182" s="104">
        <v>44805.0</v>
      </c>
      <c r="D1182" s="51">
        <v>44834.0</v>
      </c>
      <c r="E1182" s="52">
        <v>44805.0</v>
      </c>
      <c r="F1182" s="50" t="s">
        <v>12</v>
      </c>
      <c r="G1182" s="59" t="s">
        <v>142</v>
      </c>
      <c r="H1182" s="54" t="s">
        <v>61</v>
      </c>
      <c r="I1182" s="54" t="s">
        <v>7</v>
      </c>
      <c r="J1182" s="79">
        <v>20.0</v>
      </c>
      <c r="K1182" s="80">
        <v>1200.0</v>
      </c>
      <c r="L1182" s="77">
        <v>122.0</v>
      </c>
      <c r="M1182" s="58">
        <v>840.0</v>
      </c>
      <c r="N1182" s="33">
        <f t="shared" si="155"/>
        <v>24000</v>
      </c>
      <c r="O1182" s="50">
        <v>55200.0</v>
      </c>
      <c r="P1182" s="34">
        <f t="shared" si="14"/>
        <v>46</v>
      </c>
      <c r="Q1182" s="60"/>
      <c r="R1182" s="36">
        <f t="shared" si="156"/>
        <v>840</v>
      </c>
      <c r="S1182" s="78"/>
      <c r="T1182" s="37">
        <f t="shared" si="157"/>
        <v>962</v>
      </c>
      <c r="U1182" s="62">
        <v>1.0</v>
      </c>
      <c r="V1182" s="63"/>
      <c r="W1182" s="63"/>
      <c r="X1182" s="83">
        <v>0.23</v>
      </c>
      <c r="Y1182" s="35" t="str">
        <f t="shared" si="163"/>
        <v>#N/A</v>
      </c>
      <c r="Z1182" s="40" t="str">
        <f t="shared" si="159"/>
        <v>#N/A</v>
      </c>
      <c r="AA1182" s="65">
        <v>221.0</v>
      </c>
      <c r="AB1182" s="41" t="str">
        <f t="shared" si="161"/>
        <v>#N/A</v>
      </c>
      <c r="AC1182" s="42" t="b">
        <v>1</v>
      </c>
      <c r="AD1182" s="42" t="s">
        <v>138</v>
      </c>
      <c r="AE1182" s="42" t="s">
        <v>138</v>
      </c>
      <c r="AF1182" s="42" t="str">
        <f t="array" ref="AF1182">INDEX('Deal Info'!D:D, MATCH(A1182,'Deal Info'!A:A, 0))</f>
        <v>#N/A</v>
      </c>
      <c r="AG1182" s="43" t="str">
        <f t="array" ref="AG1182">INDEX('Deal Info'!G:G, MATCH(A1182,'Deal Info'!A:A, 0))</f>
        <v>#N/A</v>
      </c>
    </row>
    <row r="1183" hidden="1">
      <c r="A1183" s="23" t="b">
        <f t="array" ref="A1183">if(G1183='Room Info'!$B$1, INDEX('Room Info'!$A$2:$A3446, MATCH(B1183,'Room Info'!$B$2:$B3446, 0)),if(G1183='Room Info'!$C$1, INDEX('Room Info'!$A$2:$A3446, MATCH(B1183,'Room Info'!$C$2:$C3446, 0)),if(G1183='Room Info'!$D$1, INDEX('Room Info'!$A$2:$A3446, MATCH(B1183,'Room Info'!$D$2:$D3446, 0)),if(G1183='Room Info'!$E$1, INDEX('Room Info'!$A$2:$A3446, MATCH(B1183,'Room Info'!$E$2:$E3446, 0)),if(G1183='Room Info'!$F$1, INDEX('Room Info'!$A$2:$A3446, MATCH(B1183,'Room Info'!$F$2:$F3446, 0)),if(G1183='Room Info'!$H$1, INDEX('Room Info'!$A$2:$A3446, MATCH(B1183,'Room Info'!$H$2:$H3446, 0)),if(G1183='Room Info'!$G$1, INDEX('Room Info'!$A$2:$A3446, MATCH(B1183,'Room Info'!$G$2:$G3446, 0)))))))))</f>
        <v>0</v>
      </c>
      <c r="B1183" s="50" t="s">
        <v>212</v>
      </c>
      <c r="C1183" s="82">
        <v>44835.0</v>
      </c>
      <c r="D1183" s="82">
        <v>44865.0</v>
      </c>
      <c r="E1183" s="52">
        <v>44835.0</v>
      </c>
      <c r="F1183" s="53" t="s">
        <v>12</v>
      </c>
      <c r="G1183" s="59" t="s">
        <v>142</v>
      </c>
      <c r="H1183" s="96" t="s">
        <v>50</v>
      </c>
      <c r="I1183" s="54" t="s">
        <v>7</v>
      </c>
      <c r="J1183" s="79">
        <v>10.0</v>
      </c>
      <c r="K1183" s="80">
        <v>10.0</v>
      </c>
      <c r="L1183" s="77">
        <v>2.0</v>
      </c>
      <c r="M1183" s="58">
        <v>4.0</v>
      </c>
      <c r="N1183" s="33">
        <f t="shared" si="155"/>
        <v>100</v>
      </c>
      <c r="O1183" s="50">
        <v>770.0</v>
      </c>
      <c r="P1183" s="34">
        <f t="shared" si="14"/>
        <v>77</v>
      </c>
      <c r="Q1183" s="60"/>
      <c r="R1183" s="36">
        <f t="shared" si="156"/>
        <v>4</v>
      </c>
      <c r="S1183" s="78"/>
      <c r="T1183" s="37">
        <f t="shared" si="157"/>
        <v>6</v>
      </c>
      <c r="U1183" s="62">
        <v>1.0</v>
      </c>
      <c r="V1183" s="63"/>
      <c r="W1183" s="63"/>
      <c r="X1183" s="83">
        <v>0.23</v>
      </c>
      <c r="Y1183" s="35" t="str">
        <f t="shared" si="163"/>
        <v>#N/A</v>
      </c>
      <c r="Z1183" s="40" t="str">
        <f t="shared" si="159"/>
        <v>#N/A</v>
      </c>
      <c r="AA1183" s="65">
        <v>1.0</v>
      </c>
      <c r="AB1183" s="41" t="str">
        <f t="shared" si="161"/>
        <v>#N/A</v>
      </c>
      <c r="AC1183" s="42" t="b">
        <v>1</v>
      </c>
      <c r="AD1183" s="42" t="s">
        <v>138</v>
      </c>
      <c r="AE1183" s="42" t="s">
        <v>138</v>
      </c>
      <c r="AF1183" s="42" t="str">
        <f t="array" ref="AF1183">INDEX('Deal Info'!D:D, MATCH(A1183,'Deal Info'!A:A, 0))</f>
        <v>#N/A</v>
      </c>
      <c r="AG1183" s="43" t="str">
        <f t="array" ref="AG1183">INDEX('Deal Info'!G:G, MATCH(A1183,'Deal Info'!A:A, 0))</f>
        <v>#N/A</v>
      </c>
    </row>
    <row r="1184" hidden="1">
      <c r="A1184" s="23" t="b">
        <f t="array" ref="A1184">if(G1184='Room Info'!$B$1, INDEX('Room Info'!$A$2:$A3446, MATCH(B1184,'Room Info'!$B$2:$B3446, 0)),if(G1184='Room Info'!$C$1, INDEX('Room Info'!$A$2:$A3446, MATCH(B1184,'Room Info'!$C$2:$C3446, 0)),if(G1184='Room Info'!$D$1, INDEX('Room Info'!$A$2:$A3446, MATCH(B1184,'Room Info'!$D$2:$D3446, 0)),if(G1184='Room Info'!$E$1, INDEX('Room Info'!$A$2:$A3446, MATCH(B1184,'Room Info'!$E$2:$E3446, 0)),if(G1184='Room Info'!$F$1, INDEX('Room Info'!$A$2:$A3446, MATCH(B1184,'Room Info'!$F$2:$F3446, 0)),if(G1184='Room Info'!$H$1, INDEX('Room Info'!$A$2:$A3446, MATCH(B1184,'Room Info'!$H$2:$H3446, 0)),if(G1184='Room Info'!$G$1, INDEX('Room Info'!$A$2:$A3446, MATCH(B1184,'Room Info'!$G$2:$G3446, 0)))))))))</f>
        <v>0</v>
      </c>
      <c r="B1184" s="50" t="s">
        <v>212</v>
      </c>
      <c r="C1184" s="82">
        <v>44835.0</v>
      </c>
      <c r="D1184" s="82">
        <v>44865.0</v>
      </c>
      <c r="E1184" s="52">
        <v>44835.0</v>
      </c>
      <c r="F1184" s="53" t="s">
        <v>12</v>
      </c>
      <c r="G1184" s="50" t="s">
        <v>142</v>
      </c>
      <c r="H1184" s="96" t="s">
        <v>61</v>
      </c>
      <c r="I1184" s="54" t="s">
        <v>7</v>
      </c>
      <c r="J1184" s="79">
        <v>20.0</v>
      </c>
      <c r="K1184" s="80">
        <v>2314.0</v>
      </c>
      <c r="L1184" s="77">
        <v>121.0</v>
      </c>
      <c r="M1184" s="81">
        <v>1620.0</v>
      </c>
      <c r="N1184" s="33">
        <f t="shared" si="155"/>
        <v>46280</v>
      </c>
      <c r="O1184" s="50">
        <v>80990.0</v>
      </c>
      <c r="P1184" s="34">
        <f t="shared" si="14"/>
        <v>35</v>
      </c>
      <c r="Q1184" s="60"/>
      <c r="R1184" s="36">
        <f t="shared" si="156"/>
        <v>1620</v>
      </c>
      <c r="S1184" s="78"/>
      <c r="T1184" s="37">
        <f t="shared" si="157"/>
        <v>1741</v>
      </c>
      <c r="U1184" s="62">
        <v>1.0</v>
      </c>
      <c r="V1184" s="63"/>
      <c r="W1184" s="63"/>
      <c r="X1184" s="83">
        <v>0.23</v>
      </c>
      <c r="Y1184" s="35" t="str">
        <f t="shared" si="163"/>
        <v>#N/A</v>
      </c>
      <c r="Z1184" s="40" t="str">
        <f t="shared" si="159"/>
        <v>#N/A</v>
      </c>
      <c r="AA1184" s="65">
        <v>400.0</v>
      </c>
      <c r="AB1184" s="41" t="str">
        <f t="shared" si="161"/>
        <v>#N/A</v>
      </c>
      <c r="AC1184" s="42" t="b">
        <v>1</v>
      </c>
      <c r="AD1184" s="42" t="s">
        <v>138</v>
      </c>
      <c r="AE1184" s="42" t="s">
        <v>138</v>
      </c>
      <c r="AF1184" s="42" t="str">
        <f t="array" ref="AF1184">INDEX('Deal Info'!D:D, MATCH(A1184,'Deal Info'!A:A, 0))</f>
        <v>#N/A</v>
      </c>
      <c r="AG1184" s="43" t="str">
        <f t="array" ref="AG1184">INDEX('Deal Info'!G:G, MATCH(A1184,'Deal Info'!A:A, 0))</f>
        <v>#N/A</v>
      </c>
    </row>
    <row r="1185" hidden="1">
      <c r="A1185" s="23" t="str">
        <f t="array" ref="A1185">if(G1185='Room Info'!$B$1, INDEX('Room Info'!$A$2:$A3446, MATCH(B1185,'Room Info'!$B$2:$B3446, 0)),if(G1185='Room Info'!$C$1, INDEX('Room Info'!$A$2:$A3446, MATCH(B1185,'Room Info'!$C$2:$C3446, 0)),if(G1185='Room Info'!$D$1, INDEX('Room Info'!$A$2:$A3446, MATCH(B1185,'Room Info'!$D$2:$D3446, 0)),if(G1185='Room Info'!$E$1, INDEX('Room Info'!$A$2:$A3446, MATCH(B1185,'Room Info'!$E$2:$E3446, 0)),if(G1185='Room Info'!$F$1, INDEX('Room Info'!$A$2:$A3446, MATCH(B1185,'Room Info'!$F$2:$F3446, 0)),if(G1185='Room Info'!$H$1, INDEX('Room Info'!$A$2:$A3446, MATCH(B1185,'Room Info'!$H$2:$H3446, 0)),if(G1185='Room Info'!$G$1, INDEX('Room Info'!$A$2:$A3446, MATCH(B1185,'Room Info'!$G$2:$G3446, 0)))))))))</f>
        <v>Rus29APX</v>
      </c>
      <c r="B1185" s="50" t="s">
        <v>212</v>
      </c>
      <c r="C1185" s="82">
        <v>44835.0</v>
      </c>
      <c r="D1185" s="82">
        <v>44865.0</v>
      </c>
      <c r="E1185" s="52">
        <v>44835.0</v>
      </c>
      <c r="F1185" s="53" t="s">
        <v>8</v>
      </c>
      <c r="G1185" s="50" t="s">
        <v>5</v>
      </c>
      <c r="H1185" s="96" t="s">
        <v>45</v>
      </c>
      <c r="I1185" s="54" t="s">
        <v>7</v>
      </c>
      <c r="J1185" s="79">
        <v>10.0</v>
      </c>
      <c r="K1185" s="80">
        <v>471.0</v>
      </c>
      <c r="L1185" s="77">
        <v>-460.0</v>
      </c>
      <c r="M1185" s="81">
        <v>40.0</v>
      </c>
      <c r="N1185" s="33">
        <f t="shared" si="155"/>
        <v>4710</v>
      </c>
      <c r="O1185" s="50">
        <v>13789.0</v>
      </c>
      <c r="P1185" s="34">
        <f t="shared" si="14"/>
        <v>29.27600849</v>
      </c>
      <c r="Q1185" s="60"/>
      <c r="R1185" s="36">
        <f t="shared" si="156"/>
        <v>40</v>
      </c>
      <c r="S1185" s="78">
        <v>-120.0</v>
      </c>
      <c r="T1185" s="37">
        <f t="shared" si="157"/>
        <v>-80</v>
      </c>
      <c r="U1185" s="62">
        <v>1.0</v>
      </c>
      <c r="V1185" s="63"/>
      <c r="W1185" s="63"/>
      <c r="X1185" s="83">
        <v>0.23</v>
      </c>
      <c r="Y1185" s="35">
        <f t="shared" si="163"/>
        <v>0</v>
      </c>
      <c r="Z1185" s="40">
        <f t="shared" si="159"/>
        <v>-62</v>
      </c>
      <c r="AA1185" s="65">
        <v>-18.0</v>
      </c>
      <c r="AB1185" s="41">
        <f t="shared" si="161"/>
        <v>0</v>
      </c>
      <c r="AC1185" s="42" t="b">
        <v>1</v>
      </c>
      <c r="AD1185" s="42" t="s">
        <v>138</v>
      </c>
      <c r="AE1185" s="42" t="s">
        <v>138</v>
      </c>
      <c r="AF1185" s="42" t="str">
        <f t="array" ref="AF1185">INDEX('Deal Info'!D:D, MATCH(A1185,'Deal Info'!A:A, 0))</f>
        <v>DoEV</v>
      </c>
      <c r="AG1185" s="43" t="str">
        <f t="array" ref="AG1185">INDEX('Deal Info'!G:G, MATCH(A1185,'Deal Info'!A:A, 0))</f>
        <v>None</v>
      </c>
    </row>
    <row r="1186" hidden="1">
      <c r="A1186" s="23" t="str">
        <f t="array" ref="A1186">if(G1186='Room Info'!$B$1, INDEX('Room Info'!$A$2:$A3446, MATCH(B1186,'Room Info'!$B$2:$B3446, 0)),if(G1186='Room Info'!$C$1, INDEX('Room Info'!$A$2:$A3446, MATCH(B1186,'Room Info'!$C$2:$C3446, 0)),if(G1186='Room Info'!$D$1, INDEX('Room Info'!$A$2:$A3446, MATCH(B1186,'Room Info'!$D$2:$D3446, 0)),if(G1186='Room Info'!$E$1, INDEX('Room Info'!$A$2:$A3446, MATCH(B1186,'Room Info'!$E$2:$E3446, 0)),if(G1186='Room Info'!$F$1, INDEX('Room Info'!$A$2:$A3446, MATCH(B1186,'Room Info'!$F$2:$F3446, 0)),if(G1186='Room Info'!$H$1, INDEX('Room Info'!$A$2:$A3446, MATCH(B1186,'Room Info'!$H$2:$H3446, 0)),if(G1186='Room Info'!$G$1, INDEX('Room Info'!$A$2:$A3446, MATCH(B1186,'Room Info'!$G$2:$G3446, 0)))))))))</f>
        <v>Rus29APX</v>
      </c>
      <c r="B1186" s="50" t="s">
        <v>212</v>
      </c>
      <c r="C1186" s="51">
        <v>44835.0</v>
      </c>
      <c r="D1186" s="51">
        <v>44865.0</v>
      </c>
      <c r="E1186" s="52">
        <v>44835.0</v>
      </c>
      <c r="F1186" s="50" t="s">
        <v>8</v>
      </c>
      <c r="G1186" s="59" t="s">
        <v>5</v>
      </c>
      <c r="H1186" s="54" t="s">
        <v>62</v>
      </c>
      <c r="I1186" s="54" t="s">
        <v>7</v>
      </c>
      <c r="J1186" s="55">
        <v>25.0</v>
      </c>
      <c r="K1186" s="56">
        <v>475.0</v>
      </c>
      <c r="L1186" s="57">
        <v>525.0</v>
      </c>
      <c r="M1186" s="58">
        <v>80.0</v>
      </c>
      <c r="N1186" s="33">
        <f t="shared" si="155"/>
        <v>11875</v>
      </c>
      <c r="O1186" s="59">
        <v>30528.0</v>
      </c>
      <c r="P1186" s="34">
        <f t="shared" si="14"/>
        <v>64.26947368</v>
      </c>
      <c r="Q1186" s="60"/>
      <c r="R1186" s="36">
        <f t="shared" si="156"/>
        <v>80</v>
      </c>
      <c r="S1186" s="61">
        <v>588.0</v>
      </c>
      <c r="T1186" s="37">
        <f t="shared" si="157"/>
        <v>668</v>
      </c>
      <c r="U1186" s="62">
        <v>1.0</v>
      </c>
      <c r="V1186" s="63"/>
      <c r="W1186" s="63"/>
      <c r="X1186" s="83">
        <v>0.23</v>
      </c>
      <c r="Y1186" s="35">
        <f t="shared" si="163"/>
        <v>0</v>
      </c>
      <c r="Z1186" s="40">
        <f t="shared" si="159"/>
        <v>514</v>
      </c>
      <c r="AA1186" s="65">
        <v>154.0</v>
      </c>
      <c r="AB1186" s="41">
        <f t="shared" si="161"/>
        <v>0</v>
      </c>
      <c r="AC1186" s="42" t="b">
        <v>1</v>
      </c>
      <c r="AD1186" s="42" t="s">
        <v>138</v>
      </c>
      <c r="AE1186" s="42" t="s">
        <v>138</v>
      </c>
      <c r="AF1186" s="42" t="str">
        <f t="array" ref="AF1186">INDEX('Deal Info'!D:D, MATCH(A1186,'Deal Info'!A:A, 0))</f>
        <v>DoEV</v>
      </c>
      <c r="AG1186" s="43" t="str">
        <f t="array" ref="AG1186">INDEX('Deal Info'!G:G, MATCH(A1186,'Deal Info'!A:A, 0))</f>
        <v>None</v>
      </c>
    </row>
    <row r="1187" hidden="1">
      <c r="A1187" s="23" t="str">
        <f t="array" ref="A1187">if(G1187='Room Info'!$B$1, INDEX('Room Info'!$A$2:$A3446, MATCH(B1187,'Room Info'!$B$2:$B3446, 0)),if(G1187='Room Info'!$C$1, INDEX('Room Info'!$A$2:$A3446, MATCH(B1187,'Room Info'!$C$2:$C3446, 0)),if(G1187='Room Info'!$D$1, INDEX('Room Info'!$A$2:$A3446, MATCH(B1187,'Room Info'!$D$2:$D3446, 0)),if(G1187='Room Info'!$E$1, INDEX('Room Info'!$A$2:$A3446, MATCH(B1187,'Room Info'!$E$2:$E3446, 0)),if(G1187='Room Info'!$F$1, INDEX('Room Info'!$A$2:$A3446, MATCH(B1187,'Room Info'!$F$2:$F3446, 0)),if(G1187='Room Info'!$H$1, INDEX('Room Info'!$A$2:$A3446, MATCH(B1187,'Room Info'!$H$2:$H3446, 0)),if(G1187='Room Info'!$G$1, INDEX('Room Info'!$A$2:$A3446, MATCH(B1187,'Room Info'!$G$2:$G3446, 0)))))))))</f>
        <v>Rus29APX</v>
      </c>
      <c r="B1187" s="50" t="s">
        <v>212</v>
      </c>
      <c r="C1187" s="51">
        <v>44835.0</v>
      </c>
      <c r="D1187" s="51">
        <v>44865.0</v>
      </c>
      <c r="E1187" s="52">
        <v>44835.0</v>
      </c>
      <c r="F1187" s="50" t="s">
        <v>12</v>
      </c>
      <c r="G1187" s="59" t="s">
        <v>5</v>
      </c>
      <c r="H1187" s="54" t="s">
        <v>6</v>
      </c>
      <c r="I1187" s="54" t="s">
        <v>7</v>
      </c>
      <c r="J1187" s="55">
        <v>0.25</v>
      </c>
      <c r="K1187" s="56">
        <v>2.0</v>
      </c>
      <c r="L1187" s="57">
        <v>1.0</v>
      </c>
      <c r="M1187" s="67"/>
      <c r="N1187" s="33">
        <f t="shared" si="155"/>
        <v>0.5</v>
      </c>
      <c r="O1187" s="70"/>
      <c r="P1187" s="34">
        <f t="shared" si="14"/>
        <v>0</v>
      </c>
      <c r="Q1187" s="60"/>
      <c r="R1187" s="36">
        <f t="shared" si="156"/>
        <v>0</v>
      </c>
      <c r="S1187" s="71"/>
      <c r="T1187" s="37">
        <f t="shared" si="157"/>
        <v>1</v>
      </c>
      <c r="U1187" s="62">
        <v>1.0</v>
      </c>
      <c r="V1187" s="63"/>
      <c r="W1187" s="63"/>
      <c r="X1187" s="83">
        <v>0.23</v>
      </c>
      <c r="Y1187" s="35">
        <f t="shared" si="163"/>
        <v>0</v>
      </c>
      <c r="Z1187" s="40">
        <f t="shared" si="159"/>
        <v>1</v>
      </c>
      <c r="AA1187" s="65">
        <v>0.0</v>
      </c>
      <c r="AB1187" s="41">
        <f t="shared" si="161"/>
        <v>0</v>
      </c>
      <c r="AC1187" s="42" t="b">
        <v>1</v>
      </c>
      <c r="AD1187" s="42" t="s">
        <v>138</v>
      </c>
      <c r="AE1187" s="42" t="s">
        <v>138</v>
      </c>
      <c r="AF1187" s="42" t="str">
        <f t="array" ref="AF1187">INDEX('Deal Info'!D:D, MATCH(A1187,'Deal Info'!A:A, 0))</f>
        <v>DoEV</v>
      </c>
      <c r="AG1187" s="43" t="str">
        <f t="array" ref="AG1187">INDEX('Deal Info'!G:G, MATCH(A1187,'Deal Info'!A:A, 0))</f>
        <v>None</v>
      </c>
    </row>
    <row r="1188" hidden="1">
      <c r="A1188" s="23" t="str">
        <f t="array" ref="A1188">if(G1188='Room Info'!$B$1, INDEX('Room Info'!$A$2:$A3446, MATCH(B1188,'Room Info'!$B$2:$B3446, 0)),if(G1188='Room Info'!$C$1, INDEX('Room Info'!$A$2:$A3446, MATCH(B1188,'Room Info'!$C$2:$C3446, 0)),if(G1188='Room Info'!$D$1, INDEX('Room Info'!$A$2:$A3446, MATCH(B1188,'Room Info'!$D$2:$D3446, 0)),if(G1188='Room Info'!$E$1, INDEX('Room Info'!$A$2:$A3446, MATCH(B1188,'Room Info'!$E$2:$E3446, 0)),if(G1188='Room Info'!$F$1, INDEX('Room Info'!$A$2:$A3446, MATCH(B1188,'Room Info'!$F$2:$F3446, 0)),if(G1188='Room Info'!$H$1, INDEX('Room Info'!$A$2:$A3446, MATCH(B1188,'Room Info'!$H$2:$H3446, 0)),if(G1188='Room Info'!$G$1, INDEX('Room Info'!$A$2:$A3446, MATCH(B1188,'Room Info'!$G$2:$G3446, 0)))))))))</f>
        <v>Rus29APX</v>
      </c>
      <c r="B1188" s="59" t="s">
        <v>212</v>
      </c>
      <c r="C1188" s="104">
        <v>44835.0</v>
      </c>
      <c r="D1188" s="51">
        <v>44865.0</v>
      </c>
      <c r="E1188" s="52">
        <v>44835.0</v>
      </c>
      <c r="F1188" s="53" t="s">
        <v>12</v>
      </c>
      <c r="G1188" s="59" t="s">
        <v>5</v>
      </c>
      <c r="H1188" s="54" t="s">
        <v>35</v>
      </c>
      <c r="I1188" s="54" t="s">
        <v>7</v>
      </c>
      <c r="J1188" s="55">
        <v>5.0</v>
      </c>
      <c r="K1188" s="56">
        <v>4.0</v>
      </c>
      <c r="L1188" s="57">
        <v>-10.0</v>
      </c>
      <c r="M1188" s="67"/>
      <c r="N1188" s="33">
        <f t="shared" si="155"/>
        <v>20</v>
      </c>
      <c r="O1188" s="70"/>
      <c r="P1188" s="34">
        <f t="shared" si="14"/>
        <v>0</v>
      </c>
      <c r="Q1188" s="60"/>
      <c r="R1188" s="36">
        <f t="shared" si="156"/>
        <v>0</v>
      </c>
      <c r="S1188" s="71"/>
      <c r="T1188" s="37">
        <f t="shared" si="157"/>
        <v>-10</v>
      </c>
      <c r="U1188" s="62">
        <v>1.0</v>
      </c>
      <c r="V1188" s="63"/>
      <c r="W1188" s="63"/>
      <c r="X1188" s="83">
        <v>0.23</v>
      </c>
      <c r="Y1188" s="35">
        <f t="shared" si="163"/>
        <v>0</v>
      </c>
      <c r="Z1188" s="40">
        <f t="shared" si="159"/>
        <v>-8</v>
      </c>
      <c r="AA1188" s="65">
        <v>-2.0</v>
      </c>
      <c r="AB1188" s="41">
        <f t="shared" si="161"/>
        <v>0</v>
      </c>
      <c r="AC1188" s="42" t="b">
        <v>1</v>
      </c>
      <c r="AD1188" s="42" t="s">
        <v>138</v>
      </c>
      <c r="AE1188" s="42" t="s">
        <v>138</v>
      </c>
      <c r="AF1188" s="42" t="str">
        <f t="array" ref="AF1188">INDEX('Deal Info'!D:D, MATCH(A1188,'Deal Info'!A:A, 0))</f>
        <v>DoEV</v>
      </c>
      <c r="AG1188" s="43" t="str">
        <f t="array" ref="AG1188">INDEX('Deal Info'!G:G, MATCH(A1188,'Deal Info'!A:A, 0))</f>
        <v>None</v>
      </c>
    </row>
    <row r="1189" hidden="1">
      <c r="A1189" s="23" t="b">
        <f t="array" ref="A1189">if(G1189='Room Info'!$B$1, INDEX('Room Info'!$A$2:$A3446, MATCH(B1189,'Room Info'!$B$2:$B3446, 0)),if(G1189='Room Info'!$C$1, INDEX('Room Info'!$A$2:$A3446, MATCH(B1189,'Room Info'!$C$2:$C3446, 0)),if(G1189='Room Info'!$D$1, INDEX('Room Info'!$A$2:$A3446, MATCH(B1189,'Room Info'!$D$2:$D3446, 0)),if(G1189='Room Info'!$E$1, INDEX('Room Info'!$A$2:$A3446, MATCH(B1189,'Room Info'!$E$2:$E3446, 0)),if(G1189='Room Info'!$F$1, INDEX('Room Info'!$A$2:$A3446, MATCH(B1189,'Room Info'!$F$2:$F3446, 0)),if(G1189='Room Info'!$H$1, INDEX('Room Info'!$A$2:$A3446, MATCH(B1189,'Room Info'!$H$2:$H3446, 0)),if(G1189='Room Info'!$G$1, INDEX('Room Info'!$A$2:$A3446, MATCH(B1189,'Room Info'!$G$2:$G3446, 0)))))))))</f>
        <v>0</v>
      </c>
      <c r="B1189" s="59" t="s">
        <v>212</v>
      </c>
      <c r="C1189" s="104">
        <v>44866.0</v>
      </c>
      <c r="D1189" s="51">
        <v>44895.0</v>
      </c>
      <c r="E1189" s="52">
        <v>44866.0</v>
      </c>
      <c r="F1189" s="53" t="s">
        <v>12</v>
      </c>
      <c r="G1189" s="59" t="s">
        <v>142</v>
      </c>
      <c r="H1189" s="54" t="s">
        <v>61</v>
      </c>
      <c r="I1189" s="54" t="s">
        <v>7</v>
      </c>
      <c r="J1189" s="55">
        <v>20.0</v>
      </c>
      <c r="K1189" s="56">
        <v>714.0</v>
      </c>
      <c r="L1189" s="57">
        <v>2052.32</v>
      </c>
      <c r="M1189" s="58">
        <v>500.0</v>
      </c>
      <c r="N1189" s="33">
        <f t="shared" si="155"/>
        <v>14280</v>
      </c>
      <c r="O1189" s="70"/>
      <c r="P1189" s="34">
        <f t="shared" si="14"/>
        <v>0</v>
      </c>
      <c r="Q1189" s="60"/>
      <c r="R1189" s="36">
        <f t="shared" si="156"/>
        <v>500</v>
      </c>
      <c r="S1189" s="71"/>
      <c r="T1189" s="37">
        <f t="shared" si="157"/>
        <v>2552.32</v>
      </c>
      <c r="U1189" s="62">
        <v>1.0</v>
      </c>
      <c r="V1189" s="63"/>
      <c r="W1189" s="63"/>
      <c r="X1189" s="83">
        <v>0.17</v>
      </c>
      <c r="Y1189" s="35" t="str">
        <f t="shared" si="163"/>
        <v>#N/A</v>
      </c>
      <c r="Z1189" s="40" t="str">
        <f t="shared" si="159"/>
        <v>#N/A</v>
      </c>
      <c r="AA1189" s="65">
        <v>434.0</v>
      </c>
      <c r="AB1189" s="41" t="str">
        <f t="shared" si="161"/>
        <v>#N/A</v>
      </c>
      <c r="AC1189" s="42" t="b">
        <v>1</v>
      </c>
      <c r="AD1189" s="42" t="s">
        <v>138</v>
      </c>
      <c r="AE1189" s="42" t="s">
        <v>138</v>
      </c>
      <c r="AF1189" s="42" t="str">
        <f t="array" ref="AF1189">INDEX('Deal Info'!D:D, MATCH(A1189,'Deal Info'!A:A, 0))</f>
        <v>#N/A</v>
      </c>
      <c r="AG1189" s="43" t="str">
        <f t="array" ref="AG1189">INDEX('Deal Info'!G:G, MATCH(A1189,'Deal Info'!A:A, 0))</f>
        <v>#N/A</v>
      </c>
    </row>
    <row r="1190" hidden="1">
      <c r="A1190" s="23" t="b">
        <f t="array" ref="A1190">if(G1190='Room Info'!$B$1, INDEX('Room Info'!$A$2:$A3446, MATCH(B1190,'Room Info'!$B$2:$B3446, 0)),if(G1190='Room Info'!$C$1, INDEX('Room Info'!$A$2:$A3446, MATCH(B1190,'Room Info'!$C$2:$C3446, 0)),if(G1190='Room Info'!$D$1, INDEX('Room Info'!$A$2:$A3446, MATCH(B1190,'Room Info'!$D$2:$D3446, 0)),if(G1190='Room Info'!$E$1, INDEX('Room Info'!$A$2:$A3446, MATCH(B1190,'Room Info'!$E$2:$E3446, 0)),if(G1190='Room Info'!$F$1, INDEX('Room Info'!$A$2:$A3446, MATCH(B1190,'Room Info'!$F$2:$F3446, 0)),if(G1190='Room Info'!$H$1, INDEX('Room Info'!$A$2:$A3446, MATCH(B1190,'Room Info'!$H$2:$H3446, 0)),if(G1190='Room Info'!$G$1, INDEX('Room Info'!$A$2:$A3446, MATCH(B1190,'Room Info'!$G$2:$G3446, 0)))))))))</f>
        <v>0</v>
      </c>
      <c r="B1190" s="59" t="s">
        <v>212</v>
      </c>
      <c r="C1190" s="104">
        <v>44866.0</v>
      </c>
      <c r="D1190" s="51">
        <v>44895.0</v>
      </c>
      <c r="E1190" s="52">
        <v>44866.0</v>
      </c>
      <c r="F1190" s="53" t="s">
        <v>12</v>
      </c>
      <c r="G1190" s="59" t="s">
        <v>142</v>
      </c>
      <c r="H1190" s="54" t="s">
        <v>50</v>
      </c>
      <c r="I1190" s="54" t="s">
        <v>7</v>
      </c>
      <c r="J1190" s="55">
        <v>10.0</v>
      </c>
      <c r="K1190" s="56">
        <v>13.0</v>
      </c>
      <c r="L1190" s="57">
        <v>18.68</v>
      </c>
      <c r="M1190" s="58">
        <v>5.0</v>
      </c>
      <c r="N1190" s="33">
        <f t="shared" si="155"/>
        <v>130</v>
      </c>
      <c r="O1190" s="70"/>
      <c r="P1190" s="34">
        <f t="shared" si="14"/>
        <v>0</v>
      </c>
      <c r="Q1190" s="60"/>
      <c r="R1190" s="36">
        <f t="shared" si="156"/>
        <v>5</v>
      </c>
      <c r="S1190" s="71"/>
      <c r="T1190" s="37">
        <f t="shared" si="157"/>
        <v>23.68</v>
      </c>
      <c r="U1190" s="62">
        <v>1.0</v>
      </c>
      <c r="V1190" s="63"/>
      <c r="W1190" s="63"/>
      <c r="X1190" s="83">
        <v>0.17</v>
      </c>
      <c r="Y1190" s="35" t="str">
        <f t="shared" si="163"/>
        <v>#N/A</v>
      </c>
      <c r="Z1190" s="40" t="str">
        <f t="shared" si="159"/>
        <v>#N/A</v>
      </c>
      <c r="AA1190" s="65">
        <v>4.0</v>
      </c>
      <c r="AB1190" s="41" t="str">
        <f t="shared" si="161"/>
        <v>#N/A</v>
      </c>
      <c r="AC1190" s="42" t="b">
        <v>1</v>
      </c>
      <c r="AD1190" s="42" t="s">
        <v>138</v>
      </c>
      <c r="AE1190" s="42" t="s">
        <v>138</v>
      </c>
      <c r="AF1190" s="42" t="str">
        <f t="array" ref="AF1190">INDEX('Deal Info'!D:D, MATCH(A1190,'Deal Info'!A:A, 0))</f>
        <v>#N/A</v>
      </c>
      <c r="AG1190" s="43" t="str">
        <f t="array" ref="AG1190">INDEX('Deal Info'!G:G, MATCH(A1190,'Deal Info'!A:A, 0))</f>
        <v>#N/A</v>
      </c>
    </row>
    <row r="1191" hidden="1">
      <c r="A1191" s="23" t="str">
        <f t="array" ref="A1191">if(G1191='Room Info'!$B$1, INDEX('Room Info'!$A$2:$A3446, MATCH(B1191,'Room Info'!$B$2:$B3446, 0)),if(G1191='Room Info'!$C$1, INDEX('Room Info'!$A$2:$A3446, MATCH(B1191,'Room Info'!$C$2:$C3446, 0)),if(G1191='Room Info'!$D$1, INDEX('Room Info'!$A$2:$A3446, MATCH(B1191,'Room Info'!$D$2:$D3446, 0)),if(G1191='Room Info'!$E$1, INDEX('Room Info'!$A$2:$A3446, MATCH(B1191,'Room Info'!$E$2:$E3446, 0)),if(G1191='Room Info'!$F$1, INDEX('Room Info'!$A$2:$A3446, MATCH(B1191,'Room Info'!$F$2:$F3446, 0)),if(G1191='Room Info'!$H$1, INDEX('Room Info'!$A$2:$A3446, MATCH(B1191,'Room Info'!$H$2:$H3446, 0)),if(G1191='Room Info'!$G$1, INDEX('Room Info'!$A$2:$A3446, MATCH(B1191,'Room Info'!$G$2:$G3446, 0)))))))))</f>
        <v>Rus29APX</v>
      </c>
      <c r="B1191" s="50" t="s">
        <v>212</v>
      </c>
      <c r="C1191" s="51">
        <v>44866.0</v>
      </c>
      <c r="D1191" s="51">
        <v>44895.0</v>
      </c>
      <c r="E1191" s="52">
        <v>44866.0</v>
      </c>
      <c r="F1191" s="53" t="s">
        <v>8</v>
      </c>
      <c r="G1191" s="59" t="s">
        <v>5</v>
      </c>
      <c r="H1191" s="54" t="s">
        <v>45</v>
      </c>
      <c r="I1191" s="54" t="s">
        <v>7</v>
      </c>
      <c r="J1191" s="55">
        <v>10.0</v>
      </c>
      <c r="K1191" s="56">
        <v>186.0</v>
      </c>
      <c r="L1191" s="57">
        <v>1350.0</v>
      </c>
      <c r="M1191" s="58">
        <v>112.0</v>
      </c>
      <c r="N1191" s="33">
        <f t="shared" si="155"/>
        <v>1860</v>
      </c>
      <c r="O1191" s="59">
        <v>10393.0</v>
      </c>
      <c r="P1191" s="34">
        <f t="shared" si="14"/>
        <v>55.87634409</v>
      </c>
      <c r="Q1191" s="60"/>
      <c r="R1191" s="36">
        <f t="shared" si="156"/>
        <v>112</v>
      </c>
      <c r="S1191" s="61">
        <v>47.0</v>
      </c>
      <c r="T1191" s="37">
        <f t="shared" si="157"/>
        <v>159</v>
      </c>
      <c r="U1191" s="62">
        <v>1.0</v>
      </c>
      <c r="V1191" s="63"/>
      <c r="W1191" s="63"/>
      <c r="X1191" s="83">
        <v>0.17</v>
      </c>
      <c r="Y1191" s="35">
        <f t="shared" si="163"/>
        <v>0</v>
      </c>
      <c r="Z1191" s="40">
        <f t="shared" si="159"/>
        <v>132</v>
      </c>
      <c r="AA1191" s="65">
        <v>27.0</v>
      </c>
      <c r="AB1191" s="41">
        <f t="shared" si="161"/>
        <v>0</v>
      </c>
      <c r="AC1191" s="42" t="b">
        <v>1</v>
      </c>
      <c r="AD1191" s="42" t="s">
        <v>138</v>
      </c>
      <c r="AE1191" s="42" t="s">
        <v>138</v>
      </c>
      <c r="AF1191" s="42" t="str">
        <f t="array" ref="AF1191">INDEX('Deal Info'!D:D, MATCH(A1191,'Deal Info'!A:A, 0))</f>
        <v>DoEV</v>
      </c>
      <c r="AG1191" s="43" t="str">
        <f t="array" ref="AG1191">INDEX('Deal Info'!G:G, MATCH(A1191,'Deal Info'!A:A, 0))</f>
        <v>None</v>
      </c>
    </row>
    <row r="1192" hidden="1">
      <c r="A1192" s="23" t="str">
        <f t="array" ref="A1192">if(G1192='Room Info'!$B$1, INDEX('Room Info'!$A$2:$A3446, MATCH(B1192,'Room Info'!$B$2:$B3446, 0)),if(G1192='Room Info'!$C$1, INDEX('Room Info'!$A$2:$A3446, MATCH(B1192,'Room Info'!$C$2:$C3446, 0)),if(G1192='Room Info'!$D$1, INDEX('Room Info'!$A$2:$A3446, MATCH(B1192,'Room Info'!$D$2:$D3446, 0)),if(G1192='Room Info'!$E$1, INDEX('Room Info'!$A$2:$A3446, MATCH(B1192,'Room Info'!$E$2:$E3446, 0)),if(G1192='Room Info'!$F$1, INDEX('Room Info'!$A$2:$A3446, MATCH(B1192,'Room Info'!$F$2:$F3446, 0)),if(G1192='Room Info'!$H$1, INDEX('Room Info'!$A$2:$A3446, MATCH(B1192,'Room Info'!$H$2:$H3446, 0)),if(G1192='Room Info'!$G$1, INDEX('Room Info'!$A$2:$A3446, MATCH(B1192,'Room Info'!$G$2:$G3446, 0)))))))))</f>
        <v>Rus29APX</v>
      </c>
      <c r="B1192" s="50" t="s">
        <v>212</v>
      </c>
      <c r="C1192" s="82">
        <v>44866.0</v>
      </c>
      <c r="D1192" s="51">
        <v>44895.0</v>
      </c>
      <c r="E1192" s="52">
        <v>44866.0</v>
      </c>
      <c r="F1192" s="53" t="s">
        <v>8</v>
      </c>
      <c r="G1192" s="50" t="s">
        <v>5</v>
      </c>
      <c r="H1192" s="54" t="s">
        <v>62</v>
      </c>
      <c r="I1192" s="54" t="s">
        <v>7</v>
      </c>
      <c r="J1192" s="55">
        <v>25.0</v>
      </c>
      <c r="K1192" s="56">
        <v>691.0</v>
      </c>
      <c r="L1192" s="57">
        <v>310.0</v>
      </c>
      <c r="M1192" s="58">
        <v>891.0</v>
      </c>
      <c r="N1192" s="33">
        <f t="shared" si="155"/>
        <v>17275</v>
      </c>
      <c r="O1192" s="59">
        <v>49705.0</v>
      </c>
      <c r="P1192" s="34">
        <f t="shared" si="14"/>
        <v>71.93198263</v>
      </c>
      <c r="Q1192" s="60"/>
      <c r="R1192" s="36">
        <f t="shared" si="156"/>
        <v>891</v>
      </c>
      <c r="S1192" s="61">
        <v>1140.0</v>
      </c>
      <c r="T1192" s="37">
        <f t="shared" si="157"/>
        <v>2031</v>
      </c>
      <c r="U1192" s="62">
        <v>1.0</v>
      </c>
      <c r="V1192" s="63"/>
      <c r="W1192" s="63"/>
      <c r="X1192" s="83">
        <v>0.17</v>
      </c>
      <c r="Y1192" s="35">
        <f t="shared" si="163"/>
        <v>0</v>
      </c>
      <c r="Z1192" s="40">
        <f t="shared" si="159"/>
        <v>1686</v>
      </c>
      <c r="AA1192" s="65">
        <v>345.0</v>
      </c>
      <c r="AB1192" s="41">
        <f t="shared" si="161"/>
        <v>0</v>
      </c>
      <c r="AC1192" s="42" t="b">
        <v>1</v>
      </c>
      <c r="AD1192" s="42" t="s">
        <v>138</v>
      </c>
      <c r="AE1192" s="42" t="s">
        <v>138</v>
      </c>
      <c r="AF1192" s="42" t="str">
        <f t="array" ref="AF1192">INDEX('Deal Info'!D:D, MATCH(A1192,'Deal Info'!A:A, 0))</f>
        <v>DoEV</v>
      </c>
      <c r="AG1192" s="43" t="str">
        <f t="array" ref="AG1192">INDEX('Deal Info'!G:G, MATCH(A1192,'Deal Info'!A:A, 0))</f>
        <v>None</v>
      </c>
    </row>
    <row r="1193" hidden="1">
      <c r="A1193" s="23" t="str">
        <f t="array" ref="A1193">if(G1193='Room Info'!$B$1, INDEX('Room Info'!$A$2:$A3446, MATCH(B1193,'Room Info'!$B$2:$B3446, 0)),if(G1193='Room Info'!$C$1, INDEX('Room Info'!$A$2:$A3446, MATCH(B1193,'Room Info'!$C$2:$C3446, 0)),if(G1193='Room Info'!$D$1, INDEX('Room Info'!$A$2:$A3446, MATCH(B1193,'Room Info'!$D$2:$D3446, 0)),if(G1193='Room Info'!$E$1, INDEX('Room Info'!$A$2:$A3446, MATCH(B1193,'Room Info'!$E$2:$E3446, 0)),if(G1193='Room Info'!$F$1, INDEX('Room Info'!$A$2:$A3446, MATCH(B1193,'Room Info'!$F$2:$F3446, 0)),if(G1193='Room Info'!$H$1, INDEX('Room Info'!$A$2:$A3446, MATCH(B1193,'Room Info'!$H$2:$H3446, 0)),if(G1193='Room Info'!$G$1, INDEX('Room Info'!$A$2:$A3446, MATCH(B1193,'Room Info'!$G$2:$G3446, 0)))))))))</f>
        <v>Rus29APX</v>
      </c>
      <c r="B1193" s="50" t="s">
        <v>212</v>
      </c>
      <c r="C1193" s="51">
        <v>44866.0</v>
      </c>
      <c r="D1193" s="51">
        <v>44895.0</v>
      </c>
      <c r="E1193" s="52">
        <v>44866.0</v>
      </c>
      <c r="F1193" s="53" t="s">
        <v>12</v>
      </c>
      <c r="G1193" s="50" t="s">
        <v>5</v>
      </c>
      <c r="H1193" s="54" t="s">
        <v>35</v>
      </c>
      <c r="I1193" s="54" t="s">
        <v>7</v>
      </c>
      <c r="J1193" s="55">
        <v>5.0</v>
      </c>
      <c r="K1193" s="56">
        <v>2.0</v>
      </c>
      <c r="L1193" s="57">
        <v>-10.0</v>
      </c>
      <c r="M1193" s="58">
        <v>1.0</v>
      </c>
      <c r="N1193" s="33">
        <f t="shared" si="155"/>
        <v>10</v>
      </c>
      <c r="O1193" s="59">
        <v>-424.0</v>
      </c>
      <c r="P1193" s="34">
        <f t="shared" si="14"/>
        <v>-212</v>
      </c>
      <c r="Q1193" s="60"/>
      <c r="R1193" s="36">
        <f t="shared" si="156"/>
        <v>1</v>
      </c>
      <c r="S1193" s="61"/>
      <c r="T1193" s="37">
        <f t="shared" si="157"/>
        <v>-9</v>
      </c>
      <c r="U1193" s="62">
        <v>1.0</v>
      </c>
      <c r="V1193" s="63"/>
      <c r="W1193" s="63"/>
      <c r="X1193" s="83">
        <v>0.17</v>
      </c>
      <c r="Y1193" s="35">
        <f t="shared" si="163"/>
        <v>0</v>
      </c>
      <c r="Z1193" s="40">
        <f t="shared" si="159"/>
        <v>-7</v>
      </c>
      <c r="AA1193" s="65">
        <v>-2.0</v>
      </c>
      <c r="AB1193" s="41">
        <f t="shared" si="161"/>
        <v>0</v>
      </c>
      <c r="AC1193" s="42" t="b">
        <v>1</v>
      </c>
      <c r="AD1193" s="42" t="s">
        <v>138</v>
      </c>
      <c r="AE1193" s="42" t="s">
        <v>138</v>
      </c>
      <c r="AF1193" s="42" t="str">
        <f t="array" ref="AF1193">INDEX('Deal Info'!D:D, MATCH(A1193,'Deal Info'!A:A, 0))</f>
        <v>DoEV</v>
      </c>
      <c r="AG1193" s="43" t="str">
        <f t="array" ref="AG1193">INDEX('Deal Info'!G:G, MATCH(A1193,'Deal Info'!A:A, 0))</f>
        <v>None</v>
      </c>
    </row>
    <row r="1194" hidden="1">
      <c r="A1194" s="23" t="str">
        <f t="array" ref="A1194">if(G1194='Room Info'!$B$1, INDEX('Room Info'!$A$2:$A3446, MATCH(B1194,'Room Info'!$B$2:$B3446, 0)),if(G1194='Room Info'!$C$1, INDEX('Room Info'!$A$2:$A3446, MATCH(B1194,'Room Info'!$C$2:$C3446, 0)),if(G1194='Room Info'!$D$1, INDEX('Room Info'!$A$2:$A3446, MATCH(B1194,'Room Info'!$D$2:$D3446, 0)),if(G1194='Room Info'!$E$1, INDEX('Room Info'!$A$2:$A3446, MATCH(B1194,'Room Info'!$E$2:$E3446, 0)),if(G1194='Room Info'!$F$1, INDEX('Room Info'!$A$2:$A3446, MATCH(B1194,'Room Info'!$F$2:$F3446, 0)),if(G1194='Room Info'!$H$1, INDEX('Room Info'!$A$2:$A3446, MATCH(B1194,'Room Info'!$H$2:$H3446, 0)),if(G1194='Room Info'!$G$1, INDEX('Room Info'!$A$2:$A3446, MATCH(B1194,'Room Info'!$G$2:$G3446, 0)))))))))</f>
        <v>Rus29APX</v>
      </c>
      <c r="B1194" s="50" t="s">
        <v>212</v>
      </c>
      <c r="C1194" s="51">
        <v>44866.0</v>
      </c>
      <c r="D1194" s="51">
        <v>44895.0</v>
      </c>
      <c r="E1194" s="52">
        <v>44866.0</v>
      </c>
      <c r="F1194" s="53" t="s">
        <v>12</v>
      </c>
      <c r="G1194" s="50" t="s">
        <v>5</v>
      </c>
      <c r="H1194" s="54" t="s">
        <v>63</v>
      </c>
      <c r="I1194" s="54" t="s">
        <v>11</v>
      </c>
      <c r="J1194" s="55">
        <v>25.0</v>
      </c>
      <c r="K1194" s="56">
        <v>1.0</v>
      </c>
      <c r="L1194" s="57">
        <v>-35.0</v>
      </c>
      <c r="M1194" s="58">
        <v>1.0</v>
      </c>
      <c r="N1194" s="33">
        <f t="shared" si="155"/>
        <v>25</v>
      </c>
      <c r="O1194" s="70"/>
      <c r="P1194" s="34">
        <f t="shared" si="14"/>
        <v>0</v>
      </c>
      <c r="Q1194" s="60"/>
      <c r="R1194" s="36">
        <f t="shared" si="156"/>
        <v>1</v>
      </c>
      <c r="S1194" s="71"/>
      <c r="T1194" s="37">
        <f t="shared" si="157"/>
        <v>-34</v>
      </c>
      <c r="U1194" s="62">
        <v>1.0</v>
      </c>
      <c r="V1194" s="63"/>
      <c r="W1194" s="63"/>
      <c r="X1194" s="83">
        <v>0.17</v>
      </c>
      <c r="Y1194" s="35">
        <f t="shared" si="163"/>
        <v>0</v>
      </c>
      <c r="Z1194" s="40">
        <f t="shared" si="159"/>
        <v>-28</v>
      </c>
      <c r="AA1194" s="65">
        <v>-6.0</v>
      </c>
      <c r="AB1194" s="41">
        <f t="shared" si="161"/>
        <v>0</v>
      </c>
      <c r="AC1194" s="42" t="b">
        <v>1</v>
      </c>
      <c r="AD1194" s="42" t="s">
        <v>138</v>
      </c>
      <c r="AE1194" s="42" t="s">
        <v>138</v>
      </c>
      <c r="AF1194" s="42" t="str">
        <f t="array" ref="AF1194">INDEX('Deal Info'!D:D, MATCH(A1194,'Deal Info'!A:A, 0))</f>
        <v>DoEV</v>
      </c>
      <c r="AG1194" s="43" t="str">
        <f t="array" ref="AG1194">INDEX('Deal Info'!G:G, MATCH(A1194,'Deal Info'!A:A, 0))</f>
        <v>None</v>
      </c>
    </row>
    <row r="1195" hidden="1">
      <c r="A1195" s="23" t="str">
        <f t="array" ref="A1195">if(G1195='Room Info'!$B$1, INDEX('Room Info'!$A$2:$A3446, MATCH(B1195,'Room Info'!$B$2:$B3446, 0)),if(G1195='Room Info'!$C$1, INDEX('Room Info'!$A$2:$A3446, MATCH(B1195,'Room Info'!$C$2:$C3446, 0)),if(G1195='Room Info'!$D$1, INDEX('Room Info'!$A$2:$A3446, MATCH(B1195,'Room Info'!$D$2:$D3446, 0)),if(G1195='Room Info'!$E$1, INDEX('Room Info'!$A$2:$A3446, MATCH(B1195,'Room Info'!$E$2:$E3446, 0)),if(G1195='Room Info'!$F$1, INDEX('Room Info'!$A$2:$A3446, MATCH(B1195,'Room Info'!$F$2:$F3446, 0)),if(G1195='Room Info'!$H$1, INDEX('Room Info'!$A$2:$A3446, MATCH(B1195,'Room Info'!$H$2:$H3446, 0)),if(G1195='Room Info'!$G$1, INDEX('Room Info'!$A$2:$A3446, MATCH(B1195,'Room Info'!$G$2:$G3446, 0)))))))))</f>
        <v>Rus29APX</v>
      </c>
      <c r="B1195" s="50" t="s">
        <v>212</v>
      </c>
      <c r="C1195" s="51">
        <v>44866.0</v>
      </c>
      <c r="D1195" s="51">
        <v>44895.0</v>
      </c>
      <c r="E1195" s="52">
        <v>44866.0</v>
      </c>
      <c r="F1195" s="53" t="s">
        <v>12</v>
      </c>
      <c r="G1195" s="50" t="s">
        <v>5</v>
      </c>
      <c r="H1195" s="54" t="s">
        <v>74</v>
      </c>
      <c r="I1195" s="54" t="s">
        <v>7</v>
      </c>
      <c r="J1195" s="55">
        <v>50.0</v>
      </c>
      <c r="K1195" s="56">
        <v>3.0</v>
      </c>
      <c r="L1195" s="57">
        <v>-150.0</v>
      </c>
      <c r="M1195" s="58">
        <v>8.0</v>
      </c>
      <c r="N1195" s="33">
        <f t="shared" si="155"/>
        <v>150</v>
      </c>
      <c r="O1195" s="59">
        <v>-103.0</v>
      </c>
      <c r="P1195" s="34">
        <f t="shared" si="14"/>
        <v>-34.33333333</v>
      </c>
      <c r="Q1195" s="60"/>
      <c r="R1195" s="36">
        <f t="shared" si="156"/>
        <v>8</v>
      </c>
      <c r="S1195" s="61"/>
      <c r="T1195" s="37">
        <f t="shared" si="157"/>
        <v>-142</v>
      </c>
      <c r="U1195" s="62">
        <v>1.0</v>
      </c>
      <c r="V1195" s="63"/>
      <c r="W1195" s="63"/>
      <c r="X1195" s="83">
        <v>0.17</v>
      </c>
      <c r="Y1195" s="35">
        <f t="shared" si="163"/>
        <v>0</v>
      </c>
      <c r="Z1195" s="40">
        <f t="shared" si="159"/>
        <v>-118</v>
      </c>
      <c r="AA1195" s="65">
        <v>-24.0</v>
      </c>
      <c r="AB1195" s="41">
        <f t="shared" si="161"/>
        <v>0</v>
      </c>
      <c r="AC1195" s="42" t="b">
        <v>1</v>
      </c>
      <c r="AD1195" s="42" t="s">
        <v>138</v>
      </c>
      <c r="AE1195" s="42" t="s">
        <v>138</v>
      </c>
      <c r="AF1195" s="42" t="str">
        <f t="array" ref="AF1195">INDEX('Deal Info'!D:D, MATCH(A1195,'Deal Info'!A:A, 0))</f>
        <v>DoEV</v>
      </c>
      <c r="AG1195" s="43" t="str">
        <f t="array" ref="AG1195">INDEX('Deal Info'!G:G, MATCH(A1195,'Deal Info'!A:A, 0))</f>
        <v>None</v>
      </c>
    </row>
    <row r="1196" hidden="1">
      <c r="A1196" s="23" t="str">
        <f t="array" ref="A1196">if(G1196='Room Info'!$B$1, INDEX('Room Info'!$A$2:$A3446, MATCH(B1196,'Room Info'!$B$2:$B3446, 0)),if(G1196='Room Info'!$C$1, INDEX('Room Info'!$A$2:$A3446, MATCH(B1196,'Room Info'!$C$2:$C3446, 0)),if(G1196='Room Info'!$D$1, INDEX('Room Info'!$A$2:$A3446, MATCH(B1196,'Room Info'!$D$2:$D3446, 0)),if(G1196='Room Info'!$E$1, INDEX('Room Info'!$A$2:$A3446, MATCH(B1196,'Room Info'!$E$2:$E3446, 0)),if(G1196='Room Info'!$F$1, INDEX('Room Info'!$A$2:$A3446, MATCH(B1196,'Room Info'!$F$2:$F3446, 0)),if(G1196='Room Info'!$H$1, INDEX('Room Info'!$A$2:$A3446, MATCH(B1196,'Room Info'!$H$2:$H3446, 0)),if(G1196='Room Info'!$G$1, INDEX('Room Info'!$A$2:$A3446, MATCH(B1196,'Room Info'!$G$2:$G3446, 0)))))))))</f>
        <v>Rus29APX</v>
      </c>
      <c r="B1196" s="50" t="s">
        <v>212</v>
      </c>
      <c r="C1196" s="51">
        <v>44896.0</v>
      </c>
      <c r="D1196" s="51">
        <v>44915.0</v>
      </c>
      <c r="E1196" s="52">
        <v>44896.0</v>
      </c>
      <c r="F1196" s="53" t="s">
        <v>8</v>
      </c>
      <c r="G1196" s="50" t="s">
        <v>5</v>
      </c>
      <c r="H1196" s="54" t="s">
        <v>62</v>
      </c>
      <c r="I1196" s="54" t="s">
        <v>7</v>
      </c>
      <c r="J1196" s="55">
        <v>25.0</v>
      </c>
      <c r="K1196" s="56">
        <v>1128.0</v>
      </c>
      <c r="L1196" s="57">
        <v>525.0</v>
      </c>
      <c r="M1196" s="58">
        <v>993.0</v>
      </c>
      <c r="N1196" s="33">
        <f t="shared" si="155"/>
        <v>28200</v>
      </c>
      <c r="O1196" s="59">
        <v>24999.0</v>
      </c>
      <c r="P1196" s="34">
        <f t="shared" si="14"/>
        <v>22.16223404</v>
      </c>
      <c r="Q1196" s="60"/>
      <c r="R1196" s="36">
        <f t="shared" si="156"/>
        <v>993</v>
      </c>
      <c r="S1196" s="61">
        <v>-670.0</v>
      </c>
      <c r="T1196" s="37">
        <f t="shared" si="157"/>
        <v>323</v>
      </c>
      <c r="U1196" s="62">
        <v>1.0</v>
      </c>
      <c r="V1196" s="63"/>
      <c r="W1196" s="63"/>
      <c r="X1196" s="83">
        <v>0.23</v>
      </c>
      <c r="Y1196" s="35">
        <f t="shared" si="163"/>
        <v>0</v>
      </c>
      <c r="Z1196" s="40">
        <f t="shared" si="159"/>
        <v>249</v>
      </c>
      <c r="AA1196" s="65">
        <v>74.0</v>
      </c>
      <c r="AB1196" s="41">
        <f t="shared" si="161"/>
        <v>0</v>
      </c>
      <c r="AC1196" s="42" t="b">
        <v>1</v>
      </c>
      <c r="AD1196" s="42" t="s">
        <v>138</v>
      </c>
      <c r="AE1196" s="42" t="s">
        <v>138</v>
      </c>
      <c r="AF1196" s="42" t="str">
        <f t="array" ref="AF1196">INDEX('Deal Info'!D:D, MATCH(A1196,'Deal Info'!A:A, 0))</f>
        <v>DoEV</v>
      </c>
      <c r="AG1196" s="43" t="str">
        <f t="array" ref="AG1196">INDEX('Deal Info'!G:G, MATCH(A1196,'Deal Info'!A:A, 0))</f>
        <v>None</v>
      </c>
    </row>
    <row r="1197" hidden="1">
      <c r="A1197" s="23" t="str">
        <f t="array" ref="A1197">if(G1197='Room Info'!$B$1, INDEX('Room Info'!$A$2:$A3446, MATCH(B1197,'Room Info'!$B$2:$B3446, 0)),if(G1197='Room Info'!$C$1, INDEX('Room Info'!$A$2:$A3446, MATCH(B1197,'Room Info'!$C$2:$C3446, 0)),if(G1197='Room Info'!$D$1, INDEX('Room Info'!$A$2:$A3446, MATCH(B1197,'Room Info'!$D$2:$D3446, 0)),if(G1197='Room Info'!$E$1, INDEX('Room Info'!$A$2:$A3446, MATCH(B1197,'Room Info'!$E$2:$E3446, 0)),if(G1197='Room Info'!$F$1, INDEX('Room Info'!$A$2:$A3446, MATCH(B1197,'Room Info'!$F$2:$F3446, 0)),if(G1197='Room Info'!$H$1, INDEX('Room Info'!$A$2:$A3446, MATCH(B1197,'Room Info'!$H$2:$H3446, 0)),if(G1197='Room Info'!$G$1, INDEX('Room Info'!$A$2:$A3446, MATCH(B1197,'Room Info'!$G$2:$G3446, 0)))))))))</f>
        <v>Rus29APX</v>
      </c>
      <c r="B1197" s="59" t="s">
        <v>212</v>
      </c>
      <c r="C1197" s="51">
        <v>44896.0</v>
      </c>
      <c r="D1197" s="51">
        <v>44915.0</v>
      </c>
      <c r="E1197" s="52">
        <v>44896.0</v>
      </c>
      <c r="F1197" s="50" t="s">
        <v>8</v>
      </c>
      <c r="G1197" s="59" t="s">
        <v>5</v>
      </c>
      <c r="H1197" s="54" t="s">
        <v>45</v>
      </c>
      <c r="I1197" s="54" t="s">
        <v>7</v>
      </c>
      <c r="J1197" s="79">
        <v>10.0</v>
      </c>
      <c r="K1197" s="80">
        <v>426.0</v>
      </c>
      <c r="L1197" s="77">
        <v>460.0</v>
      </c>
      <c r="M1197" s="58">
        <v>175.0</v>
      </c>
      <c r="N1197" s="33">
        <f t="shared" si="155"/>
        <v>4260</v>
      </c>
      <c r="O1197" s="50">
        <v>35351.0</v>
      </c>
      <c r="P1197" s="34">
        <f t="shared" si="14"/>
        <v>82.98356808</v>
      </c>
      <c r="Q1197" s="60"/>
      <c r="R1197" s="36">
        <f t="shared" si="156"/>
        <v>175</v>
      </c>
      <c r="S1197" s="78">
        <v>330.0</v>
      </c>
      <c r="T1197" s="37">
        <f t="shared" si="157"/>
        <v>505</v>
      </c>
      <c r="U1197" s="62">
        <v>1.0</v>
      </c>
      <c r="V1197" s="63"/>
      <c r="W1197" s="63"/>
      <c r="X1197" s="83">
        <v>0.23</v>
      </c>
      <c r="Y1197" s="35">
        <f t="shared" si="163"/>
        <v>0</v>
      </c>
      <c r="Z1197" s="40">
        <f t="shared" si="159"/>
        <v>389</v>
      </c>
      <c r="AA1197" s="65">
        <v>116.0</v>
      </c>
      <c r="AB1197" s="41">
        <f t="shared" si="161"/>
        <v>0</v>
      </c>
      <c r="AC1197" s="42" t="b">
        <v>1</v>
      </c>
      <c r="AD1197" s="42" t="s">
        <v>138</v>
      </c>
      <c r="AE1197" s="42" t="s">
        <v>138</v>
      </c>
      <c r="AF1197" s="42" t="str">
        <f t="array" ref="AF1197">INDEX('Deal Info'!D:D, MATCH(A1197,'Deal Info'!A:A, 0))</f>
        <v>DoEV</v>
      </c>
      <c r="AG1197" s="43" t="str">
        <f t="array" ref="AG1197">INDEX('Deal Info'!G:G, MATCH(A1197,'Deal Info'!A:A, 0))</f>
        <v>None</v>
      </c>
    </row>
    <row r="1198" hidden="1">
      <c r="A1198" s="23" t="str">
        <f t="array" ref="A1198">if(G1198='Room Info'!$B$1, INDEX('Room Info'!$A$2:$A3446, MATCH(B1198,'Room Info'!$B$2:$B3446, 0)),if(G1198='Room Info'!$C$1, INDEX('Room Info'!$A$2:$A3446, MATCH(B1198,'Room Info'!$C$2:$C3446, 0)),if(G1198='Room Info'!$D$1, INDEX('Room Info'!$A$2:$A3446, MATCH(B1198,'Room Info'!$D$2:$D3446, 0)),if(G1198='Room Info'!$E$1, INDEX('Room Info'!$A$2:$A3446, MATCH(B1198,'Room Info'!$E$2:$E3446, 0)),if(G1198='Room Info'!$F$1, INDEX('Room Info'!$A$2:$A3446, MATCH(B1198,'Room Info'!$F$2:$F3446, 0)),if(G1198='Room Info'!$H$1, INDEX('Room Info'!$A$2:$A3446, MATCH(B1198,'Room Info'!$H$2:$H3446, 0)),if(G1198='Room Info'!$G$1, INDEX('Room Info'!$A$2:$A3446, MATCH(B1198,'Room Info'!$G$2:$G3446, 0)))))))))</f>
        <v>Rus29APX</v>
      </c>
      <c r="B1198" s="59" t="s">
        <v>212</v>
      </c>
      <c r="C1198" s="51">
        <v>44896.0</v>
      </c>
      <c r="D1198" s="51">
        <v>44915.0</v>
      </c>
      <c r="E1198" s="52">
        <v>44896.0</v>
      </c>
      <c r="F1198" s="50" t="s">
        <v>12</v>
      </c>
      <c r="G1198" s="59" t="s">
        <v>5</v>
      </c>
      <c r="H1198" s="54" t="s">
        <v>74</v>
      </c>
      <c r="I1198" s="54" t="s">
        <v>7</v>
      </c>
      <c r="J1198" s="79">
        <v>50.0</v>
      </c>
      <c r="K1198" s="80">
        <v>3.0</v>
      </c>
      <c r="L1198" s="77">
        <v>-50.0</v>
      </c>
      <c r="M1198" s="58">
        <v>5.0</v>
      </c>
      <c r="N1198" s="33">
        <f t="shared" si="155"/>
        <v>150</v>
      </c>
      <c r="O1198" s="101"/>
      <c r="P1198" s="34">
        <f t="shared" si="14"/>
        <v>0</v>
      </c>
      <c r="Q1198" s="60"/>
      <c r="R1198" s="36">
        <f t="shared" si="156"/>
        <v>5</v>
      </c>
      <c r="S1198" s="102"/>
      <c r="T1198" s="37">
        <f t="shared" si="157"/>
        <v>-45</v>
      </c>
      <c r="U1198" s="62">
        <v>1.0</v>
      </c>
      <c r="V1198" s="63"/>
      <c r="W1198" s="63"/>
      <c r="X1198" s="83">
        <v>0.23</v>
      </c>
      <c r="Y1198" s="35">
        <f t="shared" si="163"/>
        <v>0</v>
      </c>
      <c r="Z1198" s="40">
        <f t="shared" si="159"/>
        <v>-35</v>
      </c>
      <c r="AA1198" s="65">
        <v>-10.0</v>
      </c>
      <c r="AB1198" s="41">
        <f t="shared" si="161"/>
        <v>0</v>
      </c>
      <c r="AC1198" s="42" t="b">
        <v>1</v>
      </c>
      <c r="AD1198" s="42" t="s">
        <v>138</v>
      </c>
      <c r="AE1198" s="42" t="s">
        <v>138</v>
      </c>
      <c r="AF1198" s="42" t="str">
        <f t="array" ref="AF1198">INDEX('Deal Info'!D:D, MATCH(A1198,'Deal Info'!A:A, 0))</f>
        <v>DoEV</v>
      </c>
      <c r="AG1198" s="43" t="str">
        <f t="array" ref="AG1198">INDEX('Deal Info'!G:G, MATCH(A1198,'Deal Info'!A:A, 0))</f>
        <v>None</v>
      </c>
    </row>
    <row r="1199" hidden="1">
      <c r="A1199" s="23" t="str">
        <f t="array" ref="A1199">if(G1199='Room Info'!$B$1, INDEX('Room Info'!$A$2:$A3446, MATCH(B1199,'Room Info'!$B$2:$B3446, 0)),if(G1199='Room Info'!$C$1, INDEX('Room Info'!$A$2:$A3446, MATCH(B1199,'Room Info'!$C$2:$C3446, 0)),if(G1199='Room Info'!$D$1, INDEX('Room Info'!$A$2:$A3446, MATCH(B1199,'Room Info'!$D$2:$D3446, 0)),if(G1199='Room Info'!$E$1, INDEX('Room Info'!$A$2:$A3446, MATCH(B1199,'Room Info'!$E$2:$E3446, 0)),if(G1199='Room Info'!$F$1, INDEX('Room Info'!$A$2:$A3446, MATCH(B1199,'Room Info'!$F$2:$F3446, 0)),if(G1199='Room Info'!$H$1, INDEX('Room Info'!$A$2:$A3446, MATCH(B1199,'Room Info'!$H$2:$H3446, 0)),if(G1199='Room Info'!$G$1, INDEX('Room Info'!$A$2:$A3446, MATCH(B1199,'Room Info'!$G$2:$G3446, 0)))))))))</f>
        <v>Rus29APX</v>
      </c>
      <c r="B1199" s="50" t="s">
        <v>212</v>
      </c>
      <c r="C1199" s="104">
        <v>44896.0</v>
      </c>
      <c r="D1199" s="51">
        <v>44915.0</v>
      </c>
      <c r="E1199" s="52">
        <v>44896.0</v>
      </c>
      <c r="F1199" s="53" t="s">
        <v>12</v>
      </c>
      <c r="G1199" s="59" t="s">
        <v>5</v>
      </c>
      <c r="H1199" s="54" t="s">
        <v>63</v>
      </c>
      <c r="I1199" s="54" t="s">
        <v>11</v>
      </c>
      <c r="J1199" s="79">
        <v>25.0</v>
      </c>
      <c r="K1199" s="80">
        <v>2.0</v>
      </c>
      <c r="L1199" s="77">
        <v>50.0</v>
      </c>
      <c r="M1199" s="58">
        <v>2.0</v>
      </c>
      <c r="N1199" s="33">
        <f t="shared" si="155"/>
        <v>50</v>
      </c>
      <c r="O1199" s="101"/>
      <c r="P1199" s="34">
        <f t="shared" si="14"/>
        <v>0</v>
      </c>
      <c r="Q1199" s="60"/>
      <c r="R1199" s="36">
        <f t="shared" si="156"/>
        <v>2</v>
      </c>
      <c r="S1199" s="102"/>
      <c r="T1199" s="37">
        <f t="shared" si="157"/>
        <v>52</v>
      </c>
      <c r="U1199" s="62">
        <v>1.0</v>
      </c>
      <c r="V1199" s="63"/>
      <c r="W1199" s="63"/>
      <c r="X1199" s="83">
        <v>0.23</v>
      </c>
      <c r="Y1199" s="35">
        <f t="shared" si="163"/>
        <v>0</v>
      </c>
      <c r="Z1199" s="40">
        <f t="shared" si="159"/>
        <v>40</v>
      </c>
      <c r="AA1199" s="65">
        <v>12.0</v>
      </c>
      <c r="AB1199" s="41">
        <f t="shared" si="161"/>
        <v>0</v>
      </c>
      <c r="AC1199" s="42" t="b">
        <v>1</v>
      </c>
      <c r="AD1199" s="42" t="s">
        <v>138</v>
      </c>
      <c r="AE1199" s="42" t="s">
        <v>138</v>
      </c>
      <c r="AF1199" s="42" t="str">
        <f t="array" ref="AF1199">INDEX('Deal Info'!D:D, MATCH(A1199,'Deal Info'!A:A, 0))</f>
        <v>DoEV</v>
      </c>
      <c r="AG1199" s="43" t="str">
        <f t="array" ref="AG1199">INDEX('Deal Info'!G:G, MATCH(A1199,'Deal Info'!A:A, 0))</f>
        <v>None</v>
      </c>
    </row>
    <row r="1200" hidden="1">
      <c r="A1200" s="23" t="b">
        <f t="array" ref="A1200">if(G1200='Room Info'!$B$1, INDEX('Room Info'!$A$2:$A3446, MATCH(B1200,'Room Info'!$B$2:$B3446, 0)),if(G1200='Room Info'!$C$1, INDEX('Room Info'!$A$2:$A3446, MATCH(B1200,'Room Info'!$C$2:$C3446, 0)),if(G1200='Room Info'!$D$1, INDEX('Room Info'!$A$2:$A3446, MATCH(B1200,'Room Info'!$D$2:$D3446, 0)),if(G1200='Room Info'!$E$1, INDEX('Room Info'!$A$2:$A3446, MATCH(B1200,'Room Info'!$E$2:$E3446, 0)),if(G1200='Room Info'!$F$1, INDEX('Room Info'!$A$2:$A3446, MATCH(B1200,'Room Info'!$F$2:$F3446, 0)),if(G1200='Room Info'!$H$1, INDEX('Room Info'!$A$2:$A3446, MATCH(B1200,'Room Info'!$H$2:$H3446, 0)),if(G1200='Room Info'!$G$1, INDEX('Room Info'!$A$2:$A3446, MATCH(B1200,'Room Info'!$G$2:$G3446, 0)))))))))</f>
        <v>0</v>
      </c>
      <c r="B1200" s="50" t="s">
        <v>212</v>
      </c>
      <c r="C1200" s="104">
        <v>44896.0</v>
      </c>
      <c r="D1200" s="51">
        <v>44921.0</v>
      </c>
      <c r="E1200" s="52">
        <v>44896.0</v>
      </c>
      <c r="F1200" s="53" t="s">
        <v>12</v>
      </c>
      <c r="G1200" s="59" t="s">
        <v>142</v>
      </c>
      <c r="H1200" s="54" t="s">
        <v>61</v>
      </c>
      <c r="I1200" s="54" t="s">
        <v>7</v>
      </c>
      <c r="J1200" s="79">
        <v>20.0</v>
      </c>
      <c r="K1200" s="80">
        <v>697.0</v>
      </c>
      <c r="L1200" s="77">
        <v>749.16</v>
      </c>
      <c r="M1200" s="58">
        <v>488.0</v>
      </c>
      <c r="N1200" s="33">
        <f t="shared" si="155"/>
        <v>13940</v>
      </c>
      <c r="O1200" s="101"/>
      <c r="P1200" s="34">
        <f t="shared" si="14"/>
        <v>0</v>
      </c>
      <c r="Q1200" s="60"/>
      <c r="R1200" s="36">
        <f t="shared" si="156"/>
        <v>488</v>
      </c>
      <c r="S1200" s="102"/>
      <c r="T1200" s="37">
        <f t="shared" si="157"/>
        <v>1237.16</v>
      </c>
      <c r="U1200" s="62">
        <v>1.0</v>
      </c>
      <c r="V1200" s="63"/>
      <c r="W1200" s="63"/>
      <c r="X1200" s="83">
        <v>0.23</v>
      </c>
      <c r="Y1200" s="35" t="str">
        <f t="shared" si="163"/>
        <v>#N/A</v>
      </c>
      <c r="Z1200" s="40" t="str">
        <f t="shared" si="159"/>
        <v>#N/A</v>
      </c>
      <c r="AA1200" s="65">
        <v>285.0</v>
      </c>
      <c r="AB1200" s="41" t="str">
        <f t="shared" si="161"/>
        <v>#N/A</v>
      </c>
      <c r="AC1200" s="42" t="b">
        <v>1</v>
      </c>
      <c r="AD1200" s="42" t="s">
        <v>138</v>
      </c>
      <c r="AE1200" s="42" t="s">
        <v>138</v>
      </c>
      <c r="AF1200" s="42" t="str">
        <f t="array" ref="AF1200">INDEX('Deal Info'!D:D, MATCH(A1200,'Deal Info'!A:A, 0))</f>
        <v>#N/A</v>
      </c>
      <c r="AG1200" s="43" t="str">
        <f t="array" ref="AG1200">INDEX('Deal Info'!G:G, MATCH(A1200,'Deal Info'!A:A, 0))</f>
        <v>#N/A</v>
      </c>
    </row>
    <row r="1201" hidden="1">
      <c r="A1201" s="23" t="b">
        <f t="array" ref="A1201">if(G1201='Room Info'!$B$1, INDEX('Room Info'!$A$2:$A3446, MATCH(B1201,'Room Info'!$B$2:$B3446, 0)),if(G1201='Room Info'!$C$1, INDEX('Room Info'!$A$2:$A3446, MATCH(B1201,'Room Info'!$C$2:$C3446, 0)),if(G1201='Room Info'!$D$1, INDEX('Room Info'!$A$2:$A3446, MATCH(B1201,'Room Info'!$D$2:$D3446, 0)),if(G1201='Room Info'!$E$1, INDEX('Room Info'!$A$2:$A3446, MATCH(B1201,'Room Info'!$E$2:$E3446, 0)),if(G1201='Room Info'!$F$1, INDEX('Room Info'!$A$2:$A3446, MATCH(B1201,'Room Info'!$F$2:$F3446, 0)),if(G1201='Room Info'!$H$1, INDEX('Room Info'!$A$2:$A3446, MATCH(B1201,'Room Info'!$H$2:$H3446, 0)),if(G1201='Room Info'!$G$1, INDEX('Room Info'!$A$2:$A3446, MATCH(B1201,'Room Info'!$G$2:$G3446, 0)))))))))</f>
        <v>0</v>
      </c>
      <c r="B1201" s="50" t="s">
        <v>212</v>
      </c>
      <c r="C1201" s="104">
        <v>44896.0</v>
      </c>
      <c r="D1201" s="51">
        <v>44921.0</v>
      </c>
      <c r="E1201" s="52">
        <v>44896.0</v>
      </c>
      <c r="F1201" s="53" t="s">
        <v>12</v>
      </c>
      <c r="G1201" s="59" t="s">
        <v>142</v>
      </c>
      <c r="H1201" s="54" t="s">
        <v>50</v>
      </c>
      <c r="I1201" s="54" t="s">
        <v>7</v>
      </c>
      <c r="J1201" s="79">
        <v>10.0</v>
      </c>
      <c r="K1201" s="80">
        <v>5.0</v>
      </c>
      <c r="L1201" s="77">
        <v>2.69</v>
      </c>
      <c r="M1201" s="58">
        <v>2.0</v>
      </c>
      <c r="N1201" s="33">
        <f t="shared" si="155"/>
        <v>50</v>
      </c>
      <c r="O1201" s="101"/>
      <c r="P1201" s="34">
        <f t="shared" si="14"/>
        <v>0</v>
      </c>
      <c r="Q1201" s="60"/>
      <c r="R1201" s="36">
        <f t="shared" si="156"/>
        <v>2</v>
      </c>
      <c r="S1201" s="102"/>
      <c r="T1201" s="37">
        <f t="shared" si="157"/>
        <v>4.69</v>
      </c>
      <c r="U1201" s="62">
        <v>1.0</v>
      </c>
      <c r="V1201" s="63"/>
      <c r="W1201" s="63"/>
      <c r="X1201" s="83">
        <v>0.23</v>
      </c>
      <c r="Y1201" s="35" t="str">
        <f t="shared" si="163"/>
        <v>#N/A</v>
      </c>
      <c r="Z1201" s="40" t="str">
        <f t="shared" si="159"/>
        <v>#N/A</v>
      </c>
      <c r="AA1201" s="65">
        <v>1.0</v>
      </c>
      <c r="AB1201" s="41" t="str">
        <f t="shared" si="161"/>
        <v>#N/A</v>
      </c>
      <c r="AC1201" s="42" t="b">
        <v>1</v>
      </c>
      <c r="AD1201" s="42" t="s">
        <v>138</v>
      </c>
      <c r="AE1201" s="42" t="s">
        <v>138</v>
      </c>
      <c r="AF1201" s="42" t="str">
        <f t="array" ref="AF1201">INDEX('Deal Info'!D:D, MATCH(A1201,'Deal Info'!A:A, 0))</f>
        <v>#N/A</v>
      </c>
      <c r="AG1201" s="43" t="str">
        <f t="array" ref="AG1201">INDEX('Deal Info'!G:G, MATCH(A1201,'Deal Info'!A:A, 0))</f>
        <v>#N/A</v>
      </c>
    </row>
    <row r="1202" hidden="1">
      <c r="A1202" s="23" t="b">
        <f t="array" ref="A1202">if(G1202='Room Info'!$B$1, INDEX('Room Info'!$A$2:$A3446, MATCH(B1202,'Room Info'!$B$2:$B3446, 0)),if(G1202='Room Info'!$C$1, INDEX('Room Info'!$A$2:$A3446, MATCH(B1202,'Room Info'!$C$2:$C3446, 0)),if(G1202='Room Info'!$D$1, INDEX('Room Info'!$A$2:$A3446, MATCH(B1202,'Room Info'!$D$2:$D3446, 0)),if(G1202='Room Info'!$E$1, INDEX('Room Info'!$A$2:$A3446, MATCH(B1202,'Room Info'!$E$2:$E3446, 0)),if(G1202='Room Info'!$F$1, INDEX('Room Info'!$A$2:$A3446, MATCH(B1202,'Room Info'!$F$2:$F3446, 0)),if(G1202='Room Info'!$H$1, INDEX('Room Info'!$A$2:$A3446, MATCH(B1202,'Room Info'!$H$2:$H3446, 0)),if(G1202='Room Info'!$G$1, INDEX('Room Info'!$A$2:$A3446, MATCH(B1202,'Room Info'!$G$2:$G3446, 0)))))))))</f>
        <v>0</v>
      </c>
      <c r="B1202" s="50" t="s">
        <v>212</v>
      </c>
      <c r="C1202" s="104">
        <v>44896.0</v>
      </c>
      <c r="D1202" s="51">
        <v>44921.0</v>
      </c>
      <c r="E1202" s="52">
        <v>44896.0</v>
      </c>
      <c r="F1202" s="53" t="s">
        <v>12</v>
      </c>
      <c r="G1202" s="59" t="s">
        <v>142</v>
      </c>
      <c r="H1202" s="54" t="s">
        <v>39</v>
      </c>
      <c r="I1202" s="54" t="s">
        <v>7</v>
      </c>
      <c r="J1202" s="79">
        <v>5.0</v>
      </c>
      <c r="K1202" s="80">
        <v>8.0</v>
      </c>
      <c r="L1202" s="77">
        <v>2.15</v>
      </c>
      <c r="M1202" s="58">
        <v>1.0</v>
      </c>
      <c r="N1202" s="33">
        <f t="shared" si="155"/>
        <v>40</v>
      </c>
      <c r="O1202" s="101"/>
      <c r="P1202" s="34">
        <f t="shared" si="14"/>
        <v>0</v>
      </c>
      <c r="Q1202" s="60"/>
      <c r="R1202" s="36">
        <f t="shared" si="156"/>
        <v>1</v>
      </c>
      <c r="S1202" s="102"/>
      <c r="T1202" s="37">
        <f t="shared" si="157"/>
        <v>3.15</v>
      </c>
      <c r="U1202" s="62">
        <v>1.0</v>
      </c>
      <c r="V1202" s="63"/>
      <c r="W1202" s="63"/>
      <c r="X1202" s="83">
        <v>0.23</v>
      </c>
      <c r="Y1202" s="35" t="str">
        <f t="shared" si="163"/>
        <v>#N/A</v>
      </c>
      <c r="Z1202" s="40" t="str">
        <f t="shared" si="159"/>
        <v>#N/A</v>
      </c>
      <c r="AA1202" s="65">
        <v>1.0</v>
      </c>
      <c r="AB1202" s="41" t="str">
        <f t="shared" si="161"/>
        <v>#N/A</v>
      </c>
      <c r="AC1202" s="42" t="b">
        <v>1</v>
      </c>
      <c r="AD1202" s="42" t="s">
        <v>138</v>
      </c>
      <c r="AE1202" s="42" t="s">
        <v>138</v>
      </c>
      <c r="AF1202" s="42" t="str">
        <f t="array" ref="AF1202">INDEX('Deal Info'!D:D, MATCH(A1202,'Deal Info'!A:A, 0))</f>
        <v>#N/A</v>
      </c>
      <c r="AG1202" s="43" t="str">
        <f t="array" ref="AG1202">INDEX('Deal Info'!G:G, MATCH(A1202,'Deal Info'!A:A, 0))</f>
        <v>#N/A</v>
      </c>
    </row>
    <row r="1203" hidden="1">
      <c r="A1203" s="23" t="b">
        <f t="array" ref="A1203">if(G1203='Room Info'!$B$1, INDEX('Room Info'!$A$2:$A3446, MATCH(B1203,'Room Info'!$B$2:$B3446, 0)),if(G1203='Room Info'!$C$1, INDEX('Room Info'!$A$2:$A3446, MATCH(B1203,'Room Info'!$C$2:$C3446, 0)),if(G1203='Room Info'!$D$1, INDEX('Room Info'!$A$2:$A3446, MATCH(B1203,'Room Info'!$D$2:$D3446, 0)),if(G1203='Room Info'!$E$1, INDEX('Room Info'!$A$2:$A3446, MATCH(B1203,'Room Info'!$E$2:$E3446, 0)),if(G1203='Room Info'!$F$1, INDEX('Room Info'!$A$2:$A3446, MATCH(B1203,'Room Info'!$F$2:$F3446, 0)),if(G1203='Room Info'!$H$1, INDEX('Room Info'!$A$2:$A3446, MATCH(B1203,'Room Info'!$H$2:$H3446, 0)),if(G1203='Room Info'!$G$1, INDEX('Room Info'!$A$2:$A3446, MATCH(B1203,'Room Info'!$G$2:$G3446, 0)))))))))</f>
        <v>0</v>
      </c>
      <c r="B1203" s="50" t="s">
        <v>212</v>
      </c>
      <c r="C1203" s="51">
        <v>44922.0</v>
      </c>
      <c r="D1203" s="51">
        <v>44957.0</v>
      </c>
      <c r="E1203" s="52">
        <v>44927.0</v>
      </c>
      <c r="F1203" s="53" t="s">
        <v>12</v>
      </c>
      <c r="G1203" s="59" t="s">
        <v>142</v>
      </c>
      <c r="H1203" s="54" t="s">
        <v>39</v>
      </c>
      <c r="I1203" s="54" t="s">
        <v>7</v>
      </c>
      <c r="J1203" s="55">
        <v>5.0</v>
      </c>
      <c r="K1203" s="56">
        <v>4.0</v>
      </c>
      <c r="L1203" s="57">
        <v>1.1</v>
      </c>
      <c r="M1203" s="58">
        <v>1.0</v>
      </c>
      <c r="N1203" s="33">
        <f t="shared" si="155"/>
        <v>20</v>
      </c>
      <c r="O1203" s="70"/>
      <c r="P1203" s="34">
        <f t="shared" si="14"/>
        <v>0</v>
      </c>
      <c r="Q1203" s="60"/>
      <c r="R1203" s="36">
        <f t="shared" si="156"/>
        <v>1</v>
      </c>
      <c r="S1203" s="71"/>
      <c r="T1203" s="37">
        <f t="shared" si="157"/>
        <v>2.1</v>
      </c>
      <c r="U1203" s="62">
        <v>1.0</v>
      </c>
      <c r="V1203" s="63"/>
      <c r="W1203" s="63"/>
      <c r="X1203" s="83">
        <v>0.17</v>
      </c>
      <c r="Y1203" s="35" t="str">
        <f t="shared" si="163"/>
        <v>#N/A</v>
      </c>
      <c r="Z1203" s="40" t="str">
        <f t="shared" si="159"/>
        <v>#N/A</v>
      </c>
      <c r="AA1203" s="65">
        <v>0.0</v>
      </c>
      <c r="AB1203" s="41" t="str">
        <f t="shared" si="161"/>
        <v>#N/A</v>
      </c>
      <c r="AC1203" s="42" t="b">
        <v>1</v>
      </c>
      <c r="AD1203" s="42" t="s">
        <v>138</v>
      </c>
      <c r="AE1203" s="42" t="s">
        <v>138</v>
      </c>
      <c r="AF1203" s="42" t="str">
        <f t="array" ref="AF1203">INDEX('Deal Info'!D:D, MATCH(A1203,'Deal Info'!A:A, 0))</f>
        <v>#N/A</v>
      </c>
      <c r="AG1203" s="43" t="str">
        <f t="array" ref="AG1203">INDEX('Deal Info'!G:G, MATCH(A1203,'Deal Info'!A:A, 0))</f>
        <v>#N/A</v>
      </c>
    </row>
    <row r="1204" hidden="1">
      <c r="A1204" s="23" t="b">
        <f t="array" ref="A1204">if(G1204='Room Info'!$B$1, INDEX('Room Info'!$A$2:$A3446, MATCH(B1204,'Room Info'!$B$2:$B3446, 0)),if(G1204='Room Info'!$C$1, INDEX('Room Info'!$A$2:$A3446, MATCH(B1204,'Room Info'!$C$2:$C3446, 0)),if(G1204='Room Info'!$D$1, INDEX('Room Info'!$A$2:$A3446, MATCH(B1204,'Room Info'!$D$2:$D3446, 0)),if(G1204='Room Info'!$E$1, INDEX('Room Info'!$A$2:$A3446, MATCH(B1204,'Room Info'!$E$2:$E3446, 0)),if(G1204='Room Info'!$F$1, INDEX('Room Info'!$A$2:$A3446, MATCH(B1204,'Room Info'!$F$2:$F3446, 0)),if(G1204='Room Info'!$H$1, INDEX('Room Info'!$A$2:$A3446, MATCH(B1204,'Room Info'!$H$2:$H3446, 0)),if(G1204='Room Info'!$G$1, INDEX('Room Info'!$A$2:$A3446, MATCH(B1204,'Room Info'!$G$2:$G3446, 0)))))))))</f>
        <v>0</v>
      </c>
      <c r="B1204" s="50" t="s">
        <v>212</v>
      </c>
      <c r="C1204" s="51">
        <v>44922.0</v>
      </c>
      <c r="D1204" s="51">
        <v>44957.0</v>
      </c>
      <c r="E1204" s="52">
        <v>44927.0</v>
      </c>
      <c r="F1204" s="53" t="s">
        <v>12</v>
      </c>
      <c r="G1204" s="59" t="s">
        <v>142</v>
      </c>
      <c r="H1204" s="54" t="s">
        <v>50</v>
      </c>
      <c r="I1204" s="54" t="s">
        <v>7</v>
      </c>
      <c r="J1204" s="55">
        <v>10.0</v>
      </c>
      <c r="K1204" s="56">
        <v>15.0</v>
      </c>
      <c r="L1204" s="57">
        <v>8.23</v>
      </c>
      <c r="M1204" s="58">
        <v>5.0</v>
      </c>
      <c r="N1204" s="33">
        <f t="shared" si="155"/>
        <v>150</v>
      </c>
      <c r="O1204" s="70"/>
      <c r="P1204" s="34">
        <f t="shared" si="14"/>
        <v>0</v>
      </c>
      <c r="Q1204" s="60"/>
      <c r="R1204" s="36">
        <f t="shared" si="156"/>
        <v>5</v>
      </c>
      <c r="S1204" s="71"/>
      <c r="T1204" s="37">
        <f t="shared" si="157"/>
        <v>13.23</v>
      </c>
      <c r="U1204" s="62">
        <v>1.0</v>
      </c>
      <c r="V1204" s="63"/>
      <c r="W1204" s="63"/>
      <c r="X1204" s="83">
        <v>0.17</v>
      </c>
      <c r="Y1204" s="35" t="str">
        <f t="shared" si="163"/>
        <v>#N/A</v>
      </c>
      <c r="Z1204" s="40" t="str">
        <f t="shared" si="159"/>
        <v>#N/A</v>
      </c>
      <c r="AA1204" s="65">
        <v>2.0</v>
      </c>
      <c r="AB1204" s="41" t="str">
        <f t="shared" si="161"/>
        <v>#N/A</v>
      </c>
      <c r="AC1204" s="42" t="b">
        <v>1</v>
      </c>
      <c r="AD1204" s="42" t="s">
        <v>138</v>
      </c>
      <c r="AE1204" s="42" t="s">
        <v>138</v>
      </c>
      <c r="AF1204" s="42" t="str">
        <f t="array" ref="AF1204">INDEX('Deal Info'!D:D, MATCH(A1204,'Deal Info'!A:A, 0))</f>
        <v>#N/A</v>
      </c>
      <c r="AG1204" s="43" t="str">
        <f t="array" ref="AG1204">INDEX('Deal Info'!G:G, MATCH(A1204,'Deal Info'!A:A, 0))</f>
        <v>#N/A</v>
      </c>
    </row>
    <row r="1205" hidden="1">
      <c r="A1205" s="23" t="b">
        <f t="array" ref="A1205">if(G1205='Room Info'!$B$1, INDEX('Room Info'!$A$2:$A3446, MATCH(B1205,'Room Info'!$B$2:$B3446, 0)),if(G1205='Room Info'!$C$1, INDEX('Room Info'!$A$2:$A3446, MATCH(B1205,'Room Info'!$C$2:$C3446, 0)),if(G1205='Room Info'!$D$1, INDEX('Room Info'!$A$2:$A3446, MATCH(B1205,'Room Info'!$D$2:$D3446, 0)),if(G1205='Room Info'!$E$1, INDEX('Room Info'!$A$2:$A3446, MATCH(B1205,'Room Info'!$E$2:$E3446, 0)),if(G1205='Room Info'!$F$1, INDEX('Room Info'!$A$2:$A3446, MATCH(B1205,'Room Info'!$F$2:$F3446, 0)),if(G1205='Room Info'!$H$1, INDEX('Room Info'!$A$2:$A3446, MATCH(B1205,'Room Info'!$H$2:$H3446, 0)),if(G1205='Room Info'!$G$1, INDEX('Room Info'!$A$2:$A3446, MATCH(B1205,'Room Info'!$G$2:$G3446, 0)))))))))</f>
        <v>0</v>
      </c>
      <c r="B1205" s="50" t="s">
        <v>212</v>
      </c>
      <c r="C1205" s="51">
        <v>44922.0</v>
      </c>
      <c r="D1205" s="51">
        <v>44957.0</v>
      </c>
      <c r="E1205" s="52">
        <v>44927.0</v>
      </c>
      <c r="F1205" s="53" t="s">
        <v>12</v>
      </c>
      <c r="G1205" s="50" t="s">
        <v>142</v>
      </c>
      <c r="H1205" s="54" t="s">
        <v>61</v>
      </c>
      <c r="I1205" s="54" t="s">
        <v>7</v>
      </c>
      <c r="J1205" s="55">
        <v>20.0</v>
      </c>
      <c r="K1205" s="56">
        <v>1616.0</v>
      </c>
      <c r="L1205" s="57">
        <v>1772.26</v>
      </c>
      <c r="M1205" s="58">
        <v>1131.0</v>
      </c>
      <c r="N1205" s="33">
        <f t="shared" si="155"/>
        <v>32320</v>
      </c>
      <c r="O1205" s="70"/>
      <c r="P1205" s="34">
        <f t="shared" si="14"/>
        <v>0</v>
      </c>
      <c r="Q1205" s="60"/>
      <c r="R1205" s="36">
        <f t="shared" si="156"/>
        <v>1131</v>
      </c>
      <c r="S1205" s="71"/>
      <c r="T1205" s="37">
        <f t="shared" si="157"/>
        <v>2903.26</v>
      </c>
      <c r="U1205" s="62">
        <v>1.0</v>
      </c>
      <c r="V1205" s="63"/>
      <c r="W1205" s="63"/>
      <c r="X1205" s="83">
        <v>0.17</v>
      </c>
      <c r="Y1205" s="35" t="str">
        <f t="shared" si="163"/>
        <v>#N/A</v>
      </c>
      <c r="Z1205" s="40" t="str">
        <f t="shared" si="159"/>
        <v>#N/A</v>
      </c>
      <c r="AA1205" s="65">
        <v>494.0</v>
      </c>
      <c r="AB1205" s="41" t="str">
        <f t="shared" si="161"/>
        <v>#N/A</v>
      </c>
      <c r="AC1205" s="42" t="b">
        <v>1</v>
      </c>
      <c r="AD1205" s="42" t="s">
        <v>138</v>
      </c>
      <c r="AE1205" s="42" t="s">
        <v>138</v>
      </c>
      <c r="AF1205" s="42" t="str">
        <f t="array" ref="AF1205">INDEX('Deal Info'!D:D, MATCH(A1205,'Deal Info'!A:A, 0))</f>
        <v>#N/A</v>
      </c>
      <c r="AG1205" s="43" t="str">
        <f t="array" ref="AG1205">INDEX('Deal Info'!G:G, MATCH(A1205,'Deal Info'!A:A, 0))</f>
        <v>#N/A</v>
      </c>
    </row>
    <row r="1206" hidden="1">
      <c r="A1206" s="23" t="b">
        <f t="array" ref="A1206">if(G1206='Room Info'!$B$1, INDEX('Room Info'!$A$2:$A3446, MATCH(B1206,'Room Info'!$B$2:$B3446, 0)),if(G1206='Room Info'!$C$1, INDEX('Room Info'!$A$2:$A3446, MATCH(B1206,'Room Info'!$C$2:$C3446, 0)),if(G1206='Room Info'!$D$1, INDEX('Room Info'!$A$2:$A3446, MATCH(B1206,'Room Info'!$D$2:$D3446, 0)),if(G1206='Room Info'!$E$1, INDEX('Room Info'!$A$2:$A3446, MATCH(B1206,'Room Info'!$E$2:$E3446, 0)),if(G1206='Room Info'!$F$1, INDEX('Room Info'!$A$2:$A3446, MATCH(B1206,'Room Info'!$F$2:$F3446, 0)),if(G1206='Room Info'!$H$1, INDEX('Room Info'!$A$2:$A3446, MATCH(B1206,'Room Info'!$H$2:$H3446, 0)),if(G1206='Room Info'!$G$1, INDEX('Room Info'!$A$2:$A3446, MATCH(B1206,'Room Info'!$G$2:$G3446, 0)))))))))</f>
        <v>0</v>
      </c>
      <c r="B1206" s="50" t="s">
        <v>212</v>
      </c>
      <c r="C1206" s="51">
        <v>44922.0</v>
      </c>
      <c r="D1206" s="51">
        <v>44957.0</v>
      </c>
      <c r="E1206" s="52">
        <v>44927.0</v>
      </c>
      <c r="F1206" s="53" t="s">
        <v>12</v>
      </c>
      <c r="G1206" s="50" t="s">
        <v>142</v>
      </c>
      <c r="H1206" s="54" t="s">
        <v>77</v>
      </c>
      <c r="I1206" s="54" t="s">
        <v>7</v>
      </c>
      <c r="J1206" s="55">
        <v>50.0</v>
      </c>
      <c r="K1206" s="56">
        <v>161.0</v>
      </c>
      <c r="L1206" s="57">
        <v>441.42</v>
      </c>
      <c r="M1206" s="58">
        <v>282.0</v>
      </c>
      <c r="N1206" s="33">
        <f t="shared" si="155"/>
        <v>8050</v>
      </c>
      <c r="O1206" s="70"/>
      <c r="P1206" s="34">
        <f t="shared" si="14"/>
        <v>0</v>
      </c>
      <c r="Q1206" s="60"/>
      <c r="R1206" s="36">
        <f t="shared" si="156"/>
        <v>282</v>
      </c>
      <c r="S1206" s="71"/>
      <c r="T1206" s="37">
        <f t="shared" si="157"/>
        <v>723.42</v>
      </c>
      <c r="U1206" s="62">
        <v>1.0</v>
      </c>
      <c r="V1206" s="63"/>
      <c r="W1206" s="63"/>
      <c r="X1206" s="83">
        <v>0.17</v>
      </c>
      <c r="Y1206" s="35" t="str">
        <f t="shared" si="163"/>
        <v>#N/A</v>
      </c>
      <c r="Z1206" s="40" t="str">
        <f t="shared" si="159"/>
        <v>#N/A</v>
      </c>
      <c r="AA1206" s="65">
        <v>123.0</v>
      </c>
      <c r="AB1206" s="41" t="str">
        <f t="shared" si="161"/>
        <v>#N/A</v>
      </c>
      <c r="AC1206" s="42" t="b">
        <v>1</v>
      </c>
      <c r="AD1206" s="42" t="s">
        <v>138</v>
      </c>
      <c r="AE1206" s="42" t="s">
        <v>138</v>
      </c>
      <c r="AF1206" s="42" t="str">
        <f t="array" ref="AF1206">INDEX('Deal Info'!D:D, MATCH(A1206,'Deal Info'!A:A, 0))</f>
        <v>#N/A</v>
      </c>
      <c r="AG1206" s="43" t="str">
        <f t="array" ref="AG1206">INDEX('Deal Info'!G:G, MATCH(A1206,'Deal Info'!A:A, 0))</f>
        <v>#N/A</v>
      </c>
    </row>
    <row r="1207" hidden="1">
      <c r="A1207" s="23" t="str">
        <f t="array" ref="A1207">if(G1207='Room Info'!$B$1, INDEX('Room Info'!$A$2:$A3446, MATCH(B1207,'Room Info'!$B$2:$B3446, 0)),if(G1207='Room Info'!$C$1, INDEX('Room Info'!$A$2:$A3446, MATCH(B1207,'Room Info'!$C$2:$C3446, 0)),if(G1207='Room Info'!$D$1, INDEX('Room Info'!$A$2:$A3446, MATCH(B1207,'Room Info'!$D$2:$D3446, 0)),if(G1207='Room Info'!$E$1, INDEX('Room Info'!$A$2:$A3446, MATCH(B1207,'Room Info'!$E$2:$E3446, 0)),if(G1207='Room Info'!$F$1, INDEX('Room Info'!$A$2:$A3446, MATCH(B1207,'Room Info'!$F$2:$F3446, 0)),if(G1207='Room Info'!$H$1, INDEX('Room Info'!$A$2:$A3446, MATCH(B1207,'Room Info'!$H$2:$H3446, 0)),if(G1207='Room Info'!$G$1, INDEX('Room Info'!$A$2:$A3446, MATCH(B1207,'Room Info'!$G$2:$G3446, 0)))))))))</f>
        <v>Rus29APX</v>
      </c>
      <c r="B1207" s="50" t="s">
        <v>212</v>
      </c>
      <c r="C1207" s="51">
        <v>44916.0</v>
      </c>
      <c r="D1207" s="51">
        <v>44957.0</v>
      </c>
      <c r="E1207" s="52">
        <v>44927.0</v>
      </c>
      <c r="F1207" s="53" t="s">
        <v>8</v>
      </c>
      <c r="G1207" s="50" t="s">
        <v>5</v>
      </c>
      <c r="H1207" s="54" t="s">
        <v>62</v>
      </c>
      <c r="I1207" s="54" t="s">
        <v>7</v>
      </c>
      <c r="J1207" s="55">
        <v>25.0</v>
      </c>
      <c r="K1207" s="56">
        <v>1040.0</v>
      </c>
      <c r="L1207" s="57">
        <v>-500.0</v>
      </c>
      <c r="M1207" s="58">
        <v>527.0</v>
      </c>
      <c r="N1207" s="33">
        <f t="shared" si="155"/>
        <v>26000</v>
      </c>
      <c r="O1207" s="59">
        <v>67010.0</v>
      </c>
      <c r="P1207" s="34">
        <f t="shared" si="14"/>
        <v>64.43269231</v>
      </c>
      <c r="Q1207" s="60"/>
      <c r="R1207" s="36">
        <f t="shared" si="156"/>
        <v>527</v>
      </c>
      <c r="S1207" s="61">
        <v>1489.0</v>
      </c>
      <c r="T1207" s="37">
        <f t="shared" si="157"/>
        <v>2016</v>
      </c>
      <c r="U1207" s="62">
        <v>1.0</v>
      </c>
      <c r="V1207" s="63"/>
      <c r="W1207" s="63"/>
      <c r="X1207" s="83">
        <v>0.17</v>
      </c>
      <c r="Y1207" s="35">
        <f t="shared" si="163"/>
        <v>0</v>
      </c>
      <c r="Z1207" s="40">
        <f t="shared" si="159"/>
        <v>1673</v>
      </c>
      <c r="AA1207" s="65">
        <v>343.0</v>
      </c>
      <c r="AB1207" s="41">
        <f t="shared" si="161"/>
        <v>0</v>
      </c>
      <c r="AC1207" s="42" t="b">
        <v>1</v>
      </c>
      <c r="AD1207" s="42" t="s">
        <v>138</v>
      </c>
      <c r="AE1207" s="42" t="s">
        <v>138</v>
      </c>
      <c r="AF1207" s="42" t="str">
        <f t="array" ref="AF1207">INDEX('Deal Info'!D:D, MATCH(A1207,'Deal Info'!A:A, 0))</f>
        <v>DoEV</v>
      </c>
      <c r="AG1207" s="43" t="str">
        <f t="array" ref="AG1207">INDEX('Deal Info'!G:G, MATCH(A1207,'Deal Info'!A:A, 0))</f>
        <v>None</v>
      </c>
    </row>
    <row r="1208" hidden="1">
      <c r="A1208" s="23" t="str">
        <f t="array" ref="A1208">if(G1208='Room Info'!$B$1, INDEX('Room Info'!$A$2:$A3446, MATCH(B1208,'Room Info'!$B$2:$B3446, 0)),if(G1208='Room Info'!$C$1, INDEX('Room Info'!$A$2:$A3446, MATCH(B1208,'Room Info'!$C$2:$C3446, 0)),if(G1208='Room Info'!$D$1, INDEX('Room Info'!$A$2:$A3446, MATCH(B1208,'Room Info'!$D$2:$D3446, 0)),if(G1208='Room Info'!$E$1, INDEX('Room Info'!$A$2:$A3446, MATCH(B1208,'Room Info'!$E$2:$E3446, 0)),if(G1208='Room Info'!$F$1, INDEX('Room Info'!$A$2:$A3446, MATCH(B1208,'Room Info'!$F$2:$F3446, 0)),if(G1208='Room Info'!$H$1, INDEX('Room Info'!$A$2:$A3446, MATCH(B1208,'Room Info'!$H$2:$H3446, 0)),if(G1208='Room Info'!$G$1, INDEX('Room Info'!$A$2:$A3446, MATCH(B1208,'Room Info'!$G$2:$G3446, 0)))))))))</f>
        <v>Rus29APX</v>
      </c>
      <c r="B1208" s="50" t="s">
        <v>212</v>
      </c>
      <c r="C1208" s="51">
        <v>44916.0</v>
      </c>
      <c r="D1208" s="51">
        <v>44957.0</v>
      </c>
      <c r="E1208" s="52">
        <v>44927.0</v>
      </c>
      <c r="F1208" s="53" t="s">
        <v>8</v>
      </c>
      <c r="G1208" s="50" t="s">
        <v>5</v>
      </c>
      <c r="H1208" s="54" t="s">
        <v>45</v>
      </c>
      <c r="I1208" s="54" t="s">
        <v>7</v>
      </c>
      <c r="J1208" s="55">
        <v>10.0</v>
      </c>
      <c r="K1208" s="56">
        <v>630.0</v>
      </c>
      <c r="L1208" s="57">
        <v>960.0</v>
      </c>
      <c r="M1208" s="58">
        <v>149.0</v>
      </c>
      <c r="N1208" s="33">
        <f t="shared" si="155"/>
        <v>6300</v>
      </c>
      <c r="O1208" s="59">
        <v>47150.0</v>
      </c>
      <c r="P1208" s="34">
        <f t="shared" si="14"/>
        <v>74.84126984</v>
      </c>
      <c r="Q1208" s="60"/>
      <c r="R1208" s="36">
        <f t="shared" si="156"/>
        <v>149</v>
      </c>
      <c r="S1208" s="61">
        <v>410.0</v>
      </c>
      <c r="T1208" s="37">
        <f t="shared" si="157"/>
        <v>559</v>
      </c>
      <c r="U1208" s="62">
        <v>1.0</v>
      </c>
      <c r="V1208" s="63"/>
      <c r="W1208" s="63"/>
      <c r="X1208" s="83">
        <v>0.17</v>
      </c>
      <c r="Y1208" s="35">
        <f t="shared" si="163"/>
        <v>0</v>
      </c>
      <c r="Z1208" s="40">
        <f t="shared" si="159"/>
        <v>464</v>
      </c>
      <c r="AA1208" s="65">
        <v>95.0</v>
      </c>
      <c r="AB1208" s="41">
        <f t="shared" si="161"/>
        <v>0</v>
      </c>
      <c r="AC1208" s="42" t="b">
        <v>1</v>
      </c>
      <c r="AD1208" s="42" t="s">
        <v>138</v>
      </c>
      <c r="AE1208" s="42" t="s">
        <v>138</v>
      </c>
      <c r="AF1208" s="42" t="str">
        <f t="array" ref="AF1208">INDEX('Deal Info'!D:D, MATCH(A1208,'Deal Info'!A:A, 0))</f>
        <v>DoEV</v>
      </c>
      <c r="AG1208" s="43" t="str">
        <f t="array" ref="AG1208">INDEX('Deal Info'!G:G, MATCH(A1208,'Deal Info'!A:A, 0))</f>
        <v>None</v>
      </c>
    </row>
    <row r="1209" hidden="1">
      <c r="A1209" s="23" t="str">
        <f t="array" ref="A1209">if(G1209='Room Info'!$B$1, INDEX('Room Info'!$A$2:$A3446, MATCH(B1209,'Room Info'!$B$2:$B3446, 0)),if(G1209='Room Info'!$C$1, INDEX('Room Info'!$A$2:$A3446, MATCH(B1209,'Room Info'!$C$2:$C3446, 0)),if(G1209='Room Info'!$D$1, INDEX('Room Info'!$A$2:$A3446, MATCH(B1209,'Room Info'!$D$2:$D3446, 0)),if(G1209='Room Info'!$E$1, INDEX('Room Info'!$A$2:$A3446, MATCH(B1209,'Room Info'!$E$2:$E3446, 0)),if(G1209='Room Info'!$F$1, INDEX('Room Info'!$A$2:$A3446, MATCH(B1209,'Room Info'!$F$2:$F3446, 0)),if(G1209='Room Info'!$H$1, INDEX('Room Info'!$A$2:$A3446, MATCH(B1209,'Room Info'!$H$2:$H3446, 0)),if(G1209='Room Info'!$G$1, INDEX('Room Info'!$A$2:$A3446, MATCH(B1209,'Room Info'!$G$2:$G3446, 0)))))))))</f>
        <v>Rus29APX</v>
      </c>
      <c r="B1209" s="50" t="s">
        <v>212</v>
      </c>
      <c r="C1209" s="51">
        <v>44916.0</v>
      </c>
      <c r="D1209" s="51">
        <v>44957.0</v>
      </c>
      <c r="E1209" s="52">
        <v>44927.0</v>
      </c>
      <c r="F1209" s="53" t="s">
        <v>12</v>
      </c>
      <c r="G1209" s="50" t="s">
        <v>5</v>
      </c>
      <c r="H1209" s="54" t="s">
        <v>63</v>
      </c>
      <c r="I1209" s="54" t="s">
        <v>11</v>
      </c>
      <c r="J1209" s="55">
        <v>25.0</v>
      </c>
      <c r="K1209" s="56">
        <v>4.0</v>
      </c>
      <c r="L1209" s="57">
        <v>-50.0</v>
      </c>
      <c r="M1209" s="58">
        <v>2.0</v>
      </c>
      <c r="N1209" s="33">
        <f t="shared" si="155"/>
        <v>100</v>
      </c>
      <c r="O1209" s="70"/>
      <c r="P1209" s="34">
        <f t="shared" si="14"/>
        <v>0</v>
      </c>
      <c r="Q1209" s="60"/>
      <c r="R1209" s="36">
        <f t="shared" si="156"/>
        <v>2</v>
      </c>
      <c r="S1209" s="71"/>
      <c r="T1209" s="37">
        <f t="shared" si="157"/>
        <v>-48</v>
      </c>
      <c r="U1209" s="62">
        <v>1.0</v>
      </c>
      <c r="V1209" s="63"/>
      <c r="W1209" s="63"/>
      <c r="X1209" s="83">
        <v>0.17</v>
      </c>
      <c r="Y1209" s="35">
        <f t="shared" si="163"/>
        <v>0</v>
      </c>
      <c r="Z1209" s="40">
        <f t="shared" si="159"/>
        <v>-40</v>
      </c>
      <c r="AA1209" s="65">
        <v>-8.0</v>
      </c>
      <c r="AB1209" s="41">
        <f t="shared" si="161"/>
        <v>0</v>
      </c>
      <c r="AC1209" s="42" t="b">
        <v>1</v>
      </c>
      <c r="AD1209" s="42" t="s">
        <v>138</v>
      </c>
      <c r="AE1209" s="42" t="s">
        <v>138</v>
      </c>
      <c r="AF1209" s="42" t="str">
        <f t="array" ref="AF1209">INDEX('Deal Info'!D:D, MATCH(A1209,'Deal Info'!A:A, 0))</f>
        <v>DoEV</v>
      </c>
      <c r="AG1209" s="43" t="str">
        <f t="array" ref="AG1209">INDEX('Deal Info'!G:G, MATCH(A1209,'Deal Info'!A:A, 0))</f>
        <v>None</v>
      </c>
    </row>
    <row r="1210" hidden="1">
      <c r="A1210" s="23" t="str">
        <f t="array" ref="A1210">if(G1210='Room Info'!$B$1, INDEX('Room Info'!$A$2:$A3446, MATCH(B1210,'Room Info'!$B$2:$B3446, 0)),if(G1210='Room Info'!$C$1, INDEX('Room Info'!$A$2:$A3446, MATCH(B1210,'Room Info'!$C$2:$C3446, 0)),if(G1210='Room Info'!$D$1, INDEX('Room Info'!$A$2:$A3446, MATCH(B1210,'Room Info'!$D$2:$D3446, 0)),if(G1210='Room Info'!$E$1, INDEX('Room Info'!$A$2:$A3446, MATCH(B1210,'Room Info'!$E$2:$E3446, 0)),if(G1210='Room Info'!$F$1, INDEX('Room Info'!$A$2:$A3446, MATCH(B1210,'Room Info'!$F$2:$F3446, 0)),if(G1210='Room Info'!$H$1, INDEX('Room Info'!$A$2:$A3446, MATCH(B1210,'Room Info'!$H$2:$H3446, 0)),if(G1210='Room Info'!$G$1, INDEX('Room Info'!$A$2:$A3446, MATCH(B1210,'Room Info'!$G$2:$G3446, 0)))))))))</f>
        <v>Rus29APX</v>
      </c>
      <c r="B1210" s="50" t="s">
        <v>212</v>
      </c>
      <c r="C1210" s="51">
        <v>44916.0</v>
      </c>
      <c r="D1210" s="51">
        <v>44957.0</v>
      </c>
      <c r="E1210" s="52">
        <v>44927.0</v>
      </c>
      <c r="F1210" s="50" t="s">
        <v>12</v>
      </c>
      <c r="G1210" s="59" t="s">
        <v>5</v>
      </c>
      <c r="H1210" s="54" t="s">
        <v>74</v>
      </c>
      <c r="I1210" s="54" t="s">
        <v>7</v>
      </c>
      <c r="J1210" s="55">
        <v>50.0</v>
      </c>
      <c r="K1210" s="56">
        <v>2.0</v>
      </c>
      <c r="L1210" s="57">
        <v>-100.0</v>
      </c>
      <c r="M1210" s="58">
        <v>2.0</v>
      </c>
      <c r="N1210" s="33">
        <f t="shared" si="155"/>
        <v>100</v>
      </c>
      <c r="O1210" s="70"/>
      <c r="P1210" s="34">
        <f t="shared" si="14"/>
        <v>0</v>
      </c>
      <c r="Q1210" s="60"/>
      <c r="R1210" s="36">
        <f t="shared" si="156"/>
        <v>2</v>
      </c>
      <c r="S1210" s="71"/>
      <c r="T1210" s="37">
        <f t="shared" si="157"/>
        <v>-98</v>
      </c>
      <c r="U1210" s="62">
        <v>1.0</v>
      </c>
      <c r="V1210" s="63"/>
      <c r="W1210" s="63"/>
      <c r="X1210" s="83">
        <v>0.17</v>
      </c>
      <c r="Y1210" s="35">
        <f t="shared" si="163"/>
        <v>0</v>
      </c>
      <c r="Z1210" s="40">
        <f t="shared" si="159"/>
        <v>-81</v>
      </c>
      <c r="AA1210" s="65">
        <v>-17.0</v>
      </c>
      <c r="AB1210" s="41">
        <f t="shared" si="161"/>
        <v>0</v>
      </c>
      <c r="AC1210" s="42" t="b">
        <v>1</v>
      </c>
      <c r="AD1210" s="42" t="s">
        <v>138</v>
      </c>
      <c r="AE1210" s="42" t="s">
        <v>138</v>
      </c>
      <c r="AF1210" s="42" t="str">
        <f t="array" ref="AF1210">INDEX('Deal Info'!D:D, MATCH(A1210,'Deal Info'!A:A, 0))</f>
        <v>DoEV</v>
      </c>
      <c r="AG1210" s="43" t="str">
        <f t="array" ref="AG1210">INDEX('Deal Info'!G:G, MATCH(A1210,'Deal Info'!A:A, 0))</f>
        <v>None</v>
      </c>
    </row>
    <row r="1211" hidden="1">
      <c r="A1211" s="23" t="str">
        <f t="array" ref="A1211">if(G1211='Room Info'!$B$1, INDEX('Room Info'!$A$2:$A3446, MATCH(B1211,'Room Info'!$B$2:$B3446, 0)),if(G1211='Room Info'!$C$1, INDEX('Room Info'!$A$2:$A3446, MATCH(B1211,'Room Info'!$C$2:$C3446, 0)),if(G1211='Room Info'!$D$1, INDEX('Room Info'!$A$2:$A3446, MATCH(B1211,'Room Info'!$D$2:$D3446, 0)),if(G1211='Room Info'!$E$1, INDEX('Room Info'!$A$2:$A3446, MATCH(B1211,'Room Info'!$E$2:$E3446, 0)),if(G1211='Room Info'!$F$1, INDEX('Room Info'!$A$2:$A3446, MATCH(B1211,'Room Info'!$F$2:$F3446, 0)),if(G1211='Room Info'!$H$1, INDEX('Room Info'!$A$2:$A3446, MATCH(B1211,'Room Info'!$H$2:$H3446, 0)),if(G1211='Room Info'!$G$1, INDEX('Room Info'!$A$2:$A3446, MATCH(B1211,'Room Info'!$G$2:$G3446, 0)))))))))</f>
        <v>Rus29APX</v>
      </c>
      <c r="B1211" s="50" t="s">
        <v>212</v>
      </c>
      <c r="C1211" s="51">
        <v>44916.0</v>
      </c>
      <c r="D1211" s="51">
        <v>44957.0</v>
      </c>
      <c r="E1211" s="52">
        <v>44927.0</v>
      </c>
      <c r="F1211" s="50" t="s">
        <v>12</v>
      </c>
      <c r="G1211" s="59" t="s">
        <v>5</v>
      </c>
      <c r="H1211" s="54" t="s">
        <v>35</v>
      </c>
      <c r="I1211" s="54" t="s">
        <v>7</v>
      </c>
      <c r="J1211" s="55">
        <v>5.0</v>
      </c>
      <c r="K1211" s="56">
        <v>1.0</v>
      </c>
      <c r="L1211" s="57">
        <v>20.0</v>
      </c>
      <c r="M1211" s="67"/>
      <c r="N1211" s="33">
        <f t="shared" si="155"/>
        <v>5</v>
      </c>
      <c r="O1211" s="70"/>
      <c r="P1211" s="34">
        <f t="shared" si="14"/>
        <v>0</v>
      </c>
      <c r="Q1211" s="60"/>
      <c r="R1211" s="36">
        <f t="shared" si="156"/>
        <v>0</v>
      </c>
      <c r="S1211" s="71"/>
      <c r="T1211" s="37">
        <f t="shared" si="157"/>
        <v>20</v>
      </c>
      <c r="U1211" s="62">
        <v>1.0</v>
      </c>
      <c r="V1211" s="63"/>
      <c r="W1211" s="63"/>
      <c r="X1211" s="83">
        <v>0.17</v>
      </c>
      <c r="Y1211" s="35">
        <f t="shared" si="163"/>
        <v>0</v>
      </c>
      <c r="Z1211" s="40">
        <f t="shared" si="159"/>
        <v>17</v>
      </c>
      <c r="AA1211" s="65">
        <v>3.0</v>
      </c>
      <c r="AB1211" s="41">
        <f t="shared" si="161"/>
        <v>0</v>
      </c>
      <c r="AC1211" s="42" t="b">
        <v>1</v>
      </c>
      <c r="AD1211" s="42" t="s">
        <v>138</v>
      </c>
      <c r="AE1211" s="42" t="s">
        <v>138</v>
      </c>
      <c r="AF1211" s="42" t="str">
        <f t="array" ref="AF1211">INDEX('Deal Info'!D:D, MATCH(A1211,'Deal Info'!A:A, 0))</f>
        <v>DoEV</v>
      </c>
      <c r="AG1211" s="43" t="str">
        <f t="array" ref="AG1211">INDEX('Deal Info'!G:G, MATCH(A1211,'Deal Info'!A:A, 0))</f>
        <v>None</v>
      </c>
    </row>
    <row r="1212" hidden="1">
      <c r="A1212" s="23" t="str">
        <f t="array" ref="A1212">if(G1212='Room Info'!$B$1, INDEX('Room Info'!$A$2:$A3446, MATCH(B1212,'Room Info'!$B$2:$B3446, 0)),if(G1212='Room Info'!$C$1, INDEX('Room Info'!$A$2:$A3446, MATCH(B1212,'Room Info'!$C$2:$C3446, 0)),if(G1212='Room Info'!$D$1, INDEX('Room Info'!$A$2:$A3446, MATCH(B1212,'Room Info'!$D$2:$D3446, 0)),if(G1212='Room Info'!$E$1, INDEX('Room Info'!$A$2:$A3446, MATCH(B1212,'Room Info'!$E$2:$E3446, 0)),if(G1212='Room Info'!$F$1, INDEX('Room Info'!$A$2:$A3446, MATCH(B1212,'Room Info'!$F$2:$F3446, 0)),if(G1212='Room Info'!$H$1, INDEX('Room Info'!$A$2:$A3446, MATCH(B1212,'Room Info'!$H$2:$H3446, 0)),if(G1212='Room Info'!$G$1, INDEX('Room Info'!$A$2:$A3446, MATCH(B1212,'Room Info'!$G$2:$G3446, 0)))))))))</f>
        <v>Sun_Set_pro8</v>
      </c>
      <c r="B1212" s="50" t="s">
        <v>154</v>
      </c>
      <c r="C1212" s="51">
        <v>44503.0</v>
      </c>
      <c r="D1212" s="51">
        <v>44530.0</v>
      </c>
      <c r="E1212" s="52">
        <v>44501.0</v>
      </c>
      <c r="F1212" s="53" t="s">
        <v>12</v>
      </c>
      <c r="G1212" s="59" t="s">
        <v>5</v>
      </c>
      <c r="H1212" s="54" t="s">
        <v>45</v>
      </c>
      <c r="I1212" s="54" t="s">
        <v>7</v>
      </c>
      <c r="J1212" s="55">
        <v>10.0</v>
      </c>
      <c r="K1212" s="56">
        <v>1.0</v>
      </c>
      <c r="L1212" s="57">
        <v>-10.0</v>
      </c>
      <c r="M1212" s="67"/>
      <c r="N1212" s="33">
        <f t="shared" si="155"/>
        <v>10</v>
      </c>
      <c r="O1212" s="59">
        <v>-435.0</v>
      </c>
      <c r="P1212" s="34">
        <f t="shared" si="14"/>
        <v>-435</v>
      </c>
      <c r="Q1212" s="60"/>
      <c r="R1212" s="36">
        <f t="shared" si="156"/>
        <v>0</v>
      </c>
      <c r="S1212" s="61"/>
      <c r="T1212" s="37">
        <f t="shared" si="157"/>
        <v>-10</v>
      </c>
      <c r="U1212" s="62">
        <v>1.0</v>
      </c>
      <c r="V1212" s="63"/>
      <c r="W1212" s="63"/>
      <c r="X1212" s="83">
        <v>0.25</v>
      </c>
      <c r="Y1212" s="35">
        <f t="shared" si="163"/>
        <v>0</v>
      </c>
      <c r="Z1212" s="40">
        <f t="shared" si="159"/>
        <v>-7.5</v>
      </c>
      <c r="AA1212" s="34">
        <f t="shared" ref="AA1212:AA1231" si="166">if(AD1212="EUR",((T1212-R1212)*X1212)*U1212+(R1212*X1212),(T1212*X1212))</f>
        <v>-2.5</v>
      </c>
      <c r="AB1212" s="41">
        <f t="shared" si="161"/>
        <v>0</v>
      </c>
      <c r="AC1212" s="42" t="b">
        <v>1</v>
      </c>
      <c r="AD1212" s="66" t="s">
        <v>138</v>
      </c>
      <c r="AE1212" s="88" t="s">
        <v>138</v>
      </c>
      <c r="AF1212" s="42" t="str">
        <f t="array" ref="AF1212">INDEX('Deal Info'!D:D, MATCH(A1212,'Deal Info'!A:A, 0))</f>
        <v>DoEVold</v>
      </c>
      <c r="AG1212" s="43" t="str">
        <f t="array" ref="AG1212">INDEX('Deal Info'!G:G, MATCH(A1212,'Deal Info'!A:A, 0))</f>
        <v>None</v>
      </c>
    </row>
    <row r="1213" hidden="1">
      <c r="A1213" s="23" t="str">
        <f t="array" ref="A1213">if(G1213='Room Info'!$B$1, INDEX('Room Info'!$A$2:$A3446, MATCH(B1213,'Room Info'!$B$2:$B3446, 0)),if(G1213='Room Info'!$C$1, INDEX('Room Info'!$A$2:$A3446, MATCH(B1213,'Room Info'!$C$2:$C3446, 0)),if(G1213='Room Info'!$D$1, INDEX('Room Info'!$A$2:$A3446, MATCH(B1213,'Room Info'!$D$2:$D3446, 0)),if(G1213='Room Info'!$E$1, INDEX('Room Info'!$A$2:$A3446, MATCH(B1213,'Room Info'!$E$2:$E3446, 0)),if(G1213='Room Info'!$F$1, INDEX('Room Info'!$A$2:$A3446, MATCH(B1213,'Room Info'!$F$2:$F3446, 0)),if(G1213='Room Info'!$H$1, INDEX('Room Info'!$A$2:$A3446, MATCH(B1213,'Room Info'!$H$2:$H3446, 0)),if(G1213='Room Info'!$G$1, INDEX('Room Info'!$A$2:$A3446, MATCH(B1213,'Room Info'!$G$2:$G3446, 0)))))))))</f>
        <v>Sun_Set_pro8</v>
      </c>
      <c r="B1213" s="50" t="s">
        <v>154</v>
      </c>
      <c r="C1213" s="51">
        <v>44503.0</v>
      </c>
      <c r="D1213" s="51">
        <v>44530.0</v>
      </c>
      <c r="E1213" s="52">
        <v>44501.0</v>
      </c>
      <c r="F1213" s="53" t="s">
        <v>12</v>
      </c>
      <c r="G1213" s="50" t="s">
        <v>5</v>
      </c>
      <c r="H1213" s="54" t="s">
        <v>62</v>
      </c>
      <c r="I1213" s="54" t="s">
        <v>7</v>
      </c>
      <c r="J1213" s="55">
        <v>25.0</v>
      </c>
      <c r="K1213" s="56">
        <v>16.0</v>
      </c>
      <c r="L1213" s="57">
        <v>-125.0</v>
      </c>
      <c r="M1213" s="58">
        <v>19.0</v>
      </c>
      <c r="N1213" s="33">
        <f t="shared" si="155"/>
        <v>400</v>
      </c>
      <c r="O1213" s="59">
        <v>-3881.0</v>
      </c>
      <c r="P1213" s="34">
        <f t="shared" si="14"/>
        <v>-242.5625</v>
      </c>
      <c r="Q1213" s="60"/>
      <c r="R1213" s="36">
        <f t="shared" si="156"/>
        <v>19</v>
      </c>
      <c r="S1213" s="61"/>
      <c r="T1213" s="37">
        <f t="shared" si="157"/>
        <v>-106</v>
      </c>
      <c r="U1213" s="62">
        <v>1.0</v>
      </c>
      <c r="V1213" s="63"/>
      <c r="W1213" s="63"/>
      <c r="X1213" s="83">
        <v>0.25</v>
      </c>
      <c r="Y1213" s="35">
        <f t="shared" si="163"/>
        <v>0</v>
      </c>
      <c r="Z1213" s="40">
        <f t="shared" si="159"/>
        <v>-79.5</v>
      </c>
      <c r="AA1213" s="34">
        <f t="shared" si="166"/>
        <v>-26.5</v>
      </c>
      <c r="AB1213" s="41">
        <f t="shared" si="161"/>
        <v>0</v>
      </c>
      <c r="AC1213" s="42" t="b">
        <v>1</v>
      </c>
      <c r="AD1213" s="66" t="s">
        <v>138</v>
      </c>
      <c r="AE1213" s="88" t="s">
        <v>138</v>
      </c>
      <c r="AF1213" s="42" t="str">
        <f t="array" ref="AF1213">INDEX('Deal Info'!D:D, MATCH(A1213,'Deal Info'!A:A, 0))</f>
        <v>DoEVold</v>
      </c>
      <c r="AG1213" s="43" t="str">
        <f t="array" ref="AG1213">INDEX('Deal Info'!G:G, MATCH(A1213,'Deal Info'!A:A, 0))</f>
        <v>None</v>
      </c>
    </row>
    <row r="1214" hidden="1">
      <c r="A1214" s="23" t="str">
        <f t="array" ref="A1214">if(G1214='Room Info'!$B$1, INDEX('Room Info'!$A$2:$A3446, MATCH(B1214,'Room Info'!$B$2:$B3446, 0)),if(G1214='Room Info'!$C$1, INDEX('Room Info'!$A$2:$A3446, MATCH(B1214,'Room Info'!$C$2:$C3446, 0)),if(G1214='Room Info'!$D$1, INDEX('Room Info'!$A$2:$A3446, MATCH(B1214,'Room Info'!$D$2:$D3446, 0)),if(G1214='Room Info'!$E$1, INDEX('Room Info'!$A$2:$A3446, MATCH(B1214,'Room Info'!$E$2:$E3446, 0)),if(G1214='Room Info'!$F$1, INDEX('Room Info'!$A$2:$A3446, MATCH(B1214,'Room Info'!$F$2:$F3446, 0)),if(G1214='Room Info'!$H$1, INDEX('Room Info'!$A$2:$A3446, MATCH(B1214,'Room Info'!$H$2:$H3446, 0)),if(G1214='Room Info'!$G$1, INDEX('Room Info'!$A$2:$A3446, MATCH(B1214,'Room Info'!$G$2:$G3446, 0)))))))))</f>
        <v>Sun_Set_pro8</v>
      </c>
      <c r="B1214" s="50" t="s">
        <v>154</v>
      </c>
      <c r="C1214" s="51">
        <v>44503.0</v>
      </c>
      <c r="D1214" s="51">
        <v>44530.0</v>
      </c>
      <c r="E1214" s="52">
        <v>44501.0</v>
      </c>
      <c r="F1214" s="53" t="s">
        <v>12</v>
      </c>
      <c r="G1214" s="50" t="s">
        <v>5</v>
      </c>
      <c r="H1214" s="54" t="s">
        <v>48</v>
      </c>
      <c r="I1214" s="54" t="s">
        <v>11</v>
      </c>
      <c r="J1214" s="55">
        <v>10.0</v>
      </c>
      <c r="K1214" s="56">
        <v>545.0</v>
      </c>
      <c r="L1214" s="57">
        <v>-1050.0</v>
      </c>
      <c r="M1214" s="58">
        <v>299.0</v>
      </c>
      <c r="N1214" s="33">
        <f t="shared" si="155"/>
        <v>5450</v>
      </c>
      <c r="O1214" s="59">
        <v>6075.0</v>
      </c>
      <c r="P1214" s="34">
        <f t="shared" si="14"/>
        <v>11.14678899</v>
      </c>
      <c r="Q1214" s="60"/>
      <c r="R1214" s="36">
        <f t="shared" si="156"/>
        <v>299</v>
      </c>
      <c r="S1214" s="61"/>
      <c r="T1214" s="37">
        <f t="shared" si="157"/>
        <v>-751</v>
      </c>
      <c r="U1214" s="62">
        <v>1.0</v>
      </c>
      <c r="V1214" s="63"/>
      <c r="W1214" s="63"/>
      <c r="X1214" s="83">
        <v>0.25</v>
      </c>
      <c r="Y1214" s="35">
        <f t="shared" si="163"/>
        <v>0</v>
      </c>
      <c r="Z1214" s="40">
        <f t="shared" si="159"/>
        <v>-563.25</v>
      </c>
      <c r="AA1214" s="34">
        <f t="shared" si="166"/>
        <v>-187.75</v>
      </c>
      <c r="AB1214" s="41">
        <f t="shared" si="161"/>
        <v>0</v>
      </c>
      <c r="AC1214" s="42" t="b">
        <v>1</v>
      </c>
      <c r="AD1214" s="66" t="s">
        <v>138</v>
      </c>
      <c r="AE1214" s="88" t="s">
        <v>138</v>
      </c>
      <c r="AF1214" s="42" t="str">
        <f t="array" ref="AF1214">INDEX('Deal Info'!D:D, MATCH(A1214,'Deal Info'!A:A, 0))</f>
        <v>DoEVold</v>
      </c>
      <c r="AG1214" s="43" t="str">
        <f t="array" ref="AG1214">INDEX('Deal Info'!G:G, MATCH(A1214,'Deal Info'!A:A, 0))</f>
        <v>None</v>
      </c>
    </row>
    <row r="1215" hidden="1">
      <c r="A1215" s="23" t="str">
        <f t="array" ref="A1215">if(G1215='Room Info'!$B$1, INDEX('Room Info'!$A$2:$A3446, MATCH(B1215,'Room Info'!$B$2:$B3446, 0)),if(G1215='Room Info'!$C$1, INDEX('Room Info'!$A$2:$A3446, MATCH(B1215,'Room Info'!$C$2:$C3446, 0)),if(G1215='Room Info'!$D$1, INDEX('Room Info'!$A$2:$A3446, MATCH(B1215,'Room Info'!$D$2:$D3446, 0)),if(G1215='Room Info'!$E$1, INDEX('Room Info'!$A$2:$A3446, MATCH(B1215,'Room Info'!$E$2:$E3446, 0)),if(G1215='Room Info'!$F$1, INDEX('Room Info'!$A$2:$A3446, MATCH(B1215,'Room Info'!$F$2:$F3446, 0)),if(G1215='Room Info'!$H$1, INDEX('Room Info'!$A$2:$A3446, MATCH(B1215,'Room Info'!$H$2:$H3446, 0)),if(G1215='Room Info'!$G$1, INDEX('Room Info'!$A$2:$A3446, MATCH(B1215,'Room Info'!$G$2:$G3446, 0)))))))))</f>
        <v>Sun_Set_pro8</v>
      </c>
      <c r="B1215" s="50" t="s">
        <v>154</v>
      </c>
      <c r="C1215" s="51">
        <v>44503.0</v>
      </c>
      <c r="D1215" s="51">
        <v>44530.0</v>
      </c>
      <c r="E1215" s="52">
        <v>44501.0</v>
      </c>
      <c r="F1215" s="53" t="s">
        <v>12</v>
      </c>
      <c r="G1215" s="50" t="s">
        <v>5</v>
      </c>
      <c r="H1215" s="54" t="s">
        <v>63</v>
      </c>
      <c r="I1215" s="54" t="s">
        <v>11</v>
      </c>
      <c r="J1215" s="55">
        <v>25.0</v>
      </c>
      <c r="K1215" s="56">
        <v>1668.0</v>
      </c>
      <c r="L1215" s="57">
        <v>-425.0</v>
      </c>
      <c r="M1215" s="58">
        <v>1967.0</v>
      </c>
      <c r="N1215" s="33">
        <f t="shared" si="155"/>
        <v>41700</v>
      </c>
      <c r="O1215" s="59">
        <v>20880.0</v>
      </c>
      <c r="P1215" s="34">
        <f t="shared" si="14"/>
        <v>12.51798561</v>
      </c>
      <c r="Q1215" s="60"/>
      <c r="R1215" s="36">
        <f t="shared" si="156"/>
        <v>1967</v>
      </c>
      <c r="S1215" s="61"/>
      <c r="T1215" s="37">
        <f t="shared" si="157"/>
        <v>1542</v>
      </c>
      <c r="U1215" s="62">
        <v>1.0</v>
      </c>
      <c r="V1215" s="63"/>
      <c r="W1215" s="63"/>
      <c r="X1215" s="83">
        <v>0.25</v>
      </c>
      <c r="Y1215" s="35">
        <f t="shared" si="163"/>
        <v>0</v>
      </c>
      <c r="Z1215" s="40">
        <f t="shared" si="159"/>
        <v>1156.5</v>
      </c>
      <c r="AA1215" s="34">
        <f t="shared" si="166"/>
        <v>385.5</v>
      </c>
      <c r="AB1215" s="41">
        <f t="shared" si="161"/>
        <v>0</v>
      </c>
      <c r="AC1215" s="42" t="b">
        <v>1</v>
      </c>
      <c r="AD1215" s="66" t="s">
        <v>138</v>
      </c>
      <c r="AE1215" s="88" t="s">
        <v>138</v>
      </c>
      <c r="AF1215" s="42" t="str">
        <f t="array" ref="AF1215">INDEX('Deal Info'!D:D, MATCH(A1215,'Deal Info'!A:A, 0))</f>
        <v>DoEVold</v>
      </c>
      <c r="AG1215" s="43" t="str">
        <f t="array" ref="AG1215">INDEX('Deal Info'!G:G, MATCH(A1215,'Deal Info'!A:A, 0))</f>
        <v>None</v>
      </c>
    </row>
    <row r="1216" hidden="1">
      <c r="A1216" s="23" t="str">
        <f t="array" ref="A1216">if(G1216='Room Info'!$B$1, INDEX('Room Info'!$A$2:$A3446, MATCH(B1216,'Room Info'!$B$2:$B3446, 0)),if(G1216='Room Info'!$C$1, INDEX('Room Info'!$A$2:$A3446, MATCH(B1216,'Room Info'!$C$2:$C3446, 0)),if(G1216='Room Info'!$D$1, INDEX('Room Info'!$A$2:$A3446, MATCH(B1216,'Room Info'!$D$2:$D3446, 0)),if(G1216='Room Info'!$E$1, INDEX('Room Info'!$A$2:$A3446, MATCH(B1216,'Room Info'!$E$2:$E3446, 0)),if(G1216='Room Info'!$F$1, INDEX('Room Info'!$A$2:$A3446, MATCH(B1216,'Room Info'!$F$2:$F3446, 0)),if(G1216='Room Info'!$H$1, INDEX('Room Info'!$A$2:$A3446, MATCH(B1216,'Room Info'!$H$2:$H3446, 0)),if(G1216='Room Info'!$G$1, INDEX('Room Info'!$A$2:$A3446, MATCH(B1216,'Room Info'!$G$2:$G3446, 0)))))))))</f>
        <v>Sun_Set_pro8</v>
      </c>
      <c r="B1216" s="50" t="s">
        <v>154</v>
      </c>
      <c r="C1216" s="51">
        <v>44531.0</v>
      </c>
      <c r="D1216" s="51">
        <v>44561.0</v>
      </c>
      <c r="E1216" s="52">
        <v>44531.0</v>
      </c>
      <c r="F1216" s="53" t="s">
        <v>12</v>
      </c>
      <c r="G1216" s="50" t="s">
        <v>5</v>
      </c>
      <c r="H1216" s="54" t="s">
        <v>48</v>
      </c>
      <c r="I1216" s="54" t="s">
        <v>11</v>
      </c>
      <c r="J1216" s="55">
        <v>10.0</v>
      </c>
      <c r="K1216" s="56">
        <v>694.0</v>
      </c>
      <c r="L1216" s="57">
        <v>-320.0</v>
      </c>
      <c r="M1216" s="58">
        <v>305.0</v>
      </c>
      <c r="N1216" s="33">
        <f t="shared" si="155"/>
        <v>6940</v>
      </c>
      <c r="O1216" s="59">
        <v>13186.0</v>
      </c>
      <c r="P1216" s="34">
        <f t="shared" si="14"/>
        <v>19</v>
      </c>
      <c r="Q1216" s="60"/>
      <c r="R1216" s="36">
        <f t="shared" si="156"/>
        <v>305</v>
      </c>
      <c r="S1216" s="61"/>
      <c r="T1216" s="37">
        <f t="shared" si="157"/>
        <v>-15</v>
      </c>
      <c r="U1216" s="62">
        <v>1.0</v>
      </c>
      <c r="V1216" s="63"/>
      <c r="W1216" s="63"/>
      <c r="X1216" s="83">
        <v>0.25</v>
      </c>
      <c r="Y1216" s="35">
        <f t="shared" si="163"/>
        <v>0</v>
      </c>
      <c r="Z1216" s="40">
        <f t="shared" si="159"/>
        <v>-11.25</v>
      </c>
      <c r="AA1216" s="34">
        <f t="shared" si="166"/>
        <v>-3.75</v>
      </c>
      <c r="AB1216" s="41">
        <f t="shared" si="161"/>
        <v>0</v>
      </c>
      <c r="AC1216" s="42" t="b">
        <v>1</v>
      </c>
      <c r="AD1216" s="66" t="s">
        <v>138</v>
      </c>
      <c r="AE1216" s="88" t="s">
        <v>138</v>
      </c>
      <c r="AF1216" s="42" t="str">
        <f t="array" ref="AF1216">INDEX('Deal Info'!D:D, MATCH(A1216,'Deal Info'!A:A, 0))</f>
        <v>DoEVold</v>
      </c>
      <c r="AG1216" s="43" t="str">
        <f t="array" ref="AG1216">INDEX('Deal Info'!G:G, MATCH(A1216,'Deal Info'!A:A, 0))</f>
        <v>None</v>
      </c>
    </row>
    <row r="1217" hidden="1">
      <c r="A1217" s="23" t="str">
        <f t="array" ref="A1217">if(G1217='Room Info'!$B$1, INDEX('Room Info'!$A$2:$A3446, MATCH(B1217,'Room Info'!$B$2:$B3446, 0)),if(G1217='Room Info'!$C$1, INDEX('Room Info'!$A$2:$A3446, MATCH(B1217,'Room Info'!$C$2:$C3446, 0)),if(G1217='Room Info'!$D$1, INDEX('Room Info'!$A$2:$A3446, MATCH(B1217,'Room Info'!$D$2:$D3446, 0)),if(G1217='Room Info'!$E$1, INDEX('Room Info'!$A$2:$A3446, MATCH(B1217,'Room Info'!$E$2:$E3446, 0)),if(G1217='Room Info'!$F$1, INDEX('Room Info'!$A$2:$A3446, MATCH(B1217,'Room Info'!$F$2:$F3446, 0)),if(G1217='Room Info'!$H$1, INDEX('Room Info'!$A$2:$A3446, MATCH(B1217,'Room Info'!$H$2:$H3446, 0)),if(G1217='Room Info'!$G$1, INDEX('Room Info'!$A$2:$A3446, MATCH(B1217,'Room Info'!$G$2:$G3446, 0)))))))))</f>
        <v>Sun_Set_pro8</v>
      </c>
      <c r="B1217" s="50" t="s">
        <v>154</v>
      </c>
      <c r="C1217" s="51">
        <v>44531.0</v>
      </c>
      <c r="D1217" s="51">
        <v>44561.0</v>
      </c>
      <c r="E1217" s="52">
        <v>44531.0</v>
      </c>
      <c r="F1217" s="53" t="s">
        <v>12</v>
      </c>
      <c r="G1217" s="50" t="s">
        <v>5</v>
      </c>
      <c r="H1217" s="54" t="s">
        <v>63</v>
      </c>
      <c r="I1217" s="54" t="s">
        <v>11</v>
      </c>
      <c r="J1217" s="55">
        <v>25.0</v>
      </c>
      <c r="K1217" s="56">
        <v>2392.0</v>
      </c>
      <c r="L1217" s="57">
        <v>-1600.0</v>
      </c>
      <c r="M1217" s="58">
        <v>2255.0</v>
      </c>
      <c r="N1217" s="33">
        <f t="shared" si="155"/>
        <v>59800</v>
      </c>
      <c r="O1217" s="59">
        <v>33488.0</v>
      </c>
      <c r="P1217" s="34">
        <f t="shared" si="14"/>
        <v>14</v>
      </c>
      <c r="Q1217" s="60"/>
      <c r="R1217" s="36">
        <f t="shared" si="156"/>
        <v>2255</v>
      </c>
      <c r="S1217" s="61"/>
      <c r="T1217" s="37">
        <f t="shared" si="157"/>
        <v>655</v>
      </c>
      <c r="U1217" s="62">
        <v>1.0</v>
      </c>
      <c r="V1217" s="63"/>
      <c r="W1217" s="63"/>
      <c r="X1217" s="83">
        <v>0.25</v>
      </c>
      <c r="Y1217" s="35">
        <f t="shared" si="163"/>
        <v>0</v>
      </c>
      <c r="Z1217" s="40">
        <f t="shared" si="159"/>
        <v>491.25</v>
      </c>
      <c r="AA1217" s="34">
        <f t="shared" si="166"/>
        <v>163.75</v>
      </c>
      <c r="AB1217" s="41">
        <f t="shared" si="161"/>
        <v>0</v>
      </c>
      <c r="AC1217" s="42" t="b">
        <v>1</v>
      </c>
      <c r="AD1217" s="66" t="s">
        <v>138</v>
      </c>
      <c r="AE1217" s="88" t="s">
        <v>138</v>
      </c>
      <c r="AF1217" s="42" t="str">
        <f t="array" ref="AF1217">INDEX('Deal Info'!D:D, MATCH(A1217,'Deal Info'!A:A, 0))</f>
        <v>DoEVold</v>
      </c>
      <c r="AG1217" s="43" t="str">
        <f t="array" ref="AG1217">INDEX('Deal Info'!G:G, MATCH(A1217,'Deal Info'!A:A, 0))</f>
        <v>None</v>
      </c>
    </row>
    <row r="1218" hidden="1">
      <c r="A1218" s="23" t="s">
        <v>154</v>
      </c>
      <c r="B1218" s="50" t="s">
        <v>154</v>
      </c>
      <c r="C1218" s="51">
        <v>44562.0</v>
      </c>
      <c r="D1218" s="51">
        <v>44581.0</v>
      </c>
      <c r="E1218" s="52">
        <v>44562.0</v>
      </c>
      <c r="F1218" s="53" t="s">
        <v>12</v>
      </c>
      <c r="G1218" s="50" t="s">
        <v>13</v>
      </c>
      <c r="H1218" s="54" t="s">
        <v>59</v>
      </c>
      <c r="I1218" s="54" t="s">
        <v>18</v>
      </c>
      <c r="J1218" s="55">
        <v>20.0</v>
      </c>
      <c r="K1218" s="56">
        <v>413.0</v>
      </c>
      <c r="L1218" s="57">
        <v>40.0</v>
      </c>
      <c r="M1218" s="58">
        <v>200.0</v>
      </c>
      <c r="N1218" s="33">
        <f t="shared" si="155"/>
        <v>8260</v>
      </c>
      <c r="O1218" s="59">
        <v>6156.0</v>
      </c>
      <c r="P1218" s="34">
        <f t="shared" si="14"/>
        <v>14.90556901</v>
      </c>
      <c r="Q1218" s="60"/>
      <c r="R1218" s="36">
        <f t="shared" si="156"/>
        <v>200</v>
      </c>
      <c r="S1218" s="61"/>
      <c r="T1218" s="37">
        <f t="shared" si="157"/>
        <v>240</v>
      </c>
      <c r="U1218" s="62">
        <v>1.0</v>
      </c>
      <c r="V1218" s="63"/>
      <c r="W1218" s="63"/>
      <c r="X1218" s="83">
        <v>0.25</v>
      </c>
      <c r="Y1218" s="35">
        <f t="shared" si="163"/>
        <v>0</v>
      </c>
      <c r="Z1218" s="40">
        <f t="shared" si="159"/>
        <v>180</v>
      </c>
      <c r="AA1218" s="34">
        <f t="shared" si="166"/>
        <v>60</v>
      </c>
      <c r="AB1218" s="41">
        <f t="shared" si="161"/>
        <v>0</v>
      </c>
      <c r="AC1218" s="42" t="b">
        <v>1</v>
      </c>
      <c r="AD1218" s="66" t="s">
        <v>138</v>
      </c>
      <c r="AE1218" s="88" t="s">
        <v>138</v>
      </c>
      <c r="AF1218" s="42" t="str">
        <f t="array" ref="AF1218">INDEX('Deal Info'!D:D, MATCH(A1218,'Deal Info'!A:A, 0))</f>
        <v>DoEVold</v>
      </c>
      <c r="AG1218" s="43" t="str">
        <f t="array" ref="AG1218">INDEX('Deal Info'!G:G, MATCH(A1218,'Deal Info'!A:A, 0))</f>
        <v>None</v>
      </c>
    </row>
    <row r="1219" hidden="1">
      <c r="A1219" s="23" t="s">
        <v>154</v>
      </c>
      <c r="B1219" s="59" t="s">
        <v>154</v>
      </c>
      <c r="C1219" s="51">
        <v>44562.0</v>
      </c>
      <c r="D1219" s="51">
        <v>44581.0</v>
      </c>
      <c r="E1219" s="52">
        <v>44562.0</v>
      </c>
      <c r="F1219" s="53" t="s">
        <v>12</v>
      </c>
      <c r="G1219" s="59" t="s">
        <v>13</v>
      </c>
      <c r="H1219" s="59" t="s">
        <v>45</v>
      </c>
      <c r="I1219" s="54" t="s">
        <v>18</v>
      </c>
      <c r="J1219" s="55">
        <v>10.0</v>
      </c>
      <c r="K1219" s="56">
        <v>400.0</v>
      </c>
      <c r="L1219" s="111">
        <v>60.0</v>
      </c>
      <c r="M1219" s="58">
        <v>135.0</v>
      </c>
      <c r="N1219" s="33">
        <f t="shared" si="155"/>
        <v>4000</v>
      </c>
      <c r="O1219" s="112">
        <v>2389.0</v>
      </c>
      <c r="P1219" s="34">
        <f t="shared" si="14"/>
        <v>5.9725</v>
      </c>
      <c r="Q1219" s="60"/>
      <c r="R1219" s="36">
        <f t="shared" si="156"/>
        <v>135</v>
      </c>
      <c r="S1219" s="113"/>
      <c r="T1219" s="37">
        <f t="shared" si="157"/>
        <v>195</v>
      </c>
      <c r="U1219" s="62">
        <v>1.0</v>
      </c>
      <c r="V1219" s="63"/>
      <c r="W1219" s="63"/>
      <c r="X1219" s="83">
        <v>0.25</v>
      </c>
      <c r="Y1219" s="35">
        <f t="shared" si="163"/>
        <v>0</v>
      </c>
      <c r="Z1219" s="40">
        <f t="shared" si="159"/>
        <v>146.25</v>
      </c>
      <c r="AA1219" s="34">
        <f t="shared" si="166"/>
        <v>48.75</v>
      </c>
      <c r="AB1219" s="41">
        <f t="shared" si="161"/>
        <v>0</v>
      </c>
      <c r="AC1219" s="42" t="b">
        <v>1</v>
      </c>
      <c r="AD1219" s="66" t="s">
        <v>138</v>
      </c>
      <c r="AE1219" s="88" t="s">
        <v>138</v>
      </c>
      <c r="AF1219" s="42" t="str">
        <f t="array" ref="AF1219">INDEX('Deal Info'!D:D, MATCH(A1219,'Deal Info'!A:A, 0))</f>
        <v>DoEVold</v>
      </c>
      <c r="AG1219" s="43" t="str">
        <f t="array" ref="AG1219">INDEX('Deal Info'!G:G, MATCH(A1219,'Deal Info'!A:A, 0))</f>
        <v>None</v>
      </c>
    </row>
    <row r="1220" hidden="1">
      <c r="A1220" s="23" t="s">
        <v>154</v>
      </c>
      <c r="B1220" s="59" t="s">
        <v>154</v>
      </c>
      <c r="C1220" s="51">
        <v>44582.0</v>
      </c>
      <c r="D1220" s="51">
        <v>44592.0</v>
      </c>
      <c r="E1220" s="52">
        <v>44562.0</v>
      </c>
      <c r="F1220" s="53" t="s">
        <v>8</v>
      </c>
      <c r="G1220" s="59" t="s">
        <v>13</v>
      </c>
      <c r="H1220" s="59" t="s">
        <v>59</v>
      </c>
      <c r="I1220" s="54" t="s">
        <v>18</v>
      </c>
      <c r="J1220" s="55">
        <v>20.0</v>
      </c>
      <c r="K1220" s="56">
        <v>1514.0</v>
      </c>
      <c r="L1220" s="111">
        <v>-560.0</v>
      </c>
      <c r="M1220" s="58">
        <v>887.0</v>
      </c>
      <c r="N1220" s="33">
        <f t="shared" si="155"/>
        <v>30280</v>
      </c>
      <c r="O1220" s="112">
        <v>17446.0</v>
      </c>
      <c r="P1220" s="34">
        <f t="shared" si="14"/>
        <v>11.52311757</v>
      </c>
      <c r="Q1220" s="60"/>
      <c r="R1220" s="36">
        <f t="shared" si="156"/>
        <v>887</v>
      </c>
      <c r="S1220" s="113">
        <v>-1128.0</v>
      </c>
      <c r="T1220" s="37">
        <f t="shared" si="157"/>
        <v>-241</v>
      </c>
      <c r="U1220" s="62">
        <v>1.0</v>
      </c>
      <c r="V1220" s="63"/>
      <c r="W1220" s="63"/>
      <c r="X1220" s="83">
        <v>0.25</v>
      </c>
      <c r="Y1220" s="35">
        <f t="shared" si="163"/>
        <v>0</v>
      </c>
      <c r="Z1220" s="40">
        <f t="shared" si="159"/>
        <v>-180.75</v>
      </c>
      <c r="AA1220" s="34">
        <f t="shared" si="166"/>
        <v>-60.25</v>
      </c>
      <c r="AB1220" s="41">
        <f t="shared" si="161"/>
        <v>0</v>
      </c>
      <c r="AC1220" s="42" t="b">
        <v>1</v>
      </c>
      <c r="AD1220" s="66" t="s">
        <v>138</v>
      </c>
      <c r="AE1220" s="88" t="s">
        <v>138</v>
      </c>
      <c r="AF1220" s="42" t="str">
        <f t="array" ref="AF1220">INDEX('Deal Info'!D:D, MATCH(A1220,'Deal Info'!A:A, 0))</f>
        <v>DoEVold</v>
      </c>
      <c r="AG1220" s="43" t="str">
        <f t="array" ref="AG1220">INDEX('Deal Info'!G:G, MATCH(A1220,'Deal Info'!A:A, 0))</f>
        <v>None</v>
      </c>
    </row>
    <row r="1221" hidden="1">
      <c r="A1221" s="23" t="s">
        <v>154</v>
      </c>
      <c r="B1221" s="59" t="s">
        <v>154</v>
      </c>
      <c r="C1221" s="51">
        <v>44582.0</v>
      </c>
      <c r="D1221" s="51">
        <v>44592.0</v>
      </c>
      <c r="E1221" s="52">
        <v>44562.0</v>
      </c>
      <c r="F1221" s="53" t="s">
        <v>8</v>
      </c>
      <c r="G1221" s="59" t="s">
        <v>13</v>
      </c>
      <c r="H1221" s="59" t="s">
        <v>74</v>
      </c>
      <c r="I1221" s="54" t="s">
        <v>18</v>
      </c>
      <c r="J1221" s="55">
        <v>50.0</v>
      </c>
      <c r="K1221" s="56">
        <v>22.0</v>
      </c>
      <c r="L1221" s="57">
        <v>-300.0</v>
      </c>
      <c r="M1221" s="58">
        <v>300.0</v>
      </c>
      <c r="N1221" s="33">
        <f t="shared" si="155"/>
        <v>1100</v>
      </c>
      <c r="O1221" s="59">
        <v>-431.0</v>
      </c>
      <c r="P1221" s="34">
        <f t="shared" si="14"/>
        <v>-19.59090909</v>
      </c>
      <c r="Q1221" s="60"/>
      <c r="R1221" s="36">
        <f t="shared" si="156"/>
        <v>300</v>
      </c>
      <c r="S1221" s="61">
        <v>-123.0</v>
      </c>
      <c r="T1221" s="37">
        <f t="shared" si="157"/>
        <v>177</v>
      </c>
      <c r="U1221" s="62">
        <v>1.0</v>
      </c>
      <c r="V1221" s="63"/>
      <c r="W1221" s="63"/>
      <c r="X1221" s="83">
        <v>0.25</v>
      </c>
      <c r="Y1221" s="35">
        <f t="shared" si="163"/>
        <v>0</v>
      </c>
      <c r="Z1221" s="40">
        <f t="shared" si="159"/>
        <v>132.75</v>
      </c>
      <c r="AA1221" s="34">
        <f t="shared" si="166"/>
        <v>44.25</v>
      </c>
      <c r="AB1221" s="41">
        <f t="shared" si="161"/>
        <v>0</v>
      </c>
      <c r="AC1221" s="42" t="b">
        <v>1</v>
      </c>
      <c r="AD1221" s="66" t="s">
        <v>138</v>
      </c>
      <c r="AE1221" s="88" t="s">
        <v>138</v>
      </c>
      <c r="AF1221" s="42" t="str">
        <f t="array" ref="AF1221">INDEX('Deal Info'!D:D, MATCH(A1221,'Deal Info'!A:A, 0))</f>
        <v>DoEVold</v>
      </c>
      <c r="AG1221" s="43" t="str">
        <f t="array" ref="AG1221">INDEX('Deal Info'!G:G, MATCH(A1221,'Deal Info'!A:A, 0))</f>
        <v>None</v>
      </c>
    </row>
    <row r="1222" hidden="1">
      <c r="A1222" s="23" t="str">
        <f t="array" ref="A1222">if(G1222='Room Info'!$B$1, INDEX('Room Info'!$A$2:$A3446, MATCH(B1222,'Room Info'!$B$2:$B3446, 0)),if(G1222='Room Info'!$C$1, INDEX('Room Info'!$A$2:$A3446, MATCH(B1222,'Room Info'!$C$2:$C3446, 0)),if(G1222='Room Info'!$D$1, INDEX('Room Info'!$A$2:$A3446, MATCH(B1222,'Room Info'!$D$2:$D3446, 0)),if(G1222='Room Info'!$E$1, INDEX('Room Info'!$A$2:$A3446, MATCH(B1222,'Room Info'!$E$2:$E3446, 0)),if(G1222='Room Info'!$F$1, INDEX('Room Info'!$A$2:$A3446, MATCH(B1222,'Room Info'!$F$2:$F3446, 0)),if(G1222='Room Info'!$H$1, INDEX('Room Info'!$A$2:$A3446, MATCH(B1222,'Room Info'!$H$2:$H3446, 0)),if(G1222='Room Info'!$G$1, INDEX('Room Info'!$A$2:$A3446, MATCH(B1222,'Room Info'!$G$2:$G3446, 0)))))))))</f>
        <v>Sun_Set_pro8</v>
      </c>
      <c r="B1222" s="59" t="s">
        <v>154</v>
      </c>
      <c r="C1222" s="51">
        <v>44593.0</v>
      </c>
      <c r="D1222" s="51">
        <v>44620.0</v>
      </c>
      <c r="E1222" s="52">
        <v>44593.0</v>
      </c>
      <c r="F1222" s="53" t="s">
        <v>8</v>
      </c>
      <c r="G1222" s="59" t="s">
        <v>5</v>
      </c>
      <c r="H1222" s="59" t="s">
        <v>63</v>
      </c>
      <c r="I1222" s="54" t="s">
        <v>11</v>
      </c>
      <c r="J1222" s="55">
        <v>25.0</v>
      </c>
      <c r="K1222" s="56">
        <v>5335.0</v>
      </c>
      <c r="L1222" s="57">
        <v>-4625.0</v>
      </c>
      <c r="M1222" s="58">
        <v>4967.0</v>
      </c>
      <c r="N1222" s="33">
        <f t="shared" si="155"/>
        <v>133375</v>
      </c>
      <c r="O1222" s="59">
        <v>67550.0</v>
      </c>
      <c r="P1222" s="34">
        <f t="shared" si="14"/>
        <v>12.66166823</v>
      </c>
      <c r="Q1222" s="60"/>
      <c r="R1222" s="36">
        <f t="shared" si="156"/>
        <v>4967</v>
      </c>
      <c r="S1222" s="61">
        <v>-3061.0</v>
      </c>
      <c r="T1222" s="37">
        <f t="shared" si="157"/>
        <v>1906</v>
      </c>
      <c r="U1222" s="62">
        <v>1.0</v>
      </c>
      <c r="V1222" s="63"/>
      <c r="W1222" s="63"/>
      <c r="X1222" s="83">
        <v>0.25</v>
      </c>
      <c r="Y1222" s="35">
        <f t="shared" si="163"/>
        <v>0</v>
      </c>
      <c r="Z1222" s="40">
        <f t="shared" si="159"/>
        <v>1429.5</v>
      </c>
      <c r="AA1222" s="34">
        <f t="shared" si="166"/>
        <v>476.5</v>
      </c>
      <c r="AB1222" s="41">
        <f t="shared" si="161"/>
        <v>0</v>
      </c>
      <c r="AC1222" s="42" t="b">
        <v>1</v>
      </c>
      <c r="AD1222" s="66" t="s">
        <v>138</v>
      </c>
      <c r="AE1222" s="88" t="s">
        <v>138</v>
      </c>
      <c r="AF1222" s="42" t="str">
        <f t="array" ref="AF1222">INDEX('Deal Info'!D:D, MATCH(A1222,'Deal Info'!A:A, 0))</f>
        <v>DoEVold</v>
      </c>
      <c r="AG1222" s="43" t="str">
        <f t="array" ref="AG1222">INDEX('Deal Info'!G:G, MATCH(A1222,'Deal Info'!A:A, 0))</f>
        <v>None</v>
      </c>
    </row>
    <row r="1223" hidden="1">
      <c r="A1223" s="23" t="str">
        <f t="array" ref="A1223">if(G1223='Room Info'!$B$1, INDEX('Room Info'!$A$2:$A3446, MATCH(B1223,'Room Info'!$B$2:$B3446, 0)),if(G1223='Room Info'!$C$1, INDEX('Room Info'!$A$2:$A3446, MATCH(B1223,'Room Info'!$C$2:$C3446, 0)),if(G1223='Room Info'!$D$1, INDEX('Room Info'!$A$2:$A3446, MATCH(B1223,'Room Info'!$D$2:$D3446, 0)),if(G1223='Room Info'!$E$1, INDEX('Room Info'!$A$2:$A3446, MATCH(B1223,'Room Info'!$E$2:$E3446, 0)),if(G1223='Room Info'!$F$1, INDEX('Room Info'!$A$2:$A3446, MATCH(B1223,'Room Info'!$F$2:$F3446, 0)),if(G1223='Room Info'!$H$1, INDEX('Room Info'!$A$2:$A3446, MATCH(B1223,'Room Info'!$H$2:$H3446, 0)),if(G1223='Room Info'!$G$1, INDEX('Room Info'!$A$2:$A3446, MATCH(B1223,'Room Info'!$G$2:$G3446, 0)))))))))</f>
        <v>Sun_Set_pro8</v>
      </c>
      <c r="B1223" s="59" t="s">
        <v>154</v>
      </c>
      <c r="C1223" s="51">
        <v>44593.0</v>
      </c>
      <c r="D1223" s="51">
        <v>44620.0</v>
      </c>
      <c r="E1223" s="52">
        <v>44593.0</v>
      </c>
      <c r="F1223" s="53" t="s">
        <v>12</v>
      </c>
      <c r="G1223" s="59" t="s">
        <v>5</v>
      </c>
      <c r="H1223" s="59" t="s">
        <v>48</v>
      </c>
      <c r="I1223" s="54" t="s">
        <v>11</v>
      </c>
      <c r="J1223" s="55">
        <v>10.0</v>
      </c>
      <c r="K1223" s="56">
        <v>6.0</v>
      </c>
      <c r="L1223" s="57">
        <v>-40.0</v>
      </c>
      <c r="M1223" s="58">
        <v>3.0</v>
      </c>
      <c r="N1223" s="33">
        <f t="shared" si="155"/>
        <v>60</v>
      </c>
      <c r="O1223" s="70"/>
      <c r="P1223" s="34">
        <f t="shared" si="14"/>
        <v>0</v>
      </c>
      <c r="Q1223" s="60"/>
      <c r="R1223" s="36">
        <f t="shared" si="156"/>
        <v>3</v>
      </c>
      <c r="S1223" s="71"/>
      <c r="T1223" s="37">
        <f t="shared" si="157"/>
        <v>-37</v>
      </c>
      <c r="U1223" s="62">
        <v>1.0</v>
      </c>
      <c r="V1223" s="63"/>
      <c r="W1223" s="63"/>
      <c r="X1223" s="83">
        <v>0.25</v>
      </c>
      <c r="Y1223" s="35">
        <f t="shared" si="163"/>
        <v>0</v>
      </c>
      <c r="Z1223" s="40">
        <f t="shared" si="159"/>
        <v>-27.75</v>
      </c>
      <c r="AA1223" s="34">
        <f t="shared" si="166"/>
        <v>-9.25</v>
      </c>
      <c r="AB1223" s="41">
        <f t="shared" si="161"/>
        <v>0</v>
      </c>
      <c r="AC1223" s="42" t="b">
        <v>1</v>
      </c>
      <c r="AD1223" s="66" t="s">
        <v>138</v>
      </c>
      <c r="AE1223" s="88" t="s">
        <v>138</v>
      </c>
      <c r="AF1223" s="42" t="str">
        <f t="array" ref="AF1223">INDEX('Deal Info'!D:D, MATCH(A1223,'Deal Info'!A:A, 0))</f>
        <v>DoEVold</v>
      </c>
      <c r="AG1223" s="43" t="str">
        <f t="array" ref="AG1223">INDEX('Deal Info'!G:G, MATCH(A1223,'Deal Info'!A:A, 0))</f>
        <v>None</v>
      </c>
    </row>
    <row r="1224" hidden="1">
      <c r="A1224" s="23" t="str">
        <f t="array" ref="A1224">if(G1224='Room Info'!$B$1, INDEX('Room Info'!$A$2:$A3446, MATCH(B1224,'Room Info'!$B$2:$B3446, 0)),if(G1224='Room Info'!$C$1, INDEX('Room Info'!$A$2:$A3446, MATCH(B1224,'Room Info'!$C$2:$C3446, 0)),if(G1224='Room Info'!$D$1, INDEX('Room Info'!$A$2:$A3446, MATCH(B1224,'Room Info'!$D$2:$D3446, 0)),if(G1224='Room Info'!$E$1, INDEX('Room Info'!$A$2:$A3446, MATCH(B1224,'Room Info'!$E$2:$E3446, 0)),if(G1224='Room Info'!$F$1, INDEX('Room Info'!$A$2:$A3446, MATCH(B1224,'Room Info'!$F$2:$F3446, 0)),if(G1224='Room Info'!$H$1, INDEX('Room Info'!$A$2:$A3446, MATCH(B1224,'Room Info'!$H$2:$H3446, 0)),if(G1224='Room Info'!$G$1, INDEX('Room Info'!$A$2:$A3446, MATCH(B1224,'Room Info'!$G$2:$G3446, 0)))))))))</f>
        <v>Sun_Set_pro8</v>
      </c>
      <c r="B1224" s="50" t="s">
        <v>154</v>
      </c>
      <c r="C1224" s="51">
        <v>44621.0</v>
      </c>
      <c r="D1224" s="51">
        <v>44651.0</v>
      </c>
      <c r="E1224" s="52">
        <v>44621.0</v>
      </c>
      <c r="F1224" s="53" t="s">
        <v>8</v>
      </c>
      <c r="G1224" s="50" t="s">
        <v>5</v>
      </c>
      <c r="H1224" s="54" t="s">
        <v>63</v>
      </c>
      <c r="I1224" s="54" t="s">
        <v>11</v>
      </c>
      <c r="J1224" s="55">
        <v>25.0</v>
      </c>
      <c r="K1224" s="56">
        <v>518.0</v>
      </c>
      <c r="L1224" s="57">
        <v>-1275.0</v>
      </c>
      <c r="M1224" s="58">
        <v>260.0</v>
      </c>
      <c r="N1224" s="33">
        <f t="shared" si="155"/>
        <v>12950</v>
      </c>
      <c r="O1224" s="59">
        <v>12017.0</v>
      </c>
      <c r="P1224" s="34">
        <f t="shared" si="14"/>
        <v>23.1988417</v>
      </c>
      <c r="Q1224" s="60"/>
      <c r="R1224" s="36">
        <f t="shared" si="156"/>
        <v>260</v>
      </c>
      <c r="S1224" s="61">
        <v>115.0</v>
      </c>
      <c r="T1224" s="37">
        <f t="shared" si="157"/>
        <v>375</v>
      </c>
      <c r="U1224" s="62">
        <v>1.0</v>
      </c>
      <c r="V1224" s="63"/>
      <c r="W1224" s="63"/>
      <c r="X1224" s="83">
        <v>0.35</v>
      </c>
      <c r="Y1224" s="35">
        <f t="shared" si="163"/>
        <v>0</v>
      </c>
      <c r="Z1224" s="40">
        <f t="shared" si="159"/>
        <v>243.75</v>
      </c>
      <c r="AA1224" s="34">
        <f t="shared" si="166"/>
        <v>131.25</v>
      </c>
      <c r="AB1224" s="41">
        <f t="shared" si="161"/>
        <v>0</v>
      </c>
      <c r="AC1224" s="42" t="b">
        <v>1</v>
      </c>
      <c r="AD1224" s="66" t="s">
        <v>138</v>
      </c>
      <c r="AE1224" s="88" t="s">
        <v>138</v>
      </c>
      <c r="AF1224" s="42" t="str">
        <f t="array" ref="AF1224">INDEX('Deal Info'!D:D, MATCH(A1224,'Deal Info'!A:A, 0))</f>
        <v>DoEVold</v>
      </c>
      <c r="AG1224" s="43" t="str">
        <f t="array" ref="AG1224">INDEX('Deal Info'!G:G, MATCH(A1224,'Deal Info'!A:A, 0))</f>
        <v>None</v>
      </c>
    </row>
    <row r="1225" hidden="1">
      <c r="A1225" s="23" t="str">
        <f t="array" ref="A1225">if(G1225='Room Info'!$B$1, INDEX('Room Info'!$A$2:$A3446, MATCH(B1225,'Room Info'!$B$2:$B3446, 0)),if(G1225='Room Info'!$C$1, INDEX('Room Info'!$A$2:$A3446, MATCH(B1225,'Room Info'!$C$2:$C3446, 0)),if(G1225='Room Info'!$D$1, INDEX('Room Info'!$A$2:$A3446, MATCH(B1225,'Room Info'!$D$2:$D3446, 0)),if(G1225='Room Info'!$E$1, INDEX('Room Info'!$A$2:$A3446, MATCH(B1225,'Room Info'!$E$2:$E3446, 0)),if(G1225='Room Info'!$F$1, INDEX('Room Info'!$A$2:$A3446, MATCH(B1225,'Room Info'!$F$2:$F3446, 0)),if(G1225='Room Info'!$H$1, INDEX('Room Info'!$A$2:$A3446, MATCH(B1225,'Room Info'!$H$2:$H3446, 0)),if(G1225='Room Info'!$G$1, INDEX('Room Info'!$A$2:$A3446, MATCH(B1225,'Room Info'!$G$2:$G3446, 0)))))))))</f>
        <v>Lo4io</v>
      </c>
      <c r="B1225" s="50" t="s">
        <v>158</v>
      </c>
      <c r="C1225" s="82">
        <v>44733.0</v>
      </c>
      <c r="D1225" s="82">
        <v>44762.0</v>
      </c>
      <c r="E1225" s="52">
        <v>44743.0</v>
      </c>
      <c r="F1225" s="53" t="s">
        <v>4</v>
      </c>
      <c r="G1225" s="50" t="s">
        <v>9</v>
      </c>
      <c r="H1225" s="54" t="s">
        <v>91</v>
      </c>
      <c r="I1225" s="54" t="s">
        <v>24</v>
      </c>
      <c r="J1225" s="79">
        <v>100.0</v>
      </c>
      <c r="K1225" s="80">
        <v>4.0</v>
      </c>
      <c r="L1225" s="77">
        <v>408.0</v>
      </c>
      <c r="M1225" s="81">
        <v>0.0</v>
      </c>
      <c r="N1225" s="33">
        <f t="shared" si="155"/>
        <v>400</v>
      </c>
      <c r="O1225" s="50">
        <v>119.0</v>
      </c>
      <c r="P1225" s="34">
        <f t="shared" si="14"/>
        <v>29.75</v>
      </c>
      <c r="Q1225" s="60"/>
      <c r="R1225" s="36">
        <f t="shared" si="156"/>
        <v>0</v>
      </c>
      <c r="S1225" s="78">
        <v>-1.0</v>
      </c>
      <c r="T1225" s="37">
        <f t="shared" si="157"/>
        <v>-1</v>
      </c>
      <c r="U1225" s="62">
        <v>1.021</v>
      </c>
      <c r="V1225" s="74">
        <v>82.0617059891107</v>
      </c>
      <c r="W1225" s="74">
        <v>38.19077317763624</v>
      </c>
      <c r="X1225" s="35">
        <f>IF(AF1225="DoEV",IF(AND(V1225&lt;20,W1225&lt;55),0.3,0)+IF(AND(V1225&lt;20,W1225&gt;=55,W1225&lt;105),0.23,0)+IF(AND(V1225&lt;20,W1225&gt;=105),0.17,0)+IF(AND(V1225&gt;=20,V1225&lt;40,W1225&lt;45),0.3,0)+IF(AND(V1225&gt;=20,V1225&lt;40,W1225&gt;=45,W1225&lt;95),0.23,0)+IF(AND(V1225&gt;=20,V1225&lt;40,W1225&gt;=95),0.17,0)+IF(AND(V1225&gt;=40,V1225&lt;75,W1225&lt;35),0.3,0)+IF(AND(V1225&gt;=40,V1225&lt;75,W1225&gt;=35,W1225&lt;75),0.23,0)+IF(AND(V1225&gt;=40,V1225&lt;75,W1225&gt;=75,W1225&lt;120),0.17,0)+IF(AND(V1225&gt;=40,V1225&lt;75,W1225&gt;=120),0.12,0)+IF(AND(V1225&gt;=75,V1225&lt;175,W1225&lt;35),0.3,0)+IF(AND(V1225&gt;=75,V1225&lt;=175,W1225&gt;=35,W1225&lt;65),0.23,0)+IF(AND(V1225&gt;=75,V1225&lt;=175,W1225&gt;=65,W1225&lt;110),0.17,0)+IF(AND(V1225&gt;=75,V1225&lt;=175,W1225&gt;=110),0.12,0)+IF(AND(V1225&gt;175,W1225&lt;25),0.3,0)+IF(AND(V1225&gt;175,W1225&gt;=25,W1225&lt;55),0.23,0)+IF(AND(V1225&gt;175,W1225&gt;=55,W1225&lt;95),0.17,0)+IF(AND(V1225&gt;175,W1225&gt;=95),0.12,0),
IF(AF1225="Fix15",0.15,
IF(AF1225="Fix11.25",0.1125,
IF(AF1225="Fix10",0.1,
IF(AF1225="Fix9",0.09,
IF(AF1225="DoEV2017",IF(AND(W1225&lt;74),0.2,0)+IF(AND(W1225&gt;=74),0.17,0),
IF(AF1225="SF",IF(AND(V1225&lt;20,W1225&lt;89),0.3,0)+IF(AND(V1225&lt;20,W1225&gt;=89),0.25,0)+IF(AND(V1225&gt;=20,V1225&lt;40,W1225&lt;74),0.3,0)+IF(AND(V1225&gt;=20,V1225&lt;40,W1225&gt;=75),0.22,0)+IF(AND(V1225&gt;=40,V1225&lt;75,W1225&lt;75),0.26,0)+IF(AND(V1225&gt;=40,V1225&lt;75,W1225&gt;=75),0.22,0)+IF(V1225&gt;=75,0.22,0),
IF(AF1225="DoEVold",IF(AND(V1225&lt;40,W1225&lt;35),0.35,0)+IF(AND(V1225&lt;40,W1225&gt;=35,W1225&lt;75),0.25,0)+IF(AND(V1225&lt;40,W1225&gt;=75),0.17,0)+IF(AND(V1225&gt;=40,V1225&lt;75,W1225&lt;25),0.35,0)+IF(AND(V1225&gt;=40,V1225&lt;75,W1225&gt;=25,W1225&lt;65),0.25,0)+IF(AND(V1225&gt;=40,V1225&lt;75,W1225&gt;=65,W1225&lt;100),0.17,0)+IF(AND(V1225&gt;=40,V1225&lt;75,W1225&gt;=100),0.1,0)+IF(AND(V1225&gt;=75,W1225&lt;25),0.35,0)+IF(AND(V1225&gt;=75,W1225&gt;=25,W1225&lt;60),0.25,0)+IF(AND(V1225&gt;=75,W1225&gt;=60,W1225&lt;95),0.17,0)+IF(AND(V1225&gt;=75,W1225&gt;=95),0.1,0),
IF(AF1225="DoEVold15",IF(AND(V1225&lt;=40,W1225&lt;35),0.35,0)+IF(AND(V1225&lt;=40,W1225&gt;=35,W1225&lt;75),0.25,0)+IF(AND(V1225&lt;=40,W1225&gt;=75,W1225&lt;120),0.17,0)+IF(AND(V1225&lt;=40,W1225&gt;=120),0.15,0)+IF(AND(V1225&gt;40,V1225&lt;75,W1225&lt;25),0.35,0)+IF(AND(V1225&gt;=40,V1225&lt;75,W1225&gt;=25,W1225&lt;65),0.25,0)+IF(AND(V1225&gt;=40,V1225&lt;75,W1225&gt;=65,W1225&lt;100),0.17,0)+IF(AND(V1225&gt;=40,V1225&lt;75,W1225&gt;=100),0.1,0)+IF(AND(V1225&gt;=75,W1225&lt;25),0.35,0)+IF(AND(V1225&gt;=75,W1225&gt;=25,W1225&lt;60),0.25,0)+IF(AND(V1225&gt;=75,W1225&gt;=60,W1225&lt;95),0.17,0)+IF(AND(V1225&gt;=75,W1225&gt;=95),0.1,0),
IF(AF1225="DoEVba",IF(AND(V1225&lt;20,W1225&lt;105),0.2,0)+IF(AND(V1225&lt;20,W1225&gt;=105),0.15,0)+IF(AND(V1225&gt;=20,V1225&lt;40,W1225&lt;95),0.2,0)+IF(AND(V1225&gt;=20,V1225&lt;40,W1225&gt;=95,W1225&lt;150),0.15,0)+IF(AND(V1225&gt;=20,V1225&lt;40,W1225&gt;=150),0.12,0)+IF(AND(V1225&gt;=40,V1225&lt;75,W1225&lt;75),0.2,0)+IF(AND(V1225&gt;=40,V1225&lt;75,W1225&gt;=75,W1225&lt;120),0.15,0)+IF(AND(V1225&gt;=40,V1225&lt;75,W1225&gt;=120),0.12,0)+IF(AND(V1225&gt;=75,V1225&lt;175,W1225&lt;65),0.2,0)+IF(AND(V1225&gt;=75,V1225&lt;175,W1225&gt;=65,W1225&lt;110),0.15,0)+IF(AND(V1225&gt;=75,V1225&lt;175,W1225&gt;=110),0.12,0)+IF(AND(V1225&gt;=175,W1225&lt;55),0.2,0)+IF(AND(V1225&gt;=175,W1225&gt;=55,W1225&lt;95),0.15,0)+IF(AND(V1225&gt;=175,W1225&gt;=95),0.12,0),
IF(AF1225="DoEVku",IF(AND(V1225&lt;20,W1225&lt;55),0.23,0)+IF(AND(V1225&lt;20,W1225&gt;=55,W1225&lt;105),0.2,0)+IF(AND(V1225&lt;20,W1225&gt;=105),0.17,0)+IF(AND(V1225&gt;=20,V1225&lt;40,W1225&lt;45),0.23,0)+IF(AND(V1225&gt;=20,V1225&lt;40,W1225&gt;=45,W1225&lt;95),0.2,0)+IF(AND(V1225&gt;=20,V1225&lt;40,W1225&gt;=95,W1225&lt;=150),0.17,0)+IF(AND(V1225&gt;=20,V1225&lt;40,W1225&gt;=150),0.12,0)+IF(AND(V1225&gt;=40,V1225&lt;75,W1225&lt;35),0.23,0)+IF(AND(V1225&gt;=40,V1225&lt;75,W1225&gt;=35,W1225&lt;75),0.2,0)+IF(AND(V1225&gt;=40,V1225&lt;75,W1225&gt;=75,W1225&lt;120),0.17,0)+IF(AND(V1225&gt;=40,V1225&lt;75,W1225&gt;=120),0.12,0)+IF(AND(V1225&gt;=75,V1225&lt;175,W1225&lt;35),0.23,0)+IF(AND(V1225&gt;=75,V1225&lt;=175,W1225&gt;=35,W1225&lt;65),0.2,0)+IF(AND(V1225&gt;=75,V1225&lt;=175,W1225&gt;=65,W1225&lt;110),0.17,0)+IF(AND(V1225&gt;=75,V1225&lt;=175,W1225&gt;=110),0.12,0)+IF(AND(V1225&gt;175,W1225&lt;25),0.23,0)+IF(AND(V1225&gt;175,W1225&gt;=25,W1225&lt;55),0.2,0)+IF(AND(V1225&gt;175,W1225&gt;=55,W1225&lt;95),0.17,0)+IF(AND(V1225&gt;175,W1225&gt;=95),0.12,0),
IF(AF1225="DoEVs1",IF(AND(V1225&lt;20,W1225&lt;55),0.3,0)+IF(AND(V1225&lt;20,W1225&gt;=55,W1225&lt;105),0.23,0)+IF(AND(V1225&lt;20,W1225&gt;=105),0.17,0)+IF(AND(V1225&gt;=20,V1225&lt;40,W1225&lt;45),0.3,0)+IF(AND(V1225&gt;=20,V1225&lt;40,W1225&gt;=45,W1225&lt;95),0.23,0)+IF(AND(V1225&gt;=20,V1225&lt;40,W1225&gt;=95,W1225&lt;=150),0.17,0)+IF(AND(V1225&gt;=20,V1225&lt;40,W1225&gt;=150),0.12,0)+IF(AND(V1225&gt;=40,V1225&lt;75,W1225&lt;35),0.3,0)+IF(AND(V1225&gt;=40,V1225&lt;75,W1225&gt;=35,W1225&lt;75),0.23,0)+IF(AND(V1225&gt;=40,V1225&lt;75,W1225&gt;=75,W1225&lt;120),0.17,0)+IF(AND(V1225&gt;=40,V1225&lt;75,W1225&gt;=120),0.12,0)+IF(AND(V1225&gt;=75,V1225&lt;175,W1225&lt;35),0.3,0)+IF(AND(V1225&gt;=75,V1225&lt;=175,W1225&gt;=35,W1225&lt;65),0.23,0)+IF(AND(V1225&gt;=75,V1225&lt;=175,W1225&gt;=65,W1225&lt;110),0.17,0)+IF(AND(V1225&gt;=75,V1225&lt;=175,W1225&gt;=110),0.12,0)+IF(AND(V1225&gt;175,W1225&lt;25),0.3,0)+IF(AND(V1225&gt;175,W1225&gt;=25,W1225&lt;55),0.23,0)+IF(AND(V1225&gt;175,W1225&gt;=55,W1225&lt;95),0.17,0)+IF(AND(V1225&gt;175,W1225&gt;=95),0.12,0),
IF(AF1225="DoEVsu",IF(AND(V1225&lt;20,W1225&lt;55),0.3,0)+IF(AND(V1225&lt;20,W1225&gt;=55,W1225&lt;105),0.23,0)+IF(AND(V1225&lt;20,W1225&gt;=105),0.17,0)+IF(AND(V1225&gt;=20,V1225&lt;40,W1225&lt;45),0.3,0)+IF(AND(V1225&gt;=20,V1225&lt;40,W1225&gt;=45,W1225&lt;95),0.23,0)+IF(AND(V1225&gt;=20,V1225&lt;40,W1225&gt;=95,W1225&lt;=250),0.17,0)+IF(AND(V1225&gt;=20,V1225&lt;40,W1225&gt;=250),0.12,0)+IF(AND(V1225&gt;=40,V1225&lt;75,W1225&lt;35),0.3,0)+IF(AND(V1225&gt;=40,V1225&lt;75,W1225&gt;=35,W1225&lt;75),0.23,0)+IF(AND(V1225&gt;=40,V1225&lt;75,W1225&gt;=75,W1225&lt;120),0.17,0)+IF(AND(V1225&gt;=40,V1225&lt;75,W1225&gt;=120),0.12,0)+IF(AND(V1225&gt;=75,V1225&lt;175,W1225&lt;35),0.3,0)+IF(AND(V1225&gt;=75,V1225&lt;=175,W1225&gt;=35,W1225&lt;65),0.23,0)+IF(AND(V1225&gt;=75,V1225&lt;=175,W1225&gt;=65,W1225&lt;110),0.17,0)+IF(AND(V1225&gt;=75,V1225&lt;=175,W1225&gt;=110),0.12,0)+IF(AND(V1225&gt;175,W1225&lt;25),0.3,0)+IF(AND(V1225&gt;175,W1225&gt;=25,W1225&lt;55),0.23,0)+IF(AND(V1225&gt;175,W1225&gt;=55,W1225&lt;95),0.17,0)+IF(AND(V1225&gt;175,W1225&gt;=95),0.12,0),
IF(AF1225="DoEVni",IF(AND(V1225&lt;20,W1225&lt;55),0.3,0)+IF(AND(V1225&lt;20,W1225&gt;=55,W1225&lt;105),0.23,0)+IF(AND(V1225&lt;20,W1225&gt;=105),0.17,0)+IF(AND(V1225&gt;=20,V1225&lt;40,W1225&lt;45),0.3,0)+IF(AND(V1225&gt;=20,V1225&lt;40,W1225&gt;=45,W1225&lt;95),0.23,0)+IF(AND(V1225&gt;=20,V1225&lt;40,W1225&gt;=95,W1225&lt;=200),0.17,0)+IF(AND(V1225&gt;=20,V1225&lt;40,W1225&gt;=200),0.12,0)+IF(AND(V1225&gt;=40,V1225&lt;75,W1225&lt;35),0.3,0)+IF(AND(V1225&gt;=40,V1225&lt;75,W1225&gt;=35,W1225&lt;75),0.23,0)+IF(AND(V1225&gt;=40,V1225&lt;75,W1225&gt;=75,W1225&lt;120),0.17,0)+IF(AND(V1225&gt;=40,V1225&lt;75,W1225&gt;=120),0.12,0)+IF(AND(V1225&gt;=75,V1225&lt;175,W1225&lt;35),0.3,0)+IF(AND(V1225&gt;=75,V1225&lt;=175,W1225&gt;=35,W1225&lt;65),0.23,0)+IF(AND(V1225&gt;=75,V1225&lt;=175,W1225&gt;=65,W1225&lt;110),0.17,0)+IF(AND(V1225&gt;=75,V1225&lt;=175,W1225&gt;=110),0.12,0)+IF(AND(V1225&gt;175,W1225&lt;25),0.3,0)+IF(AND(V1225&gt;175,W1225&gt;=25,W1225&lt;55),0.23,0)+IF(AND(V1225&gt;175,W1225&gt;=55,W1225&lt;95),0.17,0)+IF(AND(V1225&gt;175,W1225&gt;=95),0.12,0),
IF(AF1225="DoEVLo",IF(AND(V1225&lt;20,W1225&lt;55),0.25,0)+IF(AND(V1225&lt;20,W1225&gt;=55,W1225&lt;105),0.2,0)+IF(AND(V1225&lt;20,W1225&gt;=105),0.15,0)+IF(AND(V1225&gt;=20,V1225&lt;40,W1225&lt;45),0.25,0)+IF(AND(V1225&gt;=20,V1225&lt;40,W1225&gt;=45,W1225&lt;95),0.2,0)+IF(AND(V1225&gt;=20,V1225&lt;40,W1225&gt;=95),0.15,0)+IF(AND(V1225&gt;=40,V1225&lt;75,W1225&lt;35),0.25,0)+IF(AND(V1225&gt;=40,V1225&lt;75,W1225&gt;=35,W1225&lt;75),0.2,0)+IF(AND(V1225&gt;=40,V1225&lt;75,W1225&gt;=75,W1225&lt;120),0.15,0)+IF(AND(V1225&gt;=40,V1225&lt;75,W1225&gt;=120),0.1,0)+IF(AND(V1225&gt;=75,V1225&lt;175,W1225&lt;35),0.25,0)+IF(AND(V1225&gt;=75,V1225&lt;=175,W1225&gt;=35,W1225&lt;65),0.2,0)+IF(AND(V1225&gt;=75,V1225&lt;=175,W1225&gt;=65,W1225&lt;110),0.15,0)+IF(AND(V1225&gt;=75,V1225&lt;=175,W1225&gt;=110),0.1,0)+IF(AND(V1225&gt;175,W1225&lt;25),0.25,0)+IF(AND(V1225&gt;175,W1225&gt;=25,W1225&lt;55),0.2,0)+IF(AND(V1225&gt;175,W1225&gt;=55,W1225&lt;95),0.15,0)+IF(AND(V1225&gt;175,W1225&gt;=95),0.1,0))))))))))))))))</f>
        <v>0.2</v>
      </c>
      <c r="Y1225" s="35">
        <f>if(AG1225="None",0,if(AG1225="Fix5",0.05,if(AG1225="Fix3.75",0.0375,if(AG1225="Fix10",0.1,if(AG1225="Fix3",0.03,0)))))</f>
        <v>0</v>
      </c>
      <c r="Z1225" s="40">
        <f t="shared" si="159"/>
        <v>-0.7958</v>
      </c>
      <c r="AA1225" s="34">
        <f t="shared" si="166"/>
        <v>-0.2042</v>
      </c>
      <c r="AB1225" s="41">
        <f t="shared" si="161"/>
        <v>0</v>
      </c>
      <c r="AC1225" s="42" t="b">
        <v>1</v>
      </c>
      <c r="AD1225" s="66" t="s">
        <v>140</v>
      </c>
      <c r="AE1225" s="66"/>
      <c r="AF1225" s="42" t="str">
        <f t="array" ref="AF1225">INDEX('Deal Info'!D:D, MATCH(A1225,'Deal Info'!A:A, 0))</f>
        <v>DoEVLo</v>
      </c>
      <c r="AG1225" s="43" t="str">
        <f t="array" ref="AG1225">INDEX('Deal Info'!G:G, MATCH(A1225,'Deal Info'!A:A, 0))</f>
        <v>None</v>
      </c>
    </row>
    <row r="1226" hidden="1">
      <c r="A1226" s="23" t="str">
        <f t="array" ref="A1226">if(G1226='Room Info'!$B$1, INDEX('Room Info'!$A$2:$A3446, MATCH(B1226,'Room Info'!$B$2:$B3446, 0)),if(G1226='Room Info'!$C$1, INDEX('Room Info'!$A$2:$A3446, MATCH(B1226,'Room Info'!$C$2:$C3446, 0)),if(G1226='Room Info'!$D$1, INDEX('Room Info'!$A$2:$A3446, MATCH(B1226,'Room Info'!$D$2:$D3446, 0)),if(G1226='Room Info'!$E$1, INDEX('Room Info'!$A$2:$A3446, MATCH(B1226,'Room Info'!$E$2:$E3446, 0)),if(G1226='Room Info'!$F$1, INDEX('Room Info'!$A$2:$A3446, MATCH(B1226,'Room Info'!$F$2:$F3446, 0)),if(G1226='Room Info'!$H$1, INDEX('Room Info'!$A$2:$A3446, MATCH(B1226,'Room Info'!$H$2:$H3446, 0)),if(G1226='Room Info'!$G$1, INDEX('Room Info'!$A$2:$A3446, MATCH(B1226,'Room Info'!$G$2:$G3446, 0)))))))))</f>
        <v>Lo4io</v>
      </c>
      <c r="B1226" s="50" t="s">
        <v>158</v>
      </c>
      <c r="C1226" s="51">
        <v>44733.0</v>
      </c>
      <c r="D1226" s="51">
        <v>44762.0</v>
      </c>
      <c r="E1226" s="52">
        <v>44743.0</v>
      </c>
      <c r="F1226" s="53" t="s">
        <v>4</v>
      </c>
      <c r="G1226" s="50" t="s">
        <v>9</v>
      </c>
      <c r="H1226" s="54" t="s">
        <v>91</v>
      </c>
      <c r="I1226" s="54" t="s">
        <v>24</v>
      </c>
      <c r="J1226" s="55">
        <v>100.0</v>
      </c>
      <c r="K1226" s="56">
        <v>4.0</v>
      </c>
      <c r="L1226" s="57">
        <v>408.0</v>
      </c>
      <c r="M1226" s="58">
        <v>0.0</v>
      </c>
      <c r="N1226" s="33">
        <f t="shared" si="155"/>
        <v>400</v>
      </c>
      <c r="O1226" s="59">
        <v>119.0</v>
      </c>
      <c r="P1226" s="34">
        <f t="shared" si="14"/>
        <v>29.75</v>
      </c>
      <c r="Q1226" s="60"/>
      <c r="R1226" s="36">
        <f t="shared" si="156"/>
        <v>0</v>
      </c>
      <c r="S1226" s="61">
        <v>-1.0</v>
      </c>
      <c r="T1226" s="37">
        <f t="shared" si="157"/>
        <v>-1</v>
      </c>
      <c r="U1226" s="62">
        <v>1.021</v>
      </c>
      <c r="V1226" s="63"/>
      <c r="W1226" s="63"/>
      <c r="X1226" s="83">
        <v>0.2</v>
      </c>
      <c r="Y1226" s="35">
        <f t="shared" ref="Y1226:Y1228" si="167">if(AG1226="None",0,if(AG1226="Fix5",0.05, if(AG1226="Fix6.25",0.0625,if(AG1226="Fix3.75",0.0375,if(AG1226="Fix10",0.1,if(AG1226="Fix3",0.03,0))))))</f>
        <v>0</v>
      </c>
      <c r="Z1226" s="40">
        <f t="shared" si="159"/>
        <v>-0.7958</v>
      </c>
      <c r="AA1226" s="34">
        <f t="shared" si="166"/>
        <v>-0.2042</v>
      </c>
      <c r="AB1226" s="41">
        <f t="shared" si="161"/>
        <v>0</v>
      </c>
      <c r="AC1226" s="42" t="b">
        <v>1</v>
      </c>
      <c r="AD1226" s="50" t="s">
        <v>140</v>
      </c>
      <c r="AE1226" s="50"/>
      <c r="AF1226" s="42" t="str">
        <f t="array" ref="AF1226">INDEX('Deal Info'!D:D, MATCH(A1226,'Deal Info'!A:A, 0))</f>
        <v>DoEVLo</v>
      </c>
      <c r="AG1226" s="43" t="str">
        <f t="array" ref="AG1226">INDEX('Deal Info'!G:G, MATCH(A1226,'Deal Info'!A:A, 0))</f>
        <v>None</v>
      </c>
    </row>
    <row r="1227" hidden="1">
      <c r="A1227" s="23" t="s">
        <v>154</v>
      </c>
      <c r="B1227" s="50" t="s">
        <v>155</v>
      </c>
      <c r="C1227" s="82">
        <v>44682.0</v>
      </c>
      <c r="D1227" s="82">
        <v>44697.0</v>
      </c>
      <c r="E1227" s="52">
        <v>44682.0</v>
      </c>
      <c r="F1227" s="53" t="s">
        <v>12</v>
      </c>
      <c r="G1227" s="50" t="s">
        <v>9</v>
      </c>
      <c r="H1227" s="54" t="s">
        <v>91</v>
      </c>
      <c r="I1227" s="54" t="s">
        <v>7</v>
      </c>
      <c r="J1227" s="79">
        <v>100.0</v>
      </c>
      <c r="K1227" s="80">
        <v>36.0</v>
      </c>
      <c r="L1227" s="77">
        <v>-500.0</v>
      </c>
      <c r="M1227" s="81">
        <v>65.0</v>
      </c>
      <c r="N1227" s="33">
        <f t="shared" si="155"/>
        <v>3600</v>
      </c>
      <c r="O1227" s="50">
        <v>-89.0</v>
      </c>
      <c r="P1227" s="34">
        <f t="shared" si="14"/>
        <v>-2.472222222</v>
      </c>
      <c r="Q1227" s="60"/>
      <c r="R1227" s="36">
        <f t="shared" si="156"/>
        <v>65</v>
      </c>
      <c r="S1227" s="78"/>
      <c r="T1227" s="37">
        <f t="shared" si="157"/>
        <v>-435</v>
      </c>
      <c r="U1227" s="62">
        <v>1.07</v>
      </c>
      <c r="V1227" s="63"/>
      <c r="W1227" s="63"/>
      <c r="X1227" s="83">
        <v>0.25</v>
      </c>
      <c r="Y1227" s="35">
        <f t="shared" si="167"/>
        <v>0</v>
      </c>
      <c r="Z1227" s="40">
        <f t="shared" si="159"/>
        <v>-317.5</v>
      </c>
      <c r="AA1227" s="34">
        <f t="shared" si="166"/>
        <v>-117.5</v>
      </c>
      <c r="AB1227" s="41">
        <f t="shared" si="161"/>
        <v>0</v>
      </c>
      <c r="AC1227" s="42" t="b">
        <v>1</v>
      </c>
      <c r="AD1227" s="66" t="s">
        <v>140</v>
      </c>
      <c r="AE1227" s="66"/>
      <c r="AF1227" s="42" t="str">
        <f t="array" ref="AF1227">INDEX('Deal Info'!D:D, MATCH(A1227,'Deal Info'!A:A, 0))</f>
        <v>DoEVold</v>
      </c>
      <c r="AG1227" s="43" t="str">
        <f t="array" ref="AG1227">INDEX('Deal Info'!G:G, MATCH(A1227,'Deal Info'!A:A, 0))</f>
        <v>None</v>
      </c>
    </row>
    <row r="1228" hidden="1">
      <c r="A1228" s="23" t="s">
        <v>154</v>
      </c>
      <c r="B1228" s="50" t="s">
        <v>155</v>
      </c>
      <c r="C1228" s="51">
        <v>44652.0</v>
      </c>
      <c r="D1228" s="51">
        <v>44681.0</v>
      </c>
      <c r="E1228" s="52">
        <v>44652.0</v>
      </c>
      <c r="F1228" s="53" t="s">
        <v>8</v>
      </c>
      <c r="G1228" s="50" t="s">
        <v>5</v>
      </c>
      <c r="H1228" s="54" t="s">
        <v>63</v>
      </c>
      <c r="I1228" s="54" t="s">
        <v>11</v>
      </c>
      <c r="J1228" s="55">
        <v>25.0</v>
      </c>
      <c r="K1228" s="56">
        <v>187.0</v>
      </c>
      <c r="L1228" s="57">
        <v>-700.0</v>
      </c>
      <c r="M1228" s="67"/>
      <c r="N1228" s="33">
        <f t="shared" si="155"/>
        <v>4675</v>
      </c>
      <c r="O1228" s="59">
        <v>5800.0</v>
      </c>
      <c r="P1228" s="34">
        <f t="shared" si="14"/>
        <v>31.01604278</v>
      </c>
      <c r="Q1228" s="60"/>
      <c r="R1228" s="36">
        <f t="shared" si="156"/>
        <v>0</v>
      </c>
      <c r="S1228" s="61">
        <v>184.0</v>
      </c>
      <c r="T1228" s="37">
        <f t="shared" si="157"/>
        <v>184</v>
      </c>
      <c r="U1228" s="62">
        <v>1.0</v>
      </c>
      <c r="V1228" s="63"/>
      <c r="W1228" s="63"/>
      <c r="X1228" s="83">
        <v>0.25</v>
      </c>
      <c r="Y1228" s="35">
        <f t="shared" si="167"/>
        <v>0</v>
      </c>
      <c r="Z1228" s="40">
        <f t="shared" si="159"/>
        <v>138</v>
      </c>
      <c r="AA1228" s="34">
        <f t="shared" si="166"/>
        <v>46</v>
      </c>
      <c r="AB1228" s="41">
        <f t="shared" si="161"/>
        <v>0</v>
      </c>
      <c r="AC1228" s="42" t="b">
        <v>1</v>
      </c>
      <c r="AD1228" s="66" t="s">
        <v>138</v>
      </c>
      <c r="AE1228" s="88" t="s">
        <v>138</v>
      </c>
      <c r="AF1228" s="42" t="str">
        <f t="array" ref="AF1228">INDEX('Deal Info'!D:D, MATCH(A1228,'Deal Info'!A:A, 0))</f>
        <v>DoEVold</v>
      </c>
      <c r="AG1228" s="43" t="str">
        <f t="array" ref="AG1228">INDEX('Deal Info'!G:G, MATCH(A1228,'Deal Info'!A:A, 0))</f>
        <v>None</v>
      </c>
    </row>
    <row r="1229" hidden="1">
      <c r="A1229" s="23" t="str">
        <f t="array" ref="A1229">if(G1229='Room Info'!$B$1, INDEX('Room Info'!$A$2:$A3446, MATCH(B1229,'Room Info'!$B$2:$B3446, 0)),if(G1229='Room Info'!$C$1, INDEX('Room Info'!$A$2:$A3446, MATCH(B1229,'Room Info'!$C$2:$C3446, 0)),if(G1229='Room Info'!$D$1, INDEX('Room Info'!$A$2:$A3446, MATCH(B1229,'Room Info'!$D$2:$D3446, 0)),if(G1229='Room Info'!$E$1, INDEX('Room Info'!$A$2:$A3446, MATCH(B1229,'Room Info'!$E$2:$E3446, 0)),if(G1229='Room Info'!$F$1, INDEX('Room Info'!$A$2:$A3446, MATCH(B1229,'Room Info'!$F$2:$F3446, 0)),if(G1229='Room Info'!$H$1, INDEX('Room Info'!$A$2:$A3446, MATCH(B1229,'Room Info'!$H$2:$H3446, 0)),if(G1229='Room Info'!$G$1, INDEX('Room Info'!$A$2:$A3446, MATCH(B1229,'Room Info'!$G$2:$G3446, 0)))))))))</f>
        <v>Lo4io</v>
      </c>
      <c r="B1229" s="50" t="s">
        <v>158</v>
      </c>
      <c r="C1229" s="97">
        <v>44763.0</v>
      </c>
      <c r="D1229" s="97">
        <v>44793.0</v>
      </c>
      <c r="E1229" s="52">
        <v>44774.0</v>
      </c>
      <c r="F1229" s="53" t="s">
        <v>4</v>
      </c>
      <c r="G1229" s="50" t="s">
        <v>9</v>
      </c>
      <c r="H1229" s="54" t="s">
        <v>90</v>
      </c>
      <c r="I1229" s="54" t="s">
        <v>7</v>
      </c>
      <c r="J1229" s="75">
        <v>100.0</v>
      </c>
      <c r="K1229" s="76">
        <v>1464.0</v>
      </c>
      <c r="L1229" s="77">
        <v>-2400.0</v>
      </c>
      <c r="M1229" s="98">
        <v>3028.0</v>
      </c>
      <c r="N1229" s="33">
        <f t="shared" si="155"/>
        <v>146400</v>
      </c>
      <c r="O1229" s="50">
        <v>49984.0</v>
      </c>
      <c r="P1229" s="34">
        <f t="shared" si="14"/>
        <v>34.1420765</v>
      </c>
      <c r="Q1229" s="60"/>
      <c r="R1229" s="36">
        <f t="shared" si="156"/>
        <v>3028</v>
      </c>
      <c r="S1229" s="78">
        <v>-3755.0</v>
      </c>
      <c r="T1229" s="37">
        <f t="shared" si="157"/>
        <v>-727</v>
      </c>
      <c r="U1229" s="62">
        <v>1.004</v>
      </c>
      <c r="V1229" s="74">
        <v>72.4418955629339</v>
      </c>
      <c r="W1229" s="74">
        <v>7.688920833333333</v>
      </c>
      <c r="X1229" s="35">
        <f t="shared" ref="X1229:X1231" si="168">IF(AF1229="DoEV",IF(AND(V1229&lt;20,W1229&lt;55),0.3,0)+IF(AND(V1229&lt;20,W1229&gt;=55,W1229&lt;105),0.23,0)+IF(AND(V1229&lt;20,W1229&gt;=105),0.17,0)+IF(AND(V1229&gt;=20,V1229&lt;40,W1229&lt;45),0.3,0)+IF(AND(V1229&gt;=20,V1229&lt;40,W1229&gt;=45,W1229&lt;95),0.23,0)+IF(AND(V1229&gt;=20,V1229&lt;40,W1229&gt;=95),0.17,0)+IF(AND(V1229&gt;=40,V1229&lt;75,W1229&lt;35),0.3,0)+IF(AND(V1229&gt;=40,V1229&lt;75,W1229&gt;=35,W1229&lt;75),0.23,0)+IF(AND(V1229&gt;=40,V1229&lt;75,W1229&gt;=75,W1229&lt;120),0.17,0)+IF(AND(V1229&gt;=40,V1229&lt;75,W1229&gt;=120),0.12,0)+IF(AND(V1229&gt;=75,V1229&lt;175,W1229&lt;35),0.3,0)+IF(AND(V1229&gt;=75,V1229&lt;=175,W1229&gt;=35,W1229&lt;65),0.23,0)+IF(AND(V1229&gt;=75,V1229&lt;=175,W1229&gt;=65,W1229&lt;110),0.17,0)+IF(AND(V1229&gt;=75,V1229&lt;=175,W1229&gt;=110),0.12,0)+IF(AND(V1229&gt;175,W1229&lt;25),0.3,0)+IF(AND(V1229&gt;175,W1229&gt;=25,W1229&lt;55),0.23,0)+IF(AND(V1229&gt;175,W1229&gt;=55,W1229&lt;95),0.17,0)+IF(AND(V1229&gt;175,W1229&gt;=95),0.12,0),
IF(AF1229="Fix15",0.15,
IF(AF1229="Fix11.25",0.1125,
IF(AF1229="Fix10",0.1,
IF(AF1229="Fix9",0.09,
IF(AF1229="DoEV2017",IF(AND(W1229&lt;74),0.2,0)+IF(AND(W1229&gt;=74),0.17,0),
IF(AF1229="SF",IF(AND(V1229&lt;20,W1229&lt;89),0.3,0)+IF(AND(V1229&lt;20,W1229&gt;=89),0.25,0)+IF(AND(V1229&gt;=20,V1229&lt;40,W1229&lt;74),0.3,0)+IF(AND(V1229&gt;=20,V1229&lt;40,W1229&gt;=75),0.22,0)+IF(AND(V1229&gt;=40,V1229&lt;75,W1229&lt;75),0.26,0)+IF(AND(V1229&gt;=40,V1229&lt;75,W1229&gt;=75),0.22,0)+IF(V1229&gt;=75,0.22,0),
IF(AF1229="DoEVold",IF(AND(V1229&lt;40,W1229&lt;35),0.35,0)+IF(AND(V1229&lt;40,W1229&gt;=35,W1229&lt;75),0.25,0)+IF(AND(V1229&lt;40,W1229&gt;=75),0.17,0)+IF(AND(V1229&gt;=40,V1229&lt;75,W1229&lt;25),0.35,0)+IF(AND(V1229&gt;=40,V1229&lt;75,W1229&gt;=25,W1229&lt;65),0.25,0)+IF(AND(V1229&gt;=40,V1229&lt;75,W1229&gt;=65,W1229&lt;100),0.17,0)+IF(AND(V1229&gt;=40,V1229&lt;75,W1229&gt;=100),0.1,0)+IF(AND(V1229&gt;=75,W1229&lt;25),0.35,0)+IF(AND(V1229&gt;=75,W1229&gt;=25,W1229&lt;60),0.25,0)+IF(AND(V1229&gt;=75,W1229&gt;=60,W1229&lt;95),0.17,0)+IF(AND(V1229&gt;=75,W1229&gt;=95),0.1,0),
IF(AF1229="DoEVold15",IF(AND(V1229&lt;=40,W1229&lt;35),0.35,0)+IF(AND(V1229&lt;=40,W1229&gt;=35,W1229&lt;75),0.25,0)+IF(AND(V1229&lt;=40,W1229&gt;=75,W1229&lt;120),0.17,0)+IF(AND(V1229&lt;=40,W1229&gt;=120),0.15,0)+IF(AND(V1229&gt;40,V1229&lt;75,W1229&lt;25),0.35,0)+IF(AND(V1229&gt;=40,V1229&lt;75,W1229&gt;=25,W1229&lt;65),0.25,0)+IF(AND(V1229&gt;=40,V1229&lt;75,W1229&gt;=65,W1229&lt;100),0.17,0)+IF(AND(V1229&gt;=40,V1229&lt;75,W1229&gt;=100),0.1,0)+IF(AND(V1229&gt;=75,W1229&lt;25),0.35,0)+IF(AND(V1229&gt;=75,W1229&gt;=25,W1229&lt;60),0.25,0)+IF(AND(V1229&gt;=75,W1229&gt;=60,W1229&lt;95),0.17,0)+IF(AND(V1229&gt;=75,W1229&gt;=95),0.1,0),
IF(AF1229="DoEVba",IF(AND(V1229&lt;20,W1229&lt;105),0.2,0)+IF(AND(V1229&lt;20,W1229&gt;=105),0.15,0)+IF(AND(V1229&gt;=20,V1229&lt;40,W1229&lt;95),0.2,0)+IF(AND(V1229&gt;=20,V1229&lt;40,W1229&gt;=95,W1229&lt;150),0.15,0)+IF(AND(V1229&gt;=20,V1229&lt;40,W1229&gt;=150),0.12,0)+IF(AND(V1229&gt;=40,V1229&lt;75,W1229&lt;75),0.2,0)+IF(AND(V1229&gt;=40,V1229&lt;75,W1229&gt;=75,W1229&lt;120),0.15,0)+IF(AND(V1229&gt;=40,V1229&lt;75,W1229&gt;=120),0.12,0)+IF(AND(V1229&gt;=75,V1229&lt;175,W1229&lt;65),0.2,0)+IF(AND(V1229&gt;=75,V1229&lt;175,W1229&gt;=65,W1229&lt;110),0.15,0)+IF(AND(V1229&gt;=75,V1229&lt;175,W1229&gt;=110),0.12,0)+IF(AND(V1229&gt;=175,W1229&lt;55),0.2,0)+IF(AND(V1229&gt;=175,W1229&gt;=55,W1229&lt;95),0.15,0)+IF(AND(V1229&gt;=175,W1229&gt;=95),0.12,0),
IF(AF1229="DoEVku",IF(AND(V1229&lt;20,W1229&lt;55),0.23,0)+IF(AND(V1229&lt;20,W1229&gt;=55,W1229&lt;105),0.2,0)+IF(AND(V1229&lt;20,W1229&gt;=105),0.17,0)+IF(AND(V1229&gt;=20,V1229&lt;40,W1229&lt;45),0.23,0)+IF(AND(V1229&gt;=20,V1229&lt;40,W1229&gt;=45,W1229&lt;95),0.2,0)+IF(AND(V1229&gt;=20,V1229&lt;40,W1229&gt;=95,W1229&lt;=150),0.17,0)+IF(AND(V1229&gt;=20,V1229&lt;40,W1229&gt;=150),0.12,0)+IF(AND(V1229&gt;=40,V1229&lt;75,W1229&lt;35),0.23,0)+IF(AND(V1229&gt;=40,V1229&lt;75,W1229&gt;=35,W1229&lt;75),0.2,0)+IF(AND(V1229&gt;=40,V1229&lt;75,W1229&gt;=75,W1229&lt;120),0.17,0)+IF(AND(V1229&gt;=40,V1229&lt;75,W1229&gt;=120),0.12,0)+IF(AND(V1229&gt;=75,V1229&lt;175,W1229&lt;35),0.23,0)+IF(AND(V1229&gt;=75,V1229&lt;=175,W1229&gt;=35,W1229&lt;65),0.2,0)+IF(AND(V1229&gt;=75,V1229&lt;=175,W1229&gt;=65,W1229&lt;110),0.17,0)+IF(AND(V1229&gt;=75,V1229&lt;=175,W1229&gt;=110),0.12,0)+IF(AND(V1229&gt;175,W1229&lt;25),0.23,0)+IF(AND(V1229&gt;175,W1229&gt;=25,W1229&lt;55),0.2,0)+IF(AND(V1229&gt;175,W1229&gt;=55,W1229&lt;95),0.17,0)+IF(AND(V1229&gt;175,W1229&gt;=95),0.12,0),
IF(AF1229="DoEVs1",IF(AND(V1229&lt;20,W1229&lt;55),0.3,0)+IF(AND(V1229&lt;20,W1229&gt;=55,W1229&lt;105),0.23,0)+IF(AND(V1229&lt;20,W1229&gt;=105),0.17,0)+IF(AND(V1229&gt;=20,V1229&lt;40,W1229&lt;45),0.3,0)+IF(AND(V1229&gt;=20,V1229&lt;40,W1229&gt;=45,W1229&lt;95),0.23,0)+IF(AND(V1229&gt;=20,V1229&lt;40,W1229&gt;=95,W1229&lt;=150),0.17,0)+IF(AND(V1229&gt;=20,V1229&lt;40,W1229&gt;=150),0.12,0)+IF(AND(V1229&gt;=40,V1229&lt;75,W1229&lt;35),0.3,0)+IF(AND(V1229&gt;=40,V1229&lt;75,W1229&gt;=35,W1229&lt;75),0.23,0)+IF(AND(V1229&gt;=40,V1229&lt;75,W1229&gt;=75,W1229&lt;120),0.17,0)+IF(AND(V1229&gt;=40,V1229&lt;75,W1229&gt;=120),0.12,0)+IF(AND(V1229&gt;=75,V1229&lt;175,W1229&lt;35),0.3,0)+IF(AND(V1229&gt;=75,V1229&lt;=175,W1229&gt;=35,W1229&lt;65),0.23,0)+IF(AND(V1229&gt;=75,V1229&lt;=175,W1229&gt;=65,W1229&lt;110),0.17,0)+IF(AND(V1229&gt;=75,V1229&lt;=175,W1229&gt;=110),0.12,0)+IF(AND(V1229&gt;175,W1229&lt;25),0.3,0)+IF(AND(V1229&gt;175,W1229&gt;=25,W1229&lt;55),0.23,0)+IF(AND(V1229&gt;175,W1229&gt;=55,W1229&lt;95),0.17,0)+IF(AND(V1229&gt;175,W1229&gt;=95),0.12,0),
IF(AF1229="DoEVsu",IF(AND(V1229&lt;20,W1229&lt;55),0.3,0)+IF(AND(V1229&lt;20,W1229&gt;=55,W1229&lt;105),0.23,0)+IF(AND(V1229&lt;20,W1229&gt;=105),0.17,0)+IF(AND(V1229&gt;=20,V1229&lt;40,W1229&lt;45),0.3,0)+IF(AND(V1229&gt;=20,V1229&lt;40,W1229&gt;=45,W1229&lt;95),0.23,0)+IF(AND(V1229&gt;=20,V1229&lt;40,W1229&gt;=95,W1229&lt;=250),0.17,0)+IF(AND(V1229&gt;=20,V1229&lt;40,W1229&gt;=250),0.12,0)+IF(AND(V1229&gt;=40,V1229&lt;75,W1229&lt;35),0.3,0)+IF(AND(V1229&gt;=40,V1229&lt;75,W1229&gt;=35,W1229&lt;75),0.23,0)+IF(AND(V1229&gt;=40,V1229&lt;75,W1229&gt;=75,W1229&lt;120),0.17,0)+IF(AND(V1229&gt;=40,V1229&lt;75,W1229&gt;=120),0.12,0)+IF(AND(V1229&gt;=75,V1229&lt;175,W1229&lt;35),0.3,0)+IF(AND(V1229&gt;=75,V1229&lt;=175,W1229&gt;=35,W1229&lt;65),0.23,0)+IF(AND(V1229&gt;=75,V1229&lt;=175,W1229&gt;=65,W1229&lt;110),0.17,0)+IF(AND(V1229&gt;=75,V1229&lt;=175,W1229&gt;=110),0.12,0)+IF(AND(V1229&gt;175,W1229&lt;25),0.3,0)+IF(AND(V1229&gt;175,W1229&gt;=25,W1229&lt;55),0.23,0)+IF(AND(V1229&gt;175,W1229&gt;=55,W1229&lt;95),0.17,0)+IF(AND(V1229&gt;175,W1229&gt;=95),0.12,0),
IF(AF1229="DoEVni",IF(AND(V1229&lt;20,W1229&lt;55),0.3,0)+IF(AND(V1229&lt;20,W1229&gt;=55,W1229&lt;105),0.23,0)+IF(AND(V1229&lt;20,W1229&gt;=105),0.17,0)+IF(AND(V1229&gt;=20,V1229&lt;40,W1229&lt;45),0.3,0)+IF(AND(V1229&gt;=20,V1229&lt;40,W1229&gt;=45,W1229&lt;95),0.23,0)+IF(AND(V1229&gt;=20,V1229&lt;40,W1229&gt;=95,W1229&lt;=200),0.17,0)+IF(AND(V1229&gt;=20,V1229&lt;40,W1229&gt;=200),0.12,0)+IF(AND(V1229&gt;=40,V1229&lt;75,W1229&lt;35),0.3,0)+IF(AND(V1229&gt;=40,V1229&lt;75,W1229&gt;=35,W1229&lt;75),0.23,0)+IF(AND(V1229&gt;=40,V1229&lt;75,W1229&gt;=75,W1229&lt;120),0.17,0)+IF(AND(V1229&gt;=40,V1229&lt;75,W1229&gt;=120),0.12,0)+IF(AND(V1229&gt;=75,V1229&lt;175,W1229&lt;35),0.3,0)+IF(AND(V1229&gt;=75,V1229&lt;=175,W1229&gt;=35,W1229&lt;65),0.23,0)+IF(AND(V1229&gt;=75,V1229&lt;=175,W1229&gt;=65,W1229&lt;110),0.17,0)+IF(AND(V1229&gt;=75,V1229&lt;=175,W1229&gt;=110),0.12,0)+IF(AND(V1229&gt;175,W1229&lt;25),0.3,0)+IF(AND(V1229&gt;175,W1229&gt;=25,W1229&lt;55),0.23,0)+IF(AND(V1229&gt;175,W1229&gt;=55,W1229&lt;95),0.17,0)+IF(AND(V1229&gt;175,W1229&gt;=95),0.12,0),
IF(AF1229="DoEVLo",IF(AND(V1229&lt;20,W1229&lt;55),0.25,0)+IF(AND(V1229&lt;20,W1229&gt;=55,W1229&lt;105),0.2,0)+IF(AND(V1229&lt;20,W1229&gt;=105),0.15,0)+IF(AND(V1229&gt;=20,V1229&lt;40,W1229&lt;45),0.25,0)+IF(AND(V1229&gt;=20,V1229&lt;40,W1229&gt;=45,W1229&lt;95),0.2,0)+IF(AND(V1229&gt;=20,V1229&lt;40,W1229&gt;=95),0.15,0)+IF(AND(V1229&gt;=40,V1229&lt;75,W1229&lt;35),0.25,0)+IF(AND(V1229&gt;=40,V1229&lt;75,W1229&gt;=35,W1229&lt;75),0.2,0)+IF(AND(V1229&gt;=40,V1229&lt;75,W1229&gt;=75,W1229&lt;120),0.15,0)+IF(AND(V1229&gt;=40,V1229&lt;75,W1229&gt;=120),0.1,0)+IF(AND(V1229&gt;=75,V1229&lt;175,W1229&lt;35),0.25,0)+IF(AND(V1229&gt;=75,V1229&lt;=175,W1229&gt;=35,W1229&lt;65),0.2,0)+IF(AND(V1229&gt;=75,V1229&lt;=175,W1229&gt;=65,W1229&lt;110),0.15,0)+IF(AND(V1229&gt;=75,V1229&lt;=175,W1229&gt;=110),0.1,0)+IF(AND(V1229&gt;175,W1229&lt;25),0.25,0)+IF(AND(V1229&gt;175,W1229&gt;=25,W1229&lt;55),0.2,0)+IF(AND(V1229&gt;175,W1229&gt;=55,W1229&lt;95),0.15,0)+IF(AND(V1229&gt;175,W1229&gt;=95),0.1,0))))))))))))))))</f>
        <v>0.25</v>
      </c>
      <c r="Y1229" s="35">
        <f t="shared" ref="Y1229:Y1231" si="169">if(AG1229="None",0,if(AG1229="Fix5",0.05,if(AG1229="Fix3.75",0.0375,if(AG1229="Fix10",0.1,if(AG1229="Fix3",0.03,0)))))</f>
        <v>0</v>
      </c>
      <c r="Z1229" s="40">
        <f t="shared" si="159"/>
        <v>-541.495</v>
      </c>
      <c r="AA1229" s="34">
        <f t="shared" si="166"/>
        <v>-185.505</v>
      </c>
      <c r="AB1229" s="41">
        <f t="shared" si="161"/>
        <v>0</v>
      </c>
      <c r="AC1229" s="42" t="b">
        <v>1</v>
      </c>
      <c r="AD1229" s="66" t="s">
        <v>140</v>
      </c>
      <c r="AE1229" s="66"/>
      <c r="AF1229" s="42" t="str">
        <f t="array" ref="AF1229">INDEX('Deal Info'!D:D, MATCH(A1229,'Deal Info'!A:A, 0))</f>
        <v>DoEVLo</v>
      </c>
      <c r="AG1229" s="43" t="str">
        <f t="array" ref="AG1229">INDEX('Deal Info'!G:G, MATCH(A1229,'Deal Info'!A:A, 0))</f>
        <v>None</v>
      </c>
    </row>
    <row r="1230" hidden="1">
      <c r="A1230" s="23" t="str">
        <f t="array" ref="A1230">if(G1230='Room Info'!$B$1, INDEX('Room Info'!$A$2:$A3446, MATCH(B1230,'Room Info'!$B$2:$B3446, 0)),if(G1230='Room Info'!$C$1, INDEX('Room Info'!$A$2:$A3446, MATCH(B1230,'Room Info'!$C$2:$C3446, 0)),if(G1230='Room Info'!$D$1, INDEX('Room Info'!$A$2:$A3446, MATCH(B1230,'Room Info'!$D$2:$D3446, 0)),if(G1230='Room Info'!$E$1, INDEX('Room Info'!$A$2:$A3446, MATCH(B1230,'Room Info'!$E$2:$E3446, 0)),if(G1230='Room Info'!$F$1, INDEX('Room Info'!$A$2:$A3446, MATCH(B1230,'Room Info'!$F$2:$F3446, 0)),if(G1230='Room Info'!$H$1, INDEX('Room Info'!$A$2:$A3446, MATCH(B1230,'Room Info'!$H$2:$H3446, 0)),if(G1230='Room Info'!$G$1, INDEX('Room Info'!$A$2:$A3446, MATCH(B1230,'Room Info'!$G$2:$G3446, 0)))))))))</f>
        <v>Lo4io</v>
      </c>
      <c r="B1230" s="50" t="s">
        <v>158</v>
      </c>
      <c r="C1230" s="82">
        <v>44733.0</v>
      </c>
      <c r="D1230" s="82">
        <v>44762.0</v>
      </c>
      <c r="E1230" s="52">
        <v>44743.0</v>
      </c>
      <c r="F1230" s="53" t="s">
        <v>4</v>
      </c>
      <c r="G1230" s="50" t="s">
        <v>9</v>
      </c>
      <c r="H1230" s="54" t="s">
        <v>89</v>
      </c>
      <c r="I1230" s="54" t="s">
        <v>7</v>
      </c>
      <c r="J1230" s="79">
        <v>100.0</v>
      </c>
      <c r="K1230" s="80">
        <v>1768.0</v>
      </c>
      <c r="L1230" s="77">
        <v>-7862.0</v>
      </c>
      <c r="M1230" s="81">
        <v>1270.0</v>
      </c>
      <c r="N1230" s="33">
        <f t="shared" si="155"/>
        <v>176800</v>
      </c>
      <c r="O1230" s="50">
        <v>62817.0</v>
      </c>
      <c r="P1230" s="34">
        <f t="shared" si="14"/>
        <v>35.52997738</v>
      </c>
      <c r="Q1230" s="60"/>
      <c r="R1230" s="36">
        <f t="shared" si="156"/>
        <v>1270</v>
      </c>
      <c r="S1230" s="78">
        <v>-4609.0</v>
      </c>
      <c r="T1230" s="37">
        <f t="shared" si="157"/>
        <v>-3339</v>
      </c>
      <c r="U1230" s="62">
        <v>1.021</v>
      </c>
      <c r="V1230" s="74">
        <v>82.0617059891107</v>
      </c>
      <c r="W1230" s="74">
        <v>38.19077317763624</v>
      </c>
      <c r="X1230" s="35">
        <f t="shared" si="168"/>
        <v>0.2</v>
      </c>
      <c r="Y1230" s="35">
        <f t="shared" si="169"/>
        <v>0</v>
      </c>
      <c r="Z1230" s="40">
        <f t="shared" si="159"/>
        <v>-2651.8422</v>
      </c>
      <c r="AA1230" s="34">
        <f t="shared" si="166"/>
        <v>-687.1578</v>
      </c>
      <c r="AB1230" s="41">
        <f t="shared" si="161"/>
        <v>0</v>
      </c>
      <c r="AC1230" s="42" t="b">
        <v>1</v>
      </c>
      <c r="AD1230" s="66" t="s">
        <v>140</v>
      </c>
      <c r="AE1230" s="66"/>
      <c r="AF1230" s="42" t="str">
        <f t="array" ref="AF1230">INDEX('Deal Info'!D:D, MATCH(A1230,'Deal Info'!A:A, 0))</f>
        <v>DoEVLo</v>
      </c>
      <c r="AG1230" s="43" t="str">
        <f t="array" ref="AG1230">INDEX('Deal Info'!G:G, MATCH(A1230,'Deal Info'!A:A, 0))</f>
        <v>None</v>
      </c>
    </row>
    <row r="1231" hidden="1">
      <c r="A1231" s="23" t="str">
        <f t="array" ref="A1231">if(G1231='Room Info'!$B$1, INDEX('Room Info'!$A$2:$A3446, MATCH(B1231,'Room Info'!$B$2:$B3446, 0)),if(G1231='Room Info'!$C$1, INDEX('Room Info'!$A$2:$A3446, MATCH(B1231,'Room Info'!$C$2:$C3446, 0)),if(G1231='Room Info'!$D$1, INDEX('Room Info'!$A$2:$A3446, MATCH(B1231,'Room Info'!$D$2:$D3446, 0)),if(G1231='Room Info'!$E$1, INDEX('Room Info'!$A$2:$A3446, MATCH(B1231,'Room Info'!$E$2:$E3446, 0)),if(G1231='Room Info'!$F$1, INDEX('Room Info'!$A$2:$A3446, MATCH(B1231,'Room Info'!$F$2:$F3446, 0)),if(G1231='Room Info'!$H$1, INDEX('Room Info'!$A$2:$A3446, MATCH(B1231,'Room Info'!$H$2:$H3446, 0)),if(G1231='Room Info'!$G$1, INDEX('Room Info'!$A$2:$A3446, MATCH(B1231,'Room Info'!$G$2:$G3446, 0)))))))))</f>
        <v>Lo4io</v>
      </c>
      <c r="B1231" s="50" t="s">
        <v>158</v>
      </c>
      <c r="C1231" s="97">
        <v>44794.0</v>
      </c>
      <c r="D1231" s="97">
        <v>44824.0</v>
      </c>
      <c r="E1231" s="52">
        <v>44805.0</v>
      </c>
      <c r="F1231" s="53" t="s">
        <v>4</v>
      </c>
      <c r="G1231" s="50" t="s">
        <v>9</v>
      </c>
      <c r="H1231" s="54" t="s">
        <v>89</v>
      </c>
      <c r="I1231" s="54" t="s">
        <v>21</v>
      </c>
      <c r="J1231" s="75">
        <v>100.0</v>
      </c>
      <c r="K1231" s="76">
        <v>179.0</v>
      </c>
      <c r="L1231" s="77">
        <v>-1500.0</v>
      </c>
      <c r="M1231" s="98">
        <v>8.0</v>
      </c>
      <c r="N1231" s="33">
        <f t="shared" si="155"/>
        <v>17900</v>
      </c>
      <c r="O1231" s="50">
        <v>9374.0</v>
      </c>
      <c r="P1231" s="34">
        <f t="shared" si="14"/>
        <v>52.36871508</v>
      </c>
      <c r="Q1231" s="60"/>
      <c r="R1231" s="36">
        <f t="shared" si="156"/>
        <v>8</v>
      </c>
      <c r="S1231" s="78">
        <v>110.0</v>
      </c>
      <c r="T1231" s="37">
        <f t="shared" si="157"/>
        <v>118</v>
      </c>
      <c r="U1231" s="62">
        <v>1.0</v>
      </c>
      <c r="V1231" s="74">
        <v>54.81700753498385</v>
      </c>
      <c r="W1231" s="74">
        <v>27.03540500736377</v>
      </c>
      <c r="X1231" s="35">
        <f t="shared" si="168"/>
        <v>0.25</v>
      </c>
      <c r="Y1231" s="35">
        <f t="shared" si="169"/>
        <v>0</v>
      </c>
      <c r="Z1231" s="40">
        <f t="shared" si="159"/>
        <v>88.5</v>
      </c>
      <c r="AA1231" s="34">
        <f t="shared" si="166"/>
        <v>29.5</v>
      </c>
      <c r="AB1231" s="41">
        <f t="shared" si="161"/>
        <v>0</v>
      </c>
      <c r="AC1231" s="42" t="b">
        <v>1</v>
      </c>
      <c r="AD1231" s="42" t="s">
        <v>138</v>
      </c>
      <c r="AE1231" s="42" t="s">
        <v>138</v>
      </c>
      <c r="AF1231" s="42" t="str">
        <f t="array" ref="AF1231">INDEX('Deal Info'!D:D, MATCH(A1231,'Deal Info'!A:A, 0))</f>
        <v>DoEVLo</v>
      </c>
      <c r="AG1231" s="43" t="str">
        <f t="array" ref="AG1231">INDEX('Deal Info'!G:G, MATCH(A1231,'Deal Info'!A:A, 0))</f>
        <v>None</v>
      </c>
    </row>
    <row r="1232" hidden="1">
      <c r="A1232" s="23" t="str">
        <f t="array" ref="A1232">if(G1232='Room Info'!$B$1, INDEX('Room Info'!$A$2:$A3446, MATCH(B1232,'Room Info'!$B$2:$B3446, 0)),if(G1232='Room Info'!$C$1, INDEX('Room Info'!$A$2:$A3446, MATCH(B1232,'Room Info'!$C$2:$C3446, 0)),if(G1232='Room Info'!$D$1, INDEX('Room Info'!$A$2:$A3446, MATCH(B1232,'Room Info'!$D$2:$D3446, 0)),if(G1232='Room Info'!$E$1, INDEX('Room Info'!$A$2:$A3446, MATCH(B1232,'Room Info'!$E$2:$E3446, 0)),if(G1232='Room Info'!$F$1, INDEX('Room Info'!$A$2:$A3446, MATCH(B1232,'Room Info'!$F$2:$F3446, 0)),if(G1232='Room Info'!$H$1, INDEX('Room Info'!$A$2:$A3446, MATCH(B1232,'Room Info'!$H$2:$H3446, 0)),if(G1232='Room Info'!$G$1, INDEX('Room Info'!$A$2:$A3446, MATCH(B1232,'Room Info'!$G$2:$G3446, 0)))))))))</f>
        <v>fortunate773</v>
      </c>
      <c r="B1232" s="50" t="s">
        <v>145</v>
      </c>
      <c r="C1232" s="51">
        <v>44713.0</v>
      </c>
      <c r="D1232" s="51">
        <v>44742.0</v>
      </c>
      <c r="E1232" s="52">
        <v>44713.0</v>
      </c>
      <c r="F1232" s="53" t="s">
        <v>8</v>
      </c>
      <c r="G1232" s="50" t="s">
        <v>9</v>
      </c>
      <c r="H1232" s="54" t="s">
        <v>89</v>
      </c>
      <c r="I1232" s="54" t="s">
        <v>21</v>
      </c>
      <c r="J1232" s="75">
        <v>100.0</v>
      </c>
      <c r="K1232" s="76">
        <v>399.0</v>
      </c>
      <c r="L1232" s="77">
        <v>-3000.0</v>
      </c>
      <c r="M1232" s="58">
        <v>23700.0</v>
      </c>
      <c r="N1232" s="33">
        <f t="shared" si="155"/>
        <v>39900</v>
      </c>
      <c r="O1232" s="50">
        <v>9261.0</v>
      </c>
      <c r="P1232" s="34">
        <f t="shared" si="14"/>
        <v>23.21052632</v>
      </c>
      <c r="Q1232" s="60"/>
      <c r="R1232" s="36">
        <f t="shared" si="156"/>
        <v>23700</v>
      </c>
      <c r="S1232" s="78">
        <v>-2045.0</v>
      </c>
      <c r="T1232" s="37">
        <f t="shared" si="157"/>
        <v>21655</v>
      </c>
      <c r="U1232" s="62">
        <v>1.0</v>
      </c>
      <c r="V1232" s="63"/>
      <c r="W1232" s="63"/>
      <c r="X1232" s="83">
        <v>0.17</v>
      </c>
      <c r="Y1232" s="83">
        <v>0.06</v>
      </c>
      <c r="Z1232" s="64">
        <v>16891.0</v>
      </c>
      <c r="AA1232" s="65">
        <v>4764.0</v>
      </c>
      <c r="AB1232" s="41"/>
      <c r="AC1232" s="42" t="b">
        <v>1</v>
      </c>
      <c r="AD1232" s="66" t="s">
        <v>140</v>
      </c>
      <c r="AE1232" s="66"/>
      <c r="AF1232" s="42" t="str">
        <f t="array" ref="AF1232">INDEX('Deal Info'!D:D, MATCH(A1232,'Deal Info'!A:A, 0))</f>
        <v>Fix15</v>
      </c>
      <c r="AG1232" s="43" t="str">
        <f t="array" ref="AG1232">INDEX('Deal Info'!G:G, MATCH(A1232,'Deal Info'!A:A, 0))</f>
        <v>Fix5</v>
      </c>
    </row>
    <row r="1233" hidden="1">
      <c r="A1233" s="23" t="str">
        <f t="array" ref="A1233">if(G1233='Room Info'!$B$1, INDEX('Room Info'!$A$2:$A3446, MATCH(B1233,'Room Info'!$B$2:$B3446, 0)),if(G1233='Room Info'!$C$1, INDEX('Room Info'!$A$2:$A3446, MATCH(B1233,'Room Info'!$C$2:$C3446, 0)),if(G1233='Room Info'!$D$1, INDEX('Room Info'!$A$2:$A3446, MATCH(B1233,'Room Info'!$D$2:$D3446, 0)),if(G1233='Room Info'!$E$1, INDEX('Room Info'!$A$2:$A3446, MATCH(B1233,'Room Info'!$E$2:$E3446, 0)),if(G1233='Room Info'!$F$1, INDEX('Room Info'!$A$2:$A3446, MATCH(B1233,'Room Info'!$F$2:$F3446, 0)),if(G1233='Room Info'!$H$1, INDEX('Room Info'!$A$2:$A3446, MATCH(B1233,'Room Info'!$H$2:$H3446, 0)),if(G1233='Room Info'!$G$1, INDEX('Room Info'!$A$2:$A3446, MATCH(B1233,'Room Info'!$G$2:$G3446, 0)))))))))</f>
        <v>fortunate773</v>
      </c>
      <c r="B1233" s="50" t="s">
        <v>145</v>
      </c>
      <c r="C1233" s="51">
        <v>44743.0</v>
      </c>
      <c r="D1233" s="51">
        <v>44773.0</v>
      </c>
      <c r="E1233" s="52">
        <v>44743.0</v>
      </c>
      <c r="F1233" s="50" t="s">
        <v>8</v>
      </c>
      <c r="G1233" s="59" t="s">
        <v>9</v>
      </c>
      <c r="H1233" s="54" t="s">
        <v>89</v>
      </c>
      <c r="I1233" s="54" t="s">
        <v>21</v>
      </c>
      <c r="J1233" s="55">
        <v>100.0</v>
      </c>
      <c r="K1233" s="56">
        <v>96.0</v>
      </c>
      <c r="L1233" s="57">
        <v>-1900.0</v>
      </c>
      <c r="M1233" s="58">
        <v>19891.0</v>
      </c>
      <c r="N1233" s="33">
        <f t="shared" si="155"/>
        <v>9600</v>
      </c>
      <c r="O1233" s="59">
        <v>1041.0</v>
      </c>
      <c r="P1233" s="34">
        <f t="shared" si="14"/>
        <v>10.84375</v>
      </c>
      <c r="Q1233" s="60"/>
      <c r="R1233" s="36">
        <f t="shared" si="156"/>
        <v>19891</v>
      </c>
      <c r="S1233" s="61">
        <v>-641.0</v>
      </c>
      <c r="T1233" s="37">
        <f t="shared" si="157"/>
        <v>19250</v>
      </c>
      <c r="U1233" s="62">
        <v>1.0</v>
      </c>
      <c r="V1233" s="63"/>
      <c r="W1233" s="63"/>
      <c r="X1233" s="83">
        <v>0.17</v>
      </c>
      <c r="Y1233" s="83">
        <v>0.06</v>
      </c>
      <c r="Z1233" s="64">
        <v>15015.0</v>
      </c>
      <c r="AA1233" s="65">
        <v>4235.0</v>
      </c>
      <c r="AB1233" s="41"/>
      <c r="AC1233" s="42" t="b">
        <v>1</v>
      </c>
      <c r="AD1233" s="66" t="s">
        <v>140</v>
      </c>
      <c r="AE1233" s="66"/>
      <c r="AF1233" s="42" t="str">
        <f t="array" ref="AF1233">INDEX('Deal Info'!D:D, MATCH(A1233,'Deal Info'!A:A, 0))</f>
        <v>Fix15</v>
      </c>
      <c r="AG1233" s="43" t="str">
        <f t="array" ref="AG1233">INDEX('Deal Info'!G:G, MATCH(A1233,'Deal Info'!A:A, 0))</f>
        <v>Fix5</v>
      </c>
    </row>
    <row r="1234" hidden="1">
      <c r="A1234" s="23" t="str">
        <f t="array" ref="A1234">if(G1234='Room Info'!$B$1, INDEX('Room Info'!$A$2:$A3446, MATCH(B1234,'Room Info'!$B$2:$B3446, 0)),if(G1234='Room Info'!$C$1, INDEX('Room Info'!$A$2:$A3446, MATCH(B1234,'Room Info'!$C$2:$C3446, 0)),if(G1234='Room Info'!$D$1, INDEX('Room Info'!$A$2:$A3446, MATCH(B1234,'Room Info'!$D$2:$D3446, 0)),if(G1234='Room Info'!$E$1, INDEX('Room Info'!$A$2:$A3446, MATCH(B1234,'Room Info'!$E$2:$E3446, 0)),if(G1234='Room Info'!$F$1, INDEX('Room Info'!$A$2:$A3446, MATCH(B1234,'Room Info'!$F$2:$F3446, 0)),if(G1234='Room Info'!$H$1, INDEX('Room Info'!$A$2:$A3446, MATCH(B1234,'Room Info'!$H$2:$H3446, 0)),if(G1234='Room Info'!$G$1, INDEX('Room Info'!$A$2:$A3446, MATCH(B1234,'Room Info'!$G$2:$G3446, 0)))))))))</f>
        <v>fortunate773</v>
      </c>
      <c r="B1234" s="50" t="s">
        <v>145</v>
      </c>
      <c r="C1234" s="51">
        <v>44774.0</v>
      </c>
      <c r="D1234" s="51">
        <v>44804.0</v>
      </c>
      <c r="E1234" s="52">
        <v>44774.0</v>
      </c>
      <c r="F1234" s="53" t="s">
        <v>8</v>
      </c>
      <c r="G1234" s="59" t="s">
        <v>9</v>
      </c>
      <c r="H1234" s="54" t="s">
        <v>89</v>
      </c>
      <c r="I1234" s="54" t="s">
        <v>21</v>
      </c>
      <c r="J1234" s="55">
        <v>100.0</v>
      </c>
      <c r="K1234" s="56">
        <v>16.0</v>
      </c>
      <c r="L1234" s="57">
        <v>-400.0</v>
      </c>
      <c r="M1234" s="58">
        <v>0.0</v>
      </c>
      <c r="N1234" s="33">
        <f t="shared" si="155"/>
        <v>1600</v>
      </c>
      <c r="O1234" s="59">
        <v>1092.0</v>
      </c>
      <c r="P1234" s="34">
        <f t="shared" si="14"/>
        <v>68.25</v>
      </c>
      <c r="Q1234" s="60"/>
      <c r="R1234" s="36">
        <f t="shared" si="156"/>
        <v>0</v>
      </c>
      <c r="S1234" s="61">
        <v>55.0</v>
      </c>
      <c r="T1234" s="37">
        <f t="shared" si="157"/>
        <v>55</v>
      </c>
      <c r="U1234" s="62">
        <v>1.0</v>
      </c>
      <c r="V1234" s="63"/>
      <c r="W1234" s="63"/>
      <c r="X1234" s="35">
        <f t="shared" ref="X1234:X1235" si="170">IF(AF1234="DoEV",IF(AND(V1234&lt;20,W1234&lt;55),0.3,0)+IF(AND(V1234&lt;20,W1234&gt;=55,W1234&lt;105),0.23,0)+IF(AND(V1234&lt;20,W1234&gt;=105),0.17,0)+IF(AND(V1234&gt;=20,V1234&lt;40,W1234&lt;45),0.3,0)+IF(AND(V1234&gt;=20,V1234&lt;40,W1234&gt;=45,W1234&lt;95),0.23,0)+IF(AND(V1234&gt;=20,V1234&lt;40,W1234&gt;=95),0.17,0)+IF(AND(V1234&gt;=40,V1234&lt;75,W1234&lt;35),0.3,0)+IF(AND(V1234&gt;=40,V1234&lt;75,W1234&gt;=35,W1234&lt;75),0.23,0)+IF(AND(V1234&gt;=40,V1234&lt;75,W1234&gt;=75,W1234&lt;120),0.17,0)+IF(AND(V1234&gt;=40,V1234&lt;75,W1234&gt;=120),0.12,0)+IF(AND(V1234&gt;=75,V1234&lt;175,W1234&lt;35),0.3,0)+IF(AND(V1234&gt;=75,V1234&lt;=175,W1234&gt;=35,W1234&lt;65),0.23,0)+IF(AND(V1234&gt;=75,V1234&lt;=175,W1234&gt;=65,W1234&lt;110),0.17,0)+IF(AND(V1234&gt;=75,V1234&lt;=175,W1234&gt;=110),0.12,0)+IF(AND(V1234&gt;175,W1234&lt;25),0.3,0)+IF(AND(V1234&gt;175,W1234&gt;=25,W1234&lt;55),0.23,0)+IF(AND(V1234&gt;175,W1234&gt;=55,W1234&lt;95),0.17,0)+IF(AND(V1234&gt;175,W1234&gt;=95),0.12,0),
IF(AF1234="Fix15",0.15,
IF(AF1234="Fix11.25",0.1125,
IF(AF1234="Fix10",0.1,
IF(AF1234="Fix9",0.09,
IF(AF1234="DoEV2017",IF(AND(W1234&lt;74),0.2,0)+IF(AND(W1234&gt;=74),0.17,0),
IF(AF1234="SF",IF(AND(V1234&lt;20,W1234&lt;89),0.3,0)+IF(AND(V1234&lt;20,W1234&gt;=89),0.25,0)+IF(AND(V1234&gt;=20,V1234&lt;40,W1234&lt;74),0.3,0)+IF(AND(V1234&gt;=20,V1234&lt;40,W1234&gt;=75),0.22,0)+IF(AND(V1234&gt;=40,V1234&lt;75,W1234&lt;75),0.26,0)+IF(AND(V1234&gt;=40,V1234&lt;75,W1234&gt;=75),0.22,0)+IF(V1234&gt;=75,0.22,0),
IF(AF1234="DoEVold",IF(AND(V1234&lt;40,W1234&lt;35),0.35,0)+IF(AND(V1234&lt;40,W1234&gt;=35,W1234&lt;75),0.25,0)+IF(AND(V1234&lt;40,W1234&gt;=75),0.17,0)+IF(AND(V1234&gt;=40,V1234&lt;75,W1234&lt;25),0.35,0)+IF(AND(V1234&gt;=40,V1234&lt;75,W1234&gt;=25,W1234&lt;65),0.25,0)+IF(AND(V1234&gt;=40,V1234&lt;75,W1234&gt;=65,W1234&lt;100),0.17,0)+IF(AND(V1234&gt;=40,V1234&lt;75,W1234&gt;=100),0.1,0)+IF(AND(V1234&gt;=75,W1234&lt;25),0.35,0)+IF(AND(V1234&gt;=75,W1234&gt;=25,W1234&lt;60),0.25,0)+IF(AND(V1234&gt;=75,W1234&gt;=60,W1234&lt;95),0.17,0)+IF(AND(V1234&gt;=75,W1234&gt;=95),0.1,0),
IF(AF1234="DoEVold15",IF(AND(V1234&lt;=40,W1234&lt;35),0.35,0)+IF(AND(V1234&lt;=40,W1234&gt;=35,W1234&lt;75),0.25,0)+IF(AND(V1234&lt;=40,W1234&gt;=75,W1234&lt;120),0.17,0)+IF(AND(V1234&lt;=40,W1234&gt;=120),0.15,0)+IF(AND(V1234&gt;40,V1234&lt;75,W1234&lt;25),0.35,0)+IF(AND(V1234&gt;=40,V1234&lt;75,W1234&gt;=25,W1234&lt;65),0.25,0)+IF(AND(V1234&gt;=40,V1234&lt;75,W1234&gt;=65,W1234&lt;100),0.17,0)+IF(AND(V1234&gt;=40,V1234&lt;75,W1234&gt;=100),0.1,0)+IF(AND(V1234&gt;=75,W1234&lt;25),0.35,0)+IF(AND(V1234&gt;=75,W1234&gt;=25,W1234&lt;60),0.25,0)+IF(AND(V1234&gt;=75,W1234&gt;=60,W1234&lt;95),0.17,0)+IF(AND(V1234&gt;=75,W1234&gt;=95),0.1,0),
IF(AF1234="DoEVba",IF(AND(V1234&lt;20,W1234&lt;105),0.2,0)+IF(AND(V1234&lt;20,W1234&gt;=105),0.15,0)+IF(AND(V1234&gt;=20,V1234&lt;40,W1234&lt;95),0.2,0)+IF(AND(V1234&gt;=20,V1234&lt;40,W1234&gt;=95,W1234&lt;150),0.15,0)+IF(AND(V1234&gt;=20,V1234&lt;40,W1234&gt;=150),0.12,0)+IF(AND(V1234&gt;=40,V1234&lt;75,W1234&lt;75),0.2,0)+IF(AND(V1234&gt;=40,V1234&lt;75,W1234&gt;=75,W1234&lt;120),0.15,0)+IF(AND(V1234&gt;=40,V1234&lt;75,W1234&gt;=120),0.12,0)+IF(AND(V1234&gt;=75,V1234&lt;175,W1234&lt;65),0.2,0)+IF(AND(V1234&gt;=75,V1234&lt;175,W1234&gt;=65,W1234&lt;110),0.15,0)+IF(AND(V1234&gt;=75,V1234&lt;175,W1234&gt;=110),0.12,0)+IF(AND(V1234&gt;=175,W1234&lt;55),0.2,0)+IF(AND(V1234&gt;=175,W1234&gt;=55,W1234&lt;95),0.15,0)+IF(AND(V1234&gt;=175,W1234&gt;=95),0.12,0),
IF(AF1234="DoEVku",IF(AND(V1234&lt;20,W1234&lt;55),0.23,0)+IF(AND(V1234&lt;20,W1234&gt;=55,W1234&lt;105),0.2,0)+IF(AND(V1234&lt;20,W1234&gt;=105),0.17,0)+IF(AND(V1234&gt;=20,V1234&lt;40,W1234&lt;45),0.23,0)+IF(AND(V1234&gt;=20,V1234&lt;40,W1234&gt;=45,W1234&lt;95),0.2,0)+IF(AND(V1234&gt;=20,V1234&lt;40,W1234&gt;=95,W1234&lt;=150),0.17,0)+IF(AND(V1234&gt;=20,V1234&lt;40,W1234&gt;=150),0.12,0)+IF(AND(V1234&gt;=40,V1234&lt;75,W1234&lt;35),0.23,0)+IF(AND(V1234&gt;=40,V1234&lt;75,W1234&gt;=35,W1234&lt;75),0.2,0)+IF(AND(V1234&gt;=40,V1234&lt;75,W1234&gt;=75,W1234&lt;120),0.17,0)+IF(AND(V1234&gt;=40,V1234&lt;75,W1234&gt;=120),0.12,0)+IF(AND(V1234&gt;=75,V1234&lt;175,W1234&lt;35),0.23,0)+IF(AND(V1234&gt;=75,V1234&lt;=175,W1234&gt;=35,W1234&lt;65),0.2,0)+IF(AND(V1234&gt;=75,V1234&lt;=175,W1234&gt;=65,W1234&lt;110),0.17,0)+IF(AND(V1234&gt;=75,V1234&lt;=175,W1234&gt;=110),0.12,0)+IF(AND(V1234&gt;175,W1234&lt;25),0.23,0)+IF(AND(V1234&gt;175,W1234&gt;=25,W1234&lt;55),0.2,0)+IF(AND(V1234&gt;175,W1234&gt;=55,W1234&lt;95),0.17,0)+IF(AND(V1234&gt;175,W1234&gt;=95),0.12,0),
IF(AF1234="DoEVs1",IF(AND(V1234&lt;20,W1234&lt;55),0.3,0)+IF(AND(V1234&lt;20,W1234&gt;=55,W1234&lt;105),0.23,0)+IF(AND(V1234&lt;20,W1234&gt;=105),0.17,0)+IF(AND(V1234&gt;=20,V1234&lt;40,W1234&lt;45),0.3,0)+IF(AND(V1234&gt;=20,V1234&lt;40,W1234&gt;=45,W1234&lt;95),0.23,0)+IF(AND(V1234&gt;=20,V1234&lt;40,W1234&gt;=95,W1234&lt;=150),0.17,0)+IF(AND(V1234&gt;=20,V1234&lt;40,W1234&gt;=150),0.12,0)+IF(AND(V1234&gt;=40,V1234&lt;75,W1234&lt;35),0.3,0)+IF(AND(V1234&gt;=40,V1234&lt;75,W1234&gt;=35,W1234&lt;75),0.23,0)+IF(AND(V1234&gt;=40,V1234&lt;75,W1234&gt;=75,W1234&lt;120),0.17,0)+IF(AND(V1234&gt;=40,V1234&lt;75,W1234&gt;=120),0.12,0)+IF(AND(V1234&gt;=75,V1234&lt;175,W1234&lt;35),0.3,0)+IF(AND(V1234&gt;=75,V1234&lt;=175,W1234&gt;=35,W1234&lt;65),0.23,0)+IF(AND(V1234&gt;=75,V1234&lt;=175,W1234&gt;=65,W1234&lt;110),0.17,0)+IF(AND(V1234&gt;=75,V1234&lt;=175,W1234&gt;=110),0.12,0)+IF(AND(V1234&gt;175,W1234&lt;25),0.3,0)+IF(AND(V1234&gt;175,W1234&gt;=25,W1234&lt;55),0.23,0)+IF(AND(V1234&gt;175,W1234&gt;=55,W1234&lt;95),0.17,0)+IF(AND(V1234&gt;175,W1234&gt;=95),0.12,0),
IF(AF1234="DoEVsu",IF(AND(V1234&lt;20,W1234&lt;55),0.3,0)+IF(AND(V1234&lt;20,W1234&gt;=55,W1234&lt;105),0.23,0)+IF(AND(V1234&lt;20,W1234&gt;=105),0.17,0)+IF(AND(V1234&gt;=20,V1234&lt;40,W1234&lt;45),0.3,0)+IF(AND(V1234&gt;=20,V1234&lt;40,W1234&gt;=45,W1234&lt;95),0.23,0)+IF(AND(V1234&gt;=20,V1234&lt;40,W1234&gt;=95,W1234&lt;=250),0.17,0)+IF(AND(V1234&gt;=20,V1234&lt;40,W1234&gt;=250),0.12,0)+IF(AND(V1234&gt;=40,V1234&lt;75,W1234&lt;35),0.3,0)+IF(AND(V1234&gt;=40,V1234&lt;75,W1234&gt;=35,W1234&lt;75),0.23,0)+IF(AND(V1234&gt;=40,V1234&lt;75,W1234&gt;=75,W1234&lt;120),0.17,0)+IF(AND(V1234&gt;=40,V1234&lt;75,W1234&gt;=120),0.12,0)+IF(AND(V1234&gt;=75,V1234&lt;175,W1234&lt;35),0.3,0)+IF(AND(V1234&gt;=75,V1234&lt;=175,W1234&gt;=35,W1234&lt;65),0.23,0)+IF(AND(V1234&gt;=75,V1234&lt;=175,W1234&gt;=65,W1234&lt;110),0.17,0)+IF(AND(V1234&gt;=75,V1234&lt;=175,W1234&gt;=110),0.12,0)+IF(AND(V1234&gt;175,W1234&lt;25),0.3,0)+IF(AND(V1234&gt;175,W1234&gt;=25,W1234&lt;55),0.23,0)+IF(AND(V1234&gt;175,W1234&gt;=55,W1234&lt;95),0.17,0)+IF(AND(V1234&gt;175,W1234&gt;=95),0.12,0),
IF(AF1234="DoEVni",IF(AND(V1234&lt;20,W1234&lt;55),0.3,0)+IF(AND(V1234&lt;20,W1234&gt;=55,W1234&lt;105),0.23,0)+IF(AND(V1234&lt;20,W1234&gt;=105),0.17,0)+IF(AND(V1234&gt;=20,V1234&lt;40,W1234&lt;45),0.3,0)+IF(AND(V1234&gt;=20,V1234&lt;40,W1234&gt;=45,W1234&lt;95),0.23,0)+IF(AND(V1234&gt;=20,V1234&lt;40,W1234&gt;=95,W1234&lt;=200),0.17,0)+IF(AND(V1234&gt;=20,V1234&lt;40,W1234&gt;=200),0.12,0)+IF(AND(V1234&gt;=40,V1234&lt;75,W1234&lt;35),0.3,0)+IF(AND(V1234&gt;=40,V1234&lt;75,W1234&gt;=35,W1234&lt;75),0.23,0)+IF(AND(V1234&gt;=40,V1234&lt;75,W1234&gt;=75,W1234&lt;120),0.17,0)+IF(AND(V1234&gt;=40,V1234&lt;75,W1234&gt;=120),0.12,0)+IF(AND(V1234&gt;=75,V1234&lt;175,W1234&lt;35),0.3,0)+IF(AND(V1234&gt;=75,V1234&lt;=175,W1234&gt;=35,W1234&lt;65),0.23,0)+IF(AND(V1234&gt;=75,V1234&lt;=175,W1234&gt;=65,W1234&lt;110),0.17,0)+IF(AND(V1234&gt;=75,V1234&lt;=175,W1234&gt;=110),0.12,0)+IF(AND(V1234&gt;175,W1234&lt;25),0.3,0)+IF(AND(V1234&gt;175,W1234&gt;=25,W1234&lt;55),0.23,0)+IF(AND(V1234&gt;175,W1234&gt;=55,W1234&lt;95),0.17,0)+IF(AND(V1234&gt;175,W1234&gt;=95),0.12,0),
IF(AF1234="DoEVLo",IF(AND(V1234&lt;20,W1234&lt;55),0.25,0)+IF(AND(V1234&lt;20,W1234&gt;=55,W1234&lt;105),0.2,0)+IF(AND(V1234&lt;20,W1234&gt;=105),0.15,0)+IF(AND(V1234&gt;=20,V1234&lt;40,W1234&lt;45),0.25,0)+IF(AND(V1234&gt;=20,V1234&lt;40,W1234&gt;=45,W1234&lt;95),0.2,0)+IF(AND(V1234&gt;=20,V1234&lt;40,W1234&gt;=95),0.15,0)+IF(AND(V1234&gt;=40,V1234&lt;75,W1234&lt;35),0.25,0)+IF(AND(V1234&gt;=40,V1234&lt;75,W1234&gt;=35,W1234&lt;75),0.2,0)+IF(AND(V1234&gt;=40,V1234&lt;75,W1234&gt;=75,W1234&lt;120),0.15,0)+IF(AND(V1234&gt;=40,V1234&lt;75,W1234&gt;=120),0.1,0)+IF(AND(V1234&gt;=75,V1234&lt;175,W1234&lt;35),0.25,0)+IF(AND(V1234&gt;=75,V1234&lt;=175,W1234&gt;=35,W1234&lt;65),0.2,0)+IF(AND(V1234&gt;=75,V1234&lt;=175,W1234&gt;=65,W1234&lt;110),0.15,0)+IF(AND(V1234&gt;=75,V1234&lt;=175,W1234&gt;=110),0.1,0)+IF(AND(V1234&gt;175,W1234&lt;25),0.25,0)+IF(AND(V1234&gt;175,W1234&gt;=25,W1234&lt;55),0.2,0)+IF(AND(V1234&gt;175,W1234&gt;=55,W1234&lt;95),0.15,0)+IF(AND(V1234&gt;175,W1234&gt;=95),0.1,0))))))))))))))))</f>
        <v>0.15</v>
      </c>
      <c r="Y1234" s="35">
        <f t="shared" ref="Y1234:Y1235" si="171">if(AG1234="None",0,if(AG1234="Fix5",0.05,if(AG1234="Fix3.75",0.0375,if(AG1234="Fix10",0.1,if(AG1234="Fix3",0.03,0)))))</f>
        <v>0.05</v>
      </c>
      <c r="Z1234" s="64">
        <v>44.0</v>
      </c>
      <c r="AA1234" s="65">
        <v>11.0</v>
      </c>
      <c r="AB1234" s="41"/>
      <c r="AC1234" s="42" t="b">
        <v>1</v>
      </c>
      <c r="AD1234" s="66" t="s">
        <v>140</v>
      </c>
      <c r="AE1234" s="66"/>
      <c r="AF1234" s="42" t="str">
        <f t="array" ref="AF1234">INDEX('Deal Info'!D:D, MATCH(A1234,'Deal Info'!A:A, 0))</f>
        <v>Fix15</v>
      </c>
      <c r="AG1234" s="43" t="str">
        <f t="array" ref="AG1234">INDEX('Deal Info'!G:G, MATCH(A1234,'Deal Info'!A:A, 0))</f>
        <v>Fix5</v>
      </c>
    </row>
    <row r="1235" hidden="1">
      <c r="A1235" s="23" t="str">
        <f t="array" ref="A1235">if(G1235='Room Info'!$B$1, INDEX('Room Info'!$A$2:$A3446, MATCH(B1235,'Room Info'!$B$2:$B3446, 0)),if(G1235='Room Info'!$C$1, INDEX('Room Info'!$A$2:$A3446, MATCH(B1235,'Room Info'!$C$2:$C3446, 0)),if(G1235='Room Info'!$D$1, INDEX('Room Info'!$A$2:$A3446, MATCH(B1235,'Room Info'!$D$2:$D3446, 0)),if(G1235='Room Info'!$E$1, INDEX('Room Info'!$A$2:$A3446, MATCH(B1235,'Room Info'!$E$2:$E3446, 0)),if(G1235='Room Info'!$F$1, INDEX('Room Info'!$A$2:$A3446, MATCH(B1235,'Room Info'!$F$2:$F3446, 0)),if(G1235='Room Info'!$H$1, INDEX('Room Info'!$A$2:$A3446, MATCH(B1235,'Room Info'!$H$2:$H3446, 0)),if(G1235='Room Info'!$G$1, INDEX('Room Info'!$A$2:$A3446, MATCH(B1235,'Room Info'!$G$2:$G3446, 0)))))))))</f>
        <v>fortunate773</v>
      </c>
      <c r="B1235" s="50" t="s">
        <v>151</v>
      </c>
      <c r="C1235" s="51">
        <v>44916.0</v>
      </c>
      <c r="D1235" s="51">
        <v>44957.0</v>
      </c>
      <c r="E1235" s="52">
        <v>44927.0</v>
      </c>
      <c r="F1235" s="53" t="s">
        <v>8</v>
      </c>
      <c r="G1235" s="50" t="s">
        <v>9</v>
      </c>
      <c r="H1235" s="54" t="s">
        <v>89</v>
      </c>
      <c r="I1235" s="54" t="s">
        <v>21</v>
      </c>
      <c r="J1235" s="75">
        <v>100.0</v>
      </c>
      <c r="K1235" s="76">
        <v>333.0</v>
      </c>
      <c r="L1235" s="57">
        <v>-2600.0</v>
      </c>
      <c r="M1235" s="58">
        <v>117.0</v>
      </c>
      <c r="N1235" s="33">
        <f t="shared" si="155"/>
        <v>33300</v>
      </c>
      <c r="O1235" s="59">
        <v>8105.0</v>
      </c>
      <c r="P1235" s="34">
        <f t="shared" si="14"/>
        <v>24.33933934</v>
      </c>
      <c r="Q1235" s="60"/>
      <c r="R1235" s="36">
        <f t="shared" si="156"/>
        <v>117</v>
      </c>
      <c r="S1235" s="61">
        <v>-1416.0</v>
      </c>
      <c r="T1235" s="37">
        <f t="shared" si="157"/>
        <v>-1299</v>
      </c>
      <c r="U1235" s="62">
        <v>1.0</v>
      </c>
      <c r="V1235" s="63"/>
      <c r="W1235" s="63"/>
      <c r="X1235" s="35">
        <f t="shared" si="170"/>
        <v>0.15</v>
      </c>
      <c r="Y1235" s="35">
        <f t="shared" si="171"/>
        <v>0.05</v>
      </c>
      <c r="Z1235" s="64">
        <v>-1039.0</v>
      </c>
      <c r="AA1235" s="65">
        <v>-260.0</v>
      </c>
      <c r="AB1235" s="41"/>
      <c r="AC1235" s="42" t="b">
        <v>0</v>
      </c>
      <c r="AD1235" s="66" t="s">
        <v>140</v>
      </c>
      <c r="AE1235" s="66"/>
      <c r="AF1235" s="42" t="str">
        <f t="array" ref="AF1235">INDEX('Deal Info'!D:D, MATCH(A1235,'Deal Info'!A:A, 0))</f>
        <v>Fix15</v>
      </c>
      <c r="AG1235" s="43" t="str">
        <f t="array" ref="AG1235">INDEX('Deal Info'!G:G, MATCH(A1235,'Deal Info'!A:A, 0))</f>
        <v>Fix5</v>
      </c>
    </row>
    <row r="1236" hidden="1">
      <c r="A1236" s="23" t="str">
        <f t="array" ref="A1236">if(G1236='Room Info'!$B$1, INDEX('Room Info'!$A$2:$A3446, MATCH(B1236,'Room Info'!$B$2:$B3446, 0)),if(G1236='Room Info'!$C$1, INDEX('Room Info'!$A$2:$A3446, MATCH(B1236,'Room Info'!$C$2:$C3446, 0)),if(G1236='Room Info'!$D$1, INDEX('Room Info'!$A$2:$A3446, MATCH(B1236,'Room Info'!$D$2:$D3446, 0)),if(G1236='Room Info'!$E$1, INDEX('Room Info'!$A$2:$A3446, MATCH(B1236,'Room Info'!$E$2:$E3446, 0)),if(G1236='Room Info'!$F$1, INDEX('Room Info'!$A$2:$A3446, MATCH(B1236,'Room Info'!$F$2:$F3446, 0)),if(G1236='Room Info'!$H$1, INDEX('Room Info'!$A$2:$A3446, MATCH(B1236,'Room Info'!$H$2:$H3446, 0)),if(G1236='Room Info'!$G$1, INDEX('Room Info'!$A$2:$A3446, MATCH(B1236,'Room Info'!$G$2:$G3446, 0)))))))))</f>
        <v>Lo4io</v>
      </c>
      <c r="B1236" s="50" t="s">
        <v>158</v>
      </c>
      <c r="C1236" s="51">
        <v>44733.0</v>
      </c>
      <c r="D1236" s="51">
        <v>44762.0</v>
      </c>
      <c r="E1236" s="52">
        <v>44743.0</v>
      </c>
      <c r="F1236" s="53" t="s">
        <v>4</v>
      </c>
      <c r="G1236" s="50" t="s">
        <v>9</v>
      </c>
      <c r="H1236" s="54" t="s">
        <v>89</v>
      </c>
      <c r="I1236" s="54" t="s">
        <v>7</v>
      </c>
      <c r="J1236" s="55">
        <v>100.0</v>
      </c>
      <c r="K1236" s="56">
        <v>1768.0</v>
      </c>
      <c r="L1236" s="57">
        <v>-7862.0</v>
      </c>
      <c r="M1236" s="58">
        <v>1270.0</v>
      </c>
      <c r="N1236" s="33">
        <f t="shared" si="155"/>
        <v>176800</v>
      </c>
      <c r="O1236" s="59">
        <v>62817.0</v>
      </c>
      <c r="P1236" s="34">
        <f t="shared" si="14"/>
        <v>35.52997738</v>
      </c>
      <c r="Q1236" s="60"/>
      <c r="R1236" s="36">
        <f t="shared" si="156"/>
        <v>1270</v>
      </c>
      <c r="S1236" s="61">
        <v>-4609.0</v>
      </c>
      <c r="T1236" s="37">
        <f t="shared" si="157"/>
        <v>-3339</v>
      </c>
      <c r="U1236" s="62">
        <v>1.021</v>
      </c>
      <c r="V1236" s="63"/>
      <c r="W1236" s="63"/>
      <c r="X1236" s="83">
        <v>0.2</v>
      </c>
      <c r="Y1236" s="35">
        <f t="shared" ref="Y1236:Y1241" si="172">if(AG1236="None",0,if(AG1236="Fix5",0.05, if(AG1236="Fix6.25",0.0625,if(AG1236="Fix3.75",0.0375,if(AG1236="Fix10",0.1,if(AG1236="Fix3",0.03,0))))))</f>
        <v>0</v>
      </c>
      <c r="Z1236" s="40">
        <f t="shared" ref="Z1236:Z1241" si="173">T1236-AA1236-AB1236</f>
        <v>-2651.8422</v>
      </c>
      <c r="AA1236" s="34">
        <f t="shared" ref="AA1236:AA1237" si="174">if(AD1236="EUR",((T1236-R1236)*X1236)*U1236+(R1236*X1236),(T1236*X1236))</f>
        <v>-687.1578</v>
      </c>
      <c r="AB1236" s="41">
        <f t="shared" ref="AB1236:AB1241" si="175">if(AD1236="EUR",((T1236-R1236)*Y1236)*U1236+(R1236*Y1236),(T1236*Y1236))</f>
        <v>0</v>
      </c>
      <c r="AC1236" s="42" t="b">
        <v>1</v>
      </c>
      <c r="AD1236" s="50" t="s">
        <v>140</v>
      </c>
      <c r="AE1236" s="50"/>
      <c r="AF1236" s="42" t="str">
        <f t="array" ref="AF1236">INDEX('Deal Info'!D:D, MATCH(A1236,'Deal Info'!A:A, 0))</f>
        <v>DoEVLo</v>
      </c>
      <c r="AG1236" s="43" t="str">
        <f t="array" ref="AG1236">INDEX('Deal Info'!G:G, MATCH(A1236,'Deal Info'!A:A, 0))</f>
        <v>None</v>
      </c>
    </row>
    <row r="1237" hidden="1">
      <c r="A1237" s="23" t="str">
        <f t="array" ref="A1237">if(G1237='Room Info'!$B$1, INDEX('Room Info'!$A$2:$A3446, MATCH(B1237,'Room Info'!$B$2:$B3446, 0)),if(G1237='Room Info'!$C$1, INDEX('Room Info'!$A$2:$A3446, MATCH(B1237,'Room Info'!$C$2:$C3446, 0)),if(G1237='Room Info'!$D$1, INDEX('Room Info'!$A$2:$A3446, MATCH(B1237,'Room Info'!$D$2:$D3446, 0)),if(G1237='Room Info'!$E$1, INDEX('Room Info'!$A$2:$A3446, MATCH(B1237,'Room Info'!$E$2:$E3446, 0)),if(G1237='Room Info'!$F$1, INDEX('Room Info'!$A$2:$A3446, MATCH(B1237,'Room Info'!$F$2:$F3446, 0)),if(G1237='Room Info'!$H$1, INDEX('Room Info'!$A$2:$A3446, MATCH(B1237,'Room Info'!$H$2:$H3446, 0)),if(G1237='Room Info'!$G$1, INDEX('Room Info'!$A$2:$A3446, MATCH(B1237,'Room Info'!$G$2:$G3446, 0)))))))))</f>
        <v>Lo4io</v>
      </c>
      <c r="B1237" s="50" t="s">
        <v>158</v>
      </c>
      <c r="C1237" s="82">
        <v>44794.0</v>
      </c>
      <c r="D1237" s="82">
        <v>44824.0</v>
      </c>
      <c r="E1237" s="52">
        <v>44805.0</v>
      </c>
      <c r="F1237" s="53" t="s">
        <v>4</v>
      </c>
      <c r="G1237" s="50" t="s">
        <v>9</v>
      </c>
      <c r="H1237" s="54" t="s">
        <v>89</v>
      </c>
      <c r="I1237" s="54" t="s">
        <v>7</v>
      </c>
      <c r="J1237" s="79">
        <v>100.0</v>
      </c>
      <c r="K1237" s="80">
        <v>179.0</v>
      </c>
      <c r="L1237" s="77">
        <v>-1500.0</v>
      </c>
      <c r="M1237" s="81">
        <v>8.0</v>
      </c>
      <c r="N1237" s="33">
        <f t="shared" si="155"/>
        <v>17900</v>
      </c>
      <c r="O1237" s="50">
        <v>9374.0</v>
      </c>
      <c r="P1237" s="34">
        <f t="shared" si="14"/>
        <v>52.36871508</v>
      </c>
      <c r="Q1237" s="60"/>
      <c r="R1237" s="36">
        <f t="shared" si="156"/>
        <v>8</v>
      </c>
      <c r="S1237" s="78">
        <v>110.0</v>
      </c>
      <c r="T1237" s="37">
        <f t="shared" si="157"/>
        <v>118</v>
      </c>
      <c r="U1237" s="62">
        <v>1.0</v>
      </c>
      <c r="V1237" s="63"/>
      <c r="W1237" s="63"/>
      <c r="X1237" s="83">
        <v>0.25</v>
      </c>
      <c r="Y1237" s="35">
        <f t="shared" si="172"/>
        <v>0</v>
      </c>
      <c r="Z1237" s="40">
        <f t="shared" si="173"/>
        <v>88.5</v>
      </c>
      <c r="AA1237" s="34">
        <f t="shared" si="174"/>
        <v>29.5</v>
      </c>
      <c r="AB1237" s="41">
        <f t="shared" si="175"/>
        <v>0</v>
      </c>
      <c r="AC1237" s="42" t="b">
        <v>1</v>
      </c>
      <c r="AD1237" s="42" t="s">
        <v>138</v>
      </c>
      <c r="AE1237" s="42" t="s">
        <v>138</v>
      </c>
      <c r="AF1237" s="42" t="str">
        <f t="array" ref="AF1237">INDEX('Deal Info'!D:D, MATCH(A1237,'Deal Info'!A:A, 0))</f>
        <v>DoEVLo</v>
      </c>
      <c r="AG1237" s="43" t="str">
        <f t="array" ref="AG1237">INDEX('Deal Info'!G:G, MATCH(A1237,'Deal Info'!A:A, 0))</f>
        <v>None</v>
      </c>
    </row>
    <row r="1238" hidden="1">
      <c r="A1238" s="23" t="str">
        <f t="array" ref="A1238">if(G1238='Room Info'!$B$1, INDEX('Room Info'!$A$2:$A3446, MATCH(B1238,'Room Info'!$B$2:$B3446, 0)),if(G1238='Room Info'!$C$1, INDEX('Room Info'!$A$2:$A3446, MATCH(B1238,'Room Info'!$C$2:$C3446, 0)),if(G1238='Room Info'!$D$1, INDEX('Room Info'!$A$2:$A3446, MATCH(B1238,'Room Info'!$D$2:$D3446, 0)),if(G1238='Room Info'!$E$1, INDEX('Room Info'!$A$2:$A3446, MATCH(B1238,'Room Info'!$E$2:$E3446, 0)),if(G1238='Room Info'!$F$1, INDEX('Room Info'!$A$2:$A3446, MATCH(B1238,'Room Info'!$F$2:$F3446, 0)),if(G1238='Room Info'!$H$1, INDEX('Room Info'!$A$2:$A3446, MATCH(B1238,'Room Info'!$H$2:$H3446, 0)),if(G1238='Room Info'!$G$1, INDEX('Room Info'!$A$2:$A3446, MATCH(B1238,'Room Info'!$G$2:$G3446, 0)))))))))</f>
        <v>Mackevgen</v>
      </c>
      <c r="B1238" s="59" t="s">
        <v>172</v>
      </c>
      <c r="C1238" s="51">
        <v>44875.0</v>
      </c>
      <c r="D1238" s="51">
        <v>44883.0</v>
      </c>
      <c r="E1238" s="52">
        <v>44866.0</v>
      </c>
      <c r="F1238" s="50" t="s">
        <v>8</v>
      </c>
      <c r="G1238" s="59" t="s">
        <v>9</v>
      </c>
      <c r="H1238" s="54" t="s">
        <v>89</v>
      </c>
      <c r="I1238" s="54" t="s">
        <v>21</v>
      </c>
      <c r="J1238" s="55">
        <v>100.0</v>
      </c>
      <c r="K1238" s="56">
        <v>196.0</v>
      </c>
      <c r="L1238" s="57">
        <v>-300.0</v>
      </c>
      <c r="M1238" s="58">
        <v>73.0</v>
      </c>
      <c r="N1238" s="33">
        <f t="shared" si="155"/>
        <v>19600</v>
      </c>
      <c r="O1238" s="59">
        <v>11077.0</v>
      </c>
      <c r="P1238" s="34">
        <f t="shared" si="14"/>
        <v>56.51530612</v>
      </c>
      <c r="Q1238" s="60"/>
      <c r="R1238" s="36">
        <f t="shared" si="156"/>
        <v>73</v>
      </c>
      <c r="S1238" s="61">
        <v>-174.0</v>
      </c>
      <c r="T1238" s="37">
        <f t="shared" si="157"/>
        <v>-101</v>
      </c>
      <c r="U1238" s="62">
        <v>1.0</v>
      </c>
      <c r="V1238" s="63"/>
      <c r="W1238" s="63"/>
      <c r="X1238" s="83">
        <v>0.17</v>
      </c>
      <c r="Y1238" s="35">
        <f t="shared" si="172"/>
        <v>0.1</v>
      </c>
      <c r="Z1238" s="40">
        <f t="shared" si="173"/>
        <v>-73.9</v>
      </c>
      <c r="AA1238" s="65">
        <v>-17.0</v>
      </c>
      <c r="AB1238" s="41">
        <f t="shared" si="175"/>
        <v>-10.1</v>
      </c>
      <c r="AC1238" s="42" t="b">
        <v>1</v>
      </c>
      <c r="AD1238" s="42" t="s">
        <v>138</v>
      </c>
      <c r="AE1238" s="42" t="s">
        <v>138</v>
      </c>
      <c r="AF1238" s="42" t="str">
        <f t="array" ref="AF1238">INDEX('Deal Info'!D:D, MATCH(A1238,'Deal Info'!A:A, 0))</f>
        <v>DoEV</v>
      </c>
      <c r="AG1238" s="43" t="str">
        <f t="array" ref="AG1238">INDEX('Deal Info'!G:G, MATCH(A1238,'Deal Info'!A:A, 0))</f>
        <v>Fix10</v>
      </c>
    </row>
    <row r="1239" hidden="1">
      <c r="A1239" s="23" t="s">
        <v>154</v>
      </c>
      <c r="B1239" s="50" t="s">
        <v>155</v>
      </c>
      <c r="C1239" s="51">
        <v>44682.0</v>
      </c>
      <c r="D1239" s="51">
        <v>44697.0</v>
      </c>
      <c r="E1239" s="52">
        <v>44682.0</v>
      </c>
      <c r="F1239" s="53" t="s">
        <v>12</v>
      </c>
      <c r="G1239" s="59" t="s">
        <v>9</v>
      </c>
      <c r="H1239" s="54" t="s">
        <v>89</v>
      </c>
      <c r="I1239" s="54" t="s">
        <v>7</v>
      </c>
      <c r="J1239" s="55">
        <v>100.0</v>
      </c>
      <c r="K1239" s="56">
        <v>3.0</v>
      </c>
      <c r="L1239" s="57">
        <v>-300.0</v>
      </c>
      <c r="M1239" s="58">
        <v>5.0</v>
      </c>
      <c r="N1239" s="33">
        <f t="shared" si="155"/>
        <v>300</v>
      </c>
      <c r="O1239" s="59">
        <v>-28.0</v>
      </c>
      <c r="P1239" s="34">
        <f t="shared" si="14"/>
        <v>-9.333333333</v>
      </c>
      <c r="Q1239" s="60"/>
      <c r="R1239" s="36">
        <f t="shared" si="156"/>
        <v>5</v>
      </c>
      <c r="S1239" s="61"/>
      <c r="T1239" s="37">
        <f t="shared" si="157"/>
        <v>-295</v>
      </c>
      <c r="U1239" s="62">
        <v>1.07</v>
      </c>
      <c r="V1239" s="63"/>
      <c r="W1239" s="63"/>
      <c r="X1239" s="83">
        <v>0.25</v>
      </c>
      <c r="Y1239" s="35">
        <f t="shared" si="172"/>
        <v>0</v>
      </c>
      <c r="Z1239" s="40">
        <f t="shared" si="173"/>
        <v>-216</v>
      </c>
      <c r="AA1239" s="34">
        <f t="shared" ref="AA1239:AA1241" si="176">if(AD1239="EUR",((T1239-R1239)*X1239)*U1239+(R1239*X1239),(T1239*X1239))</f>
        <v>-79</v>
      </c>
      <c r="AB1239" s="41">
        <f t="shared" si="175"/>
        <v>0</v>
      </c>
      <c r="AC1239" s="42" t="b">
        <v>1</v>
      </c>
      <c r="AD1239" s="66" t="s">
        <v>140</v>
      </c>
      <c r="AE1239" s="66"/>
      <c r="AF1239" s="42" t="str">
        <f t="array" ref="AF1239">INDEX('Deal Info'!D:D, MATCH(A1239,'Deal Info'!A:A, 0))</f>
        <v>DoEVold</v>
      </c>
      <c r="AG1239" s="43" t="str">
        <f t="array" ref="AG1239">INDEX('Deal Info'!G:G, MATCH(A1239,'Deal Info'!A:A, 0))</f>
        <v>None</v>
      </c>
    </row>
    <row r="1240" hidden="1">
      <c r="A1240" s="23" t="s">
        <v>154</v>
      </c>
      <c r="B1240" s="50" t="s">
        <v>155</v>
      </c>
      <c r="C1240" s="51">
        <v>44704.0</v>
      </c>
      <c r="D1240" s="51">
        <v>44712.0</v>
      </c>
      <c r="E1240" s="52">
        <v>44682.0</v>
      </c>
      <c r="F1240" s="53" t="s">
        <v>8</v>
      </c>
      <c r="G1240" s="59" t="s">
        <v>9</v>
      </c>
      <c r="H1240" s="54" t="s">
        <v>89</v>
      </c>
      <c r="I1240" s="54" t="s">
        <v>7</v>
      </c>
      <c r="J1240" s="55">
        <v>100.0</v>
      </c>
      <c r="K1240" s="56">
        <v>432.0</v>
      </c>
      <c r="L1240" s="57">
        <v>-1654.0</v>
      </c>
      <c r="M1240" s="58">
        <v>779.0</v>
      </c>
      <c r="N1240" s="33">
        <f t="shared" si="155"/>
        <v>43200</v>
      </c>
      <c r="O1240" s="59">
        <v>6153.0</v>
      </c>
      <c r="P1240" s="34">
        <f t="shared" si="14"/>
        <v>14.24305556</v>
      </c>
      <c r="Q1240" s="60"/>
      <c r="R1240" s="36">
        <f t="shared" si="156"/>
        <v>779</v>
      </c>
      <c r="S1240" s="61">
        <v>-2833.0</v>
      </c>
      <c r="T1240" s="37">
        <f t="shared" si="157"/>
        <v>-2054</v>
      </c>
      <c r="U1240" s="62">
        <v>1.07</v>
      </c>
      <c r="V1240" s="63"/>
      <c r="W1240" s="63"/>
      <c r="X1240" s="83">
        <v>0.25</v>
      </c>
      <c r="Y1240" s="35">
        <f t="shared" si="172"/>
        <v>0</v>
      </c>
      <c r="Z1240" s="40">
        <f t="shared" si="173"/>
        <v>-1490.9225</v>
      </c>
      <c r="AA1240" s="34">
        <f t="shared" si="176"/>
        <v>-563.0775</v>
      </c>
      <c r="AB1240" s="41">
        <f t="shared" si="175"/>
        <v>0</v>
      </c>
      <c r="AC1240" s="42" t="b">
        <v>1</v>
      </c>
      <c r="AD1240" s="66" t="s">
        <v>140</v>
      </c>
      <c r="AE1240" s="66"/>
      <c r="AF1240" s="42" t="str">
        <f t="array" ref="AF1240">INDEX('Deal Info'!D:D, MATCH(A1240,'Deal Info'!A:A, 0))</f>
        <v>DoEVold</v>
      </c>
      <c r="AG1240" s="43" t="str">
        <f t="array" ref="AG1240">INDEX('Deal Info'!G:G, MATCH(A1240,'Deal Info'!A:A, 0))</f>
        <v>None</v>
      </c>
    </row>
    <row r="1241" hidden="1">
      <c r="A1241" s="23" t="str">
        <f t="array" ref="A1241">if(G1241='Room Info'!$B$1, INDEX('Room Info'!$A$2:$A3446, MATCH(B1241,'Room Info'!$B$2:$B3446, 0)),if(G1241='Room Info'!$C$1, INDEX('Room Info'!$A$2:$A3446, MATCH(B1241,'Room Info'!$C$2:$C3446, 0)),if(G1241='Room Info'!$D$1, INDEX('Room Info'!$A$2:$A3446, MATCH(B1241,'Room Info'!$D$2:$D3446, 0)),if(G1241='Room Info'!$E$1, INDEX('Room Info'!$A$2:$A3446, MATCH(B1241,'Room Info'!$E$2:$E3446, 0)),if(G1241='Room Info'!$F$1, INDEX('Room Info'!$A$2:$A3446, MATCH(B1241,'Room Info'!$F$2:$F3446, 0)),if(G1241='Room Info'!$H$1, INDEX('Room Info'!$A$2:$A3446, MATCH(B1241,'Room Info'!$H$2:$H3446, 0)),if(G1241='Room Info'!$G$1, INDEX('Room Info'!$A$2:$A3446, MATCH(B1241,'Room Info'!$G$2:$G3446, 0)))))))))</f>
        <v>Sun_Set_pro8</v>
      </c>
      <c r="B1241" s="50" t="s">
        <v>154</v>
      </c>
      <c r="C1241" s="104">
        <v>44682.0</v>
      </c>
      <c r="D1241" s="104">
        <v>44712.0</v>
      </c>
      <c r="E1241" s="52">
        <v>44682.0</v>
      </c>
      <c r="F1241" s="50" t="s">
        <v>12</v>
      </c>
      <c r="G1241" s="59" t="s">
        <v>5</v>
      </c>
      <c r="H1241" s="54" t="s">
        <v>63</v>
      </c>
      <c r="I1241" s="54" t="s">
        <v>11</v>
      </c>
      <c r="J1241" s="55">
        <v>25.0</v>
      </c>
      <c r="K1241" s="56">
        <v>101.0</v>
      </c>
      <c r="L1241" s="57">
        <v>275.0</v>
      </c>
      <c r="M1241" s="58">
        <v>20.0</v>
      </c>
      <c r="N1241" s="33">
        <f t="shared" si="155"/>
        <v>2525</v>
      </c>
      <c r="O1241" s="70"/>
      <c r="P1241" s="34">
        <f t="shared" si="14"/>
        <v>0</v>
      </c>
      <c r="Q1241" s="60"/>
      <c r="R1241" s="36">
        <f t="shared" si="156"/>
        <v>20</v>
      </c>
      <c r="S1241" s="71"/>
      <c r="T1241" s="37">
        <f t="shared" si="157"/>
        <v>295</v>
      </c>
      <c r="U1241" s="62">
        <v>1.0</v>
      </c>
      <c r="V1241" s="63"/>
      <c r="W1241" s="63"/>
      <c r="X1241" s="83">
        <v>0.25</v>
      </c>
      <c r="Y1241" s="35">
        <f t="shared" si="172"/>
        <v>0</v>
      </c>
      <c r="Z1241" s="40">
        <f t="shared" si="173"/>
        <v>221.25</v>
      </c>
      <c r="AA1241" s="34">
        <f t="shared" si="176"/>
        <v>73.75</v>
      </c>
      <c r="AB1241" s="41">
        <f t="shared" si="175"/>
        <v>0</v>
      </c>
      <c r="AC1241" s="42" t="b">
        <v>1</v>
      </c>
      <c r="AD1241" s="66" t="s">
        <v>138</v>
      </c>
      <c r="AE1241" s="88" t="s">
        <v>138</v>
      </c>
      <c r="AF1241" s="42" t="str">
        <f t="array" ref="AF1241">INDEX('Deal Info'!D:D, MATCH(A1241,'Deal Info'!A:A, 0))</f>
        <v>DoEVold</v>
      </c>
      <c r="AG1241" s="43" t="str">
        <f t="array" ref="AG1241">INDEX('Deal Info'!G:G, MATCH(A1241,'Deal Info'!A:A, 0))</f>
        <v>None</v>
      </c>
    </row>
    <row r="1242" hidden="1">
      <c r="A1242" s="23" t="str">
        <f t="array" ref="A1242">if(G1242='Room Info'!$B$1, INDEX('Room Info'!$A$2:$A3446, MATCH(B1242,'Room Info'!$B$2:$B3446, 0)),if(G1242='Room Info'!$C$1, INDEX('Room Info'!$A$2:$A3446, MATCH(B1242,'Room Info'!$C$2:$C3446, 0)),if(G1242='Room Info'!$D$1, INDEX('Room Info'!$A$2:$A3446, MATCH(B1242,'Room Info'!$D$2:$D3446, 0)),if(G1242='Room Info'!$E$1, INDEX('Room Info'!$A$2:$A3446, MATCH(B1242,'Room Info'!$E$2:$E3446, 0)),if(G1242='Room Info'!$F$1, INDEX('Room Info'!$A$2:$A3446, MATCH(B1242,'Room Info'!$F$2:$F3446, 0)),if(G1242='Room Info'!$H$1, INDEX('Room Info'!$A$2:$A3446, MATCH(B1242,'Room Info'!$H$2:$H3446, 0)),if(G1242='Room Info'!$G$1, INDEX('Room Info'!$A$2:$A3446, MATCH(B1242,'Room Info'!$G$2:$G3446, 0)))))))))</f>
        <v>fortunate773</v>
      </c>
      <c r="B1242" s="50" t="s">
        <v>151</v>
      </c>
      <c r="C1242" s="51">
        <v>44958.0</v>
      </c>
      <c r="D1242" s="51">
        <v>44985.0</v>
      </c>
      <c r="E1242" s="85">
        <v>44958.0</v>
      </c>
      <c r="F1242" s="50" t="s">
        <v>8</v>
      </c>
      <c r="G1242" s="50" t="s">
        <v>9</v>
      </c>
      <c r="H1242" s="86" t="s">
        <v>89</v>
      </c>
      <c r="I1242" s="54" t="s">
        <v>21</v>
      </c>
      <c r="J1242" s="44">
        <f>iferror(if(H1242="$0.25",0.25, 
if(H1242="$0.25 Flash",0.25, 
if(H1242 = "$1", 1, 
if(H1242 = "$1 Flash", 1, 
if(H1242 = "$2", 2, 
if( H1242 = "$2 Flash" , 2, 
if( H1242= "$3", 3, 
if( H1242= "$3 Ultra", 3, 
if( H1242= "$5", 5, 
if( H1242= "$5 (1M)", 5, 
if( H1242= "$5 (1M) Flash", 5, 
if( H1242= "$5 Flash", 5, 
if( H1242= "$5 Flash (1M)", 5,
if( H1242= "$10", 10,
if( H1242= "$10 (1M)", 10,
if( H1242= "$10 (1M) (old)", 10,
if( H1242= "$10 Flash", 10,
if( H1242= "$10 Ultra", 10,
if( H1242= "$20", 20,
if( H1242= "$20 Ultra", 20,
if( H1242= "$25", 25,
if( H1242= "$25 Flash", 25,
if( H1242= "$50", 50,
if( H1242= "$50 Flash", 50,
if( H1242= "$50 Ultra", 50,
if( H1242= "$100", 100,
if( H1242= "$100 Flash", 100,
if( H1242= "$100 HUHT", 100,
if( H1242= "$100 Ultra", 100,
if( H1242= "$200", 200,
if( H1242= "$200 HUHT", 200,
if( H1242= "$250", 250,
if( H1242= "$250 Flash", 250,
if( H1242= "$300 HUHT", 300,
if( H1242= "$500", 500,
if( H1242= "$500 Flash", 500,
if( H1242 = "$500 HUHT",500,
if( H1242= "$1000", 1000,
if( H1242= "€0.25 Flash", 0.25,
if( H1242="€0.25(nitro) new",0.25,
if( H1242= "€1", 1,
if( H1242= "€2", 2,
if( H1242= "€5", 5,
if( H1242= "€5 (1M)", 5,
if( H1242= "€5 (bf 01.08)", 5,
if( H1242= "€5 (bf 05.05)", 5,
if( H1242= "€5 Nitro", 5,
if( H1242= "€5(wx) new", 5,
if( H1242= "€10", 10,
if( H1242= "€10 (1M)", 10,
if( H1242= "€10 (bf 01.08)", 10,
if( H1242= "€10 (bf 05.05)", 10,
if( H1242= "€10 (MP)", 10,
if( H1242= "€10 (old)", 10,
if( H1242= "€10 Nitro (bf 05.05)", 10,
if( H1242= "€10 Nitro (old)", 10,
if( H1242= "€10(wx) new", 10,
if( H1242= "€20", 20,
if( H1242= "€25", 25, 
if( H1242= "€25 (bf 01.08)", 25, 
if( H1242= "€25 (bf 05.05)", 25, 
if( H1242= "€25 (MP)", 25, 
if( H1242= "€25 (old)", 25,
if( H1242= "€25 Nitro", 25,
if( H1242= "€25 Nitro (bf 01.08)", 25,
if( H1242= "€25 Nitro (bf 05.05)", 25,
if( H1242= "€25(nitro) new", 25,
if( H1242= "€25(wx) new", 25,
if( H1242= "€50", 50,
if( H1242= "€50 (bf 01.08)", 50,
if( H1242= "€50 (bf 05.05)", 50,
if( H1242= "€50 (old)", 50,
if( H1242= "€50 Nitro", 50,
if( H1242= "€50 Nitro (bf 01.08)", 50,
if( H1242= "€50 Nitro (bf 05.05)", 50,
if( H1242= "€50(wx) new", 50,
if( H1242= "€100", 100,
if( H1242= "€100 (old)", 100,
if( H1242= "€100 Nitro", 100,
if( H1242= "€100 Nitro (old)", 100,
if( H1242= "€200", 200,
if( H1242= "€250", 250,
if( H1242= "€250 Nitro", 250,
if( H1242= "€500", 500,
if( H1242= "€500 Nitro", 500,
if( H1242= "1000 rub", 1000,
if( H1242= "2500 rub", 2500,
if( H1242= "5000 rub", 5000,"")))))))))))))))))))))))))))))))))))))))))))))))))))))))))))))))))))))))))))))))))))))))))</f>
        <v>100</v>
      </c>
      <c r="K1242" s="56">
        <v>241.0</v>
      </c>
      <c r="L1242" s="57">
        <v>-100.0</v>
      </c>
      <c r="M1242" s="58">
        <f>15325-350</f>
        <v>14975</v>
      </c>
      <c r="N1242" s="33">
        <f t="shared" si="155"/>
        <v>24100</v>
      </c>
      <c r="O1242" s="59">
        <v>13637.0</v>
      </c>
      <c r="P1242" s="34">
        <f t="shared" si="14"/>
        <v>56.58506224</v>
      </c>
      <c r="Q1242" s="60"/>
      <c r="R1242" s="36">
        <f>M1242+Q1242*J1242*K1242*0.07</f>
        <v>14975</v>
      </c>
      <c r="S1242" s="61">
        <f>522</f>
        <v>522</v>
      </c>
      <c r="T1242" s="37">
        <f>IF(AND(AD1242="EUR", F1242="Without EV deal"), R1242 + L1242, 
IF(AND(AD1242="USD", F1242="Without EV deal"), R1242 + L1242, 
IF(AND(AD1242="EUR", F1242="Steel Phoenix"), R1242 + S1242/U1242, 
R1242 + S1242)))</f>
        <v>15497</v>
      </c>
      <c r="U1242" s="62">
        <v>1.062</v>
      </c>
      <c r="V1242" s="63"/>
      <c r="W1242" s="63"/>
      <c r="X1242" s="35">
        <f>IF(AF1242="DoEV",IF(AND(V1242&lt;20,W1242&lt;55),0.3,0)+IF(AND(V1242&lt;20,W1242&gt;=55,W1242&lt;105),0.23,0)+IF(AND(V1242&lt;20,W1242&gt;=105),0.17,0)+IF(AND(V1242&gt;=20,V1242&lt;40,W1242&lt;45),0.3,0)+IF(AND(V1242&gt;=20,V1242&lt;40,W1242&gt;=45,W1242&lt;95),0.23,0)+IF(AND(V1242&gt;=20,V1242&lt;40,W1242&gt;=95),0.17,0)+IF(AND(V1242&gt;=40,V1242&lt;75,W1242&lt;35),0.3,0)+IF(AND(V1242&gt;=40,V1242&lt;75,W1242&gt;=35,W1242&lt;75),0.23,0)+IF(AND(V1242&gt;=40,V1242&lt;75,W1242&gt;=75,W1242&lt;120),0.17,0)+IF(AND(V1242&gt;=40,V1242&lt;75,W1242&gt;=120),0.12,0)+IF(AND(V1242&gt;=75,V1242&lt;175,W1242&lt;35),0.3,0)+IF(AND(V1242&gt;=75,V1242&lt;=175,W1242&gt;=35,W1242&lt;65),0.23,0)+IF(AND(V1242&gt;=75,V1242&lt;=175,W1242&gt;=65,W1242&lt;110),0.17,0)+IF(AND(V1242&gt;=75,V1242&lt;=175,W1242&gt;=110),0.12,0)+IF(AND(V1242&gt;175,W1242&lt;25),0.3,0)+IF(AND(V1242&gt;175,W1242&gt;=25,W1242&lt;55),0.23,0)+IF(AND(V1242&gt;175,W1242&gt;=55,W1242&lt;95),0.17,0)+IF(AND(V1242&gt;175,W1242&gt;=95),0.12,0),
IF(AF1242="Fix15",0.15,
IF(AF1242="Fix5",0.05,
if(AF1242="Fix18.75",0.1875,
IF(AF1242="Fix11.25",0.1125,
IF(AF1242="Fix10",0.1,
IF(AF1242="Fix9",0.09,
IF(AF1242="Fix12",0.12,
IF(AF1242="Fix19",0.19,
IF(AF1242="DoEV2017",IF(AND(W1242&lt;74),0.2,0)+IF(AND(W1242&gt;=74),0.17,0),
IF(AF1242="SF",IF(AND(V1242&lt;20,W1242&lt;89),0.3,0)+IF(AND(V1242&lt;20,W1242&gt;=89),0.25,0)+IF(AND(V1242&gt;=20,V1242&lt;40,W1242&lt;74),0.3,0)+IF(AND(V1242&gt;=20,V1242&lt;40,W1242&gt;=75),0.22,0)+IF(AND(V1242&gt;=40,V1242&lt;75,W1242&lt;75),0.26,0)+IF(AND(V1242&gt;=40,V1242&lt;75,W1242&gt;=75),0.22,0)+IF(V1242&gt;=75,0.22,0),
IF(AF1242="DoEVold",IF(AND(V1242&lt;40,W1242&lt;35),0.35,0)+IF(AND(V1242&lt;40,W1242&gt;=35,W1242&lt;75),0.25,0)+IF(AND(V1242&lt;40,W1242&gt;=75),0.17,0)+IF(AND(V1242&gt;=40,V1242&lt;75,W1242&lt;25),0.35,0)+IF(AND(V1242&gt;=40,V1242&lt;75,W1242&gt;=25,W1242&lt;65),0.25,0)+IF(AND(V1242&gt;=40,V1242&lt;75,W1242&gt;=65,W1242&lt;100),0.17,0)+IF(AND(V1242&gt;=40,V1242&lt;75,W1242&gt;=100),0.1,0)+IF(AND(V1242&gt;=75,W1242&lt;25),0.35,0)+IF(AND(V1242&gt;=75,W1242&gt;=25,W1242&lt;60),0.25,0)+IF(AND(V1242&gt;=75,W1242&gt;=60,W1242&lt;95),0.17,0)+IF(AND(V1242&gt;=75,W1242&gt;=95),0.1,0),
IF(AF1242="DoEVold15",IF(AND(V1242&lt;=40,W1242&lt;35),0.35,0)+IF(AND(V1242&lt;=40,W1242&gt;=35,W1242&lt;75),0.25,0)+IF(AND(V1242&lt;=40,W1242&gt;=75,W1242&lt;120),0.17,0)+IF(AND(V1242&lt;=40,W1242&gt;=120),0.15,0)+IF(AND(V1242&gt;40,V1242&lt;75,W1242&lt;25),0.35,0)+IF(AND(V1242&gt;=40,V1242&lt;75,W1242&gt;=25,W1242&lt;65),0.25,0)+IF(AND(V1242&gt;=40,V1242&lt;75,W1242&gt;=65,W1242&lt;100),0.17,0)+IF(AND(V1242&gt;=40,V1242&lt;75,W1242&gt;=100),0.1,0)+IF(AND(V1242&gt;=75,W1242&lt;25),0.35,0)+IF(AND(V1242&gt;=75,W1242&gt;=25,W1242&lt;60),0.25,0)+IF(AND(V1242&gt;=75,W1242&gt;=60,W1242&lt;95),0.17,0)+IF(AND(V1242&gt;=75,W1242&gt;=95),0.1,0),
IF(AF1242="DoEVba",IF(AND(V1242&lt;20,W1242&lt;105),0.2,0)+IF(AND(V1242&lt;20,W1242&gt;=105),0.15,0)+IF(AND(V1242&gt;=20,V1242&lt;40,W1242&lt;95),0.2,0)+IF(AND(V1242&gt;=20,V1242&lt;40,W1242&gt;=95,W1242&lt;150),0.15,0)+IF(AND(V1242&gt;=20,V1242&lt;40,W1242&gt;=150),0.12,0)+IF(AND(V1242&gt;=40,V1242&lt;75,W1242&lt;75),0.2,0)+IF(AND(V1242&gt;=40,V1242&lt;75,W1242&gt;=75,W1242&lt;120),0.15,0)+IF(AND(V1242&gt;=40,V1242&lt;75,W1242&gt;=120),0.12,0)+IF(AND(V1242&gt;=75,V1242&lt;175,W1242&lt;65),0.2,0)+IF(AND(V1242&gt;=75,V1242&lt;175,W1242&gt;=65,W1242&lt;110),0.15,0)+IF(AND(V1242&gt;=75,V1242&lt;175,W1242&gt;=110),0.12,0)+IF(AND(V1242&gt;=175,W1242&lt;55),0.2,0)+IF(AND(V1242&gt;=175,W1242&gt;=55,W1242&lt;95),0.15,0)+IF(AND(V1242&gt;=175,W1242&gt;=95),0.12,0),
IF(AF1242="DoEVku",IF(AND(V1242&lt;20,W1242&lt;55),0.23,0)+IF(AND(V1242&lt;20,W1242&gt;=55,W1242&lt;105),0.2,0)+IF(AND(V1242&lt;20,W1242&gt;=105),0.17,0)+IF(AND(V1242&gt;=20,V1242&lt;40,W1242&lt;45),0.23,0)+IF(AND(V1242&gt;=20,V1242&lt;40,W1242&gt;=45,W1242&lt;95),0.2,0)+IF(AND(V1242&gt;=20,V1242&lt;40,W1242&gt;=95,W1242&lt;=150),0.17,0)+IF(AND(V1242&gt;=20,V1242&lt;40,W1242&gt;=150),0.12,0)+IF(AND(V1242&gt;=40,V1242&lt;75,W1242&lt;35),0.23,0)+IF(AND(V1242&gt;=40,V1242&lt;75,W1242&gt;=35,W1242&lt;75),0.2,0)+IF(AND(V1242&gt;=40,V1242&lt;75,W1242&gt;=75,W1242&lt;120),0.17,0)+IF(AND(V1242&gt;=40,V1242&lt;75,W1242&gt;=120),0.12,0)+IF(AND(V1242&gt;=75,V1242&lt;175,W1242&lt;35),0.23,0)+IF(AND(V1242&gt;=75,V1242&lt;=175,W1242&gt;=35,W1242&lt;65),0.2,0)+IF(AND(V1242&gt;=75,V1242&lt;=175,W1242&gt;=65,W1242&lt;110),0.17,0)+IF(AND(V1242&gt;=75,V1242&lt;=175,W1242&gt;=110),0.12,0)+IF(AND(V1242&gt;175,W1242&lt;25),0.23,0)+IF(AND(V1242&gt;175,W1242&gt;=25,W1242&lt;55),0.2,0)+IF(AND(V1242&gt;175,W1242&gt;=55,W1242&lt;95),0.17,0)+IF(AND(V1242&gt;175,W1242&gt;=95),0.12,0),
IF(AF1242="DoEVs1",IF(AND(V1242&lt;20,W1242&lt;55),0.3,0)+IF(AND(V1242&lt;20,W1242&gt;=55,W1242&lt;105),0.23,0)+IF(AND(V1242&lt;20,W1242&gt;=105),0.17,0)+IF(AND(V1242&gt;=20,V1242&lt;40,W1242&lt;45),0.3,0)+IF(AND(V1242&gt;=20,V1242&lt;40,W1242&gt;=45,W1242&lt;95),0.23,0)+IF(AND(V1242&gt;=20,V1242&lt;40,W1242&gt;=95,W1242&lt;=150),0.17,0)+IF(AND(V1242&gt;=20,V1242&lt;40,W1242&gt;=150),0.12,0)+IF(AND(V1242&gt;=40,V1242&lt;75,W1242&lt;35),0.3,0)+IF(AND(V1242&gt;=40,V1242&lt;75,W1242&gt;=35,W1242&lt;75),0.23,0)+IF(AND(V1242&gt;=40,V1242&lt;75,W1242&gt;=75,W1242&lt;120),0.17,0)+IF(AND(V1242&gt;=40,V1242&lt;75,W1242&gt;=120),0.12,0)+IF(AND(V1242&gt;=75,V1242&lt;175,W1242&lt;35),0.3,0)+IF(AND(V1242&gt;=75,V1242&lt;=175,W1242&gt;=35,W1242&lt;65),0.23,0)+IF(AND(V1242&gt;=75,V1242&lt;=175,W1242&gt;=65,W1242&lt;110),0.17,0)+IF(AND(V1242&gt;=75,V1242&lt;=175,W1242&gt;=110),0.12,0)+IF(AND(V1242&gt;175,W1242&lt;25),0.3,0)+IF(AND(V1242&gt;175,W1242&gt;=25,W1242&lt;55),0.23,0)+IF(AND(V1242&gt;175,W1242&gt;=55,W1242&lt;95),0.17,0)+IF(AND(V1242&gt;175,W1242&gt;=95),0.12,0),
IF(AF1242="DoEVsu",IF(AND(V1242&lt;20,W1242&lt;55),0.3,0)+IF(AND(V1242&lt;20,W1242&gt;=55,W1242&lt;105),0.23,0)+IF(AND(V1242&lt;20,W1242&gt;=105),0.17,0)+IF(AND(V1242&gt;=20,V1242&lt;40,W1242&lt;45),0.3,0)+IF(AND(V1242&gt;=20,V1242&lt;40,W1242&gt;=45,W1242&lt;95),0.23,0)+IF(AND(V1242&gt;=20,V1242&lt;40,W1242&gt;=95,W1242&lt;=250),0.17,0)+IF(AND(V1242&gt;=20,V1242&lt;40,W1242&gt;=250),0.12,0)+IF(AND(V1242&gt;=40,V1242&lt;75,W1242&lt;35),0.3,0)+IF(AND(V1242&gt;=40,V1242&lt;75,W1242&gt;=35,W1242&lt;75),0.23,0)+IF(AND(V1242&gt;=40,V1242&lt;75,W1242&gt;=75,W1242&lt;120),0.17,0)+IF(AND(V1242&gt;=40,V1242&lt;75,W1242&gt;=120),0.12,0)+IF(AND(V1242&gt;=75,V1242&lt;175,W1242&lt;35),0.3,0)+IF(AND(V1242&gt;=75,V1242&lt;=175,W1242&gt;=35,W1242&lt;65),0.23,0)+IF(AND(V1242&gt;=75,V1242&lt;=175,W1242&gt;=65,W1242&lt;110),0.17,0)+IF(AND(V1242&gt;=75,V1242&lt;=175,W1242&gt;=110),0.12,0)+IF(AND(V1242&gt;175,W1242&lt;25),0.3,0)+IF(AND(V1242&gt;175,W1242&gt;=25,W1242&lt;55),0.23,0)+IF(AND(V1242&gt;175,W1242&gt;=55,W1242&lt;95),0.17,0)+IF(AND(V1242&gt;175,W1242&gt;=95),0.12,0),
IF(AF1242="DoEVni",IF(AND(V1242&lt;20,W1242&lt;55),0.3,0)+IF(AND(V1242&lt;20,W1242&gt;=55,W1242&lt;105),0.23,0)+IF(AND(V1242&lt;20,W1242&gt;=105),0.17,0)+IF(AND(V1242&gt;=20,V1242&lt;40,W1242&lt;45),0.3,0)+IF(AND(V1242&gt;=20,V1242&lt;40,W1242&gt;=45,W1242&lt;95),0.23,0)+IF(AND(V1242&gt;=20,V1242&lt;40,W1242&gt;=95,W1242&lt;=200),0.17,0)+IF(AND(V1242&gt;=20,V1242&lt;40,W1242&gt;=200),0.12,0)+IF(AND(V1242&gt;=40,V1242&lt;75,W1242&lt;35),0.3,0)+IF(AND(V1242&gt;=40,V1242&lt;75,W1242&gt;=35,W1242&lt;75),0.23,0)+IF(AND(V1242&gt;=40,V1242&lt;75,W1242&gt;=75,W1242&lt;120),0.17,0)+IF(AND(V1242&gt;=40,V1242&lt;75,W1242&gt;=120),0.12,0)+IF(AND(V1242&gt;=75,V1242&lt;175,W1242&lt;35),0.3,0)+IF(AND(V1242&gt;=75,V1242&lt;=175,W1242&gt;=35,W1242&lt;65),0.23,0)+IF(AND(V1242&gt;=75,V1242&lt;=175,W1242&gt;=65,W1242&lt;110),0.17,0)+IF(AND(V1242&gt;=75,V1242&lt;=175,W1242&gt;=110),0.12,0)+IF(AND(V1242&gt;175,W1242&lt;25),0.3,0)+IF(AND(V1242&gt;175,W1242&gt;=25,W1242&lt;55),0.23,0)+IF(AND(V1242&gt;175,W1242&gt;=55,W1242&lt;95),0.17,0)+IF(AND(V1242&gt;175,W1242&gt;=95),0.12,0),
IF(AF1242="DoEVLo",IF(AND(V1242&lt;20,W1242&lt;55),0.25,0)+IF(AND(V1242&lt;20,W1242&gt;=55,W1242&lt;105),0.2,0)+IF(AND(V1242&lt;20,W1242&gt;=105),0.15,0)+IF(AND(V1242&gt;=20,V1242&lt;40,W1242&lt;45),0.25,0)+IF(AND(V1242&gt;=20,V1242&lt;40,W1242&gt;=45,W1242&lt;95),0.2,0)+IF(AND(V1242&gt;=20,V1242&lt;40,W1242&gt;=95),0.15,0)+IF(AND(V1242&gt;=40,V1242&lt;75,W1242&lt;35),0.25,0)+IF(AND(V1242&gt;=40,V1242&lt;75,W1242&gt;=35,W1242&lt;75),0.2,0)+IF(AND(V1242&gt;=40,V1242&lt;75,W1242&gt;=75,W1242&lt;120),0.15,0)+IF(AND(V1242&gt;=40,V1242&lt;75,W1242&gt;=120),0.1,0)+IF(AND(V1242&gt;=75,V1242&lt;175,W1242&lt;35),0.25,0)+IF(AND(V1242&gt;=75,V1242&lt;=175,W1242&gt;=35,W1242&lt;65),0.2,0)+IF(AND(V1242&gt;=75,V1242&lt;=175,W1242&gt;=65,W1242&lt;110),0.15,0)+IF(AND(V1242&gt;=75,V1242&lt;=175,W1242&gt;=110),0.1,0)+IF(AND(V1242&gt;175,W1242&lt;25),0.25,0)+IF(AND(V1242&gt;175,W1242&gt;=25,W1242&lt;55),0.2,0)+IF(AND(V1242&gt;175,W1242&gt;=55,W1242&lt;95),0.15,0)+IF(AND(V1242&gt;175,W1242&gt;=95),0.1,0))))))))))))))))))))</f>
        <v>0.15</v>
      </c>
      <c r="Y1242" s="35">
        <f>if(AG1242="None",0,if(AG1242="Fix5",0.05, if(AG1242="Fix6.25",0.0625,if(AG1242="Fix3.75",0.0375, if(AG1242="Fix11",0.11, if(AG1242="Fix10",0.1,if(AG1242="Fix3",0.03,0)))))))</f>
        <v>0.05</v>
      </c>
      <c r="Z1242" s="40">
        <f>if(and(AD1242="EUR", AE1242 = "USD"), T1242*U1242-AA1242-AB1242, T1242-AA1242-AB1242)</f>
        <v>12397.6</v>
      </c>
      <c r="AA1242" s="34">
        <f>IF(AND(AD1242="EUR", F1242="Without EV deal", AE1242="USD"), (T1242*X1242)*U1242, 
IF(AND(AD1242="EUR", F1242="Without EV deal", AE1242="EUR"), (T1242*X1242), 
IF(AND(AD1242="EUR",AE1242="USD"), (T1242*X1242)*U1242, 
T1242*X1242)))</f>
        <v>2324.55</v>
      </c>
      <c r="AB1242" s="41">
        <f>IF(AND(AD1242="EUR", F1242="Without EV deal", AE1242="USD"), (T1242*Y1242)*U1242, 
IF(AND(AD1242="EUR", F1242="Without EV deal", AE1242="EUR"), (T1242*Y1242), 
IF(AND(AD1242="EUR",AE1242="USD"), (T1242*Y1242)*U1242, 
T1242*Y1242)))</f>
        <v>774.85</v>
      </c>
      <c r="AC1242" s="42" t="b">
        <v>0</v>
      </c>
      <c r="AD1242" s="87" t="str">
        <f>IF(OR(H1242="€0.25 Flash",
H1242="€0.25(nitro) new",
H1242="€1",
H1242="€2",
H1242="€2 (bf 01.08)",
H1242="€5",
H1242="€5 (1M)",
H1242="€5 (bf 01.08)",
H1242="€5 (bf 05.05)",
H1242="€5 Nitro",
H1242="€5(wx) new",
H1242="€10",
H1242="€10 (1M)",
H1242="€10 (bf 01.08)",
H1242="€10 (bf 05.05)",
H1242="€10 (MP)",
H1242="€10 (old)",
H1242="€10 Nitro (bf 05.05)",
H1242="€10 Nitro (old)",
H1242="€10(wx) new",
H1242="€20",
H1242="€25",
H1242="€25 (bf 01.08)",
H1242="€25 (bf 05.05)",
H1242="€25 (MP)",
H1242="€25 (old)",
H1242="€25 Nitro",
H1242="€25 Nitro (bf 01.08)",
H1242="€25 Nitro (bf 05.05)",
H1242="€25(nitro) new",
H1242="€25(wx) new",
H1242="€50",
H1242="€50 (bf 01.08)",
H1242="€50 (bf 05.05)",
H1242="€50 (old)",
H1242="€50 Nitro",
H1242="€50 Nitro (bf 01.08)",
H1242="€50 Nitro (bf 05.05)",
H1242="€50(wx) new",
H1242="€100",
H1242="€100 (old)",
H1242="€100 Nitro",
H1242="€100 Nitro (old)",
H1242="€200",
H1242="€250",
H1242="€250 Nitro",
H1242="€500",
H1242="€500 Nitro"),"EUR", "USD")
</f>
        <v>EUR</v>
      </c>
      <c r="AE1242" s="87" t="s">
        <v>140</v>
      </c>
      <c r="AF1242" s="88" t="str">
        <f t="array" ref="AF1242">INDEX('Deal Info'!D:D, MATCH(A1242,'Deal Info'!A:A, 0))</f>
        <v>Fix15</v>
      </c>
      <c r="AG1242" s="89" t="str">
        <f t="array" ref="AG1242">INDEX('Deal Info'!G:G, MATCH(A1242,'Deal Info'!A:A, 0))</f>
        <v>Fix5</v>
      </c>
    </row>
    <row r="1243" hidden="1">
      <c r="A1243" s="23" t="str">
        <f t="array" ref="A1243">if(G1243='Room Info'!$B$1, INDEX('Room Info'!$A$2:$A3446, MATCH(B1243,'Room Info'!$B$2:$B3446, 0)),if(G1243='Room Info'!$C$1, INDEX('Room Info'!$A$2:$A3446, MATCH(B1243,'Room Info'!$C$2:$C3446, 0)),if(G1243='Room Info'!$D$1, INDEX('Room Info'!$A$2:$A3446, MATCH(B1243,'Room Info'!$D$2:$D3446, 0)),if(G1243='Room Info'!$E$1, INDEX('Room Info'!$A$2:$A3446, MATCH(B1243,'Room Info'!$E$2:$E3446, 0)),if(G1243='Room Info'!$F$1, INDEX('Room Info'!$A$2:$A3446, MATCH(B1243,'Room Info'!$F$2:$F3446, 0)),if(G1243='Room Info'!$H$1, INDEX('Room Info'!$A$2:$A3446, MATCH(B1243,'Room Info'!$H$2:$H3446, 0)),if(G1243='Room Info'!$G$1, INDEX('Room Info'!$A$2:$A3446, MATCH(B1243,'Room Info'!$G$2:$G3446, 0)))))))))</f>
        <v>Sun_Set_pro8</v>
      </c>
      <c r="B1243" s="50" t="s">
        <v>154</v>
      </c>
      <c r="C1243" s="51">
        <v>44743.0</v>
      </c>
      <c r="D1243" s="51">
        <v>44773.0</v>
      </c>
      <c r="E1243" s="52">
        <v>44743.0</v>
      </c>
      <c r="F1243" s="50" t="s">
        <v>12</v>
      </c>
      <c r="G1243" s="59" t="s">
        <v>5</v>
      </c>
      <c r="H1243" s="54" t="s">
        <v>62</v>
      </c>
      <c r="I1243" s="54" t="s">
        <v>7</v>
      </c>
      <c r="J1243" s="55">
        <v>25.0</v>
      </c>
      <c r="K1243" s="56">
        <v>1.0</v>
      </c>
      <c r="L1243" s="57">
        <v>-25.0</v>
      </c>
      <c r="M1243" s="58">
        <v>1.0</v>
      </c>
      <c r="N1243" s="33">
        <f t="shared" si="155"/>
        <v>25</v>
      </c>
      <c r="O1243" s="70"/>
      <c r="P1243" s="34">
        <f t="shared" si="14"/>
        <v>0</v>
      </c>
      <c r="Q1243" s="60"/>
      <c r="R1243" s="36">
        <f t="shared" ref="R1243:R1272" si="177">M1243+Q1243</f>
        <v>1</v>
      </c>
      <c r="S1243" s="71"/>
      <c r="T1243" s="37">
        <f t="shared" ref="T1243:T1271" si="178">R1243+S1243+if(F1243="Without EV deal",L1243,0)</f>
        <v>-24</v>
      </c>
      <c r="U1243" s="62">
        <v>1.0</v>
      </c>
      <c r="V1243" s="63"/>
      <c r="W1243" s="63"/>
      <c r="X1243" s="83">
        <v>0.25</v>
      </c>
      <c r="Y1243" s="35">
        <f t="shared" ref="Y1243:Y1271" si="179">if(AG1243="None",0,if(AG1243="Fix5",0.05, if(AG1243="Fix6.25",0.0625,if(AG1243="Fix3.75",0.0375,if(AG1243="Fix10",0.1,if(AG1243="Fix3",0.03,0))))))</f>
        <v>0</v>
      </c>
      <c r="Z1243" s="40">
        <f t="shared" ref="Z1243:Z1271" si="180">T1243-AA1243-AB1243</f>
        <v>-18</v>
      </c>
      <c r="AA1243" s="34">
        <f t="shared" ref="AA1243:AA1271" si="181">if(AD1243="EUR",((T1243-R1243)*X1243)*U1243+(R1243*X1243),(T1243*X1243))</f>
        <v>-6</v>
      </c>
      <c r="AB1243" s="41">
        <f t="shared" ref="AB1243:AB1271" si="182">if(AD1243="EUR",((T1243-R1243)*Y1243)*U1243+(R1243*Y1243),(T1243*Y1243))</f>
        <v>0</v>
      </c>
      <c r="AC1243" s="42" t="b">
        <v>1</v>
      </c>
      <c r="AD1243" s="66" t="s">
        <v>138</v>
      </c>
      <c r="AE1243" s="88" t="s">
        <v>138</v>
      </c>
      <c r="AF1243" s="42" t="str">
        <f t="array" ref="AF1243">INDEX('Deal Info'!D:D, MATCH(A1243,'Deal Info'!A:A, 0))</f>
        <v>DoEVold</v>
      </c>
      <c r="AG1243" s="43" t="str">
        <f t="array" ref="AG1243">INDEX('Deal Info'!G:G, MATCH(A1243,'Deal Info'!A:A, 0))</f>
        <v>None</v>
      </c>
    </row>
    <row r="1244" hidden="1">
      <c r="A1244" s="23" t="str">
        <f t="array" ref="A1244">if(G1244='Room Info'!$B$1, INDEX('Room Info'!$A$2:$A3446, MATCH(B1244,'Room Info'!$B$2:$B3446, 0)),if(G1244='Room Info'!$C$1, INDEX('Room Info'!$A$2:$A3446, MATCH(B1244,'Room Info'!$C$2:$C3446, 0)),if(G1244='Room Info'!$D$1, INDEX('Room Info'!$A$2:$A3446, MATCH(B1244,'Room Info'!$D$2:$D3446, 0)),if(G1244='Room Info'!$E$1, INDEX('Room Info'!$A$2:$A3446, MATCH(B1244,'Room Info'!$E$2:$E3446, 0)),if(G1244='Room Info'!$F$1, INDEX('Room Info'!$A$2:$A3446, MATCH(B1244,'Room Info'!$F$2:$F3446, 0)),if(G1244='Room Info'!$H$1, INDEX('Room Info'!$A$2:$A3446, MATCH(B1244,'Room Info'!$H$2:$H3446, 0)),if(G1244='Room Info'!$G$1, INDEX('Room Info'!$A$2:$A3446, MATCH(B1244,'Room Info'!$G$2:$G3446, 0)))))))))</f>
        <v>Sun_Set_pro8</v>
      </c>
      <c r="B1244" s="50" t="s">
        <v>154</v>
      </c>
      <c r="C1244" s="82">
        <v>44743.0</v>
      </c>
      <c r="D1244" s="82">
        <v>44773.0</v>
      </c>
      <c r="E1244" s="52">
        <v>44743.0</v>
      </c>
      <c r="F1244" s="53" t="s">
        <v>12</v>
      </c>
      <c r="G1244" s="50" t="s">
        <v>5</v>
      </c>
      <c r="H1244" s="96" t="s">
        <v>10</v>
      </c>
      <c r="I1244" s="54" t="s">
        <v>11</v>
      </c>
      <c r="J1244" s="79">
        <v>0.25</v>
      </c>
      <c r="K1244" s="80">
        <v>8.0</v>
      </c>
      <c r="L1244" s="77">
        <v>-1.0</v>
      </c>
      <c r="M1244" s="84"/>
      <c r="N1244" s="33">
        <f t="shared" si="155"/>
        <v>2</v>
      </c>
      <c r="O1244" s="50">
        <v>832.0</v>
      </c>
      <c r="P1244" s="34">
        <f t="shared" si="14"/>
        <v>104</v>
      </c>
      <c r="Q1244" s="60"/>
      <c r="R1244" s="36">
        <f t="shared" si="177"/>
        <v>0</v>
      </c>
      <c r="S1244" s="78"/>
      <c r="T1244" s="37">
        <f t="shared" si="178"/>
        <v>-1</v>
      </c>
      <c r="U1244" s="62">
        <v>1.0</v>
      </c>
      <c r="V1244" s="63"/>
      <c r="W1244" s="63"/>
      <c r="X1244" s="83">
        <v>0.25</v>
      </c>
      <c r="Y1244" s="35">
        <f t="shared" si="179"/>
        <v>0</v>
      </c>
      <c r="Z1244" s="40">
        <f t="shared" si="180"/>
        <v>-0.75</v>
      </c>
      <c r="AA1244" s="34">
        <f t="shared" si="181"/>
        <v>-0.25</v>
      </c>
      <c r="AB1244" s="41">
        <f t="shared" si="182"/>
        <v>0</v>
      </c>
      <c r="AC1244" s="42" t="b">
        <v>1</v>
      </c>
      <c r="AD1244" s="66" t="s">
        <v>138</v>
      </c>
      <c r="AE1244" s="88" t="s">
        <v>138</v>
      </c>
      <c r="AF1244" s="42" t="str">
        <f t="array" ref="AF1244">INDEX('Deal Info'!D:D, MATCH(A1244,'Deal Info'!A:A, 0))</f>
        <v>DoEVold</v>
      </c>
      <c r="AG1244" s="43" t="str">
        <f t="array" ref="AG1244">INDEX('Deal Info'!G:G, MATCH(A1244,'Deal Info'!A:A, 0))</f>
        <v>None</v>
      </c>
    </row>
    <row r="1245" hidden="1">
      <c r="A1245" s="23" t="str">
        <f t="array" ref="A1245">if(G1245='Room Info'!$B$1, INDEX('Room Info'!$A$2:$A3446, MATCH(B1245,'Room Info'!$B$2:$B3446, 0)),if(G1245='Room Info'!$C$1, INDEX('Room Info'!$A$2:$A3446, MATCH(B1245,'Room Info'!$C$2:$C3446, 0)),if(G1245='Room Info'!$D$1, INDEX('Room Info'!$A$2:$A3446, MATCH(B1245,'Room Info'!$D$2:$D3446, 0)),if(G1245='Room Info'!$E$1, INDEX('Room Info'!$A$2:$A3446, MATCH(B1245,'Room Info'!$E$2:$E3446, 0)),if(G1245='Room Info'!$F$1, INDEX('Room Info'!$A$2:$A3446, MATCH(B1245,'Room Info'!$F$2:$F3446, 0)),if(G1245='Room Info'!$H$1, INDEX('Room Info'!$A$2:$A3446, MATCH(B1245,'Room Info'!$H$2:$H3446, 0)),if(G1245='Room Info'!$G$1, INDEX('Room Info'!$A$2:$A3446, MATCH(B1245,'Room Info'!$G$2:$G3446, 0)))))))))</f>
        <v>Sun_Set_pro8</v>
      </c>
      <c r="B1245" s="50" t="s">
        <v>154</v>
      </c>
      <c r="C1245" s="82">
        <v>44743.0</v>
      </c>
      <c r="D1245" s="82">
        <v>44773.0</v>
      </c>
      <c r="E1245" s="52">
        <v>44743.0</v>
      </c>
      <c r="F1245" s="53" t="s">
        <v>8</v>
      </c>
      <c r="G1245" s="50" t="s">
        <v>5</v>
      </c>
      <c r="H1245" s="96" t="s">
        <v>75</v>
      </c>
      <c r="I1245" s="54" t="s">
        <v>11</v>
      </c>
      <c r="J1245" s="79">
        <v>50.0</v>
      </c>
      <c r="K1245" s="80">
        <v>3242.0</v>
      </c>
      <c r="L1245" s="77">
        <v>-5400.0</v>
      </c>
      <c r="M1245" s="81">
        <v>6639.0</v>
      </c>
      <c r="N1245" s="33">
        <f t="shared" si="155"/>
        <v>162100</v>
      </c>
      <c r="O1245" s="50">
        <v>51872.0</v>
      </c>
      <c r="P1245" s="34">
        <f t="shared" si="14"/>
        <v>16</v>
      </c>
      <c r="Q1245" s="60"/>
      <c r="R1245" s="36">
        <f t="shared" si="177"/>
        <v>6639</v>
      </c>
      <c r="S1245" s="78">
        <v>-2359.0</v>
      </c>
      <c r="T1245" s="37">
        <f t="shared" si="178"/>
        <v>4280</v>
      </c>
      <c r="U1245" s="62">
        <v>1.0</v>
      </c>
      <c r="V1245" s="63"/>
      <c r="W1245" s="63"/>
      <c r="X1245" s="83">
        <v>0.25</v>
      </c>
      <c r="Y1245" s="35">
        <f t="shared" si="179"/>
        <v>0</v>
      </c>
      <c r="Z1245" s="40">
        <f t="shared" si="180"/>
        <v>3210</v>
      </c>
      <c r="AA1245" s="34">
        <f t="shared" si="181"/>
        <v>1070</v>
      </c>
      <c r="AB1245" s="41">
        <f t="shared" si="182"/>
        <v>0</v>
      </c>
      <c r="AC1245" s="42" t="b">
        <v>1</v>
      </c>
      <c r="AD1245" s="66" t="s">
        <v>138</v>
      </c>
      <c r="AE1245" s="88" t="s">
        <v>138</v>
      </c>
      <c r="AF1245" s="42" t="str">
        <f t="array" ref="AF1245">INDEX('Deal Info'!D:D, MATCH(A1245,'Deal Info'!A:A, 0))</f>
        <v>DoEVold</v>
      </c>
      <c r="AG1245" s="43" t="str">
        <f t="array" ref="AG1245">INDEX('Deal Info'!G:G, MATCH(A1245,'Deal Info'!A:A, 0))</f>
        <v>None</v>
      </c>
    </row>
    <row r="1246" hidden="1">
      <c r="A1246" s="23" t="str">
        <f t="array" ref="A1246">if(G1246='Room Info'!$B$1, INDEX('Room Info'!$A$2:$A3446, MATCH(B1246,'Room Info'!$B$2:$B3446, 0)),if(G1246='Room Info'!$C$1, INDEX('Room Info'!$A$2:$A3446, MATCH(B1246,'Room Info'!$C$2:$C3446, 0)),if(G1246='Room Info'!$D$1, INDEX('Room Info'!$A$2:$A3446, MATCH(B1246,'Room Info'!$D$2:$D3446, 0)),if(G1246='Room Info'!$E$1, INDEX('Room Info'!$A$2:$A3446, MATCH(B1246,'Room Info'!$E$2:$E3446, 0)),if(G1246='Room Info'!$F$1, INDEX('Room Info'!$A$2:$A3446, MATCH(B1246,'Room Info'!$F$2:$F3446, 0)),if(G1246='Room Info'!$H$1, INDEX('Room Info'!$A$2:$A3446, MATCH(B1246,'Room Info'!$H$2:$H3446, 0)),if(G1246='Room Info'!$G$1, INDEX('Room Info'!$A$2:$A3446, MATCH(B1246,'Room Info'!$G$2:$G3446, 0)))))))))</f>
        <v>Sun_Set_pro8</v>
      </c>
      <c r="B1246" s="50" t="s">
        <v>154</v>
      </c>
      <c r="C1246" s="82">
        <v>44743.0</v>
      </c>
      <c r="D1246" s="82">
        <v>44773.0</v>
      </c>
      <c r="E1246" s="52">
        <v>44743.0</v>
      </c>
      <c r="F1246" s="53" t="s">
        <v>8</v>
      </c>
      <c r="G1246" s="50" t="s">
        <v>5</v>
      </c>
      <c r="H1246" s="96" t="s">
        <v>63</v>
      </c>
      <c r="I1246" s="54" t="s">
        <v>11</v>
      </c>
      <c r="J1246" s="79">
        <v>25.0</v>
      </c>
      <c r="K1246" s="80">
        <v>4185.0</v>
      </c>
      <c r="L1246" s="77">
        <v>-4300.0</v>
      </c>
      <c r="M1246" s="81">
        <v>4260.0</v>
      </c>
      <c r="N1246" s="33">
        <f t="shared" si="155"/>
        <v>104625</v>
      </c>
      <c r="O1246" s="50">
        <v>62775.0</v>
      </c>
      <c r="P1246" s="34">
        <f t="shared" si="14"/>
        <v>15</v>
      </c>
      <c r="Q1246" s="60"/>
      <c r="R1246" s="36">
        <f t="shared" si="177"/>
        <v>4260</v>
      </c>
      <c r="S1246" s="78">
        <v>-1846.0</v>
      </c>
      <c r="T1246" s="37">
        <f t="shared" si="178"/>
        <v>2414</v>
      </c>
      <c r="U1246" s="62">
        <v>1.0</v>
      </c>
      <c r="V1246" s="63"/>
      <c r="W1246" s="63"/>
      <c r="X1246" s="83">
        <v>0.25</v>
      </c>
      <c r="Y1246" s="35">
        <f t="shared" si="179"/>
        <v>0</v>
      </c>
      <c r="Z1246" s="40">
        <f t="shared" si="180"/>
        <v>1810.5</v>
      </c>
      <c r="AA1246" s="34">
        <f t="shared" si="181"/>
        <v>603.5</v>
      </c>
      <c r="AB1246" s="41">
        <f t="shared" si="182"/>
        <v>0</v>
      </c>
      <c r="AC1246" s="42" t="b">
        <v>1</v>
      </c>
      <c r="AD1246" s="66" t="s">
        <v>138</v>
      </c>
      <c r="AE1246" s="88" t="s">
        <v>138</v>
      </c>
      <c r="AF1246" s="42" t="str">
        <f t="array" ref="AF1246">INDEX('Deal Info'!D:D, MATCH(A1246,'Deal Info'!A:A, 0))</f>
        <v>DoEVold</v>
      </c>
      <c r="AG1246" s="43" t="str">
        <f t="array" ref="AG1246">INDEX('Deal Info'!G:G, MATCH(A1246,'Deal Info'!A:A, 0))</f>
        <v>None</v>
      </c>
    </row>
    <row r="1247" hidden="1">
      <c r="A1247" s="23" t="str">
        <f t="array" ref="A1247">if(G1247='Room Info'!$B$1, INDEX('Room Info'!$A$2:$A3446, MATCH(B1247,'Room Info'!$B$2:$B3446, 0)),if(G1247='Room Info'!$C$1, INDEX('Room Info'!$A$2:$A3446, MATCH(B1247,'Room Info'!$C$2:$C3446, 0)),if(G1247='Room Info'!$D$1, INDEX('Room Info'!$A$2:$A3446, MATCH(B1247,'Room Info'!$D$2:$D3446, 0)),if(G1247='Room Info'!$E$1, INDEX('Room Info'!$A$2:$A3446, MATCH(B1247,'Room Info'!$E$2:$E3446, 0)),if(G1247='Room Info'!$F$1, INDEX('Room Info'!$A$2:$A3446, MATCH(B1247,'Room Info'!$F$2:$F3446, 0)),if(G1247='Room Info'!$H$1, INDEX('Room Info'!$A$2:$A3446, MATCH(B1247,'Room Info'!$H$2:$H3446, 0)),if(G1247='Room Info'!$G$1, INDEX('Room Info'!$A$2:$A3446, MATCH(B1247,'Room Info'!$G$2:$G3446, 0)))))))))</f>
        <v>Sun_Set_pro8</v>
      </c>
      <c r="B1247" s="50" t="s">
        <v>154</v>
      </c>
      <c r="C1247" s="82">
        <v>44774.0</v>
      </c>
      <c r="D1247" s="82">
        <v>44804.0</v>
      </c>
      <c r="E1247" s="52">
        <v>44774.0</v>
      </c>
      <c r="F1247" s="53" t="s">
        <v>8</v>
      </c>
      <c r="G1247" s="59" t="s">
        <v>5</v>
      </c>
      <c r="H1247" s="54" t="s">
        <v>63</v>
      </c>
      <c r="I1247" s="54" t="s">
        <v>11</v>
      </c>
      <c r="J1247" s="55">
        <v>25.0</v>
      </c>
      <c r="K1247" s="56">
        <v>880.0</v>
      </c>
      <c r="L1247" s="57">
        <v>400.0</v>
      </c>
      <c r="M1247" s="58">
        <v>909.0</v>
      </c>
      <c r="N1247" s="33">
        <f t="shared" si="155"/>
        <v>22000</v>
      </c>
      <c r="O1247" s="59">
        <v>11273.0</v>
      </c>
      <c r="P1247" s="34">
        <f t="shared" si="14"/>
        <v>12.81022727</v>
      </c>
      <c r="Q1247" s="60"/>
      <c r="R1247" s="36">
        <f t="shared" si="177"/>
        <v>909</v>
      </c>
      <c r="S1247" s="61">
        <v>-552.0</v>
      </c>
      <c r="T1247" s="37">
        <f t="shared" si="178"/>
        <v>357</v>
      </c>
      <c r="U1247" s="62">
        <v>1.0</v>
      </c>
      <c r="V1247" s="63"/>
      <c r="W1247" s="63"/>
      <c r="X1247" s="83">
        <v>0.25</v>
      </c>
      <c r="Y1247" s="35">
        <f t="shared" si="179"/>
        <v>0</v>
      </c>
      <c r="Z1247" s="40">
        <f t="shared" si="180"/>
        <v>267.75</v>
      </c>
      <c r="AA1247" s="34">
        <f t="shared" si="181"/>
        <v>89.25</v>
      </c>
      <c r="AB1247" s="41">
        <f t="shared" si="182"/>
        <v>0</v>
      </c>
      <c r="AC1247" s="42" t="b">
        <v>1</v>
      </c>
      <c r="AD1247" s="66" t="s">
        <v>138</v>
      </c>
      <c r="AE1247" s="88" t="s">
        <v>138</v>
      </c>
      <c r="AF1247" s="42" t="str">
        <f t="array" ref="AF1247">INDEX('Deal Info'!D:D, MATCH(A1247,'Deal Info'!A:A, 0))</f>
        <v>DoEVold</v>
      </c>
      <c r="AG1247" s="43" t="str">
        <f t="array" ref="AG1247">INDEX('Deal Info'!G:G, MATCH(A1247,'Deal Info'!A:A, 0))</f>
        <v>None</v>
      </c>
    </row>
    <row r="1248" hidden="1">
      <c r="A1248" s="23" t="str">
        <f t="array" ref="A1248">if(G1248='Room Info'!$B$1, INDEX('Room Info'!$A$2:$A3446, MATCH(B1248,'Room Info'!$B$2:$B3446, 0)),if(G1248='Room Info'!$C$1, INDEX('Room Info'!$A$2:$A3446, MATCH(B1248,'Room Info'!$C$2:$C3446, 0)),if(G1248='Room Info'!$D$1, INDEX('Room Info'!$A$2:$A3446, MATCH(B1248,'Room Info'!$D$2:$D3446, 0)),if(G1248='Room Info'!$E$1, INDEX('Room Info'!$A$2:$A3446, MATCH(B1248,'Room Info'!$E$2:$E3446, 0)),if(G1248='Room Info'!$F$1, INDEX('Room Info'!$A$2:$A3446, MATCH(B1248,'Room Info'!$F$2:$F3446, 0)),if(G1248='Room Info'!$H$1, INDEX('Room Info'!$A$2:$A3446, MATCH(B1248,'Room Info'!$H$2:$H3446, 0)),if(G1248='Room Info'!$G$1, INDEX('Room Info'!$A$2:$A3446, MATCH(B1248,'Room Info'!$G$2:$G3446, 0)))))))))</f>
        <v>Sun_Set_pro8</v>
      </c>
      <c r="B1248" s="50" t="s">
        <v>154</v>
      </c>
      <c r="C1248" s="82">
        <v>44774.0</v>
      </c>
      <c r="D1248" s="82">
        <v>44804.0</v>
      </c>
      <c r="E1248" s="52">
        <v>44774.0</v>
      </c>
      <c r="F1248" s="53" t="s">
        <v>8</v>
      </c>
      <c r="G1248" s="50" t="s">
        <v>5</v>
      </c>
      <c r="H1248" s="54" t="s">
        <v>75</v>
      </c>
      <c r="I1248" s="54" t="s">
        <v>11</v>
      </c>
      <c r="J1248" s="79">
        <v>50.0</v>
      </c>
      <c r="K1248" s="80">
        <v>4310.0</v>
      </c>
      <c r="L1248" s="77">
        <v>-6900.0</v>
      </c>
      <c r="M1248" s="81">
        <v>8903.0</v>
      </c>
      <c r="N1248" s="33">
        <f t="shared" si="155"/>
        <v>215500</v>
      </c>
      <c r="O1248" s="50">
        <v>79376.0</v>
      </c>
      <c r="P1248" s="34">
        <f t="shared" si="14"/>
        <v>18.41670534</v>
      </c>
      <c r="Q1248" s="60"/>
      <c r="R1248" s="36">
        <f t="shared" si="177"/>
        <v>8903</v>
      </c>
      <c r="S1248" s="78">
        <v>-1657.0</v>
      </c>
      <c r="T1248" s="37">
        <f t="shared" si="178"/>
        <v>7246</v>
      </c>
      <c r="U1248" s="62">
        <v>1.0</v>
      </c>
      <c r="V1248" s="63"/>
      <c r="W1248" s="63"/>
      <c r="X1248" s="83">
        <v>0.25</v>
      </c>
      <c r="Y1248" s="35">
        <f t="shared" si="179"/>
        <v>0</v>
      </c>
      <c r="Z1248" s="40">
        <f t="shared" si="180"/>
        <v>5434.5</v>
      </c>
      <c r="AA1248" s="34">
        <f t="shared" si="181"/>
        <v>1811.5</v>
      </c>
      <c r="AB1248" s="41">
        <f t="shared" si="182"/>
        <v>0</v>
      </c>
      <c r="AC1248" s="42" t="b">
        <v>1</v>
      </c>
      <c r="AD1248" s="66" t="s">
        <v>138</v>
      </c>
      <c r="AE1248" s="88" t="s">
        <v>138</v>
      </c>
      <c r="AF1248" s="42" t="str">
        <f t="array" ref="AF1248">INDEX('Deal Info'!D:D, MATCH(A1248,'Deal Info'!A:A, 0))</f>
        <v>DoEVold</v>
      </c>
      <c r="AG1248" s="43" t="str">
        <f t="array" ref="AG1248">INDEX('Deal Info'!G:G, MATCH(A1248,'Deal Info'!A:A, 0))</f>
        <v>None</v>
      </c>
    </row>
    <row r="1249" hidden="1">
      <c r="A1249" s="23" t="str">
        <f t="array" ref="A1249">if(G1249='Room Info'!$B$1, INDEX('Room Info'!$A$2:$A3446, MATCH(B1249,'Room Info'!$B$2:$B3446, 0)),if(G1249='Room Info'!$C$1, INDEX('Room Info'!$A$2:$A3446, MATCH(B1249,'Room Info'!$C$2:$C3446, 0)),if(G1249='Room Info'!$D$1, INDEX('Room Info'!$A$2:$A3446, MATCH(B1249,'Room Info'!$D$2:$D3446, 0)),if(G1249='Room Info'!$E$1, INDEX('Room Info'!$A$2:$A3446, MATCH(B1249,'Room Info'!$E$2:$E3446, 0)),if(G1249='Room Info'!$F$1, INDEX('Room Info'!$A$2:$A3446, MATCH(B1249,'Room Info'!$F$2:$F3446, 0)),if(G1249='Room Info'!$H$1, INDEX('Room Info'!$A$2:$A3446, MATCH(B1249,'Room Info'!$H$2:$H3446, 0)),if(G1249='Room Info'!$G$1, INDEX('Room Info'!$A$2:$A3446, MATCH(B1249,'Room Info'!$G$2:$G3446, 0)))))))))</f>
        <v>Sun_Set_pro8</v>
      </c>
      <c r="B1249" s="50" t="s">
        <v>154</v>
      </c>
      <c r="C1249" s="82">
        <v>44774.0</v>
      </c>
      <c r="D1249" s="82">
        <v>44804.0</v>
      </c>
      <c r="E1249" s="52">
        <v>44774.0</v>
      </c>
      <c r="F1249" s="53" t="s">
        <v>8</v>
      </c>
      <c r="G1249" s="50" t="s">
        <v>5</v>
      </c>
      <c r="H1249" s="96" t="s">
        <v>86</v>
      </c>
      <c r="I1249" s="54" t="s">
        <v>11</v>
      </c>
      <c r="J1249" s="79">
        <v>100.0</v>
      </c>
      <c r="K1249" s="80">
        <v>650.0</v>
      </c>
      <c r="L1249" s="77">
        <v>-100.0</v>
      </c>
      <c r="M1249" s="81">
        <v>2238.0</v>
      </c>
      <c r="N1249" s="33">
        <f t="shared" si="155"/>
        <v>65000</v>
      </c>
      <c r="O1249" s="50">
        <v>9316.0</v>
      </c>
      <c r="P1249" s="34">
        <f t="shared" si="14"/>
        <v>14.33230769</v>
      </c>
      <c r="Q1249" s="60"/>
      <c r="R1249" s="36">
        <f t="shared" si="177"/>
        <v>2238</v>
      </c>
      <c r="S1249" s="78">
        <v>-646.0</v>
      </c>
      <c r="T1249" s="37">
        <f t="shared" si="178"/>
        <v>1592</v>
      </c>
      <c r="U1249" s="62">
        <v>1.0</v>
      </c>
      <c r="V1249" s="63"/>
      <c r="W1249" s="63"/>
      <c r="X1249" s="83">
        <v>0.25</v>
      </c>
      <c r="Y1249" s="35">
        <f t="shared" si="179"/>
        <v>0</v>
      </c>
      <c r="Z1249" s="40">
        <f t="shared" si="180"/>
        <v>1194</v>
      </c>
      <c r="AA1249" s="34">
        <f t="shared" si="181"/>
        <v>398</v>
      </c>
      <c r="AB1249" s="41">
        <f t="shared" si="182"/>
        <v>0</v>
      </c>
      <c r="AC1249" s="42" t="b">
        <v>1</v>
      </c>
      <c r="AD1249" s="66" t="s">
        <v>138</v>
      </c>
      <c r="AE1249" s="88" t="s">
        <v>138</v>
      </c>
      <c r="AF1249" s="42" t="str">
        <f t="array" ref="AF1249">INDEX('Deal Info'!D:D, MATCH(A1249,'Deal Info'!A:A, 0))</f>
        <v>DoEVold</v>
      </c>
      <c r="AG1249" s="43" t="str">
        <f t="array" ref="AG1249">INDEX('Deal Info'!G:G, MATCH(A1249,'Deal Info'!A:A, 0))</f>
        <v>None</v>
      </c>
    </row>
    <row r="1250" hidden="1">
      <c r="A1250" s="23" t="str">
        <f t="array" ref="A1250">if(G1250='Room Info'!$B$1, INDEX('Room Info'!$A$2:$A3446, MATCH(B1250,'Room Info'!$B$2:$B3446, 0)),if(G1250='Room Info'!$C$1, INDEX('Room Info'!$A$2:$A3446, MATCH(B1250,'Room Info'!$C$2:$C3446, 0)),if(G1250='Room Info'!$D$1, INDEX('Room Info'!$A$2:$A3446, MATCH(B1250,'Room Info'!$D$2:$D3446, 0)),if(G1250='Room Info'!$E$1, INDEX('Room Info'!$A$2:$A3446, MATCH(B1250,'Room Info'!$E$2:$E3446, 0)),if(G1250='Room Info'!$F$1, INDEX('Room Info'!$A$2:$A3446, MATCH(B1250,'Room Info'!$F$2:$F3446, 0)),if(G1250='Room Info'!$H$1, INDEX('Room Info'!$A$2:$A3446, MATCH(B1250,'Room Info'!$H$2:$H3446, 0)),if(G1250='Room Info'!$G$1, INDEX('Room Info'!$A$2:$A3446, MATCH(B1250,'Room Info'!$G$2:$G3446, 0)))))))))</f>
        <v>Sun_Set_pro8</v>
      </c>
      <c r="B1250" s="50" t="s">
        <v>154</v>
      </c>
      <c r="C1250" s="82">
        <v>44774.0</v>
      </c>
      <c r="D1250" s="82">
        <v>44804.0</v>
      </c>
      <c r="E1250" s="52">
        <v>44774.0</v>
      </c>
      <c r="F1250" s="53" t="s">
        <v>12</v>
      </c>
      <c r="G1250" s="50" t="s">
        <v>5</v>
      </c>
      <c r="H1250" s="96" t="s">
        <v>10</v>
      </c>
      <c r="I1250" s="54" t="s">
        <v>11</v>
      </c>
      <c r="J1250" s="79">
        <v>0.25</v>
      </c>
      <c r="K1250" s="80">
        <v>5.0</v>
      </c>
      <c r="L1250" s="77">
        <v>2.0</v>
      </c>
      <c r="M1250" s="81">
        <v>0.0</v>
      </c>
      <c r="N1250" s="33">
        <f t="shared" si="155"/>
        <v>1.25</v>
      </c>
      <c r="O1250" s="50">
        <v>-600.0</v>
      </c>
      <c r="P1250" s="34">
        <f t="shared" si="14"/>
        <v>-120</v>
      </c>
      <c r="Q1250" s="60"/>
      <c r="R1250" s="36">
        <f t="shared" si="177"/>
        <v>0</v>
      </c>
      <c r="S1250" s="78"/>
      <c r="T1250" s="37">
        <f t="shared" si="178"/>
        <v>2</v>
      </c>
      <c r="U1250" s="62">
        <v>1.0</v>
      </c>
      <c r="V1250" s="63"/>
      <c r="W1250" s="63"/>
      <c r="X1250" s="83">
        <v>0.25</v>
      </c>
      <c r="Y1250" s="35">
        <f t="shared" si="179"/>
        <v>0</v>
      </c>
      <c r="Z1250" s="40">
        <f t="shared" si="180"/>
        <v>1.5</v>
      </c>
      <c r="AA1250" s="34">
        <f t="shared" si="181"/>
        <v>0.5</v>
      </c>
      <c r="AB1250" s="41">
        <f t="shared" si="182"/>
        <v>0</v>
      </c>
      <c r="AC1250" s="42" t="b">
        <v>1</v>
      </c>
      <c r="AD1250" s="66" t="s">
        <v>138</v>
      </c>
      <c r="AE1250" s="88" t="s">
        <v>138</v>
      </c>
      <c r="AF1250" s="42" t="str">
        <f t="array" ref="AF1250">INDEX('Deal Info'!D:D, MATCH(A1250,'Deal Info'!A:A, 0))</f>
        <v>DoEVold</v>
      </c>
      <c r="AG1250" s="43" t="str">
        <f t="array" ref="AG1250">INDEX('Deal Info'!G:G, MATCH(A1250,'Deal Info'!A:A, 0))</f>
        <v>None</v>
      </c>
    </row>
    <row r="1251" hidden="1">
      <c r="A1251" s="23" t="str">
        <f t="array" ref="A1251">if(G1251='Room Info'!$B$1, INDEX('Room Info'!$A$2:$A3446, MATCH(B1251,'Room Info'!$B$2:$B3446, 0)),if(G1251='Room Info'!$C$1, INDEX('Room Info'!$A$2:$A3446, MATCH(B1251,'Room Info'!$C$2:$C3446, 0)),if(G1251='Room Info'!$D$1, INDEX('Room Info'!$A$2:$A3446, MATCH(B1251,'Room Info'!$D$2:$D3446, 0)),if(G1251='Room Info'!$E$1, INDEX('Room Info'!$A$2:$A3446, MATCH(B1251,'Room Info'!$E$2:$E3446, 0)),if(G1251='Room Info'!$F$1, INDEX('Room Info'!$A$2:$A3446, MATCH(B1251,'Room Info'!$F$2:$F3446, 0)),if(G1251='Room Info'!$H$1, INDEX('Room Info'!$A$2:$A3446, MATCH(B1251,'Room Info'!$H$2:$H3446, 0)),if(G1251='Room Info'!$G$1, INDEX('Room Info'!$A$2:$A3446, MATCH(B1251,'Room Info'!$G$2:$G3446, 0)))))))))</f>
        <v>Sun_Set_pro8</v>
      </c>
      <c r="B1251" s="50" t="s">
        <v>154</v>
      </c>
      <c r="C1251" s="82">
        <v>44805.0</v>
      </c>
      <c r="D1251" s="82">
        <v>44834.0</v>
      </c>
      <c r="E1251" s="52">
        <v>44805.0</v>
      </c>
      <c r="F1251" s="53" t="s">
        <v>8</v>
      </c>
      <c r="G1251" s="50" t="s">
        <v>5</v>
      </c>
      <c r="H1251" s="96" t="s">
        <v>74</v>
      </c>
      <c r="I1251" s="54" t="s">
        <v>7</v>
      </c>
      <c r="J1251" s="79">
        <v>50.0</v>
      </c>
      <c r="K1251" s="80">
        <v>1.0</v>
      </c>
      <c r="L1251" s="77">
        <v>-50.0</v>
      </c>
      <c r="M1251" s="81">
        <v>2.0</v>
      </c>
      <c r="N1251" s="33">
        <f t="shared" si="155"/>
        <v>50</v>
      </c>
      <c r="O1251" s="50">
        <v>-500.0</v>
      </c>
      <c r="P1251" s="34">
        <f t="shared" si="14"/>
        <v>-500</v>
      </c>
      <c r="Q1251" s="60"/>
      <c r="R1251" s="36">
        <f t="shared" si="177"/>
        <v>2</v>
      </c>
      <c r="S1251" s="78">
        <v>-50.0</v>
      </c>
      <c r="T1251" s="37">
        <f t="shared" si="178"/>
        <v>-48</v>
      </c>
      <c r="U1251" s="62">
        <v>1.0</v>
      </c>
      <c r="V1251" s="63"/>
      <c r="W1251" s="63"/>
      <c r="X1251" s="83">
        <v>0.35</v>
      </c>
      <c r="Y1251" s="35">
        <f t="shared" si="179"/>
        <v>0</v>
      </c>
      <c r="Z1251" s="40">
        <f t="shared" si="180"/>
        <v>-31.2</v>
      </c>
      <c r="AA1251" s="34">
        <f t="shared" si="181"/>
        <v>-16.8</v>
      </c>
      <c r="AB1251" s="41">
        <f t="shared" si="182"/>
        <v>0</v>
      </c>
      <c r="AC1251" s="42" t="b">
        <v>1</v>
      </c>
      <c r="AD1251" s="66" t="s">
        <v>138</v>
      </c>
      <c r="AE1251" s="88" t="s">
        <v>138</v>
      </c>
      <c r="AF1251" s="42" t="str">
        <f t="array" ref="AF1251">INDEX('Deal Info'!D:D, MATCH(A1251,'Deal Info'!A:A, 0))</f>
        <v>DoEVold</v>
      </c>
      <c r="AG1251" s="43" t="str">
        <f t="array" ref="AG1251">INDEX('Deal Info'!G:G, MATCH(A1251,'Deal Info'!A:A, 0))</f>
        <v>None</v>
      </c>
    </row>
    <row r="1252" hidden="1">
      <c r="A1252" s="23" t="str">
        <f t="array" ref="A1252">if(G1252='Room Info'!$B$1, INDEX('Room Info'!$A$2:$A3446, MATCH(B1252,'Room Info'!$B$2:$B3446, 0)),if(G1252='Room Info'!$C$1, INDEX('Room Info'!$A$2:$A3446, MATCH(B1252,'Room Info'!$C$2:$C3446, 0)),if(G1252='Room Info'!$D$1, INDEX('Room Info'!$A$2:$A3446, MATCH(B1252,'Room Info'!$D$2:$D3446, 0)),if(G1252='Room Info'!$E$1, INDEX('Room Info'!$A$2:$A3446, MATCH(B1252,'Room Info'!$E$2:$E3446, 0)),if(G1252='Room Info'!$F$1, INDEX('Room Info'!$A$2:$A3446, MATCH(B1252,'Room Info'!$F$2:$F3446, 0)),if(G1252='Room Info'!$H$1, INDEX('Room Info'!$A$2:$A3446, MATCH(B1252,'Room Info'!$H$2:$H3446, 0)),if(G1252='Room Info'!$G$1, INDEX('Room Info'!$A$2:$A3446, MATCH(B1252,'Room Info'!$G$2:$G3446, 0)))))))))</f>
        <v>Sun_Set_pro8</v>
      </c>
      <c r="B1252" s="50" t="s">
        <v>154</v>
      </c>
      <c r="C1252" s="82">
        <v>44805.0</v>
      </c>
      <c r="D1252" s="82">
        <v>44834.0</v>
      </c>
      <c r="E1252" s="52">
        <v>44805.0</v>
      </c>
      <c r="F1252" s="53" t="s">
        <v>8</v>
      </c>
      <c r="G1252" s="50" t="s">
        <v>5</v>
      </c>
      <c r="H1252" s="96" t="s">
        <v>63</v>
      </c>
      <c r="I1252" s="54" t="s">
        <v>11</v>
      </c>
      <c r="J1252" s="79">
        <v>25.0</v>
      </c>
      <c r="K1252" s="80">
        <v>984.0</v>
      </c>
      <c r="L1252" s="77">
        <v>-75.0</v>
      </c>
      <c r="M1252" s="81">
        <v>962.0</v>
      </c>
      <c r="N1252" s="33">
        <f t="shared" si="155"/>
        <v>24600</v>
      </c>
      <c r="O1252" s="50">
        <v>11295.0</v>
      </c>
      <c r="P1252" s="34">
        <f t="shared" si="14"/>
        <v>11.47865854</v>
      </c>
      <c r="Q1252" s="60"/>
      <c r="R1252" s="36">
        <f t="shared" si="177"/>
        <v>962</v>
      </c>
      <c r="S1252" s="78">
        <v>-596.0</v>
      </c>
      <c r="T1252" s="37">
        <f t="shared" si="178"/>
        <v>366</v>
      </c>
      <c r="U1252" s="62">
        <v>1.0</v>
      </c>
      <c r="V1252" s="63"/>
      <c r="W1252" s="63"/>
      <c r="X1252" s="83">
        <v>0.35</v>
      </c>
      <c r="Y1252" s="35">
        <f t="shared" si="179"/>
        <v>0</v>
      </c>
      <c r="Z1252" s="40">
        <f t="shared" si="180"/>
        <v>237.9</v>
      </c>
      <c r="AA1252" s="34">
        <f t="shared" si="181"/>
        <v>128.1</v>
      </c>
      <c r="AB1252" s="41">
        <f t="shared" si="182"/>
        <v>0</v>
      </c>
      <c r="AC1252" s="42" t="b">
        <v>1</v>
      </c>
      <c r="AD1252" s="66" t="s">
        <v>138</v>
      </c>
      <c r="AE1252" s="88" t="s">
        <v>138</v>
      </c>
      <c r="AF1252" s="42" t="str">
        <f t="array" ref="AF1252">INDEX('Deal Info'!D:D, MATCH(A1252,'Deal Info'!A:A, 0))</f>
        <v>DoEVold</v>
      </c>
      <c r="AG1252" s="43" t="str">
        <f t="array" ref="AG1252">INDEX('Deal Info'!G:G, MATCH(A1252,'Deal Info'!A:A, 0))</f>
        <v>None</v>
      </c>
    </row>
    <row r="1253" hidden="1">
      <c r="A1253" s="23" t="str">
        <f t="array" ref="A1253">if(G1253='Room Info'!$B$1, INDEX('Room Info'!$A$2:$A3446, MATCH(B1253,'Room Info'!$B$2:$B3446, 0)),if(G1253='Room Info'!$C$1, INDEX('Room Info'!$A$2:$A3446, MATCH(B1253,'Room Info'!$C$2:$C3446, 0)),if(G1253='Room Info'!$D$1, INDEX('Room Info'!$A$2:$A3446, MATCH(B1253,'Room Info'!$D$2:$D3446, 0)),if(G1253='Room Info'!$E$1, INDEX('Room Info'!$A$2:$A3446, MATCH(B1253,'Room Info'!$E$2:$E3446, 0)),if(G1253='Room Info'!$F$1, INDEX('Room Info'!$A$2:$A3446, MATCH(B1253,'Room Info'!$F$2:$F3446, 0)),if(G1253='Room Info'!$H$1, INDEX('Room Info'!$A$2:$A3446, MATCH(B1253,'Room Info'!$H$2:$H3446, 0)),if(G1253='Room Info'!$G$1, INDEX('Room Info'!$A$2:$A3446, MATCH(B1253,'Room Info'!$G$2:$G3446, 0)))))))))</f>
        <v>Sun_Set_pro8</v>
      </c>
      <c r="B1253" s="50" t="s">
        <v>154</v>
      </c>
      <c r="C1253" s="82">
        <v>44805.0</v>
      </c>
      <c r="D1253" s="82">
        <v>44834.0</v>
      </c>
      <c r="E1253" s="52">
        <v>44805.0</v>
      </c>
      <c r="F1253" s="53" t="s">
        <v>8</v>
      </c>
      <c r="G1253" s="50" t="s">
        <v>5</v>
      </c>
      <c r="H1253" s="96" t="s">
        <v>75</v>
      </c>
      <c r="I1253" s="54" t="s">
        <v>11</v>
      </c>
      <c r="J1253" s="79">
        <v>50.0</v>
      </c>
      <c r="K1253" s="80">
        <v>4968.0</v>
      </c>
      <c r="L1253" s="77">
        <v>-4600.0</v>
      </c>
      <c r="M1253" s="81">
        <v>9700.0</v>
      </c>
      <c r="N1253" s="33">
        <f t="shared" si="155"/>
        <v>248400</v>
      </c>
      <c r="O1253" s="50">
        <v>50789.0</v>
      </c>
      <c r="P1253" s="34">
        <f t="shared" si="14"/>
        <v>10.22322866</v>
      </c>
      <c r="Q1253" s="60"/>
      <c r="R1253" s="36">
        <f t="shared" si="177"/>
        <v>9700</v>
      </c>
      <c r="S1253" s="78">
        <v>-6979.0</v>
      </c>
      <c r="T1253" s="37">
        <f t="shared" si="178"/>
        <v>2721</v>
      </c>
      <c r="U1253" s="62">
        <v>1.0</v>
      </c>
      <c r="V1253" s="63"/>
      <c r="W1253" s="63"/>
      <c r="X1253" s="83">
        <v>0.35</v>
      </c>
      <c r="Y1253" s="35">
        <f t="shared" si="179"/>
        <v>0</v>
      </c>
      <c r="Z1253" s="40">
        <f t="shared" si="180"/>
        <v>1768.65</v>
      </c>
      <c r="AA1253" s="34">
        <f t="shared" si="181"/>
        <v>952.35</v>
      </c>
      <c r="AB1253" s="41">
        <f t="shared" si="182"/>
        <v>0</v>
      </c>
      <c r="AC1253" s="42" t="b">
        <v>1</v>
      </c>
      <c r="AD1253" s="66" t="s">
        <v>138</v>
      </c>
      <c r="AE1253" s="88" t="s">
        <v>138</v>
      </c>
      <c r="AF1253" s="42" t="str">
        <f t="array" ref="AF1253">INDEX('Deal Info'!D:D, MATCH(A1253,'Deal Info'!A:A, 0))</f>
        <v>DoEVold</v>
      </c>
      <c r="AG1253" s="43" t="str">
        <f t="array" ref="AG1253">INDEX('Deal Info'!G:G, MATCH(A1253,'Deal Info'!A:A, 0))</f>
        <v>None</v>
      </c>
    </row>
    <row r="1254" hidden="1">
      <c r="A1254" s="23" t="str">
        <f t="array" ref="A1254">if(G1254='Room Info'!$B$1, INDEX('Room Info'!$A$2:$A3446, MATCH(B1254,'Room Info'!$B$2:$B3446, 0)),if(G1254='Room Info'!$C$1, INDEX('Room Info'!$A$2:$A3446, MATCH(B1254,'Room Info'!$C$2:$C3446, 0)),if(G1254='Room Info'!$D$1, INDEX('Room Info'!$A$2:$A3446, MATCH(B1254,'Room Info'!$D$2:$D3446, 0)),if(G1254='Room Info'!$E$1, INDEX('Room Info'!$A$2:$A3446, MATCH(B1254,'Room Info'!$E$2:$E3446, 0)),if(G1254='Room Info'!$F$1, INDEX('Room Info'!$A$2:$A3446, MATCH(B1254,'Room Info'!$F$2:$F3446, 0)),if(G1254='Room Info'!$H$1, INDEX('Room Info'!$A$2:$A3446, MATCH(B1254,'Room Info'!$H$2:$H3446, 0)),if(G1254='Room Info'!$G$1, INDEX('Room Info'!$A$2:$A3446, MATCH(B1254,'Room Info'!$G$2:$G3446, 0)))))))))</f>
        <v>Sun_Set_pro8</v>
      </c>
      <c r="B1254" s="50" t="s">
        <v>154</v>
      </c>
      <c r="C1254" s="82">
        <v>44805.0</v>
      </c>
      <c r="D1254" s="82">
        <v>44834.0</v>
      </c>
      <c r="E1254" s="52">
        <v>44805.0</v>
      </c>
      <c r="F1254" s="53" t="s">
        <v>8</v>
      </c>
      <c r="G1254" s="50" t="s">
        <v>5</v>
      </c>
      <c r="H1254" s="96" t="s">
        <v>86</v>
      </c>
      <c r="I1254" s="54" t="s">
        <v>11</v>
      </c>
      <c r="J1254" s="79">
        <v>100.0</v>
      </c>
      <c r="K1254" s="80">
        <v>180.0</v>
      </c>
      <c r="L1254" s="77">
        <v>-4900.0</v>
      </c>
      <c r="M1254" s="81">
        <v>586.0</v>
      </c>
      <c r="N1254" s="33">
        <f t="shared" si="155"/>
        <v>18000</v>
      </c>
      <c r="O1254" s="50">
        <v>-2421.0</v>
      </c>
      <c r="P1254" s="34">
        <f t="shared" si="14"/>
        <v>-13.45</v>
      </c>
      <c r="Q1254" s="60"/>
      <c r="R1254" s="36">
        <f t="shared" si="177"/>
        <v>586</v>
      </c>
      <c r="S1254" s="78">
        <v>-1656.0</v>
      </c>
      <c r="T1254" s="37">
        <f t="shared" si="178"/>
        <v>-1070</v>
      </c>
      <c r="U1254" s="62">
        <v>1.0</v>
      </c>
      <c r="V1254" s="63"/>
      <c r="W1254" s="63"/>
      <c r="X1254" s="83">
        <v>0.35</v>
      </c>
      <c r="Y1254" s="35">
        <f t="shared" si="179"/>
        <v>0</v>
      </c>
      <c r="Z1254" s="40">
        <f t="shared" si="180"/>
        <v>-695.5</v>
      </c>
      <c r="AA1254" s="34">
        <f t="shared" si="181"/>
        <v>-374.5</v>
      </c>
      <c r="AB1254" s="41">
        <f t="shared" si="182"/>
        <v>0</v>
      </c>
      <c r="AC1254" s="42" t="b">
        <v>1</v>
      </c>
      <c r="AD1254" s="66" t="s">
        <v>138</v>
      </c>
      <c r="AE1254" s="88" t="s">
        <v>138</v>
      </c>
      <c r="AF1254" s="42" t="str">
        <f t="array" ref="AF1254">INDEX('Deal Info'!D:D, MATCH(A1254,'Deal Info'!A:A, 0))</f>
        <v>DoEVold</v>
      </c>
      <c r="AG1254" s="43" t="str">
        <f t="array" ref="AG1254">INDEX('Deal Info'!G:G, MATCH(A1254,'Deal Info'!A:A, 0))</f>
        <v>None</v>
      </c>
    </row>
    <row r="1255" hidden="1">
      <c r="A1255" s="23" t="str">
        <f t="array" ref="A1255">if(G1255='Room Info'!$B$1, INDEX('Room Info'!$A$2:$A3446, MATCH(B1255,'Room Info'!$B$2:$B3446, 0)),if(G1255='Room Info'!$C$1, INDEX('Room Info'!$A$2:$A3446, MATCH(B1255,'Room Info'!$C$2:$C3446, 0)),if(G1255='Room Info'!$D$1, INDEX('Room Info'!$A$2:$A3446, MATCH(B1255,'Room Info'!$D$2:$D3446, 0)),if(G1255='Room Info'!$E$1, INDEX('Room Info'!$A$2:$A3446, MATCH(B1255,'Room Info'!$E$2:$E3446, 0)),if(G1255='Room Info'!$F$1, INDEX('Room Info'!$A$2:$A3446, MATCH(B1255,'Room Info'!$F$2:$F3446, 0)),if(G1255='Room Info'!$H$1, INDEX('Room Info'!$A$2:$A3446, MATCH(B1255,'Room Info'!$H$2:$H3446, 0)),if(G1255='Room Info'!$G$1, INDEX('Room Info'!$A$2:$A3446, MATCH(B1255,'Room Info'!$G$2:$G3446, 0)))))))))</f>
        <v>Sun_Set_pro8</v>
      </c>
      <c r="B1255" s="50" t="s">
        <v>154</v>
      </c>
      <c r="C1255" s="82">
        <v>44805.0</v>
      </c>
      <c r="D1255" s="82">
        <v>44834.0</v>
      </c>
      <c r="E1255" s="52">
        <v>44805.0</v>
      </c>
      <c r="F1255" s="53" t="s">
        <v>12</v>
      </c>
      <c r="G1255" s="50" t="s">
        <v>5</v>
      </c>
      <c r="H1255" s="96" t="s">
        <v>10</v>
      </c>
      <c r="I1255" s="54" t="s">
        <v>11</v>
      </c>
      <c r="J1255" s="79">
        <v>0.25</v>
      </c>
      <c r="K1255" s="80">
        <v>18.0</v>
      </c>
      <c r="L1255" s="77">
        <v>-1.0</v>
      </c>
      <c r="M1255" s="84"/>
      <c r="N1255" s="33">
        <f t="shared" si="155"/>
        <v>4.5</v>
      </c>
      <c r="O1255" s="101"/>
      <c r="P1255" s="34">
        <f t="shared" si="14"/>
        <v>0</v>
      </c>
      <c r="Q1255" s="60"/>
      <c r="R1255" s="36">
        <f t="shared" si="177"/>
        <v>0</v>
      </c>
      <c r="S1255" s="102"/>
      <c r="T1255" s="37">
        <f t="shared" si="178"/>
        <v>-1</v>
      </c>
      <c r="U1255" s="62">
        <v>1.0</v>
      </c>
      <c r="V1255" s="63"/>
      <c r="W1255" s="63"/>
      <c r="X1255" s="83">
        <v>0.35</v>
      </c>
      <c r="Y1255" s="35">
        <f t="shared" si="179"/>
        <v>0</v>
      </c>
      <c r="Z1255" s="40">
        <f t="shared" si="180"/>
        <v>-0.65</v>
      </c>
      <c r="AA1255" s="34">
        <f t="shared" si="181"/>
        <v>-0.35</v>
      </c>
      <c r="AB1255" s="41">
        <f t="shared" si="182"/>
        <v>0</v>
      </c>
      <c r="AC1255" s="42" t="b">
        <v>1</v>
      </c>
      <c r="AD1255" s="66" t="s">
        <v>138</v>
      </c>
      <c r="AE1255" s="88" t="s">
        <v>138</v>
      </c>
      <c r="AF1255" s="42" t="str">
        <f t="array" ref="AF1255">INDEX('Deal Info'!D:D, MATCH(A1255,'Deal Info'!A:A, 0))</f>
        <v>DoEVold</v>
      </c>
      <c r="AG1255" s="43" t="str">
        <f t="array" ref="AG1255">INDEX('Deal Info'!G:G, MATCH(A1255,'Deal Info'!A:A, 0))</f>
        <v>None</v>
      </c>
    </row>
    <row r="1256" hidden="1">
      <c r="A1256" s="23" t="str">
        <f t="array" ref="A1256">if(G1256='Room Info'!$B$1, INDEX('Room Info'!$A$2:$A3446, MATCH(B1256,'Room Info'!$B$2:$B3446, 0)),if(G1256='Room Info'!$C$1, INDEX('Room Info'!$A$2:$A3446, MATCH(B1256,'Room Info'!$C$2:$C3446, 0)),if(G1256='Room Info'!$D$1, INDEX('Room Info'!$A$2:$A3446, MATCH(B1256,'Room Info'!$D$2:$D3446, 0)),if(G1256='Room Info'!$E$1, INDEX('Room Info'!$A$2:$A3446, MATCH(B1256,'Room Info'!$E$2:$E3446, 0)),if(G1256='Room Info'!$F$1, INDEX('Room Info'!$A$2:$A3446, MATCH(B1256,'Room Info'!$F$2:$F3446, 0)),if(G1256='Room Info'!$H$1, INDEX('Room Info'!$A$2:$A3446, MATCH(B1256,'Room Info'!$H$2:$H3446, 0)),if(G1256='Room Info'!$G$1, INDEX('Room Info'!$A$2:$A3446, MATCH(B1256,'Room Info'!$G$2:$G3446, 0)))))))))</f>
        <v>Sun_Set_pro8</v>
      </c>
      <c r="B1256" s="50" t="s">
        <v>154</v>
      </c>
      <c r="C1256" s="82">
        <v>44835.0</v>
      </c>
      <c r="D1256" s="82">
        <v>44865.0</v>
      </c>
      <c r="E1256" s="52">
        <v>44835.0</v>
      </c>
      <c r="F1256" s="53" t="s">
        <v>8</v>
      </c>
      <c r="G1256" s="50" t="s">
        <v>5</v>
      </c>
      <c r="H1256" s="96" t="s">
        <v>74</v>
      </c>
      <c r="I1256" s="54" t="s">
        <v>7</v>
      </c>
      <c r="J1256" s="79">
        <v>50.0</v>
      </c>
      <c r="K1256" s="80">
        <v>2.0</v>
      </c>
      <c r="L1256" s="77">
        <v>-100.0</v>
      </c>
      <c r="M1256" s="81">
        <v>4.0</v>
      </c>
      <c r="N1256" s="33">
        <f t="shared" si="155"/>
        <v>100</v>
      </c>
      <c r="O1256" s="50">
        <v>-335.0</v>
      </c>
      <c r="P1256" s="34">
        <f t="shared" si="14"/>
        <v>-167.5</v>
      </c>
      <c r="Q1256" s="60"/>
      <c r="R1256" s="36">
        <f t="shared" si="177"/>
        <v>4</v>
      </c>
      <c r="S1256" s="78">
        <v>-38.0</v>
      </c>
      <c r="T1256" s="37">
        <f t="shared" si="178"/>
        <v>-34</v>
      </c>
      <c r="U1256" s="62">
        <v>1.0</v>
      </c>
      <c r="V1256" s="63"/>
      <c r="W1256" s="63"/>
      <c r="X1256" s="83">
        <v>0.17</v>
      </c>
      <c r="Y1256" s="35">
        <f t="shared" si="179"/>
        <v>0</v>
      </c>
      <c r="Z1256" s="40">
        <f t="shared" si="180"/>
        <v>-28.22</v>
      </c>
      <c r="AA1256" s="34">
        <f t="shared" si="181"/>
        <v>-5.78</v>
      </c>
      <c r="AB1256" s="41">
        <f t="shared" si="182"/>
        <v>0</v>
      </c>
      <c r="AC1256" s="42" t="b">
        <v>1</v>
      </c>
      <c r="AD1256" s="66" t="s">
        <v>138</v>
      </c>
      <c r="AE1256" s="88" t="s">
        <v>138</v>
      </c>
      <c r="AF1256" s="42" t="str">
        <f t="array" ref="AF1256">INDEX('Deal Info'!D:D, MATCH(A1256,'Deal Info'!A:A, 0))</f>
        <v>DoEVold</v>
      </c>
      <c r="AG1256" s="43" t="str">
        <f t="array" ref="AG1256">INDEX('Deal Info'!G:G, MATCH(A1256,'Deal Info'!A:A, 0))</f>
        <v>None</v>
      </c>
    </row>
    <row r="1257" hidden="1">
      <c r="A1257" s="23" t="str">
        <f t="array" ref="A1257">if(G1257='Room Info'!$B$1, INDEX('Room Info'!$A$2:$A3446, MATCH(B1257,'Room Info'!$B$2:$B3446, 0)),if(G1257='Room Info'!$C$1, INDEX('Room Info'!$A$2:$A3446, MATCH(B1257,'Room Info'!$C$2:$C3446, 0)),if(G1257='Room Info'!$D$1, INDEX('Room Info'!$A$2:$A3446, MATCH(B1257,'Room Info'!$D$2:$D3446, 0)),if(G1257='Room Info'!$E$1, INDEX('Room Info'!$A$2:$A3446, MATCH(B1257,'Room Info'!$E$2:$E3446, 0)),if(G1257='Room Info'!$F$1, INDEX('Room Info'!$A$2:$A3446, MATCH(B1257,'Room Info'!$F$2:$F3446, 0)),if(G1257='Room Info'!$H$1, INDEX('Room Info'!$A$2:$A3446, MATCH(B1257,'Room Info'!$H$2:$H3446, 0)),if(G1257='Room Info'!$G$1, INDEX('Room Info'!$A$2:$A3446, MATCH(B1257,'Room Info'!$G$2:$G3446, 0)))))))))</f>
        <v>Sun_Set_pro8</v>
      </c>
      <c r="B1257" s="50" t="s">
        <v>154</v>
      </c>
      <c r="C1257" s="51">
        <v>44835.0</v>
      </c>
      <c r="D1257" s="51">
        <v>44865.0</v>
      </c>
      <c r="E1257" s="52">
        <v>44835.0</v>
      </c>
      <c r="F1257" s="53" t="s">
        <v>8</v>
      </c>
      <c r="G1257" s="50" t="s">
        <v>5</v>
      </c>
      <c r="H1257" s="54" t="s">
        <v>86</v>
      </c>
      <c r="I1257" s="54" t="s">
        <v>11</v>
      </c>
      <c r="J1257" s="55">
        <v>100.0</v>
      </c>
      <c r="K1257" s="56">
        <v>25.0</v>
      </c>
      <c r="L1257" s="57">
        <v>1500.0</v>
      </c>
      <c r="M1257" s="58">
        <v>86.0</v>
      </c>
      <c r="N1257" s="33">
        <f t="shared" si="155"/>
        <v>2500</v>
      </c>
      <c r="O1257" s="59">
        <v>1958.0</v>
      </c>
      <c r="P1257" s="34">
        <f t="shared" si="14"/>
        <v>78.32</v>
      </c>
      <c r="Q1257" s="60"/>
      <c r="R1257" s="36">
        <f t="shared" si="177"/>
        <v>86</v>
      </c>
      <c r="S1257" s="61">
        <v>461.0</v>
      </c>
      <c r="T1257" s="37">
        <f t="shared" si="178"/>
        <v>547</v>
      </c>
      <c r="U1257" s="62">
        <v>1.0</v>
      </c>
      <c r="V1257" s="63"/>
      <c r="W1257" s="63"/>
      <c r="X1257" s="83">
        <v>0.17</v>
      </c>
      <c r="Y1257" s="35">
        <f t="shared" si="179"/>
        <v>0</v>
      </c>
      <c r="Z1257" s="40">
        <f t="shared" si="180"/>
        <v>454.01</v>
      </c>
      <c r="AA1257" s="34">
        <f t="shared" si="181"/>
        <v>92.99</v>
      </c>
      <c r="AB1257" s="41">
        <f t="shared" si="182"/>
        <v>0</v>
      </c>
      <c r="AC1257" s="42" t="b">
        <v>1</v>
      </c>
      <c r="AD1257" s="66" t="s">
        <v>138</v>
      </c>
      <c r="AE1257" s="88" t="s">
        <v>138</v>
      </c>
      <c r="AF1257" s="42" t="str">
        <f t="array" ref="AF1257">INDEX('Deal Info'!D:D, MATCH(A1257,'Deal Info'!A:A, 0))</f>
        <v>DoEVold</v>
      </c>
      <c r="AG1257" s="43" t="str">
        <f t="array" ref="AG1257">INDEX('Deal Info'!G:G, MATCH(A1257,'Deal Info'!A:A, 0))</f>
        <v>None</v>
      </c>
    </row>
    <row r="1258" hidden="1">
      <c r="A1258" s="23" t="str">
        <f t="array" ref="A1258">if(G1258='Room Info'!$B$1, INDEX('Room Info'!$A$2:$A3446, MATCH(B1258,'Room Info'!$B$2:$B3446, 0)),if(G1258='Room Info'!$C$1, INDEX('Room Info'!$A$2:$A3446, MATCH(B1258,'Room Info'!$C$2:$C3446, 0)),if(G1258='Room Info'!$D$1, INDEX('Room Info'!$A$2:$A3446, MATCH(B1258,'Room Info'!$D$2:$D3446, 0)),if(G1258='Room Info'!$E$1, INDEX('Room Info'!$A$2:$A3446, MATCH(B1258,'Room Info'!$E$2:$E3446, 0)),if(G1258='Room Info'!$F$1, INDEX('Room Info'!$A$2:$A3446, MATCH(B1258,'Room Info'!$F$2:$F3446, 0)),if(G1258='Room Info'!$H$1, INDEX('Room Info'!$A$2:$A3446, MATCH(B1258,'Room Info'!$H$2:$H3446, 0)),if(G1258='Room Info'!$G$1, INDEX('Room Info'!$A$2:$A3446, MATCH(B1258,'Room Info'!$G$2:$G3446, 0)))))))))</f>
        <v>Sun_Set_pro8</v>
      </c>
      <c r="B1258" s="50" t="s">
        <v>154</v>
      </c>
      <c r="C1258" s="51">
        <v>44835.0</v>
      </c>
      <c r="D1258" s="51">
        <v>44865.0</v>
      </c>
      <c r="E1258" s="52">
        <v>44835.0</v>
      </c>
      <c r="F1258" s="53" t="s">
        <v>8</v>
      </c>
      <c r="G1258" s="50" t="s">
        <v>5</v>
      </c>
      <c r="H1258" s="54" t="s">
        <v>63</v>
      </c>
      <c r="I1258" s="54" t="s">
        <v>11</v>
      </c>
      <c r="J1258" s="55">
        <v>25.0</v>
      </c>
      <c r="K1258" s="56">
        <v>237.0</v>
      </c>
      <c r="L1258" s="57">
        <v>775.0</v>
      </c>
      <c r="M1258" s="58">
        <v>282.0</v>
      </c>
      <c r="N1258" s="33">
        <f t="shared" si="155"/>
        <v>5925</v>
      </c>
      <c r="O1258" s="59">
        <v>7368.0</v>
      </c>
      <c r="P1258" s="34">
        <f t="shared" si="14"/>
        <v>31.08860759</v>
      </c>
      <c r="Q1258" s="60"/>
      <c r="R1258" s="36">
        <f t="shared" si="177"/>
        <v>282</v>
      </c>
      <c r="S1258" s="61">
        <v>157.0</v>
      </c>
      <c r="T1258" s="37">
        <f t="shared" si="178"/>
        <v>439</v>
      </c>
      <c r="U1258" s="62">
        <v>1.0</v>
      </c>
      <c r="V1258" s="63"/>
      <c r="W1258" s="63"/>
      <c r="X1258" s="83">
        <v>0.17</v>
      </c>
      <c r="Y1258" s="35">
        <f t="shared" si="179"/>
        <v>0</v>
      </c>
      <c r="Z1258" s="40">
        <f t="shared" si="180"/>
        <v>364.37</v>
      </c>
      <c r="AA1258" s="34">
        <f t="shared" si="181"/>
        <v>74.63</v>
      </c>
      <c r="AB1258" s="41">
        <f t="shared" si="182"/>
        <v>0</v>
      </c>
      <c r="AC1258" s="42" t="b">
        <v>1</v>
      </c>
      <c r="AD1258" s="66" t="s">
        <v>138</v>
      </c>
      <c r="AE1258" s="88" t="s">
        <v>138</v>
      </c>
      <c r="AF1258" s="42" t="str">
        <f t="array" ref="AF1258">INDEX('Deal Info'!D:D, MATCH(A1258,'Deal Info'!A:A, 0))</f>
        <v>DoEVold</v>
      </c>
      <c r="AG1258" s="43" t="str">
        <f t="array" ref="AG1258">INDEX('Deal Info'!G:G, MATCH(A1258,'Deal Info'!A:A, 0))</f>
        <v>None</v>
      </c>
    </row>
    <row r="1259" hidden="1">
      <c r="A1259" s="23" t="str">
        <f t="array" ref="A1259">if(G1259='Room Info'!$B$1, INDEX('Room Info'!$A$2:$A3446, MATCH(B1259,'Room Info'!$B$2:$B3446, 0)),if(G1259='Room Info'!$C$1, INDEX('Room Info'!$A$2:$A3446, MATCH(B1259,'Room Info'!$C$2:$C3446, 0)),if(G1259='Room Info'!$D$1, INDEX('Room Info'!$A$2:$A3446, MATCH(B1259,'Room Info'!$D$2:$D3446, 0)),if(G1259='Room Info'!$E$1, INDEX('Room Info'!$A$2:$A3446, MATCH(B1259,'Room Info'!$E$2:$E3446, 0)),if(G1259='Room Info'!$F$1, INDEX('Room Info'!$A$2:$A3446, MATCH(B1259,'Room Info'!$F$2:$F3446, 0)),if(G1259='Room Info'!$H$1, INDEX('Room Info'!$A$2:$A3446, MATCH(B1259,'Room Info'!$H$2:$H3446, 0)),if(G1259='Room Info'!$G$1, INDEX('Room Info'!$A$2:$A3446, MATCH(B1259,'Room Info'!$G$2:$G3446, 0)))))))))</f>
        <v>Sun_Set_pro8</v>
      </c>
      <c r="B1259" s="50" t="s">
        <v>154</v>
      </c>
      <c r="C1259" s="51">
        <v>44835.0</v>
      </c>
      <c r="D1259" s="51">
        <v>44865.0</v>
      </c>
      <c r="E1259" s="52">
        <v>44835.0</v>
      </c>
      <c r="F1259" s="53" t="s">
        <v>8</v>
      </c>
      <c r="G1259" s="50" t="s">
        <v>5</v>
      </c>
      <c r="H1259" s="54" t="s">
        <v>75</v>
      </c>
      <c r="I1259" s="54" t="s">
        <v>11</v>
      </c>
      <c r="J1259" s="55">
        <v>50.0</v>
      </c>
      <c r="K1259" s="56">
        <v>5711.0</v>
      </c>
      <c r="L1259" s="57">
        <v>-16010.0</v>
      </c>
      <c r="M1259" s="58">
        <v>11827.0</v>
      </c>
      <c r="N1259" s="33">
        <f t="shared" si="155"/>
        <v>285550</v>
      </c>
      <c r="O1259" s="59">
        <v>42493.0</v>
      </c>
      <c r="P1259" s="34">
        <f t="shared" si="14"/>
        <v>7.440553318</v>
      </c>
      <c r="Q1259" s="60"/>
      <c r="R1259" s="36">
        <f t="shared" si="177"/>
        <v>11827</v>
      </c>
      <c r="S1259" s="61">
        <v>-13142.0</v>
      </c>
      <c r="T1259" s="37">
        <f t="shared" si="178"/>
        <v>-1315</v>
      </c>
      <c r="U1259" s="62">
        <v>1.0</v>
      </c>
      <c r="V1259" s="63"/>
      <c r="W1259" s="63"/>
      <c r="X1259" s="83">
        <v>0.17</v>
      </c>
      <c r="Y1259" s="35">
        <f t="shared" si="179"/>
        <v>0</v>
      </c>
      <c r="Z1259" s="40">
        <f t="shared" si="180"/>
        <v>-1091.45</v>
      </c>
      <c r="AA1259" s="34">
        <f t="shared" si="181"/>
        <v>-223.55</v>
      </c>
      <c r="AB1259" s="41">
        <f t="shared" si="182"/>
        <v>0</v>
      </c>
      <c r="AC1259" s="42" t="b">
        <v>1</v>
      </c>
      <c r="AD1259" s="66" t="s">
        <v>138</v>
      </c>
      <c r="AE1259" s="88" t="s">
        <v>138</v>
      </c>
      <c r="AF1259" s="42" t="str">
        <f t="array" ref="AF1259">INDEX('Deal Info'!D:D, MATCH(A1259,'Deal Info'!A:A, 0))</f>
        <v>DoEVold</v>
      </c>
      <c r="AG1259" s="43" t="str">
        <f t="array" ref="AG1259">INDEX('Deal Info'!G:G, MATCH(A1259,'Deal Info'!A:A, 0))</f>
        <v>None</v>
      </c>
    </row>
    <row r="1260" hidden="1">
      <c r="A1260" s="23" t="str">
        <f t="array" ref="A1260">if(G1260='Room Info'!$B$1, INDEX('Room Info'!$A$2:$A3446, MATCH(B1260,'Room Info'!$B$2:$B3446, 0)),if(G1260='Room Info'!$C$1, INDEX('Room Info'!$A$2:$A3446, MATCH(B1260,'Room Info'!$C$2:$C3446, 0)),if(G1260='Room Info'!$D$1, INDEX('Room Info'!$A$2:$A3446, MATCH(B1260,'Room Info'!$D$2:$D3446, 0)),if(G1260='Room Info'!$E$1, INDEX('Room Info'!$A$2:$A3446, MATCH(B1260,'Room Info'!$E$2:$E3446, 0)),if(G1260='Room Info'!$F$1, INDEX('Room Info'!$A$2:$A3446, MATCH(B1260,'Room Info'!$F$2:$F3446, 0)),if(G1260='Room Info'!$H$1, INDEX('Room Info'!$A$2:$A3446, MATCH(B1260,'Room Info'!$H$2:$H3446, 0)),if(G1260='Room Info'!$G$1, INDEX('Room Info'!$A$2:$A3446, MATCH(B1260,'Room Info'!$G$2:$G3446, 0)))))))))</f>
        <v>Sun_Set_pro8</v>
      </c>
      <c r="B1260" s="50" t="s">
        <v>154</v>
      </c>
      <c r="C1260" s="51">
        <v>44866.0</v>
      </c>
      <c r="D1260" s="51">
        <v>44895.0</v>
      </c>
      <c r="E1260" s="52">
        <v>44866.0</v>
      </c>
      <c r="F1260" s="53" t="s">
        <v>8</v>
      </c>
      <c r="G1260" s="50" t="s">
        <v>5</v>
      </c>
      <c r="H1260" s="54" t="s">
        <v>86</v>
      </c>
      <c r="I1260" s="54" t="s">
        <v>11</v>
      </c>
      <c r="J1260" s="55">
        <v>100.0</v>
      </c>
      <c r="K1260" s="56">
        <v>32.0</v>
      </c>
      <c r="L1260" s="57">
        <v>900.0</v>
      </c>
      <c r="M1260" s="58">
        <v>110.0</v>
      </c>
      <c r="N1260" s="33">
        <f t="shared" si="155"/>
        <v>3200</v>
      </c>
      <c r="O1260" s="59">
        <v>1484.0</v>
      </c>
      <c r="P1260" s="34">
        <f t="shared" si="14"/>
        <v>46.375</v>
      </c>
      <c r="Q1260" s="60"/>
      <c r="R1260" s="36">
        <f t="shared" si="177"/>
        <v>110</v>
      </c>
      <c r="S1260" s="61">
        <v>281.0</v>
      </c>
      <c r="T1260" s="37">
        <f t="shared" si="178"/>
        <v>391</v>
      </c>
      <c r="U1260" s="62">
        <v>1.0</v>
      </c>
      <c r="V1260" s="63"/>
      <c r="W1260" s="63"/>
      <c r="X1260" s="83">
        <v>0.17</v>
      </c>
      <c r="Y1260" s="35">
        <f t="shared" si="179"/>
        <v>0</v>
      </c>
      <c r="Z1260" s="40">
        <f t="shared" si="180"/>
        <v>324.53</v>
      </c>
      <c r="AA1260" s="34">
        <f t="shared" si="181"/>
        <v>66.47</v>
      </c>
      <c r="AB1260" s="41">
        <f t="shared" si="182"/>
        <v>0</v>
      </c>
      <c r="AC1260" s="42" t="b">
        <v>1</v>
      </c>
      <c r="AD1260" s="66" t="s">
        <v>138</v>
      </c>
      <c r="AE1260" s="88" t="s">
        <v>138</v>
      </c>
      <c r="AF1260" s="42" t="str">
        <f t="array" ref="AF1260">INDEX('Deal Info'!D:D, MATCH(A1260,'Deal Info'!A:A, 0))</f>
        <v>DoEVold</v>
      </c>
      <c r="AG1260" s="43" t="str">
        <f t="array" ref="AG1260">INDEX('Deal Info'!G:G, MATCH(A1260,'Deal Info'!A:A, 0))</f>
        <v>None</v>
      </c>
    </row>
    <row r="1261" hidden="1">
      <c r="A1261" s="23" t="str">
        <f t="array" ref="A1261">if(G1261='Room Info'!$B$1, INDEX('Room Info'!$A$2:$A3446, MATCH(B1261,'Room Info'!$B$2:$B3446, 0)),if(G1261='Room Info'!$C$1, INDEX('Room Info'!$A$2:$A3446, MATCH(B1261,'Room Info'!$C$2:$C3446, 0)),if(G1261='Room Info'!$D$1, INDEX('Room Info'!$A$2:$A3446, MATCH(B1261,'Room Info'!$D$2:$D3446, 0)),if(G1261='Room Info'!$E$1, INDEX('Room Info'!$A$2:$A3446, MATCH(B1261,'Room Info'!$E$2:$E3446, 0)),if(G1261='Room Info'!$F$1, INDEX('Room Info'!$A$2:$A3446, MATCH(B1261,'Room Info'!$F$2:$F3446, 0)),if(G1261='Room Info'!$H$1, INDEX('Room Info'!$A$2:$A3446, MATCH(B1261,'Room Info'!$H$2:$H3446, 0)),if(G1261='Room Info'!$G$1, INDEX('Room Info'!$A$2:$A3446, MATCH(B1261,'Room Info'!$G$2:$G3446, 0)))))))))</f>
        <v>Sun_Set_pro8</v>
      </c>
      <c r="B1261" s="50" t="s">
        <v>154</v>
      </c>
      <c r="C1261" s="51">
        <v>44866.0</v>
      </c>
      <c r="D1261" s="51">
        <v>44895.0</v>
      </c>
      <c r="E1261" s="52">
        <v>44866.0</v>
      </c>
      <c r="F1261" s="53" t="s">
        <v>8</v>
      </c>
      <c r="G1261" s="50" t="s">
        <v>5</v>
      </c>
      <c r="H1261" s="54" t="s">
        <v>63</v>
      </c>
      <c r="I1261" s="54" t="s">
        <v>11</v>
      </c>
      <c r="J1261" s="55">
        <v>25.0</v>
      </c>
      <c r="K1261" s="56">
        <v>733.0</v>
      </c>
      <c r="L1261" s="57">
        <v>800.0</v>
      </c>
      <c r="M1261" s="58">
        <v>758.0</v>
      </c>
      <c r="N1261" s="33">
        <f t="shared" si="155"/>
        <v>18325</v>
      </c>
      <c r="O1261" s="59">
        <v>21331.0</v>
      </c>
      <c r="P1261" s="34">
        <f t="shared" si="14"/>
        <v>29.10095498</v>
      </c>
      <c r="Q1261" s="60"/>
      <c r="R1261" s="36">
        <f t="shared" si="177"/>
        <v>758</v>
      </c>
      <c r="S1261" s="61">
        <v>425.0</v>
      </c>
      <c r="T1261" s="37">
        <f t="shared" si="178"/>
        <v>1183</v>
      </c>
      <c r="U1261" s="62">
        <v>1.0</v>
      </c>
      <c r="V1261" s="63"/>
      <c r="W1261" s="63"/>
      <c r="X1261" s="83">
        <v>0.17</v>
      </c>
      <c r="Y1261" s="35">
        <f t="shared" si="179"/>
        <v>0</v>
      </c>
      <c r="Z1261" s="40">
        <f t="shared" si="180"/>
        <v>981.89</v>
      </c>
      <c r="AA1261" s="34">
        <f t="shared" si="181"/>
        <v>201.11</v>
      </c>
      <c r="AB1261" s="41">
        <f t="shared" si="182"/>
        <v>0</v>
      </c>
      <c r="AC1261" s="42" t="b">
        <v>1</v>
      </c>
      <c r="AD1261" s="66" t="s">
        <v>138</v>
      </c>
      <c r="AE1261" s="88" t="s">
        <v>138</v>
      </c>
      <c r="AF1261" s="42" t="str">
        <f t="array" ref="AF1261">INDEX('Deal Info'!D:D, MATCH(A1261,'Deal Info'!A:A, 0))</f>
        <v>DoEVold</v>
      </c>
      <c r="AG1261" s="43" t="str">
        <f t="array" ref="AG1261">INDEX('Deal Info'!G:G, MATCH(A1261,'Deal Info'!A:A, 0))</f>
        <v>None</v>
      </c>
    </row>
    <row r="1262" hidden="1">
      <c r="A1262" s="23" t="str">
        <f t="array" ref="A1262">if(G1262='Room Info'!$B$1, INDEX('Room Info'!$A$2:$A3446, MATCH(B1262,'Room Info'!$B$2:$B3446, 0)),if(G1262='Room Info'!$C$1, INDEX('Room Info'!$A$2:$A3446, MATCH(B1262,'Room Info'!$C$2:$C3446, 0)),if(G1262='Room Info'!$D$1, INDEX('Room Info'!$A$2:$A3446, MATCH(B1262,'Room Info'!$D$2:$D3446, 0)),if(G1262='Room Info'!$E$1, INDEX('Room Info'!$A$2:$A3446, MATCH(B1262,'Room Info'!$E$2:$E3446, 0)),if(G1262='Room Info'!$F$1, INDEX('Room Info'!$A$2:$A3446, MATCH(B1262,'Room Info'!$F$2:$F3446, 0)),if(G1262='Room Info'!$H$1, INDEX('Room Info'!$A$2:$A3446, MATCH(B1262,'Room Info'!$H$2:$H3446, 0)),if(G1262='Room Info'!$G$1, INDEX('Room Info'!$A$2:$A3446, MATCH(B1262,'Room Info'!$G$2:$G3446, 0)))))))))</f>
        <v>Sun_Set_pro8</v>
      </c>
      <c r="B1262" s="50" t="s">
        <v>154</v>
      </c>
      <c r="C1262" s="51">
        <v>44866.0</v>
      </c>
      <c r="D1262" s="51">
        <v>44895.0</v>
      </c>
      <c r="E1262" s="52">
        <v>44866.0</v>
      </c>
      <c r="F1262" s="53" t="s">
        <v>8</v>
      </c>
      <c r="G1262" s="50" t="s">
        <v>5</v>
      </c>
      <c r="H1262" s="54" t="s">
        <v>75</v>
      </c>
      <c r="I1262" s="54" t="s">
        <v>11</v>
      </c>
      <c r="J1262" s="55">
        <v>50.0</v>
      </c>
      <c r="K1262" s="56">
        <v>10829.0</v>
      </c>
      <c r="L1262" s="57">
        <v>-5500.0</v>
      </c>
      <c r="M1262" s="58">
        <v>22411.0</v>
      </c>
      <c r="N1262" s="33">
        <f t="shared" si="155"/>
        <v>541450</v>
      </c>
      <c r="O1262" s="59">
        <v>104819.0</v>
      </c>
      <c r="P1262" s="34">
        <f t="shared" si="14"/>
        <v>9.679471789</v>
      </c>
      <c r="Q1262" s="60"/>
      <c r="R1262" s="36">
        <f t="shared" si="177"/>
        <v>22411</v>
      </c>
      <c r="S1262" s="61">
        <v>-19832.0</v>
      </c>
      <c r="T1262" s="37">
        <f t="shared" si="178"/>
        <v>2579</v>
      </c>
      <c r="U1262" s="62">
        <v>1.0</v>
      </c>
      <c r="V1262" s="63"/>
      <c r="W1262" s="63"/>
      <c r="X1262" s="83">
        <v>0.17</v>
      </c>
      <c r="Y1262" s="35">
        <f t="shared" si="179"/>
        <v>0</v>
      </c>
      <c r="Z1262" s="40">
        <f t="shared" si="180"/>
        <v>2140.57</v>
      </c>
      <c r="AA1262" s="34">
        <f t="shared" si="181"/>
        <v>438.43</v>
      </c>
      <c r="AB1262" s="41">
        <f t="shared" si="182"/>
        <v>0</v>
      </c>
      <c r="AC1262" s="42" t="b">
        <v>1</v>
      </c>
      <c r="AD1262" s="66" t="s">
        <v>138</v>
      </c>
      <c r="AE1262" s="88" t="s">
        <v>138</v>
      </c>
      <c r="AF1262" s="42" t="str">
        <f t="array" ref="AF1262">INDEX('Deal Info'!D:D, MATCH(A1262,'Deal Info'!A:A, 0))</f>
        <v>DoEVold</v>
      </c>
      <c r="AG1262" s="43" t="str">
        <f t="array" ref="AG1262">INDEX('Deal Info'!G:G, MATCH(A1262,'Deal Info'!A:A, 0))</f>
        <v>None</v>
      </c>
    </row>
    <row r="1263" hidden="1">
      <c r="A1263" s="23" t="str">
        <f t="array" ref="A1263">if(G1263='Room Info'!$B$1, INDEX('Room Info'!$A$2:$A3446, MATCH(B1263,'Room Info'!$B$2:$B3446, 0)),if(G1263='Room Info'!$C$1, INDEX('Room Info'!$A$2:$A3446, MATCH(B1263,'Room Info'!$C$2:$C3446, 0)),if(G1263='Room Info'!$D$1, INDEX('Room Info'!$A$2:$A3446, MATCH(B1263,'Room Info'!$D$2:$D3446, 0)),if(G1263='Room Info'!$E$1, INDEX('Room Info'!$A$2:$A3446, MATCH(B1263,'Room Info'!$E$2:$E3446, 0)),if(G1263='Room Info'!$F$1, INDEX('Room Info'!$A$2:$A3446, MATCH(B1263,'Room Info'!$F$2:$F3446, 0)),if(G1263='Room Info'!$H$1, INDEX('Room Info'!$A$2:$A3446, MATCH(B1263,'Room Info'!$H$2:$H3446, 0)),if(G1263='Room Info'!$G$1, INDEX('Room Info'!$A$2:$A3446, MATCH(B1263,'Room Info'!$G$2:$G3446, 0)))))))))</f>
        <v>Sun_Set_pro8</v>
      </c>
      <c r="B1263" s="50" t="s">
        <v>154</v>
      </c>
      <c r="C1263" s="51">
        <v>44866.0</v>
      </c>
      <c r="D1263" s="51">
        <v>44895.0</v>
      </c>
      <c r="E1263" s="52">
        <v>44866.0</v>
      </c>
      <c r="F1263" s="53" t="s">
        <v>12</v>
      </c>
      <c r="G1263" s="50" t="s">
        <v>5</v>
      </c>
      <c r="H1263" s="54" t="s">
        <v>48</v>
      </c>
      <c r="I1263" s="54" t="s">
        <v>11</v>
      </c>
      <c r="J1263" s="55">
        <v>10.0</v>
      </c>
      <c r="K1263" s="56">
        <v>83.0</v>
      </c>
      <c r="L1263" s="57">
        <v>-40.0</v>
      </c>
      <c r="M1263" s="58">
        <v>40.0</v>
      </c>
      <c r="N1263" s="33">
        <f t="shared" si="155"/>
        <v>830</v>
      </c>
      <c r="O1263" s="70"/>
      <c r="P1263" s="34">
        <f t="shared" si="14"/>
        <v>0</v>
      </c>
      <c r="Q1263" s="60"/>
      <c r="R1263" s="36">
        <f t="shared" si="177"/>
        <v>40</v>
      </c>
      <c r="S1263" s="71"/>
      <c r="T1263" s="37">
        <f t="shared" si="178"/>
        <v>0</v>
      </c>
      <c r="U1263" s="62">
        <v>1.0</v>
      </c>
      <c r="V1263" s="63"/>
      <c r="W1263" s="63"/>
      <c r="X1263" s="83">
        <v>0.17</v>
      </c>
      <c r="Y1263" s="35">
        <f t="shared" si="179"/>
        <v>0</v>
      </c>
      <c r="Z1263" s="40">
        <f t="shared" si="180"/>
        <v>0</v>
      </c>
      <c r="AA1263" s="34">
        <f t="shared" si="181"/>
        <v>0</v>
      </c>
      <c r="AB1263" s="41">
        <f t="shared" si="182"/>
        <v>0</v>
      </c>
      <c r="AC1263" s="42" t="b">
        <v>1</v>
      </c>
      <c r="AD1263" s="66" t="s">
        <v>138</v>
      </c>
      <c r="AE1263" s="88" t="s">
        <v>138</v>
      </c>
      <c r="AF1263" s="42" t="str">
        <f t="array" ref="AF1263">INDEX('Deal Info'!D:D, MATCH(A1263,'Deal Info'!A:A, 0))</f>
        <v>DoEVold</v>
      </c>
      <c r="AG1263" s="43" t="str">
        <f t="array" ref="AG1263">INDEX('Deal Info'!G:G, MATCH(A1263,'Deal Info'!A:A, 0))</f>
        <v>None</v>
      </c>
    </row>
    <row r="1264" hidden="1">
      <c r="A1264" s="23" t="str">
        <f t="array" ref="A1264">if(G1264='Room Info'!$B$1, INDEX('Room Info'!$A$2:$A3446, MATCH(B1264,'Room Info'!$B$2:$B3446, 0)),if(G1264='Room Info'!$C$1, INDEX('Room Info'!$A$2:$A3446, MATCH(B1264,'Room Info'!$C$2:$C3446, 0)),if(G1264='Room Info'!$D$1, INDEX('Room Info'!$A$2:$A3446, MATCH(B1264,'Room Info'!$D$2:$D3446, 0)),if(G1264='Room Info'!$E$1, INDEX('Room Info'!$A$2:$A3446, MATCH(B1264,'Room Info'!$E$2:$E3446, 0)),if(G1264='Room Info'!$F$1, INDEX('Room Info'!$A$2:$A3446, MATCH(B1264,'Room Info'!$F$2:$F3446, 0)),if(G1264='Room Info'!$H$1, INDEX('Room Info'!$A$2:$A3446, MATCH(B1264,'Room Info'!$H$2:$H3446, 0)),if(G1264='Room Info'!$G$1, INDEX('Room Info'!$A$2:$A3446, MATCH(B1264,'Room Info'!$G$2:$G3446, 0)))))))))</f>
        <v>Sun_Set_pro8</v>
      </c>
      <c r="B1264" s="50" t="s">
        <v>154</v>
      </c>
      <c r="C1264" s="51">
        <v>44896.0</v>
      </c>
      <c r="D1264" s="51">
        <v>44915.0</v>
      </c>
      <c r="E1264" s="52">
        <v>44896.0</v>
      </c>
      <c r="F1264" s="53" t="s">
        <v>8</v>
      </c>
      <c r="G1264" s="50" t="s">
        <v>5</v>
      </c>
      <c r="H1264" s="54" t="s">
        <v>63</v>
      </c>
      <c r="I1264" s="54" t="s">
        <v>11</v>
      </c>
      <c r="J1264" s="55">
        <v>25.0</v>
      </c>
      <c r="K1264" s="56">
        <v>390.0</v>
      </c>
      <c r="L1264" s="57">
        <v>925.0</v>
      </c>
      <c r="M1264" s="58">
        <v>174.0</v>
      </c>
      <c r="N1264" s="33">
        <f t="shared" si="155"/>
        <v>9750</v>
      </c>
      <c r="O1264" s="59">
        <v>6486.0</v>
      </c>
      <c r="P1264" s="34">
        <f t="shared" si="14"/>
        <v>16.63076923</v>
      </c>
      <c r="Q1264" s="60"/>
      <c r="R1264" s="36">
        <f t="shared" si="177"/>
        <v>174</v>
      </c>
      <c r="S1264" s="61">
        <v>-131.0</v>
      </c>
      <c r="T1264" s="37">
        <f t="shared" si="178"/>
        <v>43</v>
      </c>
      <c r="U1264" s="62">
        <v>1.0</v>
      </c>
      <c r="V1264" s="63"/>
      <c r="W1264" s="63"/>
      <c r="X1264" s="83">
        <v>0.25</v>
      </c>
      <c r="Y1264" s="35">
        <f t="shared" si="179"/>
        <v>0</v>
      </c>
      <c r="Z1264" s="40">
        <f t="shared" si="180"/>
        <v>32.25</v>
      </c>
      <c r="AA1264" s="34">
        <f t="shared" si="181"/>
        <v>10.75</v>
      </c>
      <c r="AB1264" s="41">
        <f t="shared" si="182"/>
        <v>0</v>
      </c>
      <c r="AC1264" s="42" t="b">
        <v>1</v>
      </c>
      <c r="AD1264" s="66" t="s">
        <v>138</v>
      </c>
      <c r="AE1264" s="88" t="s">
        <v>138</v>
      </c>
      <c r="AF1264" s="42" t="str">
        <f t="array" ref="AF1264">INDEX('Deal Info'!D:D, MATCH(A1264,'Deal Info'!A:A, 0))</f>
        <v>DoEVold</v>
      </c>
      <c r="AG1264" s="43" t="str">
        <f t="array" ref="AG1264">INDEX('Deal Info'!G:G, MATCH(A1264,'Deal Info'!A:A, 0))</f>
        <v>None</v>
      </c>
    </row>
    <row r="1265" hidden="1">
      <c r="A1265" s="23" t="str">
        <f t="array" ref="A1265">if(G1265='Room Info'!$B$1, INDEX('Room Info'!$A$2:$A3446, MATCH(B1265,'Room Info'!$B$2:$B3446, 0)),if(G1265='Room Info'!$C$1, INDEX('Room Info'!$A$2:$A3446, MATCH(B1265,'Room Info'!$C$2:$C3446, 0)),if(G1265='Room Info'!$D$1, INDEX('Room Info'!$A$2:$A3446, MATCH(B1265,'Room Info'!$D$2:$D3446, 0)),if(G1265='Room Info'!$E$1, INDEX('Room Info'!$A$2:$A3446, MATCH(B1265,'Room Info'!$E$2:$E3446, 0)),if(G1265='Room Info'!$F$1, INDEX('Room Info'!$A$2:$A3446, MATCH(B1265,'Room Info'!$F$2:$F3446, 0)),if(G1265='Room Info'!$H$1, INDEX('Room Info'!$A$2:$A3446, MATCH(B1265,'Room Info'!$H$2:$H3446, 0)),if(G1265='Room Info'!$G$1, INDEX('Room Info'!$A$2:$A3446, MATCH(B1265,'Room Info'!$G$2:$G3446, 0)))))))))</f>
        <v>Sun_Set_pro8</v>
      </c>
      <c r="B1265" s="50" t="s">
        <v>154</v>
      </c>
      <c r="C1265" s="51">
        <v>44896.0</v>
      </c>
      <c r="D1265" s="51">
        <v>44915.0</v>
      </c>
      <c r="E1265" s="52">
        <v>44896.0</v>
      </c>
      <c r="F1265" s="53" t="s">
        <v>8</v>
      </c>
      <c r="G1265" s="50" t="s">
        <v>5</v>
      </c>
      <c r="H1265" s="54" t="s">
        <v>75</v>
      </c>
      <c r="I1265" s="54" t="s">
        <v>11</v>
      </c>
      <c r="J1265" s="55">
        <v>50.0</v>
      </c>
      <c r="K1265" s="56">
        <v>5055.0</v>
      </c>
      <c r="L1265" s="57">
        <v>-500.0</v>
      </c>
      <c r="M1265" s="58">
        <v>4513.0</v>
      </c>
      <c r="N1265" s="33">
        <f t="shared" si="155"/>
        <v>252750</v>
      </c>
      <c r="O1265" s="59">
        <v>49896.0</v>
      </c>
      <c r="P1265" s="34">
        <f t="shared" si="14"/>
        <v>9.870623145</v>
      </c>
      <c r="Q1265" s="60"/>
      <c r="R1265" s="36">
        <f t="shared" si="177"/>
        <v>4513</v>
      </c>
      <c r="S1265" s="61">
        <v>-8681.0</v>
      </c>
      <c r="T1265" s="37">
        <f t="shared" si="178"/>
        <v>-4168</v>
      </c>
      <c r="U1265" s="62">
        <v>1.0</v>
      </c>
      <c r="V1265" s="63"/>
      <c r="W1265" s="63"/>
      <c r="X1265" s="83">
        <v>0.25</v>
      </c>
      <c r="Y1265" s="35">
        <f t="shared" si="179"/>
        <v>0</v>
      </c>
      <c r="Z1265" s="40">
        <f t="shared" si="180"/>
        <v>-3126</v>
      </c>
      <c r="AA1265" s="34">
        <f t="shared" si="181"/>
        <v>-1042</v>
      </c>
      <c r="AB1265" s="41">
        <f t="shared" si="182"/>
        <v>0</v>
      </c>
      <c r="AC1265" s="42" t="b">
        <v>1</v>
      </c>
      <c r="AD1265" s="66" t="s">
        <v>138</v>
      </c>
      <c r="AE1265" s="88" t="s">
        <v>138</v>
      </c>
      <c r="AF1265" s="42" t="str">
        <f t="array" ref="AF1265">INDEX('Deal Info'!D:D, MATCH(A1265,'Deal Info'!A:A, 0))</f>
        <v>DoEVold</v>
      </c>
      <c r="AG1265" s="43" t="str">
        <f t="array" ref="AG1265">INDEX('Deal Info'!G:G, MATCH(A1265,'Deal Info'!A:A, 0))</f>
        <v>None</v>
      </c>
    </row>
    <row r="1266" hidden="1">
      <c r="A1266" s="23" t="str">
        <f t="array" ref="A1266">if(G1266='Room Info'!$B$1, INDEX('Room Info'!$A$2:$A3446, MATCH(B1266,'Room Info'!$B$2:$B3446, 0)),if(G1266='Room Info'!$C$1, INDEX('Room Info'!$A$2:$A3446, MATCH(B1266,'Room Info'!$C$2:$C3446, 0)),if(G1266='Room Info'!$D$1, INDEX('Room Info'!$A$2:$A3446, MATCH(B1266,'Room Info'!$D$2:$D3446, 0)),if(G1266='Room Info'!$E$1, INDEX('Room Info'!$A$2:$A3446, MATCH(B1266,'Room Info'!$E$2:$E3446, 0)),if(G1266='Room Info'!$F$1, INDEX('Room Info'!$A$2:$A3446, MATCH(B1266,'Room Info'!$F$2:$F3446, 0)),if(G1266='Room Info'!$H$1, INDEX('Room Info'!$A$2:$A3446, MATCH(B1266,'Room Info'!$H$2:$H3446, 0)),if(G1266='Room Info'!$G$1, INDEX('Room Info'!$A$2:$A3446, MATCH(B1266,'Room Info'!$G$2:$G3446, 0)))))))))</f>
        <v>Sun_Set_pro8</v>
      </c>
      <c r="B1266" s="50" t="s">
        <v>154</v>
      </c>
      <c r="C1266" s="51">
        <v>44896.0</v>
      </c>
      <c r="D1266" s="51">
        <v>44915.0</v>
      </c>
      <c r="E1266" s="52">
        <v>44896.0</v>
      </c>
      <c r="F1266" s="53" t="s">
        <v>8</v>
      </c>
      <c r="G1266" s="50" t="s">
        <v>5</v>
      </c>
      <c r="H1266" s="54" t="s">
        <v>62</v>
      </c>
      <c r="I1266" s="54" t="s">
        <v>7</v>
      </c>
      <c r="J1266" s="55">
        <v>25.0</v>
      </c>
      <c r="K1266" s="56">
        <v>2.0</v>
      </c>
      <c r="L1266" s="57">
        <v>75.0</v>
      </c>
      <c r="M1266" s="58">
        <v>1.0</v>
      </c>
      <c r="N1266" s="33">
        <f t="shared" si="155"/>
        <v>50</v>
      </c>
      <c r="O1266" s="59">
        <v>582.0</v>
      </c>
      <c r="P1266" s="34">
        <f t="shared" si="14"/>
        <v>291</v>
      </c>
      <c r="Q1266" s="60"/>
      <c r="R1266" s="36">
        <f t="shared" si="177"/>
        <v>1</v>
      </c>
      <c r="S1266" s="61">
        <v>24.0</v>
      </c>
      <c r="T1266" s="37">
        <f t="shared" si="178"/>
        <v>25</v>
      </c>
      <c r="U1266" s="62">
        <v>1.0</v>
      </c>
      <c r="V1266" s="63"/>
      <c r="W1266" s="63"/>
      <c r="X1266" s="83">
        <v>0.25</v>
      </c>
      <c r="Y1266" s="35">
        <f t="shared" si="179"/>
        <v>0</v>
      </c>
      <c r="Z1266" s="40">
        <f t="shared" si="180"/>
        <v>18.75</v>
      </c>
      <c r="AA1266" s="34">
        <f t="shared" si="181"/>
        <v>6.25</v>
      </c>
      <c r="AB1266" s="41">
        <f t="shared" si="182"/>
        <v>0</v>
      </c>
      <c r="AC1266" s="42" t="b">
        <v>1</v>
      </c>
      <c r="AD1266" s="66" t="s">
        <v>138</v>
      </c>
      <c r="AE1266" s="88" t="s">
        <v>138</v>
      </c>
      <c r="AF1266" s="42" t="str">
        <f t="array" ref="AF1266">INDEX('Deal Info'!D:D, MATCH(A1266,'Deal Info'!A:A, 0))</f>
        <v>DoEVold</v>
      </c>
      <c r="AG1266" s="43" t="str">
        <f t="array" ref="AG1266">INDEX('Deal Info'!G:G, MATCH(A1266,'Deal Info'!A:A, 0))</f>
        <v>None</v>
      </c>
    </row>
    <row r="1267" hidden="1">
      <c r="A1267" s="23" t="str">
        <f t="array" ref="A1267">if(G1267='Room Info'!$B$1, INDEX('Room Info'!$A$2:$A3446, MATCH(B1267,'Room Info'!$B$2:$B3446, 0)),if(G1267='Room Info'!$C$1, INDEX('Room Info'!$A$2:$A3446, MATCH(B1267,'Room Info'!$C$2:$C3446, 0)),if(G1267='Room Info'!$D$1, INDEX('Room Info'!$A$2:$A3446, MATCH(B1267,'Room Info'!$D$2:$D3446, 0)),if(G1267='Room Info'!$E$1, INDEX('Room Info'!$A$2:$A3446, MATCH(B1267,'Room Info'!$E$2:$E3446, 0)),if(G1267='Room Info'!$F$1, INDEX('Room Info'!$A$2:$A3446, MATCH(B1267,'Room Info'!$F$2:$F3446, 0)),if(G1267='Room Info'!$H$1, INDEX('Room Info'!$A$2:$A3446, MATCH(B1267,'Room Info'!$H$2:$H3446, 0)),if(G1267='Room Info'!$G$1, INDEX('Room Info'!$A$2:$A3446, MATCH(B1267,'Room Info'!$G$2:$G3446, 0)))))))))</f>
        <v>Sun_Set_pro8</v>
      </c>
      <c r="B1267" s="50" t="s">
        <v>154</v>
      </c>
      <c r="C1267" s="51">
        <v>44896.0</v>
      </c>
      <c r="D1267" s="51">
        <v>44915.0</v>
      </c>
      <c r="E1267" s="52">
        <v>44896.0</v>
      </c>
      <c r="F1267" s="53" t="s">
        <v>8</v>
      </c>
      <c r="G1267" s="50" t="s">
        <v>5</v>
      </c>
      <c r="H1267" s="54" t="s">
        <v>74</v>
      </c>
      <c r="I1267" s="54" t="s">
        <v>7</v>
      </c>
      <c r="J1267" s="55">
        <v>50.0</v>
      </c>
      <c r="K1267" s="56">
        <v>4.0</v>
      </c>
      <c r="L1267" s="57">
        <v>-50.0</v>
      </c>
      <c r="M1267" s="58">
        <v>4.0</v>
      </c>
      <c r="N1267" s="33">
        <f t="shared" si="155"/>
        <v>200</v>
      </c>
      <c r="O1267" s="59">
        <v>250.0</v>
      </c>
      <c r="P1267" s="34">
        <f t="shared" si="14"/>
        <v>62.5</v>
      </c>
      <c r="Q1267" s="60"/>
      <c r="R1267" s="36">
        <f t="shared" si="177"/>
        <v>4</v>
      </c>
      <c r="S1267" s="61">
        <v>10.0</v>
      </c>
      <c r="T1267" s="37">
        <f t="shared" si="178"/>
        <v>14</v>
      </c>
      <c r="U1267" s="62">
        <v>1.0</v>
      </c>
      <c r="V1267" s="63"/>
      <c r="W1267" s="63"/>
      <c r="X1267" s="83">
        <v>0.25</v>
      </c>
      <c r="Y1267" s="35">
        <f t="shared" si="179"/>
        <v>0</v>
      </c>
      <c r="Z1267" s="40">
        <f t="shared" si="180"/>
        <v>10.5</v>
      </c>
      <c r="AA1267" s="34">
        <f t="shared" si="181"/>
        <v>3.5</v>
      </c>
      <c r="AB1267" s="41">
        <f t="shared" si="182"/>
        <v>0</v>
      </c>
      <c r="AC1267" s="42" t="b">
        <v>1</v>
      </c>
      <c r="AD1267" s="66" t="s">
        <v>138</v>
      </c>
      <c r="AE1267" s="88" t="s">
        <v>138</v>
      </c>
      <c r="AF1267" s="42" t="str">
        <f t="array" ref="AF1267">INDEX('Deal Info'!D:D, MATCH(A1267,'Deal Info'!A:A, 0))</f>
        <v>DoEVold</v>
      </c>
      <c r="AG1267" s="43" t="str">
        <f t="array" ref="AG1267">INDEX('Deal Info'!G:G, MATCH(A1267,'Deal Info'!A:A, 0))</f>
        <v>None</v>
      </c>
    </row>
    <row r="1268" hidden="1">
      <c r="A1268" s="23" t="str">
        <f t="array" ref="A1268">if(G1268='Room Info'!$B$1, INDEX('Room Info'!$A$2:$A3446, MATCH(B1268,'Room Info'!$B$2:$B3446, 0)),if(G1268='Room Info'!$C$1, INDEX('Room Info'!$A$2:$A3446, MATCH(B1268,'Room Info'!$C$2:$C3446, 0)),if(G1268='Room Info'!$D$1, INDEX('Room Info'!$A$2:$A3446, MATCH(B1268,'Room Info'!$D$2:$D3446, 0)),if(G1268='Room Info'!$E$1, INDEX('Room Info'!$A$2:$A3446, MATCH(B1268,'Room Info'!$E$2:$E3446, 0)),if(G1268='Room Info'!$F$1, INDEX('Room Info'!$A$2:$A3446, MATCH(B1268,'Room Info'!$F$2:$F3446, 0)),if(G1268='Room Info'!$H$1, INDEX('Room Info'!$A$2:$A3446, MATCH(B1268,'Room Info'!$H$2:$H3446, 0)),if(G1268='Room Info'!$G$1, INDEX('Room Info'!$A$2:$A3446, MATCH(B1268,'Room Info'!$G$2:$G3446, 0)))))))))</f>
        <v>Sun_Set_pro8</v>
      </c>
      <c r="B1268" s="50" t="s">
        <v>154</v>
      </c>
      <c r="C1268" s="51">
        <v>44896.0</v>
      </c>
      <c r="D1268" s="51">
        <v>44915.0</v>
      </c>
      <c r="E1268" s="52">
        <v>44896.0</v>
      </c>
      <c r="F1268" s="53" t="s">
        <v>12</v>
      </c>
      <c r="G1268" s="50" t="s">
        <v>5</v>
      </c>
      <c r="H1268" s="54" t="s">
        <v>48</v>
      </c>
      <c r="I1268" s="54" t="s">
        <v>11</v>
      </c>
      <c r="J1268" s="55">
        <v>10.0</v>
      </c>
      <c r="K1268" s="56">
        <v>41.0</v>
      </c>
      <c r="L1268" s="57">
        <v>0.0</v>
      </c>
      <c r="M1268" s="58">
        <v>8.0</v>
      </c>
      <c r="N1268" s="33">
        <f t="shared" si="155"/>
        <v>410</v>
      </c>
      <c r="O1268" s="70"/>
      <c r="P1268" s="34">
        <f t="shared" si="14"/>
        <v>0</v>
      </c>
      <c r="Q1268" s="60"/>
      <c r="R1268" s="36">
        <f t="shared" si="177"/>
        <v>8</v>
      </c>
      <c r="S1268" s="71"/>
      <c r="T1268" s="37">
        <f t="shared" si="178"/>
        <v>8</v>
      </c>
      <c r="U1268" s="62">
        <v>1.0</v>
      </c>
      <c r="V1268" s="63"/>
      <c r="W1268" s="63"/>
      <c r="X1268" s="83">
        <v>0.25</v>
      </c>
      <c r="Y1268" s="35">
        <f t="shared" si="179"/>
        <v>0</v>
      </c>
      <c r="Z1268" s="40">
        <f t="shared" si="180"/>
        <v>6</v>
      </c>
      <c r="AA1268" s="34">
        <f t="shared" si="181"/>
        <v>2</v>
      </c>
      <c r="AB1268" s="41">
        <f t="shared" si="182"/>
        <v>0</v>
      </c>
      <c r="AC1268" s="42" t="b">
        <v>1</v>
      </c>
      <c r="AD1268" s="66" t="s">
        <v>138</v>
      </c>
      <c r="AE1268" s="88" t="s">
        <v>138</v>
      </c>
      <c r="AF1268" s="42" t="str">
        <f t="array" ref="AF1268">INDEX('Deal Info'!D:D, MATCH(A1268,'Deal Info'!A:A, 0))</f>
        <v>DoEVold</v>
      </c>
      <c r="AG1268" s="43" t="str">
        <f t="array" ref="AG1268">INDEX('Deal Info'!G:G, MATCH(A1268,'Deal Info'!A:A, 0))</f>
        <v>None</v>
      </c>
    </row>
    <row r="1269" hidden="1">
      <c r="A1269" s="23" t="str">
        <f t="array" ref="A1269">if(G1269='Room Info'!$B$1, INDEX('Room Info'!$A$2:$A3446, MATCH(B1269,'Room Info'!$B$2:$B3446, 0)),if(G1269='Room Info'!$C$1, INDEX('Room Info'!$A$2:$A3446, MATCH(B1269,'Room Info'!$C$2:$C3446, 0)),if(G1269='Room Info'!$D$1, INDEX('Room Info'!$A$2:$A3446, MATCH(B1269,'Room Info'!$D$2:$D3446, 0)),if(G1269='Room Info'!$E$1, INDEX('Room Info'!$A$2:$A3446, MATCH(B1269,'Room Info'!$E$2:$E3446, 0)),if(G1269='Room Info'!$F$1, INDEX('Room Info'!$A$2:$A3446, MATCH(B1269,'Room Info'!$F$2:$F3446, 0)),if(G1269='Room Info'!$H$1, INDEX('Room Info'!$A$2:$A3446, MATCH(B1269,'Room Info'!$H$2:$H3446, 0)),if(G1269='Room Info'!$G$1, INDEX('Room Info'!$A$2:$A3446, MATCH(B1269,'Room Info'!$G$2:$G3446, 0)))))))))</f>
        <v>Sun_Set_pro8</v>
      </c>
      <c r="B1269" s="50" t="s">
        <v>154</v>
      </c>
      <c r="C1269" s="51">
        <v>44916.0</v>
      </c>
      <c r="D1269" s="51">
        <v>44957.0</v>
      </c>
      <c r="E1269" s="52">
        <v>44927.0</v>
      </c>
      <c r="F1269" s="53" t="s">
        <v>8</v>
      </c>
      <c r="G1269" s="50" t="s">
        <v>5</v>
      </c>
      <c r="H1269" s="54" t="s">
        <v>75</v>
      </c>
      <c r="I1269" s="54" t="s">
        <v>11</v>
      </c>
      <c r="J1269" s="55">
        <v>50.0</v>
      </c>
      <c r="K1269" s="56">
        <v>4854.0</v>
      </c>
      <c r="L1269" s="57">
        <v>-20650.0</v>
      </c>
      <c r="M1269" s="58">
        <v>15252.0</v>
      </c>
      <c r="N1269" s="33">
        <f t="shared" si="155"/>
        <v>242700</v>
      </c>
      <c r="O1269" s="59">
        <v>49779.0</v>
      </c>
      <c r="P1269" s="34">
        <f t="shared" si="14"/>
        <v>10.2552534</v>
      </c>
      <c r="Q1269" s="60"/>
      <c r="R1269" s="36">
        <f t="shared" si="177"/>
        <v>15252</v>
      </c>
      <c r="S1269" s="61">
        <v>-7405.0</v>
      </c>
      <c r="T1269" s="37">
        <f t="shared" si="178"/>
        <v>7847</v>
      </c>
      <c r="U1269" s="62">
        <v>1.0</v>
      </c>
      <c r="V1269" s="63"/>
      <c r="W1269" s="63"/>
      <c r="X1269" s="83">
        <v>0.25</v>
      </c>
      <c r="Y1269" s="35">
        <f t="shared" si="179"/>
        <v>0</v>
      </c>
      <c r="Z1269" s="40">
        <f t="shared" si="180"/>
        <v>5885.25</v>
      </c>
      <c r="AA1269" s="34">
        <f t="shared" si="181"/>
        <v>1961.75</v>
      </c>
      <c r="AB1269" s="41">
        <f t="shared" si="182"/>
        <v>0</v>
      </c>
      <c r="AC1269" s="42" t="b">
        <v>1</v>
      </c>
      <c r="AD1269" s="66" t="s">
        <v>138</v>
      </c>
      <c r="AE1269" s="88" t="s">
        <v>138</v>
      </c>
      <c r="AF1269" s="42" t="str">
        <f t="array" ref="AF1269">INDEX('Deal Info'!D:D, MATCH(A1269,'Deal Info'!A:A, 0))</f>
        <v>DoEVold</v>
      </c>
      <c r="AG1269" s="43" t="str">
        <f t="array" ref="AG1269">INDEX('Deal Info'!G:G, MATCH(A1269,'Deal Info'!A:A, 0))</f>
        <v>None</v>
      </c>
    </row>
    <row r="1270" hidden="1">
      <c r="A1270" s="23" t="str">
        <f t="array" ref="A1270">if(G1270='Room Info'!$B$1, INDEX('Room Info'!$A$2:$A3446, MATCH(B1270,'Room Info'!$B$2:$B3446, 0)),if(G1270='Room Info'!$C$1, INDEX('Room Info'!$A$2:$A3446, MATCH(B1270,'Room Info'!$C$2:$C3446, 0)),if(G1270='Room Info'!$D$1, INDEX('Room Info'!$A$2:$A3446, MATCH(B1270,'Room Info'!$D$2:$D3446, 0)),if(G1270='Room Info'!$E$1, INDEX('Room Info'!$A$2:$A3446, MATCH(B1270,'Room Info'!$E$2:$E3446, 0)),if(G1270='Room Info'!$F$1, INDEX('Room Info'!$A$2:$A3446, MATCH(B1270,'Room Info'!$F$2:$F3446, 0)),if(G1270='Room Info'!$H$1, INDEX('Room Info'!$A$2:$A3446, MATCH(B1270,'Room Info'!$H$2:$H3446, 0)),if(G1270='Room Info'!$G$1, INDEX('Room Info'!$A$2:$A3446, MATCH(B1270,'Room Info'!$G$2:$G3446, 0)))))))))</f>
        <v>Sun_Set_pro8</v>
      </c>
      <c r="B1270" s="50" t="s">
        <v>154</v>
      </c>
      <c r="C1270" s="51">
        <v>44916.0</v>
      </c>
      <c r="D1270" s="51">
        <v>44957.0</v>
      </c>
      <c r="E1270" s="52">
        <v>44927.0</v>
      </c>
      <c r="F1270" s="50" t="s">
        <v>8</v>
      </c>
      <c r="G1270" s="59" t="s">
        <v>5</v>
      </c>
      <c r="H1270" s="54" t="s">
        <v>63</v>
      </c>
      <c r="I1270" s="54" t="s">
        <v>11</v>
      </c>
      <c r="J1270" s="55">
        <v>25.0</v>
      </c>
      <c r="K1270" s="56">
        <v>1095.0</v>
      </c>
      <c r="L1270" s="57">
        <v>-1300.0</v>
      </c>
      <c r="M1270" s="58">
        <v>1720.0</v>
      </c>
      <c r="N1270" s="33">
        <f t="shared" si="155"/>
        <v>27375</v>
      </c>
      <c r="O1270" s="59">
        <v>7349.0</v>
      </c>
      <c r="P1270" s="34">
        <f t="shared" si="14"/>
        <v>6.711415525</v>
      </c>
      <c r="Q1270" s="60"/>
      <c r="R1270" s="36">
        <f t="shared" si="177"/>
        <v>1720</v>
      </c>
      <c r="S1270" s="61">
        <v>-1135.0</v>
      </c>
      <c r="T1270" s="37">
        <f t="shared" si="178"/>
        <v>585</v>
      </c>
      <c r="U1270" s="62">
        <v>1.0</v>
      </c>
      <c r="V1270" s="63"/>
      <c r="W1270" s="63"/>
      <c r="X1270" s="83">
        <v>0.25</v>
      </c>
      <c r="Y1270" s="35">
        <f t="shared" si="179"/>
        <v>0</v>
      </c>
      <c r="Z1270" s="40">
        <f t="shared" si="180"/>
        <v>438.75</v>
      </c>
      <c r="AA1270" s="34">
        <f t="shared" si="181"/>
        <v>146.25</v>
      </c>
      <c r="AB1270" s="41">
        <f t="shared" si="182"/>
        <v>0</v>
      </c>
      <c r="AC1270" s="42" t="b">
        <v>1</v>
      </c>
      <c r="AD1270" s="66" t="s">
        <v>138</v>
      </c>
      <c r="AE1270" s="88" t="s">
        <v>138</v>
      </c>
      <c r="AF1270" s="42" t="str">
        <f t="array" ref="AF1270">INDEX('Deal Info'!D:D, MATCH(A1270,'Deal Info'!A:A, 0))</f>
        <v>DoEVold</v>
      </c>
      <c r="AG1270" s="43" t="str">
        <f t="array" ref="AG1270">INDEX('Deal Info'!G:G, MATCH(A1270,'Deal Info'!A:A, 0))</f>
        <v>None</v>
      </c>
    </row>
    <row r="1271" hidden="1">
      <c r="A1271" s="23" t="str">
        <f t="array" ref="A1271">if(G1271='Room Info'!$B$1, INDEX('Room Info'!$A$2:$A3446, MATCH(B1271,'Room Info'!$B$2:$B3446, 0)),if(G1271='Room Info'!$C$1, INDEX('Room Info'!$A$2:$A3446, MATCH(B1271,'Room Info'!$C$2:$C3446, 0)),if(G1271='Room Info'!$D$1, INDEX('Room Info'!$A$2:$A3446, MATCH(B1271,'Room Info'!$D$2:$D3446, 0)),if(G1271='Room Info'!$E$1, INDEX('Room Info'!$A$2:$A3446, MATCH(B1271,'Room Info'!$E$2:$E3446, 0)),if(G1271='Room Info'!$F$1, INDEX('Room Info'!$A$2:$A3446, MATCH(B1271,'Room Info'!$F$2:$F3446, 0)),if(G1271='Room Info'!$H$1, INDEX('Room Info'!$A$2:$A3446, MATCH(B1271,'Room Info'!$H$2:$H3446, 0)),if(G1271='Room Info'!$G$1, INDEX('Room Info'!$A$2:$A3446, MATCH(B1271,'Room Info'!$G$2:$G3446, 0)))))))))</f>
        <v>Sun_Set_pro8</v>
      </c>
      <c r="B1271" s="50" t="s">
        <v>154</v>
      </c>
      <c r="C1271" s="51">
        <v>44916.0</v>
      </c>
      <c r="D1271" s="51">
        <v>44957.0</v>
      </c>
      <c r="E1271" s="52">
        <v>44927.0</v>
      </c>
      <c r="F1271" s="50" t="s">
        <v>8</v>
      </c>
      <c r="G1271" s="59" t="s">
        <v>5</v>
      </c>
      <c r="H1271" s="54" t="s">
        <v>74</v>
      </c>
      <c r="I1271" s="54" t="s">
        <v>7</v>
      </c>
      <c r="J1271" s="55">
        <v>50.0</v>
      </c>
      <c r="K1271" s="56">
        <v>1.0</v>
      </c>
      <c r="L1271" s="57">
        <v>50.0</v>
      </c>
      <c r="M1271" s="58">
        <v>3.0</v>
      </c>
      <c r="N1271" s="33">
        <f t="shared" si="155"/>
        <v>50</v>
      </c>
      <c r="O1271" s="59">
        <v>156.0</v>
      </c>
      <c r="P1271" s="34">
        <f t="shared" si="14"/>
        <v>156</v>
      </c>
      <c r="Q1271" s="60"/>
      <c r="R1271" s="36">
        <f t="shared" si="177"/>
        <v>3</v>
      </c>
      <c r="S1271" s="61">
        <v>11.0</v>
      </c>
      <c r="T1271" s="37">
        <f t="shared" si="178"/>
        <v>14</v>
      </c>
      <c r="U1271" s="62">
        <v>1.0</v>
      </c>
      <c r="V1271" s="63"/>
      <c r="W1271" s="63"/>
      <c r="X1271" s="83">
        <v>0.25</v>
      </c>
      <c r="Y1271" s="35">
        <f t="shared" si="179"/>
        <v>0</v>
      </c>
      <c r="Z1271" s="40">
        <f t="shared" si="180"/>
        <v>10.5</v>
      </c>
      <c r="AA1271" s="34">
        <f t="shared" si="181"/>
        <v>3.5</v>
      </c>
      <c r="AB1271" s="41">
        <f t="shared" si="182"/>
        <v>0</v>
      </c>
      <c r="AC1271" s="42" t="b">
        <v>1</v>
      </c>
      <c r="AD1271" s="66" t="s">
        <v>138</v>
      </c>
      <c r="AE1271" s="88" t="s">
        <v>138</v>
      </c>
      <c r="AF1271" s="42" t="str">
        <f t="array" ref="AF1271">INDEX('Deal Info'!D:D, MATCH(A1271,'Deal Info'!A:A, 0))</f>
        <v>DoEVold</v>
      </c>
      <c r="AG1271" s="43" t="str">
        <f t="array" ref="AG1271">INDEX('Deal Info'!G:G, MATCH(A1271,'Deal Info'!A:A, 0))</f>
        <v>None</v>
      </c>
    </row>
    <row r="1272" hidden="1">
      <c r="A1272" s="23" t="str">
        <f t="array" ref="A1272">if(G1272='Room Info'!$B$1, INDEX('Room Info'!$A$2:$A3446, MATCH(B1272,'Room Info'!$B$2:$B3446, 0)),if(G1272='Room Info'!$C$1, INDEX('Room Info'!$A$2:$A3446, MATCH(B1272,'Room Info'!$C$2:$C3446, 0)),if(G1272='Room Info'!$D$1, INDEX('Room Info'!$A$2:$A3446, MATCH(B1272,'Room Info'!$D$2:$D3446, 0)),if(G1272='Room Info'!$E$1, INDEX('Room Info'!$A$2:$A3446, MATCH(B1272,'Room Info'!$E$2:$E3446, 0)),if(G1272='Room Info'!$F$1, INDEX('Room Info'!$A$2:$A3446, MATCH(B1272,'Room Info'!$F$2:$F3446, 0)),if(G1272='Room Info'!$H$1, INDEX('Room Info'!$A$2:$A3446, MATCH(B1272,'Room Info'!$H$2:$H3446, 0)),if(G1272='Room Info'!$G$1, INDEX('Room Info'!$A$2:$A3446, MATCH(B1272,'Room Info'!$G$2:$G3446, 0)))))))))</f>
        <v>eternity1</v>
      </c>
      <c r="B1272" s="23" t="s">
        <v>200</v>
      </c>
      <c r="C1272" s="91">
        <v>44947.0</v>
      </c>
      <c r="D1272" s="92">
        <v>44977.0</v>
      </c>
      <c r="E1272" s="26">
        <v>44958.0</v>
      </c>
      <c r="F1272" s="27" t="s">
        <v>4</v>
      </c>
      <c r="G1272" s="23" t="s">
        <v>9</v>
      </c>
      <c r="H1272" s="28" t="s">
        <v>58</v>
      </c>
      <c r="I1272" s="28" t="s">
        <v>21</v>
      </c>
      <c r="J1272" s="44">
        <f>iferror(if(H1272="$0.25",0.25, 
if(H1272="$0.25 Flash",0.25, 
if(H1272 = "$1", 1, 
if(H1272 = "$1 Flash", 1, 
if(H1272 = "$2", 2, 
if( H1272 = "$2 Flash" , 2, 
if( H1272= "$3", 3, 
if( H1272= "$3 Ultra", 3, 
if( H1272= "$5", 5, 
if( H1272= "$5 (1M)", 5, 
if( H1272= "$5 (1M) Flash", 5, 
if( H1272= "$5 Flash", 5, 
if( H1272= "$5 Flash (1M)", 5,
if( H1272= "$10", 10,
if( H1272= "$10 (1M)", 10,
if( H1272= "$10 (1M) (old)", 10,
if( H1272= "$10 Flash", 10,
if( H1272= "$10 Ultra", 10,
if( H1272= "$20", 20,
if( H1272= "$20 Ultra", 20,
if( H1272= "$25", 25,
if( H1272= "$25 Flash", 25,
if( H1272= "$50", 50,
if( H1272= "$50 Flash", 50,
if( H1272= "$50 Ultra", 50,
if( H1272= "$100", 100,
if( H1272= "$100 Flash", 100,
if( H1272= "$100 HUHT", 100,
if( H1272= "$100 Ultra", 100,
if( H1272= "$200", 200,
if( H1272= "$200 HUHT", 200,
if( H1272= "$250", 250,
if( H1272= "$250 Flash", 250,
if( H1272= "$300 HUHT", 300,
if( H1272= "$500", 500,
if( H1272= "$500 Flash", 500,
if( H1272 = "$500 HUHT",500,
if( H1272= "$1000", 1000,
if( H1272= "€0.25 Flash", 0.25,
if( H1272="€0.25(nitro) new",0.25,
if( H1272= "€1", 1,
if( H1272= "€2", 2,
if( H1272= "€5", 5,
if( H1272= "€5 (1M)", 5,
if( H1272= "€5 (bf 01.08)", 5,
if( H1272= "€5 (bf 05.05)", 5,
if( H1272= "€5 Nitro", 5,
if( H1272= "€5(wx) new", 5,
if( H1272= "€10", 10,
if( H1272= "€10 (1M)", 10,
if( H1272= "€10 (bf 01.08)", 10,
if( H1272= "€10 (bf 05.05)", 10,
if( H1272= "€10 (MP)", 10,
if( H1272= "€10 (old)", 10,
if( H1272= "€10 Nitro (bf 05.05)", 10,
if( H1272= "€10 Nitro (old)", 10,
if( H1272= "€10(wx) new", 10,
if( H1272= "€20", 20,
if( H1272= "€25", 25, 
if( H1272= "€25 (bf 01.08)", 25, 
if( H1272= "€25 (bf 05.05)", 25, 
if( H1272= "€25 (MP)", 25, 
if( H1272= "€25 (old)", 25,
if( H1272= "€25 Nitro", 25,
if( H1272= "€25 Nitro (bf 01.08)", 25,
if( H1272= "€25 Nitro (bf 05.05)", 25,
if( H1272= "€25(nitro) new", 25,
if( H1272= "€25(wx) new", 25,
if( H1272= "€50", 50,
if( H1272= "€50 (bf 01.08)", 50,
if( H1272= "€50 (bf 05.05)", 50,
if( H1272= "€50 (old)", 50,
if( H1272= "€50 Nitro", 50,
if( H1272= "€50 Nitro (bf 01.08)", 50,
if( H1272= "€50 Nitro (bf 05.05)", 50,
if( H1272= "€50(wx) new", 50,
if( H1272= "€100", 100,
if( H1272= "€100 (old)", 100,
if( H1272= "€100 Nitro", 100,
if( H1272= "€100 Nitro (old)", 100,
if( H1272= "€200", 200,
if( H1272= "€250", 250,
if( H1272= "€250 Nitro", 250,
if( H1272= "€500", 500,
if( H1272= "€500 Nitro", 500,
if( H1272= "1000 rub", 1000,
if( H1272= "2500 rub", 2500,
if( H1272= "5000 rub", 5000,"")))))))))))))))))))))))))))))))))))))))))))))))))))))))))))))))))))))))))))))))))))))))))</f>
        <v>10</v>
      </c>
      <c r="K1272" s="93">
        <v>4489.0</v>
      </c>
      <c r="L1272" s="94">
        <v>1430.0</v>
      </c>
      <c r="M1272" s="47">
        <v>1427.0</v>
      </c>
      <c r="N1272" s="33">
        <f t="shared" si="155"/>
        <v>44890</v>
      </c>
      <c r="O1272" s="90">
        <v>197516.0</v>
      </c>
      <c r="P1272" s="34">
        <f t="shared" si="14"/>
        <v>44</v>
      </c>
      <c r="Q1272" s="35"/>
      <c r="R1272" s="36">
        <f t="shared" si="177"/>
        <v>1427</v>
      </c>
      <c r="S1272" s="123">
        <v>-237.0</v>
      </c>
      <c r="T1272" s="37">
        <f t="shared" ref="T1272:T1273" si="183">IF(AND(AD1272="EUR", F1272="Without EV deal"), R1272 + L1272, 
IF(AND(AD1272="USD", F1272="Without EV deal"), R1272 + L1272, 
IF(AND(AD1272="EUR", F1272="Steel Phoenix"), R1272 + S1272/U1272, 
R1272 + S1272)))</f>
        <v>1204.881912</v>
      </c>
      <c r="U1272" s="38">
        <v>1.067</v>
      </c>
      <c r="V1272" s="63">
        <v>13.0</v>
      </c>
      <c r="W1272" s="63">
        <v>38.0</v>
      </c>
      <c r="X1272" s="35">
        <f t="shared" ref="X1272:X1273" si="184">IF(AF1272="DoEV",IF(AND(V1272&lt;20,W1272&lt;55),0.3,0)+IF(AND(V1272&lt;20,W1272&gt;=55,W1272&lt;105),0.23,0)+IF(AND(V1272&lt;20,W1272&gt;=105),0.17,0)+IF(AND(V1272&gt;=20,V1272&lt;40,W1272&lt;45),0.3,0)+IF(AND(V1272&gt;=20,V1272&lt;40,W1272&gt;=45,W1272&lt;95),0.23,0)+IF(AND(V1272&gt;=20,V1272&lt;40,W1272&gt;=95),0.17,0)+IF(AND(V1272&gt;=40,V1272&lt;75,W1272&lt;35),0.3,0)+IF(AND(V1272&gt;=40,V1272&lt;75,W1272&gt;=35,W1272&lt;75),0.23,0)+IF(AND(V1272&gt;=40,V1272&lt;75,W1272&gt;=75,W1272&lt;120),0.17,0)+IF(AND(V1272&gt;=40,V1272&lt;75,W1272&gt;=120),0.12,0)+IF(AND(V1272&gt;=75,V1272&lt;175,W1272&lt;35),0.3,0)+IF(AND(V1272&gt;=75,V1272&lt;=175,W1272&gt;=35,W1272&lt;65),0.23,0)+IF(AND(V1272&gt;=75,V1272&lt;=175,W1272&gt;=65,W1272&lt;110),0.17,0)+IF(AND(V1272&gt;=75,V1272&lt;=175,W1272&gt;=110),0.12,0)+IF(AND(V1272&gt;175,W1272&lt;25),0.3,0)+IF(AND(V1272&gt;175,W1272&gt;=25,W1272&lt;55),0.23,0)+IF(AND(V1272&gt;175,W1272&gt;=55,W1272&lt;95),0.17,0)+IF(AND(V1272&gt;175,W1272&gt;=95),0.12,0),
IF(AF1272="Fix15",0.15,
IF(AF1272="Fix5",0.05,
if(AF1272="Fix18.75",0.1875,
IF(AF1272="Fix11.25",0.1125,
IF(AF1272="Fix10",0.1,
IF(AF1272="Fix9",0.09,
IF(AF1272="Fix12",0.12,
IF(AF1272="Fix19",0.19,
IF(AF1272="DoEV2017",IF(AND(W1272&lt;74),0.2,0)+IF(AND(W1272&gt;=74),0.17,0),
IF(AF1272="SF",IF(AND(V1272&lt;20,W1272&lt;89),0.3,0)+IF(AND(V1272&lt;20,W1272&gt;=89),0.25,0)+IF(AND(V1272&gt;=20,V1272&lt;40,W1272&lt;74),0.3,0)+IF(AND(V1272&gt;=20,V1272&lt;40,W1272&gt;=75),0.22,0)+IF(AND(V1272&gt;=40,V1272&lt;75,W1272&lt;75),0.26,0)+IF(AND(V1272&gt;=40,V1272&lt;75,W1272&gt;=75),0.22,0)+IF(V1272&gt;=75,0.22,0),
IF(AF1272="DoEVold",IF(AND(V1272&lt;40,W1272&lt;35),0.35,0)+IF(AND(V1272&lt;40,W1272&gt;=35,W1272&lt;75),0.25,0)+IF(AND(V1272&lt;40,W1272&gt;=75),0.17,0)+IF(AND(V1272&gt;=40,V1272&lt;75,W1272&lt;25),0.35,0)+IF(AND(V1272&gt;=40,V1272&lt;75,W1272&gt;=25,W1272&lt;65),0.25,0)+IF(AND(V1272&gt;=40,V1272&lt;75,W1272&gt;=65,W1272&lt;100),0.17,0)+IF(AND(V1272&gt;=40,V1272&lt;75,W1272&gt;=100),0.1,0)+IF(AND(V1272&gt;=75,W1272&lt;25),0.35,0)+IF(AND(V1272&gt;=75,W1272&gt;=25,W1272&lt;60),0.25,0)+IF(AND(V1272&gt;=75,W1272&gt;=60,W1272&lt;95),0.17,0)+IF(AND(V1272&gt;=75,W1272&gt;=95),0.1,0),
IF(AF1272="DoEVold15",IF(AND(V1272&lt;=40,W1272&lt;35),0.35,0)+IF(AND(V1272&lt;=40,W1272&gt;=35,W1272&lt;75),0.25,0)+IF(AND(V1272&lt;=40,W1272&gt;=75,W1272&lt;120),0.17,0)+IF(AND(V1272&lt;=40,W1272&gt;=120),0.15,0)+IF(AND(V1272&gt;40,V1272&lt;75,W1272&lt;25),0.35,0)+IF(AND(V1272&gt;=40,V1272&lt;75,W1272&gt;=25,W1272&lt;65),0.25,0)+IF(AND(V1272&gt;=40,V1272&lt;75,W1272&gt;=65,W1272&lt;100),0.17,0)+IF(AND(V1272&gt;=40,V1272&lt;75,W1272&gt;=100),0.1,0)+IF(AND(V1272&gt;=75,W1272&lt;25),0.35,0)+IF(AND(V1272&gt;=75,W1272&gt;=25,W1272&lt;60),0.25,0)+IF(AND(V1272&gt;=75,W1272&gt;=60,W1272&lt;95),0.17,0)+IF(AND(V1272&gt;=75,W1272&gt;=95),0.1,0),
IF(AF1272="DoEVba",IF(AND(V1272&lt;20,W1272&lt;105),0.2,0)+IF(AND(V1272&lt;20,W1272&gt;=105),0.15,0)+IF(AND(V1272&gt;=20,V1272&lt;40,W1272&lt;95),0.2,0)+IF(AND(V1272&gt;=20,V1272&lt;40,W1272&gt;=95,W1272&lt;150),0.15,0)+IF(AND(V1272&gt;=20,V1272&lt;40,W1272&gt;=150),0.12,0)+IF(AND(V1272&gt;=40,V1272&lt;75,W1272&lt;75),0.2,0)+IF(AND(V1272&gt;=40,V1272&lt;75,W1272&gt;=75,W1272&lt;120),0.15,0)+IF(AND(V1272&gt;=40,V1272&lt;75,W1272&gt;=120),0.12,0)+IF(AND(V1272&gt;=75,V1272&lt;175,W1272&lt;65),0.2,0)+IF(AND(V1272&gt;=75,V1272&lt;175,W1272&gt;=65,W1272&lt;110),0.15,0)+IF(AND(V1272&gt;=75,V1272&lt;175,W1272&gt;=110),0.12,0)+IF(AND(V1272&gt;=175,W1272&lt;55),0.2,0)+IF(AND(V1272&gt;=175,W1272&gt;=55,W1272&lt;95),0.15,0)+IF(AND(V1272&gt;=175,W1272&gt;=95),0.12,0),
IF(AF1272="DoEVku",IF(AND(V1272&lt;20,W1272&lt;55),0.23,0)+IF(AND(V1272&lt;20,W1272&gt;=55,W1272&lt;105),0.2,0)+IF(AND(V1272&lt;20,W1272&gt;=105),0.17,0)+IF(AND(V1272&gt;=20,V1272&lt;40,W1272&lt;45),0.23,0)+IF(AND(V1272&gt;=20,V1272&lt;40,W1272&gt;=45,W1272&lt;95),0.2,0)+IF(AND(V1272&gt;=20,V1272&lt;40,W1272&gt;=95,W1272&lt;=150),0.17,0)+IF(AND(V1272&gt;=20,V1272&lt;40,W1272&gt;=150),0.12,0)+IF(AND(V1272&gt;=40,V1272&lt;75,W1272&lt;35),0.23,0)+IF(AND(V1272&gt;=40,V1272&lt;75,W1272&gt;=35,W1272&lt;75),0.2,0)+IF(AND(V1272&gt;=40,V1272&lt;75,W1272&gt;=75,W1272&lt;120),0.17,0)+IF(AND(V1272&gt;=40,V1272&lt;75,W1272&gt;=120),0.12,0)+IF(AND(V1272&gt;=75,V1272&lt;175,W1272&lt;35),0.23,0)+IF(AND(V1272&gt;=75,V1272&lt;=175,W1272&gt;=35,W1272&lt;65),0.2,0)+IF(AND(V1272&gt;=75,V1272&lt;=175,W1272&gt;=65,W1272&lt;110),0.17,0)+IF(AND(V1272&gt;=75,V1272&lt;=175,W1272&gt;=110),0.12,0)+IF(AND(V1272&gt;175,W1272&lt;25),0.23,0)+IF(AND(V1272&gt;175,W1272&gt;=25,W1272&lt;55),0.2,0)+IF(AND(V1272&gt;175,W1272&gt;=55,W1272&lt;95),0.17,0)+IF(AND(V1272&gt;175,W1272&gt;=95),0.12,0),
IF(AF1272="DoEVs1",IF(AND(V1272&lt;20,W1272&lt;55),0.3,0)+IF(AND(V1272&lt;20,W1272&gt;=55,W1272&lt;105),0.23,0)+IF(AND(V1272&lt;20,W1272&gt;=105),0.17,0)+IF(AND(V1272&gt;=20,V1272&lt;40,W1272&lt;45),0.3,0)+IF(AND(V1272&gt;=20,V1272&lt;40,W1272&gt;=45,W1272&lt;95),0.23,0)+IF(AND(V1272&gt;=20,V1272&lt;40,W1272&gt;=95,W1272&lt;=150),0.17,0)+IF(AND(V1272&gt;=20,V1272&lt;40,W1272&gt;=150),0.12,0)+IF(AND(V1272&gt;=40,V1272&lt;75,W1272&lt;35),0.3,0)+IF(AND(V1272&gt;=40,V1272&lt;75,W1272&gt;=35,W1272&lt;75),0.23,0)+IF(AND(V1272&gt;=40,V1272&lt;75,W1272&gt;=75,W1272&lt;120),0.17,0)+IF(AND(V1272&gt;=40,V1272&lt;75,W1272&gt;=120),0.12,0)+IF(AND(V1272&gt;=75,V1272&lt;175,W1272&lt;35),0.3,0)+IF(AND(V1272&gt;=75,V1272&lt;=175,W1272&gt;=35,W1272&lt;65),0.23,0)+IF(AND(V1272&gt;=75,V1272&lt;=175,W1272&gt;=65,W1272&lt;110),0.17,0)+IF(AND(V1272&gt;=75,V1272&lt;=175,W1272&gt;=110),0.12,0)+IF(AND(V1272&gt;175,W1272&lt;25),0.3,0)+IF(AND(V1272&gt;175,W1272&gt;=25,W1272&lt;55),0.23,0)+IF(AND(V1272&gt;175,W1272&gt;=55,W1272&lt;95),0.17,0)+IF(AND(V1272&gt;175,W1272&gt;=95),0.12,0),
IF(AF1272="DoEVsu",IF(AND(V1272&lt;20,W1272&lt;55),0.3,0)+IF(AND(V1272&lt;20,W1272&gt;=55,W1272&lt;105),0.23,0)+IF(AND(V1272&lt;20,W1272&gt;=105),0.17,0)+IF(AND(V1272&gt;=20,V1272&lt;40,W1272&lt;45),0.3,0)+IF(AND(V1272&gt;=20,V1272&lt;40,W1272&gt;=45,W1272&lt;95),0.23,0)+IF(AND(V1272&gt;=20,V1272&lt;40,W1272&gt;=95,W1272&lt;=250),0.17,0)+IF(AND(V1272&gt;=20,V1272&lt;40,W1272&gt;=250),0.12,0)+IF(AND(V1272&gt;=40,V1272&lt;75,W1272&lt;35),0.3,0)+IF(AND(V1272&gt;=40,V1272&lt;75,W1272&gt;=35,W1272&lt;75),0.23,0)+IF(AND(V1272&gt;=40,V1272&lt;75,W1272&gt;=75,W1272&lt;120),0.17,0)+IF(AND(V1272&gt;=40,V1272&lt;75,W1272&gt;=120),0.12,0)+IF(AND(V1272&gt;=75,V1272&lt;175,W1272&lt;35),0.3,0)+IF(AND(V1272&gt;=75,V1272&lt;=175,W1272&gt;=35,W1272&lt;65),0.23,0)+IF(AND(V1272&gt;=75,V1272&lt;=175,W1272&gt;=65,W1272&lt;110),0.17,0)+IF(AND(V1272&gt;=75,V1272&lt;=175,W1272&gt;=110),0.12,0)+IF(AND(V1272&gt;175,W1272&lt;25),0.3,0)+IF(AND(V1272&gt;175,W1272&gt;=25,W1272&lt;55),0.23,0)+IF(AND(V1272&gt;175,W1272&gt;=55,W1272&lt;95),0.17,0)+IF(AND(V1272&gt;175,W1272&gt;=95),0.12,0),
IF(AF1272="DoEVni",IF(AND(V1272&lt;20,W1272&lt;55),0.3,0)+IF(AND(V1272&lt;20,W1272&gt;=55,W1272&lt;105),0.23,0)+IF(AND(V1272&lt;20,W1272&gt;=105),0.17,0)+IF(AND(V1272&gt;=20,V1272&lt;40,W1272&lt;45),0.3,0)+IF(AND(V1272&gt;=20,V1272&lt;40,W1272&gt;=45,W1272&lt;95),0.23,0)+IF(AND(V1272&gt;=20,V1272&lt;40,W1272&gt;=95,W1272&lt;=200),0.17,0)+IF(AND(V1272&gt;=20,V1272&lt;40,W1272&gt;=200),0.12,0)+IF(AND(V1272&gt;=40,V1272&lt;75,W1272&lt;35),0.3,0)+IF(AND(V1272&gt;=40,V1272&lt;75,W1272&gt;=35,W1272&lt;75),0.23,0)+IF(AND(V1272&gt;=40,V1272&lt;75,W1272&gt;=75,W1272&lt;120),0.17,0)+IF(AND(V1272&gt;=40,V1272&lt;75,W1272&gt;=120),0.12,0)+IF(AND(V1272&gt;=75,V1272&lt;175,W1272&lt;35),0.3,0)+IF(AND(V1272&gt;=75,V1272&lt;=175,W1272&gt;=35,W1272&lt;65),0.23,0)+IF(AND(V1272&gt;=75,V1272&lt;=175,W1272&gt;=65,W1272&lt;110),0.17,0)+IF(AND(V1272&gt;=75,V1272&lt;=175,W1272&gt;=110),0.12,0)+IF(AND(V1272&gt;175,W1272&lt;25),0.3,0)+IF(AND(V1272&gt;175,W1272&gt;=25,W1272&lt;55),0.23,0)+IF(AND(V1272&gt;175,W1272&gt;=55,W1272&lt;95),0.17,0)+IF(AND(V1272&gt;175,W1272&gt;=95),0.12,0),
IF(AF1272="DoEVLo",IF(AND(V1272&lt;20,W1272&lt;55),0.25,0)+IF(AND(V1272&lt;20,W1272&gt;=55,W1272&lt;105),0.2,0)+IF(AND(V1272&lt;20,W1272&gt;=105),0.15,0)+IF(AND(V1272&gt;=20,V1272&lt;40,W1272&lt;45),0.25,0)+IF(AND(V1272&gt;=20,V1272&lt;40,W1272&gt;=45,W1272&lt;95),0.2,0)+IF(AND(V1272&gt;=20,V1272&lt;40,W1272&gt;=95),0.15,0)+IF(AND(V1272&gt;=40,V1272&lt;75,W1272&lt;35),0.25,0)+IF(AND(V1272&gt;=40,V1272&lt;75,W1272&gt;=35,W1272&lt;75),0.2,0)+IF(AND(V1272&gt;=40,V1272&lt;75,W1272&gt;=75,W1272&lt;120),0.15,0)+IF(AND(V1272&gt;=40,V1272&lt;75,W1272&gt;=120),0.1,0)+IF(AND(V1272&gt;=75,V1272&lt;175,W1272&lt;35),0.25,0)+IF(AND(V1272&gt;=75,V1272&lt;=175,W1272&gt;=35,W1272&lt;65),0.2,0)+IF(AND(V1272&gt;=75,V1272&lt;=175,W1272&gt;=65,W1272&lt;110),0.15,0)+IF(AND(V1272&gt;=75,V1272&lt;=175,W1272&gt;=110),0.1,0)+IF(AND(V1272&gt;175,W1272&lt;25),0.25,0)+IF(AND(V1272&gt;175,W1272&gt;=25,W1272&lt;55),0.2,0)+IF(AND(V1272&gt;175,W1272&gt;=55,W1272&lt;95),0.15,0)+IF(AND(V1272&gt;175,W1272&gt;=95),0.1,0))))))))))))))))))))</f>
        <v>0.3</v>
      </c>
      <c r="Y1272" s="35">
        <f t="shared" ref="Y1272:Y1273" si="185">if(AG1272="None",0,if(AG1272="Fix5",0.05, if(AG1272="Fix6.25",0.0625,if(AG1272="Fix3.75",0.0375, if(AG1272="Fix11",0.11, if(AG1272="Fix10",0.1,if(AG1272="Fix3",0.03,0)))))))</f>
        <v>0</v>
      </c>
      <c r="Z1272" s="40">
        <f t="shared" ref="Z1272:Z1273" si="186">if(and(AD1272="EUR", AE1272 = "USD"), T1272*U1272-AA1272-AB1272, T1272-AA1272-AB1272)</f>
        <v>843.4173383</v>
      </c>
      <c r="AA1272" s="34">
        <f t="shared" ref="AA1272:AA1273" si="187">IF(AND(AD1272="EUR", F1272="Without EV deal", AE1272="USD"), (T1272*X1272)*U1272, 
IF(AND(AD1272="EUR", F1272="Without EV deal", AE1272="EUR"), (T1272*X1272), 
IF(AND(AD1272="EUR",AE1272="USD"), (T1272*X1272)*U1272, 
T1272*X1272)))</f>
        <v>361.4645736</v>
      </c>
      <c r="AB1272" s="41">
        <f t="shared" ref="AB1272:AB1273" si="188">IF(AND(AD1272="EUR", F1272="Without EV deal", AE1272="USD"), (T1272*Y1272)*U1272, 
IF(AND(AD1272="EUR", F1272="Without EV deal", AE1272="EUR"), (T1272*Y1272), 
IF(AND(AD1272="EUR",AE1272="USD"), (T1272*Y1272)*U1272, 
T1272*Y1272)))</f>
        <v>0</v>
      </c>
      <c r="AC1272" s="42" t="b">
        <v>1</v>
      </c>
      <c r="AD1272" s="87" t="str">
        <f t="shared" ref="AD1272:AD1273" si="189">IF(OR(H1272="€0.25 Flash",
H1272="€0.25(nitro) new",
H1272="€1",
H1272="€2",
H1272="€2 (bf 01.08)",
H1272="€5",
H1272="€5 (1M)",
H1272="€5 (bf 01.08)",
H1272="€5 (bf 05.05)",
H1272="€5 Nitro",
H1272="€5(wx) new",
H1272="€10",
H1272="€10 (1M)",
H1272="€10 (bf 01.08)",
H1272="€10 (bf 05.05)",
H1272="€10 (MP)",
H1272="€10 (old)",
H1272="€10 Nitro (bf 05.05)",
H1272="€10 Nitro (old)",
H1272="€10(wx) new",
H1272="€20",
H1272="€25",
H1272="€25 (bf 01.08)",
H1272="€25 (bf 05.05)",
H1272="€25 (MP)",
H1272="€25 (old)",
H1272="€25 Nitro",
H1272="€25 Nitro (bf 01.08)",
H1272="€25 Nitro (bf 05.05)",
H1272="€25(nitro) new",
H1272="€25(wx) new",
H1272="€50",
H1272="€50 (bf 01.08)",
H1272="€50 (bf 05.05)",
H1272="€50 (old)",
H1272="€50 Nitro",
H1272="€50 Nitro (bf 01.08)",
H1272="€50 Nitro (bf 05.05)",
H1272="€50(wx) new",
H1272="€100",
H1272="€100 (old)",
H1272="€100 Nitro",
H1272="€100 Nitro (old)",
H1272="€200",
H1272="€250",
H1272="€250 Nitro",
H1272="€500",
H1272="€500 Nitro"),"EUR", "USD")
</f>
        <v>EUR</v>
      </c>
      <c r="AE1272" s="87" t="s">
        <v>140</v>
      </c>
      <c r="AF1272" s="88" t="str">
        <f t="array" ref="AF1272">INDEX('Deal Info'!D:D, MATCH(A1272,'Deal Info'!A:A, 0))</f>
        <v>DoEV</v>
      </c>
      <c r="AG1272" s="89" t="str">
        <f t="array" ref="AG1272">INDEX('Deal Info'!G:G, MATCH(A1272,'Deal Info'!A:A, 0))</f>
        <v>None</v>
      </c>
    </row>
    <row r="1273" hidden="1">
      <c r="A1273" s="23" t="str">
        <f t="array" ref="A1273">if(G1273='Room Info'!$B$1, INDEX('Room Info'!$A$2:$A3446, MATCH(B1273,'Room Info'!$B$2:$B3446, 0)),if(G1273='Room Info'!$C$1, INDEX('Room Info'!$A$2:$A3446, MATCH(B1273,'Room Info'!$C$2:$C3446, 0)),if(G1273='Room Info'!$D$1, INDEX('Room Info'!$A$2:$A3446, MATCH(B1273,'Room Info'!$D$2:$D3446, 0)),if(G1273='Room Info'!$E$1, INDEX('Room Info'!$A$2:$A3446, MATCH(B1273,'Room Info'!$E$2:$E3446, 0)),if(G1273='Room Info'!$F$1, INDEX('Room Info'!$A$2:$A3446, MATCH(B1273,'Room Info'!$F$2:$F3446, 0)),if(G1273='Room Info'!$H$1, INDEX('Room Info'!$A$2:$A3446, MATCH(B1273,'Room Info'!$H$2:$H3446, 0)),if(G1273='Room Info'!$G$1, INDEX('Room Info'!$A$2:$A3446, MATCH(B1273,'Room Info'!$G$2:$G3446, 0)))))))))</f>
        <v>bbaltqq</v>
      </c>
      <c r="B1273" s="50" t="s">
        <v>213</v>
      </c>
      <c r="C1273" s="51">
        <v>44978.0</v>
      </c>
      <c r="D1273" s="51">
        <v>45005.0</v>
      </c>
      <c r="E1273" s="95">
        <v>44986.0</v>
      </c>
      <c r="F1273" s="53" t="s">
        <v>4</v>
      </c>
      <c r="G1273" s="50" t="s">
        <v>9</v>
      </c>
      <c r="H1273" s="86" t="s">
        <v>58</v>
      </c>
      <c r="I1273" s="96" t="s">
        <v>21</v>
      </c>
      <c r="J1273" s="44">
        <f>iferror(if(H1273="$0.25",0.25, 
if(H1273="$0.25 Flash",0.25, 
if(H1273 = "$1", 1, 
if(H1273 = "$1 Flash", 1, 
if(H1273 = "$2", 2, 
if( H1273 = "$2 Flash" , 2, 
if( H1273= "$3", 3, 
if( H1273= "$3 Ultra", 3, 
if( H1273= "$5", 5, 
if( H1273= "$5 (1M)", 5, 
if( H1273= "$5 (1M) Flash", 5, 
if( H1273= "$5 Flash", 5, 
if( H1273= "$5 Flash (1M)", 5,
if( H1273= "$10", 10,
if( H1273= "$10 (1M)", 10,
if( H1273= "$10 (1M) (old)", 10,
if( H1273= "$10 Flash", 10,
if( H1273= "$10 Ultra", 10,
if( H1273= "$20", 20,
if( H1273= "$20 Ultra", 20,
if( H1273= "$25", 25,
if( H1273= "$25 Flash", 25,
if( H1273= "$50", 50,
if( H1273= "$50 Flash", 50,
if( H1273= "$50 Ultra", 50,
if( H1273= "$100", 100,
if( H1273= "$100 Flash", 100,
if( H1273= "$100 HUHT", 100,
if( H1273= "$100 Ultra", 100,
if( H1273= "$200", 200,
if( H1273= "$200 HUHT", 200,
if( H1273= "$250", 250,
if( H1273= "$250 Flash", 250,
if( H1273= "$300 HUHT", 300,
if( H1273= "$500", 500,
if( H1273= "$500 Flash", 500,
if( H1273 = "$500 HUHT",500,
if( H1273= "$1000", 1000,
if( H1273= "$1000 HUHT", 1000,
if( H1273= "€0.25 Flash", 0.25,
if( H1273="€0.25(nitro) new",0.25,
if( H1273= "€1", 1,
if( H1273= "€2", 2,
if( H1273= "€5", 5,
if( H1273= "€5 (1M)", 5,
if( H1273= "€5 (bf 01.08)", 5,
if( H1273= "€5 (bf 05.05)", 5,
if( H1273= "€5 Nitro", 5,
if( H1273= "€5(wx) new", 5,
if( H1273= "€10", 10,
if( H1273= "€10 (1M)", 10,
if( H1273= "€10 (bf 01.08)", 10,
if( H1273= "€10 (bf 05.05)", 10,
if( H1273= "€10 (MP)", 10,
if( H1273= "€10 (old)", 10,
if( H1273= "€10 Nitro (bf 05.05)", 10,
if( H1273= "€10 Nitro (old)", 10,
if( H1273= "€10(wx) new", 10,
if( H1273= "€20", 20,
if( H1273= "€25", 25, 
if( H1273= "€25 (bf 01.08)", 25, 
if( H1273= "€25 (bf 05.05)", 25, 
if( H1273= "€25 (MP)", 25, 
if( H1273= "€25 (old)", 25,
if( H1273= "€25 Nitro", 25,
if( H1273= "€25 Nitro (bf 01.08)", 25,
if( H1273= "€25 Nitro (bf 05.05)", 25,
if( H1273= "€25(nitro) new", 25,
if( H1273= "€25(wx) new", 25,
if( H1273= "€50", 50,
if( H1273= "€50 (bf 01.08)", 50,
if( H1273= "€50 (bf 05.05)", 50,
if( H1273= "€50 (old)", 50,
if( H1273= "€50 Nitro", 50,
if( H1273= "€50 Nitro (bf 01.08)", 50,
if( H1273= "€50 Nitro (bf 05.05)", 50,
if( H1273= "€50(wx) new", 50,
if( H1273= "€100", 100,
if( H1273= "€100 (old)", 100,
if( H1273= "€100 Nitro", 100,
if( H1273= "€100 Nitro (old)", 100,
if( H1273= "€200", 200,
if( H1273= "€250", 250,
if( H1273= "€250 Nitro", 250,
if( H1273= "€500", 500,
if( H1273= "€500 Nitro", 500,
if( H1273= "1000 rub", 1000,
if( H1273= "2500 rub", 2500,
if( H1273= "5000 rub", 5000,""))))))))))))))))))))))))))))))))))))))))))))))))))))))))))))))))))))))))))))))))))))))))))</f>
        <v>10</v>
      </c>
      <c r="K1273" s="56">
        <v>670.0</v>
      </c>
      <c r="L1273" s="117"/>
      <c r="M1273" s="58">
        <v>80.0</v>
      </c>
      <c r="N1273" s="33">
        <f t="shared" si="155"/>
        <v>6700</v>
      </c>
      <c r="O1273" s="59">
        <v>43550.0</v>
      </c>
      <c r="P1273" s="34">
        <f t="shared" si="14"/>
        <v>65</v>
      </c>
      <c r="Q1273" s="60"/>
      <c r="R1273" s="36">
        <f>M1273+Q1273*J1273*K1273*0.07</f>
        <v>80</v>
      </c>
      <c r="S1273" s="71"/>
      <c r="T1273" s="37">
        <f t="shared" si="183"/>
        <v>80</v>
      </c>
      <c r="U1273" s="62">
        <v>1.071</v>
      </c>
      <c r="V1273" s="63"/>
      <c r="W1273" s="63"/>
      <c r="X1273" s="35">
        <f t="shared" si="184"/>
        <v>0.3</v>
      </c>
      <c r="Y1273" s="35">
        <f t="shared" si="185"/>
        <v>0</v>
      </c>
      <c r="Z1273" s="40">
        <f t="shared" si="186"/>
        <v>59.976</v>
      </c>
      <c r="AA1273" s="34">
        <f t="shared" si="187"/>
        <v>25.704</v>
      </c>
      <c r="AB1273" s="41">
        <f t="shared" si="188"/>
        <v>0</v>
      </c>
      <c r="AC1273" s="42" t="b">
        <v>0</v>
      </c>
      <c r="AD1273" s="87" t="str">
        <f t="shared" si="189"/>
        <v>EUR</v>
      </c>
      <c r="AE1273" s="88" t="s">
        <v>138</v>
      </c>
      <c r="AF1273" s="88" t="str">
        <f t="array" ref="AF1273">INDEX('Deal Info'!D:D, MATCH(A1273,'Deal Info'!A:A, 0))</f>
        <v>SF</v>
      </c>
      <c r="AG1273" s="89" t="str">
        <f t="array" ref="AG1273">INDEX('Deal Info'!G:G, MATCH(A1273,'Deal Info'!A:A, 0))</f>
        <v>None</v>
      </c>
    </row>
    <row r="1274" hidden="1">
      <c r="A1274" s="23" t="str">
        <f t="array" ref="A1274">if(G1274='Room Info'!$B$1, INDEX('Room Info'!$A$2:$A3446, MATCH(B1274,'Room Info'!$B$2:$B3446, 0)),if(G1274='Room Info'!$C$1, INDEX('Room Info'!$A$2:$A3446, MATCH(B1274,'Room Info'!$C$2:$C3446, 0)),if(G1274='Room Info'!$D$1, INDEX('Room Info'!$A$2:$A3446, MATCH(B1274,'Room Info'!$D$2:$D3446, 0)),if(G1274='Room Info'!$E$1, INDEX('Room Info'!$A$2:$A3446, MATCH(B1274,'Room Info'!$E$2:$E3446, 0)),if(G1274='Room Info'!$F$1, INDEX('Room Info'!$A$2:$A3446, MATCH(B1274,'Room Info'!$F$2:$F3446, 0)),if(G1274='Room Info'!$H$1, INDEX('Room Info'!$A$2:$A3446, MATCH(B1274,'Room Info'!$H$2:$H3446, 0)),if(G1274='Room Info'!$G$1, INDEX('Room Info'!$A$2:$A3446, MATCH(B1274,'Room Info'!$G$2:$G3446, 0)))))))))</f>
        <v>supreme325i</v>
      </c>
      <c r="B1274" s="59" t="s">
        <v>162</v>
      </c>
      <c r="C1274" s="51">
        <v>44765.0</v>
      </c>
      <c r="D1274" s="51">
        <v>44793.0</v>
      </c>
      <c r="E1274" s="52">
        <v>44774.0</v>
      </c>
      <c r="F1274" s="53" t="s">
        <v>4</v>
      </c>
      <c r="G1274" s="59" t="s">
        <v>13</v>
      </c>
      <c r="H1274" s="54" t="s">
        <v>74</v>
      </c>
      <c r="I1274" s="54" t="s">
        <v>18</v>
      </c>
      <c r="J1274" s="55">
        <v>50.0</v>
      </c>
      <c r="K1274" s="56">
        <v>6744.0</v>
      </c>
      <c r="L1274" s="111">
        <v>-11650.0</v>
      </c>
      <c r="M1274" s="58">
        <v>17407.0</v>
      </c>
      <c r="N1274" s="33">
        <f t="shared" si="155"/>
        <v>337200</v>
      </c>
      <c r="O1274" s="112">
        <v>48104.0</v>
      </c>
      <c r="P1274" s="34">
        <f t="shared" si="14"/>
        <v>7.132858837</v>
      </c>
      <c r="Q1274" s="60"/>
      <c r="R1274" s="36">
        <f t="shared" ref="R1274:R1279" si="190">M1274+Q1274</f>
        <v>17407</v>
      </c>
      <c r="S1274" s="113">
        <v>-17529.0</v>
      </c>
      <c r="T1274" s="37">
        <f t="shared" ref="T1274:T1279" si="191">R1274+S1274+if(F1274="Without EV deal",L1274,0)</f>
        <v>-122</v>
      </c>
      <c r="U1274" s="62">
        <v>1.0</v>
      </c>
      <c r="V1274" s="63"/>
      <c r="W1274" s="63"/>
      <c r="X1274" s="83">
        <v>0.3</v>
      </c>
      <c r="Y1274" s="35">
        <f t="shared" ref="Y1274:Y1279" si="192">if(AG1274="None",0,if(AG1274="Fix5",0.05, if(AG1274="Fix6.25",0.0625,if(AG1274="Fix3.75",0.0375,if(AG1274="Fix10",0.1,if(AG1274="Fix3",0.03,0))))))</f>
        <v>0</v>
      </c>
      <c r="Z1274" s="40">
        <f t="shared" ref="Z1274:Z1279" si="193">T1274-AA1274-AB1274</f>
        <v>-85.4</v>
      </c>
      <c r="AA1274" s="34">
        <f t="shared" ref="AA1274:AA1279" si="194">if(AD1274="EUR",((T1274-R1274)*X1274)*U1274+(R1274*X1274),(T1274*X1274))</f>
        <v>-36.6</v>
      </c>
      <c r="AB1274" s="41">
        <f t="shared" ref="AB1274:AB1279" si="195">if(AD1274="EUR",((T1274-R1274)*Y1274)*U1274+(R1274*Y1274),(T1274*Y1274))</f>
        <v>0</v>
      </c>
      <c r="AC1274" s="42" t="b">
        <v>1</v>
      </c>
      <c r="AD1274" s="42" t="s">
        <v>138</v>
      </c>
      <c r="AE1274" s="42" t="s">
        <v>138</v>
      </c>
      <c r="AF1274" s="42" t="str">
        <f t="array" ref="AF1274">INDEX('Deal Info'!D:D, MATCH(A1274,'Deal Info'!A:A, 0))</f>
        <v>DoEVsu</v>
      </c>
      <c r="AG1274" s="43" t="str">
        <f t="array" ref="AG1274">INDEX('Deal Info'!G:G, MATCH(A1274,'Deal Info'!A:A, 0))</f>
        <v>None</v>
      </c>
    </row>
    <row r="1275" hidden="1">
      <c r="A1275" s="23" t="str">
        <f t="array" ref="A1275">if(G1275='Room Info'!$B$1, INDEX('Room Info'!$A$2:$A3446, MATCH(B1275,'Room Info'!$B$2:$B3446, 0)),if(G1275='Room Info'!$C$1, INDEX('Room Info'!$A$2:$A3446, MATCH(B1275,'Room Info'!$C$2:$C3446, 0)),if(G1275='Room Info'!$D$1, INDEX('Room Info'!$A$2:$A3446, MATCH(B1275,'Room Info'!$D$2:$D3446, 0)),if(G1275='Room Info'!$E$1, INDEX('Room Info'!$A$2:$A3446, MATCH(B1275,'Room Info'!$E$2:$E3446, 0)),if(G1275='Room Info'!$F$1, INDEX('Room Info'!$A$2:$A3446, MATCH(B1275,'Room Info'!$F$2:$F3446, 0)),if(G1275='Room Info'!$H$1, INDEX('Room Info'!$A$2:$A3446, MATCH(B1275,'Room Info'!$H$2:$H3446, 0)),if(G1275='Room Info'!$G$1, INDEX('Room Info'!$A$2:$A3446, MATCH(B1275,'Room Info'!$G$2:$G3446, 0)))))))))</f>
        <v>supreme325i</v>
      </c>
      <c r="B1275" s="59" t="s">
        <v>162</v>
      </c>
      <c r="C1275" s="51">
        <v>44794.0</v>
      </c>
      <c r="D1275" s="51">
        <v>44824.0</v>
      </c>
      <c r="E1275" s="52">
        <v>44805.0</v>
      </c>
      <c r="F1275" s="53" t="s">
        <v>4</v>
      </c>
      <c r="G1275" s="59" t="s">
        <v>13</v>
      </c>
      <c r="H1275" s="54" t="s">
        <v>74</v>
      </c>
      <c r="I1275" s="54" t="s">
        <v>18</v>
      </c>
      <c r="J1275" s="55">
        <v>50.0</v>
      </c>
      <c r="K1275" s="56">
        <v>1266.0</v>
      </c>
      <c r="L1275" s="111">
        <v>-4850.0</v>
      </c>
      <c r="M1275" s="58">
        <v>2109.0</v>
      </c>
      <c r="N1275" s="33">
        <f t="shared" si="155"/>
        <v>63300</v>
      </c>
      <c r="O1275" s="112">
        <v>4786.0</v>
      </c>
      <c r="P1275" s="34">
        <f t="shared" si="14"/>
        <v>3.780410742</v>
      </c>
      <c r="Q1275" s="60"/>
      <c r="R1275" s="36">
        <f t="shared" si="190"/>
        <v>2109</v>
      </c>
      <c r="S1275" s="113">
        <v>-3990.0</v>
      </c>
      <c r="T1275" s="37">
        <f t="shared" si="191"/>
        <v>-1881</v>
      </c>
      <c r="U1275" s="62">
        <v>1.0</v>
      </c>
      <c r="V1275" s="63"/>
      <c r="W1275" s="63"/>
      <c r="X1275" s="83">
        <v>0.3</v>
      </c>
      <c r="Y1275" s="35">
        <f t="shared" si="192"/>
        <v>0</v>
      </c>
      <c r="Z1275" s="40">
        <f t="shared" si="193"/>
        <v>-1316.7</v>
      </c>
      <c r="AA1275" s="34">
        <f t="shared" si="194"/>
        <v>-564.3</v>
      </c>
      <c r="AB1275" s="41">
        <f t="shared" si="195"/>
        <v>0</v>
      </c>
      <c r="AC1275" s="42" t="b">
        <v>1</v>
      </c>
      <c r="AD1275" s="42" t="s">
        <v>138</v>
      </c>
      <c r="AE1275" s="42" t="s">
        <v>138</v>
      </c>
      <c r="AF1275" s="42" t="str">
        <f t="array" ref="AF1275">INDEX('Deal Info'!D:D, MATCH(A1275,'Deal Info'!A:A, 0))</f>
        <v>DoEVsu</v>
      </c>
      <c r="AG1275" s="43" t="str">
        <f t="array" ref="AG1275">INDEX('Deal Info'!G:G, MATCH(A1275,'Deal Info'!A:A, 0))</f>
        <v>None</v>
      </c>
    </row>
    <row r="1276" hidden="1">
      <c r="A1276" s="23" t="str">
        <f t="array" ref="A1276">if(G1276='Room Info'!$B$1, INDEX('Room Info'!$A$2:$A3446, MATCH(B1276,'Room Info'!$B$2:$B3446, 0)),if(G1276='Room Info'!$C$1, INDEX('Room Info'!$A$2:$A3446, MATCH(B1276,'Room Info'!$C$2:$C3446, 0)),if(G1276='Room Info'!$D$1, INDEX('Room Info'!$A$2:$A3446, MATCH(B1276,'Room Info'!$D$2:$D3446, 0)),if(G1276='Room Info'!$E$1, INDEX('Room Info'!$A$2:$A3446, MATCH(B1276,'Room Info'!$E$2:$E3446, 0)),if(G1276='Room Info'!$F$1, INDEX('Room Info'!$A$2:$A3446, MATCH(B1276,'Room Info'!$F$2:$F3446, 0)),if(G1276='Room Info'!$H$1, INDEX('Room Info'!$A$2:$A3446, MATCH(B1276,'Room Info'!$H$2:$H3446, 0)),if(G1276='Room Info'!$G$1, INDEX('Room Info'!$A$2:$A3446, MATCH(B1276,'Room Info'!$G$2:$G3446, 0)))))))))</f>
        <v>supreme325i</v>
      </c>
      <c r="B1276" s="59" t="s">
        <v>163</v>
      </c>
      <c r="C1276" s="51">
        <v>44835.0</v>
      </c>
      <c r="D1276" s="51">
        <v>44865.0</v>
      </c>
      <c r="E1276" s="52">
        <v>44835.0</v>
      </c>
      <c r="F1276" s="53" t="s">
        <v>4</v>
      </c>
      <c r="G1276" s="59" t="s">
        <v>16</v>
      </c>
      <c r="H1276" s="54" t="s">
        <v>59</v>
      </c>
      <c r="I1276" s="54" t="s">
        <v>7</v>
      </c>
      <c r="J1276" s="55">
        <v>20.0</v>
      </c>
      <c r="K1276" s="56">
        <v>3317.0</v>
      </c>
      <c r="L1276" s="57">
        <v>2260.0</v>
      </c>
      <c r="M1276" s="58">
        <v>2901.0</v>
      </c>
      <c r="N1276" s="33">
        <f t="shared" si="155"/>
        <v>66340</v>
      </c>
      <c r="O1276" s="59">
        <v>174660.0</v>
      </c>
      <c r="P1276" s="34">
        <f t="shared" si="14"/>
        <v>52.65601447</v>
      </c>
      <c r="Q1276" s="60"/>
      <c r="R1276" s="36">
        <f t="shared" si="190"/>
        <v>2901</v>
      </c>
      <c r="S1276" s="61">
        <v>2189.0</v>
      </c>
      <c r="T1276" s="37">
        <f t="shared" si="191"/>
        <v>5090</v>
      </c>
      <c r="U1276" s="62">
        <v>1.0</v>
      </c>
      <c r="V1276" s="63"/>
      <c r="W1276" s="63"/>
      <c r="X1276" s="83">
        <v>0.3</v>
      </c>
      <c r="Y1276" s="35">
        <f t="shared" si="192"/>
        <v>0</v>
      </c>
      <c r="Z1276" s="40">
        <f t="shared" si="193"/>
        <v>3563</v>
      </c>
      <c r="AA1276" s="34">
        <f t="shared" si="194"/>
        <v>1527</v>
      </c>
      <c r="AB1276" s="41">
        <f t="shared" si="195"/>
        <v>0</v>
      </c>
      <c r="AC1276" s="42" t="b">
        <v>1</v>
      </c>
      <c r="AD1276" s="42" t="s">
        <v>138</v>
      </c>
      <c r="AE1276" s="42" t="s">
        <v>138</v>
      </c>
      <c r="AF1276" s="42" t="str">
        <f t="array" ref="AF1276">INDEX('Deal Info'!D:D, MATCH(A1276,'Deal Info'!A:A, 0))</f>
        <v>DoEVsu</v>
      </c>
      <c r="AG1276" s="43" t="str">
        <f t="array" ref="AG1276">INDEX('Deal Info'!G:G, MATCH(A1276,'Deal Info'!A:A, 0))</f>
        <v>None</v>
      </c>
    </row>
    <row r="1277" hidden="1">
      <c r="A1277" s="23" t="str">
        <f t="array" ref="A1277">if(G1277='Room Info'!$B$1, INDEX('Room Info'!$A$2:$A3446, MATCH(B1277,'Room Info'!$B$2:$B3446, 0)),if(G1277='Room Info'!$C$1, INDEX('Room Info'!$A$2:$A3446, MATCH(B1277,'Room Info'!$C$2:$C3446, 0)),if(G1277='Room Info'!$D$1, INDEX('Room Info'!$A$2:$A3446, MATCH(B1277,'Room Info'!$D$2:$D3446, 0)),if(G1277='Room Info'!$E$1, INDEX('Room Info'!$A$2:$A3446, MATCH(B1277,'Room Info'!$E$2:$E3446, 0)),if(G1277='Room Info'!$F$1, INDEX('Room Info'!$A$2:$A3446, MATCH(B1277,'Room Info'!$F$2:$F3446, 0)),if(G1277='Room Info'!$H$1, INDEX('Room Info'!$A$2:$A3446, MATCH(B1277,'Room Info'!$H$2:$H3446, 0)),if(G1277='Room Info'!$G$1, INDEX('Room Info'!$A$2:$A3446, MATCH(B1277,'Room Info'!$G$2:$G3446, 0)))))))))</f>
        <v>supreme325i</v>
      </c>
      <c r="B1277" s="59" t="s">
        <v>163</v>
      </c>
      <c r="C1277" s="51">
        <v>44835.0</v>
      </c>
      <c r="D1277" s="51">
        <v>44865.0</v>
      </c>
      <c r="E1277" s="52">
        <v>44835.0</v>
      </c>
      <c r="F1277" s="53" t="s">
        <v>4</v>
      </c>
      <c r="G1277" s="59" t="s">
        <v>16</v>
      </c>
      <c r="H1277" s="54" t="s">
        <v>59</v>
      </c>
      <c r="I1277" s="54" t="s">
        <v>7</v>
      </c>
      <c r="J1277" s="55">
        <v>20.0</v>
      </c>
      <c r="K1277" s="56">
        <v>1397.0</v>
      </c>
      <c r="L1277" s="57">
        <v>-1500.0</v>
      </c>
      <c r="M1277" s="58">
        <v>1073.0</v>
      </c>
      <c r="N1277" s="33">
        <f t="shared" si="155"/>
        <v>27940</v>
      </c>
      <c r="O1277" s="59">
        <v>31191.0</v>
      </c>
      <c r="P1277" s="34">
        <f t="shared" si="14"/>
        <v>22.32712956</v>
      </c>
      <c r="Q1277" s="60"/>
      <c r="R1277" s="36">
        <f t="shared" si="190"/>
        <v>1073</v>
      </c>
      <c r="S1277" s="61">
        <v>-664.0</v>
      </c>
      <c r="T1277" s="37">
        <f t="shared" si="191"/>
        <v>409</v>
      </c>
      <c r="U1277" s="62">
        <v>1.0</v>
      </c>
      <c r="V1277" s="63"/>
      <c r="W1277" s="63"/>
      <c r="X1277" s="83">
        <v>0.3</v>
      </c>
      <c r="Y1277" s="35">
        <f t="shared" si="192"/>
        <v>0</v>
      </c>
      <c r="Z1277" s="40">
        <f t="shared" si="193"/>
        <v>286.3</v>
      </c>
      <c r="AA1277" s="34">
        <f t="shared" si="194"/>
        <v>122.7</v>
      </c>
      <c r="AB1277" s="41">
        <f t="shared" si="195"/>
        <v>0</v>
      </c>
      <c r="AC1277" s="42" t="b">
        <v>1</v>
      </c>
      <c r="AD1277" s="42" t="s">
        <v>138</v>
      </c>
      <c r="AE1277" s="42" t="s">
        <v>138</v>
      </c>
      <c r="AF1277" s="42" t="str">
        <f t="array" ref="AF1277">INDEX('Deal Info'!D:D, MATCH(A1277,'Deal Info'!A:A, 0))</f>
        <v>DoEVsu</v>
      </c>
      <c r="AG1277" s="43" t="str">
        <f t="array" ref="AG1277">INDEX('Deal Info'!G:G, MATCH(A1277,'Deal Info'!A:A, 0))</f>
        <v>None</v>
      </c>
    </row>
    <row r="1278" hidden="1">
      <c r="A1278" s="23" t="str">
        <f t="array" ref="A1278">if(G1278='Room Info'!$B$1, INDEX('Room Info'!$A$2:$A3446, MATCH(B1278,'Room Info'!$B$2:$B3446, 0)),if(G1278='Room Info'!$C$1, INDEX('Room Info'!$A$2:$A3446, MATCH(B1278,'Room Info'!$C$2:$C3446, 0)),if(G1278='Room Info'!$D$1, INDEX('Room Info'!$A$2:$A3446, MATCH(B1278,'Room Info'!$D$2:$D3446, 0)),if(G1278='Room Info'!$E$1, INDEX('Room Info'!$A$2:$A3446, MATCH(B1278,'Room Info'!$E$2:$E3446, 0)),if(G1278='Room Info'!$F$1, INDEX('Room Info'!$A$2:$A3446, MATCH(B1278,'Room Info'!$F$2:$F3446, 0)),if(G1278='Room Info'!$H$1, INDEX('Room Info'!$A$2:$A3446, MATCH(B1278,'Room Info'!$H$2:$H3446, 0)),if(G1278='Room Info'!$G$1, INDEX('Room Info'!$A$2:$A3446, MATCH(B1278,'Room Info'!$G$2:$G3446, 0)))))))))</f>
        <v>supreme325i</v>
      </c>
      <c r="B1278" s="59" t="s">
        <v>163</v>
      </c>
      <c r="C1278" s="51">
        <v>44866.0</v>
      </c>
      <c r="D1278" s="51">
        <v>44895.0</v>
      </c>
      <c r="E1278" s="52">
        <v>44866.0</v>
      </c>
      <c r="F1278" s="53" t="s">
        <v>4</v>
      </c>
      <c r="G1278" s="59" t="s">
        <v>16</v>
      </c>
      <c r="H1278" s="54" t="s">
        <v>59</v>
      </c>
      <c r="I1278" s="54" t="s">
        <v>7</v>
      </c>
      <c r="J1278" s="55">
        <v>20.0</v>
      </c>
      <c r="K1278" s="56">
        <v>6194.0</v>
      </c>
      <c r="L1278" s="57">
        <v>-420.0</v>
      </c>
      <c r="M1278" s="58">
        <v>5577.0</v>
      </c>
      <c r="N1278" s="33">
        <f t="shared" si="155"/>
        <v>123880</v>
      </c>
      <c r="O1278" s="59">
        <v>241827.0</v>
      </c>
      <c r="P1278" s="34">
        <f t="shared" si="14"/>
        <v>39.04213755</v>
      </c>
      <c r="Q1278" s="60"/>
      <c r="R1278" s="36">
        <f t="shared" si="190"/>
        <v>5577</v>
      </c>
      <c r="S1278" s="61">
        <v>1143.0</v>
      </c>
      <c r="T1278" s="37">
        <f t="shared" si="191"/>
        <v>6720</v>
      </c>
      <c r="U1278" s="62">
        <v>1.0</v>
      </c>
      <c r="V1278" s="63"/>
      <c r="W1278" s="63"/>
      <c r="X1278" s="83">
        <v>0.12</v>
      </c>
      <c r="Y1278" s="35">
        <f t="shared" si="192"/>
        <v>0</v>
      </c>
      <c r="Z1278" s="40">
        <f t="shared" si="193"/>
        <v>5913.6</v>
      </c>
      <c r="AA1278" s="34">
        <f t="shared" si="194"/>
        <v>806.4</v>
      </c>
      <c r="AB1278" s="41">
        <f t="shared" si="195"/>
        <v>0</v>
      </c>
      <c r="AC1278" s="42" t="b">
        <v>1</v>
      </c>
      <c r="AD1278" s="42" t="s">
        <v>138</v>
      </c>
      <c r="AE1278" s="42" t="s">
        <v>138</v>
      </c>
      <c r="AF1278" s="42" t="str">
        <f t="array" ref="AF1278">INDEX('Deal Info'!D:D, MATCH(A1278,'Deal Info'!A:A, 0))</f>
        <v>DoEVsu</v>
      </c>
      <c r="AG1278" s="43" t="str">
        <f t="array" ref="AG1278">INDEX('Deal Info'!G:G, MATCH(A1278,'Deal Info'!A:A, 0))</f>
        <v>None</v>
      </c>
    </row>
    <row r="1279" hidden="1">
      <c r="A1279" s="23" t="str">
        <f t="array" ref="A1279">if(G1279='Room Info'!$B$1, INDEX('Room Info'!$A$2:$A3446, MATCH(B1279,'Room Info'!$B$2:$B3446, 0)),if(G1279='Room Info'!$C$1, INDEX('Room Info'!$A$2:$A3446, MATCH(B1279,'Room Info'!$C$2:$C3446, 0)),if(G1279='Room Info'!$D$1, INDEX('Room Info'!$A$2:$A3446, MATCH(B1279,'Room Info'!$D$2:$D3446, 0)),if(G1279='Room Info'!$E$1, INDEX('Room Info'!$A$2:$A3446, MATCH(B1279,'Room Info'!$E$2:$E3446, 0)),if(G1279='Room Info'!$F$1, INDEX('Room Info'!$A$2:$A3446, MATCH(B1279,'Room Info'!$F$2:$F3446, 0)),if(G1279='Room Info'!$H$1, INDEX('Room Info'!$A$2:$A3446, MATCH(B1279,'Room Info'!$H$2:$H3446, 0)),if(G1279='Room Info'!$G$1, INDEX('Room Info'!$A$2:$A3446, MATCH(B1279,'Room Info'!$G$2:$G3446, 0)))))))))</f>
        <v>supreme325i</v>
      </c>
      <c r="B1279" s="59" t="s">
        <v>163</v>
      </c>
      <c r="C1279" s="51">
        <v>44896.0</v>
      </c>
      <c r="D1279" s="51">
        <v>44926.0</v>
      </c>
      <c r="E1279" s="52">
        <v>44896.0</v>
      </c>
      <c r="F1279" s="53" t="s">
        <v>4</v>
      </c>
      <c r="G1279" s="59" t="s">
        <v>16</v>
      </c>
      <c r="H1279" s="54" t="s">
        <v>59</v>
      </c>
      <c r="I1279" s="54" t="s">
        <v>7</v>
      </c>
      <c r="J1279" s="55">
        <v>20.0</v>
      </c>
      <c r="K1279" s="56">
        <v>6733.0</v>
      </c>
      <c r="L1279" s="111">
        <v>1460.0</v>
      </c>
      <c r="M1279" s="58">
        <v>6617.0</v>
      </c>
      <c r="N1279" s="33">
        <f t="shared" si="155"/>
        <v>134660</v>
      </c>
      <c r="O1279" s="112">
        <v>237283.0</v>
      </c>
      <c r="P1279" s="34">
        <f t="shared" si="14"/>
        <v>35.24179415</v>
      </c>
      <c r="Q1279" s="60"/>
      <c r="R1279" s="36">
        <f t="shared" si="190"/>
        <v>6617</v>
      </c>
      <c r="S1279" s="113">
        <v>520.0</v>
      </c>
      <c r="T1279" s="37">
        <f t="shared" si="191"/>
        <v>7137</v>
      </c>
      <c r="U1279" s="62">
        <v>1.0</v>
      </c>
      <c r="V1279" s="63"/>
      <c r="W1279" s="63"/>
      <c r="X1279" s="83">
        <v>0.12</v>
      </c>
      <c r="Y1279" s="35">
        <f t="shared" si="192"/>
        <v>0</v>
      </c>
      <c r="Z1279" s="40">
        <f t="shared" si="193"/>
        <v>6280.56</v>
      </c>
      <c r="AA1279" s="34">
        <f t="shared" si="194"/>
        <v>856.44</v>
      </c>
      <c r="AB1279" s="41">
        <f t="shared" si="195"/>
        <v>0</v>
      </c>
      <c r="AC1279" s="42" t="b">
        <v>1</v>
      </c>
      <c r="AD1279" s="42" t="s">
        <v>138</v>
      </c>
      <c r="AE1279" s="42" t="s">
        <v>138</v>
      </c>
      <c r="AF1279" s="42" t="str">
        <f t="array" ref="AF1279">INDEX('Deal Info'!D:D, MATCH(A1279,'Deal Info'!A:A, 0))</f>
        <v>DoEVsu</v>
      </c>
      <c r="AG1279" s="43" t="str">
        <f t="array" ref="AG1279">INDEX('Deal Info'!G:G, MATCH(A1279,'Deal Info'!A:A, 0))</f>
        <v>None</v>
      </c>
    </row>
    <row r="1280" hidden="1">
      <c r="A1280" s="23" t="str">
        <f t="array" ref="A1280">if(G1280='Room Info'!$B$1, INDEX('Room Info'!$A$2:$A3446, MATCH(B1280,'Room Info'!$B$2:$B3446, 0)),if(G1280='Room Info'!$C$1, INDEX('Room Info'!$A$2:$A3446, MATCH(B1280,'Room Info'!$C$2:$C3446, 0)),if(G1280='Room Info'!$D$1, INDEX('Room Info'!$A$2:$A3446, MATCH(B1280,'Room Info'!$D$2:$D3446, 0)),if(G1280='Room Info'!$E$1, INDEX('Room Info'!$A$2:$A3446, MATCH(B1280,'Room Info'!$E$2:$E3446, 0)),if(G1280='Room Info'!$F$1, INDEX('Room Info'!$A$2:$A3446, MATCH(B1280,'Room Info'!$F$2:$F3446, 0)),if(G1280='Room Info'!$H$1, INDEX('Room Info'!$A$2:$A3446, MATCH(B1280,'Room Info'!$H$2:$H3446, 0)),if(G1280='Room Info'!$G$1, INDEX('Room Info'!$A$2:$A3446, MATCH(B1280,'Room Info'!$G$2:$G3446, 0)))))))))</f>
        <v>eternity1</v>
      </c>
      <c r="B1280" s="50" t="s">
        <v>200</v>
      </c>
      <c r="C1280" s="51">
        <v>44978.0</v>
      </c>
      <c r="D1280" s="51">
        <v>45005.0</v>
      </c>
      <c r="E1280" s="95">
        <v>44986.0</v>
      </c>
      <c r="F1280" s="53" t="s">
        <v>4</v>
      </c>
      <c r="G1280" s="50" t="s">
        <v>9</v>
      </c>
      <c r="H1280" s="86" t="s">
        <v>58</v>
      </c>
      <c r="I1280" s="96" t="s">
        <v>21</v>
      </c>
      <c r="J1280" s="44">
        <f>iferror(if(H1280="$0.25",0.25, 
if(H1280="$0.25 Flash",0.25, 
if(H1280 = "$1", 1, 
if(H1280 = "$1 Flash", 1, 
if(H1280 = "$2", 2, 
if( H1280 = "$2 Flash" , 2, 
if( H1280= "$3", 3, 
if( H1280= "$3 Ultra", 3, 
if( H1280= "$5", 5, 
if( H1280= "$5 (1M)", 5, 
if( H1280= "$5 (1M) Flash", 5, 
if( H1280= "$5 Flash", 5, 
if( H1280= "$5 Flash (1M)", 5,
if( H1280= "$10", 10,
if( H1280= "$10 (1M)", 10,
if( H1280= "$10 (1M) (old)", 10,
if( H1280= "$10 Flash", 10,
if( H1280= "$10 Ultra", 10,
if( H1280= "$20", 20,
if( H1280= "$20 Ultra", 20,
if( H1280= "$25", 25,
if( H1280= "$25 Flash", 25,
if( H1280= "$50", 50,
if( H1280= "$50 Flash", 50,
if( H1280= "$50 Ultra", 50,
if( H1280= "$100", 100,
if( H1280= "$100 Flash", 100,
if( H1280= "$100 HUHT", 100,
if( H1280= "$100 Ultra", 100,
if( H1280= "$200", 200,
if( H1280= "$200 HUHT", 200,
if( H1280= "$250", 250,
if( H1280= "$250 Flash", 250,
if( H1280= "$300 HUHT", 300,
if( H1280= "$500", 500,
if( H1280= "$500 Flash", 500,
if( H1280 = "$500 HUHT",500,
if( H1280= "$1000", 1000,
if( H1280= "$1000 HUHT", 1000,
if( H1280= "€0.25 Flash", 0.25,
if( H1280="€0.25(nitro) new",0.25,
if( H1280= "€1", 1,
if( H1280= "€2", 2,
if( H1280= "€5", 5,
if( H1280= "€5 (1M)", 5,
if( H1280= "€5 (bf 01.08)", 5,
if( H1280= "€5 (bf 05.05)", 5,
if( H1280= "€5 Nitro", 5,
if( H1280= "€5(wx) new", 5,
if( H1280= "€10", 10,
if( H1280= "€10 (1M)", 10,
if( H1280= "€10 (bf 01.08)", 10,
if( H1280= "€10 (bf 05.05)", 10,
if( H1280= "€10 (MP)", 10,
if( H1280= "€10 (old)", 10,
if( H1280= "€10 Nitro (bf 05.05)", 10,
if( H1280= "€10 Nitro (old)", 10,
if( H1280= "€10(wx) new", 10,
if( H1280= "€20", 20,
if( H1280= "€25", 25, 
if( H1280= "€25 (bf 01.08)", 25, 
if( H1280= "€25 (bf 05.05)", 25, 
if( H1280= "€25 (MP)", 25, 
if( H1280= "€25 (old)", 25,
if( H1280= "€25 Nitro", 25,
if( H1280= "€25 Nitro (bf 01.08)", 25,
if( H1280= "€25 Nitro (bf 05.05)", 25,
if( H1280= "€25(nitro) new", 25,
if( H1280= "€25(wx) new", 25,
if( H1280= "€50", 50,
if( H1280= "€50 (bf 01.08)", 50,
if( H1280= "€50 (bf 05.05)", 50,
if( H1280= "€50 (old)", 50,
if( H1280= "€50 Nitro", 50,
if( H1280= "€50 Nitro (bf 01.08)", 50,
if( H1280= "€50 Nitro (bf 05.05)", 50,
if( H1280= "€50(wx) new", 50,
if( H1280= "€100", 100,
if( H1280= "€100 (old)", 100,
if( H1280= "€100 Nitro", 100,
if( H1280= "€100 Nitro (old)", 100,
if( H1280= "€200", 200,
if( H1280= "€250", 250,
if( H1280= "€250 Nitro", 250,
if( H1280= "€500", 500,
if( H1280= "€500 Nitro", 500,
if( H1280= "1000 rub", 1000,
if( H1280= "2500 rub", 2500,
if( H1280= "5000 rub", 5000,""))))))))))))))))))))))))))))))))))))))))))))))))))))))))))))))))))))))))))))))))))))))))))</f>
        <v>10</v>
      </c>
      <c r="K1280" s="56">
        <v>5063.0</v>
      </c>
      <c r="L1280" s="57">
        <v>2078.0</v>
      </c>
      <c r="M1280" s="58">
        <v>1035.0</v>
      </c>
      <c r="N1280" s="33">
        <f t="shared" si="155"/>
        <v>50630</v>
      </c>
      <c r="O1280" s="59">
        <v>254972.0</v>
      </c>
      <c r="P1280" s="34">
        <f t="shared" si="14"/>
        <v>50.35986569</v>
      </c>
      <c r="Q1280" s="60"/>
      <c r="R1280" s="36">
        <f>M1280+Q1280*J1280*K1280*0.07</f>
        <v>1035</v>
      </c>
      <c r="S1280" s="113">
        <v>433.0</v>
      </c>
      <c r="T1280" s="37">
        <f>IF(AND(AD1280="EUR", F1280="Without EV deal"), R1280 + L1280, 
IF(AND(AD1280="USD", F1280="Without EV deal"), R1280 + L1280, 
IF(AND(AD1280="EUR", F1280="Steel Phoenix"), R1280 + S1280/U1280, 
R1280 + S1280)))</f>
        <v>1439.295051</v>
      </c>
      <c r="U1280" s="62">
        <v>1.071</v>
      </c>
      <c r="V1280" s="74">
        <v>10.0</v>
      </c>
      <c r="W1280" s="74">
        <v>143.9295051353875</v>
      </c>
      <c r="X1280" s="35">
        <f>IF(AF1280="DoEV",IF(AND(V1280&lt;20,W1280&lt;55),0.3,0)+IF(AND(V1280&lt;20,W1280&gt;=55,W1280&lt;105),0.23,0)+IF(AND(V1280&lt;20,W1280&gt;=105),0.17,0)+IF(AND(V1280&gt;=20,V1280&lt;40,W1280&lt;45),0.3,0)+IF(AND(V1280&gt;=20,V1280&lt;40,W1280&gt;=45,W1280&lt;95),0.23,0)+IF(AND(V1280&gt;=20,V1280&lt;40,W1280&gt;=95),0.17,0)+IF(AND(V1280&gt;=40,V1280&lt;75,W1280&lt;35),0.3,0)+IF(AND(V1280&gt;=40,V1280&lt;75,W1280&gt;=35,W1280&lt;75),0.23,0)+IF(AND(V1280&gt;=40,V1280&lt;75,W1280&gt;=75,W1280&lt;120),0.17,0)+IF(AND(V1280&gt;=40,V1280&lt;75,W1280&gt;=120),0.12,0)+IF(AND(V1280&gt;=75,V1280&lt;175,W1280&lt;35),0.3,0)+IF(AND(V1280&gt;=75,V1280&lt;=175,W1280&gt;=35,W1280&lt;65),0.23,0)+IF(AND(V1280&gt;=75,V1280&lt;=175,W1280&gt;=65,W1280&lt;110),0.17,0)+IF(AND(V1280&gt;=75,V1280&lt;=175,W1280&gt;=110),0.12,0)+IF(AND(V1280&gt;175,W1280&lt;25),0.3,0)+IF(AND(V1280&gt;175,W1280&gt;=25,W1280&lt;55),0.23,0)+IF(AND(V1280&gt;175,W1280&gt;=55,W1280&lt;95),0.17,0)+IF(AND(V1280&gt;175,W1280&gt;=95),0.12,0),
IF(AF1280="Fix15",0.15,
IF(AF1280="Fix5",0.05,
if(AF1280="Fix18.75",0.1875,
IF(AF1280="Fix11.25",0.1125,
IF(AF1280="Fix10",0.1,
IF(AF1280="Fix9",0.09,
IF(AF1280="Fix12",0.12,
IF(AF1280="Fix19",0.19,
IF(AF1280="DoEV2017",IF(AND(W1280&lt;74),0.2,0)+IF(AND(W1280&gt;=74),0.17,0),
IF(AF1280="SF",IF(AND(V1280&lt;20,W1280&lt;89),0.3,0)+IF(AND(V1280&lt;20,W1280&gt;=89),0.25,0)+IF(AND(V1280&gt;=20,V1280&lt;40,W1280&lt;74),0.3,0)+IF(AND(V1280&gt;=20,V1280&lt;40,W1280&gt;=75),0.22,0)+IF(AND(V1280&gt;=40,V1280&lt;75,W1280&lt;75),0.26,0)+IF(AND(V1280&gt;=40,V1280&lt;75,W1280&gt;=75),0.22,0)+IF(V1280&gt;=75,0.22,0),
IF(AF1280="DoEVold",IF(AND(V1280&lt;40,W1280&lt;35),0.35,0)+IF(AND(V1280&lt;40,W1280&gt;=35,W1280&lt;75),0.25,0)+IF(AND(V1280&lt;40,W1280&gt;=75),0.17,0)+IF(AND(V1280&gt;=40,V1280&lt;75,W1280&lt;25),0.35,0)+IF(AND(V1280&gt;=40,V1280&lt;75,W1280&gt;=25,W1280&lt;65),0.25,0)+IF(AND(V1280&gt;=40,V1280&lt;75,W1280&gt;=65,W1280&lt;100),0.17,0)+IF(AND(V1280&gt;=40,V1280&lt;75,W1280&gt;=100),0.1,0)+IF(AND(V1280&gt;=75,W1280&lt;25),0.35,0)+IF(AND(V1280&gt;=75,W1280&gt;=25,W1280&lt;60),0.25,0)+IF(AND(V1280&gt;=75,W1280&gt;=60,W1280&lt;95),0.17,0)+IF(AND(V1280&gt;=75,W1280&gt;=95),0.1,0),
IF(AF1280="DoEVold15",IF(AND(V1280&lt;=40,W1280&lt;35),0.35,0)+IF(AND(V1280&lt;=40,W1280&gt;=35,W1280&lt;75),0.25,0)+IF(AND(V1280&lt;=40,W1280&gt;=75,W1280&lt;120),0.17,0)+IF(AND(V1280&lt;=40,W1280&gt;=120),0.15,0)+IF(AND(V1280&gt;40,V1280&lt;75,W1280&lt;25),0.35,0)+IF(AND(V1280&gt;=40,V1280&lt;75,W1280&gt;=25,W1280&lt;65),0.25,0)+IF(AND(V1280&gt;=40,V1280&lt;75,W1280&gt;=65,W1280&lt;100),0.17,0)+IF(AND(V1280&gt;=40,V1280&lt;75,W1280&gt;=100),0.1,0)+IF(AND(V1280&gt;=75,W1280&lt;25),0.35,0)+IF(AND(V1280&gt;=75,W1280&gt;=25,W1280&lt;60),0.25,0)+IF(AND(V1280&gt;=75,W1280&gt;=60,W1280&lt;95),0.17,0)+IF(AND(V1280&gt;=75,W1280&gt;=95),0.1,0),
IF(AF1280="DoEVba",IF(AND(V1280&lt;20,W1280&lt;105),0.2,0)+IF(AND(V1280&lt;20,W1280&gt;=105),0.15,0)+IF(AND(V1280&gt;=20,V1280&lt;40,W1280&lt;95),0.2,0)+IF(AND(V1280&gt;=20,V1280&lt;40,W1280&gt;=95,W1280&lt;150),0.15,0)+IF(AND(V1280&gt;=20,V1280&lt;40,W1280&gt;=150),0.12,0)+IF(AND(V1280&gt;=40,V1280&lt;75,W1280&lt;75),0.2,0)+IF(AND(V1280&gt;=40,V1280&lt;75,W1280&gt;=75,W1280&lt;120),0.15,0)+IF(AND(V1280&gt;=40,V1280&lt;75,W1280&gt;=120),0.12,0)+IF(AND(V1280&gt;=75,V1280&lt;175,W1280&lt;65),0.2,0)+IF(AND(V1280&gt;=75,V1280&lt;175,W1280&gt;=65,W1280&lt;110),0.15,0)+IF(AND(V1280&gt;=75,V1280&lt;175,W1280&gt;=110),0.12,0)+IF(AND(V1280&gt;=175,W1280&lt;55),0.2,0)+IF(AND(V1280&gt;=175,W1280&gt;=55,W1280&lt;95),0.15,0)+IF(AND(V1280&gt;=175,W1280&gt;=95),0.12,0),
IF(AF1280="DoEVku",IF(AND(V1280&lt;20,W1280&lt;55),0.23,0)+IF(AND(V1280&lt;20,W1280&gt;=55,W1280&lt;105),0.2,0)+IF(AND(V1280&lt;20,W1280&gt;=105),0.17,0)+IF(AND(V1280&gt;=20,V1280&lt;40,W1280&lt;45),0.23,0)+IF(AND(V1280&gt;=20,V1280&lt;40,W1280&gt;=45,W1280&lt;95),0.2,0)+IF(AND(V1280&gt;=20,V1280&lt;40,W1280&gt;=95,W1280&lt;=150),0.17,0)+IF(AND(V1280&gt;=20,V1280&lt;40,W1280&gt;=150),0.12,0)+IF(AND(V1280&gt;=40,V1280&lt;75,W1280&lt;35),0.23,0)+IF(AND(V1280&gt;=40,V1280&lt;75,W1280&gt;=35,W1280&lt;75),0.2,0)+IF(AND(V1280&gt;=40,V1280&lt;75,W1280&gt;=75,W1280&lt;120),0.17,0)+IF(AND(V1280&gt;=40,V1280&lt;75,W1280&gt;=120),0.12,0)+IF(AND(V1280&gt;=75,V1280&lt;175,W1280&lt;35),0.23,0)+IF(AND(V1280&gt;=75,V1280&lt;=175,W1280&gt;=35,W1280&lt;65),0.2,0)+IF(AND(V1280&gt;=75,V1280&lt;=175,W1280&gt;=65,W1280&lt;110),0.17,0)+IF(AND(V1280&gt;=75,V1280&lt;=175,W1280&gt;=110),0.12,0)+IF(AND(V1280&gt;175,W1280&lt;25),0.23,0)+IF(AND(V1280&gt;175,W1280&gt;=25,W1280&lt;55),0.2,0)+IF(AND(V1280&gt;175,W1280&gt;=55,W1280&lt;95),0.17,0)+IF(AND(V1280&gt;175,W1280&gt;=95),0.12,0),
IF(AF1280="DoEVs1",IF(AND(V1280&lt;20,W1280&lt;55),0.3,0)+IF(AND(V1280&lt;20,W1280&gt;=55,W1280&lt;105),0.23,0)+IF(AND(V1280&lt;20,W1280&gt;=105),0.17,0)+IF(AND(V1280&gt;=20,V1280&lt;40,W1280&lt;45),0.3,0)+IF(AND(V1280&gt;=20,V1280&lt;40,W1280&gt;=45,W1280&lt;95),0.23,0)+IF(AND(V1280&gt;=20,V1280&lt;40,W1280&gt;=95,W1280&lt;=150),0.17,0)+IF(AND(V1280&gt;=20,V1280&lt;40,W1280&gt;=150),0.12,0)+IF(AND(V1280&gt;=40,V1280&lt;75,W1280&lt;35),0.3,0)+IF(AND(V1280&gt;=40,V1280&lt;75,W1280&gt;=35,W1280&lt;75),0.23,0)+IF(AND(V1280&gt;=40,V1280&lt;75,W1280&gt;=75,W1280&lt;120),0.17,0)+IF(AND(V1280&gt;=40,V1280&lt;75,W1280&gt;=120),0.12,0)+IF(AND(V1280&gt;=75,V1280&lt;175,W1280&lt;35),0.3,0)+IF(AND(V1280&gt;=75,V1280&lt;=175,W1280&gt;=35,W1280&lt;65),0.23,0)+IF(AND(V1280&gt;=75,V1280&lt;=175,W1280&gt;=65,W1280&lt;110),0.17,0)+IF(AND(V1280&gt;=75,V1280&lt;=175,W1280&gt;=110),0.12,0)+IF(AND(V1280&gt;175,W1280&lt;25),0.3,0)+IF(AND(V1280&gt;175,W1280&gt;=25,W1280&lt;55),0.23,0)+IF(AND(V1280&gt;175,W1280&gt;=55,W1280&lt;95),0.17,0)+IF(AND(V1280&gt;175,W1280&gt;=95),0.12,0),
IF(AF1280="DoEVsu",IF(AND(V1280&lt;20,W1280&lt;55),0.3,0)+IF(AND(V1280&lt;20,W1280&gt;=55,W1280&lt;105),0.23,0)+IF(AND(V1280&lt;20,W1280&gt;=105),0.17,0)+IF(AND(V1280&gt;=20,V1280&lt;40,W1280&lt;45),0.3,0)+IF(AND(V1280&gt;=20,V1280&lt;40,W1280&gt;=45,W1280&lt;95),0.23,0)+IF(AND(V1280&gt;=20,V1280&lt;40,W1280&gt;=95,W1280&lt;=250),0.17,0)+IF(AND(V1280&gt;=20,V1280&lt;40,W1280&gt;=250),0.12,0)+IF(AND(V1280&gt;=40,V1280&lt;75,W1280&lt;35),0.3,0)+IF(AND(V1280&gt;=40,V1280&lt;75,W1280&gt;=35,W1280&lt;75),0.23,0)+IF(AND(V1280&gt;=40,V1280&lt;75,W1280&gt;=75,W1280&lt;120),0.17,0)+IF(AND(V1280&gt;=40,V1280&lt;75,W1280&gt;=120),0.12,0)+IF(AND(V1280&gt;=75,V1280&lt;175,W1280&lt;35),0.3,0)+IF(AND(V1280&gt;=75,V1280&lt;=175,W1280&gt;=35,W1280&lt;65),0.23,0)+IF(AND(V1280&gt;=75,V1280&lt;=175,W1280&gt;=65,W1280&lt;110),0.17,0)+IF(AND(V1280&gt;=75,V1280&lt;=175,W1280&gt;=110),0.12,0)+IF(AND(V1280&gt;175,W1280&lt;25),0.3,0)+IF(AND(V1280&gt;175,W1280&gt;=25,W1280&lt;55),0.23,0)+IF(AND(V1280&gt;175,W1280&gt;=55,W1280&lt;95),0.17,0)+IF(AND(V1280&gt;175,W1280&gt;=95),0.12,0),
IF(AF1280="DoEVni",IF(AND(V1280&lt;20,W1280&lt;55),0.3,0)+IF(AND(V1280&lt;20,W1280&gt;=55,W1280&lt;105),0.23,0)+IF(AND(V1280&lt;20,W1280&gt;=105),0.17,0)+IF(AND(V1280&gt;=20,V1280&lt;40,W1280&lt;45),0.3,0)+IF(AND(V1280&gt;=20,V1280&lt;40,W1280&gt;=45,W1280&lt;95),0.23,0)+IF(AND(V1280&gt;=20,V1280&lt;40,W1280&gt;=95,W1280&lt;=200),0.17,0)+IF(AND(V1280&gt;=20,V1280&lt;40,W1280&gt;=200),0.12,0)+IF(AND(V1280&gt;=40,V1280&lt;75,W1280&lt;35),0.3,0)+IF(AND(V1280&gt;=40,V1280&lt;75,W1280&gt;=35,W1280&lt;75),0.23,0)+IF(AND(V1280&gt;=40,V1280&lt;75,W1280&gt;=75,W1280&lt;120),0.17,0)+IF(AND(V1280&gt;=40,V1280&lt;75,W1280&gt;=120),0.12,0)+IF(AND(V1280&gt;=75,V1280&lt;175,W1280&lt;35),0.3,0)+IF(AND(V1280&gt;=75,V1280&lt;=175,W1280&gt;=35,W1280&lt;65),0.23,0)+IF(AND(V1280&gt;=75,V1280&lt;=175,W1280&gt;=65,W1280&lt;110),0.17,0)+IF(AND(V1280&gt;=75,V1280&lt;=175,W1280&gt;=110),0.12,0)+IF(AND(V1280&gt;175,W1280&lt;25),0.3,0)+IF(AND(V1280&gt;175,W1280&gt;=25,W1280&lt;55),0.23,0)+IF(AND(V1280&gt;175,W1280&gt;=55,W1280&lt;95),0.17,0)+IF(AND(V1280&gt;175,W1280&gt;=95),0.12,0),
IF(AF1280="DoEVLo",IF(AND(V1280&lt;20,W1280&lt;55),0.25,0)+IF(AND(V1280&lt;20,W1280&gt;=55,W1280&lt;105),0.2,0)+IF(AND(V1280&lt;20,W1280&gt;=105),0.15,0)+IF(AND(V1280&gt;=20,V1280&lt;40,W1280&lt;45),0.25,0)+IF(AND(V1280&gt;=20,V1280&lt;40,W1280&gt;=45,W1280&lt;95),0.2,0)+IF(AND(V1280&gt;=20,V1280&lt;40,W1280&gt;=95),0.15,0)+IF(AND(V1280&gt;=40,V1280&lt;75,W1280&lt;35),0.25,0)+IF(AND(V1280&gt;=40,V1280&lt;75,W1280&gt;=35,W1280&lt;75),0.2,0)+IF(AND(V1280&gt;=40,V1280&lt;75,W1280&gt;=75,W1280&lt;120),0.15,0)+IF(AND(V1280&gt;=40,V1280&lt;75,W1280&gt;=120),0.1,0)+IF(AND(V1280&gt;=75,V1280&lt;175,W1280&lt;35),0.25,0)+IF(AND(V1280&gt;=75,V1280&lt;=175,W1280&gt;=35,W1280&lt;65),0.2,0)+IF(AND(V1280&gt;=75,V1280&lt;=175,W1280&gt;=65,W1280&lt;110),0.15,0)+IF(AND(V1280&gt;=75,V1280&lt;=175,W1280&gt;=110),0.1,0)+IF(AND(V1280&gt;175,W1280&lt;25),0.25,0)+IF(AND(V1280&gt;175,W1280&gt;=25,W1280&lt;55),0.2,0)+IF(AND(V1280&gt;175,W1280&gt;=55,W1280&lt;95),0.15,0)+IF(AND(V1280&gt;175,W1280&gt;=95),0.1,0))))))))))))))))))))</f>
        <v>0.17</v>
      </c>
      <c r="Y1280" s="35">
        <f>if(AG1280="None",0,if(AG1280="Fix5",0.05, if(AG1280="Fix6.25",0.0625,if(AG1280="Fix3.75",0.0375, if(AG1280="Fix11",0.11, if(AG1280="Fix10",0.1,if(AG1280="Fix3",0.03,0)))))))</f>
        <v>0</v>
      </c>
      <c r="Z1280" s="40">
        <f>if(and(AD1280="EUR", AE1280 = "USD"), T1280*U1280-AA1280-AB1280, T1280-AA1280-AB1280)</f>
        <v>1194.614893</v>
      </c>
      <c r="AA1280" s="34">
        <f>IF(AND(AD1280="EUR", F1280="Without EV deal", AE1280="USD"), (T1280*X1280)*U1280, 
IF(AND(AD1280="EUR", F1280="Without EV deal", AE1280="EUR"), (T1280*X1280), 
IF(AND(AD1280="EUR",AE1280="USD"), (T1280*X1280)*U1280, 
T1280*X1280)))</f>
        <v>244.6801587</v>
      </c>
      <c r="AB1280" s="41">
        <f>IF(AND(AD1280="EUR", F1280="Without EV deal", AE1280="USD"), (T1280*Y1280)*U1280, 
IF(AND(AD1280="EUR", F1280="Without EV deal", AE1280="EUR"), (T1280*Y1280), 
IF(AND(AD1280="EUR",AE1280="USD"), (T1280*Y1280)*U1280, 
T1280*Y1280)))</f>
        <v>0</v>
      </c>
      <c r="AC1280" s="42" t="b">
        <v>0</v>
      </c>
      <c r="AD1280" s="87" t="str">
        <f>IF(OR(H1280="€0.25 Flash",
H1280="€0.25(nitro) new",
H1280="€1",
H1280="€2",
H1280="€2 (bf 01.08)",
H1280="€5",
H1280="€5 (1M)",
H1280="€5 (bf 01.08)",
H1280="€5 (bf 05.05)",
H1280="€5 Nitro",
H1280="€5(wx) new",
H1280="€10",
H1280="€10 (1M)",
H1280="€10 (bf 01.08)",
H1280="€10 (bf 05.05)",
H1280="€10 (MP)",
H1280="€10 (old)",
H1280="€10 Nitro (bf 05.05)",
H1280="€10 Nitro (old)",
H1280="€10(wx) new",
H1280="€20",
H1280="€25",
H1280="€25 (bf 01.08)",
H1280="€25 (bf 05.05)",
H1280="€25 (MP)",
H1280="€25 (old)",
H1280="€25 Nitro",
H1280="€25 Nitro (bf 01.08)",
H1280="€25 Nitro (bf 05.05)",
H1280="€25(nitro) new",
H1280="€25(wx) new",
H1280="€50",
H1280="€50 (bf 01.08)",
H1280="€50 (bf 05.05)",
H1280="€50 (old)",
H1280="€50 Nitro",
H1280="€50 Nitro (bf 01.08)",
H1280="€50 Nitro (bf 05.05)",
H1280="€50(wx) new",
H1280="€100",
H1280="€100 (old)",
H1280="€100 Nitro",
H1280="€100 Nitro (old)",
H1280="€200",
H1280="€250",
H1280="€250 Nitro",
H1280="€500",
H1280="€500 Nitro"),"EUR", "USD")
</f>
        <v>EUR</v>
      </c>
      <c r="AE1280" s="88" t="s">
        <v>140</v>
      </c>
      <c r="AF1280" s="88" t="str">
        <f t="array" ref="AF1280">INDEX('Deal Info'!D:D, MATCH(A1280,'Deal Info'!A:A, 0))</f>
        <v>DoEV</v>
      </c>
      <c r="AG1280" s="89" t="str">
        <f t="array" ref="AG1280">INDEX('Deal Info'!G:G, MATCH(A1280,'Deal Info'!A:A, 0))</f>
        <v>None</v>
      </c>
    </row>
    <row r="1281" hidden="1">
      <c r="A1281" s="23" t="s">
        <v>154</v>
      </c>
      <c r="B1281" s="50" t="s">
        <v>155</v>
      </c>
      <c r="C1281" s="51">
        <v>44652.0</v>
      </c>
      <c r="D1281" s="51">
        <v>44681.0</v>
      </c>
      <c r="E1281" s="52">
        <v>44652.0</v>
      </c>
      <c r="F1281" s="53" t="s">
        <v>12</v>
      </c>
      <c r="G1281" s="50" t="s">
        <v>9</v>
      </c>
      <c r="H1281" s="54" t="s">
        <v>56</v>
      </c>
      <c r="I1281" s="54" t="s">
        <v>7</v>
      </c>
      <c r="J1281" s="55">
        <v>10.0</v>
      </c>
      <c r="K1281" s="56">
        <v>2.0</v>
      </c>
      <c r="L1281" s="57">
        <v>30.0</v>
      </c>
      <c r="M1281" s="58">
        <v>83.0</v>
      </c>
      <c r="N1281" s="33">
        <f t="shared" si="155"/>
        <v>20</v>
      </c>
      <c r="O1281" s="59">
        <v>49.0</v>
      </c>
      <c r="P1281" s="34">
        <f t="shared" si="14"/>
        <v>24.5</v>
      </c>
      <c r="Q1281" s="60"/>
      <c r="R1281" s="36">
        <f t="shared" ref="R1281:R1494" si="196">M1281+Q1281</f>
        <v>83</v>
      </c>
      <c r="S1281" s="61"/>
      <c r="T1281" s="37">
        <f t="shared" ref="T1281:T1406" si="197">R1281+S1281+if(F1281="Without EV deal",L1281,0)</f>
        <v>113</v>
      </c>
      <c r="U1281" s="62">
        <v>1.055</v>
      </c>
      <c r="V1281" s="63"/>
      <c r="W1281" s="63"/>
      <c r="X1281" s="83">
        <v>0.25</v>
      </c>
      <c r="Y1281" s="35">
        <f>if(AG1281="None",0,if(AG1281="Fix5",0.05, if(AG1281="Fix6.25",0.0625,if(AG1281="Fix3.75",0.0375,if(AG1281="Fix10",0.1,if(AG1281="Fix3",0.03,0))))))</f>
        <v>0</v>
      </c>
      <c r="Z1281" s="40">
        <f t="shared" ref="Z1281:Z1406" si="198">T1281-AA1281-AB1281</f>
        <v>84.3375</v>
      </c>
      <c r="AA1281" s="34">
        <f t="shared" ref="AA1281:AA1406" si="199">if(AD1281="EUR",((T1281-R1281)*X1281)*U1281+(R1281*X1281),(T1281*X1281))</f>
        <v>28.6625</v>
      </c>
      <c r="AB1281" s="41">
        <f t="shared" ref="AB1281:AB1406" si="200">if(AD1281="EUR",((T1281-R1281)*Y1281)*U1281+(R1281*Y1281),(T1281*Y1281))</f>
        <v>0</v>
      </c>
      <c r="AC1281" s="42" t="b">
        <v>1</v>
      </c>
      <c r="AD1281" s="66" t="s">
        <v>140</v>
      </c>
      <c r="AE1281" s="66"/>
      <c r="AF1281" s="42" t="str">
        <f t="array" ref="AF1281">INDEX('Deal Info'!D:D, MATCH(A1281,'Deal Info'!A:A, 0))</f>
        <v>DoEVold</v>
      </c>
      <c r="AG1281" s="43" t="str">
        <f t="array" ref="AG1281">INDEX('Deal Info'!G:G, MATCH(A1281,'Deal Info'!A:A, 0))</f>
        <v>None</v>
      </c>
    </row>
    <row r="1282" hidden="1">
      <c r="A1282" s="23" t="str">
        <f t="array" ref="A1282">if(G1282='Room Info'!$B$1, INDEX('Room Info'!$A$2:$A3446, MATCH(B1282,'Room Info'!$B$2:$B3446, 0)),if(G1282='Room Info'!$C$1, INDEX('Room Info'!$A$2:$A3446, MATCH(B1282,'Room Info'!$C$2:$C3446, 0)),if(G1282='Room Info'!$D$1, INDEX('Room Info'!$A$2:$A3446, MATCH(B1282,'Room Info'!$D$2:$D3446, 0)),if(G1282='Room Info'!$E$1, INDEX('Room Info'!$A$2:$A3446, MATCH(B1282,'Room Info'!$E$2:$E3446, 0)),if(G1282='Room Info'!$F$1, INDEX('Room Info'!$A$2:$A3446, MATCH(B1282,'Room Info'!$F$2:$F3446, 0)),if(G1282='Room Info'!$H$1, INDEX('Room Info'!$A$2:$A3446, MATCH(B1282,'Room Info'!$H$2:$H3446, 0)),if(G1282='Room Info'!$G$1, INDEX('Room Info'!$A$2:$A3446, MATCH(B1282,'Room Info'!$G$2:$G3446, 0)))))))))</f>
        <v>TVREZ</v>
      </c>
      <c r="B1282" s="50" t="s">
        <v>214</v>
      </c>
      <c r="C1282" s="51">
        <v>44805.0</v>
      </c>
      <c r="D1282" s="51">
        <v>44834.0</v>
      </c>
      <c r="E1282" s="52">
        <v>44805.0</v>
      </c>
      <c r="F1282" s="53" t="s">
        <v>8</v>
      </c>
      <c r="G1282" s="59" t="s">
        <v>5</v>
      </c>
      <c r="H1282" s="54" t="s">
        <v>62</v>
      </c>
      <c r="I1282" s="54" t="s">
        <v>7</v>
      </c>
      <c r="J1282" s="55">
        <v>25.0</v>
      </c>
      <c r="K1282" s="56">
        <v>3595.0</v>
      </c>
      <c r="L1282" s="57">
        <v>3875.0</v>
      </c>
      <c r="M1282" s="58">
        <v>3837.0</v>
      </c>
      <c r="N1282" s="33">
        <f t="shared" si="155"/>
        <v>89875</v>
      </c>
      <c r="O1282" s="59">
        <v>143551.0</v>
      </c>
      <c r="P1282" s="34">
        <f t="shared" si="14"/>
        <v>39.93073713</v>
      </c>
      <c r="Q1282" s="60"/>
      <c r="R1282" s="36">
        <f t="shared" si="196"/>
        <v>3837</v>
      </c>
      <c r="S1282" s="61">
        <v>1306.0</v>
      </c>
      <c r="T1282" s="37">
        <f t="shared" si="197"/>
        <v>5143</v>
      </c>
      <c r="U1282" s="62">
        <v>1.0</v>
      </c>
      <c r="V1282" s="63"/>
      <c r="W1282" s="63"/>
      <c r="X1282" s="83">
        <v>0.17</v>
      </c>
      <c r="Y1282" s="83">
        <v>0.0</v>
      </c>
      <c r="Z1282" s="40">
        <f t="shared" si="198"/>
        <v>4268.69</v>
      </c>
      <c r="AA1282" s="34">
        <f t="shared" si="199"/>
        <v>874.31</v>
      </c>
      <c r="AB1282" s="41">
        <f t="shared" si="200"/>
        <v>0</v>
      </c>
      <c r="AC1282" s="42" t="b">
        <v>1</v>
      </c>
      <c r="AD1282" s="42" t="s">
        <v>138</v>
      </c>
      <c r="AE1282" s="42" t="s">
        <v>138</v>
      </c>
      <c r="AF1282" s="42" t="str">
        <f t="array" ref="AF1282">INDEX('Deal Info'!D:D, MATCH(A1282,'Deal Info'!A:A, 0))</f>
        <v>DoEV</v>
      </c>
      <c r="AG1282" s="43" t="str">
        <f t="array" ref="AG1282">INDEX('Deal Info'!G:G, MATCH(A1282,'Deal Info'!A:A, 0))</f>
        <v>Fix10</v>
      </c>
    </row>
    <row r="1283" hidden="1">
      <c r="A1283" s="23" t="str">
        <f t="array" ref="A1283">if(G1283='Room Info'!$B$1, INDEX('Room Info'!$A$2:$A3446, MATCH(B1283,'Room Info'!$B$2:$B3446, 0)),if(G1283='Room Info'!$C$1, INDEX('Room Info'!$A$2:$A3446, MATCH(B1283,'Room Info'!$C$2:$C3446, 0)),if(G1283='Room Info'!$D$1, INDEX('Room Info'!$A$2:$A3446, MATCH(B1283,'Room Info'!$D$2:$D3446, 0)),if(G1283='Room Info'!$E$1, INDEX('Room Info'!$A$2:$A3446, MATCH(B1283,'Room Info'!$E$2:$E3446, 0)),if(G1283='Room Info'!$F$1, INDEX('Room Info'!$A$2:$A3446, MATCH(B1283,'Room Info'!$F$2:$F3446, 0)),if(G1283='Room Info'!$H$1, INDEX('Room Info'!$A$2:$A3446, MATCH(B1283,'Room Info'!$H$2:$H3446, 0)),if(G1283='Room Info'!$G$1, INDEX('Room Info'!$A$2:$A3446, MATCH(B1283,'Room Info'!$G$2:$G3446, 0)))))))))</f>
        <v>TVREZ</v>
      </c>
      <c r="B1283" s="50" t="s">
        <v>214</v>
      </c>
      <c r="C1283" s="51">
        <v>44805.0</v>
      </c>
      <c r="D1283" s="51">
        <v>44834.0</v>
      </c>
      <c r="E1283" s="52">
        <v>44835.0</v>
      </c>
      <c r="F1283" s="53" t="s">
        <v>12</v>
      </c>
      <c r="G1283" s="50" t="s">
        <v>5</v>
      </c>
      <c r="H1283" s="54" t="s">
        <v>74</v>
      </c>
      <c r="I1283" s="54" t="s">
        <v>7</v>
      </c>
      <c r="J1283" s="55">
        <v>50.0</v>
      </c>
      <c r="K1283" s="56">
        <v>20.0</v>
      </c>
      <c r="L1283" s="57">
        <v>50.0</v>
      </c>
      <c r="M1283" s="58">
        <v>43.0</v>
      </c>
      <c r="N1283" s="33">
        <f t="shared" si="155"/>
        <v>1000</v>
      </c>
      <c r="O1283" s="59">
        <v>1017.0</v>
      </c>
      <c r="P1283" s="34">
        <f t="shared" si="14"/>
        <v>50.85</v>
      </c>
      <c r="Q1283" s="60"/>
      <c r="R1283" s="36">
        <f t="shared" si="196"/>
        <v>43</v>
      </c>
      <c r="S1283" s="61"/>
      <c r="T1283" s="37">
        <f t="shared" si="197"/>
        <v>93</v>
      </c>
      <c r="U1283" s="62">
        <v>1.0</v>
      </c>
      <c r="V1283" s="63"/>
      <c r="W1283" s="63"/>
      <c r="X1283" s="83">
        <v>0.17</v>
      </c>
      <c r="Y1283" s="83">
        <v>0.0</v>
      </c>
      <c r="Z1283" s="40">
        <f t="shared" si="198"/>
        <v>77.19</v>
      </c>
      <c r="AA1283" s="34">
        <f t="shared" si="199"/>
        <v>15.81</v>
      </c>
      <c r="AB1283" s="41">
        <f t="shared" si="200"/>
        <v>0</v>
      </c>
      <c r="AC1283" s="42" t="b">
        <v>1</v>
      </c>
      <c r="AD1283" s="42" t="s">
        <v>138</v>
      </c>
      <c r="AE1283" s="42" t="s">
        <v>138</v>
      </c>
      <c r="AF1283" s="42" t="str">
        <f t="array" ref="AF1283">INDEX('Deal Info'!D:D, MATCH(A1283,'Deal Info'!A:A, 0))</f>
        <v>DoEV</v>
      </c>
      <c r="AG1283" s="43" t="str">
        <f t="array" ref="AG1283">INDEX('Deal Info'!G:G, MATCH(A1283,'Deal Info'!A:A, 0))</f>
        <v>Fix10</v>
      </c>
    </row>
    <row r="1284" hidden="1">
      <c r="A1284" s="23" t="str">
        <f t="array" ref="A1284">if(G1284='Room Info'!$B$1, INDEX('Room Info'!$A$2:$A3446, MATCH(B1284,'Room Info'!$B$2:$B3446, 0)),if(G1284='Room Info'!$C$1, INDEX('Room Info'!$A$2:$A3446, MATCH(B1284,'Room Info'!$C$2:$C3446, 0)),if(G1284='Room Info'!$D$1, INDEX('Room Info'!$A$2:$A3446, MATCH(B1284,'Room Info'!$D$2:$D3446, 0)),if(G1284='Room Info'!$E$1, INDEX('Room Info'!$A$2:$A3446, MATCH(B1284,'Room Info'!$E$2:$E3446, 0)),if(G1284='Room Info'!$F$1, INDEX('Room Info'!$A$2:$A3446, MATCH(B1284,'Room Info'!$F$2:$F3446, 0)),if(G1284='Room Info'!$H$1, INDEX('Room Info'!$A$2:$A3446, MATCH(B1284,'Room Info'!$H$2:$H3446, 0)),if(G1284='Room Info'!$G$1, INDEX('Room Info'!$A$2:$A3446, MATCH(B1284,'Room Info'!$G$2:$G3446, 0)))))))))</f>
        <v>TVREZ</v>
      </c>
      <c r="B1284" s="50" t="s">
        <v>214</v>
      </c>
      <c r="C1284" s="51">
        <v>44835.0</v>
      </c>
      <c r="D1284" s="51">
        <v>44865.0</v>
      </c>
      <c r="E1284" s="52">
        <v>44835.0</v>
      </c>
      <c r="F1284" s="53" t="s">
        <v>8</v>
      </c>
      <c r="G1284" s="50" t="s">
        <v>5</v>
      </c>
      <c r="H1284" s="54" t="s">
        <v>62</v>
      </c>
      <c r="I1284" s="54" t="s">
        <v>7</v>
      </c>
      <c r="J1284" s="55">
        <v>25.0</v>
      </c>
      <c r="K1284" s="56">
        <v>2060.0</v>
      </c>
      <c r="L1284" s="57">
        <v>2550.0</v>
      </c>
      <c r="M1284" s="58">
        <v>2081.0</v>
      </c>
      <c r="N1284" s="33">
        <f t="shared" si="155"/>
        <v>51500</v>
      </c>
      <c r="O1284" s="59">
        <v>97258.0</v>
      </c>
      <c r="P1284" s="34">
        <f t="shared" si="14"/>
        <v>47.21262136</v>
      </c>
      <c r="Q1284" s="60"/>
      <c r="R1284" s="36">
        <f t="shared" si="196"/>
        <v>2081</v>
      </c>
      <c r="S1284" s="61">
        <v>932.0</v>
      </c>
      <c r="T1284" s="37">
        <f t="shared" si="197"/>
        <v>3013</v>
      </c>
      <c r="U1284" s="62">
        <v>1.0</v>
      </c>
      <c r="V1284" s="63"/>
      <c r="W1284" s="63"/>
      <c r="X1284" s="83">
        <v>0.23</v>
      </c>
      <c r="Y1284" s="83">
        <v>0.0</v>
      </c>
      <c r="Z1284" s="40">
        <f t="shared" si="198"/>
        <v>2320.01</v>
      </c>
      <c r="AA1284" s="34">
        <f t="shared" si="199"/>
        <v>692.99</v>
      </c>
      <c r="AB1284" s="41">
        <f t="shared" si="200"/>
        <v>0</v>
      </c>
      <c r="AC1284" s="42" t="b">
        <v>1</v>
      </c>
      <c r="AD1284" s="42" t="s">
        <v>138</v>
      </c>
      <c r="AE1284" s="42" t="s">
        <v>138</v>
      </c>
      <c r="AF1284" s="42" t="str">
        <f t="array" ref="AF1284">INDEX('Deal Info'!D:D, MATCH(A1284,'Deal Info'!A:A, 0))</f>
        <v>DoEV</v>
      </c>
      <c r="AG1284" s="43" t="str">
        <f t="array" ref="AG1284">INDEX('Deal Info'!G:G, MATCH(A1284,'Deal Info'!A:A, 0))</f>
        <v>Fix10</v>
      </c>
    </row>
    <row r="1285" hidden="1">
      <c r="A1285" s="23" t="str">
        <f t="array" ref="A1285">if(G1285='Room Info'!$B$1, INDEX('Room Info'!$A$2:$A3446, MATCH(B1285,'Room Info'!$B$2:$B3446, 0)),if(G1285='Room Info'!$C$1, INDEX('Room Info'!$A$2:$A3446, MATCH(B1285,'Room Info'!$C$2:$C3446, 0)),if(G1285='Room Info'!$D$1, INDEX('Room Info'!$A$2:$A3446, MATCH(B1285,'Room Info'!$D$2:$D3446, 0)),if(G1285='Room Info'!$E$1, INDEX('Room Info'!$A$2:$A3446, MATCH(B1285,'Room Info'!$E$2:$E3446, 0)),if(G1285='Room Info'!$F$1, INDEX('Room Info'!$A$2:$A3446, MATCH(B1285,'Room Info'!$F$2:$F3446, 0)),if(G1285='Room Info'!$H$1, INDEX('Room Info'!$A$2:$A3446, MATCH(B1285,'Room Info'!$H$2:$H3446, 0)),if(G1285='Room Info'!$G$1, INDEX('Room Info'!$A$2:$A3446, MATCH(B1285,'Room Info'!$G$2:$G3446, 0)))))))))</f>
        <v>TVREZ</v>
      </c>
      <c r="B1285" s="50" t="s">
        <v>214</v>
      </c>
      <c r="C1285" s="51">
        <v>44849.0</v>
      </c>
      <c r="D1285" s="51">
        <v>44865.0</v>
      </c>
      <c r="E1285" s="52">
        <v>44835.0</v>
      </c>
      <c r="F1285" s="53" t="s">
        <v>8</v>
      </c>
      <c r="G1285" s="50" t="s">
        <v>5</v>
      </c>
      <c r="H1285" s="54" t="s">
        <v>74</v>
      </c>
      <c r="I1285" s="54" t="s">
        <v>7</v>
      </c>
      <c r="J1285" s="55">
        <v>50.0</v>
      </c>
      <c r="K1285" s="56">
        <v>736.0</v>
      </c>
      <c r="L1285" s="57">
        <v>-2900.0</v>
      </c>
      <c r="M1285" s="58">
        <v>1489.0</v>
      </c>
      <c r="N1285" s="33">
        <f t="shared" si="155"/>
        <v>36800</v>
      </c>
      <c r="O1285" s="59">
        <v>-4231.0</v>
      </c>
      <c r="P1285" s="34">
        <f t="shared" si="14"/>
        <v>-5.748641304</v>
      </c>
      <c r="Q1285" s="60"/>
      <c r="R1285" s="36">
        <f t="shared" si="196"/>
        <v>1489</v>
      </c>
      <c r="S1285" s="61">
        <v>-2929.0</v>
      </c>
      <c r="T1285" s="37">
        <f t="shared" si="197"/>
        <v>-1440</v>
      </c>
      <c r="U1285" s="62">
        <v>1.0</v>
      </c>
      <c r="V1285" s="63"/>
      <c r="W1285" s="63"/>
      <c r="X1285" s="83">
        <v>0.23</v>
      </c>
      <c r="Y1285" s="83">
        <v>0.0</v>
      </c>
      <c r="Z1285" s="40">
        <f t="shared" si="198"/>
        <v>-1108.8</v>
      </c>
      <c r="AA1285" s="34">
        <f t="shared" si="199"/>
        <v>-331.2</v>
      </c>
      <c r="AB1285" s="41">
        <f t="shared" si="200"/>
        <v>0</v>
      </c>
      <c r="AC1285" s="42" t="b">
        <v>1</v>
      </c>
      <c r="AD1285" s="42" t="s">
        <v>138</v>
      </c>
      <c r="AE1285" s="42" t="s">
        <v>138</v>
      </c>
      <c r="AF1285" s="42" t="str">
        <f t="array" ref="AF1285">INDEX('Deal Info'!D:D, MATCH(A1285,'Deal Info'!A:A, 0))</f>
        <v>DoEV</v>
      </c>
      <c r="AG1285" s="43" t="str">
        <f t="array" ref="AG1285">INDEX('Deal Info'!G:G, MATCH(A1285,'Deal Info'!A:A, 0))</f>
        <v>Fix10</v>
      </c>
    </row>
    <row r="1286" hidden="1">
      <c r="A1286" s="23" t="str">
        <f t="array" ref="A1286">if(G1286='Room Info'!$B$1, INDEX('Room Info'!$A$2:$A3446, MATCH(B1286,'Room Info'!$B$2:$B3446, 0)),if(G1286='Room Info'!$C$1, INDEX('Room Info'!$A$2:$A3446, MATCH(B1286,'Room Info'!$C$2:$C3446, 0)),if(G1286='Room Info'!$D$1, INDEX('Room Info'!$A$2:$A3446, MATCH(B1286,'Room Info'!$D$2:$D3446, 0)),if(G1286='Room Info'!$E$1, INDEX('Room Info'!$A$2:$A3446, MATCH(B1286,'Room Info'!$E$2:$E3446, 0)),if(G1286='Room Info'!$F$1, INDEX('Room Info'!$A$2:$A3446, MATCH(B1286,'Room Info'!$F$2:$F3446, 0)),if(G1286='Room Info'!$H$1, INDEX('Room Info'!$A$2:$A3446, MATCH(B1286,'Room Info'!$H$2:$H3446, 0)),if(G1286='Room Info'!$G$1, INDEX('Room Info'!$A$2:$A3446, MATCH(B1286,'Room Info'!$G$2:$G3446, 0)))))))))</f>
        <v>TVREZ</v>
      </c>
      <c r="B1286" s="50" t="s">
        <v>214</v>
      </c>
      <c r="C1286" s="51">
        <v>44866.0</v>
      </c>
      <c r="D1286" s="51">
        <v>44895.0</v>
      </c>
      <c r="E1286" s="52">
        <v>44866.0</v>
      </c>
      <c r="F1286" s="53" t="s">
        <v>8</v>
      </c>
      <c r="G1286" s="50" t="s">
        <v>5</v>
      </c>
      <c r="H1286" s="54" t="s">
        <v>62</v>
      </c>
      <c r="I1286" s="54" t="s">
        <v>7</v>
      </c>
      <c r="J1286" s="55">
        <v>25.0</v>
      </c>
      <c r="K1286" s="56">
        <v>3619.0</v>
      </c>
      <c r="L1286" s="57">
        <v>-500.0</v>
      </c>
      <c r="M1286" s="58">
        <v>3738.0</v>
      </c>
      <c r="N1286" s="33">
        <f t="shared" si="155"/>
        <v>90475</v>
      </c>
      <c r="O1286" s="59">
        <v>56968.0</v>
      </c>
      <c r="P1286" s="34">
        <f t="shared" si="14"/>
        <v>15.74136502</v>
      </c>
      <c r="Q1286" s="60"/>
      <c r="R1286" s="36">
        <f t="shared" si="196"/>
        <v>3738</v>
      </c>
      <c r="S1286" s="61">
        <v>-3424.0</v>
      </c>
      <c r="T1286" s="37">
        <f t="shared" si="197"/>
        <v>314</v>
      </c>
      <c r="U1286" s="62">
        <v>1.0</v>
      </c>
      <c r="V1286" s="63"/>
      <c r="W1286" s="63"/>
      <c r="X1286" s="83">
        <v>0.3</v>
      </c>
      <c r="Y1286" s="83">
        <v>0.0</v>
      </c>
      <c r="Z1286" s="40">
        <f t="shared" si="198"/>
        <v>219.8</v>
      </c>
      <c r="AA1286" s="34">
        <f t="shared" si="199"/>
        <v>94.2</v>
      </c>
      <c r="AB1286" s="41">
        <f t="shared" si="200"/>
        <v>0</v>
      </c>
      <c r="AC1286" s="42" t="b">
        <v>1</v>
      </c>
      <c r="AD1286" s="42" t="s">
        <v>138</v>
      </c>
      <c r="AE1286" s="42" t="s">
        <v>138</v>
      </c>
      <c r="AF1286" s="42" t="str">
        <f t="array" ref="AF1286">INDEX('Deal Info'!D:D, MATCH(A1286,'Deal Info'!A:A, 0))</f>
        <v>DoEV</v>
      </c>
      <c r="AG1286" s="43" t="str">
        <f t="array" ref="AG1286">INDEX('Deal Info'!G:G, MATCH(A1286,'Deal Info'!A:A, 0))</f>
        <v>Fix10</v>
      </c>
    </row>
    <row r="1287" hidden="1">
      <c r="A1287" s="23" t="str">
        <f t="array" ref="A1287">if(G1287='Room Info'!$B$1, INDEX('Room Info'!$A$2:$A3446, MATCH(B1287,'Room Info'!$B$2:$B3446, 0)),if(G1287='Room Info'!$C$1, INDEX('Room Info'!$A$2:$A3446, MATCH(B1287,'Room Info'!$C$2:$C3446, 0)),if(G1287='Room Info'!$D$1, INDEX('Room Info'!$A$2:$A3446, MATCH(B1287,'Room Info'!$D$2:$D3446, 0)),if(G1287='Room Info'!$E$1, INDEX('Room Info'!$A$2:$A3446, MATCH(B1287,'Room Info'!$E$2:$E3446, 0)),if(G1287='Room Info'!$F$1, INDEX('Room Info'!$A$2:$A3446, MATCH(B1287,'Room Info'!$F$2:$F3446, 0)),if(G1287='Room Info'!$H$1, INDEX('Room Info'!$A$2:$A3446, MATCH(B1287,'Room Info'!$H$2:$H3446, 0)),if(G1287='Room Info'!$G$1, INDEX('Room Info'!$A$2:$A3446, MATCH(B1287,'Room Info'!$G$2:$G3446, 0)))))))))</f>
        <v>TVREZ</v>
      </c>
      <c r="B1287" s="50" t="s">
        <v>214</v>
      </c>
      <c r="C1287" s="51">
        <v>44866.0</v>
      </c>
      <c r="D1287" s="51">
        <v>44895.0</v>
      </c>
      <c r="E1287" s="52">
        <v>44866.0</v>
      </c>
      <c r="F1287" s="53" t="s">
        <v>12</v>
      </c>
      <c r="G1287" s="50" t="s">
        <v>5</v>
      </c>
      <c r="H1287" s="54" t="s">
        <v>74</v>
      </c>
      <c r="I1287" s="54" t="s">
        <v>7</v>
      </c>
      <c r="J1287" s="55">
        <v>50.0</v>
      </c>
      <c r="K1287" s="56">
        <v>8.0</v>
      </c>
      <c r="L1287" s="57">
        <v>-50.0</v>
      </c>
      <c r="M1287" s="58">
        <v>17.0</v>
      </c>
      <c r="N1287" s="33">
        <f t="shared" si="155"/>
        <v>400</v>
      </c>
      <c r="O1287" s="70"/>
      <c r="P1287" s="34">
        <f t="shared" si="14"/>
        <v>0</v>
      </c>
      <c r="Q1287" s="60"/>
      <c r="R1287" s="36">
        <f t="shared" si="196"/>
        <v>17</v>
      </c>
      <c r="S1287" s="71"/>
      <c r="T1287" s="37">
        <f t="shared" si="197"/>
        <v>-33</v>
      </c>
      <c r="U1287" s="62">
        <v>1.0</v>
      </c>
      <c r="V1287" s="63"/>
      <c r="W1287" s="63"/>
      <c r="X1287" s="83">
        <v>0.3</v>
      </c>
      <c r="Y1287" s="83">
        <v>0.0</v>
      </c>
      <c r="Z1287" s="40">
        <f t="shared" si="198"/>
        <v>-23.1</v>
      </c>
      <c r="AA1287" s="34">
        <f t="shared" si="199"/>
        <v>-9.9</v>
      </c>
      <c r="AB1287" s="41">
        <f t="shared" si="200"/>
        <v>0</v>
      </c>
      <c r="AC1287" s="42" t="b">
        <v>1</v>
      </c>
      <c r="AD1287" s="42" t="s">
        <v>138</v>
      </c>
      <c r="AE1287" s="42" t="s">
        <v>138</v>
      </c>
      <c r="AF1287" s="42" t="str">
        <f t="array" ref="AF1287">INDEX('Deal Info'!D:D, MATCH(A1287,'Deal Info'!A:A, 0))</f>
        <v>DoEV</v>
      </c>
      <c r="AG1287" s="43" t="str">
        <f t="array" ref="AG1287">INDEX('Deal Info'!G:G, MATCH(A1287,'Deal Info'!A:A, 0))</f>
        <v>Fix10</v>
      </c>
    </row>
    <row r="1288" hidden="1">
      <c r="A1288" s="23" t="str">
        <f t="array" ref="A1288">if(G1288='Room Info'!$B$1, INDEX('Room Info'!$A$2:$A3446, MATCH(B1288,'Room Info'!$B$2:$B3446, 0)),if(G1288='Room Info'!$C$1, INDEX('Room Info'!$A$2:$A3446, MATCH(B1288,'Room Info'!$C$2:$C3446, 0)),if(G1288='Room Info'!$D$1, INDEX('Room Info'!$A$2:$A3446, MATCH(B1288,'Room Info'!$D$2:$D3446, 0)),if(G1288='Room Info'!$E$1, INDEX('Room Info'!$A$2:$A3446, MATCH(B1288,'Room Info'!$E$2:$E3446, 0)),if(G1288='Room Info'!$F$1, INDEX('Room Info'!$A$2:$A3446, MATCH(B1288,'Room Info'!$F$2:$F3446, 0)),if(G1288='Room Info'!$H$1, INDEX('Room Info'!$A$2:$A3446, MATCH(B1288,'Room Info'!$H$2:$H3446, 0)),if(G1288='Room Info'!$G$1, INDEX('Room Info'!$A$2:$A3446, MATCH(B1288,'Room Info'!$G$2:$G3446, 0)))))))))</f>
        <v>TVREZ</v>
      </c>
      <c r="B1288" s="50" t="s">
        <v>214</v>
      </c>
      <c r="C1288" s="82">
        <v>44896.0</v>
      </c>
      <c r="D1288" s="51">
        <v>44915.0</v>
      </c>
      <c r="E1288" s="52">
        <v>44896.0</v>
      </c>
      <c r="F1288" s="53" t="s">
        <v>8</v>
      </c>
      <c r="G1288" s="59" t="s">
        <v>5</v>
      </c>
      <c r="H1288" s="59" t="s">
        <v>62</v>
      </c>
      <c r="I1288" s="54" t="s">
        <v>7</v>
      </c>
      <c r="J1288" s="55">
        <v>25.0</v>
      </c>
      <c r="K1288" s="56">
        <v>3138.0</v>
      </c>
      <c r="L1288" s="57">
        <v>-4350.0</v>
      </c>
      <c r="M1288" s="58">
        <v>3275.0</v>
      </c>
      <c r="N1288" s="33">
        <f t="shared" si="155"/>
        <v>78450</v>
      </c>
      <c r="O1288" s="59">
        <v>83999.0</v>
      </c>
      <c r="P1288" s="34">
        <f t="shared" si="14"/>
        <v>26.76832377</v>
      </c>
      <c r="Q1288" s="60"/>
      <c r="R1288" s="36">
        <f t="shared" si="196"/>
        <v>3275</v>
      </c>
      <c r="S1288" s="61">
        <v>-1194.0</v>
      </c>
      <c r="T1288" s="37">
        <f t="shared" si="197"/>
        <v>2081</v>
      </c>
      <c r="U1288" s="62">
        <v>1.0</v>
      </c>
      <c r="V1288" s="63"/>
      <c r="W1288" s="63"/>
      <c r="X1288" s="83">
        <v>0.17</v>
      </c>
      <c r="Y1288" s="83">
        <v>0.1</v>
      </c>
      <c r="Z1288" s="40">
        <f t="shared" si="198"/>
        <v>1519.13</v>
      </c>
      <c r="AA1288" s="34">
        <f t="shared" si="199"/>
        <v>353.77</v>
      </c>
      <c r="AB1288" s="41">
        <f t="shared" si="200"/>
        <v>208.1</v>
      </c>
      <c r="AC1288" s="42" t="b">
        <v>1</v>
      </c>
      <c r="AD1288" s="42" t="s">
        <v>138</v>
      </c>
      <c r="AE1288" s="42" t="s">
        <v>138</v>
      </c>
      <c r="AF1288" s="42" t="str">
        <f t="array" ref="AF1288">INDEX('Deal Info'!D:D, MATCH(A1288,'Deal Info'!A:A, 0))</f>
        <v>DoEV</v>
      </c>
      <c r="AG1288" s="43" t="str">
        <f t="array" ref="AG1288">INDEX('Deal Info'!G:G, MATCH(A1288,'Deal Info'!A:A, 0))</f>
        <v>Fix10</v>
      </c>
    </row>
    <row r="1289" hidden="1">
      <c r="A1289" s="23" t="str">
        <f t="array" ref="A1289">if(G1289='Room Info'!$B$1, INDEX('Room Info'!$A$2:$A3446, MATCH(B1289,'Room Info'!$B$2:$B3446, 0)),if(G1289='Room Info'!$C$1, INDEX('Room Info'!$A$2:$A3446, MATCH(B1289,'Room Info'!$C$2:$C3446, 0)),if(G1289='Room Info'!$D$1, INDEX('Room Info'!$A$2:$A3446, MATCH(B1289,'Room Info'!$D$2:$D3446, 0)),if(G1289='Room Info'!$E$1, INDEX('Room Info'!$A$2:$A3446, MATCH(B1289,'Room Info'!$E$2:$E3446, 0)),if(G1289='Room Info'!$F$1, INDEX('Room Info'!$A$2:$A3446, MATCH(B1289,'Room Info'!$F$2:$F3446, 0)),if(G1289='Room Info'!$H$1, INDEX('Room Info'!$A$2:$A3446, MATCH(B1289,'Room Info'!$H$2:$H3446, 0)),if(G1289='Room Info'!$G$1, INDEX('Room Info'!$A$2:$A3446, MATCH(B1289,'Room Info'!$G$2:$G3446, 0)))))))))</f>
        <v>TVREZ</v>
      </c>
      <c r="B1289" s="59" t="s">
        <v>214</v>
      </c>
      <c r="C1289" s="51">
        <v>44896.0</v>
      </c>
      <c r="D1289" s="51">
        <v>44915.0</v>
      </c>
      <c r="E1289" s="52">
        <v>44896.0</v>
      </c>
      <c r="F1289" s="50" t="s">
        <v>12</v>
      </c>
      <c r="G1289" s="59" t="s">
        <v>5</v>
      </c>
      <c r="H1289" s="54" t="s">
        <v>74</v>
      </c>
      <c r="I1289" s="54" t="s">
        <v>7</v>
      </c>
      <c r="J1289" s="79">
        <v>50.0</v>
      </c>
      <c r="K1289" s="80">
        <v>12.0</v>
      </c>
      <c r="L1289" s="77">
        <v>-100.0</v>
      </c>
      <c r="M1289" s="58">
        <v>25.0</v>
      </c>
      <c r="N1289" s="33">
        <f t="shared" si="155"/>
        <v>600</v>
      </c>
      <c r="O1289" s="101"/>
      <c r="P1289" s="34">
        <f t="shared" si="14"/>
        <v>0</v>
      </c>
      <c r="Q1289" s="60"/>
      <c r="R1289" s="36">
        <f t="shared" si="196"/>
        <v>25</v>
      </c>
      <c r="S1289" s="102"/>
      <c r="T1289" s="37">
        <f t="shared" si="197"/>
        <v>-75</v>
      </c>
      <c r="U1289" s="62">
        <v>1.0</v>
      </c>
      <c r="V1289" s="63"/>
      <c r="W1289" s="63"/>
      <c r="X1289" s="83">
        <v>0.17</v>
      </c>
      <c r="Y1289" s="83">
        <v>0.1</v>
      </c>
      <c r="Z1289" s="40">
        <f t="shared" si="198"/>
        <v>-54.75</v>
      </c>
      <c r="AA1289" s="34">
        <f t="shared" si="199"/>
        <v>-12.75</v>
      </c>
      <c r="AB1289" s="41">
        <f t="shared" si="200"/>
        <v>-7.5</v>
      </c>
      <c r="AC1289" s="42" t="b">
        <v>1</v>
      </c>
      <c r="AD1289" s="42" t="s">
        <v>138</v>
      </c>
      <c r="AE1289" s="42" t="s">
        <v>138</v>
      </c>
      <c r="AF1289" s="42" t="str">
        <f t="array" ref="AF1289">INDEX('Deal Info'!D:D, MATCH(A1289,'Deal Info'!A:A, 0))</f>
        <v>DoEV</v>
      </c>
      <c r="AG1289" s="43" t="str">
        <f t="array" ref="AG1289">INDEX('Deal Info'!G:G, MATCH(A1289,'Deal Info'!A:A, 0))</f>
        <v>Fix10</v>
      </c>
    </row>
    <row r="1290" hidden="1">
      <c r="A1290" s="23" t="str">
        <f t="array" ref="A1290">if(G1290='Room Info'!$B$1, INDEX('Room Info'!$A$2:$A3446, MATCH(B1290,'Room Info'!$B$2:$B3446, 0)),if(G1290='Room Info'!$C$1, INDEX('Room Info'!$A$2:$A3446, MATCH(B1290,'Room Info'!$C$2:$C3446, 0)),if(G1290='Room Info'!$D$1, INDEX('Room Info'!$A$2:$A3446, MATCH(B1290,'Room Info'!$D$2:$D3446, 0)),if(G1290='Room Info'!$E$1, INDEX('Room Info'!$A$2:$A3446, MATCH(B1290,'Room Info'!$E$2:$E3446, 0)),if(G1290='Room Info'!$F$1, INDEX('Room Info'!$A$2:$A3446, MATCH(B1290,'Room Info'!$F$2:$F3446, 0)),if(G1290='Room Info'!$H$1, INDEX('Room Info'!$A$2:$A3446, MATCH(B1290,'Room Info'!$H$2:$H3446, 0)),if(G1290='Room Info'!$G$1, INDEX('Room Info'!$A$2:$A3446, MATCH(B1290,'Room Info'!$G$2:$G3446, 0)))))))))</f>
        <v>TVREZ</v>
      </c>
      <c r="B1290" s="59" t="s">
        <v>214</v>
      </c>
      <c r="C1290" s="51">
        <v>44916.0</v>
      </c>
      <c r="D1290" s="51">
        <v>44957.0</v>
      </c>
      <c r="E1290" s="52">
        <v>44927.0</v>
      </c>
      <c r="F1290" s="50" t="s">
        <v>8</v>
      </c>
      <c r="G1290" s="59" t="s">
        <v>5</v>
      </c>
      <c r="H1290" s="54" t="s">
        <v>62</v>
      </c>
      <c r="I1290" s="54" t="s">
        <v>7</v>
      </c>
      <c r="J1290" s="79">
        <v>25.0</v>
      </c>
      <c r="K1290" s="80">
        <v>4085.0</v>
      </c>
      <c r="L1290" s="77">
        <v>200.0</v>
      </c>
      <c r="M1290" s="58">
        <v>4343.0</v>
      </c>
      <c r="N1290" s="33">
        <f t="shared" si="155"/>
        <v>102125</v>
      </c>
      <c r="O1290" s="50">
        <v>164997.0</v>
      </c>
      <c r="P1290" s="34">
        <f t="shared" si="14"/>
        <v>40.39094247</v>
      </c>
      <c r="Q1290" s="60"/>
      <c r="R1290" s="36">
        <f t="shared" si="196"/>
        <v>4343</v>
      </c>
      <c r="S1290" s="78">
        <v>1297.0</v>
      </c>
      <c r="T1290" s="37">
        <f t="shared" si="197"/>
        <v>5640</v>
      </c>
      <c r="U1290" s="62">
        <v>1.0</v>
      </c>
      <c r="V1290" s="63"/>
      <c r="W1290" s="63"/>
      <c r="X1290" s="83">
        <v>0.17</v>
      </c>
      <c r="Y1290" s="83">
        <v>0.1</v>
      </c>
      <c r="Z1290" s="40">
        <f t="shared" si="198"/>
        <v>4117.2</v>
      </c>
      <c r="AA1290" s="34">
        <f t="shared" si="199"/>
        <v>958.8</v>
      </c>
      <c r="AB1290" s="41">
        <f t="shared" si="200"/>
        <v>564</v>
      </c>
      <c r="AC1290" s="42" t="b">
        <v>1</v>
      </c>
      <c r="AD1290" s="42" t="s">
        <v>138</v>
      </c>
      <c r="AE1290" s="42" t="s">
        <v>138</v>
      </c>
      <c r="AF1290" s="42" t="str">
        <f t="array" ref="AF1290">INDEX('Deal Info'!D:D, MATCH(A1290,'Deal Info'!A:A, 0))</f>
        <v>DoEV</v>
      </c>
      <c r="AG1290" s="43" t="str">
        <f t="array" ref="AG1290">INDEX('Deal Info'!G:G, MATCH(A1290,'Deal Info'!A:A, 0))</f>
        <v>Fix10</v>
      </c>
    </row>
    <row r="1291" hidden="1">
      <c r="A1291" s="23" t="str">
        <f t="array" ref="A1291">if(G1291='Room Info'!$B$1, INDEX('Room Info'!$A$2:$A3446, MATCH(B1291,'Room Info'!$B$2:$B3446, 0)),if(G1291='Room Info'!$C$1, INDEX('Room Info'!$A$2:$A3446, MATCH(B1291,'Room Info'!$C$2:$C3446, 0)),if(G1291='Room Info'!$D$1, INDEX('Room Info'!$A$2:$A3446, MATCH(B1291,'Room Info'!$D$2:$D3446, 0)),if(G1291='Room Info'!$E$1, INDEX('Room Info'!$A$2:$A3446, MATCH(B1291,'Room Info'!$E$2:$E3446, 0)),if(G1291='Room Info'!$F$1, INDEX('Room Info'!$A$2:$A3446, MATCH(B1291,'Room Info'!$F$2:$F3446, 0)),if(G1291='Room Info'!$H$1, INDEX('Room Info'!$A$2:$A3446, MATCH(B1291,'Room Info'!$H$2:$H3446, 0)),if(G1291='Room Info'!$G$1, INDEX('Room Info'!$A$2:$A3446, MATCH(B1291,'Room Info'!$G$2:$G3446, 0)))))))))</f>
        <v>TVREZ</v>
      </c>
      <c r="B1291" s="50" t="s">
        <v>214</v>
      </c>
      <c r="C1291" s="51">
        <v>44916.0</v>
      </c>
      <c r="D1291" s="51">
        <v>44957.0</v>
      </c>
      <c r="E1291" s="52">
        <v>44927.0</v>
      </c>
      <c r="F1291" s="53" t="s">
        <v>8</v>
      </c>
      <c r="G1291" s="59" t="s">
        <v>5</v>
      </c>
      <c r="H1291" s="54" t="s">
        <v>74</v>
      </c>
      <c r="I1291" s="54" t="s">
        <v>7</v>
      </c>
      <c r="J1291" s="79">
        <v>50.0</v>
      </c>
      <c r="K1291" s="80">
        <v>8.0</v>
      </c>
      <c r="L1291" s="77">
        <v>-200.0</v>
      </c>
      <c r="M1291" s="58">
        <v>17.0</v>
      </c>
      <c r="N1291" s="33">
        <f t="shared" si="155"/>
        <v>400</v>
      </c>
      <c r="O1291" s="101"/>
      <c r="P1291" s="34">
        <f t="shared" si="14"/>
        <v>0</v>
      </c>
      <c r="Q1291" s="60"/>
      <c r="R1291" s="36">
        <f t="shared" si="196"/>
        <v>17</v>
      </c>
      <c r="S1291" s="102"/>
      <c r="T1291" s="37">
        <f t="shared" si="197"/>
        <v>17</v>
      </c>
      <c r="U1291" s="62">
        <v>1.0</v>
      </c>
      <c r="V1291" s="63"/>
      <c r="W1291" s="63"/>
      <c r="X1291" s="83">
        <v>0.17</v>
      </c>
      <c r="Y1291" s="83">
        <v>0.1</v>
      </c>
      <c r="Z1291" s="40">
        <f t="shared" si="198"/>
        <v>12.41</v>
      </c>
      <c r="AA1291" s="34">
        <f t="shared" si="199"/>
        <v>2.89</v>
      </c>
      <c r="AB1291" s="41">
        <f t="shared" si="200"/>
        <v>1.7</v>
      </c>
      <c r="AC1291" s="42" t="b">
        <v>1</v>
      </c>
      <c r="AD1291" s="42" t="s">
        <v>138</v>
      </c>
      <c r="AE1291" s="42" t="s">
        <v>138</v>
      </c>
      <c r="AF1291" s="42" t="str">
        <f t="array" ref="AF1291">INDEX('Deal Info'!D:D, MATCH(A1291,'Deal Info'!A:A, 0))</f>
        <v>DoEV</v>
      </c>
      <c r="AG1291" s="43" t="str">
        <f t="array" ref="AG1291">INDEX('Deal Info'!G:G, MATCH(A1291,'Deal Info'!A:A, 0))</f>
        <v>Fix10</v>
      </c>
    </row>
    <row r="1292" hidden="1">
      <c r="A1292" s="23" t="str">
        <f t="array" ref="A1292">if(G1292='Room Info'!$B$1, INDEX('Room Info'!$A$2:$A3446, MATCH(B1292,'Room Info'!$B$2:$B3446, 0)),if(G1292='Room Info'!$C$1, INDEX('Room Info'!$A$2:$A3446, MATCH(B1292,'Room Info'!$C$2:$C3446, 0)),if(G1292='Room Info'!$D$1, INDEX('Room Info'!$A$2:$A3446, MATCH(B1292,'Room Info'!$D$2:$D3446, 0)),if(G1292='Room Info'!$E$1, INDEX('Room Info'!$A$2:$A3446, MATCH(B1292,'Room Info'!$E$2:$E3446, 0)),if(G1292='Room Info'!$F$1, INDEX('Room Info'!$A$2:$A3446, MATCH(B1292,'Room Info'!$F$2:$F3446, 0)),if(G1292='Room Info'!$H$1, INDEX('Room Info'!$A$2:$A3446, MATCH(B1292,'Room Info'!$H$2:$H3446, 0)),if(G1292='Room Info'!$G$1, INDEX('Room Info'!$A$2:$A3446, MATCH(B1292,'Room Info'!$G$2:$G3446, 0)))))))))</f>
        <v>ushakov17</v>
      </c>
      <c r="B1292" s="50" t="s">
        <v>215</v>
      </c>
      <c r="C1292" s="51">
        <v>44866.0</v>
      </c>
      <c r="D1292" s="51">
        <v>44895.0</v>
      </c>
      <c r="E1292" s="52">
        <v>44866.0</v>
      </c>
      <c r="F1292" s="53" t="s">
        <v>12</v>
      </c>
      <c r="G1292" s="59" t="s">
        <v>5</v>
      </c>
      <c r="H1292" s="54" t="s">
        <v>35</v>
      </c>
      <c r="I1292" s="54" t="s">
        <v>7</v>
      </c>
      <c r="J1292" s="79">
        <v>5.0</v>
      </c>
      <c r="K1292" s="80">
        <v>13.0</v>
      </c>
      <c r="L1292" s="77">
        <v>5.0</v>
      </c>
      <c r="M1292" s="67"/>
      <c r="N1292" s="33">
        <f t="shared" si="155"/>
        <v>65</v>
      </c>
      <c r="O1292" s="101"/>
      <c r="P1292" s="34">
        <f t="shared" si="14"/>
        <v>0</v>
      </c>
      <c r="Q1292" s="60"/>
      <c r="R1292" s="36">
        <f t="shared" si="196"/>
        <v>0</v>
      </c>
      <c r="S1292" s="102"/>
      <c r="T1292" s="37">
        <f t="shared" si="197"/>
        <v>5</v>
      </c>
      <c r="U1292" s="62">
        <v>1.0</v>
      </c>
      <c r="V1292" s="63"/>
      <c r="W1292" s="63"/>
      <c r="X1292" s="35">
        <f t="shared" ref="X1292:X1406" si="201">IF(AF1292="DoEV",IF(AND(V1292&lt;20,W1292&lt;55),0.3,0)+IF(AND(V1292&lt;20,W1292&gt;=55,W1292&lt;105),0.23,0)+IF(AND(V1292&lt;20,W1292&gt;=105),0.17,0)+IF(AND(V1292&gt;=20,V1292&lt;40,W1292&lt;45),0.3,0)+IF(AND(V1292&gt;=20,V1292&lt;40,W1292&gt;=45,W1292&lt;95),0.23,0)+IF(AND(V1292&gt;=20,V1292&lt;40,W1292&gt;=95),0.17,0)+IF(AND(V1292&gt;=40,V1292&lt;75,W1292&lt;35),0.3,0)+IF(AND(V1292&gt;=40,V1292&lt;75,W1292&gt;=35,W1292&lt;75),0.23,0)+IF(AND(V1292&gt;=40,V1292&lt;75,W1292&gt;=75,W1292&lt;120),0.17,0)+IF(AND(V1292&gt;=40,V1292&lt;75,W1292&gt;=120),0.12,0)+IF(AND(V1292&gt;=75,V1292&lt;175,W1292&lt;35),0.3,0)+IF(AND(V1292&gt;=75,V1292&lt;=175,W1292&gt;=35,W1292&lt;65),0.23,0)+IF(AND(V1292&gt;=75,V1292&lt;=175,W1292&gt;=65,W1292&lt;110),0.17,0)+IF(AND(V1292&gt;=75,V1292&lt;=175,W1292&gt;=110),0.12,0)+IF(AND(V1292&gt;175,W1292&lt;25),0.3,0)+IF(AND(V1292&gt;175,W1292&gt;=25,W1292&lt;55),0.23,0)+IF(AND(V1292&gt;175,W1292&gt;=55,W1292&lt;95),0.17,0)+IF(AND(V1292&gt;175,W1292&gt;=95),0.12,0),
IF(AF1292="Fix15",0.15,
if(AF1292="Fix18.75",0.1875,
IF(AF1292="Fix11.25",0.1125,
IF(AF1292="Fix10",0.1,
IF(AF1292="Fix9",0.09,
IF(AF1292="Fix19",0.19,
IF(AF1292="DoEV2017",IF(AND(W1292&lt;74),0.2,0)+IF(AND(W1292&gt;=74),0.17,0),
IF(AF1292="SF",IF(AND(V1292&lt;20,W1292&lt;89),0.3,0)+IF(AND(V1292&lt;20,W1292&gt;=89),0.25,0)+IF(AND(V1292&gt;=20,V1292&lt;40,W1292&lt;74),0.3,0)+IF(AND(V1292&gt;=20,V1292&lt;40,W1292&gt;=75),0.22,0)+IF(AND(V1292&gt;=40,V1292&lt;75,W1292&lt;75),0.26,0)+IF(AND(V1292&gt;=40,V1292&lt;75,W1292&gt;=75),0.22,0)+IF(V1292&gt;=75,0.22,0),
IF(AF1292="DoEVold",IF(AND(V1292&lt;40,W1292&lt;35),0.35,0)+IF(AND(V1292&lt;40,W1292&gt;=35,W1292&lt;75),0.25,0)+IF(AND(V1292&lt;40,W1292&gt;=75),0.17,0)+IF(AND(V1292&gt;=40,V1292&lt;75,W1292&lt;25),0.35,0)+IF(AND(V1292&gt;=40,V1292&lt;75,W1292&gt;=25,W1292&lt;65),0.25,0)+IF(AND(V1292&gt;=40,V1292&lt;75,W1292&gt;=65,W1292&lt;100),0.17,0)+IF(AND(V1292&gt;=40,V1292&lt;75,W1292&gt;=100),0.1,0)+IF(AND(V1292&gt;=75,W1292&lt;25),0.35,0)+IF(AND(V1292&gt;=75,W1292&gt;=25,W1292&lt;60),0.25,0)+IF(AND(V1292&gt;=75,W1292&gt;=60,W1292&lt;95),0.17,0)+IF(AND(V1292&gt;=75,W1292&gt;=95),0.1,0),
IF(AF1292="DoEVold15",IF(AND(V1292&lt;=40,W1292&lt;35),0.35,0)+IF(AND(V1292&lt;=40,W1292&gt;=35,W1292&lt;75),0.25,0)+IF(AND(V1292&lt;=40,W1292&gt;=75,W1292&lt;120),0.17,0)+IF(AND(V1292&lt;=40,W1292&gt;=120),0.15,0)+IF(AND(V1292&gt;40,V1292&lt;75,W1292&lt;25),0.35,0)+IF(AND(V1292&gt;=40,V1292&lt;75,W1292&gt;=25,W1292&lt;65),0.25,0)+IF(AND(V1292&gt;=40,V1292&lt;75,W1292&gt;=65,W1292&lt;100),0.17,0)+IF(AND(V1292&gt;=40,V1292&lt;75,W1292&gt;=100),0.1,0)+IF(AND(V1292&gt;=75,W1292&lt;25),0.35,0)+IF(AND(V1292&gt;=75,W1292&gt;=25,W1292&lt;60),0.25,0)+IF(AND(V1292&gt;=75,W1292&gt;=60,W1292&lt;95),0.17,0)+IF(AND(V1292&gt;=75,W1292&gt;=95),0.1,0),
IF(AF1292="DoEVba",IF(AND(V1292&lt;20,W1292&lt;105),0.2,0)+IF(AND(V1292&lt;20,W1292&gt;=105),0.15,0)+IF(AND(V1292&gt;=20,V1292&lt;40,W1292&lt;95),0.2,0)+IF(AND(V1292&gt;=20,V1292&lt;40,W1292&gt;=95,W1292&lt;150),0.15,0)+IF(AND(V1292&gt;=20,V1292&lt;40,W1292&gt;=150),0.12,0)+IF(AND(V1292&gt;=40,V1292&lt;75,W1292&lt;75),0.2,0)+IF(AND(V1292&gt;=40,V1292&lt;75,W1292&gt;=75,W1292&lt;120),0.15,0)+IF(AND(V1292&gt;=40,V1292&lt;75,W1292&gt;=120),0.12,0)+IF(AND(V1292&gt;=75,V1292&lt;175,W1292&lt;65),0.2,0)+IF(AND(V1292&gt;=75,V1292&lt;175,W1292&gt;=65,W1292&lt;110),0.15,0)+IF(AND(V1292&gt;=75,V1292&lt;175,W1292&gt;=110),0.12,0)+IF(AND(V1292&gt;=175,W1292&lt;55),0.2,0)+IF(AND(V1292&gt;=175,W1292&gt;=55,W1292&lt;95),0.15,0)+IF(AND(V1292&gt;=175,W1292&gt;=95),0.12,0),
IF(AF1292="DoEVku",IF(AND(V1292&lt;20,W1292&lt;55),0.23,0)+IF(AND(V1292&lt;20,W1292&gt;=55,W1292&lt;105),0.2,0)+IF(AND(V1292&lt;20,W1292&gt;=105),0.17,0)+IF(AND(V1292&gt;=20,V1292&lt;40,W1292&lt;45),0.23,0)+IF(AND(V1292&gt;=20,V1292&lt;40,W1292&gt;=45,W1292&lt;95),0.2,0)+IF(AND(V1292&gt;=20,V1292&lt;40,W1292&gt;=95,W1292&lt;=150),0.17,0)+IF(AND(V1292&gt;=20,V1292&lt;40,W1292&gt;=150),0.12,0)+IF(AND(V1292&gt;=40,V1292&lt;75,W1292&lt;35),0.23,0)+IF(AND(V1292&gt;=40,V1292&lt;75,W1292&gt;=35,W1292&lt;75),0.2,0)+IF(AND(V1292&gt;=40,V1292&lt;75,W1292&gt;=75,W1292&lt;120),0.17,0)+IF(AND(V1292&gt;=40,V1292&lt;75,W1292&gt;=120),0.12,0)+IF(AND(V1292&gt;=75,V1292&lt;175,W1292&lt;35),0.23,0)+IF(AND(V1292&gt;=75,V1292&lt;=175,W1292&gt;=35,W1292&lt;65),0.2,0)+IF(AND(V1292&gt;=75,V1292&lt;=175,W1292&gt;=65,W1292&lt;110),0.17,0)+IF(AND(V1292&gt;=75,V1292&lt;=175,W1292&gt;=110),0.12,0)+IF(AND(V1292&gt;175,W1292&lt;25),0.23,0)+IF(AND(V1292&gt;175,W1292&gt;=25,W1292&lt;55),0.2,0)+IF(AND(V1292&gt;175,W1292&gt;=55,W1292&lt;95),0.17,0)+IF(AND(V1292&gt;175,W1292&gt;=95),0.12,0),
IF(AF1292="DoEVs1",IF(AND(V1292&lt;20,W1292&lt;55),0.3,0)+IF(AND(V1292&lt;20,W1292&gt;=55,W1292&lt;105),0.23,0)+IF(AND(V1292&lt;20,W1292&gt;=105),0.17,0)+IF(AND(V1292&gt;=20,V1292&lt;40,W1292&lt;45),0.3,0)+IF(AND(V1292&gt;=20,V1292&lt;40,W1292&gt;=45,W1292&lt;95),0.23,0)+IF(AND(V1292&gt;=20,V1292&lt;40,W1292&gt;=95,W1292&lt;=150),0.17,0)+IF(AND(V1292&gt;=20,V1292&lt;40,W1292&gt;=150),0.12,0)+IF(AND(V1292&gt;=40,V1292&lt;75,W1292&lt;35),0.3,0)+IF(AND(V1292&gt;=40,V1292&lt;75,W1292&gt;=35,W1292&lt;75),0.23,0)+IF(AND(V1292&gt;=40,V1292&lt;75,W1292&gt;=75,W1292&lt;120),0.17,0)+IF(AND(V1292&gt;=40,V1292&lt;75,W1292&gt;=120),0.12,0)+IF(AND(V1292&gt;=75,V1292&lt;175,W1292&lt;35),0.3,0)+IF(AND(V1292&gt;=75,V1292&lt;=175,W1292&gt;=35,W1292&lt;65),0.23,0)+IF(AND(V1292&gt;=75,V1292&lt;=175,W1292&gt;=65,W1292&lt;110),0.17,0)+IF(AND(V1292&gt;=75,V1292&lt;=175,W1292&gt;=110),0.12,0)+IF(AND(V1292&gt;175,W1292&lt;25),0.3,0)+IF(AND(V1292&gt;175,W1292&gt;=25,W1292&lt;55),0.23,0)+IF(AND(V1292&gt;175,W1292&gt;=55,W1292&lt;95),0.17,0)+IF(AND(V1292&gt;175,W1292&gt;=95),0.12,0),
IF(AF1292="DoEVsu",IF(AND(V1292&lt;20,W1292&lt;55),0.3,0)+IF(AND(V1292&lt;20,W1292&gt;=55,W1292&lt;105),0.23,0)+IF(AND(V1292&lt;20,W1292&gt;=105),0.17,0)+IF(AND(V1292&gt;=20,V1292&lt;40,W1292&lt;45),0.3,0)+IF(AND(V1292&gt;=20,V1292&lt;40,W1292&gt;=45,W1292&lt;95),0.23,0)+IF(AND(V1292&gt;=20,V1292&lt;40,W1292&gt;=95,W1292&lt;=250),0.17,0)+IF(AND(V1292&gt;=20,V1292&lt;40,W1292&gt;=250),0.12,0)+IF(AND(V1292&gt;=40,V1292&lt;75,W1292&lt;35),0.3,0)+IF(AND(V1292&gt;=40,V1292&lt;75,W1292&gt;=35,W1292&lt;75),0.23,0)+IF(AND(V1292&gt;=40,V1292&lt;75,W1292&gt;=75,W1292&lt;120),0.17,0)+IF(AND(V1292&gt;=40,V1292&lt;75,W1292&gt;=120),0.12,0)+IF(AND(V1292&gt;=75,V1292&lt;175,W1292&lt;35),0.3,0)+IF(AND(V1292&gt;=75,V1292&lt;=175,W1292&gt;=35,W1292&lt;65),0.23,0)+IF(AND(V1292&gt;=75,V1292&lt;=175,W1292&gt;=65,W1292&lt;110),0.17,0)+IF(AND(V1292&gt;=75,V1292&lt;=175,W1292&gt;=110),0.12,0)+IF(AND(V1292&gt;175,W1292&lt;25),0.3,0)+IF(AND(V1292&gt;175,W1292&gt;=25,W1292&lt;55),0.23,0)+IF(AND(V1292&gt;175,W1292&gt;=55,W1292&lt;95),0.17,0)+IF(AND(V1292&gt;175,W1292&gt;=95),0.12,0),
IF(AF1292="DoEVni",IF(AND(V1292&lt;20,W1292&lt;55),0.3,0)+IF(AND(V1292&lt;20,W1292&gt;=55,W1292&lt;105),0.23,0)+IF(AND(V1292&lt;20,W1292&gt;=105),0.17,0)+IF(AND(V1292&gt;=20,V1292&lt;40,W1292&lt;45),0.3,0)+IF(AND(V1292&gt;=20,V1292&lt;40,W1292&gt;=45,W1292&lt;95),0.23,0)+IF(AND(V1292&gt;=20,V1292&lt;40,W1292&gt;=95,W1292&lt;=200),0.17,0)+IF(AND(V1292&gt;=20,V1292&lt;40,W1292&gt;=200),0.12,0)+IF(AND(V1292&gt;=40,V1292&lt;75,W1292&lt;35),0.3,0)+IF(AND(V1292&gt;=40,V1292&lt;75,W1292&gt;=35,W1292&lt;75),0.23,0)+IF(AND(V1292&gt;=40,V1292&lt;75,W1292&gt;=75,W1292&lt;120),0.17,0)+IF(AND(V1292&gt;=40,V1292&lt;75,W1292&gt;=120),0.12,0)+IF(AND(V1292&gt;=75,V1292&lt;175,W1292&lt;35),0.3,0)+IF(AND(V1292&gt;=75,V1292&lt;=175,W1292&gt;=35,W1292&lt;65),0.23,0)+IF(AND(V1292&gt;=75,V1292&lt;=175,W1292&gt;=65,W1292&lt;110),0.17,0)+IF(AND(V1292&gt;=75,V1292&lt;=175,W1292&gt;=110),0.12,0)+IF(AND(V1292&gt;175,W1292&lt;25),0.3,0)+IF(AND(V1292&gt;175,W1292&gt;=25,W1292&lt;55),0.23,0)+IF(AND(V1292&gt;175,W1292&gt;=55,W1292&lt;95),0.17,0)+IF(AND(V1292&gt;175,W1292&gt;=95),0.12,0),
IF(AF1292="DoEVLo",IF(AND(V1292&lt;20,W1292&lt;55),0.25,0)+IF(AND(V1292&lt;20,W1292&gt;=55,W1292&lt;105),0.2,0)+IF(AND(V1292&lt;20,W1292&gt;=105),0.15,0)+IF(AND(V1292&gt;=20,V1292&lt;40,W1292&lt;45),0.25,0)+IF(AND(V1292&gt;=20,V1292&lt;40,W1292&gt;=45,W1292&lt;95),0.2,0)+IF(AND(V1292&gt;=20,V1292&lt;40,W1292&gt;=95),0.15,0)+IF(AND(V1292&gt;=40,V1292&lt;75,W1292&lt;35),0.25,0)+IF(AND(V1292&gt;=40,V1292&lt;75,W1292&gt;=35,W1292&lt;75),0.2,0)+IF(AND(V1292&gt;=40,V1292&lt;75,W1292&gt;=75,W1292&lt;120),0.15,0)+IF(AND(V1292&gt;=40,V1292&lt;75,W1292&gt;=120),0.1,0)+IF(AND(V1292&gt;=75,V1292&lt;175,W1292&lt;35),0.25,0)+IF(AND(V1292&gt;=75,V1292&lt;=175,W1292&gt;=35,W1292&lt;65),0.2,0)+IF(AND(V1292&gt;=75,V1292&lt;=175,W1292&gt;=65,W1292&lt;110),0.15,0)+IF(AND(V1292&gt;=75,V1292&lt;=175,W1292&gt;=110),0.1,0)+IF(AND(V1292&gt;175,W1292&lt;25),0.25,0)+IF(AND(V1292&gt;175,W1292&gt;=25,W1292&lt;55),0.2,0)+IF(AND(V1292&gt;175,W1292&gt;=55,W1292&lt;95),0.15,0)+IF(AND(V1292&gt;175,W1292&gt;=95),0.1,0))))))))))))))))))</f>
        <v>0.3</v>
      </c>
      <c r="Y1292" s="35">
        <f t="shared" ref="Y1292:Y1367" si="202">if(AG1292="None",0,if(AG1292="Fix5",0.05, if(AG1292="Fix6.25",0.0625,if(AG1292="Fix3.75",0.0375,if(AG1292="Fix10",0.1,if(AG1292="Fix3",0.03,0))))))</f>
        <v>0</v>
      </c>
      <c r="Z1292" s="40">
        <f t="shared" si="198"/>
        <v>3.5</v>
      </c>
      <c r="AA1292" s="34">
        <f t="shared" si="199"/>
        <v>1.5</v>
      </c>
      <c r="AB1292" s="41">
        <f t="shared" si="200"/>
        <v>0</v>
      </c>
      <c r="AC1292" s="42" t="b">
        <v>1</v>
      </c>
      <c r="AD1292" s="42" t="s">
        <v>138</v>
      </c>
      <c r="AE1292" s="42" t="s">
        <v>138</v>
      </c>
      <c r="AF1292" s="42" t="str">
        <f t="array" ref="AF1292">INDEX('Deal Info'!D:D, MATCH(A1292,'Deal Info'!A:A, 0))</f>
        <v>DoEV</v>
      </c>
      <c r="AG1292" s="43" t="str">
        <f t="array" ref="AG1292">INDEX('Deal Info'!G:G, MATCH(A1292,'Deal Info'!A:A, 0))</f>
        <v>None</v>
      </c>
    </row>
    <row r="1293" hidden="1">
      <c r="A1293" s="23" t="str">
        <f t="array" ref="A1293">if(G1293='Room Info'!$B$1, INDEX('Room Info'!$A$2:$A3446, MATCH(B1293,'Room Info'!$B$2:$B3446, 0)),if(G1293='Room Info'!$C$1, INDEX('Room Info'!$A$2:$A3446, MATCH(B1293,'Room Info'!$C$2:$C3446, 0)),if(G1293='Room Info'!$D$1, INDEX('Room Info'!$A$2:$A3446, MATCH(B1293,'Room Info'!$D$2:$D3446, 0)),if(G1293='Room Info'!$E$1, INDEX('Room Info'!$A$2:$A3446, MATCH(B1293,'Room Info'!$E$2:$E3446, 0)),if(G1293='Room Info'!$F$1, INDEX('Room Info'!$A$2:$A3446, MATCH(B1293,'Room Info'!$F$2:$F3446, 0)),if(G1293='Room Info'!$H$1, INDEX('Room Info'!$A$2:$A3446, MATCH(B1293,'Room Info'!$H$2:$H3446, 0)),if(G1293='Room Info'!$G$1, INDEX('Room Info'!$A$2:$A3446, MATCH(B1293,'Room Info'!$G$2:$G3446, 0)))))))))</f>
        <v>ushakov17</v>
      </c>
      <c r="B1293" s="50" t="s">
        <v>215</v>
      </c>
      <c r="C1293" s="51">
        <v>44866.0</v>
      </c>
      <c r="D1293" s="51">
        <v>44895.0</v>
      </c>
      <c r="E1293" s="52">
        <v>44866.0</v>
      </c>
      <c r="F1293" s="53" t="s">
        <v>12</v>
      </c>
      <c r="G1293" s="59" t="s">
        <v>5</v>
      </c>
      <c r="H1293" s="54" t="s">
        <v>45</v>
      </c>
      <c r="I1293" s="54" t="s">
        <v>7</v>
      </c>
      <c r="J1293" s="79">
        <v>10.0</v>
      </c>
      <c r="K1293" s="80">
        <v>3814.0</v>
      </c>
      <c r="L1293" s="77">
        <v>-1520.0</v>
      </c>
      <c r="M1293" s="58">
        <v>698.0</v>
      </c>
      <c r="N1293" s="33">
        <f t="shared" si="155"/>
        <v>38140</v>
      </c>
      <c r="O1293" s="50">
        <v>76280.0</v>
      </c>
      <c r="P1293" s="34">
        <f t="shared" si="14"/>
        <v>20</v>
      </c>
      <c r="Q1293" s="60"/>
      <c r="R1293" s="36">
        <f t="shared" si="196"/>
        <v>698</v>
      </c>
      <c r="S1293" s="102"/>
      <c r="T1293" s="37">
        <f t="shared" si="197"/>
        <v>-822</v>
      </c>
      <c r="U1293" s="62">
        <v>1.0</v>
      </c>
      <c r="V1293" s="63"/>
      <c r="W1293" s="63"/>
      <c r="X1293" s="35">
        <f t="shared" si="201"/>
        <v>0.3</v>
      </c>
      <c r="Y1293" s="35">
        <f t="shared" si="202"/>
        <v>0</v>
      </c>
      <c r="Z1293" s="40">
        <f t="shared" si="198"/>
        <v>-575.4</v>
      </c>
      <c r="AA1293" s="34">
        <f t="shared" si="199"/>
        <v>-246.6</v>
      </c>
      <c r="AB1293" s="41">
        <f t="shared" si="200"/>
        <v>0</v>
      </c>
      <c r="AC1293" s="42" t="b">
        <v>1</v>
      </c>
      <c r="AD1293" s="42" t="s">
        <v>138</v>
      </c>
      <c r="AE1293" s="42" t="s">
        <v>138</v>
      </c>
      <c r="AF1293" s="42" t="str">
        <f t="array" ref="AF1293">INDEX('Deal Info'!D:D, MATCH(A1293,'Deal Info'!A:A, 0))</f>
        <v>DoEV</v>
      </c>
      <c r="AG1293" s="43" t="str">
        <f t="array" ref="AG1293">INDEX('Deal Info'!G:G, MATCH(A1293,'Deal Info'!A:A, 0))</f>
        <v>None</v>
      </c>
    </row>
    <row r="1294" hidden="1">
      <c r="A1294" s="23" t="str">
        <f t="array" ref="A1294">if(G1294='Room Info'!$B$1, INDEX('Room Info'!$A$2:$A3446, MATCH(B1294,'Room Info'!$B$2:$B3446, 0)),if(G1294='Room Info'!$C$1, INDEX('Room Info'!$A$2:$A3446, MATCH(B1294,'Room Info'!$C$2:$C3446, 0)),if(G1294='Room Info'!$D$1, INDEX('Room Info'!$A$2:$A3446, MATCH(B1294,'Room Info'!$D$2:$D3446, 0)),if(G1294='Room Info'!$E$1, INDEX('Room Info'!$A$2:$A3446, MATCH(B1294,'Room Info'!$E$2:$E3446, 0)),if(G1294='Room Info'!$F$1, INDEX('Room Info'!$A$2:$A3446, MATCH(B1294,'Room Info'!$F$2:$F3446, 0)),if(G1294='Room Info'!$H$1, INDEX('Room Info'!$A$2:$A3446, MATCH(B1294,'Room Info'!$H$2:$H3446, 0)),if(G1294='Room Info'!$G$1, INDEX('Room Info'!$A$2:$A3446, MATCH(B1294,'Room Info'!$G$2:$G3446, 0)))))))))</f>
        <v>ushakov17</v>
      </c>
      <c r="B1294" s="50" t="s">
        <v>215</v>
      </c>
      <c r="C1294" s="51">
        <v>44866.0</v>
      </c>
      <c r="D1294" s="51">
        <v>44895.0</v>
      </c>
      <c r="E1294" s="52">
        <v>44866.0</v>
      </c>
      <c r="F1294" s="53" t="s">
        <v>12</v>
      </c>
      <c r="G1294" s="59" t="s">
        <v>5</v>
      </c>
      <c r="H1294" s="54" t="s">
        <v>48</v>
      </c>
      <c r="I1294" s="54" t="s">
        <v>11</v>
      </c>
      <c r="J1294" s="79">
        <v>10.0</v>
      </c>
      <c r="K1294" s="80">
        <v>2.0</v>
      </c>
      <c r="L1294" s="77">
        <v>10.0</v>
      </c>
      <c r="M1294" s="67"/>
      <c r="N1294" s="33">
        <f t="shared" si="155"/>
        <v>20</v>
      </c>
      <c r="O1294" s="101"/>
      <c r="P1294" s="34">
        <f t="shared" si="14"/>
        <v>0</v>
      </c>
      <c r="Q1294" s="60"/>
      <c r="R1294" s="36">
        <f t="shared" si="196"/>
        <v>0</v>
      </c>
      <c r="S1294" s="102"/>
      <c r="T1294" s="37">
        <f t="shared" si="197"/>
        <v>10</v>
      </c>
      <c r="U1294" s="62">
        <v>1.0</v>
      </c>
      <c r="V1294" s="63"/>
      <c r="W1294" s="63"/>
      <c r="X1294" s="35">
        <f t="shared" si="201"/>
        <v>0.3</v>
      </c>
      <c r="Y1294" s="35">
        <f t="shared" si="202"/>
        <v>0</v>
      </c>
      <c r="Z1294" s="40">
        <f t="shared" si="198"/>
        <v>7</v>
      </c>
      <c r="AA1294" s="34">
        <f t="shared" si="199"/>
        <v>3</v>
      </c>
      <c r="AB1294" s="41">
        <f t="shared" si="200"/>
        <v>0</v>
      </c>
      <c r="AC1294" s="42" t="b">
        <v>1</v>
      </c>
      <c r="AD1294" s="42" t="s">
        <v>138</v>
      </c>
      <c r="AE1294" s="42" t="s">
        <v>138</v>
      </c>
      <c r="AF1294" s="42" t="str">
        <f t="array" ref="AF1294">INDEX('Deal Info'!D:D, MATCH(A1294,'Deal Info'!A:A, 0))</f>
        <v>DoEV</v>
      </c>
      <c r="AG1294" s="43" t="str">
        <f t="array" ref="AG1294">INDEX('Deal Info'!G:G, MATCH(A1294,'Deal Info'!A:A, 0))</f>
        <v>None</v>
      </c>
    </row>
    <row r="1295" hidden="1">
      <c r="A1295" s="23" t="str">
        <f t="array" ref="A1295">if(G1295='Room Info'!$B$1, INDEX('Room Info'!$A$2:$A3446, MATCH(B1295,'Room Info'!$B$2:$B3446, 0)),if(G1295='Room Info'!$C$1, INDEX('Room Info'!$A$2:$A3446, MATCH(B1295,'Room Info'!$C$2:$C3446, 0)),if(G1295='Room Info'!$D$1, INDEX('Room Info'!$A$2:$A3446, MATCH(B1295,'Room Info'!$D$2:$D3446, 0)),if(G1295='Room Info'!$E$1, INDEX('Room Info'!$A$2:$A3446, MATCH(B1295,'Room Info'!$E$2:$E3446, 0)),if(G1295='Room Info'!$F$1, INDEX('Room Info'!$A$2:$A3446, MATCH(B1295,'Room Info'!$F$2:$F3446, 0)),if(G1295='Room Info'!$H$1, INDEX('Room Info'!$A$2:$A3446, MATCH(B1295,'Room Info'!$H$2:$H3446, 0)),if(G1295='Room Info'!$G$1, INDEX('Room Info'!$A$2:$A3446, MATCH(B1295,'Room Info'!$G$2:$G3446, 0)))))))))</f>
        <v>ushakov17</v>
      </c>
      <c r="B1295" s="50" t="s">
        <v>215</v>
      </c>
      <c r="C1295" s="51">
        <v>44896.0</v>
      </c>
      <c r="D1295" s="51">
        <v>44926.0</v>
      </c>
      <c r="E1295" s="52">
        <v>44896.0</v>
      </c>
      <c r="F1295" s="50" t="s">
        <v>12</v>
      </c>
      <c r="G1295" s="50" t="s">
        <v>5</v>
      </c>
      <c r="H1295" s="54" t="s">
        <v>45</v>
      </c>
      <c r="I1295" s="54" t="s">
        <v>7</v>
      </c>
      <c r="J1295" s="79">
        <v>10.0</v>
      </c>
      <c r="K1295" s="80">
        <v>1888.0</v>
      </c>
      <c r="L1295" s="77">
        <v>570.0</v>
      </c>
      <c r="M1295" s="58">
        <v>419.0</v>
      </c>
      <c r="N1295" s="33">
        <f t="shared" si="155"/>
        <v>18880</v>
      </c>
      <c r="O1295" s="50">
        <v>56640.0</v>
      </c>
      <c r="P1295" s="34">
        <f t="shared" si="14"/>
        <v>30</v>
      </c>
      <c r="Q1295" s="60"/>
      <c r="R1295" s="36">
        <f t="shared" si="196"/>
        <v>419</v>
      </c>
      <c r="S1295" s="102"/>
      <c r="T1295" s="37">
        <f t="shared" si="197"/>
        <v>989</v>
      </c>
      <c r="U1295" s="62">
        <v>1.0</v>
      </c>
      <c r="V1295" s="63"/>
      <c r="W1295" s="63"/>
      <c r="X1295" s="35">
        <f t="shared" si="201"/>
        <v>0.3</v>
      </c>
      <c r="Y1295" s="35">
        <f t="shared" si="202"/>
        <v>0</v>
      </c>
      <c r="Z1295" s="40">
        <f t="shared" si="198"/>
        <v>692.3</v>
      </c>
      <c r="AA1295" s="34">
        <f t="shared" si="199"/>
        <v>296.7</v>
      </c>
      <c r="AB1295" s="41">
        <f t="shared" si="200"/>
        <v>0</v>
      </c>
      <c r="AC1295" s="42" t="b">
        <v>1</v>
      </c>
      <c r="AD1295" s="42" t="s">
        <v>138</v>
      </c>
      <c r="AE1295" s="42" t="s">
        <v>138</v>
      </c>
      <c r="AF1295" s="42" t="str">
        <f t="array" ref="AF1295">INDEX('Deal Info'!D:D, MATCH(A1295,'Deal Info'!A:A, 0))</f>
        <v>DoEV</v>
      </c>
      <c r="AG1295" s="43" t="str">
        <f t="array" ref="AG1295">INDEX('Deal Info'!G:G, MATCH(A1295,'Deal Info'!A:A, 0))</f>
        <v>None</v>
      </c>
    </row>
    <row r="1296" hidden="1">
      <c r="A1296" s="23" t="str">
        <f t="array" ref="A1296">if(G1296='Room Info'!$B$1, INDEX('Room Info'!$A$2:$A3446, MATCH(B1296,'Room Info'!$B$2:$B3446, 0)),if(G1296='Room Info'!$C$1, INDEX('Room Info'!$A$2:$A3446, MATCH(B1296,'Room Info'!$C$2:$C3446, 0)),if(G1296='Room Info'!$D$1, INDEX('Room Info'!$A$2:$A3446, MATCH(B1296,'Room Info'!$D$2:$D3446, 0)),if(G1296='Room Info'!$E$1, INDEX('Room Info'!$A$2:$A3446, MATCH(B1296,'Room Info'!$E$2:$E3446, 0)),if(G1296='Room Info'!$F$1, INDEX('Room Info'!$A$2:$A3446, MATCH(B1296,'Room Info'!$F$2:$F3446, 0)),if(G1296='Room Info'!$H$1, INDEX('Room Info'!$A$2:$A3446, MATCH(B1296,'Room Info'!$H$2:$H3446, 0)),if(G1296='Room Info'!$G$1, INDEX('Room Info'!$A$2:$A3446, MATCH(B1296,'Room Info'!$G$2:$G3446, 0)))))))))</f>
        <v>ushakov17</v>
      </c>
      <c r="B1296" s="50" t="s">
        <v>215</v>
      </c>
      <c r="C1296" s="51">
        <v>44896.0</v>
      </c>
      <c r="D1296" s="51">
        <v>44926.0</v>
      </c>
      <c r="E1296" s="52">
        <v>44896.0</v>
      </c>
      <c r="F1296" s="50" t="s">
        <v>12</v>
      </c>
      <c r="G1296" s="59" t="s">
        <v>5</v>
      </c>
      <c r="H1296" s="54" t="s">
        <v>74</v>
      </c>
      <c r="I1296" s="54" t="s">
        <v>7</v>
      </c>
      <c r="J1296" s="55">
        <v>50.0</v>
      </c>
      <c r="K1296" s="56">
        <v>1.0</v>
      </c>
      <c r="L1296" s="57">
        <v>100.0</v>
      </c>
      <c r="M1296" s="58">
        <v>1.0</v>
      </c>
      <c r="N1296" s="33">
        <f t="shared" si="155"/>
        <v>50</v>
      </c>
      <c r="O1296" s="70"/>
      <c r="P1296" s="34">
        <f t="shared" si="14"/>
        <v>0</v>
      </c>
      <c r="Q1296" s="60"/>
      <c r="R1296" s="36">
        <f t="shared" si="196"/>
        <v>1</v>
      </c>
      <c r="S1296" s="71"/>
      <c r="T1296" s="37">
        <f t="shared" si="197"/>
        <v>101</v>
      </c>
      <c r="U1296" s="62">
        <v>1.0</v>
      </c>
      <c r="V1296" s="63"/>
      <c r="W1296" s="63"/>
      <c r="X1296" s="35">
        <f t="shared" si="201"/>
        <v>0.3</v>
      </c>
      <c r="Y1296" s="35">
        <f t="shared" si="202"/>
        <v>0</v>
      </c>
      <c r="Z1296" s="40">
        <f t="shared" si="198"/>
        <v>70.7</v>
      </c>
      <c r="AA1296" s="34">
        <f t="shared" si="199"/>
        <v>30.3</v>
      </c>
      <c r="AB1296" s="41">
        <f t="shared" si="200"/>
        <v>0</v>
      </c>
      <c r="AC1296" s="42" t="b">
        <v>1</v>
      </c>
      <c r="AD1296" s="42" t="s">
        <v>138</v>
      </c>
      <c r="AE1296" s="42" t="s">
        <v>138</v>
      </c>
      <c r="AF1296" s="42" t="str">
        <f t="array" ref="AF1296">INDEX('Deal Info'!D:D, MATCH(A1296,'Deal Info'!A:A, 0))</f>
        <v>DoEV</v>
      </c>
      <c r="AG1296" s="43" t="str">
        <f t="array" ref="AG1296">INDEX('Deal Info'!G:G, MATCH(A1296,'Deal Info'!A:A, 0))</f>
        <v>None</v>
      </c>
    </row>
    <row r="1297" hidden="1">
      <c r="A1297" s="23" t="str">
        <f t="array" ref="A1297">if(G1297='Room Info'!$B$1, INDEX('Room Info'!$A$2:$A3446, MATCH(B1297,'Room Info'!$B$2:$B3446, 0)),if(G1297='Room Info'!$C$1, INDEX('Room Info'!$A$2:$A3446, MATCH(B1297,'Room Info'!$C$2:$C3446, 0)),if(G1297='Room Info'!$D$1, INDEX('Room Info'!$A$2:$A3446, MATCH(B1297,'Room Info'!$D$2:$D3446, 0)),if(G1297='Room Info'!$E$1, INDEX('Room Info'!$A$2:$A3446, MATCH(B1297,'Room Info'!$E$2:$E3446, 0)),if(G1297='Room Info'!$F$1, INDEX('Room Info'!$A$2:$A3446, MATCH(B1297,'Room Info'!$F$2:$F3446, 0)),if(G1297='Room Info'!$H$1, INDEX('Room Info'!$A$2:$A3446, MATCH(B1297,'Room Info'!$H$2:$H3446, 0)),if(G1297='Room Info'!$G$1, INDEX('Room Info'!$A$2:$A3446, MATCH(B1297,'Room Info'!$G$2:$G3446, 0)))))))))</f>
        <v>ushakov17</v>
      </c>
      <c r="B1297" s="50" t="s">
        <v>215</v>
      </c>
      <c r="C1297" s="51">
        <v>44927.0</v>
      </c>
      <c r="D1297" s="51">
        <v>44957.0</v>
      </c>
      <c r="E1297" s="52">
        <v>44927.0</v>
      </c>
      <c r="F1297" s="50" t="s">
        <v>12</v>
      </c>
      <c r="G1297" s="59" t="s">
        <v>5</v>
      </c>
      <c r="H1297" s="54" t="s">
        <v>62</v>
      </c>
      <c r="I1297" s="54" t="s">
        <v>7</v>
      </c>
      <c r="J1297" s="55">
        <v>25.0</v>
      </c>
      <c r="K1297" s="56">
        <v>12.0</v>
      </c>
      <c r="L1297" s="57">
        <v>0.0</v>
      </c>
      <c r="M1297" s="58">
        <v>6.0</v>
      </c>
      <c r="N1297" s="33">
        <f t="shared" si="155"/>
        <v>300</v>
      </c>
      <c r="O1297" s="70"/>
      <c r="P1297" s="34">
        <f t="shared" si="14"/>
        <v>0</v>
      </c>
      <c r="Q1297" s="60"/>
      <c r="R1297" s="36">
        <f t="shared" si="196"/>
        <v>6</v>
      </c>
      <c r="S1297" s="71"/>
      <c r="T1297" s="37">
        <f t="shared" si="197"/>
        <v>6</v>
      </c>
      <c r="U1297" s="62">
        <v>1.0</v>
      </c>
      <c r="V1297" s="63"/>
      <c r="W1297" s="63"/>
      <c r="X1297" s="35">
        <f t="shared" si="201"/>
        <v>0.3</v>
      </c>
      <c r="Y1297" s="35">
        <f t="shared" si="202"/>
        <v>0</v>
      </c>
      <c r="Z1297" s="40">
        <f t="shared" si="198"/>
        <v>4.2</v>
      </c>
      <c r="AA1297" s="34">
        <f t="shared" si="199"/>
        <v>1.8</v>
      </c>
      <c r="AB1297" s="41">
        <f t="shared" si="200"/>
        <v>0</v>
      </c>
      <c r="AC1297" s="42" t="b">
        <v>1</v>
      </c>
      <c r="AD1297" s="42" t="s">
        <v>138</v>
      </c>
      <c r="AE1297" s="42" t="s">
        <v>138</v>
      </c>
      <c r="AF1297" s="42" t="str">
        <f t="array" ref="AF1297">INDEX('Deal Info'!D:D, MATCH(A1297,'Deal Info'!A:A, 0))</f>
        <v>DoEV</v>
      </c>
      <c r="AG1297" s="43" t="str">
        <f t="array" ref="AG1297">INDEX('Deal Info'!G:G, MATCH(A1297,'Deal Info'!A:A, 0))</f>
        <v>None</v>
      </c>
    </row>
    <row r="1298" hidden="1">
      <c r="A1298" s="23" t="str">
        <f t="array" ref="A1298">if(G1298='Room Info'!$B$1, INDEX('Room Info'!$A$2:$A3446, MATCH(B1298,'Room Info'!$B$2:$B3446, 0)),if(G1298='Room Info'!$C$1, INDEX('Room Info'!$A$2:$A3446, MATCH(B1298,'Room Info'!$C$2:$C3446, 0)),if(G1298='Room Info'!$D$1, INDEX('Room Info'!$A$2:$A3446, MATCH(B1298,'Room Info'!$D$2:$D3446, 0)),if(G1298='Room Info'!$E$1, INDEX('Room Info'!$A$2:$A3446, MATCH(B1298,'Room Info'!$E$2:$E3446, 0)),if(G1298='Room Info'!$F$1, INDEX('Room Info'!$A$2:$A3446, MATCH(B1298,'Room Info'!$F$2:$F3446, 0)),if(G1298='Room Info'!$H$1, INDEX('Room Info'!$A$2:$A3446, MATCH(B1298,'Room Info'!$H$2:$H3446, 0)),if(G1298='Room Info'!$G$1, INDEX('Room Info'!$A$2:$A3446, MATCH(B1298,'Room Info'!$G$2:$G3446, 0)))))))))</f>
        <v>ushakov17</v>
      </c>
      <c r="B1298" s="50" t="s">
        <v>215</v>
      </c>
      <c r="C1298" s="51">
        <v>44927.0</v>
      </c>
      <c r="D1298" s="51">
        <v>44957.0</v>
      </c>
      <c r="E1298" s="52">
        <v>44927.0</v>
      </c>
      <c r="F1298" s="50" t="s">
        <v>12</v>
      </c>
      <c r="G1298" s="59" t="s">
        <v>5</v>
      </c>
      <c r="H1298" s="54" t="s">
        <v>45</v>
      </c>
      <c r="I1298" s="54" t="s">
        <v>7</v>
      </c>
      <c r="J1298" s="55">
        <v>10.0</v>
      </c>
      <c r="K1298" s="56">
        <v>2152.0</v>
      </c>
      <c r="L1298" s="57">
        <v>-50.0</v>
      </c>
      <c r="M1298" s="58">
        <v>533.0</v>
      </c>
      <c r="N1298" s="33">
        <f t="shared" si="155"/>
        <v>21520</v>
      </c>
      <c r="O1298" s="59">
        <v>77472.0</v>
      </c>
      <c r="P1298" s="34">
        <f t="shared" si="14"/>
        <v>36</v>
      </c>
      <c r="Q1298" s="60"/>
      <c r="R1298" s="36">
        <f t="shared" si="196"/>
        <v>533</v>
      </c>
      <c r="S1298" s="71"/>
      <c r="T1298" s="37">
        <f t="shared" si="197"/>
        <v>483</v>
      </c>
      <c r="U1298" s="62">
        <v>1.0</v>
      </c>
      <c r="V1298" s="63"/>
      <c r="W1298" s="63"/>
      <c r="X1298" s="35">
        <f t="shared" si="201"/>
        <v>0.3</v>
      </c>
      <c r="Y1298" s="35">
        <f t="shared" si="202"/>
        <v>0</v>
      </c>
      <c r="Z1298" s="40">
        <f t="shared" si="198"/>
        <v>338.1</v>
      </c>
      <c r="AA1298" s="34">
        <f t="shared" si="199"/>
        <v>144.9</v>
      </c>
      <c r="AB1298" s="41">
        <f t="shared" si="200"/>
        <v>0</v>
      </c>
      <c r="AC1298" s="42" t="b">
        <v>1</v>
      </c>
      <c r="AD1298" s="42" t="s">
        <v>138</v>
      </c>
      <c r="AE1298" s="42" t="s">
        <v>138</v>
      </c>
      <c r="AF1298" s="42" t="str">
        <f t="array" ref="AF1298">INDEX('Deal Info'!D:D, MATCH(A1298,'Deal Info'!A:A, 0))</f>
        <v>DoEV</v>
      </c>
      <c r="AG1298" s="43" t="str">
        <f t="array" ref="AG1298">INDEX('Deal Info'!G:G, MATCH(A1298,'Deal Info'!A:A, 0))</f>
        <v>None</v>
      </c>
    </row>
    <row r="1299" hidden="1">
      <c r="A1299" s="23" t="str">
        <f t="array" ref="A1299">if(G1299='Room Info'!$B$1, INDEX('Room Info'!$A$2:$A3446, MATCH(B1299,'Room Info'!$B$2:$B3446, 0)),if(G1299='Room Info'!$C$1, INDEX('Room Info'!$A$2:$A3446, MATCH(B1299,'Room Info'!$C$2:$C3446, 0)),if(G1299='Room Info'!$D$1, INDEX('Room Info'!$A$2:$A3446, MATCH(B1299,'Room Info'!$D$2:$D3446, 0)),if(G1299='Room Info'!$E$1, INDEX('Room Info'!$A$2:$A3446, MATCH(B1299,'Room Info'!$E$2:$E3446, 0)),if(G1299='Room Info'!$F$1, INDEX('Room Info'!$A$2:$A3446, MATCH(B1299,'Room Info'!$F$2:$F3446, 0)),if(G1299='Room Info'!$H$1, INDEX('Room Info'!$A$2:$A3446, MATCH(B1299,'Room Info'!$H$2:$H3446, 0)),if(G1299='Room Info'!$G$1, INDEX('Room Info'!$A$2:$A3446, MATCH(B1299,'Room Info'!$G$2:$G3446, 0)))))))))</f>
        <v>ushakov17</v>
      </c>
      <c r="B1299" s="50" t="s">
        <v>215</v>
      </c>
      <c r="C1299" s="51">
        <v>44927.0</v>
      </c>
      <c r="D1299" s="51">
        <v>44957.0</v>
      </c>
      <c r="E1299" s="52">
        <v>44927.0</v>
      </c>
      <c r="F1299" s="50" t="s">
        <v>12</v>
      </c>
      <c r="G1299" s="59" t="s">
        <v>5</v>
      </c>
      <c r="H1299" s="54" t="s">
        <v>48</v>
      </c>
      <c r="I1299" s="54" t="s">
        <v>11</v>
      </c>
      <c r="J1299" s="55">
        <v>10.0</v>
      </c>
      <c r="K1299" s="56">
        <v>3.0</v>
      </c>
      <c r="L1299" s="57">
        <v>0.0</v>
      </c>
      <c r="M1299" s="58">
        <v>1.0</v>
      </c>
      <c r="N1299" s="33">
        <f t="shared" si="155"/>
        <v>30</v>
      </c>
      <c r="O1299" s="70"/>
      <c r="P1299" s="34">
        <f t="shared" si="14"/>
        <v>0</v>
      </c>
      <c r="Q1299" s="60"/>
      <c r="R1299" s="36">
        <f t="shared" si="196"/>
        <v>1</v>
      </c>
      <c r="S1299" s="71"/>
      <c r="T1299" s="37">
        <f t="shared" si="197"/>
        <v>1</v>
      </c>
      <c r="U1299" s="62">
        <v>1.0</v>
      </c>
      <c r="V1299" s="63"/>
      <c r="W1299" s="63"/>
      <c r="X1299" s="35">
        <f t="shared" si="201"/>
        <v>0.3</v>
      </c>
      <c r="Y1299" s="35">
        <f t="shared" si="202"/>
        <v>0</v>
      </c>
      <c r="Z1299" s="40">
        <f t="shared" si="198"/>
        <v>0.7</v>
      </c>
      <c r="AA1299" s="34">
        <f t="shared" si="199"/>
        <v>0.3</v>
      </c>
      <c r="AB1299" s="41">
        <f t="shared" si="200"/>
        <v>0</v>
      </c>
      <c r="AC1299" s="42" t="b">
        <v>1</v>
      </c>
      <c r="AD1299" s="42" t="s">
        <v>138</v>
      </c>
      <c r="AE1299" s="42" t="s">
        <v>138</v>
      </c>
      <c r="AF1299" s="42" t="str">
        <f t="array" ref="AF1299">INDEX('Deal Info'!D:D, MATCH(A1299,'Deal Info'!A:A, 0))</f>
        <v>DoEV</v>
      </c>
      <c r="AG1299" s="43" t="str">
        <f t="array" ref="AG1299">INDEX('Deal Info'!G:G, MATCH(A1299,'Deal Info'!A:A, 0))</f>
        <v>None</v>
      </c>
    </row>
    <row r="1300" hidden="1">
      <c r="A1300" s="23" t="str">
        <f t="array" ref="A1300">if(G1300='Room Info'!$B$1, INDEX('Room Info'!$A$2:$A3446, MATCH(B1300,'Room Info'!$B$2:$B3446, 0)),if(G1300='Room Info'!$C$1, INDEX('Room Info'!$A$2:$A3446, MATCH(B1300,'Room Info'!$C$2:$C3446, 0)),if(G1300='Room Info'!$D$1, INDEX('Room Info'!$A$2:$A3446, MATCH(B1300,'Room Info'!$D$2:$D3446, 0)),if(G1300='Room Info'!$E$1, INDEX('Room Info'!$A$2:$A3446, MATCH(B1300,'Room Info'!$E$2:$E3446, 0)),if(G1300='Room Info'!$F$1, INDEX('Room Info'!$A$2:$A3446, MATCH(B1300,'Room Info'!$F$2:$F3446, 0)),if(G1300='Room Info'!$H$1, INDEX('Room Info'!$A$2:$A3446, MATCH(B1300,'Room Info'!$H$2:$H3446, 0)),if(G1300='Room Info'!$G$1, INDEX('Room Info'!$A$2:$A3446, MATCH(B1300,'Room Info'!$G$2:$G3446, 0)))))))))</f>
        <v>volkovsky</v>
      </c>
      <c r="B1300" s="50" t="s">
        <v>216</v>
      </c>
      <c r="C1300" s="51">
        <v>44521.0</v>
      </c>
      <c r="D1300" s="51">
        <v>44550.0</v>
      </c>
      <c r="E1300" s="52">
        <v>44531.0</v>
      </c>
      <c r="F1300" s="50" t="s">
        <v>4</v>
      </c>
      <c r="G1300" s="59" t="s">
        <v>5</v>
      </c>
      <c r="H1300" s="54" t="s">
        <v>85</v>
      </c>
      <c r="I1300" s="54" t="s">
        <v>7</v>
      </c>
      <c r="J1300" s="55">
        <v>100.0</v>
      </c>
      <c r="K1300" s="56">
        <v>1243.0</v>
      </c>
      <c r="L1300" s="57">
        <v>7200.0</v>
      </c>
      <c r="M1300" s="58">
        <v>3976.0</v>
      </c>
      <c r="N1300" s="33">
        <f t="shared" si="155"/>
        <v>124300</v>
      </c>
      <c r="O1300" s="59">
        <v>25028.0</v>
      </c>
      <c r="P1300" s="34">
        <f t="shared" si="14"/>
        <v>20.13515688</v>
      </c>
      <c r="Q1300" s="60"/>
      <c r="R1300" s="36">
        <f t="shared" si="196"/>
        <v>3976</v>
      </c>
      <c r="S1300" s="61">
        <v>-2363.0</v>
      </c>
      <c r="T1300" s="37">
        <f t="shared" si="197"/>
        <v>1613</v>
      </c>
      <c r="U1300" s="62"/>
      <c r="V1300" s="63"/>
      <c r="W1300" s="63"/>
      <c r="X1300" s="35">
        <f t="shared" si="201"/>
        <v>0.1</v>
      </c>
      <c r="Y1300" s="35">
        <f t="shared" si="202"/>
        <v>0</v>
      </c>
      <c r="Z1300" s="40">
        <f t="shared" si="198"/>
        <v>1451.7</v>
      </c>
      <c r="AA1300" s="34">
        <f t="shared" si="199"/>
        <v>161.3</v>
      </c>
      <c r="AB1300" s="41">
        <f t="shared" si="200"/>
        <v>0</v>
      </c>
      <c r="AC1300" s="42" t="b">
        <v>1</v>
      </c>
      <c r="AD1300" s="42" t="s">
        <v>138</v>
      </c>
      <c r="AE1300" s="42" t="s">
        <v>138</v>
      </c>
      <c r="AF1300" s="42" t="str">
        <f t="array" ref="AF1300">INDEX('Deal Info'!D:D, MATCH(A1300,'Deal Info'!A:A, 0))</f>
        <v>Fix10</v>
      </c>
      <c r="AG1300" s="43" t="str">
        <f t="array" ref="AG1300">INDEX('Deal Info'!G:G, MATCH(A1300,'Deal Info'!A:A, 0))</f>
        <v>None</v>
      </c>
    </row>
    <row r="1301" hidden="1">
      <c r="A1301" s="23" t="str">
        <f t="array" ref="A1301">if(G1301='Room Info'!$B$1, INDEX('Room Info'!$A$2:$A3446, MATCH(B1301,'Room Info'!$B$2:$B3446, 0)),if(G1301='Room Info'!$C$1, INDEX('Room Info'!$A$2:$A3446, MATCH(B1301,'Room Info'!$C$2:$C3446, 0)),if(G1301='Room Info'!$D$1, INDEX('Room Info'!$A$2:$A3446, MATCH(B1301,'Room Info'!$D$2:$D3446, 0)),if(G1301='Room Info'!$E$1, INDEX('Room Info'!$A$2:$A3446, MATCH(B1301,'Room Info'!$E$2:$E3446, 0)),if(G1301='Room Info'!$F$1, INDEX('Room Info'!$A$2:$A3446, MATCH(B1301,'Room Info'!$F$2:$F3446, 0)),if(G1301='Room Info'!$H$1, INDEX('Room Info'!$A$2:$A3446, MATCH(B1301,'Room Info'!$H$2:$H3446, 0)),if(G1301='Room Info'!$G$1, INDEX('Room Info'!$A$2:$A3446, MATCH(B1301,'Room Info'!$G$2:$G3446, 0)))))))))</f>
        <v>volkovsky</v>
      </c>
      <c r="B1301" s="50" t="s">
        <v>216</v>
      </c>
      <c r="C1301" s="51">
        <v>44521.0</v>
      </c>
      <c r="D1301" s="51">
        <v>44550.0</v>
      </c>
      <c r="E1301" s="52">
        <v>44531.0</v>
      </c>
      <c r="F1301" s="50" t="s">
        <v>4</v>
      </c>
      <c r="G1301" s="59" t="s">
        <v>5</v>
      </c>
      <c r="H1301" s="54" t="s">
        <v>86</v>
      </c>
      <c r="I1301" s="54" t="s">
        <v>11</v>
      </c>
      <c r="J1301" s="55">
        <v>100.0</v>
      </c>
      <c r="K1301" s="56">
        <v>35.0</v>
      </c>
      <c r="L1301" s="57">
        <v>-1600.0</v>
      </c>
      <c r="M1301" s="58">
        <v>141.0</v>
      </c>
      <c r="N1301" s="33">
        <f t="shared" si="155"/>
        <v>3500</v>
      </c>
      <c r="O1301" s="59">
        <v>1834.0</v>
      </c>
      <c r="P1301" s="34">
        <f t="shared" si="14"/>
        <v>52.4</v>
      </c>
      <c r="Q1301" s="60"/>
      <c r="R1301" s="36">
        <f t="shared" si="196"/>
        <v>141</v>
      </c>
      <c r="S1301" s="61">
        <v>679.0</v>
      </c>
      <c r="T1301" s="37">
        <f t="shared" si="197"/>
        <v>820</v>
      </c>
      <c r="U1301" s="62"/>
      <c r="V1301" s="63"/>
      <c r="W1301" s="63"/>
      <c r="X1301" s="35">
        <f t="shared" si="201"/>
        <v>0.1</v>
      </c>
      <c r="Y1301" s="35">
        <f t="shared" si="202"/>
        <v>0</v>
      </c>
      <c r="Z1301" s="40">
        <f t="shared" si="198"/>
        <v>738</v>
      </c>
      <c r="AA1301" s="34">
        <f t="shared" si="199"/>
        <v>82</v>
      </c>
      <c r="AB1301" s="41">
        <f t="shared" si="200"/>
        <v>0</v>
      </c>
      <c r="AC1301" s="42" t="b">
        <v>1</v>
      </c>
      <c r="AD1301" s="42" t="s">
        <v>138</v>
      </c>
      <c r="AE1301" s="42" t="s">
        <v>138</v>
      </c>
      <c r="AF1301" s="42" t="str">
        <f t="array" ref="AF1301">INDEX('Deal Info'!D:D, MATCH(A1301,'Deal Info'!A:A, 0))</f>
        <v>Fix10</v>
      </c>
      <c r="AG1301" s="43" t="str">
        <f t="array" ref="AG1301">INDEX('Deal Info'!G:G, MATCH(A1301,'Deal Info'!A:A, 0))</f>
        <v>None</v>
      </c>
    </row>
    <row r="1302" hidden="1">
      <c r="A1302" s="23" t="str">
        <f t="array" ref="A1302">if(G1302='Room Info'!$B$1, INDEX('Room Info'!$A$2:$A3446, MATCH(B1302,'Room Info'!$B$2:$B3446, 0)),if(G1302='Room Info'!$C$1, INDEX('Room Info'!$A$2:$A3446, MATCH(B1302,'Room Info'!$C$2:$C3446, 0)),if(G1302='Room Info'!$D$1, INDEX('Room Info'!$A$2:$A3446, MATCH(B1302,'Room Info'!$D$2:$D3446, 0)),if(G1302='Room Info'!$E$1, INDEX('Room Info'!$A$2:$A3446, MATCH(B1302,'Room Info'!$E$2:$E3446, 0)),if(G1302='Room Info'!$F$1, INDEX('Room Info'!$A$2:$A3446, MATCH(B1302,'Room Info'!$F$2:$F3446, 0)),if(G1302='Room Info'!$H$1, INDEX('Room Info'!$A$2:$A3446, MATCH(B1302,'Room Info'!$H$2:$H3446, 0)),if(G1302='Room Info'!$G$1, INDEX('Room Info'!$A$2:$A3446, MATCH(B1302,'Room Info'!$G$2:$G3446, 0)))))))))</f>
        <v>volkovsky</v>
      </c>
      <c r="B1302" s="50" t="s">
        <v>216</v>
      </c>
      <c r="C1302" s="51">
        <v>44521.0</v>
      </c>
      <c r="D1302" s="51">
        <v>44550.0</v>
      </c>
      <c r="E1302" s="52">
        <v>44531.0</v>
      </c>
      <c r="F1302" s="50" t="s">
        <v>4</v>
      </c>
      <c r="G1302" s="59" t="s">
        <v>5</v>
      </c>
      <c r="H1302" s="54" t="s">
        <v>96</v>
      </c>
      <c r="I1302" s="54" t="s">
        <v>7</v>
      </c>
      <c r="J1302" s="55">
        <v>250.0</v>
      </c>
      <c r="K1302" s="56">
        <v>435.0</v>
      </c>
      <c r="L1302" s="57">
        <v>-2250.0</v>
      </c>
      <c r="M1302" s="58">
        <v>3656.0</v>
      </c>
      <c r="N1302" s="33">
        <f t="shared" si="155"/>
        <v>108750</v>
      </c>
      <c r="O1302" s="59">
        <v>18612.0</v>
      </c>
      <c r="P1302" s="34">
        <f t="shared" si="14"/>
        <v>42.7862069</v>
      </c>
      <c r="Q1302" s="60"/>
      <c r="R1302" s="36">
        <f t="shared" si="196"/>
        <v>3656</v>
      </c>
      <c r="S1302" s="61">
        <v>3356.0</v>
      </c>
      <c r="T1302" s="37">
        <f t="shared" si="197"/>
        <v>7012</v>
      </c>
      <c r="U1302" s="62"/>
      <c r="V1302" s="63"/>
      <c r="W1302" s="63"/>
      <c r="X1302" s="35">
        <f t="shared" si="201"/>
        <v>0.1</v>
      </c>
      <c r="Y1302" s="35">
        <f t="shared" si="202"/>
        <v>0</v>
      </c>
      <c r="Z1302" s="40">
        <f t="shared" si="198"/>
        <v>6310.8</v>
      </c>
      <c r="AA1302" s="34">
        <f t="shared" si="199"/>
        <v>701.2</v>
      </c>
      <c r="AB1302" s="41">
        <f t="shared" si="200"/>
        <v>0</v>
      </c>
      <c r="AC1302" s="42" t="b">
        <v>1</v>
      </c>
      <c r="AD1302" s="42" t="s">
        <v>138</v>
      </c>
      <c r="AE1302" s="42" t="s">
        <v>138</v>
      </c>
      <c r="AF1302" s="42" t="str">
        <f t="array" ref="AF1302">INDEX('Deal Info'!D:D, MATCH(A1302,'Deal Info'!A:A, 0))</f>
        <v>Fix10</v>
      </c>
      <c r="AG1302" s="43" t="str">
        <f t="array" ref="AG1302">INDEX('Deal Info'!G:G, MATCH(A1302,'Deal Info'!A:A, 0))</f>
        <v>None</v>
      </c>
    </row>
    <row r="1303" hidden="1">
      <c r="A1303" s="23" t="str">
        <f t="array" ref="A1303">if(G1303='Room Info'!$B$1, INDEX('Room Info'!$A$2:$A3446, MATCH(B1303,'Room Info'!$B$2:$B3446, 0)),if(G1303='Room Info'!$C$1, INDEX('Room Info'!$A$2:$A3446, MATCH(B1303,'Room Info'!$C$2:$C3446, 0)),if(G1303='Room Info'!$D$1, INDEX('Room Info'!$A$2:$A3446, MATCH(B1303,'Room Info'!$D$2:$D3446, 0)),if(G1303='Room Info'!$E$1, INDEX('Room Info'!$A$2:$A3446, MATCH(B1303,'Room Info'!$E$2:$E3446, 0)),if(G1303='Room Info'!$F$1, INDEX('Room Info'!$A$2:$A3446, MATCH(B1303,'Room Info'!$F$2:$F3446, 0)),if(G1303='Room Info'!$H$1, INDEX('Room Info'!$A$2:$A3446, MATCH(B1303,'Room Info'!$H$2:$H3446, 0)),if(G1303='Room Info'!$G$1, INDEX('Room Info'!$A$2:$A3446, MATCH(B1303,'Room Info'!$G$2:$G3446, 0)))))))))</f>
        <v>volkovsky</v>
      </c>
      <c r="B1303" s="50" t="s">
        <v>216</v>
      </c>
      <c r="C1303" s="51">
        <v>44521.0</v>
      </c>
      <c r="D1303" s="51">
        <v>44550.0</v>
      </c>
      <c r="E1303" s="52">
        <v>44531.0</v>
      </c>
      <c r="F1303" s="53" t="s">
        <v>4</v>
      </c>
      <c r="G1303" s="59" t="s">
        <v>5</v>
      </c>
      <c r="H1303" s="54" t="s">
        <v>97</v>
      </c>
      <c r="I1303" s="54" t="s">
        <v>11</v>
      </c>
      <c r="J1303" s="55">
        <v>250.0</v>
      </c>
      <c r="K1303" s="56">
        <v>216.0</v>
      </c>
      <c r="L1303" s="57">
        <v>0.0</v>
      </c>
      <c r="M1303" s="58">
        <v>1533.0</v>
      </c>
      <c r="N1303" s="33">
        <f t="shared" si="155"/>
        <v>54000</v>
      </c>
      <c r="O1303" s="59">
        <v>3679.0</v>
      </c>
      <c r="P1303" s="34">
        <f t="shared" si="14"/>
        <v>17.03240741</v>
      </c>
      <c r="Q1303" s="60"/>
      <c r="R1303" s="36">
        <f t="shared" si="196"/>
        <v>1533</v>
      </c>
      <c r="S1303" s="61">
        <v>12.0</v>
      </c>
      <c r="T1303" s="37">
        <f t="shared" si="197"/>
        <v>1545</v>
      </c>
      <c r="U1303" s="62"/>
      <c r="V1303" s="63"/>
      <c r="W1303" s="63"/>
      <c r="X1303" s="35">
        <f t="shared" si="201"/>
        <v>0.1</v>
      </c>
      <c r="Y1303" s="35">
        <f t="shared" si="202"/>
        <v>0</v>
      </c>
      <c r="Z1303" s="40">
        <f t="shared" si="198"/>
        <v>1390.5</v>
      </c>
      <c r="AA1303" s="34">
        <f t="shared" si="199"/>
        <v>154.5</v>
      </c>
      <c r="AB1303" s="41">
        <f t="shared" si="200"/>
        <v>0</v>
      </c>
      <c r="AC1303" s="42" t="b">
        <v>1</v>
      </c>
      <c r="AD1303" s="42" t="s">
        <v>138</v>
      </c>
      <c r="AE1303" s="42" t="s">
        <v>138</v>
      </c>
      <c r="AF1303" s="42" t="str">
        <f t="array" ref="AF1303">INDEX('Deal Info'!D:D, MATCH(A1303,'Deal Info'!A:A, 0))</f>
        <v>Fix10</v>
      </c>
      <c r="AG1303" s="43" t="str">
        <f t="array" ref="AG1303">INDEX('Deal Info'!G:G, MATCH(A1303,'Deal Info'!A:A, 0))</f>
        <v>None</v>
      </c>
    </row>
    <row r="1304" hidden="1">
      <c r="A1304" s="23" t="str">
        <f t="array" ref="A1304">if(G1304='Room Info'!$B$1, INDEX('Room Info'!$A$2:$A3446, MATCH(B1304,'Room Info'!$B$2:$B3446, 0)),if(G1304='Room Info'!$C$1, INDEX('Room Info'!$A$2:$A3446, MATCH(B1304,'Room Info'!$C$2:$C3446, 0)),if(G1304='Room Info'!$D$1, INDEX('Room Info'!$A$2:$A3446, MATCH(B1304,'Room Info'!$D$2:$D3446, 0)),if(G1304='Room Info'!$E$1, INDEX('Room Info'!$A$2:$A3446, MATCH(B1304,'Room Info'!$E$2:$E3446, 0)),if(G1304='Room Info'!$F$1, INDEX('Room Info'!$A$2:$A3446, MATCH(B1304,'Room Info'!$F$2:$F3446, 0)),if(G1304='Room Info'!$H$1, INDEX('Room Info'!$A$2:$A3446, MATCH(B1304,'Room Info'!$H$2:$H3446, 0)),if(G1304='Room Info'!$G$1, INDEX('Room Info'!$A$2:$A3446, MATCH(B1304,'Room Info'!$G$2:$G3446, 0)))))))))</f>
        <v>volkovsky</v>
      </c>
      <c r="B1304" s="50" t="s">
        <v>216</v>
      </c>
      <c r="C1304" s="51">
        <v>44521.0</v>
      </c>
      <c r="D1304" s="51">
        <v>44550.0</v>
      </c>
      <c r="E1304" s="52">
        <v>44531.0</v>
      </c>
      <c r="F1304" s="53" t="s">
        <v>4</v>
      </c>
      <c r="G1304" s="59" t="s">
        <v>5</v>
      </c>
      <c r="H1304" s="54" t="s">
        <v>101</v>
      </c>
      <c r="I1304" s="54" t="s">
        <v>7</v>
      </c>
      <c r="J1304" s="55">
        <v>500.0</v>
      </c>
      <c r="K1304" s="56">
        <v>2.0</v>
      </c>
      <c r="L1304" s="57">
        <v>2000.0</v>
      </c>
      <c r="M1304" s="58">
        <v>39.0</v>
      </c>
      <c r="N1304" s="33">
        <f t="shared" si="155"/>
        <v>1000</v>
      </c>
      <c r="O1304" s="59">
        <v>1033.0</v>
      </c>
      <c r="P1304" s="34">
        <f t="shared" si="14"/>
        <v>516.5</v>
      </c>
      <c r="Q1304" s="60"/>
      <c r="R1304" s="36">
        <f t="shared" si="196"/>
        <v>39</v>
      </c>
      <c r="S1304" s="61">
        <v>919.0</v>
      </c>
      <c r="T1304" s="37">
        <f t="shared" si="197"/>
        <v>958</v>
      </c>
      <c r="U1304" s="62"/>
      <c r="V1304" s="63"/>
      <c r="W1304" s="63"/>
      <c r="X1304" s="35">
        <f t="shared" si="201"/>
        <v>0.1</v>
      </c>
      <c r="Y1304" s="35">
        <f t="shared" si="202"/>
        <v>0</v>
      </c>
      <c r="Z1304" s="40">
        <f t="shared" si="198"/>
        <v>862.2</v>
      </c>
      <c r="AA1304" s="34">
        <f t="shared" si="199"/>
        <v>95.8</v>
      </c>
      <c r="AB1304" s="41">
        <f t="shared" si="200"/>
        <v>0</v>
      </c>
      <c r="AC1304" s="42" t="b">
        <v>1</v>
      </c>
      <c r="AD1304" s="42" t="s">
        <v>138</v>
      </c>
      <c r="AE1304" s="42" t="s">
        <v>138</v>
      </c>
      <c r="AF1304" s="42" t="str">
        <f t="array" ref="AF1304">INDEX('Deal Info'!D:D, MATCH(A1304,'Deal Info'!A:A, 0))</f>
        <v>Fix10</v>
      </c>
      <c r="AG1304" s="43" t="str">
        <f t="array" ref="AG1304">INDEX('Deal Info'!G:G, MATCH(A1304,'Deal Info'!A:A, 0))</f>
        <v>None</v>
      </c>
    </row>
    <row r="1305" hidden="1">
      <c r="A1305" s="23" t="str">
        <f t="array" ref="A1305">if(G1305='Room Info'!$B$1, INDEX('Room Info'!$A$2:$A3446, MATCH(B1305,'Room Info'!$B$2:$B3446, 0)),if(G1305='Room Info'!$C$1, INDEX('Room Info'!$A$2:$A3446, MATCH(B1305,'Room Info'!$C$2:$C3446, 0)),if(G1305='Room Info'!$D$1, INDEX('Room Info'!$A$2:$A3446, MATCH(B1305,'Room Info'!$D$2:$D3446, 0)),if(G1305='Room Info'!$E$1, INDEX('Room Info'!$A$2:$A3446, MATCH(B1305,'Room Info'!$E$2:$E3446, 0)),if(G1305='Room Info'!$F$1, INDEX('Room Info'!$A$2:$A3446, MATCH(B1305,'Room Info'!$F$2:$F3446, 0)),if(G1305='Room Info'!$H$1, INDEX('Room Info'!$A$2:$A3446, MATCH(B1305,'Room Info'!$H$2:$H3446, 0)),if(G1305='Room Info'!$G$1, INDEX('Room Info'!$A$2:$A3446, MATCH(B1305,'Room Info'!$G$2:$G3446, 0)))))))))</f>
        <v>volkovsky</v>
      </c>
      <c r="B1305" s="50" t="s">
        <v>216</v>
      </c>
      <c r="C1305" s="51">
        <v>44551.0</v>
      </c>
      <c r="D1305" s="51">
        <v>44581.0</v>
      </c>
      <c r="E1305" s="52">
        <v>44562.0</v>
      </c>
      <c r="F1305" s="53" t="s">
        <v>4</v>
      </c>
      <c r="G1305" s="50" t="s">
        <v>5</v>
      </c>
      <c r="H1305" s="54" t="s">
        <v>85</v>
      </c>
      <c r="I1305" s="54" t="s">
        <v>7</v>
      </c>
      <c r="J1305" s="55">
        <v>100.0</v>
      </c>
      <c r="K1305" s="56">
        <v>718.0</v>
      </c>
      <c r="L1305" s="57">
        <v>-7700.0</v>
      </c>
      <c r="M1305" s="58">
        <v>3005.0</v>
      </c>
      <c r="N1305" s="33">
        <f t="shared" si="155"/>
        <v>71800</v>
      </c>
      <c r="O1305" s="59">
        <v>-5742.0</v>
      </c>
      <c r="P1305" s="34">
        <f t="shared" si="14"/>
        <v>-7.997214485</v>
      </c>
      <c r="Q1305" s="60"/>
      <c r="R1305" s="36">
        <f t="shared" si="196"/>
        <v>3005</v>
      </c>
      <c r="S1305" s="61">
        <v>-4967.0</v>
      </c>
      <c r="T1305" s="37">
        <f t="shared" si="197"/>
        <v>-1962</v>
      </c>
      <c r="U1305" s="62"/>
      <c r="V1305" s="63"/>
      <c r="W1305" s="63"/>
      <c r="X1305" s="35">
        <f t="shared" si="201"/>
        <v>0.1</v>
      </c>
      <c r="Y1305" s="35">
        <f t="shared" si="202"/>
        <v>0</v>
      </c>
      <c r="Z1305" s="40">
        <f t="shared" si="198"/>
        <v>-1765.8</v>
      </c>
      <c r="AA1305" s="34">
        <f t="shared" si="199"/>
        <v>-196.2</v>
      </c>
      <c r="AB1305" s="41">
        <f t="shared" si="200"/>
        <v>0</v>
      </c>
      <c r="AC1305" s="42" t="b">
        <v>1</v>
      </c>
      <c r="AD1305" s="42" t="s">
        <v>138</v>
      </c>
      <c r="AE1305" s="42" t="s">
        <v>138</v>
      </c>
      <c r="AF1305" s="42" t="str">
        <f t="array" ref="AF1305">INDEX('Deal Info'!D:D, MATCH(A1305,'Deal Info'!A:A, 0))</f>
        <v>Fix10</v>
      </c>
      <c r="AG1305" s="43" t="str">
        <f t="array" ref="AG1305">INDEX('Deal Info'!G:G, MATCH(A1305,'Deal Info'!A:A, 0))</f>
        <v>None</v>
      </c>
    </row>
    <row r="1306" hidden="1">
      <c r="A1306" s="23" t="str">
        <f t="array" ref="A1306">if(G1306='Room Info'!$B$1, INDEX('Room Info'!$A$2:$A3446, MATCH(B1306,'Room Info'!$B$2:$B3446, 0)),if(G1306='Room Info'!$C$1, INDEX('Room Info'!$A$2:$A3446, MATCH(B1306,'Room Info'!$C$2:$C3446, 0)),if(G1306='Room Info'!$D$1, INDEX('Room Info'!$A$2:$A3446, MATCH(B1306,'Room Info'!$D$2:$D3446, 0)),if(G1306='Room Info'!$E$1, INDEX('Room Info'!$A$2:$A3446, MATCH(B1306,'Room Info'!$E$2:$E3446, 0)),if(G1306='Room Info'!$F$1, INDEX('Room Info'!$A$2:$A3446, MATCH(B1306,'Room Info'!$F$2:$F3446, 0)),if(G1306='Room Info'!$H$1, INDEX('Room Info'!$A$2:$A3446, MATCH(B1306,'Room Info'!$H$2:$H3446, 0)),if(G1306='Room Info'!$G$1, INDEX('Room Info'!$A$2:$A3446, MATCH(B1306,'Room Info'!$G$2:$G3446, 0)))))))))</f>
        <v>volkovsky</v>
      </c>
      <c r="B1306" s="50" t="s">
        <v>216</v>
      </c>
      <c r="C1306" s="51">
        <v>44551.0</v>
      </c>
      <c r="D1306" s="51">
        <v>44581.0</v>
      </c>
      <c r="E1306" s="52">
        <v>44562.0</v>
      </c>
      <c r="F1306" s="53" t="s">
        <v>4</v>
      </c>
      <c r="G1306" s="50" t="s">
        <v>5</v>
      </c>
      <c r="H1306" s="54" t="s">
        <v>96</v>
      </c>
      <c r="I1306" s="54" t="s">
        <v>7</v>
      </c>
      <c r="J1306" s="55">
        <v>250.0</v>
      </c>
      <c r="K1306" s="56">
        <v>671.0</v>
      </c>
      <c r="L1306" s="57">
        <v>-15500.0</v>
      </c>
      <c r="M1306" s="58">
        <v>7502.0</v>
      </c>
      <c r="N1306" s="33">
        <f t="shared" si="155"/>
        <v>167750</v>
      </c>
      <c r="O1306" s="59">
        <v>-11348.0</v>
      </c>
      <c r="P1306" s="34">
        <f t="shared" si="14"/>
        <v>-16.91207154</v>
      </c>
      <c r="Q1306" s="60"/>
      <c r="R1306" s="36">
        <f t="shared" si="196"/>
        <v>7502</v>
      </c>
      <c r="S1306" s="61">
        <v>-14068.0</v>
      </c>
      <c r="T1306" s="37">
        <f t="shared" si="197"/>
        <v>-6566</v>
      </c>
      <c r="U1306" s="62"/>
      <c r="V1306" s="63"/>
      <c r="W1306" s="63"/>
      <c r="X1306" s="35">
        <f t="shared" si="201"/>
        <v>0.1</v>
      </c>
      <c r="Y1306" s="35">
        <f t="shared" si="202"/>
        <v>0</v>
      </c>
      <c r="Z1306" s="40">
        <f t="shared" si="198"/>
        <v>-5909.4</v>
      </c>
      <c r="AA1306" s="34">
        <f t="shared" si="199"/>
        <v>-656.6</v>
      </c>
      <c r="AB1306" s="41">
        <f t="shared" si="200"/>
        <v>0</v>
      </c>
      <c r="AC1306" s="42" t="b">
        <v>1</v>
      </c>
      <c r="AD1306" s="42" t="s">
        <v>138</v>
      </c>
      <c r="AE1306" s="42" t="s">
        <v>138</v>
      </c>
      <c r="AF1306" s="42" t="str">
        <f t="array" ref="AF1306">INDEX('Deal Info'!D:D, MATCH(A1306,'Deal Info'!A:A, 0))</f>
        <v>Fix10</v>
      </c>
      <c r="AG1306" s="43" t="str">
        <f t="array" ref="AG1306">INDEX('Deal Info'!G:G, MATCH(A1306,'Deal Info'!A:A, 0))</f>
        <v>None</v>
      </c>
    </row>
    <row r="1307" hidden="1">
      <c r="A1307" s="23" t="str">
        <f t="array" ref="A1307">if(G1307='Room Info'!$B$1, INDEX('Room Info'!$A$2:$A3446, MATCH(B1307,'Room Info'!$B$2:$B3446, 0)),if(G1307='Room Info'!$C$1, INDEX('Room Info'!$A$2:$A3446, MATCH(B1307,'Room Info'!$C$2:$C3446, 0)),if(G1307='Room Info'!$D$1, INDEX('Room Info'!$A$2:$A3446, MATCH(B1307,'Room Info'!$D$2:$D3446, 0)),if(G1307='Room Info'!$E$1, INDEX('Room Info'!$A$2:$A3446, MATCH(B1307,'Room Info'!$E$2:$E3446, 0)),if(G1307='Room Info'!$F$1, INDEX('Room Info'!$A$2:$A3446, MATCH(B1307,'Room Info'!$F$2:$F3446, 0)),if(G1307='Room Info'!$H$1, INDEX('Room Info'!$A$2:$A3446, MATCH(B1307,'Room Info'!$H$2:$H3446, 0)),if(G1307='Room Info'!$G$1, INDEX('Room Info'!$A$2:$A3446, MATCH(B1307,'Room Info'!$G$2:$G3446, 0)))))))))</f>
        <v>volkovsky</v>
      </c>
      <c r="B1307" s="50" t="s">
        <v>216</v>
      </c>
      <c r="C1307" s="51">
        <v>44551.0</v>
      </c>
      <c r="D1307" s="51">
        <v>44581.0</v>
      </c>
      <c r="E1307" s="52">
        <v>44562.0</v>
      </c>
      <c r="F1307" s="53" t="s">
        <v>4</v>
      </c>
      <c r="G1307" s="50" t="s">
        <v>5</v>
      </c>
      <c r="H1307" s="54" t="s">
        <v>97</v>
      </c>
      <c r="I1307" s="54" t="s">
        <v>11</v>
      </c>
      <c r="J1307" s="55">
        <v>250.0</v>
      </c>
      <c r="K1307" s="56">
        <v>205.0</v>
      </c>
      <c r="L1307" s="57">
        <v>-3250.0</v>
      </c>
      <c r="M1307" s="58">
        <v>2209.0</v>
      </c>
      <c r="N1307" s="33">
        <f t="shared" si="155"/>
        <v>51250</v>
      </c>
      <c r="O1307" s="59">
        <v>1510.0</v>
      </c>
      <c r="P1307" s="34">
        <f t="shared" si="14"/>
        <v>7.365853659</v>
      </c>
      <c r="Q1307" s="60"/>
      <c r="R1307" s="36">
        <f t="shared" si="196"/>
        <v>2209</v>
      </c>
      <c r="S1307" s="61">
        <v>-1466.0</v>
      </c>
      <c r="T1307" s="37">
        <f t="shared" si="197"/>
        <v>743</v>
      </c>
      <c r="U1307" s="62"/>
      <c r="V1307" s="63"/>
      <c r="W1307" s="63"/>
      <c r="X1307" s="35">
        <f t="shared" si="201"/>
        <v>0.1</v>
      </c>
      <c r="Y1307" s="35">
        <f t="shared" si="202"/>
        <v>0</v>
      </c>
      <c r="Z1307" s="40">
        <f t="shared" si="198"/>
        <v>668.7</v>
      </c>
      <c r="AA1307" s="34">
        <f t="shared" si="199"/>
        <v>74.3</v>
      </c>
      <c r="AB1307" s="41">
        <f t="shared" si="200"/>
        <v>0</v>
      </c>
      <c r="AC1307" s="42" t="b">
        <v>1</v>
      </c>
      <c r="AD1307" s="42" t="s">
        <v>138</v>
      </c>
      <c r="AE1307" s="42" t="s">
        <v>138</v>
      </c>
      <c r="AF1307" s="42" t="str">
        <f t="array" ref="AF1307">INDEX('Deal Info'!D:D, MATCH(A1307,'Deal Info'!A:A, 0))</f>
        <v>Fix10</v>
      </c>
      <c r="AG1307" s="43" t="str">
        <f t="array" ref="AG1307">INDEX('Deal Info'!G:G, MATCH(A1307,'Deal Info'!A:A, 0))</f>
        <v>None</v>
      </c>
    </row>
    <row r="1308" hidden="1">
      <c r="A1308" s="23" t="str">
        <f t="array" ref="A1308">if(G1308='Room Info'!$B$1, INDEX('Room Info'!$A$2:$A3446, MATCH(B1308,'Room Info'!$B$2:$B3446, 0)),if(G1308='Room Info'!$C$1, INDEX('Room Info'!$A$2:$A3446, MATCH(B1308,'Room Info'!$C$2:$C3446, 0)),if(G1308='Room Info'!$D$1, INDEX('Room Info'!$A$2:$A3446, MATCH(B1308,'Room Info'!$D$2:$D3446, 0)),if(G1308='Room Info'!$E$1, INDEX('Room Info'!$A$2:$A3446, MATCH(B1308,'Room Info'!$E$2:$E3446, 0)),if(G1308='Room Info'!$F$1, INDEX('Room Info'!$A$2:$A3446, MATCH(B1308,'Room Info'!$F$2:$F3446, 0)),if(G1308='Room Info'!$H$1, INDEX('Room Info'!$A$2:$A3446, MATCH(B1308,'Room Info'!$H$2:$H3446, 0)),if(G1308='Room Info'!$G$1, INDEX('Room Info'!$A$2:$A3446, MATCH(B1308,'Room Info'!$G$2:$G3446, 0)))))))))</f>
        <v>volkovsky</v>
      </c>
      <c r="B1308" s="50" t="s">
        <v>216</v>
      </c>
      <c r="C1308" s="51">
        <v>44551.0</v>
      </c>
      <c r="D1308" s="51">
        <v>44581.0</v>
      </c>
      <c r="E1308" s="52">
        <v>44562.0</v>
      </c>
      <c r="F1308" s="50" t="s">
        <v>4</v>
      </c>
      <c r="G1308" s="59" t="s">
        <v>5</v>
      </c>
      <c r="H1308" s="54" t="s">
        <v>101</v>
      </c>
      <c r="I1308" s="54" t="s">
        <v>7</v>
      </c>
      <c r="J1308" s="55">
        <v>500.0</v>
      </c>
      <c r="K1308" s="56">
        <v>19.0</v>
      </c>
      <c r="L1308" s="57">
        <v>2500.0</v>
      </c>
      <c r="M1308" s="58">
        <v>794.0</v>
      </c>
      <c r="N1308" s="33">
        <f t="shared" si="155"/>
        <v>9500</v>
      </c>
      <c r="O1308" s="59">
        <v>-1652.0</v>
      </c>
      <c r="P1308" s="34">
        <f t="shared" si="14"/>
        <v>-86.94736842</v>
      </c>
      <c r="Q1308" s="60"/>
      <c r="R1308" s="36">
        <f t="shared" si="196"/>
        <v>794</v>
      </c>
      <c r="S1308" s="61">
        <v>-2042.0</v>
      </c>
      <c r="T1308" s="37">
        <f t="shared" si="197"/>
        <v>-1248</v>
      </c>
      <c r="U1308" s="62"/>
      <c r="V1308" s="63"/>
      <c r="W1308" s="63"/>
      <c r="X1308" s="35">
        <f t="shared" si="201"/>
        <v>0.1</v>
      </c>
      <c r="Y1308" s="35">
        <f t="shared" si="202"/>
        <v>0</v>
      </c>
      <c r="Z1308" s="40">
        <f t="shared" si="198"/>
        <v>-1123.2</v>
      </c>
      <c r="AA1308" s="34">
        <f t="shared" si="199"/>
        <v>-124.8</v>
      </c>
      <c r="AB1308" s="41">
        <f t="shared" si="200"/>
        <v>0</v>
      </c>
      <c r="AC1308" s="42" t="b">
        <v>1</v>
      </c>
      <c r="AD1308" s="42" t="s">
        <v>138</v>
      </c>
      <c r="AE1308" s="42" t="s">
        <v>138</v>
      </c>
      <c r="AF1308" s="42" t="str">
        <f t="array" ref="AF1308">INDEX('Deal Info'!D:D, MATCH(A1308,'Deal Info'!A:A, 0))</f>
        <v>Fix10</v>
      </c>
      <c r="AG1308" s="43" t="str">
        <f t="array" ref="AG1308">INDEX('Deal Info'!G:G, MATCH(A1308,'Deal Info'!A:A, 0))</f>
        <v>None</v>
      </c>
    </row>
    <row r="1309" hidden="1">
      <c r="A1309" s="23" t="str">
        <f t="array" ref="A1309">if(G1309='Room Info'!$B$1, INDEX('Room Info'!$A$2:$A3446, MATCH(B1309,'Room Info'!$B$2:$B3446, 0)),if(G1309='Room Info'!$C$1, INDEX('Room Info'!$A$2:$A3446, MATCH(B1309,'Room Info'!$C$2:$C3446, 0)),if(G1309='Room Info'!$D$1, INDEX('Room Info'!$A$2:$A3446, MATCH(B1309,'Room Info'!$D$2:$D3446, 0)),if(G1309='Room Info'!$E$1, INDEX('Room Info'!$A$2:$A3446, MATCH(B1309,'Room Info'!$E$2:$E3446, 0)),if(G1309='Room Info'!$F$1, INDEX('Room Info'!$A$2:$A3446, MATCH(B1309,'Room Info'!$F$2:$F3446, 0)),if(G1309='Room Info'!$H$1, INDEX('Room Info'!$A$2:$A3446, MATCH(B1309,'Room Info'!$H$2:$H3446, 0)),if(G1309='Room Info'!$G$1, INDEX('Room Info'!$A$2:$A3446, MATCH(B1309,'Room Info'!$G$2:$G3446, 0)))))))))</f>
        <v>volkovsky</v>
      </c>
      <c r="B1309" s="50" t="s">
        <v>216</v>
      </c>
      <c r="C1309" s="51">
        <v>44551.0</v>
      </c>
      <c r="D1309" s="51">
        <v>44581.0</v>
      </c>
      <c r="E1309" s="52">
        <v>44562.0</v>
      </c>
      <c r="F1309" s="53" t="s">
        <v>4</v>
      </c>
      <c r="G1309" s="50" t="s">
        <v>5</v>
      </c>
      <c r="H1309" s="54" t="s">
        <v>102</v>
      </c>
      <c r="I1309" s="54" t="s">
        <v>11</v>
      </c>
      <c r="J1309" s="55">
        <v>500.0</v>
      </c>
      <c r="K1309" s="56">
        <v>1.0</v>
      </c>
      <c r="L1309" s="57">
        <v>-500.0</v>
      </c>
      <c r="M1309" s="58">
        <v>40.0</v>
      </c>
      <c r="N1309" s="33">
        <f t="shared" si="155"/>
        <v>500</v>
      </c>
      <c r="O1309" s="59">
        <v>-132.0</v>
      </c>
      <c r="P1309" s="34">
        <f t="shared" si="14"/>
        <v>-132</v>
      </c>
      <c r="Q1309" s="60"/>
      <c r="R1309" s="36">
        <f t="shared" si="196"/>
        <v>40</v>
      </c>
      <c r="S1309" s="61">
        <v>-233.0</v>
      </c>
      <c r="T1309" s="37">
        <f t="shared" si="197"/>
        <v>-193</v>
      </c>
      <c r="U1309" s="62"/>
      <c r="V1309" s="63"/>
      <c r="W1309" s="63"/>
      <c r="X1309" s="35">
        <f t="shared" si="201"/>
        <v>0.1</v>
      </c>
      <c r="Y1309" s="35">
        <f t="shared" si="202"/>
        <v>0</v>
      </c>
      <c r="Z1309" s="40">
        <f t="shared" si="198"/>
        <v>-173.7</v>
      </c>
      <c r="AA1309" s="34">
        <f t="shared" si="199"/>
        <v>-19.3</v>
      </c>
      <c r="AB1309" s="41">
        <f t="shared" si="200"/>
        <v>0</v>
      </c>
      <c r="AC1309" s="42" t="b">
        <v>1</v>
      </c>
      <c r="AD1309" s="42" t="s">
        <v>138</v>
      </c>
      <c r="AE1309" s="42" t="s">
        <v>138</v>
      </c>
      <c r="AF1309" s="42" t="str">
        <f t="array" ref="AF1309">INDEX('Deal Info'!D:D, MATCH(A1309,'Deal Info'!A:A, 0))</f>
        <v>Fix10</v>
      </c>
      <c r="AG1309" s="43" t="str">
        <f t="array" ref="AG1309">INDEX('Deal Info'!G:G, MATCH(A1309,'Deal Info'!A:A, 0))</f>
        <v>None</v>
      </c>
    </row>
    <row r="1310" hidden="1">
      <c r="A1310" s="23" t="str">
        <f t="array" ref="A1310">if(G1310='Room Info'!$B$1, INDEX('Room Info'!$A$2:$A3446, MATCH(B1310,'Room Info'!$B$2:$B3446, 0)),if(G1310='Room Info'!$C$1, INDEX('Room Info'!$A$2:$A3446, MATCH(B1310,'Room Info'!$C$2:$C3446, 0)),if(G1310='Room Info'!$D$1, INDEX('Room Info'!$A$2:$A3446, MATCH(B1310,'Room Info'!$D$2:$D3446, 0)),if(G1310='Room Info'!$E$1, INDEX('Room Info'!$A$2:$A3446, MATCH(B1310,'Room Info'!$E$2:$E3446, 0)),if(G1310='Room Info'!$F$1, INDEX('Room Info'!$A$2:$A3446, MATCH(B1310,'Room Info'!$F$2:$F3446, 0)),if(G1310='Room Info'!$H$1, INDEX('Room Info'!$A$2:$A3446, MATCH(B1310,'Room Info'!$H$2:$H3446, 0)),if(G1310='Room Info'!$G$1, INDEX('Room Info'!$A$2:$A3446, MATCH(B1310,'Room Info'!$G$2:$G3446, 0)))))))))</f>
        <v>volkovsky</v>
      </c>
      <c r="B1310" s="50" t="s">
        <v>216</v>
      </c>
      <c r="C1310" s="51">
        <v>44582.0</v>
      </c>
      <c r="D1310" s="51">
        <v>44612.0</v>
      </c>
      <c r="E1310" s="52">
        <v>44593.0</v>
      </c>
      <c r="F1310" s="53" t="s">
        <v>4</v>
      </c>
      <c r="G1310" s="50" t="s">
        <v>5</v>
      </c>
      <c r="H1310" s="54" t="s">
        <v>35</v>
      </c>
      <c r="I1310" s="54" t="s">
        <v>7</v>
      </c>
      <c r="J1310" s="55">
        <v>5.0</v>
      </c>
      <c r="K1310" s="56">
        <v>1.0</v>
      </c>
      <c r="L1310" s="57">
        <v>-5.0</v>
      </c>
      <c r="M1310" s="67"/>
      <c r="N1310" s="33">
        <f t="shared" si="155"/>
        <v>5</v>
      </c>
      <c r="O1310" s="59">
        <v>-363.0</v>
      </c>
      <c r="P1310" s="34">
        <f t="shared" si="14"/>
        <v>-363</v>
      </c>
      <c r="Q1310" s="60"/>
      <c r="R1310" s="36">
        <f t="shared" si="196"/>
        <v>0</v>
      </c>
      <c r="S1310" s="61">
        <v>-4.0</v>
      </c>
      <c r="T1310" s="37">
        <f t="shared" si="197"/>
        <v>-4</v>
      </c>
      <c r="U1310" s="62"/>
      <c r="V1310" s="63"/>
      <c r="W1310" s="63"/>
      <c r="X1310" s="35">
        <f t="shared" si="201"/>
        <v>0.1</v>
      </c>
      <c r="Y1310" s="35">
        <f t="shared" si="202"/>
        <v>0</v>
      </c>
      <c r="Z1310" s="40">
        <f t="shared" si="198"/>
        <v>-3.6</v>
      </c>
      <c r="AA1310" s="34">
        <f t="shared" si="199"/>
        <v>-0.4</v>
      </c>
      <c r="AB1310" s="41">
        <f t="shared" si="200"/>
        <v>0</v>
      </c>
      <c r="AC1310" s="42" t="b">
        <v>1</v>
      </c>
      <c r="AD1310" s="42" t="s">
        <v>138</v>
      </c>
      <c r="AE1310" s="42" t="s">
        <v>138</v>
      </c>
      <c r="AF1310" s="42" t="str">
        <f t="array" ref="AF1310">INDEX('Deal Info'!D:D, MATCH(A1310,'Deal Info'!A:A, 0))</f>
        <v>Fix10</v>
      </c>
      <c r="AG1310" s="43" t="str">
        <f t="array" ref="AG1310">INDEX('Deal Info'!G:G, MATCH(A1310,'Deal Info'!A:A, 0))</f>
        <v>None</v>
      </c>
    </row>
    <row r="1311" hidden="1">
      <c r="A1311" s="23" t="str">
        <f t="array" ref="A1311">if(G1311='Room Info'!$B$1, INDEX('Room Info'!$A$2:$A3446, MATCH(B1311,'Room Info'!$B$2:$B3446, 0)),if(G1311='Room Info'!$C$1, INDEX('Room Info'!$A$2:$A3446, MATCH(B1311,'Room Info'!$C$2:$C3446, 0)),if(G1311='Room Info'!$D$1, INDEX('Room Info'!$A$2:$A3446, MATCH(B1311,'Room Info'!$D$2:$D3446, 0)),if(G1311='Room Info'!$E$1, INDEX('Room Info'!$A$2:$A3446, MATCH(B1311,'Room Info'!$E$2:$E3446, 0)),if(G1311='Room Info'!$F$1, INDEX('Room Info'!$A$2:$A3446, MATCH(B1311,'Room Info'!$F$2:$F3446, 0)),if(G1311='Room Info'!$H$1, INDEX('Room Info'!$A$2:$A3446, MATCH(B1311,'Room Info'!$H$2:$H3446, 0)),if(G1311='Room Info'!$G$1, INDEX('Room Info'!$A$2:$A3446, MATCH(B1311,'Room Info'!$G$2:$G3446, 0)))))))))</f>
        <v>volkovsky</v>
      </c>
      <c r="B1311" s="50" t="s">
        <v>216</v>
      </c>
      <c r="C1311" s="51">
        <v>44582.0</v>
      </c>
      <c r="D1311" s="51">
        <v>44612.0</v>
      </c>
      <c r="E1311" s="52">
        <v>44593.0</v>
      </c>
      <c r="F1311" s="53" t="s">
        <v>4</v>
      </c>
      <c r="G1311" s="50" t="s">
        <v>5</v>
      </c>
      <c r="H1311" s="54" t="s">
        <v>85</v>
      </c>
      <c r="I1311" s="54" t="s">
        <v>7</v>
      </c>
      <c r="J1311" s="55">
        <v>100.0</v>
      </c>
      <c r="K1311" s="56">
        <v>1073.0</v>
      </c>
      <c r="L1311" s="57">
        <v>-3800.0</v>
      </c>
      <c r="M1311" s="58">
        <v>2826.0</v>
      </c>
      <c r="N1311" s="33">
        <f t="shared" si="155"/>
        <v>107300</v>
      </c>
      <c r="O1311" s="59">
        <v>27960.0</v>
      </c>
      <c r="P1311" s="34">
        <f t="shared" si="14"/>
        <v>26.05778192</v>
      </c>
      <c r="Q1311" s="60"/>
      <c r="R1311" s="36">
        <f t="shared" si="196"/>
        <v>2826</v>
      </c>
      <c r="S1311" s="61">
        <v>-524.0</v>
      </c>
      <c r="T1311" s="37">
        <f t="shared" si="197"/>
        <v>2302</v>
      </c>
      <c r="U1311" s="62"/>
      <c r="V1311" s="63"/>
      <c r="W1311" s="63"/>
      <c r="X1311" s="35">
        <f t="shared" si="201"/>
        <v>0.1</v>
      </c>
      <c r="Y1311" s="35">
        <f t="shared" si="202"/>
        <v>0</v>
      </c>
      <c r="Z1311" s="40">
        <f t="shared" si="198"/>
        <v>2071.8</v>
      </c>
      <c r="AA1311" s="34">
        <f t="shared" si="199"/>
        <v>230.2</v>
      </c>
      <c r="AB1311" s="41">
        <f t="shared" si="200"/>
        <v>0</v>
      </c>
      <c r="AC1311" s="42" t="b">
        <v>1</v>
      </c>
      <c r="AD1311" s="42" t="s">
        <v>138</v>
      </c>
      <c r="AE1311" s="42" t="s">
        <v>138</v>
      </c>
      <c r="AF1311" s="42" t="str">
        <f t="array" ref="AF1311">INDEX('Deal Info'!D:D, MATCH(A1311,'Deal Info'!A:A, 0))</f>
        <v>Fix10</v>
      </c>
      <c r="AG1311" s="43" t="str">
        <f t="array" ref="AG1311">INDEX('Deal Info'!G:G, MATCH(A1311,'Deal Info'!A:A, 0))</f>
        <v>None</v>
      </c>
    </row>
    <row r="1312" hidden="1">
      <c r="A1312" s="23" t="str">
        <f t="array" ref="A1312">if(G1312='Room Info'!$B$1, INDEX('Room Info'!$A$2:$A3446, MATCH(B1312,'Room Info'!$B$2:$B3446, 0)),if(G1312='Room Info'!$C$1, INDEX('Room Info'!$A$2:$A3446, MATCH(B1312,'Room Info'!$C$2:$C3446, 0)),if(G1312='Room Info'!$D$1, INDEX('Room Info'!$A$2:$A3446, MATCH(B1312,'Room Info'!$D$2:$D3446, 0)),if(G1312='Room Info'!$E$1, INDEX('Room Info'!$A$2:$A3446, MATCH(B1312,'Room Info'!$E$2:$E3446, 0)),if(G1312='Room Info'!$F$1, INDEX('Room Info'!$A$2:$A3446, MATCH(B1312,'Room Info'!$F$2:$F3446, 0)),if(G1312='Room Info'!$H$1, INDEX('Room Info'!$A$2:$A3446, MATCH(B1312,'Room Info'!$H$2:$H3446, 0)),if(G1312='Room Info'!$G$1, INDEX('Room Info'!$A$2:$A3446, MATCH(B1312,'Room Info'!$G$2:$G3446, 0)))))))))</f>
        <v>volkovsky</v>
      </c>
      <c r="B1312" s="50" t="s">
        <v>216</v>
      </c>
      <c r="C1312" s="51">
        <v>44582.0</v>
      </c>
      <c r="D1312" s="51">
        <v>44612.0</v>
      </c>
      <c r="E1312" s="52">
        <v>44593.0</v>
      </c>
      <c r="F1312" s="53" t="s">
        <v>4</v>
      </c>
      <c r="G1312" s="50" t="s">
        <v>5</v>
      </c>
      <c r="H1312" s="54" t="s">
        <v>86</v>
      </c>
      <c r="I1312" s="54" t="s">
        <v>11</v>
      </c>
      <c r="J1312" s="55">
        <v>100.0</v>
      </c>
      <c r="K1312" s="56">
        <v>1.0</v>
      </c>
      <c r="L1312" s="57">
        <v>-100.0</v>
      </c>
      <c r="M1312" s="58">
        <v>3.0</v>
      </c>
      <c r="N1312" s="33">
        <f t="shared" si="155"/>
        <v>100</v>
      </c>
      <c r="O1312" s="59">
        <v>-165.0</v>
      </c>
      <c r="P1312" s="34">
        <f t="shared" si="14"/>
        <v>-165</v>
      </c>
      <c r="Q1312" s="60"/>
      <c r="R1312" s="36">
        <f t="shared" si="196"/>
        <v>3</v>
      </c>
      <c r="S1312" s="61">
        <v>-57.0</v>
      </c>
      <c r="T1312" s="37">
        <f t="shared" si="197"/>
        <v>-54</v>
      </c>
      <c r="U1312" s="62"/>
      <c r="V1312" s="63"/>
      <c r="W1312" s="63"/>
      <c r="X1312" s="35">
        <f t="shared" si="201"/>
        <v>0.1</v>
      </c>
      <c r="Y1312" s="35">
        <f t="shared" si="202"/>
        <v>0</v>
      </c>
      <c r="Z1312" s="40">
        <f t="shared" si="198"/>
        <v>-48.6</v>
      </c>
      <c r="AA1312" s="34">
        <f t="shared" si="199"/>
        <v>-5.4</v>
      </c>
      <c r="AB1312" s="41">
        <f t="shared" si="200"/>
        <v>0</v>
      </c>
      <c r="AC1312" s="42" t="b">
        <v>1</v>
      </c>
      <c r="AD1312" s="42" t="s">
        <v>138</v>
      </c>
      <c r="AE1312" s="42" t="s">
        <v>138</v>
      </c>
      <c r="AF1312" s="42" t="str">
        <f t="array" ref="AF1312">INDEX('Deal Info'!D:D, MATCH(A1312,'Deal Info'!A:A, 0))</f>
        <v>Fix10</v>
      </c>
      <c r="AG1312" s="43" t="str">
        <f t="array" ref="AG1312">INDEX('Deal Info'!G:G, MATCH(A1312,'Deal Info'!A:A, 0))</f>
        <v>None</v>
      </c>
    </row>
    <row r="1313" hidden="1">
      <c r="A1313" s="23" t="str">
        <f t="array" ref="A1313">if(G1313='Room Info'!$B$1, INDEX('Room Info'!$A$2:$A3446, MATCH(B1313,'Room Info'!$B$2:$B3446, 0)),if(G1313='Room Info'!$C$1, INDEX('Room Info'!$A$2:$A3446, MATCH(B1313,'Room Info'!$C$2:$C3446, 0)),if(G1313='Room Info'!$D$1, INDEX('Room Info'!$A$2:$A3446, MATCH(B1313,'Room Info'!$D$2:$D3446, 0)),if(G1313='Room Info'!$E$1, INDEX('Room Info'!$A$2:$A3446, MATCH(B1313,'Room Info'!$E$2:$E3446, 0)),if(G1313='Room Info'!$F$1, INDEX('Room Info'!$A$2:$A3446, MATCH(B1313,'Room Info'!$F$2:$F3446, 0)),if(G1313='Room Info'!$H$1, INDEX('Room Info'!$A$2:$A3446, MATCH(B1313,'Room Info'!$H$2:$H3446, 0)),if(G1313='Room Info'!$G$1, INDEX('Room Info'!$A$2:$A3446, MATCH(B1313,'Room Info'!$G$2:$G3446, 0)))))))))</f>
        <v>volkovsky</v>
      </c>
      <c r="B1313" s="59" t="s">
        <v>216</v>
      </c>
      <c r="C1313" s="51">
        <v>44582.0</v>
      </c>
      <c r="D1313" s="51">
        <v>44612.0</v>
      </c>
      <c r="E1313" s="52">
        <v>44593.0</v>
      </c>
      <c r="F1313" s="53" t="s">
        <v>4</v>
      </c>
      <c r="G1313" s="59" t="s">
        <v>5</v>
      </c>
      <c r="H1313" s="59" t="s">
        <v>96</v>
      </c>
      <c r="I1313" s="54" t="s">
        <v>7</v>
      </c>
      <c r="J1313" s="55">
        <v>250.0</v>
      </c>
      <c r="K1313" s="56">
        <v>680.0</v>
      </c>
      <c r="L1313" s="57">
        <v>1000.0</v>
      </c>
      <c r="M1313" s="58">
        <v>4478.0</v>
      </c>
      <c r="N1313" s="33">
        <f t="shared" si="155"/>
        <v>170000</v>
      </c>
      <c r="O1313" s="59">
        <v>19011.0</v>
      </c>
      <c r="P1313" s="34">
        <f t="shared" si="14"/>
        <v>27.95735294</v>
      </c>
      <c r="Q1313" s="60"/>
      <c r="R1313" s="36">
        <f t="shared" si="196"/>
        <v>4478</v>
      </c>
      <c r="S1313" s="61">
        <v>177.0</v>
      </c>
      <c r="T1313" s="37">
        <f t="shared" si="197"/>
        <v>4655</v>
      </c>
      <c r="U1313" s="62"/>
      <c r="V1313" s="63"/>
      <c r="W1313" s="63"/>
      <c r="X1313" s="35">
        <f t="shared" si="201"/>
        <v>0.1</v>
      </c>
      <c r="Y1313" s="35">
        <f t="shared" si="202"/>
        <v>0</v>
      </c>
      <c r="Z1313" s="40">
        <f t="shared" si="198"/>
        <v>4189.5</v>
      </c>
      <c r="AA1313" s="34">
        <f t="shared" si="199"/>
        <v>465.5</v>
      </c>
      <c r="AB1313" s="41">
        <f t="shared" si="200"/>
        <v>0</v>
      </c>
      <c r="AC1313" s="42" t="b">
        <v>1</v>
      </c>
      <c r="AD1313" s="42" t="s">
        <v>138</v>
      </c>
      <c r="AE1313" s="42" t="s">
        <v>138</v>
      </c>
      <c r="AF1313" s="42" t="str">
        <f t="array" ref="AF1313">INDEX('Deal Info'!D:D, MATCH(A1313,'Deal Info'!A:A, 0))</f>
        <v>Fix10</v>
      </c>
      <c r="AG1313" s="43" t="str">
        <f t="array" ref="AG1313">INDEX('Deal Info'!G:G, MATCH(A1313,'Deal Info'!A:A, 0))</f>
        <v>None</v>
      </c>
    </row>
    <row r="1314" hidden="1">
      <c r="A1314" s="23" t="str">
        <f t="array" ref="A1314">if(G1314='Room Info'!$B$1, INDEX('Room Info'!$A$2:$A3446, MATCH(B1314,'Room Info'!$B$2:$B3446, 0)),if(G1314='Room Info'!$C$1, INDEX('Room Info'!$A$2:$A3446, MATCH(B1314,'Room Info'!$C$2:$C3446, 0)),if(G1314='Room Info'!$D$1, INDEX('Room Info'!$A$2:$A3446, MATCH(B1314,'Room Info'!$D$2:$D3446, 0)),if(G1314='Room Info'!$E$1, INDEX('Room Info'!$A$2:$A3446, MATCH(B1314,'Room Info'!$E$2:$E3446, 0)),if(G1314='Room Info'!$F$1, INDEX('Room Info'!$A$2:$A3446, MATCH(B1314,'Room Info'!$F$2:$F3446, 0)),if(G1314='Room Info'!$H$1, INDEX('Room Info'!$A$2:$A3446, MATCH(B1314,'Room Info'!$H$2:$H3446, 0)),if(G1314='Room Info'!$G$1, INDEX('Room Info'!$A$2:$A3446, MATCH(B1314,'Room Info'!$G$2:$G3446, 0)))))))))</f>
        <v>volkovsky</v>
      </c>
      <c r="B1314" s="59" t="s">
        <v>216</v>
      </c>
      <c r="C1314" s="51">
        <v>44582.0</v>
      </c>
      <c r="D1314" s="51">
        <v>44612.0</v>
      </c>
      <c r="E1314" s="52">
        <v>44593.0</v>
      </c>
      <c r="F1314" s="53" t="s">
        <v>4</v>
      </c>
      <c r="G1314" s="59" t="s">
        <v>5</v>
      </c>
      <c r="H1314" s="59" t="s">
        <v>97</v>
      </c>
      <c r="I1314" s="54" t="s">
        <v>11</v>
      </c>
      <c r="J1314" s="55">
        <v>250.0</v>
      </c>
      <c r="K1314" s="56">
        <v>235.0</v>
      </c>
      <c r="L1314" s="57">
        <v>1500.0</v>
      </c>
      <c r="M1314" s="58">
        <v>1548.0</v>
      </c>
      <c r="N1314" s="33">
        <f t="shared" si="155"/>
        <v>58750</v>
      </c>
      <c r="O1314" s="59">
        <v>3881.0</v>
      </c>
      <c r="P1314" s="34">
        <f t="shared" si="14"/>
        <v>16.51489362</v>
      </c>
      <c r="Q1314" s="60"/>
      <c r="R1314" s="36">
        <f t="shared" si="196"/>
        <v>1548</v>
      </c>
      <c r="S1314" s="61">
        <v>32.0</v>
      </c>
      <c r="T1314" s="37">
        <f t="shared" si="197"/>
        <v>1580</v>
      </c>
      <c r="U1314" s="62"/>
      <c r="V1314" s="63"/>
      <c r="W1314" s="63"/>
      <c r="X1314" s="35">
        <f t="shared" si="201"/>
        <v>0.1</v>
      </c>
      <c r="Y1314" s="35">
        <f t="shared" si="202"/>
        <v>0</v>
      </c>
      <c r="Z1314" s="40">
        <f t="shared" si="198"/>
        <v>1422</v>
      </c>
      <c r="AA1314" s="34">
        <f t="shared" si="199"/>
        <v>158</v>
      </c>
      <c r="AB1314" s="41">
        <f t="shared" si="200"/>
        <v>0</v>
      </c>
      <c r="AC1314" s="42" t="b">
        <v>1</v>
      </c>
      <c r="AD1314" s="42" t="s">
        <v>138</v>
      </c>
      <c r="AE1314" s="42" t="s">
        <v>138</v>
      </c>
      <c r="AF1314" s="42" t="str">
        <f t="array" ref="AF1314">INDEX('Deal Info'!D:D, MATCH(A1314,'Deal Info'!A:A, 0))</f>
        <v>Fix10</v>
      </c>
      <c r="AG1314" s="43" t="str">
        <f t="array" ref="AG1314">INDEX('Deal Info'!G:G, MATCH(A1314,'Deal Info'!A:A, 0))</f>
        <v>None</v>
      </c>
    </row>
    <row r="1315" hidden="1">
      <c r="A1315" s="23" t="str">
        <f t="array" ref="A1315">if(G1315='Room Info'!$B$1, INDEX('Room Info'!$A$2:$A3446, MATCH(B1315,'Room Info'!$B$2:$B3446, 0)),if(G1315='Room Info'!$C$1, INDEX('Room Info'!$A$2:$A3446, MATCH(B1315,'Room Info'!$C$2:$C3446, 0)),if(G1315='Room Info'!$D$1, INDEX('Room Info'!$A$2:$A3446, MATCH(B1315,'Room Info'!$D$2:$D3446, 0)),if(G1315='Room Info'!$E$1, INDEX('Room Info'!$A$2:$A3446, MATCH(B1315,'Room Info'!$E$2:$E3446, 0)),if(G1315='Room Info'!$F$1, INDEX('Room Info'!$A$2:$A3446, MATCH(B1315,'Room Info'!$F$2:$F3446, 0)),if(G1315='Room Info'!$H$1, INDEX('Room Info'!$A$2:$A3446, MATCH(B1315,'Room Info'!$H$2:$H3446, 0)),if(G1315='Room Info'!$G$1, INDEX('Room Info'!$A$2:$A3446, MATCH(B1315,'Room Info'!$G$2:$G3446, 0)))))))))</f>
        <v>volkovsky</v>
      </c>
      <c r="B1315" s="59" t="s">
        <v>216</v>
      </c>
      <c r="C1315" s="51">
        <v>44613.0</v>
      </c>
      <c r="D1315" s="51">
        <v>44640.0</v>
      </c>
      <c r="E1315" s="52">
        <v>44621.0</v>
      </c>
      <c r="F1315" s="53" t="s">
        <v>4</v>
      </c>
      <c r="G1315" s="59" t="s">
        <v>5</v>
      </c>
      <c r="H1315" s="59" t="s">
        <v>85</v>
      </c>
      <c r="I1315" s="54" t="s">
        <v>7</v>
      </c>
      <c r="J1315" s="55">
        <v>100.0</v>
      </c>
      <c r="K1315" s="56">
        <v>498.0</v>
      </c>
      <c r="L1315" s="57">
        <v>400.0</v>
      </c>
      <c r="M1315" s="58">
        <v>3747.0</v>
      </c>
      <c r="N1315" s="33">
        <f t="shared" si="155"/>
        <v>49800</v>
      </c>
      <c r="O1315" s="59">
        <v>5294.0</v>
      </c>
      <c r="P1315" s="34">
        <f t="shared" si="14"/>
        <v>10.63052209</v>
      </c>
      <c r="Q1315" s="60"/>
      <c r="R1315" s="36">
        <f t="shared" si="196"/>
        <v>3747</v>
      </c>
      <c r="S1315" s="61">
        <v>-1738.0</v>
      </c>
      <c r="T1315" s="37">
        <f t="shared" si="197"/>
        <v>2009</v>
      </c>
      <c r="U1315" s="62"/>
      <c r="V1315" s="63"/>
      <c r="W1315" s="63"/>
      <c r="X1315" s="35">
        <f t="shared" si="201"/>
        <v>0.1</v>
      </c>
      <c r="Y1315" s="35">
        <f t="shared" si="202"/>
        <v>0</v>
      </c>
      <c r="Z1315" s="40">
        <f t="shared" si="198"/>
        <v>1808.1</v>
      </c>
      <c r="AA1315" s="34">
        <f t="shared" si="199"/>
        <v>200.9</v>
      </c>
      <c r="AB1315" s="41">
        <f t="shared" si="200"/>
        <v>0</v>
      </c>
      <c r="AC1315" s="42" t="b">
        <v>1</v>
      </c>
      <c r="AD1315" s="42" t="s">
        <v>138</v>
      </c>
      <c r="AE1315" s="42" t="s">
        <v>138</v>
      </c>
      <c r="AF1315" s="42" t="str">
        <f t="array" ref="AF1315">INDEX('Deal Info'!D:D, MATCH(A1315,'Deal Info'!A:A, 0))</f>
        <v>Fix10</v>
      </c>
      <c r="AG1315" s="43" t="str">
        <f t="array" ref="AG1315">INDEX('Deal Info'!G:G, MATCH(A1315,'Deal Info'!A:A, 0))</f>
        <v>None</v>
      </c>
    </row>
    <row r="1316" hidden="1">
      <c r="A1316" s="23" t="str">
        <f t="array" ref="A1316">if(G1316='Room Info'!$B$1, INDEX('Room Info'!$A$2:$A3446, MATCH(B1316,'Room Info'!$B$2:$B3446, 0)),if(G1316='Room Info'!$C$1, INDEX('Room Info'!$A$2:$A3446, MATCH(B1316,'Room Info'!$C$2:$C3446, 0)),if(G1316='Room Info'!$D$1, INDEX('Room Info'!$A$2:$A3446, MATCH(B1316,'Room Info'!$D$2:$D3446, 0)),if(G1316='Room Info'!$E$1, INDEX('Room Info'!$A$2:$A3446, MATCH(B1316,'Room Info'!$E$2:$E3446, 0)),if(G1316='Room Info'!$F$1, INDEX('Room Info'!$A$2:$A3446, MATCH(B1316,'Room Info'!$F$2:$F3446, 0)),if(G1316='Room Info'!$H$1, INDEX('Room Info'!$A$2:$A3446, MATCH(B1316,'Room Info'!$H$2:$H3446, 0)),if(G1316='Room Info'!$G$1, INDEX('Room Info'!$A$2:$A3446, MATCH(B1316,'Room Info'!$G$2:$G3446, 0)))))))))</f>
        <v>volkovsky</v>
      </c>
      <c r="B1316" s="59" t="s">
        <v>216</v>
      </c>
      <c r="C1316" s="51">
        <v>44613.0</v>
      </c>
      <c r="D1316" s="51">
        <v>44640.0</v>
      </c>
      <c r="E1316" s="52">
        <v>44621.0</v>
      </c>
      <c r="F1316" s="53" t="s">
        <v>4</v>
      </c>
      <c r="G1316" s="59" t="s">
        <v>5</v>
      </c>
      <c r="H1316" s="59" t="s">
        <v>86</v>
      </c>
      <c r="I1316" s="54" t="s">
        <v>11</v>
      </c>
      <c r="J1316" s="55">
        <v>100.0</v>
      </c>
      <c r="K1316" s="56">
        <v>20.0</v>
      </c>
      <c r="L1316" s="57">
        <v>400.0</v>
      </c>
      <c r="M1316" s="58">
        <v>150.0</v>
      </c>
      <c r="N1316" s="33">
        <f t="shared" si="155"/>
        <v>2000</v>
      </c>
      <c r="O1316" s="59">
        <v>827.0</v>
      </c>
      <c r="P1316" s="34">
        <f t="shared" si="14"/>
        <v>41.35</v>
      </c>
      <c r="Q1316" s="60"/>
      <c r="R1316" s="36">
        <f t="shared" si="196"/>
        <v>150</v>
      </c>
      <c r="S1316" s="61">
        <v>149.0</v>
      </c>
      <c r="T1316" s="37">
        <f t="shared" si="197"/>
        <v>299</v>
      </c>
      <c r="U1316" s="62"/>
      <c r="V1316" s="63"/>
      <c r="W1316" s="63"/>
      <c r="X1316" s="35">
        <f t="shared" si="201"/>
        <v>0.1</v>
      </c>
      <c r="Y1316" s="35">
        <f t="shared" si="202"/>
        <v>0</v>
      </c>
      <c r="Z1316" s="40">
        <f t="shared" si="198"/>
        <v>269.1</v>
      </c>
      <c r="AA1316" s="34">
        <f t="shared" si="199"/>
        <v>29.9</v>
      </c>
      <c r="AB1316" s="41">
        <f t="shared" si="200"/>
        <v>0</v>
      </c>
      <c r="AC1316" s="42" t="b">
        <v>1</v>
      </c>
      <c r="AD1316" s="42" t="s">
        <v>138</v>
      </c>
      <c r="AE1316" s="42" t="s">
        <v>138</v>
      </c>
      <c r="AF1316" s="42" t="str">
        <f t="array" ref="AF1316">INDEX('Deal Info'!D:D, MATCH(A1316,'Deal Info'!A:A, 0))</f>
        <v>Fix10</v>
      </c>
      <c r="AG1316" s="43" t="str">
        <f t="array" ref="AG1316">INDEX('Deal Info'!G:G, MATCH(A1316,'Deal Info'!A:A, 0))</f>
        <v>None</v>
      </c>
    </row>
    <row r="1317" hidden="1">
      <c r="A1317" s="23" t="str">
        <f t="array" ref="A1317">if(G1317='Room Info'!$B$1, INDEX('Room Info'!$A$2:$A3446, MATCH(B1317,'Room Info'!$B$2:$B3446, 0)),if(G1317='Room Info'!$C$1, INDEX('Room Info'!$A$2:$A3446, MATCH(B1317,'Room Info'!$C$2:$C3446, 0)),if(G1317='Room Info'!$D$1, INDEX('Room Info'!$A$2:$A3446, MATCH(B1317,'Room Info'!$D$2:$D3446, 0)),if(G1317='Room Info'!$E$1, INDEX('Room Info'!$A$2:$A3446, MATCH(B1317,'Room Info'!$E$2:$E3446, 0)),if(G1317='Room Info'!$F$1, INDEX('Room Info'!$A$2:$A3446, MATCH(B1317,'Room Info'!$F$2:$F3446, 0)),if(G1317='Room Info'!$H$1, INDEX('Room Info'!$A$2:$A3446, MATCH(B1317,'Room Info'!$H$2:$H3446, 0)),if(G1317='Room Info'!$G$1, INDEX('Room Info'!$A$2:$A3446, MATCH(B1317,'Room Info'!$G$2:$G3446, 0)))))))))</f>
        <v>volkovsky</v>
      </c>
      <c r="B1317" s="50" t="s">
        <v>216</v>
      </c>
      <c r="C1317" s="51">
        <v>44613.0</v>
      </c>
      <c r="D1317" s="51">
        <v>44640.0</v>
      </c>
      <c r="E1317" s="52">
        <v>44621.0</v>
      </c>
      <c r="F1317" s="53" t="s">
        <v>4</v>
      </c>
      <c r="G1317" s="50" t="s">
        <v>5</v>
      </c>
      <c r="H1317" s="54" t="s">
        <v>96</v>
      </c>
      <c r="I1317" s="54" t="s">
        <v>7</v>
      </c>
      <c r="J1317" s="55">
        <v>250.0</v>
      </c>
      <c r="K1317" s="56">
        <v>163.0</v>
      </c>
      <c r="L1317" s="57">
        <v>6500.0</v>
      </c>
      <c r="M1317" s="58">
        <v>3066.0</v>
      </c>
      <c r="N1317" s="33">
        <f t="shared" si="155"/>
        <v>40750</v>
      </c>
      <c r="O1317" s="59">
        <v>16300.0</v>
      </c>
      <c r="P1317" s="34">
        <f t="shared" si="14"/>
        <v>100</v>
      </c>
      <c r="Q1317" s="60"/>
      <c r="R1317" s="36">
        <f t="shared" si="196"/>
        <v>3066</v>
      </c>
      <c r="S1317" s="61">
        <v>5521.0</v>
      </c>
      <c r="T1317" s="37">
        <f t="shared" si="197"/>
        <v>8587</v>
      </c>
      <c r="U1317" s="62"/>
      <c r="V1317" s="63"/>
      <c r="W1317" s="63"/>
      <c r="X1317" s="35">
        <f t="shared" si="201"/>
        <v>0.1</v>
      </c>
      <c r="Y1317" s="35">
        <f t="shared" si="202"/>
        <v>0</v>
      </c>
      <c r="Z1317" s="40">
        <f t="shared" si="198"/>
        <v>7728.3</v>
      </c>
      <c r="AA1317" s="34">
        <f t="shared" si="199"/>
        <v>858.7</v>
      </c>
      <c r="AB1317" s="41">
        <f t="shared" si="200"/>
        <v>0</v>
      </c>
      <c r="AC1317" s="42" t="b">
        <v>1</v>
      </c>
      <c r="AD1317" s="42" t="s">
        <v>138</v>
      </c>
      <c r="AE1317" s="42" t="s">
        <v>138</v>
      </c>
      <c r="AF1317" s="42" t="str">
        <f t="array" ref="AF1317">INDEX('Deal Info'!D:D, MATCH(A1317,'Deal Info'!A:A, 0))</f>
        <v>Fix10</v>
      </c>
      <c r="AG1317" s="43" t="str">
        <f t="array" ref="AG1317">INDEX('Deal Info'!G:G, MATCH(A1317,'Deal Info'!A:A, 0))</f>
        <v>None</v>
      </c>
    </row>
    <row r="1318" hidden="1">
      <c r="A1318" s="23" t="str">
        <f t="array" ref="A1318">if(G1318='Room Info'!$B$1, INDEX('Room Info'!$A$2:$A3446, MATCH(B1318,'Room Info'!$B$2:$B3446, 0)),if(G1318='Room Info'!$C$1, INDEX('Room Info'!$A$2:$A3446, MATCH(B1318,'Room Info'!$C$2:$C3446, 0)),if(G1318='Room Info'!$D$1, INDEX('Room Info'!$A$2:$A3446, MATCH(B1318,'Room Info'!$D$2:$D3446, 0)),if(G1318='Room Info'!$E$1, INDEX('Room Info'!$A$2:$A3446, MATCH(B1318,'Room Info'!$E$2:$E3446, 0)),if(G1318='Room Info'!$F$1, INDEX('Room Info'!$A$2:$A3446, MATCH(B1318,'Room Info'!$F$2:$F3446, 0)),if(G1318='Room Info'!$H$1, INDEX('Room Info'!$A$2:$A3446, MATCH(B1318,'Room Info'!$H$2:$H3446, 0)),if(G1318='Room Info'!$G$1, INDEX('Room Info'!$A$2:$A3446, MATCH(B1318,'Room Info'!$G$2:$G3446, 0)))))))))</f>
        <v>volkovsky</v>
      </c>
      <c r="B1318" s="50" t="s">
        <v>216</v>
      </c>
      <c r="C1318" s="51">
        <v>44613.0</v>
      </c>
      <c r="D1318" s="51">
        <v>44640.0</v>
      </c>
      <c r="E1318" s="52">
        <v>44621.0</v>
      </c>
      <c r="F1318" s="53" t="s">
        <v>4</v>
      </c>
      <c r="G1318" s="50" t="s">
        <v>5</v>
      </c>
      <c r="H1318" s="54" t="s">
        <v>97</v>
      </c>
      <c r="I1318" s="54" t="s">
        <v>11</v>
      </c>
      <c r="J1318" s="55">
        <v>250.0</v>
      </c>
      <c r="K1318" s="56">
        <v>95.0</v>
      </c>
      <c r="L1318" s="57">
        <v>-1000.0</v>
      </c>
      <c r="M1318" s="58">
        <v>1787.0</v>
      </c>
      <c r="N1318" s="33">
        <f t="shared" si="155"/>
        <v>23750</v>
      </c>
      <c r="O1318" s="59">
        <v>964.0</v>
      </c>
      <c r="P1318" s="34">
        <f t="shared" si="14"/>
        <v>10.14736842</v>
      </c>
      <c r="Q1318" s="60"/>
      <c r="R1318" s="36">
        <f t="shared" si="196"/>
        <v>1787</v>
      </c>
      <c r="S1318" s="61">
        <v>-490.0</v>
      </c>
      <c r="T1318" s="37">
        <f t="shared" si="197"/>
        <v>1297</v>
      </c>
      <c r="U1318" s="62"/>
      <c r="V1318" s="63"/>
      <c r="W1318" s="63"/>
      <c r="X1318" s="35">
        <f t="shared" si="201"/>
        <v>0.1</v>
      </c>
      <c r="Y1318" s="35">
        <f t="shared" si="202"/>
        <v>0</v>
      </c>
      <c r="Z1318" s="40">
        <f t="shared" si="198"/>
        <v>1167.3</v>
      </c>
      <c r="AA1318" s="34">
        <f t="shared" si="199"/>
        <v>129.7</v>
      </c>
      <c r="AB1318" s="41">
        <f t="shared" si="200"/>
        <v>0</v>
      </c>
      <c r="AC1318" s="42" t="b">
        <v>1</v>
      </c>
      <c r="AD1318" s="42" t="s">
        <v>138</v>
      </c>
      <c r="AE1318" s="42" t="s">
        <v>138</v>
      </c>
      <c r="AF1318" s="42" t="str">
        <f t="array" ref="AF1318">INDEX('Deal Info'!D:D, MATCH(A1318,'Deal Info'!A:A, 0))</f>
        <v>Fix10</v>
      </c>
      <c r="AG1318" s="43" t="str">
        <f t="array" ref="AG1318">INDEX('Deal Info'!G:G, MATCH(A1318,'Deal Info'!A:A, 0))</f>
        <v>None</v>
      </c>
    </row>
    <row r="1319" hidden="1">
      <c r="A1319" s="23" t="str">
        <f t="array" ref="A1319">if(G1319='Room Info'!$B$1, INDEX('Room Info'!$A$2:$A3446, MATCH(B1319,'Room Info'!$B$2:$B3446, 0)),if(G1319='Room Info'!$C$1, INDEX('Room Info'!$A$2:$A3446, MATCH(B1319,'Room Info'!$C$2:$C3446, 0)),if(G1319='Room Info'!$D$1, INDEX('Room Info'!$A$2:$A3446, MATCH(B1319,'Room Info'!$D$2:$D3446, 0)),if(G1319='Room Info'!$E$1, INDEX('Room Info'!$A$2:$A3446, MATCH(B1319,'Room Info'!$E$2:$E3446, 0)),if(G1319='Room Info'!$F$1, INDEX('Room Info'!$A$2:$A3446, MATCH(B1319,'Room Info'!$F$2:$F3446, 0)),if(G1319='Room Info'!$H$1, INDEX('Room Info'!$A$2:$A3446, MATCH(B1319,'Room Info'!$H$2:$H3446, 0)),if(G1319='Room Info'!$G$1, INDEX('Room Info'!$A$2:$A3446, MATCH(B1319,'Room Info'!$G$2:$G3446, 0)))))))))</f>
        <v>volkovsky</v>
      </c>
      <c r="B1319" s="50" t="s">
        <v>217</v>
      </c>
      <c r="C1319" s="51">
        <v>44641.0</v>
      </c>
      <c r="D1319" s="51">
        <v>44671.0</v>
      </c>
      <c r="E1319" s="52">
        <v>44652.0</v>
      </c>
      <c r="F1319" s="53" t="s">
        <v>4</v>
      </c>
      <c r="G1319" s="50" t="s">
        <v>13</v>
      </c>
      <c r="H1319" s="54" t="s">
        <v>59</v>
      </c>
      <c r="I1319" s="54" t="s">
        <v>7</v>
      </c>
      <c r="J1319" s="55">
        <v>20.0</v>
      </c>
      <c r="K1319" s="56">
        <v>84.0</v>
      </c>
      <c r="L1319" s="57">
        <v>-160.0</v>
      </c>
      <c r="M1319" s="67"/>
      <c r="N1319" s="33">
        <f t="shared" si="155"/>
        <v>1680</v>
      </c>
      <c r="O1319" s="59">
        <v>2562.0</v>
      </c>
      <c r="P1319" s="34">
        <f t="shared" si="14"/>
        <v>30.5</v>
      </c>
      <c r="Q1319" s="60"/>
      <c r="R1319" s="36">
        <f t="shared" si="196"/>
        <v>0</v>
      </c>
      <c r="S1319" s="61">
        <v>30.0</v>
      </c>
      <c r="T1319" s="37">
        <f t="shared" si="197"/>
        <v>30</v>
      </c>
      <c r="U1319" s="62"/>
      <c r="V1319" s="63"/>
      <c r="W1319" s="63"/>
      <c r="X1319" s="35">
        <f t="shared" si="201"/>
        <v>0.1</v>
      </c>
      <c r="Y1319" s="35">
        <f t="shared" si="202"/>
        <v>0</v>
      </c>
      <c r="Z1319" s="40">
        <f t="shared" si="198"/>
        <v>27</v>
      </c>
      <c r="AA1319" s="34">
        <f t="shared" si="199"/>
        <v>3</v>
      </c>
      <c r="AB1319" s="41">
        <f t="shared" si="200"/>
        <v>0</v>
      </c>
      <c r="AC1319" s="42" t="b">
        <v>1</v>
      </c>
      <c r="AD1319" s="42" t="s">
        <v>138</v>
      </c>
      <c r="AE1319" s="42" t="s">
        <v>138</v>
      </c>
      <c r="AF1319" s="42" t="str">
        <f t="array" ref="AF1319">INDEX('Deal Info'!D:D, MATCH(A1319,'Deal Info'!A:A, 0))</f>
        <v>Fix10</v>
      </c>
      <c r="AG1319" s="43" t="str">
        <f t="array" ref="AG1319">INDEX('Deal Info'!G:G, MATCH(A1319,'Deal Info'!A:A, 0))</f>
        <v>None</v>
      </c>
    </row>
    <row r="1320" hidden="1">
      <c r="A1320" s="23" t="str">
        <f t="array" ref="A1320">if(G1320='Room Info'!$B$1, INDEX('Room Info'!$A$2:$A3446, MATCH(B1320,'Room Info'!$B$2:$B3446, 0)),if(G1320='Room Info'!$C$1, INDEX('Room Info'!$A$2:$A3446, MATCH(B1320,'Room Info'!$C$2:$C3446, 0)),if(G1320='Room Info'!$D$1, INDEX('Room Info'!$A$2:$A3446, MATCH(B1320,'Room Info'!$D$2:$D3446, 0)),if(G1320='Room Info'!$E$1, INDEX('Room Info'!$A$2:$A3446, MATCH(B1320,'Room Info'!$E$2:$E3446, 0)),if(G1320='Room Info'!$F$1, INDEX('Room Info'!$A$2:$A3446, MATCH(B1320,'Room Info'!$F$2:$F3446, 0)),if(G1320='Room Info'!$H$1, INDEX('Room Info'!$A$2:$A3446, MATCH(B1320,'Room Info'!$H$2:$H3446, 0)),if(G1320='Room Info'!$G$1, INDEX('Room Info'!$A$2:$A3446, MATCH(B1320,'Room Info'!$G$2:$G3446, 0)))))))))</f>
        <v>volkovsky</v>
      </c>
      <c r="B1320" s="50" t="s">
        <v>216</v>
      </c>
      <c r="C1320" s="51">
        <v>44641.0</v>
      </c>
      <c r="D1320" s="51">
        <v>44671.0</v>
      </c>
      <c r="E1320" s="52">
        <v>44652.0</v>
      </c>
      <c r="F1320" s="53" t="s">
        <v>4</v>
      </c>
      <c r="G1320" s="50" t="s">
        <v>5</v>
      </c>
      <c r="H1320" s="54" t="s">
        <v>35</v>
      </c>
      <c r="I1320" s="54" t="s">
        <v>7</v>
      </c>
      <c r="J1320" s="55">
        <v>5.0</v>
      </c>
      <c r="K1320" s="56">
        <v>1.0</v>
      </c>
      <c r="L1320" s="57">
        <v>-5.0</v>
      </c>
      <c r="M1320" s="67"/>
      <c r="N1320" s="33">
        <f t="shared" si="155"/>
        <v>5</v>
      </c>
      <c r="O1320" s="59">
        <v>164.0</v>
      </c>
      <c r="P1320" s="34">
        <f t="shared" si="14"/>
        <v>164</v>
      </c>
      <c r="Q1320" s="60"/>
      <c r="R1320" s="36">
        <f t="shared" si="196"/>
        <v>0</v>
      </c>
      <c r="S1320" s="61">
        <v>1.0</v>
      </c>
      <c r="T1320" s="37">
        <f t="shared" si="197"/>
        <v>1</v>
      </c>
      <c r="U1320" s="62"/>
      <c r="V1320" s="63"/>
      <c r="W1320" s="63"/>
      <c r="X1320" s="35">
        <f t="shared" si="201"/>
        <v>0.1</v>
      </c>
      <c r="Y1320" s="35">
        <f t="shared" si="202"/>
        <v>0</v>
      </c>
      <c r="Z1320" s="40">
        <f t="shared" si="198"/>
        <v>0.9</v>
      </c>
      <c r="AA1320" s="34">
        <f t="shared" si="199"/>
        <v>0.1</v>
      </c>
      <c r="AB1320" s="41">
        <f t="shared" si="200"/>
        <v>0</v>
      </c>
      <c r="AC1320" s="42" t="b">
        <v>1</v>
      </c>
      <c r="AD1320" s="42" t="s">
        <v>138</v>
      </c>
      <c r="AE1320" s="42" t="s">
        <v>138</v>
      </c>
      <c r="AF1320" s="42" t="str">
        <f t="array" ref="AF1320">INDEX('Deal Info'!D:D, MATCH(A1320,'Deal Info'!A:A, 0))</f>
        <v>Fix10</v>
      </c>
      <c r="AG1320" s="43" t="str">
        <f t="array" ref="AG1320">INDEX('Deal Info'!G:G, MATCH(A1320,'Deal Info'!A:A, 0))</f>
        <v>None</v>
      </c>
    </row>
    <row r="1321" hidden="1">
      <c r="A1321" s="23" t="str">
        <f t="array" ref="A1321">if(G1321='Room Info'!$B$1, INDEX('Room Info'!$A$2:$A3446, MATCH(B1321,'Room Info'!$B$2:$B3446, 0)),if(G1321='Room Info'!$C$1, INDEX('Room Info'!$A$2:$A3446, MATCH(B1321,'Room Info'!$C$2:$C3446, 0)),if(G1321='Room Info'!$D$1, INDEX('Room Info'!$A$2:$A3446, MATCH(B1321,'Room Info'!$D$2:$D3446, 0)),if(G1321='Room Info'!$E$1, INDEX('Room Info'!$A$2:$A3446, MATCH(B1321,'Room Info'!$E$2:$E3446, 0)),if(G1321='Room Info'!$F$1, INDEX('Room Info'!$A$2:$A3446, MATCH(B1321,'Room Info'!$F$2:$F3446, 0)),if(G1321='Room Info'!$H$1, INDEX('Room Info'!$A$2:$A3446, MATCH(B1321,'Room Info'!$H$2:$H3446, 0)),if(G1321='Room Info'!$G$1, INDEX('Room Info'!$A$2:$A3446, MATCH(B1321,'Room Info'!$G$2:$G3446, 0)))))))))</f>
        <v>volkovsky</v>
      </c>
      <c r="B1321" s="50" t="s">
        <v>216</v>
      </c>
      <c r="C1321" s="51">
        <v>44641.0</v>
      </c>
      <c r="D1321" s="51">
        <v>44671.0</v>
      </c>
      <c r="E1321" s="52">
        <v>44652.0</v>
      </c>
      <c r="F1321" s="53" t="s">
        <v>4</v>
      </c>
      <c r="G1321" s="50" t="s">
        <v>5</v>
      </c>
      <c r="H1321" s="54" t="s">
        <v>85</v>
      </c>
      <c r="I1321" s="54" t="s">
        <v>7</v>
      </c>
      <c r="J1321" s="55">
        <v>100.0</v>
      </c>
      <c r="K1321" s="56">
        <v>522.0</v>
      </c>
      <c r="L1321" s="57">
        <v>200.0</v>
      </c>
      <c r="M1321" s="58">
        <v>768.0</v>
      </c>
      <c r="N1321" s="33">
        <f t="shared" si="155"/>
        <v>52200</v>
      </c>
      <c r="O1321" s="59">
        <v>7177.0</v>
      </c>
      <c r="P1321" s="34">
        <f t="shared" si="14"/>
        <v>13.74904215</v>
      </c>
      <c r="Q1321" s="60"/>
      <c r="R1321" s="36">
        <f t="shared" si="196"/>
        <v>768</v>
      </c>
      <c r="S1321" s="61">
        <v>-1304.0</v>
      </c>
      <c r="T1321" s="37">
        <f t="shared" si="197"/>
        <v>-536</v>
      </c>
      <c r="U1321" s="62"/>
      <c r="V1321" s="63"/>
      <c r="W1321" s="63"/>
      <c r="X1321" s="35">
        <f t="shared" si="201"/>
        <v>0.1</v>
      </c>
      <c r="Y1321" s="35">
        <f t="shared" si="202"/>
        <v>0</v>
      </c>
      <c r="Z1321" s="40">
        <f t="shared" si="198"/>
        <v>-482.4</v>
      </c>
      <c r="AA1321" s="34">
        <f t="shared" si="199"/>
        <v>-53.6</v>
      </c>
      <c r="AB1321" s="41">
        <f t="shared" si="200"/>
        <v>0</v>
      </c>
      <c r="AC1321" s="42" t="b">
        <v>1</v>
      </c>
      <c r="AD1321" s="42" t="s">
        <v>138</v>
      </c>
      <c r="AE1321" s="42" t="s">
        <v>138</v>
      </c>
      <c r="AF1321" s="42" t="str">
        <f t="array" ref="AF1321">INDEX('Deal Info'!D:D, MATCH(A1321,'Deal Info'!A:A, 0))</f>
        <v>Fix10</v>
      </c>
      <c r="AG1321" s="43" t="str">
        <f t="array" ref="AG1321">INDEX('Deal Info'!G:G, MATCH(A1321,'Deal Info'!A:A, 0))</f>
        <v>None</v>
      </c>
    </row>
    <row r="1322" hidden="1">
      <c r="A1322" s="23" t="str">
        <f t="array" ref="A1322">if(G1322='Room Info'!$B$1, INDEX('Room Info'!$A$2:$A3446, MATCH(B1322,'Room Info'!$B$2:$B3446, 0)),if(G1322='Room Info'!$C$1, INDEX('Room Info'!$A$2:$A3446, MATCH(B1322,'Room Info'!$C$2:$C3446, 0)),if(G1322='Room Info'!$D$1, INDEX('Room Info'!$A$2:$A3446, MATCH(B1322,'Room Info'!$D$2:$D3446, 0)),if(G1322='Room Info'!$E$1, INDEX('Room Info'!$A$2:$A3446, MATCH(B1322,'Room Info'!$E$2:$E3446, 0)),if(G1322='Room Info'!$F$1, INDEX('Room Info'!$A$2:$A3446, MATCH(B1322,'Room Info'!$F$2:$F3446, 0)),if(G1322='Room Info'!$H$1, INDEX('Room Info'!$A$2:$A3446, MATCH(B1322,'Room Info'!$H$2:$H3446, 0)),if(G1322='Room Info'!$G$1, INDEX('Room Info'!$A$2:$A3446, MATCH(B1322,'Room Info'!$G$2:$G3446, 0)))))))))</f>
        <v>volkovsky</v>
      </c>
      <c r="B1322" s="50" t="s">
        <v>216</v>
      </c>
      <c r="C1322" s="51">
        <v>44641.0</v>
      </c>
      <c r="D1322" s="51">
        <v>44671.0</v>
      </c>
      <c r="E1322" s="52">
        <v>44652.0</v>
      </c>
      <c r="F1322" s="53" t="s">
        <v>4</v>
      </c>
      <c r="G1322" s="50" t="s">
        <v>5</v>
      </c>
      <c r="H1322" s="54" t="s">
        <v>86</v>
      </c>
      <c r="I1322" s="54" t="s">
        <v>11</v>
      </c>
      <c r="J1322" s="55">
        <v>100.0</v>
      </c>
      <c r="K1322" s="56">
        <v>1.0</v>
      </c>
      <c r="L1322" s="57">
        <v>-100.0</v>
      </c>
      <c r="M1322" s="58">
        <v>1.0</v>
      </c>
      <c r="N1322" s="33">
        <f t="shared" si="155"/>
        <v>100</v>
      </c>
      <c r="O1322" s="59">
        <v>395.0</v>
      </c>
      <c r="P1322" s="34">
        <f t="shared" si="14"/>
        <v>395</v>
      </c>
      <c r="Q1322" s="60"/>
      <c r="R1322" s="36">
        <f t="shared" si="196"/>
        <v>1</v>
      </c>
      <c r="S1322" s="61">
        <v>118.0</v>
      </c>
      <c r="T1322" s="37">
        <f t="shared" si="197"/>
        <v>119</v>
      </c>
      <c r="U1322" s="62"/>
      <c r="V1322" s="63"/>
      <c r="W1322" s="63"/>
      <c r="X1322" s="35">
        <f t="shared" si="201"/>
        <v>0.1</v>
      </c>
      <c r="Y1322" s="35">
        <f t="shared" si="202"/>
        <v>0</v>
      </c>
      <c r="Z1322" s="40">
        <f t="shared" si="198"/>
        <v>107.1</v>
      </c>
      <c r="AA1322" s="34">
        <f t="shared" si="199"/>
        <v>11.9</v>
      </c>
      <c r="AB1322" s="41">
        <f t="shared" si="200"/>
        <v>0</v>
      </c>
      <c r="AC1322" s="42" t="b">
        <v>1</v>
      </c>
      <c r="AD1322" s="42" t="s">
        <v>138</v>
      </c>
      <c r="AE1322" s="42" t="s">
        <v>138</v>
      </c>
      <c r="AF1322" s="42" t="str">
        <f t="array" ref="AF1322">INDEX('Deal Info'!D:D, MATCH(A1322,'Deal Info'!A:A, 0))</f>
        <v>Fix10</v>
      </c>
      <c r="AG1322" s="43" t="str">
        <f t="array" ref="AG1322">INDEX('Deal Info'!G:G, MATCH(A1322,'Deal Info'!A:A, 0))</f>
        <v>None</v>
      </c>
    </row>
    <row r="1323" hidden="1">
      <c r="A1323" s="23" t="str">
        <f t="array" ref="A1323">if(G1323='Room Info'!$B$1, INDEX('Room Info'!$A$2:$A3446, MATCH(B1323,'Room Info'!$B$2:$B3446, 0)),if(G1323='Room Info'!$C$1, INDEX('Room Info'!$A$2:$A3446, MATCH(B1323,'Room Info'!$C$2:$C3446, 0)),if(G1323='Room Info'!$D$1, INDEX('Room Info'!$A$2:$A3446, MATCH(B1323,'Room Info'!$D$2:$D3446, 0)),if(G1323='Room Info'!$E$1, INDEX('Room Info'!$A$2:$A3446, MATCH(B1323,'Room Info'!$E$2:$E3446, 0)),if(G1323='Room Info'!$F$1, INDEX('Room Info'!$A$2:$A3446, MATCH(B1323,'Room Info'!$F$2:$F3446, 0)),if(G1323='Room Info'!$H$1, INDEX('Room Info'!$A$2:$A3446, MATCH(B1323,'Room Info'!$H$2:$H3446, 0)),if(G1323='Room Info'!$G$1, INDEX('Room Info'!$A$2:$A3446, MATCH(B1323,'Room Info'!$G$2:$G3446, 0)))))))))</f>
        <v>volkovsky</v>
      </c>
      <c r="B1323" s="50" t="s">
        <v>216</v>
      </c>
      <c r="C1323" s="82">
        <v>44641.0</v>
      </c>
      <c r="D1323" s="82">
        <v>44671.0</v>
      </c>
      <c r="E1323" s="52">
        <v>44652.0</v>
      </c>
      <c r="F1323" s="53" t="s">
        <v>4</v>
      </c>
      <c r="G1323" s="59" t="s">
        <v>5</v>
      </c>
      <c r="H1323" s="96" t="s">
        <v>96</v>
      </c>
      <c r="I1323" s="54" t="s">
        <v>7</v>
      </c>
      <c r="J1323" s="55">
        <v>250.0</v>
      </c>
      <c r="K1323" s="56">
        <v>673.0</v>
      </c>
      <c r="L1323" s="57">
        <v>12250.0</v>
      </c>
      <c r="M1323" s="58">
        <v>2476.0</v>
      </c>
      <c r="N1323" s="33">
        <f t="shared" si="155"/>
        <v>168250</v>
      </c>
      <c r="O1323" s="59">
        <v>13328.0</v>
      </c>
      <c r="P1323" s="34">
        <f t="shared" si="14"/>
        <v>19.8038633</v>
      </c>
      <c r="Q1323" s="60"/>
      <c r="R1323" s="36">
        <f t="shared" si="196"/>
        <v>2476</v>
      </c>
      <c r="S1323" s="61">
        <v>-1875.0</v>
      </c>
      <c r="T1323" s="37">
        <f t="shared" si="197"/>
        <v>601</v>
      </c>
      <c r="U1323" s="62"/>
      <c r="V1323" s="63"/>
      <c r="W1323" s="63"/>
      <c r="X1323" s="35">
        <f t="shared" si="201"/>
        <v>0.1</v>
      </c>
      <c r="Y1323" s="35">
        <f t="shared" si="202"/>
        <v>0</v>
      </c>
      <c r="Z1323" s="40">
        <f t="shared" si="198"/>
        <v>540.9</v>
      </c>
      <c r="AA1323" s="34">
        <f t="shared" si="199"/>
        <v>60.1</v>
      </c>
      <c r="AB1323" s="41">
        <f t="shared" si="200"/>
        <v>0</v>
      </c>
      <c r="AC1323" s="42" t="b">
        <v>1</v>
      </c>
      <c r="AD1323" s="42" t="s">
        <v>138</v>
      </c>
      <c r="AE1323" s="42" t="s">
        <v>138</v>
      </c>
      <c r="AF1323" s="42" t="str">
        <f t="array" ref="AF1323">INDEX('Deal Info'!D:D, MATCH(A1323,'Deal Info'!A:A, 0))</f>
        <v>Fix10</v>
      </c>
      <c r="AG1323" s="43" t="str">
        <f t="array" ref="AG1323">INDEX('Deal Info'!G:G, MATCH(A1323,'Deal Info'!A:A, 0))</f>
        <v>None</v>
      </c>
    </row>
    <row r="1324" hidden="1">
      <c r="A1324" s="23" t="str">
        <f t="array" ref="A1324">if(G1324='Room Info'!$B$1, INDEX('Room Info'!$A$2:$A3446, MATCH(B1324,'Room Info'!$B$2:$B3446, 0)),if(G1324='Room Info'!$C$1, INDEX('Room Info'!$A$2:$A3446, MATCH(B1324,'Room Info'!$C$2:$C3446, 0)),if(G1324='Room Info'!$D$1, INDEX('Room Info'!$A$2:$A3446, MATCH(B1324,'Room Info'!$D$2:$D3446, 0)),if(G1324='Room Info'!$E$1, INDEX('Room Info'!$A$2:$A3446, MATCH(B1324,'Room Info'!$E$2:$E3446, 0)),if(G1324='Room Info'!$F$1, INDEX('Room Info'!$A$2:$A3446, MATCH(B1324,'Room Info'!$F$2:$F3446, 0)),if(G1324='Room Info'!$H$1, INDEX('Room Info'!$A$2:$A3446, MATCH(B1324,'Room Info'!$H$2:$H3446, 0)),if(G1324='Room Info'!$G$1, INDEX('Room Info'!$A$2:$A3446, MATCH(B1324,'Room Info'!$G$2:$G3446, 0)))))))))</f>
        <v>volkovsky</v>
      </c>
      <c r="B1324" s="50" t="s">
        <v>216</v>
      </c>
      <c r="C1324" s="82">
        <v>44641.0</v>
      </c>
      <c r="D1324" s="82">
        <v>44671.0</v>
      </c>
      <c r="E1324" s="52">
        <v>44652.0</v>
      </c>
      <c r="F1324" s="53" t="s">
        <v>4</v>
      </c>
      <c r="G1324" s="50" t="s">
        <v>5</v>
      </c>
      <c r="H1324" s="96" t="s">
        <v>97</v>
      </c>
      <c r="I1324" s="54" t="s">
        <v>11</v>
      </c>
      <c r="J1324" s="79">
        <v>250.0</v>
      </c>
      <c r="K1324" s="80">
        <v>107.0</v>
      </c>
      <c r="L1324" s="77">
        <v>1500.0</v>
      </c>
      <c r="M1324" s="81">
        <v>394.0</v>
      </c>
      <c r="N1324" s="33">
        <f t="shared" si="155"/>
        <v>26750</v>
      </c>
      <c r="O1324" s="50">
        <v>-117.0</v>
      </c>
      <c r="P1324" s="34">
        <f t="shared" si="14"/>
        <v>-1.093457944</v>
      </c>
      <c r="Q1324" s="60"/>
      <c r="R1324" s="36">
        <f t="shared" si="196"/>
        <v>394</v>
      </c>
      <c r="S1324" s="78">
        <v>-1385.0</v>
      </c>
      <c r="T1324" s="37">
        <f t="shared" si="197"/>
        <v>-991</v>
      </c>
      <c r="U1324" s="62"/>
      <c r="V1324" s="63"/>
      <c r="W1324" s="63"/>
      <c r="X1324" s="35">
        <f t="shared" si="201"/>
        <v>0.1</v>
      </c>
      <c r="Y1324" s="35">
        <f t="shared" si="202"/>
        <v>0</v>
      </c>
      <c r="Z1324" s="40">
        <f t="shared" si="198"/>
        <v>-891.9</v>
      </c>
      <c r="AA1324" s="34">
        <f t="shared" si="199"/>
        <v>-99.1</v>
      </c>
      <c r="AB1324" s="41">
        <f t="shared" si="200"/>
        <v>0</v>
      </c>
      <c r="AC1324" s="42" t="b">
        <v>1</v>
      </c>
      <c r="AD1324" s="42" t="s">
        <v>138</v>
      </c>
      <c r="AE1324" s="42" t="s">
        <v>138</v>
      </c>
      <c r="AF1324" s="42" t="str">
        <f t="array" ref="AF1324">INDEX('Deal Info'!D:D, MATCH(A1324,'Deal Info'!A:A, 0))</f>
        <v>Fix10</v>
      </c>
      <c r="AG1324" s="43" t="str">
        <f t="array" ref="AG1324">INDEX('Deal Info'!G:G, MATCH(A1324,'Deal Info'!A:A, 0))</f>
        <v>None</v>
      </c>
    </row>
    <row r="1325" hidden="1">
      <c r="A1325" s="23" t="str">
        <f t="array" ref="A1325">if(G1325='Room Info'!$B$1, INDEX('Room Info'!$A$2:$A3446, MATCH(B1325,'Room Info'!$B$2:$B3446, 0)),if(G1325='Room Info'!$C$1, INDEX('Room Info'!$A$2:$A3446, MATCH(B1325,'Room Info'!$C$2:$C3446, 0)),if(G1325='Room Info'!$D$1, INDEX('Room Info'!$A$2:$A3446, MATCH(B1325,'Room Info'!$D$2:$D3446, 0)),if(G1325='Room Info'!$E$1, INDEX('Room Info'!$A$2:$A3446, MATCH(B1325,'Room Info'!$E$2:$E3446, 0)),if(G1325='Room Info'!$F$1, INDEX('Room Info'!$A$2:$A3446, MATCH(B1325,'Room Info'!$F$2:$F3446, 0)),if(G1325='Room Info'!$H$1, INDEX('Room Info'!$A$2:$A3446, MATCH(B1325,'Room Info'!$H$2:$H3446, 0)),if(G1325='Room Info'!$G$1, INDEX('Room Info'!$A$2:$A3446, MATCH(B1325,'Room Info'!$G$2:$G3446, 0)))))))))</f>
        <v>volkovsky</v>
      </c>
      <c r="B1325" s="50" t="s">
        <v>216</v>
      </c>
      <c r="C1325" s="82">
        <v>44641.0</v>
      </c>
      <c r="D1325" s="82">
        <v>44671.0</v>
      </c>
      <c r="E1325" s="52">
        <v>44652.0</v>
      </c>
      <c r="F1325" s="53" t="s">
        <v>4</v>
      </c>
      <c r="G1325" s="50" t="s">
        <v>5</v>
      </c>
      <c r="H1325" s="96" t="s">
        <v>101</v>
      </c>
      <c r="I1325" s="54" t="s">
        <v>7</v>
      </c>
      <c r="J1325" s="79">
        <v>500.0</v>
      </c>
      <c r="K1325" s="80">
        <v>2.0</v>
      </c>
      <c r="L1325" s="77">
        <v>500.0</v>
      </c>
      <c r="M1325" s="81">
        <v>15.0</v>
      </c>
      <c r="N1325" s="33">
        <f t="shared" si="155"/>
        <v>1000</v>
      </c>
      <c r="O1325" s="50">
        <v>-450.0</v>
      </c>
      <c r="P1325" s="34">
        <f t="shared" si="14"/>
        <v>-225</v>
      </c>
      <c r="Q1325" s="60"/>
      <c r="R1325" s="36">
        <f t="shared" si="196"/>
        <v>15</v>
      </c>
      <c r="S1325" s="78">
        <v>-471.0</v>
      </c>
      <c r="T1325" s="37">
        <f t="shared" si="197"/>
        <v>-456</v>
      </c>
      <c r="U1325" s="62"/>
      <c r="V1325" s="63"/>
      <c r="W1325" s="63"/>
      <c r="X1325" s="35">
        <f t="shared" si="201"/>
        <v>0.1</v>
      </c>
      <c r="Y1325" s="35">
        <f t="shared" si="202"/>
        <v>0</v>
      </c>
      <c r="Z1325" s="40">
        <f t="shared" si="198"/>
        <v>-410.4</v>
      </c>
      <c r="AA1325" s="34">
        <f t="shared" si="199"/>
        <v>-45.6</v>
      </c>
      <c r="AB1325" s="41">
        <f t="shared" si="200"/>
        <v>0</v>
      </c>
      <c r="AC1325" s="42" t="b">
        <v>1</v>
      </c>
      <c r="AD1325" s="42" t="s">
        <v>138</v>
      </c>
      <c r="AE1325" s="42" t="s">
        <v>138</v>
      </c>
      <c r="AF1325" s="42" t="str">
        <f t="array" ref="AF1325">INDEX('Deal Info'!D:D, MATCH(A1325,'Deal Info'!A:A, 0))</f>
        <v>Fix10</v>
      </c>
      <c r="AG1325" s="43" t="str">
        <f t="array" ref="AG1325">INDEX('Deal Info'!G:G, MATCH(A1325,'Deal Info'!A:A, 0))</f>
        <v>None</v>
      </c>
    </row>
    <row r="1326" hidden="1">
      <c r="A1326" s="23" t="str">
        <f t="array" ref="A1326">if(G1326='Room Info'!$B$1, INDEX('Room Info'!$A$2:$A3446, MATCH(B1326,'Room Info'!$B$2:$B3446, 0)),if(G1326='Room Info'!$C$1, INDEX('Room Info'!$A$2:$A3446, MATCH(B1326,'Room Info'!$C$2:$C3446, 0)),if(G1326='Room Info'!$D$1, INDEX('Room Info'!$A$2:$A3446, MATCH(B1326,'Room Info'!$D$2:$D3446, 0)),if(G1326='Room Info'!$E$1, INDEX('Room Info'!$A$2:$A3446, MATCH(B1326,'Room Info'!$E$2:$E3446, 0)),if(G1326='Room Info'!$F$1, INDEX('Room Info'!$A$2:$A3446, MATCH(B1326,'Room Info'!$F$2:$F3446, 0)),if(G1326='Room Info'!$H$1, INDEX('Room Info'!$A$2:$A3446, MATCH(B1326,'Room Info'!$H$2:$H3446, 0)),if(G1326='Room Info'!$G$1, INDEX('Room Info'!$A$2:$A3446, MATCH(B1326,'Room Info'!$G$2:$G3446, 0)))))))))</f>
        <v>volkovsky</v>
      </c>
      <c r="B1326" s="50" t="s">
        <v>216</v>
      </c>
      <c r="C1326" s="82">
        <v>44672.0</v>
      </c>
      <c r="D1326" s="82">
        <v>44701.0</v>
      </c>
      <c r="E1326" s="52">
        <v>44682.0</v>
      </c>
      <c r="F1326" s="53" t="s">
        <v>4</v>
      </c>
      <c r="G1326" s="50" t="s">
        <v>5</v>
      </c>
      <c r="H1326" s="96" t="s">
        <v>85</v>
      </c>
      <c r="I1326" s="54" t="s">
        <v>7</v>
      </c>
      <c r="J1326" s="79">
        <v>100.0</v>
      </c>
      <c r="K1326" s="80">
        <v>193.0</v>
      </c>
      <c r="L1326" s="77">
        <v>-1800.0</v>
      </c>
      <c r="M1326" s="81">
        <v>622.0</v>
      </c>
      <c r="N1326" s="33">
        <f t="shared" si="155"/>
        <v>19300</v>
      </c>
      <c r="O1326" s="50">
        <v>858.0</v>
      </c>
      <c r="P1326" s="34">
        <f t="shared" si="14"/>
        <v>4.445595855</v>
      </c>
      <c r="Q1326" s="60"/>
      <c r="R1326" s="36">
        <f t="shared" si="196"/>
        <v>622</v>
      </c>
      <c r="S1326" s="78">
        <v>-864.0</v>
      </c>
      <c r="T1326" s="37">
        <f t="shared" si="197"/>
        <v>-242</v>
      </c>
      <c r="U1326" s="62"/>
      <c r="V1326" s="63"/>
      <c r="W1326" s="63"/>
      <c r="X1326" s="35">
        <f t="shared" si="201"/>
        <v>0.1</v>
      </c>
      <c r="Y1326" s="35">
        <f t="shared" si="202"/>
        <v>0</v>
      </c>
      <c r="Z1326" s="40">
        <f t="shared" si="198"/>
        <v>-217.8</v>
      </c>
      <c r="AA1326" s="34">
        <f t="shared" si="199"/>
        <v>-24.2</v>
      </c>
      <c r="AB1326" s="41">
        <f t="shared" si="200"/>
        <v>0</v>
      </c>
      <c r="AC1326" s="42" t="b">
        <v>1</v>
      </c>
      <c r="AD1326" s="42" t="s">
        <v>138</v>
      </c>
      <c r="AE1326" s="42" t="s">
        <v>138</v>
      </c>
      <c r="AF1326" s="42" t="str">
        <f t="array" ref="AF1326">INDEX('Deal Info'!D:D, MATCH(A1326,'Deal Info'!A:A, 0))</f>
        <v>Fix10</v>
      </c>
      <c r="AG1326" s="43" t="str">
        <f t="array" ref="AG1326">INDEX('Deal Info'!G:G, MATCH(A1326,'Deal Info'!A:A, 0))</f>
        <v>None</v>
      </c>
    </row>
    <row r="1327" hidden="1">
      <c r="A1327" s="23" t="str">
        <f t="array" ref="A1327">if(G1327='Room Info'!$B$1, INDEX('Room Info'!$A$2:$A3446, MATCH(B1327,'Room Info'!$B$2:$B3446, 0)),if(G1327='Room Info'!$C$1, INDEX('Room Info'!$A$2:$A3446, MATCH(B1327,'Room Info'!$C$2:$C3446, 0)),if(G1327='Room Info'!$D$1, INDEX('Room Info'!$A$2:$A3446, MATCH(B1327,'Room Info'!$D$2:$D3446, 0)),if(G1327='Room Info'!$E$1, INDEX('Room Info'!$A$2:$A3446, MATCH(B1327,'Room Info'!$E$2:$E3446, 0)),if(G1327='Room Info'!$F$1, INDEX('Room Info'!$A$2:$A3446, MATCH(B1327,'Room Info'!$F$2:$F3446, 0)),if(G1327='Room Info'!$H$1, INDEX('Room Info'!$A$2:$A3446, MATCH(B1327,'Room Info'!$H$2:$H3446, 0)),if(G1327='Room Info'!$G$1, INDEX('Room Info'!$A$2:$A3446, MATCH(B1327,'Room Info'!$G$2:$G3446, 0)))))))))</f>
        <v>volkovsky</v>
      </c>
      <c r="B1327" s="50" t="s">
        <v>216</v>
      </c>
      <c r="C1327" s="82">
        <v>44672.0</v>
      </c>
      <c r="D1327" s="82">
        <v>44701.0</v>
      </c>
      <c r="E1327" s="52">
        <v>44682.0</v>
      </c>
      <c r="F1327" s="53" t="s">
        <v>4</v>
      </c>
      <c r="G1327" s="50" t="s">
        <v>5</v>
      </c>
      <c r="H1327" s="96" t="s">
        <v>86</v>
      </c>
      <c r="I1327" s="54" t="s">
        <v>11</v>
      </c>
      <c r="J1327" s="79">
        <v>100.0</v>
      </c>
      <c r="K1327" s="80">
        <v>580.0</v>
      </c>
      <c r="L1327" s="77">
        <v>-200.0</v>
      </c>
      <c r="M1327" s="81">
        <v>1871.0</v>
      </c>
      <c r="N1327" s="33">
        <f t="shared" si="155"/>
        <v>58000</v>
      </c>
      <c r="O1327" s="50">
        <v>2835.0</v>
      </c>
      <c r="P1327" s="34">
        <f t="shared" si="14"/>
        <v>4.887931034</v>
      </c>
      <c r="Q1327" s="60"/>
      <c r="R1327" s="36">
        <f t="shared" si="196"/>
        <v>1871</v>
      </c>
      <c r="S1327" s="78">
        <v>-2195.0</v>
      </c>
      <c r="T1327" s="37">
        <f t="shared" si="197"/>
        <v>-324</v>
      </c>
      <c r="U1327" s="62"/>
      <c r="V1327" s="63"/>
      <c r="W1327" s="63"/>
      <c r="X1327" s="35">
        <f t="shared" si="201"/>
        <v>0.1</v>
      </c>
      <c r="Y1327" s="35">
        <f t="shared" si="202"/>
        <v>0</v>
      </c>
      <c r="Z1327" s="40">
        <f t="shared" si="198"/>
        <v>-291.6</v>
      </c>
      <c r="AA1327" s="34">
        <f t="shared" si="199"/>
        <v>-32.4</v>
      </c>
      <c r="AB1327" s="41">
        <f t="shared" si="200"/>
        <v>0</v>
      </c>
      <c r="AC1327" s="42" t="b">
        <v>1</v>
      </c>
      <c r="AD1327" s="42" t="s">
        <v>138</v>
      </c>
      <c r="AE1327" s="42" t="s">
        <v>138</v>
      </c>
      <c r="AF1327" s="42" t="str">
        <f t="array" ref="AF1327">INDEX('Deal Info'!D:D, MATCH(A1327,'Deal Info'!A:A, 0))</f>
        <v>Fix10</v>
      </c>
      <c r="AG1327" s="43" t="str">
        <f t="array" ref="AG1327">INDEX('Deal Info'!G:G, MATCH(A1327,'Deal Info'!A:A, 0))</f>
        <v>None</v>
      </c>
    </row>
    <row r="1328" hidden="1">
      <c r="A1328" s="23" t="str">
        <f t="array" ref="A1328">if(G1328='Room Info'!$B$1, INDEX('Room Info'!$A$2:$A3446, MATCH(B1328,'Room Info'!$B$2:$B3446, 0)),if(G1328='Room Info'!$C$1, INDEX('Room Info'!$A$2:$A3446, MATCH(B1328,'Room Info'!$C$2:$C3446, 0)),if(G1328='Room Info'!$D$1, INDEX('Room Info'!$A$2:$A3446, MATCH(B1328,'Room Info'!$D$2:$D3446, 0)),if(G1328='Room Info'!$E$1, INDEX('Room Info'!$A$2:$A3446, MATCH(B1328,'Room Info'!$E$2:$E3446, 0)),if(G1328='Room Info'!$F$1, INDEX('Room Info'!$A$2:$A3446, MATCH(B1328,'Room Info'!$F$2:$F3446, 0)),if(G1328='Room Info'!$H$1, INDEX('Room Info'!$A$2:$A3446, MATCH(B1328,'Room Info'!$H$2:$H3446, 0)),if(G1328='Room Info'!$G$1, INDEX('Room Info'!$A$2:$A3446, MATCH(B1328,'Room Info'!$G$2:$G3446, 0)))))))))</f>
        <v>volkovsky</v>
      </c>
      <c r="B1328" s="50" t="s">
        <v>216</v>
      </c>
      <c r="C1328" s="82">
        <v>44672.0</v>
      </c>
      <c r="D1328" s="82">
        <v>44701.0</v>
      </c>
      <c r="E1328" s="52">
        <v>44682.0</v>
      </c>
      <c r="F1328" s="53" t="s">
        <v>4</v>
      </c>
      <c r="G1328" s="50" t="s">
        <v>5</v>
      </c>
      <c r="H1328" s="96" t="s">
        <v>96</v>
      </c>
      <c r="I1328" s="54" t="s">
        <v>7</v>
      </c>
      <c r="J1328" s="79">
        <v>250.0</v>
      </c>
      <c r="K1328" s="80">
        <v>473.0</v>
      </c>
      <c r="L1328" s="77">
        <v>-2750.0</v>
      </c>
      <c r="M1328" s="81">
        <v>3815.0</v>
      </c>
      <c r="N1328" s="33">
        <f t="shared" si="155"/>
        <v>118250</v>
      </c>
      <c r="O1328" s="50">
        <v>10056.0</v>
      </c>
      <c r="P1328" s="34">
        <f t="shared" si="14"/>
        <v>21.26004228</v>
      </c>
      <c r="Q1328" s="60"/>
      <c r="R1328" s="36">
        <f t="shared" si="196"/>
        <v>3815</v>
      </c>
      <c r="S1328" s="78">
        <v>-1274.0</v>
      </c>
      <c r="T1328" s="37">
        <f t="shared" si="197"/>
        <v>2541</v>
      </c>
      <c r="U1328" s="62"/>
      <c r="V1328" s="63"/>
      <c r="W1328" s="63"/>
      <c r="X1328" s="35">
        <f t="shared" si="201"/>
        <v>0.1</v>
      </c>
      <c r="Y1328" s="35">
        <f t="shared" si="202"/>
        <v>0</v>
      </c>
      <c r="Z1328" s="40">
        <f t="shared" si="198"/>
        <v>2286.9</v>
      </c>
      <c r="AA1328" s="34">
        <f t="shared" si="199"/>
        <v>254.1</v>
      </c>
      <c r="AB1328" s="41">
        <f t="shared" si="200"/>
        <v>0</v>
      </c>
      <c r="AC1328" s="42" t="b">
        <v>1</v>
      </c>
      <c r="AD1328" s="42" t="s">
        <v>138</v>
      </c>
      <c r="AE1328" s="42" t="s">
        <v>138</v>
      </c>
      <c r="AF1328" s="42" t="str">
        <f t="array" ref="AF1328">INDEX('Deal Info'!D:D, MATCH(A1328,'Deal Info'!A:A, 0))</f>
        <v>Fix10</v>
      </c>
      <c r="AG1328" s="43" t="str">
        <f t="array" ref="AG1328">INDEX('Deal Info'!G:G, MATCH(A1328,'Deal Info'!A:A, 0))</f>
        <v>None</v>
      </c>
    </row>
    <row r="1329" hidden="1">
      <c r="A1329" s="23" t="str">
        <f t="array" ref="A1329">if(G1329='Room Info'!$B$1, INDEX('Room Info'!$A$2:$A3446, MATCH(B1329,'Room Info'!$B$2:$B3446, 0)),if(G1329='Room Info'!$C$1, INDEX('Room Info'!$A$2:$A3446, MATCH(B1329,'Room Info'!$C$2:$C3446, 0)),if(G1329='Room Info'!$D$1, INDEX('Room Info'!$A$2:$A3446, MATCH(B1329,'Room Info'!$D$2:$D3446, 0)),if(G1329='Room Info'!$E$1, INDEX('Room Info'!$A$2:$A3446, MATCH(B1329,'Room Info'!$E$2:$E3446, 0)),if(G1329='Room Info'!$F$1, INDEX('Room Info'!$A$2:$A3446, MATCH(B1329,'Room Info'!$F$2:$F3446, 0)),if(G1329='Room Info'!$H$1, INDEX('Room Info'!$A$2:$A3446, MATCH(B1329,'Room Info'!$H$2:$H3446, 0)),if(G1329='Room Info'!$G$1, INDEX('Room Info'!$A$2:$A3446, MATCH(B1329,'Room Info'!$G$2:$G3446, 0)))))))))</f>
        <v>volkovsky</v>
      </c>
      <c r="B1329" s="50" t="s">
        <v>216</v>
      </c>
      <c r="C1329" s="82">
        <v>44672.0</v>
      </c>
      <c r="D1329" s="82">
        <v>44701.0</v>
      </c>
      <c r="E1329" s="52">
        <v>44682.0</v>
      </c>
      <c r="F1329" s="53" t="s">
        <v>4</v>
      </c>
      <c r="G1329" s="50" t="s">
        <v>5</v>
      </c>
      <c r="H1329" s="96" t="s">
        <v>97</v>
      </c>
      <c r="I1329" s="54" t="s">
        <v>11</v>
      </c>
      <c r="J1329" s="79">
        <v>250.0</v>
      </c>
      <c r="K1329" s="80">
        <v>563.0</v>
      </c>
      <c r="L1329" s="77">
        <v>-17000.0</v>
      </c>
      <c r="M1329" s="81">
        <v>4540.0</v>
      </c>
      <c r="N1329" s="33">
        <f t="shared" si="155"/>
        <v>140750</v>
      </c>
      <c r="O1329" s="50">
        <v>6333.0</v>
      </c>
      <c r="P1329" s="34">
        <f t="shared" si="14"/>
        <v>11.24866785</v>
      </c>
      <c r="Q1329" s="60"/>
      <c r="R1329" s="36">
        <f t="shared" si="196"/>
        <v>4540</v>
      </c>
      <c r="S1329" s="78">
        <v>-2180.0</v>
      </c>
      <c r="T1329" s="37">
        <f t="shared" si="197"/>
        <v>2360</v>
      </c>
      <c r="U1329" s="62"/>
      <c r="V1329" s="63"/>
      <c r="W1329" s="63"/>
      <c r="X1329" s="35">
        <f t="shared" si="201"/>
        <v>0.1</v>
      </c>
      <c r="Y1329" s="35">
        <f t="shared" si="202"/>
        <v>0</v>
      </c>
      <c r="Z1329" s="40">
        <f t="shared" si="198"/>
        <v>2124</v>
      </c>
      <c r="AA1329" s="34">
        <f t="shared" si="199"/>
        <v>236</v>
      </c>
      <c r="AB1329" s="41">
        <f t="shared" si="200"/>
        <v>0</v>
      </c>
      <c r="AC1329" s="42" t="b">
        <v>1</v>
      </c>
      <c r="AD1329" s="42" t="s">
        <v>138</v>
      </c>
      <c r="AE1329" s="42" t="s">
        <v>138</v>
      </c>
      <c r="AF1329" s="42" t="str">
        <f t="array" ref="AF1329">INDEX('Deal Info'!D:D, MATCH(A1329,'Deal Info'!A:A, 0))</f>
        <v>Fix10</v>
      </c>
      <c r="AG1329" s="43" t="str">
        <f t="array" ref="AG1329">INDEX('Deal Info'!G:G, MATCH(A1329,'Deal Info'!A:A, 0))</f>
        <v>None</v>
      </c>
    </row>
    <row r="1330" hidden="1">
      <c r="A1330" s="23" t="str">
        <f t="array" ref="A1330">if(G1330='Room Info'!$B$1, INDEX('Room Info'!$A$2:$A3446, MATCH(B1330,'Room Info'!$B$2:$B3446, 0)),if(G1330='Room Info'!$C$1, INDEX('Room Info'!$A$2:$A3446, MATCH(B1330,'Room Info'!$C$2:$C3446, 0)),if(G1330='Room Info'!$D$1, INDEX('Room Info'!$A$2:$A3446, MATCH(B1330,'Room Info'!$D$2:$D3446, 0)),if(G1330='Room Info'!$E$1, INDEX('Room Info'!$A$2:$A3446, MATCH(B1330,'Room Info'!$E$2:$E3446, 0)),if(G1330='Room Info'!$F$1, INDEX('Room Info'!$A$2:$A3446, MATCH(B1330,'Room Info'!$F$2:$F3446, 0)),if(G1330='Room Info'!$H$1, INDEX('Room Info'!$A$2:$A3446, MATCH(B1330,'Room Info'!$H$2:$H3446, 0)),if(G1330='Room Info'!$G$1, INDEX('Room Info'!$A$2:$A3446, MATCH(B1330,'Room Info'!$G$2:$G3446, 0)))))))))</f>
        <v>volkovsky</v>
      </c>
      <c r="B1330" s="50" t="s">
        <v>216</v>
      </c>
      <c r="C1330" s="82">
        <v>44702.0</v>
      </c>
      <c r="D1330" s="82">
        <v>44732.0</v>
      </c>
      <c r="E1330" s="52">
        <v>44713.0</v>
      </c>
      <c r="F1330" s="53" t="s">
        <v>4</v>
      </c>
      <c r="G1330" s="50" t="s">
        <v>5</v>
      </c>
      <c r="H1330" s="96" t="s">
        <v>85</v>
      </c>
      <c r="I1330" s="54" t="s">
        <v>7</v>
      </c>
      <c r="J1330" s="79">
        <v>100.0</v>
      </c>
      <c r="K1330" s="80">
        <v>341.0</v>
      </c>
      <c r="L1330" s="77">
        <v>-3000.0</v>
      </c>
      <c r="M1330" s="81">
        <v>1231.0</v>
      </c>
      <c r="N1330" s="33">
        <f t="shared" si="155"/>
        <v>34100</v>
      </c>
      <c r="O1330" s="50">
        <v>-3815.0</v>
      </c>
      <c r="P1330" s="34">
        <f t="shared" si="14"/>
        <v>-11.18768328</v>
      </c>
      <c r="Q1330" s="60"/>
      <c r="R1330" s="36">
        <f t="shared" si="196"/>
        <v>1231</v>
      </c>
      <c r="S1330" s="78">
        <v>-2403.0</v>
      </c>
      <c r="T1330" s="37">
        <f t="shared" si="197"/>
        <v>-1172</v>
      </c>
      <c r="U1330" s="62"/>
      <c r="V1330" s="63"/>
      <c r="W1330" s="63"/>
      <c r="X1330" s="35">
        <f t="shared" si="201"/>
        <v>0.1</v>
      </c>
      <c r="Y1330" s="35">
        <f t="shared" si="202"/>
        <v>0</v>
      </c>
      <c r="Z1330" s="40">
        <f t="shared" si="198"/>
        <v>-1054.8</v>
      </c>
      <c r="AA1330" s="34">
        <f t="shared" si="199"/>
        <v>-117.2</v>
      </c>
      <c r="AB1330" s="41">
        <f t="shared" si="200"/>
        <v>0</v>
      </c>
      <c r="AC1330" s="42" t="b">
        <v>1</v>
      </c>
      <c r="AD1330" s="42" t="s">
        <v>138</v>
      </c>
      <c r="AE1330" s="42" t="s">
        <v>138</v>
      </c>
      <c r="AF1330" s="42" t="str">
        <f t="array" ref="AF1330">INDEX('Deal Info'!D:D, MATCH(A1330,'Deal Info'!A:A, 0))</f>
        <v>Fix10</v>
      </c>
      <c r="AG1330" s="43" t="str">
        <f t="array" ref="AG1330">INDEX('Deal Info'!G:G, MATCH(A1330,'Deal Info'!A:A, 0))</f>
        <v>None</v>
      </c>
    </row>
    <row r="1331" hidden="1">
      <c r="A1331" s="23" t="str">
        <f t="array" ref="A1331">if(G1331='Room Info'!$B$1, INDEX('Room Info'!$A$2:$A3446, MATCH(B1331,'Room Info'!$B$2:$B3446, 0)),if(G1331='Room Info'!$C$1, INDEX('Room Info'!$A$2:$A3446, MATCH(B1331,'Room Info'!$C$2:$C3446, 0)),if(G1331='Room Info'!$D$1, INDEX('Room Info'!$A$2:$A3446, MATCH(B1331,'Room Info'!$D$2:$D3446, 0)),if(G1331='Room Info'!$E$1, INDEX('Room Info'!$A$2:$A3446, MATCH(B1331,'Room Info'!$E$2:$E3446, 0)),if(G1331='Room Info'!$F$1, INDEX('Room Info'!$A$2:$A3446, MATCH(B1331,'Room Info'!$F$2:$F3446, 0)),if(G1331='Room Info'!$H$1, INDEX('Room Info'!$A$2:$A3446, MATCH(B1331,'Room Info'!$H$2:$H3446, 0)),if(G1331='Room Info'!$G$1, INDEX('Room Info'!$A$2:$A3446, MATCH(B1331,'Room Info'!$G$2:$G3446, 0)))))))))</f>
        <v>volkovsky</v>
      </c>
      <c r="B1331" s="50" t="s">
        <v>216</v>
      </c>
      <c r="C1331" s="82">
        <v>44702.0</v>
      </c>
      <c r="D1331" s="82">
        <v>44732.0</v>
      </c>
      <c r="E1331" s="52">
        <v>44713.0</v>
      </c>
      <c r="F1331" s="53" t="s">
        <v>4</v>
      </c>
      <c r="G1331" s="50" t="s">
        <v>5</v>
      </c>
      <c r="H1331" s="96" t="s">
        <v>86</v>
      </c>
      <c r="I1331" s="54" t="s">
        <v>11</v>
      </c>
      <c r="J1331" s="79">
        <v>100.0</v>
      </c>
      <c r="K1331" s="80">
        <v>426.0</v>
      </c>
      <c r="L1331" s="77">
        <v>-1300.0</v>
      </c>
      <c r="M1331" s="81">
        <v>1538.0</v>
      </c>
      <c r="N1331" s="33">
        <f t="shared" si="155"/>
        <v>42600</v>
      </c>
      <c r="O1331" s="50">
        <v>3092.0</v>
      </c>
      <c r="P1331" s="34">
        <f t="shared" si="14"/>
        <v>7.258215962</v>
      </c>
      <c r="Q1331" s="60"/>
      <c r="R1331" s="36">
        <f t="shared" si="196"/>
        <v>1538</v>
      </c>
      <c r="S1331" s="78">
        <v>-1142.0</v>
      </c>
      <c r="T1331" s="37">
        <f t="shared" si="197"/>
        <v>396</v>
      </c>
      <c r="U1331" s="62"/>
      <c r="V1331" s="63"/>
      <c r="W1331" s="63"/>
      <c r="X1331" s="35">
        <f t="shared" si="201"/>
        <v>0.1</v>
      </c>
      <c r="Y1331" s="35">
        <f t="shared" si="202"/>
        <v>0</v>
      </c>
      <c r="Z1331" s="40">
        <f t="shared" si="198"/>
        <v>356.4</v>
      </c>
      <c r="AA1331" s="34">
        <f t="shared" si="199"/>
        <v>39.6</v>
      </c>
      <c r="AB1331" s="41">
        <f t="shared" si="200"/>
        <v>0</v>
      </c>
      <c r="AC1331" s="42" t="b">
        <v>1</v>
      </c>
      <c r="AD1331" s="42" t="s">
        <v>138</v>
      </c>
      <c r="AE1331" s="42" t="s">
        <v>138</v>
      </c>
      <c r="AF1331" s="42" t="str">
        <f t="array" ref="AF1331">INDEX('Deal Info'!D:D, MATCH(A1331,'Deal Info'!A:A, 0))</f>
        <v>Fix10</v>
      </c>
      <c r="AG1331" s="43" t="str">
        <f t="array" ref="AG1331">INDEX('Deal Info'!G:G, MATCH(A1331,'Deal Info'!A:A, 0))</f>
        <v>None</v>
      </c>
    </row>
    <row r="1332" hidden="1">
      <c r="A1332" s="23" t="str">
        <f t="array" ref="A1332">if(G1332='Room Info'!$B$1, INDEX('Room Info'!$A$2:$A3446, MATCH(B1332,'Room Info'!$B$2:$B3446, 0)),if(G1332='Room Info'!$C$1, INDEX('Room Info'!$A$2:$A3446, MATCH(B1332,'Room Info'!$C$2:$C3446, 0)),if(G1332='Room Info'!$D$1, INDEX('Room Info'!$A$2:$A3446, MATCH(B1332,'Room Info'!$D$2:$D3446, 0)),if(G1332='Room Info'!$E$1, INDEX('Room Info'!$A$2:$A3446, MATCH(B1332,'Room Info'!$E$2:$E3446, 0)),if(G1332='Room Info'!$F$1, INDEX('Room Info'!$A$2:$A3446, MATCH(B1332,'Room Info'!$F$2:$F3446, 0)),if(G1332='Room Info'!$H$1, INDEX('Room Info'!$A$2:$A3446, MATCH(B1332,'Room Info'!$H$2:$H3446, 0)),if(G1332='Room Info'!$G$1, INDEX('Room Info'!$A$2:$A3446, MATCH(B1332,'Room Info'!$G$2:$G3446, 0)))))))))</f>
        <v>volkovsky</v>
      </c>
      <c r="B1332" s="50" t="s">
        <v>216</v>
      </c>
      <c r="C1332" s="51">
        <v>44702.0</v>
      </c>
      <c r="D1332" s="51">
        <v>44732.0</v>
      </c>
      <c r="E1332" s="52">
        <v>44713.0</v>
      </c>
      <c r="F1332" s="50" t="s">
        <v>4</v>
      </c>
      <c r="G1332" s="59" t="s">
        <v>5</v>
      </c>
      <c r="H1332" s="54" t="s">
        <v>96</v>
      </c>
      <c r="I1332" s="54" t="s">
        <v>7</v>
      </c>
      <c r="J1332" s="55">
        <v>250.0</v>
      </c>
      <c r="K1332" s="56">
        <v>703.0</v>
      </c>
      <c r="L1332" s="57">
        <v>5000.0</v>
      </c>
      <c r="M1332" s="58">
        <v>6345.0</v>
      </c>
      <c r="N1332" s="33">
        <f t="shared" si="155"/>
        <v>175750</v>
      </c>
      <c r="O1332" s="59">
        <v>-2333.0</v>
      </c>
      <c r="P1332" s="34">
        <f t="shared" si="14"/>
        <v>-3.318634424</v>
      </c>
      <c r="Q1332" s="60"/>
      <c r="R1332" s="36">
        <f t="shared" si="196"/>
        <v>6345</v>
      </c>
      <c r="S1332" s="61">
        <v>-9371.0</v>
      </c>
      <c r="T1332" s="37">
        <f t="shared" si="197"/>
        <v>-3026</v>
      </c>
      <c r="U1332" s="62"/>
      <c r="V1332" s="63"/>
      <c r="W1332" s="63"/>
      <c r="X1332" s="35">
        <f t="shared" si="201"/>
        <v>0.1</v>
      </c>
      <c r="Y1332" s="35">
        <f t="shared" si="202"/>
        <v>0</v>
      </c>
      <c r="Z1332" s="40">
        <f t="shared" si="198"/>
        <v>-2723.4</v>
      </c>
      <c r="AA1332" s="34">
        <f t="shared" si="199"/>
        <v>-302.6</v>
      </c>
      <c r="AB1332" s="41">
        <f t="shared" si="200"/>
        <v>0</v>
      </c>
      <c r="AC1332" s="42" t="b">
        <v>1</v>
      </c>
      <c r="AD1332" s="42" t="s">
        <v>138</v>
      </c>
      <c r="AE1332" s="42" t="s">
        <v>138</v>
      </c>
      <c r="AF1332" s="42" t="str">
        <f t="array" ref="AF1332">INDEX('Deal Info'!D:D, MATCH(A1332,'Deal Info'!A:A, 0))</f>
        <v>Fix10</v>
      </c>
      <c r="AG1332" s="43" t="str">
        <f t="array" ref="AG1332">INDEX('Deal Info'!G:G, MATCH(A1332,'Deal Info'!A:A, 0))</f>
        <v>None</v>
      </c>
    </row>
    <row r="1333" hidden="1">
      <c r="A1333" s="23" t="str">
        <f t="array" ref="A1333">if(G1333='Room Info'!$B$1, INDEX('Room Info'!$A$2:$A3446, MATCH(B1333,'Room Info'!$B$2:$B3446, 0)),if(G1333='Room Info'!$C$1, INDEX('Room Info'!$A$2:$A3446, MATCH(B1333,'Room Info'!$C$2:$C3446, 0)),if(G1333='Room Info'!$D$1, INDEX('Room Info'!$A$2:$A3446, MATCH(B1333,'Room Info'!$D$2:$D3446, 0)),if(G1333='Room Info'!$E$1, INDEX('Room Info'!$A$2:$A3446, MATCH(B1333,'Room Info'!$E$2:$E3446, 0)),if(G1333='Room Info'!$F$1, INDEX('Room Info'!$A$2:$A3446, MATCH(B1333,'Room Info'!$F$2:$F3446, 0)),if(G1333='Room Info'!$H$1, INDEX('Room Info'!$A$2:$A3446, MATCH(B1333,'Room Info'!$H$2:$H3446, 0)),if(G1333='Room Info'!$G$1, INDEX('Room Info'!$A$2:$A3446, MATCH(B1333,'Room Info'!$G$2:$G3446, 0)))))))))</f>
        <v>volkovsky</v>
      </c>
      <c r="B1333" s="50" t="s">
        <v>216</v>
      </c>
      <c r="C1333" s="51">
        <v>44702.0</v>
      </c>
      <c r="D1333" s="51">
        <v>44732.0</v>
      </c>
      <c r="E1333" s="52">
        <v>44713.0</v>
      </c>
      <c r="F1333" s="50" t="s">
        <v>4</v>
      </c>
      <c r="G1333" s="59" t="s">
        <v>5</v>
      </c>
      <c r="H1333" s="54" t="s">
        <v>97</v>
      </c>
      <c r="I1333" s="54" t="s">
        <v>11</v>
      </c>
      <c r="J1333" s="55">
        <v>250.0</v>
      </c>
      <c r="K1333" s="56">
        <v>408.0</v>
      </c>
      <c r="L1333" s="57">
        <v>500.0</v>
      </c>
      <c r="M1333" s="58">
        <v>3682.0</v>
      </c>
      <c r="N1333" s="33">
        <f t="shared" si="155"/>
        <v>102000</v>
      </c>
      <c r="O1333" s="59">
        <v>217.0</v>
      </c>
      <c r="P1333" s="34">
        <f t="shared" si="14"/>
        <v>0.5318627451</v>
      </c>
      <c r="Q1333" s="60"/>
      <c r="R1333" s="36">
        <f t="shared" si="196"/>
        <v>3682</v>
      </c>
      <c r="S1333" s="61">
        <v>-4633.0</v>
      </c>
      <c r="T1333" s="37">
        <f t="shared" si="197"/>
        <v>-951</v>
      </c>
      <c r="U1333" s="62"/>
      <c r="V1333" s="63"/>
      <c r="W1333" s="63"/>
      <c r="X1333" s="35">
        <f t="shared" si="201"/>
        <v>0.1</v>
      </c>
      <c r="Y1333" s="35">
        <f t="shared" si="202"/>
        <v>0</v>
      </c>
      <c r="Z1333" s="40">
        <f t="shared" si="198"/>
        <v>-855.9</v>
      </c>
      <c r="AA1333" s="34">
        <f t="shared" si="199"/>
        <v>-95.1</v>
      </c>
      <c r="AB1333" s="41">
        <f t="shared" si="200"/>
        <v>0</v>
      </c>
      <c r="AC1333" s="42" t="b">
        <v>1</v>
      </c>
      <c r="AD1333" s="42" t="s">
        <v>138</v>
      </c>
      <c r="AE1333" s="42" t="s">
        <v>138</v>
      </c>
      <c r="AF1333" s="42" t="str">
        <f t="array" ref="AF1333">INDEX('Deal Info'!D:D, MATCH(A1333,'Deal Info'!A:A, 0))</f>
        <v>Fix10</v>
      </c>
      <c r="AG1333" s="43" t="str">
        <f t="array" ref="AG1333">INDEX('Deal Info'!G:G, MATCH(A1333,'Deal Info'!A:A, 0))</f>
        <v>None</v>
      </c>
    </row>
    <row r="1334" hidden="1">
      <c r="A1334" s="23" t="str">
        <f t="array" ref="A1334">if(G1334='Room Info'!$B$1, INDEX('Room Info'!$A$2:$A3446, MATCH(B1334,'Room Info'!$B$2:$B3446, 0)),if(G1334='Room Info'!$C$1, INDEX('Room Info'!$A$2:$A3446, MATCH(B1334,'Room Info'!$C$2:$C3446, 0)),if(G1334='Room Info'!$D$1, INDEX('Room Info'!$A$2:$A3446, MATCH(B1334,'Room Info'!$D$2:$D3446, 0)),if(G1334='Room Info'!$E$1, INDEX('Room Info'!$A$2:$A3446, MATCH(B1334,'Room Info'!$E$2:$E3446, 0)),if(G1334='Room Info'!$F$1, INDEX('Room Info'!$A$2:$A3446, MATCH(B1334,'Room Info'!$F$2:$F3446, 0)),if(G1334='Room Info'!$H$1, INDEX('Room Info'!$A$2:$A3446, MATCH(B1334,'Room Info'!$H$2:$H3446, 0)),if(G1334='Room Info'!$G$1, INDEX('Room Info'!$A$2:$A3446, MATCH(B1334,'Room Info'!$G$2:$G3446, 0)))))))))</f>
        <v>volkovsky</v>
      </c>
      <c r="B1334" s="50" t="s">
        <v>216</v>
      </c>
      <c r="C1334" s="82">
        <v>44702.0</v>
      </c>
      <c r="D1334" s="82">
        <v>44732.0</v>
      </c>
      <c r="E1334" s="52">
        <v>44713.0</v>
      </c>
      <c r="F1334" s="53" t="s">
        <v>4</v>
      </c>
      <c r="G1334" s="50" t="s">
        <v>5</v>
      </c>
      <c r="H1334" s="96" t="s">
        <v>101</v>
      </c>
      <c r="I1334" s="54" t="s">
        <v>7</v>
      </c>
      <c r="J1334" s="79">
        <v>500.0</v>
      </c>
      <c r="K1334" s="80">
        <v>3.0</v>
      </c>
      <c r="L1334" s="77">
        <v>-1500.0</v>
      </c>
      <c r="M1334" s="81">
        <v>54.0</v>
      </c>
      <c r="N1334" s="33">
        <f t="shared" si="155"/>
        <v>1500</v>
      </c>
      <c r="O1334" s="50">
        <v>-441.0</v>
      </c>
      <c r="P1334" s="34">
        <f t="shared" si="14"/>
        <v>-147</v>
      </c>
      <c r="Q1334" s="60"/>
      <c r="R1334" s="36">
        <f t="shared" si="196"/>
        <v>54</v>
      </c>
      <c r="S1334" s="78">
        <v>-484.0</v>
      </c>
      <c r="T1334" s="37">
        <f t="shared" si="197"/>
        <v>-430</v>
      </c>
      <c r="U1334" s="62"/>
      <c r="V1334" s="63"/>
      <c r="W1334" s="63"/>
      <c r="X1334" s="35">
        <f t="shared" si="201"/>
        <v>0.1</v>
      </c>
      <c r="Y1334" s="35">
        <f t="shared" si="202"/>
        <v>0</v>
      </c>
      <c r="Z1334" s="40">
        <f t="shared" si="198"/>
        <v>-387</v>
      </c>
      <c r="AA1334" s="34">
        <f t="shared" si="199"/>
        <v>-43</v>
      </c>
      <c r="AB1334" s="41">
        <f t="shared" si="200"/>
        <v>0</v>
      </c>
      <c r="AC1334" s="42" t="b">
        <v>1</v>
      </c>
      <c r="AD1334" s="42" t="s">
        <v>138</v>
      </c>
      <c r="AE1334" s="42" t="s">
        <v>138</v>
      </c>
      <c r="AF1334" s="42" t="str">
        <f t="array" ref="AF1334">INDEX('Deal Info'!D:D, MATCH(A1334,'Deal Info'!A:A, 0))</f>
        <v>Fix10</v>
      </c>
      <c r="AG1334" s="43" t="str">
        <f t="array" ref="AG1334">INDEX('Deal Info'!G:G, MATCH(A1334,'Deal Info'!A:A, 0))</f>
        <v>None</v>
      </c>
    </row>
    <row r="1335" hidden="1">
      <c r="A1335" s="23" t="str">
        <f t="array" ref="A1335">if(G1335='Room Info'!$B$1, INDEX('Room Info'!$A$2:$A3446, MATCH(B1335,'Room Info'!$B$2:$B3446, 0)),if(G1335='Room Info'!$C$1, INDEX('Room Info'!$A$2:$A3446, MATCH(B1335,'Room Info'!$C$2:$C3446, 0)),if(G1335='Room Info'!$D$1, INDEX('Room Info'!$A$2:$A3446, MATCH(B1335,'Room Info'!$D$2:$D3446, 0)),if(G1335='Room Info'!$E$1, INDEX('Room Info'!$A$2:$A3446, MATCH(B1335,'Room Info'!$E$2:$E3446, 0)),if(G1335='Room Info'!$F$1, INDEX('Room Info'!$A$2:$A3446, MATCH(B1335,'Room Info'!$F$2:$F3446, 0)),if(G1335='Room Info'!$H$1, INDEX('Room Info'!$A$2:$A3446, MATCH(B1335,'Room Info'!$H$2:$H3446, 0)),if(G1335='Room Info'!$G$1, INDEX('Room Info'!$A$2:$A3446, MATCH(B1335,'Room Info'!$G$2:$G3446, 0)))))))))</f>
        <v>volkovsky</v>
      </c>
      <c r="B1335" s="50" t="s">
        <v>216</v>
      </c>
      <c r="C1335" s="82">
        <v>44733.0</v>
      </c>
      <c r="D1335" s="82">
        <v>44762.0</v>
      </c>
      <c r="E1335" s="52">
        <v>44743.0</v>
      </c>
      <c r="F1335" s="53" t="s">
        <v>4</v>
      </c>
      <c r="G1335" s="50" t="s">
        <v>5</v>
      </c>
      <c r="H1335" s="96" t="s">
        <v>85</v>
      </c>
      <c r="I1335" s="54" t="s">
        <v>7</v>
      </c>
      <c r="J1335" s="79">
        <v>100.0</v>
      </c>
      <c r="K1335" s="80">
        <v>698.0</v>
      </c>
      <c r="L1335" s="77">
        <v>-2700.0</v>
      </c>
      <c r="M1335" s="81">
        <v>2741.0</v>
      </c>
      <c r="N1335" s="33">
        <f t="shared" si="155"/>
        <v>69800</v>
      </c>
      <c r="O1335" s="50">
        <v>2831.0</v>
      </c>
      <c r="P1335" s="34">
        <f t="shared" si="14"/>
        <v>4.055873926</v>
      </c>
      <c r="Q1335" s="60"/>
      <c r="R1335" s="36">
        <f t="shared" si="196"/>
        <v>2741</v>
      </c>
      <c r="S1335" s="78">
        <v>-3332.0</v>
      </c>
      <c r="T1335" s="37">
        <f t="shared" si="197"/>
        <v>-591</v>
      </c>
      <c r="U1335" s="62"/>
      <c r="V1335" s="63"/>
      <c r="W1335" s="63"/>
      <c r="X1335" s="35">
        <f t="shared" si="201"/>
        <v>0.1</v>
      </c>
      <c r="Y1335" s="35">
        <f t="shared" si="202"/>
        <v>0</v>
      </c>
      <c r="Z1335" s="40">
        <f t="shared" si="198"/>
        <v>-531.9</v>
      </c>
      <c r="AA1335" s="34">
        <f t="shared" si="199"/>
        <v>-59.1</v>
      </c>
      <c r="AB1335" s="41">
        <f t="shared" si="200"/>
        <v>0</v>
      </c>
      <c r="AC1335" s="42" t="b">
        <v>1</v>
      </c>
      <c r="AD1335" s="42" t="s">
        <v>138</v>
      </c>
      <c r="AE1335" s="42" t="s">
        <v>138</v>
      </c>
      <c r="AF1335" s="42" t="str">
        <f t="array" ref="AF1335">INDEX('Deal Info'!D:D, MATCH(A1335,'Deal Info'!A:A, 0))</f>
        <v>Fix10</v>
      </c>
      <c r="AG1335" s="43" t="str">
        <f t="array" ref="AG1335">INDEX('Deal Info'!G:G, MATCH(A1335,'Deal Info'!A:A, 0))</f>
        <v>None</v>
      </c>
    </row>
    <row r="1336" hidden="1">
      <c r="A1336" s="23" t="str">
        <f t="array" ref="A1336">if(G1336='Room Info'!$B$1, INDEX('Room Info'!$A$2:$A3446, MATCH(B1336,'Room Info'!$B$2:$B3446, 0)),if(G1336='Room Info'!$C$1, INDEX('Room Info'!$A$2:$A3446, MATCH(B1336,'Room Info'!$C$2:$C3446, 0)),if(G1336='Room Info'!$D$1, INDEX('Room Info'!$A$2:$A3446, MATCH(B1336,'Room Info'!$D$2:$D3446, 0)),if(G1336='Room Info'!$E$1, INDEX('Room Info'!$A$2:$A3446, MATCH(B1336,'Room Info'!$E$2:$E3446, 0)),if(G1336='Room Info'!$F$1, INDEX('Room Info'!$A$2:$A3446, MATCH(B1336,'Room Info'!$F$2:$F3446, 0)),if(G1336='Room Info'!$H$1, INDEX('Room Info'!$A$2:$A3446, MATCH(B1336,'Room Info'!$H$2:$H3446, 0)),if(G1336='Room Info'!$G$1, INDEX('Room Info'!$A$2:$A3446, MATCH(B1336,'Room Info'!$G$2:$G3446, 0)))))))))</f>
        <v>volkovsky</v>
      </c>
      <c r="B1336" s="50" t="s">
        <v>216</v>
      </c>
      <c r="C1336" s="82">
        <v>44733.0</v>
      </c>
      <c r="D1336" s="82">
        <v>44762.0</v>
      </c>
      <c r="E1336" s="52">
        <v>44743.0</v>
      </c>
      <c r="F1336" s="53" t="s">
        <v>4</v>
      </c>
      <c r="G1336" s="50" t="s">
        <v>5</v>
      </c>
      <c r="H1336" s="96" t="s">
        <v>86</v>
      </c>
      <c r="I1336" s="54" t="s">
        <v>11</v>
      </c>
      <c r="J1336" s="79">
        <v>100.0</v>
      </c>
      <c r="K1336" s="80">
        <v>428.0</v>
      </c>
      <c r="L1336" s="77">
        <v>-1600.0</v>
      </c>
      <c r="M1336" s="81">
        <v>1681.0</v>
      </c>
      <c r="N1336" s="33">
        <f t="shared" si="155"/>
        <v>42800</v>
      </c>
      <c r="O1336" s="50">
        <v>3164.0</v>
      </c>
      <c r="P1336" s="34">
        <f t="shared" si="14"/>
        <v>7.392523364</v>
      </c>
      <c r="Q1336" s="60"/>
      <c r="R1336" s="36">
        <f t="shared" si="196"/>
        <v>1681</v>
      </c>
      <c r="S1336" s="78">
        <v>-1380.0</v>
      </c>
      <c r="T1336" s="37">
        <f t="shared" si="197"/>
        <v>301</v>
      </c>
      <c r="U1336" s="62"/>
      <c r="V1336" s="63"/>
      <c r="W1336" s="63"/>
      <c r="X1336" s="35">
        <f t="shared" si="201"/>
        <v>0.1</v>
      </c>
      <c r="Y1336" s="35">
        <f t="shared" si="202"/>
        <v>0</v>
      </c>
      <c r="Z1336" s="40">
        <f t="shared" si="198"/>
        <v>270.9</v>
      </c>
      <c r="AA1336" s="34">
        <f t="shared" si="199"/>
        <v>30.1</v>
      </c>
      <c r="AB1336" s="41">
        <f t="shared" si="200"/>
        <v>0</v>
      </c>
      <c r="AC1336" s="42" t="b">
        <v>1</v>
      </c>
      <c r="AD1336" s="42" t="s">
        <v>138</v>
      </c>
      <c r="AE1336" s="42" t="s">
        <v>138</v>
      </c>
      <c r="AF1336" s="42" t="str">
        <f t="array" ref="AF1336">INDEX('Deal Info'!D:D, MATCH(A1336,'Deal Info'!A:A, 0))</f>
        <v>Fix10</v>
      </c>
      <c r="AG1336" s="43" t="str">
        <f t="array" ref="AG1336">INDEX('Deal Info'!G:G, MATCH(A1336,'Deal Info'!A:A, 0))</f>
        <v>None</v>
      </c>
    </row>
    <row r="1337" hidden="1">
      <c r="A1337" s="23" t="str">
        <f t="array" ref="A1337">if(G1337='Room Info'!$B$1, INDEX('Room Info'!$A$2:$A3446, MATCH(B1337,'Room Info'!$B$2:$B3446, 0)),if(G1337='Room Info'!$C$1, INDEX('Room Info'!$A$2:$A3446, MATCH(B1337,'Room Info'!$C$2:$C3446, 0)),if(G1337='Room Info'!$D$1, INDEX('Room Info'!$A$2:$A3446, MATCH(B1337,'Room Info'!$D$2:$D3446, 0)),if(G1337='Room Info'!$E$1, INDEX('Room Info'!$A$2:$A3446, MATCH(B1337,'Room Info'!$E$2:$E3446, 0)),if(G1337='Room Info'!$F$1, INDEX('Room Info'!$A$2:$A3446, MATCH(B1337,'Room Info'!$F$2:$F3446, 0)),if(G1337='Room Info'!$H$1, INDEX('Room Info'!$A$2:$A3446, MATCH(B1337,'Room Info'!$H$2:$H3446, 0)),if(G1337='Room Info'!$G$1, INDEX('Room Info'!$A$2:$A3446, MATCH(B1337,'Room Info'!$G$2:$G3446, 0)))))))))</f>
        <v>volkovsky</v>
      </c>
      <c r="B1337" s="50" t="s">
        <v>216</v>
      </c>
      <c r="C1337" s="82">
        <v>44733.0</v>
      </c>
      <c r="D1337" s="82">
        <v>44762.0</v>
      </c>
      <c r="E1337" s="52">
        <v>44743.0</v>
      </c>
      <c r="F1337" s="53" t="s">
        <v>4</v>
      </c>
      <c r="G1337" s="50" t="s">
        <v>5</v>
      </c>
      <c r="H1337" s="54" t="s">
        <v>96</v>
      </c>
      <c r="I1337" s="54" t="s">
        <v>7</v>
      </c>
      <c r="J1337" s="79">
        <v>250.0</v>
      </c>
      <c r="K1337" s="80">
        <v>686.0</v>
      </c>
      <c r="L1337" s="77">
        <v>-750.0</v>
      </c>
      <c r="M1337" s="81">
        <v>6735.0</v>
      </c>
      <c r="N1337" s="33">
        <f t="shared" si="155"/>
        <v>171500</v>
      </c>
      <c r="O1337" s="50">
        <v>1040.0</v>
      </c>
      <c r="P1337" s="34">
        <f t="shared" si="14"/>
        <v>1.516034985</v>
      </c>
      <c r="Q1337" s="60"/>
      <c r="R1337" s="36">
        <f t="shared" si="196"/>
        <v>6735</v>
      </c>
      <c r="S1337" s="78">
        <v>-8590.0</v>
      </c>
      <c r="T1337" s="37">
        <f t="shared" si="197"/>
        <v>-1855</v>
      </c>
      <c r="U1337" s="62"/>
      <c r="V1337" s="63"/>
      <c r="W1337" s="63"/>
      <c r="X1337" s="35">
        <f t="shared" si="201"/>
        <v>0.1</v>
      </c>
      <c r="Y1337" s="35">
        <f t="shared" si="202"/>
        <v>0</v>
      </c>
      <c r="Z1337" s="40">
        <f t="shared" si="198"/>
        <v>-1669.5</v>
      </c>
      <c r="AA1337" s="34">
        <f t="shared" si="199"/>
        <v>-185.5</v>
      </c>
      <c r="AB1337" s="41">
        <f t="shared" si="200"/>
        <v>0</v>
      </c>
      <c r="AC1337" s="42" t="b">
        <v>1</v>
      </c>
      <c r="AD1337" s="42" t="s">
        <v>138</v>
      </c>
      <c r="AE1337" s="42" t="s">
        <v>138</v>
      </c>
      <c r="AF1337" s="42" t="str">
        <f t="array" ref="AF1337">INDEX('Deal Info'!D:D, MATCH(A1337,'Deal Info'!A:A, 0))</f>
        <v>Fix10</v>
      </c>
      <c r="AG1337" s="43" t="str">
        <f t="array" ref="AG1337">INDEX('Deal Info'!G:G, MATCH(A1337,'Deal Info'!A:A, 0))</f>
        <v>None</v>
      </c>
    </row>
    <row r="1338" hidden="1">
      <c r="A1338" s="23" t="str">
        <f t="array" ref="A1338">if(G1338='Room Info'!$B$1, INDEX('Room Info'!$A$2:$A3446, MATCH(B1338,'Room Info'!$B$2:$B3446, 0)),if(G1338='Room Info'!$C$1, INDEX('Room Info'!$A$2:$A3446, MATCH(B1338,'Room Info'!$C$2:$C3446, 0)),if(G1338='Room Info'!$D$1, INDEX('Room Info'!$A$2:$A3446, MATCH(B1338,'Room Info'!$D$2:$D3446, 0)),if(G1338='Room Info'!$E$1, INDEX('Room Info'!$A$2:$A3446, MATCH(B1338,'Room Info'!$E$2:$E3446, 0)),if(G1338='Room Info'!$F$1, INDEX('Room Info'!$A$2:$A3446, MATCH(B1338,'Room Info'!$F$2:$F3446, 0)),if(G1338='Room Info'!$H$1, INDEX('Room Info'!$A$2:$A3446, MATCH(B1338,'Room Info'!$H$2:$H3446, 0)),if(G1338='Room Info'!$G$1, INDEX('Room Info'!$A$2:$A3446, MATCH(B1338,'Room Info'!$G$2:$G3446, 0)))))))))</f>
        <v>volkovsky</v>
      </c>
      <c r="B1338" s="50" t="s">
        <v>216</v>
      </c>
      <c r="C1338" s="51">
        <v>44733.0</v>
      </c>
      <c r="D1338" s="51">
        <v>44762.0</v>
      </c>
      <c r="E1338" s="52">
        <v>44743.0</v>
      </c>
      <c r="F1338" s="53" t="s">
        <v>4</v>
      </c>
      <c r="G1338" s="59" t="s">
        <v>5</v>
      </c>
      <c r="H1338" s="54" t="s">
        <v>97</v>
      </c>
      <c r="I1338" s="54" t="s">
        <v>11</v>
      </c>
      <c r="J1338" s="55">
        <v>250.0</v>
      </c>
      <c r="K1338" s="56">
        <v>305.0</v>
      </c>
      <c r="L1338" s="57">
        <v>-8000.0</v>
      </c>
      <c r="M1338" s="58">
        <v>2995.0</v>
      </c>
      <c r="N1338" s="33">
        <f t="shared" si="155"/>
        <v>76250</v>
      </c>
      <c r="O1338" s="59">
        <v>197.0</v>
      </c>
      <c r="P1338" s="34">
        <f t="shared" si="14"/>
        <v>0.6459016393</v>
      </c>
      <c r="Q1338" s="60"/>
      <c r="R1338" s="36">
        <f t="shared" si="196"/>
        <v>2995</v>
      </c>
      <c r="S1338" s="61">
        <v>-3882.0</v>
      </c>
      <c r="T1338" s="37">
        <f t="shared" si="197"/>
        <v>-887</v>
      </c>
      <c r="U1338" s="62"/>
      <c r="V1338" s="63"/>
      <c r="W1338" s="63"/>
      <c r="X1338" s="35">
        <f t="shared" si="201"/>
        <v>0.1</v>
      </c>
      <c r="Y1338" s="35">
        <f t="shared" si="202"/>
        <v>0</v>
      </c>
      <c r="Z1338" s="40">
        <f t="shared" si="198"/>
        <v>-798.3</v>
      </c>
      <c r="AA1338" s="34">
        <f t="shared" si="199"/>
        <v>-88.7</v>
      </c>
      <c r="AB1338" s="41">
        <f t="shared" si="200"/>
        <v>0</v>
      </c>
      <c r="AC1338" s="42" t="b">
        <v>1</v>
      </c>
      <c r="AD1338" s="42" t="s">
        <v>138</v>
      </c>
      <c r="AE1338" s="42" t="s">
        <v>138</v>
      </c>
      <c r="AF1338" s="42" t="str">
        <f t="array" ref="AF1338">INDEX('Deal Info'!D:D, MATCH(A1338,'Deal Info'!A:A, 0))</f>
        <v>Fix10</v>
      </c>
      <c r="AG1338" s="43" t="str">
        <f t="array" ref="AG1338">INDEX('Deal Info'!G:G, MATCH(A1338,'Deal Info'!A:A, 0))</f>
        <v>None</v>
      </c>
    </row>
    <row r="1339" hidden="1">
      <c r="A1339" s="23" t="str">
        <f t="array" ref="A1339">if(G1339='Room Info'!$B$1, INDEX('Room Info'!$A$2:$A3446, MATCH(B1339,'Room Info'!$B$2:$B3446, 0)),if(G1339='Room Info'!$C$1, INDEX('Room Info'!$A$2:$A3446, MATCH(B1339,'Room Info'!$C$2:$C3446, 0)),if(G1339='Room Info'!$D$1, INDEX('Room Info'!$A$2:$A3446, MATCH(B1339,'Room Info'!$D$2:$D3446, 0)),if(G1339='Room Info'!$E$1, INDEX('Room Info'!$A$2:$A3446, MATCH(B1339,'Room Info'!$E$2:$E3446, 0)),if(G1339='Room Info'!$F$1, INDEX('Room Info'!$A$2:$A3446, MATCH(B1339,'Room Info'!$F$2:$F3446, 0)),if(G1339='Room Info'!$H$1, INDEX('Room Info'!$A$2:$A3446, MATCH(B1339,'Room Info'!$H$2:$H3446, 0)),if(G1339='Room Info'!$G$1, INDEX('Room Info'!$A$2:$A3446, MATCH(B1339,'Room Info'!$G$2:$G3446, 0)))))))))</f>
        <v>volkovsky</v>
      </c>
      <c r="B1339" s="50" t="s">
        <v>216</v>
      </c>
      <c r="C1339" s="51">
        <v>44733.0</v>
      </c>
      <c r="D1339" s="51">
        <v>44762.0</v>
      </c>
      <c r="E1339" s="52">
        <v>44743.0</v>
      </c>
      <c r="F1339" s="53" t="s">
        <v>4</v>
      </c>
      <c r="G1339" s="59" t="s">
        <v>5</v>
      </c>
      <c r="H1339" s="54" t="s">
        <v>101</v>
      </c>
      <c r="I1339" s="54" t="s">
        <v>7</v>
      </c>
      <c r="J1339" s="55">
        <v>500.0</v>
      </c>
      <c r="K1339" s="56">
        <v>5.0</v>
      </c>
      <c r="L1339" s="57">
        <v>2000.0</v>
      </c>
      <c r="M1339" s="58">
        <v>98.0</v>
      </c>
      <c r="N1339" s="33">
        <f t="shared" si="155"/>
        <v>2500</v>
      </c>
      <c r="O1339" s="59">
        <v>-1141.0</v>
      </c>
      <c r="P1339" s="34">
        <f t="shared" si="14"/>
        <v>-228.2</v>
      </c>
      <c r="Q1339" s="60"/>
      <c r="R1339" s="36">
        <f t="shared" si="196"/>
        <v>98</v>
      </c>
      <c r="S1339" s="61">
        <v>-1203.0</v>
      </c>
      <c r="T1339" s="37">
        <f t="shared" si="197"/>
        <v>-1105</v>
      </c>
      <c r="U1339" s="62"/>
      <c r="V1339" s="63"/>
      <c r="W1339" s="63"/>
      <c r="X1339" s="35">
        <f t="shared" si="201"/>
        <v>0.1</v>
      </c>
      <c r="Y1339" s="35">
        <f t="shared" si="202"/>
        <v>0</v>
      </c>
      <c r="Z1339" s="40">
        <f t="shared" si="198"/>
        <v>-994.5</v>
      </c>
      <c r="AA1339" s="34">
        <f t="shared" si="199"/>
        <v>-110.5</v>
      </c>
      <c r="AB1339" s="41">
        <f t="shared" si="200"/>
        <v>0</v>
      </c>
      <c r="AC1339" s="42" t="b">
        <v>1</v>
      </c>
      <c r="AD1339" s="42" t="s">
        <v>138</v>
      </c>
      <c r="AE1339" s="42" t="s">
        <v>138</v>
      </c>
      <c r="AF1339" s="42" t="str">
        <f t="array" ref="AF1339">INDEX('Deal Info'!D:D, MATCH(A1339,'Deal Info'!A:A, 0))</f>
        <v>Fix10</v>
      </c>
      <c r="AG1339" s="43" t="str">
        <f t="array" ref="AG1339">INDEX('Deal Info'!G:G, MATCH(A1339,'Deal Info'!A:A, 0))</f>
        <v>None</v>
      </c>
    </row>
    <row r="1340" hidden="1">
      <c r="A1340" s="23" t="str">
        <f t="array" ref="A1340">if(G1340='Room Info'!$B$1, INDEX('Room Info'!$A$2:$A3446, MATCH(B1340,'Room Info'!$B$2:$B3446, 0)),if(G1340='Room Info'!$C$1, INDEX('Room Info'!$A$2:$A3446, MATCH(B1340,'Room Info'!$C$2:$C3446, 0)),if(G1340='Room Info'!$D$1, INDEX('Room Info'!$A$2:$A3446, MATCH(B1340,'Room Info'!$D$2:$D3446, 0)),if(G1340='Room Info'!$E$1, INDEX('Room Info'!$A$2:$A3446, MATCH(B1340,'Room Info'!$E$2:$E3446, 0)),if(G1340='Room Info'!$F$1, INDEX('Room Info'!$A$2:$A3446, MATCH(B1340,'Room Info'!$F$2:$F3446, 0)),if(G1340='Room Info'!$H$1, INDEX('Room Info'!$A$2:$A3446, MATCH(B1340,'Room Info'!$H$2:$H3446, 0)),if(G1340='Room Info'!$G$1, INDEX('Room Info'!$A$2:$A3446, MATCH(B1340,'Room Info'!$G$2:$G3446, 0)))))))))</f>
        <v>volkovsky</v>
      </c>
      <c r="B1340" s="50" t="s">
        <v>216</v>
      </c>
      <c r="C1340" s="51">
        <v>44763.0</v>
      </c>
      <c r="D1340" s="51">
        <v>44793.0</v>
      </c>
      <c r="E1340" s="52">
        <v>44774.0</v>
      </c>
      <c r="F1340" s="53" t="s">
        <v>4</v>
      </c>
      <c r="G1340" s="59" t="s">
        <v>5</v>
      </c>
      <c r="H1340" s="54" t="s">
        <v>35</v>
      </c>
      <c r="I1340" s="54" t="s">
        <v>7</v>
      </c>
      <c r="J1340" s="55">
        <v>5.0</v>
      </c>
      <c r="K1340" s="56">
        <v>1.0</v>
      </c>
      <c r="L1340" s="57">
        <v>-5.0</v>
      </c>
      <c r="M1340" s="67"/>
      <c r="N1340" s="33">
        <f t="shared" si="155"/>
        <v>5</v>
      </c>
      <c r="O1340" s="59">
        <v>-62.0</v>
      </c>
      <c r="P1340" s="34">
        <f t="shared" si="14"/>
        <v>-62</v>
      </c>
      <c r="Q1340" s="60"/>
      <c r="R1340" s="36">
        <f t="shared" si="196"/>
        <v>0</v>
      </c>
      <c r="S1340" s="61">
        <v>-1.0</v>
      </c>
      <c r="T1340" s="37">
        <f t="shared" si="197"/>
        <v>-1</v>
      </c>
      <c r="U1340" s="62"/>
      <c r="V1340" s="63"/>
      <c r="W1340" s="63"/>
      <c r="X1340" s="35">
        <f t="shared" si="201"/>
        <v>0.1</v>
      </c>
      <c r="Y1340" s="35">
        <f t="shared" si="202"/>
        <v>0</v>
      </c>
      <c r="Z1340" s="40">
        <f t="shared" si="198"/>
        <v>-0.9</v>
      </c>
      <c r="AA1340" s="34">
        <f t="shared" si="199"/>
        <v>-0.1</v>
      </c>
      <c r="AB1340" s="41">
        <f t="shared" si="200"/>
        <v>0</v>
      </c>
      <c r="AC1340" s="42" t="b">
        <v>1</v>
      </c>
      <c r="AD1340" s="42" t="s">
        <v>138</v>
      </c>
      <c r="AE1340" s="42" t="s">
        <v>138</v>
      </c>
      <c r="AF1340" s="42" t="str">
        <f t="array" ref="AF1340">INDEX('Deal Info'!D:D, MATCH(A1340,'Deal Info'!A:A, 0))</f>
        <v>Fix10</v>
      </c>
      <c r="AG1340" s="43" t="str">
        <f t="array" ref="AG1340">INDEX('Deal Info'!G:G, MATCH(A1340,'Deal Info'!A:A, 0))</f>
        <v>None</v>
      </c>
    </row>
    <row r="1341" hidden="1">
      <c r="A1341" s="23" t="str">
        <f t="array" ref="A1341">if(G1341='Room Info'!$B$1, INDEX('Room Info'!$A$2:$A3446, MATCH(B1341,'Room Info'!$B$2:$B3446, 0)),if(G1341='Room Info'!$C$1, INDEX('Room Info'!$A$2:$A3446, MATCH(B1341,'Room Info'!$C$2:$C3446, 0)),if(G1341='Room Info'!$D$1, INDEX('Room Info'!$A$2:$A3446, MATCH(B1341,'Room Info'!$D$2:$D3446, 0)),if(G1341='Room Info'!$E$1, INDEX('Room Info'!$A$2:$A3446, MATCH(B1341,'Room Info'!$E$2:$E3446, 0)),if(G1341='Room Info'!$F$1, INDEX('Room Info'!$A$2:$A3446, MATCH(B1341,'Room Info'!$F$2:$F3446, 0)),if(G1341='Room Info'!$H$1, INDEX('Room Info'!$A$2:$A3446, MATCH(B1341,'Room Info'!$H$2:$H3446, 0)),if(G1341='Room Info'!$G$1, INDEX('Room Info'!$A$2:$A3446, MATCH(B1341,'Room Info'!$G$2:$G3446, 0)))))))))</f>
        <v>volkovsky</v>
      </c>
      <c r="B1341" s="50" t="s">
        <v>216</v>
      </c>
      <c r="C1341" s="51">
        <v>44763.0</v>
      </c>
      <c r="D1341" s="51">
        <v>44793.0</v>
      </c>
      <c r="E1341" s="52">
        <v>44774.0</v>
      </c>
      <c r="F1341" s="50" t="s">
        <v>4</v>
      </c>
      <c r="G1341" s="50" t="s">
        <v>5</v>
      </c>
      <c r="H1341" s="54" t="s">
        <v>85</v>
      </c>
      <c r="I1341" s="54" t="s">
        <v>7</v>
      </c>
      <c r="J1341" s="55">
        <v>100.0</v>
      </c>
      <c r="K1341" s="56">
        <v>871.0</v>
      </c>
      <c r="L1341" s="57">
        <v>-4900.0</v>
      </c>
      <c r="M1341" s="58">
        <v>3290.0</v>
      </c>
      <c r="N1341" s="33">
        <f t="shared" si="155"/>
        <v>87100</v>
      </c>
      <c r="O1341" s="59">
        <v>12674.0</v>
      </c>
      <c r="P1341" s="34">
        <f t="shared" si="14"/>
        <v>14.5510907</v>
      </c>
      <c r="Q1341" s="60"/>
      <c r="R1341" s="36">
        <f t="shared" si="196"/>
        <v>3290</v>
      </c>
      <c r="S1341" s="61">
        <v>-2256.0</v>
      </c>
      <c r="T1341" s="37">
        <f t="shared" si="197"/>
        <v>1034</v>
      </c>
      <c r="U1341" s="62"/>
      <c r="V1341" s="63"/>
      <c r="W1341" s="63"/>
      <c r="X1341" s="35">
        <f t="shared" si="201"/>
        <v>0.1</v>
      </c>
      <c r="Y1341" s="35">
        <f t="shared" si="202"/>
        <v>0</v>
      </c>
      <c r="Z1341" s="40">
        <f t="shared" si="198"/>
        <v>930.6</v>
      </c>
      <c r="AA1341" s="34">
        <f t="shared" si="199"/>
        <v>103.4</v>
      </c>
      <c r="AB1341" s="41">
        <f t="shared" si="200"/>
        <v>0</v>
      </c>
      <c r="AC1341" s="42" t="b">
        <v>1</v>
      </c>
      <c r="AD1341" s="42" t="s">
        <v>138</v>
      </c>
      <c r="AE1341" s="42" t="s">
        <v>138</v>
      </c>
      <c r="AF1341" s="42" t="str">
        <f t="array" ref="AF1341">INDEX('Deal Info'!D:D, MATCH(A1341,'Deal Info'!A:A, 0))</f>
        <v>Fix10</v>
      </c>
      <c r="AG1341" s="43" t="str">
        <f t="array" ref="AG1341">INDEX('Deal Info'!G:G, MATCH(A1341,'Deal Info'!A:A, 0))</f>
        <v>None</v>
      </c>
    </row>
    <row r="1342" hidden="1">
      <c r="A1342" s="23" t="str">
        <f t="array" ref="A1342">if(G1342='Room Info'!$B$1, INDEX('Room Info'!$A$2:$A3446, MATCH(B1342,'Room Info'!$B$2:$B3446, 0)),if(G1342='Room Info'!$C$1, INDEX('Room Info'!$A$2:$A3446, MATCH(B1342,'Room Info'!$C$2:$C3446, 0)),if(G1342='Room Info'!$D$1, INDEX('Room Info'!$A$2:$A3446, MATCH(B1342,'Room Info'!$D$2:$D3446, 0)),if(G1342='Room Info'!$E$1, INDEX('Room Info'!$A$2:$A3446, MATCH(B1342,'Room Info'!$E$2:$E3446, 0)),if(G1342='Room Info'!$F$1, INDEX('Room Info'!$A$2:$A3446, MATCH(B1342,'Room Info'!$F$2:$F3446, 0)),if(G1342='Room Info'!$H$1, INDEX('Room Info'!$A$2:$A3446, MATCH(B1342,'Room Info'!$H$2:$H3446, 0)),if(G1342='Room Info'!$G$1, INDEX('Room Info'!$A$2:$A3446, MATCH(B1342,'Room Info'!$G$2:$G3446, 0)))))))))</f>
        <v>volkovsky</v>
      </c>
      <c r="B1342" s="50" t="s">
        <v>216</v>
      </c>
      <c r="C1342" s="51">
        <v>44763.0</v>
      </c>
      <c r="D1342" s="51">
        <v>44793.0</v>
      </c>
      <c r="E1342" s="52">
        <v>44774.0</v>
      </c>
      <c r="F1342" s="50" t="s">
        <v>4</v>
      </c>
      <c r="G1342" s="50" t="s">
        <v>5</v>
      </c>
      <c r="H1342" s="54" t="s">
        <v>86</v>
      </c>
      <c r="I1342" s="54" t="s">
        <v>11</v>
      </c>
      <c r="J1342" s="55">
        <v>100.0</v>
      </c>
      <c r="K1342" s="56">
        <v>681.0</v>
      </c>
      <c r="L1342" s="57">
        <v>-3200.0</v>
      </c>
      <c r="M1342" s="58">
        <v>2572.0</v>
      </c>
      <c r="N1342" s="33">
        <f t="shared" si="155"/>
        <v>68100</v>
      </c>
      <c r="O1342" s="59">
        <v>1732.0</v>
      </c>
      <c r="P1342" s="34">
        <f t="shared" si="14"/>
        <v>2.543318649</v>
      </c>
      <c r="Q1342" s="60"/>
      <c r="R1342" s="36">
        <f t="shared" si="196"/>
        <v>2572</v>
      </c>
      <c r="S1342" s="61">
        <v>-3080.0</v>
      </c>
      <c r="T1342" s="37">
        <f t="shared" si="197"/>
        <v>-508</v>
      </c>
      <c r="U1342" s="62"/>
      <c r="V1342" s="63"/>
      <c r="W1342" s="63"/>
      <c r="X1342" s="35">
        <f t="shared" si="201"/>
        <v>0.1</v>
      </c>
      <c r="Y1342" s="35">
        <f t="shared" si="202"/>
        <v>0</v>
      </c>
      <c r="Z1342" s="40">
        <f t="shared" si="198"/>
        <v>-457.2</v>
      </c>
      <c r="AA1342" s="34">
        <f t="shared" si="199"/>
        <v>-50.8</v>
      </c>
      <c r="AB1342" s="41">
        <f t="shared" si="200"/>
        <v>0</v>
      </c>
      <c r="AC1342" s="42" t="b">
        <v>1</v>
      </c>
      <c r="AD1342" s="42" t="s">
        <v>138</v>
      </c>
      <c r="AE1342" s="42" t="s">
        <v>138</v>
      </c>
      <c r="AF1342" s="42" t="str">
        <f t="array" ref="AF1342">INDEX('Deal Info'!D:D, MATCH(A1342,'Deal Info'!A:A, 0))</f>
        <v>Fix10</v>
      </c>
      <c r="AG1342" s="43" t="str">
        <f t="array" ref="AG1342">INDEX('Deal Info'!G:G, MATCH(A1342,'Deal Info'!A:A, 0))</f>
        <v>None</v>
      </c>
    </row>
    <row r="1343" hidden="1">
      <c r="A1343" s="23" t="str">
        <f t="array" ref="A1343">if(G1343='Room Info'!$B$1, INDEX('Room Info'!$A$2:$A3446, MATCH(B1343,'Room Info'!$B$2:$B3446, 0)),if(G1343='Room Info'!$C$1, INDEX('Room Info'!$A$2:$A3446, MATCH(B1343,'Room Info'!$C$2:$C3446, 0)),if(G1343='Room Info'!$D$1, INDEX('Room Info'!$A$2:$A3446, MATCH(B1343,'Room Info'!$D$2:$D3446, 0)),if(G1343='Room Info'!$E$1, INDEX('Room Info'!$A$2:$A3446, MATCH(B1343,'Room Info'!$E$2:$E3446, 0)),if(G1343='Room Info'!$F$1, INDEX('Room Info'!$A$2:$A3446, MATCH(B1343,'Room Info'!$F$2:$F3446, 0)),if(G1343='Room Info'!$H$1, INDEX('Room Info'!$A$2:$A3446, MATCH(B1343,'Room Info'!$H$2:$H3446, 0)),if(G1343='Room Info'!$G$1, INDEX('Room Info'!$A$2:$A3446, MATCH(B1343,'Room Info'!$G$2:$G3446, 0)))))))))</f>
        <v>volkovsky</v>
      </c>
      <c r="B1343" s="50" t="s">
        <v>216</v>
      </c>
      <c r="C1343" s="51">
        <v>44763.0</v>
      </c>
      <c r="D1343" s="51">
        <v>44793.0</v>
      </c>
      <c r="E1343" s="52">
        <v>44774.0</v>
      </c>
      <c r="F1343" s="50" t="s">
        <v>4</v>
      </c>
      <c r="G1343" s="50" t="s">
        <v>5</v>
      </c>
      <c r="H1343" s="54" t="s">
        <v>96</v>
      </c>
      <c r="I1343" s="54" t="s">
        <v>7</v>
      </c>
      <c r="J1343" s="55">
        <v>250.0</v>
      </c>
      <c r="K1343" s="56">
        <v>832.0</v>
      </c>
      <c r="L1343" s="57">
        <v>2750.0</v>
      </c>
      <c r="M1343" s="58">
        <v>7855.0</v>
      </c>
      <c r="N1343" s="33">
        <f t="shared" si="155"/>
        <v>208000</v>
      </c>
      <c r="O1343" s="59">
        <v>32704.0</v>
      </c>
      <c r="P1343" s="34">
        <f t="shared" si="14"/>
        <v>39.30769231</v>
      </c>
      <c r="Q1343" s="60"/>
      <c r="R1343" s="36">
        <f t="shared" si="196"/>
        <v>7855</v>
      </c>
      <c r="S1343" s="61">
        <v>4803.0</v>
      </c>
      <c r="T1343" s="37">
        <f t="shared" si="197"/>
        <v>12658</v>
      </c>
      <c r="U1343" s="62"/>
      <c r="V1343" s="63"/>
      <c r="W1343" s="63"/>
      <c r="X1343" s="35">
        <f t="shared" si="201"/>
        <v>0.1</v>
      </c>
      <c r="Y1343" s="35">
        <f t="shared" si="202"/>
        <v>0</v>
      </c>
      <c r="Z1343" s="40">
        <f t="shared" si="198"/>
        <v>11392.2</v>
      </c>
      <c r="AA1343" s="34">
        <f t="shared" si="199"/>
        <v>1265.8</v>
      </c>
      <c r="AB1343" s="41">
        <f t="shared" si="200"/>
        <v>0</v>
      </c>
      <c r="AC1343" s="42" t="b">
        <v>1</v>
      </c>
      <c r="AD1343" s="42" t="s">
        <v>138</v>
      </c>
      <c r="AE1343" s="42" t="s">
        <v>138</v>
      </c>
      <c r="AF1343" s="42" t="str">
        <f t="array" ref="AF1343">INDEX('Deal Info'!D:D, MATCH(A1343,'Deal Info'!A:A, 0))</f>
        <v>Fix10</v>
      </c>
      <c r="AG1343" s="43" t="str">
        <f t="array" ref="AG1343">INDEX('Deal Info'!G:G, MATCH(A1343,'Deal Info'!A:A, 0))</f>
        <v>None</v>
      </c>
    </row>
    <row r="1344" hidden="1">
      <c r="A1344" s="23" t="str">
        <f t="array" ref="A1344">if(G1344='Room Info'!$B$1, INDEX('Room Info'!$A$2:$A3446, MATCH(B1344,'Room Info'!$B$2:$B3446, 0)),if(G1344='Room Info'!$C$1, INDEX('Room Info'!$A$2:$A3446, MATCH(B1344,'Room Info'!$C$2:$C3446, 0)),if(G1344='Room Info'!$D$1, INDEX('Room Info'!$A$2:$A3446, MATCH(B1344,'Room Info'!$D$2:$D3446, 0)),if(G1344='Room Info'!$E$1, INDEX('Room Info'!$A$2:$A3446, MATCH(B1344,'Room Info'!$E$2:$E3446, 0)),if(G1344='Room Info'!$F$1, INDEX('Room Info'!$A$2:$A3446, MATCH(B1344,'Room Info'!$F$2:$F3446, 0)),if(G1344='Room Info'!$H$1, INDEX('Room Info'!$A$2:$A3446, MATCH(B1344,'Room Info'!$H$2:$H3446, 0)),if(G1344='Room Info'!$G$1, INDEX('Room Info'!$A$2:$A3446, MATCH(B1344,'Room Info'!$G$2:$G3446, 0)))))))))</f>
        <v>volkovsky</v>
      </c>
      <c r="B1344" s="50" t="s">
        <v>216</v>
      </c>
      <c r="C1344" s="51">
        <v>44763.0</v>
      </c>
      <c r="D1344" s="51">
        <v>44793.0</v>
      </c>
      <c r="E1344" s="52">
        <v>44774.0</v>
      </c>
      <c r="F1344" s="50" t="s">
        <v>4</v>
      </c>
      <c r="G1344" s="50" t="s">
        <v>5</v>
      </c>
      <c r="H1344" s="54" t="s">
        <v>97</v>
      </c>
      <c r="I1344" s="54" t="s">
        <v>11</v>
      </c>
      <c r="J1344" s="55">
        <v>250.0</v>
      </c>
      <c r="K1344" s="56">
        <v>380.0</v>
      </c>
      <c r="L1344" s="57">
        <v>-8500.0</v>
      </c>
      <c r="M1344" s="58">
        <v>3588.0</v>
      </c>
      <c r="N1344" s="33">
        <f t="shared" si="155"/>
        <v>95000</v>
      </c>
      <c r="O1344" s="59">
        <v>-3148.0</v>
      </c>
      <c r="P1344" s="34">
        <f t="shared" si="14"/>
        <v>-8.284210526</v>
      </c>
      <c r="Q1344" s="60"/>
      <c r="R1344" s="36">
        <f t="shared" si="196"/>
        <v>3588</v>
      </c>
      <c r="S1344" s="61">
        <v>-7288.0</v>
      </c>
      <c r="T1344" s="37">
        <f t="shared" si="197"/>
        <v>-3700</v>
      </c>
      <c r="U1344" s="62"/>
      <c r="V1344" s="63"/>
      <c r="W1344" s="63"/>
      <c r="X1344" s="35">
        <f t="shared" si="201"/>
        <v>0.1</v>
      </c>
      <c r="Y1344" s="35">
        <f t="shared" si="202"/>
        <v>0</v>
      </c>
      <c r="Z1344" s="40">
        <f t="shared" si="198"/>
        <v>-3330</v>
      </c>
      <c r="AA1344" s="34">
        <f t="shared" si="199"/>
        <v>-370</v>
      </c>
      <c r="AB1344" s="41">
        <f t="shared" si="200"/>
        <v>0</v>
      </c>
      <c r="AC1344" s="42" t="b">
        <v>1</v>
      </c>
      <c r="AD1344" s="42" t="s">
        <v>138</v>
      </c>
      <c r="AE1344" s="42" t="s">
        <v>138</v>
      </c>
      <c r="AF1344" s="42" t="str">
        <f t="array" ref="AF1344">INDEX('Deal Info'!D:D, MATCH(A1344,'Deal Info'!A:A, 0))</f>
        <v>Fix10</v>
      </c>
      <c r="AG1344" s="43" t="str">
        <f t="array" ref="AG1344">INDEX('Deal Info'!G:G, MATCH(A1344,'Deal Info'!A:A, 0))</f>
        <v>None</v>
      </c>
    </row>
    <row r="1345" hidden="1">
      <c r="A1345" s="23" t="str">
        <f t="array" ref="A1345">if(G1345='Room Info'!$B$1, INDEX('Room Info'!$A$2:$A3446, MATCH(B1345,'Room Info'!$B$2:$B3446, 0)),if(G1345='Room Info'!$C$1, INDEX('Room Info'!$A$2:$A3446, MATCH(B1345,'Room Info'!$C$2:$C3446, 0)),if(G1345='Room Info'!$D$1, INDEX('Room Info'!$A$2:$A3446, MATCH(B1345,'Room Info'!$D$2:$D3446, 0)),if(G1345='Room Info'!$E$1, INDEX('Room Info'!$A$2:$A3446, MATCH(B1345,'Room Info'!$E$2:$E3446, 0)),if(G1345='Room Info'!$F$1, INDEX('Room Info'!$A$2:$A3446, MATCH(B1345,'Room Info'!$F$2:$F3446, 0)),if(G1345='Room Info'!$H$1, INDEX('Room Info'!$A$2:$A3446, MATCH(B1345,'Room Info'!$H$2:$H3446, 0)),if(G1345='Room Info'!$G$1, INDEX('Room Info'!$A$2:$A3446, MATCH(B1345,'Room Info'!$G$2:$G3446, 0)))))))))</f>
        <v>volkovsky</v>
      </c>
      <c r="B1345" s="50" t="s">
        <v>216</v>
      </c>
      <c r="C1345" s="82">
        <v>44794.0</v>
      </c>
      <c r="D1345" s="82">
        <v>44824.0</v>
      </c>
      <c r="E1345" s="52">
        <v>44805.0</v>
      </c>
      <c r="F1345" s="53" t="s">
        <v>4</v>
      </c>
      <c r="G1345" s="50" t="s">
        <v>5</v>
      </c>
      <c r="H1345" s="96" t="s">
        <v>85</v>
      </c>
      <c r="I1345" s="54" t="s">
        <v>7</v>
      </c>
      <c r="J1345" s="79">
        <v>100.0</v>
      </c>
      <c r="K1345" s="80">
        <v>579.0</v>
      </c>
      <c r="L1345" s="77">
        <v>-3700.0</v>
      </c>
      <c r="M1345" s="81">
        <v>2303.0</v>
      </c>
      <c r="N1345" s="33">
        <f t="shared" si="155"/>
        <v>57900</v>
      </c>
      <c r="O1345" s="50">
        <v>25285.0</v>
      </c>
      <c r="P1345" s="34">
        <f t="shared" si="14"/>
        <v>43.6701209</v>
      </c>
      <c r="Q1345" s="60"/>
      <c r="R1345" s="36">
        <f t="shared" si="196"/>
        <v>2303</v>
      </c>
      <c r="S1345" s="78">
        <v>1579.0</v>
      </c>
      <c r="T1345" s="37">
        <f t="shared" si="197"/>
        <v>3882</v>
      </c>
      <c r="U1345" s="62"/>
      <c r="V1345" s="63"/>
      <c r="W1345" s="63"/>
      <c r="X1345" s="35">
        <f t="shared" si="201"/>
        <v>0.1</v>
      </c>
      <c r="Y1345" s="35">
        <f t="shared" si="202"/>
        <v>0</v>
      </c>
      <c r="Z1345" s="40">
        <f t="shared" si="198"/>
        <v>3493.8</v>
      </c>
      <c r="AA1345" s="34">
        <f t="shared" si="199"/>
        <v>388.2</v>
      </c>
      <c r="AB1345" s="41">
        <f t="shared" si="200"/>
        <v>0</v>
      </c>
      <c r="AC1345" s="42" t="b">
        <v>1</v>
      </c>
      <c r="AD1345" s="42" t="s">
        <v>138</v>
      </c>
      <c r="AE1345" s="42" t="s">
        <v>138</v>
      </c>
      <c r="AF1345" s="42" t="str">
        <f t="array" ref="AF1345">INDEX('Deal Info'!D:D, MATCH(A1345,'Deal Info'!A:A, 0))</f>
        <v>Fix10</v>
      </c>
      <c r="AG1345" s="43" t="str">
        <f t="array" ref="AG1345">INDEX('Deal Info'!G:G, MATCH(A1345,'Deal Info'!A:A, 0))</f>
        <v>None</v>
      </c>
    </row>
    <row r="1346" hidden="1">
      <c r="A1346" s="23" t="str">
        <f t="array" ref="A1346">if(G1346='Room Info'!$B$1, INDEX('Room Info'!$A$2:$A3446, MATCH(B1346,'Room Info'!$B$2:$B3446, 0)),if(G1346='Room Info'!$C$1, INDEX('Room Info'!$A$2:$A3446, MATCH(B1346,'Room Info'!$C$2:$C3446, 0)),if(G1346='Room Info'!$D$1, INDEX('Room Info'!$A$2:$A3446, MATCH(B1346,'Room Info'!$D$2:$D3446, 0)),if(G1346='Room Info'!$E$1, INDEX('Room Info'!$A$2:$A3446, MATCH(B1346,'Room Info'!$E$2:$E3446, 0)),if(G1346='Room Info'!$F$1, INDEX('Room Info'!$A$2:$A3446, MATCH(B1346,'Room Info'!$F$2:$F3446, 0)),if(G1346='Room Info'!$H$1, INDEX('Room Info'!$A$2:$A3446, MATCH(B1346,'Room Info'!$H$2:$H3446, 0)),if(G1346='Room Info'!$G$1, INDEX('Room Info'!$A$2:$A3446, MATCH(B1346,'Room Info'!$G$2:$G3446, 0)))))))))</f>
        <v>volkovsky</v>
      </c>
      <c r="B1346" s="50" t="s">
        <v>216</v>
      </c>
      <c r="C1346" s="82">
        <v>44794.0</v>
      </c>
      <c r="D1346" s="82">
        <v>44824.0</v>
      </c>
      <c r="E1346" s="52">
        <v>44805.0</v>
      </c>
      <c r="F1346" s="53" t="s">
        <v>4</v>
      </c>
      <c r="G1346" s="50" t="s">
        <v>5</v>
      </c>
      <c r="H1346" s="96" t="s">
        <v>86</v>
      </c>
      <c r="I1346" s="54" t="s">
        <v>11</v>
      </c>
      <c r="J1346" s="79">
        <v>100.0</v>
      </c>
      <c r="K1346" s="80">
        <v>287.0</v>
      </c>
      <c r="L1346" s="77">
        <v>-4300.0</v>
      </c>
      <c r="M1346" s="81">
        <v>1142.0</v>
      </c>
      <c r="N1346" s="33">
        <f t="shared" si="155"/>
        <v>28700</v>
      </c>
      <c r="O1346" s="50">
        <v>-6661.0</v>
      </c>
      <c r="P1346" s="34">
        <f t="shared" si="14"/>
        <v>-23.20905923</v>
      </c>
      <c r="Q1346" s="60"/>
      <c r="R1346" s="36">
        <f t="shared" si="196"/>
        <v>1142</v>
      </c>
      <c r="S1346" s="78">
        <v>-3647.0</v>
      </c>
      <c r="T1346" s="37">
        <f t="shared" si="197"/>
        <v>-2505</v>
      </c>
      <c r="U1346" s="62"/>
      <c r="V1346" s="63"/>
      <c r="W1346" s="63"/>
      <c r="X1346" s="35">
        <f t="shared" si="201"/>
        <v>0.1</v>
      </c>
      <c r="Y1346" s="35">
        <f t="shared" si="202"/>
        <v>0</v>
      </c>
      <c r="Z1346" s="40">
        <f t="shared" si="198"/>
        <v>-2254.5</v>
      </c>
      <c r="AA1346" s="34">
        <f t="shared" si="199"/>
        <v>-250.5</v>
      </c>
      <c r="AB1346" s="41">
        <f t="shared" si="200"/>
        <v>0</v>
      </c>
      <c r="AC1346" s="42" t="b">
        <v>1</v>
      </c>
      <c r="AD1346" s="42" t="s">
        <v>138</v>
      </c>
      <c r="AE1346" s="42" t="s">
        <v>138</v>
      </c>
      <c r="AF1346" s="42" t="str">
        <f t="array" ref="AF1346">INDEX('Deal Info'!D:D, MATCH(A1346,'Deal Info'!A:A, 0))</f>
        <v>Fix10</v>
      </c>
      <c r="AG1346" s="43" t="str">
        <f t="array" ref="AG1346">INDEX('Deal Info'!G:G, MATCH(A1346,'Deal Info'!A:A, 0))</f>
        <v>None</v>
      </c>
    </row>
    <row r="1347" hidden="1">
      <c r="A1347" s="23" t="str">
        <f t="array" ref="A1347">if(G1347='Room Info'!$B$1, INDEX('Room Info'!$A$2:$A3446, MATCH(B1347,'Room Info'!$B$2:$B3446, 0)),if(G1347='Room Info'!$C$1, INDEX('Room Info'!$A$2:$A3446, MATCH(B1347,'Room Info'!$C$2:$C3446, 0)),if(G1347='Room Info'!$D$1, INDEX('Room Info'!$A$2:$A3446, MATCH(B1347,'Room Info'!$D$2:$D3446, 0)),if(G1347='Room Info'!$E$1, INDEX('Room Info'!$A$2:$A3446, MATCH(B1347,'Room Info'!$E$2:$E3446, 0)),if(G1347='Room Info'!$F$1, INDEX('Room Info'!$A$2:$A3446, MATCH(B1347,'Room Info'!$F$2:$F3446, 0)),if(G1347='Room Info'!$H$1, INDEX('Room Info'!$A$2:$A3446, MATCH(B1347,'Room Info'!$H$2:$H3446, 0)),if(G1347='Room Info'!$G$1, INDEX('Room Info'!$A$2:$A3446, MATCH(B1347,'Room Info'!$G$2:$G3446, 0)))))))))</f>
        <v>volkovsky</v>
      </c>
      <c r="B1347" s="50" t="s">
        <v>216</v>
      </c>
      <c r="C1347" s="82">
        <v>44794.0</v>
      </c>
      <c r="D1347" s="82">
        <v>44824.0</v>
      </c>
      <c r="E1347" s="52">
        <v>44805.0</v>
      </c>
      <c r="F1347" s="53" t="s">
        <v>4</v>
      </c>
      <c r="G1347" s="50" t="s">
        <v>5</v>
      </c>
      <c r="H1347" s="96" t="s">
        <v>96</v>
      </c>
      <c r="I1347" s="54" t="s">
        <v>7</v>
      </c>
      <c r="J1347" s="79">
        <v>250.0</v>
      </c>
      <c r="K1347" s="80">
        <v>667.0</v>
      </c>
      <c r="L1347" s="77">
        <v>-13000.0</v>
      </c>
      <c r="M1347" s="81">
        <v>6635.0</v>
      </c>
      <c r="N1347" s="33">
        <f t="shared" si="155"/>
        <v>166750</v>
      </c>
      <c r="O1347" s="50">
        <v>-11651.0</v>
      </c>
      <c r="P1347" s="34">
        <f t="shared" si="14"/>
        <v>-17.46776612</v>
      </c>
      <c r="Q1347" s="60"/>
      <c r="R1347" s="36">
        <f t="shared" si="196"/>
        <v>6635</v>
      </c>
      <c r="S1347" s="78">
        <v>-14174.0</v>
      </c>
      <c r="T1347" s="37">
        <f t="shared" si="197"/>
        <v>-7539</v>
      </c>
      <c r="U1347" s="62"/>
      <c r="V1347" s="63"/>
      <c r="W1347" s="63"/>
      <c r="X1347" s="35">
        <f t="shared" si="201"/>
        <v>0.1</v>
      </c>
      <c r="Y1347" s="35">
        <f t="shared" si="202"/>
        <v>0</v>
      </c>
      <c r="Z1347" s="40">
        <f t="shared" si="198"/>
        <v>-6785.1</v>
      </c>
      <c r="AA1347" s="34">
        <f t="shared" si="199"/>
        <v>-753.9</v>
      </c>
      <c r="AB1347" s="41">
        <f t="shared" si="200"/>
        <v>0</v>
      </c>
      <c r="AC1347" s="42" t="b">
        <v>1</v>
      </c>
      <c r="AD1347" s="42" t="s">
        <v>138</v>
      </c>
      <c r="AE1347" s="42" t="s">
        <v>138</v>
      </c>
      <c r="AF1347" s="42" t="str">
        <f t="array" ref="AF1347">INDEX('Deal Info'!D:D, MATCH(A1347,'Deal Info'!A:A, 0))</f>
        <v>Fix10</v>
      </c>
      <c r="AG1347" s="43" t="str">
        <f t="array" ref="AG1347">INDEX('Deal Info'!G:G, MATCH(A1347,'Deal Info'!A:A, 0))</f>
        <v>None</v>
      </c>
    </row>
    <row r="1348" hidden="1">
      <c r="A1348" s="23" t="str">
        <f t="array" ref="A1348">if(G1348='Room Info'!$B$1, INDEX('Room Info'!$A$2:$A3446, MATCH(B1348,'Room Info'!$B$2:$B3446, 0)),if(G1348='Room Info'!$C$1, INDEX('Room Info'!$A$2:$A3446, MATCH(B1348,'Room Info'!$C$2:$C3446, 0)),if(G1348='Room Info'!$D$1, INDEX('Room Info'!$A$2:$A3446, MATCH(B1348,'Room Info'!$D$2:$D3446, 0)),if(G1348='Room Info'!$E$1, INDEX('Room Info'!$A$2:$A3446, MATCH(B1348,'Room Info'!$E$2:$E3446, 0)),if(G1348='Room Info'!$F$1, INDEX('Room Info'!$A$2:$A3446, MATCH(B1348,'Room Info'!$F$2:$F3446, 0)),if(G1348='Room Info'!$H$1, INDEX('Room Info'!$A$2:$A3446, MATCH(B1348,'Room Info'!$H$2:$H3446, 0)),if(G1348='Room Info'!$G$1, INDEX('Room Info'!$A$2:$A3446, MATCH(B1348,'Room Info'!$G$2:$G3446, 0)))))))))</f>
        <v>volkovsky</v>
      </c>
      <c r="B1348" s="50" t="s">
        <v>216</v>
      </c>
      <c r="C1348" s="82">
        <v>44794.0</v>
      </c>
      <c r="D1348" s="82">
        <v>44824.0</v>
      </c>
      <c r="E1348" s="52">
        <v>44805.0</v>
      </c>
      <c r="F1348" s="53" t="s">
        <v>4</v>
      </c>
      <c r="G1348" s="50" t="s">
        <v>5</v>
      </c>
      <c r="H1348" s="96" t="s">
        <v>97</v>
      </c>
      <c r="I1348" s="54" t="s">
        <v>11</v>
      </c>
      <c r="J1348" s="79">
        <v>250.0</v>
      </c>
      <c r="K1348" s="80">
        <v>203.0</v>
      </c>
      <c r="L1348" s="77">
        <v>4500.0</v>
      </c>
      <c r="M1348" s="81">
        <v>2019.0</v>
      </c>
      <c r="N1348" s="33">
        <f t="shared" si="155"/>
        <v>50750</v>
      </c>
      <c r="O1348" s="50">
        <v>5745.0</v>
      </c>
      <c r="P1348" s="34">
        <f t="shared" si="14"/>
        <v>28.30049261</v>
      </c>
      <c r="Q1348" s="60"/>
      <c r="R1348" s="36">
        <f t="shared" si="196"/>
        <v>2019</v>
      </c>
      <c r="S1348" s="78">
        <v>1850.0</v>
      </c>
      <c r="T1348" s="37">
        <f t="shared" si="197"/>
        <v>3869</v>
      </c>
      <c r="U1348" s="62"/>
      <c r="V1348" s="63"/>
      <c r="W1348" s="63"/>
      <c r="X1348" s="35">
        <f t="shared" si="201"/>
        <v>0.1</v>
      </c>
      <c r="Y1348" s="35">
        <f t="shared" si="202"/>
        <v>0</v>
      </c>
      <c r="Z1348" s="40">
        <f t="shared" si="198"/>
        <v>3482.1</v>
      </c>
      <c r="AA1348" s="34">
        <f t="shared" si="199"/>
        <v>386.9</v>
      </c>
      <c r="AB1348" s="41">
        <f t="shared" si="200"/>
        <v>0</v>
      </c>
      <c r="AC1348" s="42" t="b">
        <v>1</v>
      </c>
      <c r="AD1348" s="42" t="s">
        <v>138</v>
      </c>
      <c r="AE1348" s="42" t="s">
        <v>138</v>
      </c>
      <c r="AF1348" s="42" t="str">
        <f t="array" ref="AF1348">INDEX('Deal Info'!D:D, MATCH(A1348,'Deal Info'!A:A, 0))</f>
        <v>Fix10</v>
      </c>
      <c r="AG1348" s="43" t="str">
        <f t="array" ref="AG1348">INDEX('Deal Info'!G:G, MATCH(A1348,'Deal Info'!A:A, 0))</f>
        <v>None</v>
      </c>
    </row>
    <row r="1349" hidden="1">
      <c r="A1349" s="23" t="str">
        <f t="array" ref="A1349">if(G1349='Room Info'!$B$1, INDEX('Room Info'!$A$2:$A3446, MATCH(B1349,'Room Info'!$B$2:$B3446, 0)),if(G1349='Room Info'!$C$1, INDEX('Room Info'!$A$2:$A3446, MATCH(B1349,'Room Info'!$C$2:$C3446, 0)),if(G1349='Room Info'!$D$1, INDEX('Room Info'!$A$2:$A3446, MATCH(B1349,'Room Info'!$D$2:$D3446, 0)),if(G1349='Room Info'!$E$1, INDEX('Room Info'!$A$2:$A3446, MATCH(B1349,'Room Info'!$E$2:$E3446, 0)),if(G1349='Room Info'!$F$1, INDEX('Room Info'!$A$2:$A3446, MATCH(B1349,'Room Info'!$F$2:$F3446, 0)),if(G1349='Room Info'!$H$1, INDEX('Room Info'!$A$2:$A3446, MATCH(B1349,'Room Info'!$H$2:$H3446, 0)),if(G1349='Room Info'!$G$1, INDEX('Room Info'!$A$2:$A3446, MATCH(B1349,'Room Info'!$G$2:$G3446, 0)))))))))</f>
        <v>volkovsky</v>
      </c>
      <c r="B1349" s="50" t="s">
        <v>216</v>
      </c>
      <c r="C1349" s="51">
        <v>44825.0</v>
      </c>
      <c r="D1349" s="51">
        <v>44854.0</v>
      </c>
      <c r="E1349" s="52">
        <v>44835.0</v>
      </c>
      <c r="F1349" s="50" t="s">
        <v>4</v>
      </c>
      <c r="G1349" s="59" t="s">
        <v>5</v>
      </c>
      <c r="H1349" s="54" t="s">
        <v>85</v>
      </c>
      <c r="I1349" s="54" t="s">
        <v>7</v>
      </c>
      <c r="J1349" s="55">
        <v>100.0</v>
      </c>
      <c r="K1349" s="56">
        <v>156.0</v>
      </c>
      <c r="L1349" s="57">
        <v>600.0</v>
      </c>
      <c r="M1349" s="58">
        <v>1762.0</v>
      </c>
      <c r="N1349" s="33">
        <f t="shared" si="155"/>
        <v>15600</v>
      </c>
      <c r="O1349" s="59">
        <v>4648.0</v>
      </c>
      <c r="P1349" s="34">
        <f t="shared" si="14"/>
        <v>29.79487179</v>
      </c>
      <c r="Q1349" s="60"/>
      <c r="R1349" s="36">
        <f t="shared" si="196"/>
        <v>1762</v>
      </c>
      <c r="S1349" s="61">
        <v>-69.0</v>
      </c>
      <c r="T1349" s="37">
        <f t="shared" si="197"/>
        <v>1693</v>
      </c>
      <c r="U1349" s="62"/>
      <c r="V1349" s="63"/>
      <c r="W1349" s="63"/>
      <c r="X1349" s="35">
        <f t="shared" si="201"/>
        <v>0.1</v>
      </c>
      <c r="Y1349" s="35">
        <f t="shared" si="202"/>
        <v>0</v>
      </c>
      <c r="Z1349" s="40">
        <f t="shared" si="198"/>
        <v>1523.7</v>
      </c>
      <c r="AA1349" s="34">
        <f t="shared" si="199"/>
        <v>169.3</v>
      </c>
      <c r="AB1349" s="41">
        <f t="shared" si="200"/>
        <v>0</v>
      </c>
      <c r="AC1349" s="42" t="b">
        <v>1</v>
      </c>
      <c r="AD1349" s="42" t="s">
        <v>138</v>
      </c>
      <c r="AE1349" s="42" t="s">
        <v>138</v>
      </c>
      <c r="AF1349" s="42" t="str">
        <f t="array" ref="AF1349">INDEX('Deal Info'!D:D, MATCH(A1349,'Deal Info'!A:A, 0))</f>
        <v>Fix10</v>
      </c>
      <c r="AG1349" s="43" t="str">
        <f t="array" ref="AG1349">INDEX('Deal Info'!G:G, MATCH(A1349,'Deal Info'!A:A, 0))</f>
        <v>None</v>
      </c>
    </row>
    <row r="1350" hidden="1">
      <c r="A1350" s="23" t="str">
        <f t="array" ref="A1350">if(G1350='Room Info'!$B$1, INDEX('Room Info'!$A$2:$A3446, MATCH(B1350,'Room Info'!$B$2:$B3446, 0)),if(G1350='Room Info'!$C$1, INDEX('Room Info'!$A$2:$A3446, MATCH(B1350,'Room Info'!$C$2:$C3446, 0)),if(G1350='Room Info'!$D$1, INDEX('Room Info'!$A$2:$A3446, MATCH(B1350,'Room Info'!$D$2:$D3446, 0)),if(G1350='Room Info'!$E$1, INDEX('Room Info'!$A$2:$A3446, MATCH(B1350,'Room Info'!$E$2:$E3446, 0)),if(G1350='Room Info'!$F$1, INDEX('Room Info'!$A$2:$A3446, MATCH(B1350,'Room Info'!$F$2:$F3446, 0)),if(G1350='Room Info'!$H$1, INDEX('Room Info'!$A$2:$A3446, MATCH(B1350,'Room Info'!$H$2:$H3446, 0)),if(G1350='Room Info'!$G$1, INDEX('Room Info'!$A$2:$A3446, MATCH(B1350,'Room Info'!$G$2:$G3446, 0)))))))))</f>
        <v>volkovsky</v>
      </c>
      <c r="B1350" s="50" t="s">
        <v>216</v>
      </c>
      <c r="C1350" s="51">
        <v>44825.0</v>
      </c>
      <c r="D1350" s="51">
        <v>44854.0</v>
      </c>
      <c r="E1350" s="52">
        <v>44835.0</v>
      </c>
      <c r="F1350" s="50" t="s">
        <v>4</v>
      </c>
      <c r="G1350" s="59" t="s">
        <v>5</v>
      </c>
      <c r="H1350" s="54" t="s">
        <v>86</v>
      </c>
      <c r="I1350" s="54" t="s">
        <v>11</v>
      </c>
      <c r="J1350" s="55">
        <v>100.0</v>
      </c>
      <c r="K1350" s="56">
        <v>19.0</v>
      </c>
      <c r="L1350" s="57">
        <v>600.0</v>
      </c>
      <c r="M1350" s="58">
        <v>215.0</v>
      </c>
      <c r="N1350" s="33">
        <f t="shared" si="155"/>
        <v>1900</v>
      </c>
      <c r="O1350" s="59">
        <v>236.0</v>
      </c>
      <c r="P1350" s="34">
        <f t="shared" si="14"/>
        <v>12.42105263</v>
      </c>
      <c r="Q1350" s="60"/>
      <c r="R1350" s="36">
        <f t="shared" si="196"/>
        <v>215</v>
      </c>
      <c r="S1350" s="61">
        <v>-41.0</v>
      </c>
      <c r="T1350" s="37">
        <f t="shared" si="197"/>
        <v>174</v>
      </c>
      <c r="U1350" s="62"/>
      <c r="V1350" s="63"/>
      <c r="W1350" s="63"/>
      <c r="X1350" s="35">
        <f t="shared" si="201"/>
        <v>0.1</v>
      </c>
      <c r="Y1350" s="35">
        <f t="shared" si="202"/>
        <v>0</v>
      </c>
      <c r="Z1350" s="40">
        <f t="shared" si="198"/>
        <v>156.6</v>
      </c>
      <c r="AA1350" s="34">
        <f t="shared" si="199"/>
        <v>17.4</v>
      </c>
      <c r="AB1350" s="41">
        <f t="shared" si="200"/>
        <v>0</v>
      </c>
      <c r="AC1350" s="42" t="b">
        <v>1</v>
      </c>
      <c r="AD1350" s="42" t="s">
        <v>138</v>
      </c>
      <c r="AE1350" s="42" t="s">
        <v>138</v>
      </c>
      <c r="AF1350" s="42" t="str">
        <f t="array" ref="AF1350">INDEX('Deal Info'!D:D, MATCH(A1350,'Deal Info'!A:A, 0))</f>
        <v>Fix10</v>
      </c>
      <c r="AG1350" s="43" t="str">
        <f t="array" ref="AG1350">INDEX('Deal Info'!G:G, MATCH(A1350,'Deal Info'!A:A, 0))</f>
        <v>None</v>
      </c>
    </row>
    <row r="1351" hidden="1">
      <c r="A1351" s="23" t="str">
        <f t="array" ref="A1351">if(G1351='Room Info'!$B$1, INDEX('Room Info'!$A$2:$A3446, MATCH(B1351,'Room Info'!$B$2:$B3446, 0)),if(G1351='Room Info'!$C$1, INDEX('Room Info'!$A$2:$A3446, MATCH(B1351,'Room Info'!$C$2:$C3446, 0)),if(G1351='Room Info'!$D$1, INDEX('Room Info'!$A$2:$A3446, MATCH(B1351,'Room Info'!$D$2:$D3446, 0)),if(G1351='Room Info'!$E$1, INDEX('Room Info'!$A$2:$A3446, MATCH(B1351,'Room Info'!$E$2:$E3446, 0)),if(G1351='Room Info'!$F$1, INDEX('Room Info'!$A$2:$A3446, MATCH(B1351,'Room Info'!$F$2:$F3446, 0)),if(G1351='Room Info'!$H$1, INDEX('Room Info'!$A$2:$A3446, MATCH(B1351,'Room Info'!$H$2:$H3446, 0)),if(G1351='Room Info'!$G$1, INDEX('Room Info'!$A$2:$A3446, MATCH(B1351,'Room Info'!$G$2:$G3446, 0)))))))))</f>
        <v>volkovsky</v>
      </c>
      <c r="B1351" s="50" t="s">
        <v>216</v>
      </c>
      <c r="C1351" s="82">
        <v>44825.0</v>
      </c>
      <c r="D1351" s="82">
        <v>44854.0</v>
      </c>
      <c r="E1351" s="52">
        <v>44835.0</v>
      </c>
      <c r="F1351" s="50" t="s">
        <v>4</v>
      </c>
      <c r="G1351" s="50" t="s">
        <v>5</v>
      </c>
      <c r="H1351" s="96" t="s">
        <v>96</v>
      </c>
      <c r="I1351" s="54" t="s">
        <v>7</v>
      </c>
      <c r="J1351" s="55">
        <v>250.0</v>
      </c>
      <c r="K1351" s="56">
        <v>190.0</v>
      </c>
      <c r="L1351" s="57">
        <v>-3250.0</v>
      </c>
      <c r="M1351" s="81">
        <v>5364.0</v>
      </c>
      <c r="N1351" s="33">
        <f t="shared" si="155"/>
        <v>47500</v>
      </c>
      <c r="O1351" s="59">
        <v>10762.0</v>
      </c>
      <c r="P1351" s="34">
        <f t="shared" si="14"/>
        <v>56.64210526</v>
      </c>
      <c r="Q1351" s="60"/>
      <c r="R1351" s="36">
        <f t="shared" si="196"/>
        <v>5364</v>
      </c>
      <c r="S1351" s="61">
        <v>2307.0</v>
      </c>
      <c r="T1351" s="37">
        <f t="shared" si="197"/>
        <v>7671</v>
      </c>
      <c r="U1351" s="62"/>
      <c r="V1351" s="63"/>
      <c r="W1351" s="63"/>
      <c r="X1351" s="35">
        <f t="shared" si="201"/>
        <v>0.1</v>
      </c>
      <c r="Y1351" s="35">
        <f t="shared" si="202"/>
        <v>0</v>
      </c>
      <c r="Z1351" s="40">
        <f t="shared" si="198"/>
        <v>6903.9</v>
      </c>
      <c r="AA1351" s="34">
        <f t="shared" si="199"/>
        <v>767.1</v>
      </c>
      <c r="AB1351" s="41">
        <f t="shared" si="200"/>
        <v>0</v>
      </c>
      <c r="AC1351" s="42" t="b">
        <v>1</v>
      </c>
      <c r="AD1351" s="42" t="s">
        <v>138</v>
      </c>
      <c r="AE1351" s="42" t="s">
        <v>138</v>
      </c>
      <c r="AF1351" s="42" t="str">
        <f t="array" ref="AF1351">INDEX('Deal Info'!D:D, MATCH(A1351,'Deal Info'!A:A, 0))</f>
        <v>Fix10</v>
      </c>
      <c r="AG1351" s="43" t="str">
        <f t="array" ref="AG1351">INDEX('Deal Info'!G:G, MATCH(A1351,'Deal Info'!A:A, 0))</f>
        <v>None</v>
      </c>
    </row>
    <row r="1352" hidden="1">
      <c r="A1352" s="23" t="str">
        <f t="array" ref="A1352">if(G1352='Room Info'!$B$1, INDEX('Room Info'!$A$2:$A3446, MATCH(B1352,'Room Info'!$B$2:$B3446, 0)),if(G1352='Room Info'!$C$1, INDEX('Room Info'!$A$2:$A3446, MATCH(B1352,'Room Info'!$C$2:$C3446, 0)),if(G1352='Room Info'!$D$1, INDEX('Room Info'!$A$2:$A3446, MATCH(B1352,'Room Info'!$D$2:$D3446, 0)),if(G1352='Room Info'!$E$1, INDEX('Room Info'!$A$2:$A3446, MATCH(B1352,'Room Info'!$E$2:$E3446, 0)),if(G1352='Room Info'!$F$1, INDEX('Room Info'!$A$2:$A3446, MATCH(B1352,'Room Info'!$F$2:$F3446, 0)),if(G1352='Room Info'!$H$1, INDEX('Room Info'!$A$2:$A3446, MATCH(B1352,'Room Info'!$H$2:$H3446, 0)),if(G1352='Room Info'!$G$1, INDEX('Room Info'!$A$2:$A3446, MATCH(B1352,'Room Info'!$G$2:$G3446, 0)))))))))</f>
        <v>volkovsky</v>
      </c>
      <c r="B1352" s="50" t="s">
        <v>216</v>
      </c>
      <c r="C1352" s="82">
        <v>44825.0</v>
      </c>
      <c r="D1352" s="82">
        <v>44854.0</v>
      </c>
      <c r="E1352" s="52">
        <v>44835.0</v>
      </c>
      <c r="F1352" s="50" t="s">
        <v>4</v>
      </c>
      <c r="G1352" s="50" t="s">
        <v>5</v>
      </c>
      <c r="H1352" s="96" t="s">
        <v>97</v>
      </c>
      <c r="I1352" s="54" t="s">
        <v>11</v>
      </c>
      <c r="J1352" s="79">
        <v>250.0</v>
      </c>
      <c r="K1352" s="80">
        <v>57.0</v>
      </c>
      <c r="L1352" s="77">
        <v>-3750.0</v>
      </c>
      <c r="M1352" s="81">
        <v>1609.0</v>
      </c>
      <c r="N1352" s="33">
        <f t="shared" si="155"/>
        <v>14250</v>
      </c>
      <c r="O1352" s="50">
        <v>-1507.0</v>
      </c>
      <c r="P1352" s="34">
        <f t="shared" si="14"/>
        <v>-26.43859649</v>
      </c>
      <c r="Q1352" s="60"/>
      <c r="R1352" s="36">
        <f t="shared" si="196"/>
        <v>1609</v>
      </c>
      <c r="S1352" s="78">
        <v>-2004.0</v>
      </c>
      <c r="T1352" s="37">
        <f t="shared" si="197"/>
        <v>-395</v>
      </c>
      <c r="U1352" s="62"/>
      <c r="V1352" s="63"/>
      <c r="W1352" s="63"/>
      <c r="X1352" s="35">
        <f t="shared" si="201"/>
        <v>0.1</v>
      </c>
      <c r="Y1352" s="35">
        <f t="shared" si="202"/>
        <v>0</v>
      </c>
      <c r="Z1352" s="40">
        <f t="shared" si="198"/>
        <v>-355.5</v>
      </c>
      <c r="AA1352" s="34">
        <f t="shared" si="199"/>
        <v>-39.5</v>
      </c>
      <c r="AB1352" s="41">
        <f t="shared" si="200"/>
        <v>0</v>
      </c>
      <c r="AC1352" s="42" t="b">
        <v>1</v>
      </c>
      <c r="AD1352" s="42" t="s">
        <v>138</v>
      </c>
      <c r="AE1352" s="42" t="s">
        <v>138</v>
      </c>
      <c r="AF1352" s="42" t="str">
        <f t="array" ref="AF1352">INDEX('Deal Info'!D:D, MATCH(A1352,'Deal Info'!A:A, 0))</f>
        <v>Fix10</v>
      </c>
      <c r="AG1352" s="43" t="str">
        <f t="array" ref="AG1352">INDEX('Deal Info'!G:G, MATCH(A1352,'Deal Info'!A:A, 0))</f>
        <v>None</v>
      </c>
    </row>
    <row r="1353" hidden="1">
      <c r="A1353" s="23" t="str">
        <f t="array" ref="A1353">if(G1353='Room Info'!$B$1, INDEX('Room Info'!$A$2:$A3446, MATCH(B1353,'Room Info'!$B$2:$B3446, 0)),if(G1353='Room Info'!$C$1, INDEX('Room Info'!$A$2:$A3446, MATCH(B1353,'Room Info'!$C$2:$C3446, 0)),if(G1353='Room Info'!$D$1, INDEX('Room Info'!$A$2:$A3446, MATCH(B1353,'Room Info'!$D$2:$D3446, 0)),if(G1353='Room Info'!$E$1, INDEX('Room Info'!$A$2:$A3446, MATCH(B1353,'Room Info'!$E$2:$E3446, 0)),if(G1353='Room Info'!$F$1, INDEX('Room Info'!$A$2:$A3446, MATCH(B1353,'Room Info'!$F$2:$F3446, 0)),if(G1353='Room Info'!$H$1, INDEX('Room Info'!$A$2:$A3446, MATCH(B1353,'Room Info'!$H$2:$H3446, 0)),if(G1353='Room Info'!$G$1, INDEX('Room Info'!$A$2:$A3446, MATCH(B1353,'Room Info'!$G$2:$G3446, 0)))))))))</f>
        <v>volkovsky</v>
      </c>
      <c r="B1353" s="50" t="s">
        <v>216</v>
      </c>
      <c r="C1353" s="82">
        <v>44855.0</v>
      </c>
      <c r="D1353" s="82">
        <v>44885.0</v>
      </c>
      <c r="E1353" s="52">
        <v>44866.0</v>
      </c>
      <c r="F1353" s="50" t="s">
        <v>4</v>
      </c>
      <c r="G1353" s="50" t="s">
        <v>5</v>
      </c>
      <c r="H1353" s="96" t="s">
        <v>74</v>
      </c>
      <c r="I1353" s="54" t="s">
        <v>7</v>
      </c>
      <c r="J1353" s="79">
        <v>50.0</v>
      </c>
      <c r="K1353" s="80">
        <v>91.0</v>
      </c>
      <c r="L1353" s="77">
        <v>800.0</v>
      </c>
      <c r="M1353" s="81">
        <v>67.0</v>
      </c>
      <c r="N1353" s="33">
        <f t="shared" si="155"/>
        <v>4550</v>
      </c>
      <c r="O1353" s="50">
        <v>7306.0</v>
      </c>
      <c r="P1353" s="34">
        <f t="shared" si="14"/>
        <v>80.28571429</v>
      </c>
      <c r="Q1353" s="60"/>
      <c r="R1353" s="36">
        <f t="shared" si="196"/>
        <v>67</v>
      </c>
      <c r="S1353" s="78">
        <v>379.0</v>
      </c>
      <c r="T1353" s="37">
        <f t="shared" si="197"/>
        <v>446</v>
      </c>
      <c r="U1353" s="62"/>
      <c r="V1353" s="63"/>
      <c r="W1353" s="63"/>
      <c r="X1353" s="35">
        <f t="shared" si="201"/>
        <v>0.1</v>
      </c>
      <c r="Y1353" s="35">
        <f t="shared" si="202"/>
        <v>0</v>
      </c>
      <c r="Z1353" s="40">
        <f t="shared" si="198"/>
        <v>401.4</v>
      </c>
      <c r="AA1353" s="34">
        <f t="shared" si="199"/>
        <v>44.6</v>
      </c>
      <c r="AB1353" s="41">
        <f t="shared" si="200"/>
        <v>0</v>
      </c>
      <c r="AC1353" s="42" t="b">
        <v>1</v>
      </c>
      <c r="AD1353" s="42" t="s">
        <v>138</v>
      </c>
      <c r="AE1353" s="42" t="s">
        <v>138</v>
      </c>
      <c r="AF1353" s="42" t="str">
        <f t="array" ref="AF1353">INDEX('Deal Info'!D:D, MATCH(A1353,'Deal Info'!A:A, 0))</f>
        <v>Fix10</v>
      </c>
      <c r="AG1353" s="43" t="str">
        <f t="array" ref="AG1353">INDEX('Deal Info'!G:G, MATCH(A1353,'Deal Info'!A:A, 0))</f>
        <v>None</v>
      </c>
    </row>
    <row r="1354" hidden="1">
      <c r="A1354" s="23" t="str">
        <f t="array" ref="A1354">if(G1354='Room Info'!$B$1, INDEX('Room Info'!$A$2:$A3446, MATCH(B1354,'Room Info'!$B$2:$B3446, 0)),if(G1354='Room Info'!$C$1, INDEX('Room Info'!$A$2:$A3446, MATCH(B1354,'Room Info'!$C$2:$C3446, 0)),if(G1354='Room Info'!$D$1, INDEX('Room Info'!$A$2:$A3446, MATCH(B1354,'Room Info'!$D$2:$D3446, 0)),if(G1354='Room Info'!$E$1, INDEX('Room Info'!$A$2:$A3446, MATCH(B1354,'Room Info'!$E$2:$E3446, 0)),if(G1354='Room Info'!$F$1, INDEX('Room Info'!$A$2:$A3446, MATCH(B1354,'Room Info'!$F$2:$F3446, 0)),if(G1354='Room Info'!$H$1, INDEX('Room Info'!$A$2:$A3446, MATCH(B1354,'Room Info'!$H$2:$H3446, 0)),if(G1354='Room Info'!$G$1, INDEX('Room Info'!$A$2:$A3446, MATCH(B1354,'Room Info'!$G$2:$G3446, 0)))))))))</f>
        <v>volkovsky</v>
      </c>
      <c r="B1354" s="50" t="s">
        <v>216</v>
      </c>
      <c r="C1354" s="82">
        <v>44855.0</v>
      </c>
      <c r="D1354" s="82">
        <v>44885.0</v>
      </c>
      <c r="E1354" s="52">
        <v>44866.0</v>
      </c>
      <c r="F1354" s="50" t="s">
        <v>4</v>
      </c>
      <c r="G1354" s="50" t="s">
        <v>5</v>
      </c>
      <c r="H1354" s="96" t="s">
        <v>75</v>
      </c>
      <c r="I1354" s="54" t="s">
        <v>11</v>
      </c>
      <c r="J1354" s="79">
        <v>50.0</v>
      </c>
      <c r="K1354" s="80">
        <v>17.0</v>
      </c>
      <c r="L1354" s="77">
        <v>300.0</v>
      </c>
      <c r="M1354" s="81">
        <v>13.0</v>
      </c>
      <c r="N1354" s="33">
        <f t="shared" si="155"/>
        <v>850</v>
      </c>
      <c r="O1354" s="50">
        <v>358.0</v>
      </c>
      <c r="P1354" s="34">
        <f t="shared" si="14"/>
        <v>21.05882353</v>
      </c>
      <c r="Q1354" s="60"/>
      <c r="R1354" s="36">
        <f t="shared" si="196"/>
        <v>13</v>
      </c>
      <c r="S1354" s="78">
        <v>0.0</v>
      </c>
      <c r="T1354" s="37">
        <f t="shared" si="197"/>
        <v>13</v>
      </c>
      <c r="U1354" s="62"/>
      <c r="V1354" s="63"/>
      <c r="W1354" s="63"/>
      <c r="X1354" s="35">
        <f t="shared" si="201"/>
        <v>0.1</v>
      </c>
      <c r="Y1354" s="35">
        <f t="shared" si="202"/>
        <v>0</v>
      </c>
      <c r="Z1354" s="40">
        <f t="shared" si="198"/>
        <v>11.7</v>
      </c>
      <c r="AA1354" s="34">
        <f t="shared" si="199"/>
        <v>1.3</v>
      </c>
      <c r="AB1354" s="41">
        <f t="shared" si="200"/>
        <v>0</v>
      </c>
      <c r="AC1354" s="42" t="b">
        <v>1</v>
      </c>
      <c r="AD1354" s="42" t="s">
        <v>138</v>
      </c>
      <c r="AE1354" s="42" t="s">
        <v>138</v>
      </c>
      <c r="AF1354" s="42" t="str">
        <f t="array" ref="AF1354">INDEX('Deal Info'!D:D, MATCH(A1354,'Deal Info'!A:A, 0))</f>
        <v>Fix10</v>
      </c>
      <c r="AG1354" s="43" t="str">
        <f t="array" ref="AG1354">INDEX('Deal Info'!G:G, MATCH(A1354,'Deal Info'!A:A, 0))</f>
        <v>None</v>
      </c>
    </row>
    <row r="1355" hidden="1">
      <c r="A1355" s="23" t="str">
        <f t="array" ref="A1355">if(G1355='Room Info'!$B$1, INDEX('Room Info'!$A$2:$A3446, MATCH(B1355,'Room Info'!$B$2:$B3446, 0)),if(G1355='Room Info'!$C$1, INDEX('Room Info'!$A$2:$A3446, MATCH(B1355,'Room Info'!$C$2:$C3446, 0)),if(G1355='Room Info'!$D$1, INDEX('Room Info'!$A$2:$A3446, MATCH(B1355,'Room Info'!$D$2:$D3446, 0)),if(G1355='Room Info'!$E$1, INDEX('Room Info'!$A$2:$A3446, MATCH(B1355,'Room Info'!$E$2:$E3446, 0)),if(G1355='Room Info'!$F$1, INDEX('Room Info'!$A$2:$A3446, MATCH(B1355,'Room Info'!$F$2:$F3446, 0)),if(G1355='Room Info'!$H$1, INDEX('Room Info'!$A$2:$A3446, MATCH(B1355,'Room Info'!$H$2:$H3446, 0)),if(G1355='Room Info'!$G$1, INDEX('Room Info'!$A$2:$A3446, MATCH(B1355,'Room Info'!$G$2:$G3446, 0)))))))))</f>
        <v>volkovsky</v>
      </c>
      <c r="B1355" s="50" t="s">
        <v>216</v>
      </c>
      <c r="C1355" s="82">
        <v>44855.0</v>
      </c>
      <c r="D1355" s="82">
        <v>44885.0</v>
      </c>
      <c r="E1355" s="52">
        <v>44866.0</v>
      </c>
      <c r="F1355" s="53" t="s">
        <v>4</v>
      </c>
      <c r="G1355" s="50" t="s">
        <v>5</v>
      </c>
      <c r="H1355" s="96" t="s">
        <v>85</v>
      </c>
      <c r="I1355" s="54" t="s">
        <v>7</v>
      </c>
      <c r="J1355" s="79">
        <v>100.0</v>
      </c>
      <c r="K1355" s="80">
        <v>947.0</v>
      </c>
      <c r="L1355" s="77">
        <v>-11100.0</v>
      </c>
      <c r="M1355" s="81">
        <v>1165.0</v>
      </c>
      <c r="N1355" s="33">
        <f t="shared" si="155"/>
        <v>94700</v>
      </c>
      <c r="O1355" s="50">
        <v>3651.0</v>
      </c>
      <c r="P1355" s="34">
        <f t="shared" si="14"/>
        <v>3.855332629</v>
      </c>
      <c r="Q1355" s="60"/>
      <c r="R1355" s="36">
        <f t="shared" si="196"/>
        <v>1165</v>
      </c>
      <c r="S1355" s="78">
        <v>-4573.0</v>
      </c>
      <c r="T1355" s="37">
        <f t="shared" si="197"/>
        <v>-3408</v>
      </c>
      <c r="U1355" s="62"/>
      <c r="V1355" s="63"/>
      <c r="W1355" s="63"/>
      <c r="X1355" s="35">
        <f t="shared" si="201"/>
        <v>0.1</v>
      </c>
      <c r="Y1355" s="35">
        <f t="shared" si="202"/>
        <v>0</v>
      </c>
      <c r="Z1355" s="40">
        <f t="shared" si="198"/>
        <v>-3067.2</v>
      </c>
      <c r="AA1355" s="34">
        <f t="shared" si="199"/>
        <v>-340.8</v>
      </c>
      <c r="AB1355" s="41">
        <f t="shared" si="200"/>
        <v>0</v>
      </c>
      <c r="AC1355" s="42" t="b">
        <v>1</v>
      </c>
      <c r="AD1355" s="42" t="s">
        <v>138</v>
      </c>
      <c r="AE1355" s="42" t="s">
        <v>138</v>
      </c>
      <c r="AF1355" s="42" t="str">
        <f t="array" ref="AF1355">INDEX('Deal Info'!D:D, MATCH(A1355,'Deal Info'!A:A, 0))</f>
        <v>Fix10</v>
      </c>
      <c r="AG1355" s="43" t="str">
        <f t="array" ref="AG1355">INDEX('Deal Info'!G:G, MATCH(A1355,'Deal Info'!A:A, 0))</f>
        <v>None</v>
      </c>
    </row>
    <row r="1356" hidden="1">
      <c r="A1356" s="23" t="str">
        <f t="array" ref="A1356">if(G1356='Room Info'!$B$1, INDEX('Room Info'!$A$2:$A3446, MATCH(B1356,'Room Info'!$B$2:$B3446, 0)),if(G1356='Room Info'!$C$1, INDEX('Room Info'!$A$2:$A3446, MATCH(B1356,'Room Info'!$C$2:$C3446, 0)),if(G1356='Room Info'!$D$1, INDEX('Room Info'!$A$2:$A3446, MATCH(B1356,'Room Info'!$D$2:$D3446, 0)),if(G1356='Room Info'!$E$1, INDEX('Room Info'!$A$2:$A3446, MATCH(B1356,'Room Info'!$E$2:$E3446, 0)),if(G1356='Room Info'!$F$1, INDEX('Room Info'!$A$2:$A3446, MATCH(B1356,'Room Info'!$F$2:$F3446, 0)),if(G1356='Room Info'!$H$1, INDEX('Room Info'!$A$2:$A3446, MATCH(B1356,'Room Info'!$H$2:$H3446, 0)),if(G1356='Room Info'!$G$1, INDEX('Room Info'!$A$2:$A3446, MATCH(B1356,'Room Info'!$G$2:$G3446, 0)))))))))</f>
        <v>volkovsky</v>
      </c>
      <c r="B1356" s="50" t="s">
        <v>216</v>
      </c>
      <c r="C1356" s="82">
        <v>44855.0</v>
      </c>
      <c r="D1356" s="82">
        <v>44885.0</v>
      </c>
      <c r="E1356" s="52">
        <v>44866.0</v>
      </c>
      <c r="F1356" s="53" t="s">
        <v>4</v>
      </c>
      <c r="G1356" s="50" t="s">
        <v>5</v>
      </c>
      <c r="H1356" s="96" t="s">
        <v>86</v>
      </c>
      <c r="I1356" s="54" t="s">
        <v>11</v>
      </c>
      <c r="J1356" s="79">
        <v>100.0</v>
      </c>
      <c r="K1356" s="80">
        <v>20.0</v>
      </c>
      <c r="L1356" s="77">
        <v>400.0</v>
      </c>
      <c r="M1356" s="81">
        <v>25.0</v>
      </c>
      <c r="N1356" s="33">
        <f t="shared" si="155"/>
        <v>2000</v>
      </c>
      <c r="O1356" s="50">
        <v>-437.0</v>
      </c>
      <c r="P1356" s="34">
        <f t="shared" si="14"/>
        <v>-21.85</v>
      </c>
      <c r="Q1356" s="60"/>
      <c r="R1356" s="36">
        <f t="shared" si="196"/>
        <v>25</v>
      </c>
      <c r="S1356" s="78">
        <v>-248.0</v>
      </c>
      <c r="T1356" s="37">
        <f t="shared" si="197"/>
        <v>-223</v>
      </c>
      <c r="U1356" s="62"/>
      <c r="V1356" s="63"/>
      <c r="W1356" s="63"/>
      <c r="X1356" s="35">
        <f t="shared" si="201"/>
        <v>0.1</v>
      </c>
      <c r="Y1356" s="35">
        <f t="shared" si="202"/>
        <v>0</v>
      </c>
      <c r="Z1356" s="40">
        <f t="shared" si="198"/>
        <v>-200.7</v>
      </c>
      <c r="AA1356" s="34">
        <f t="shared" si="199"/>
        <v>-22.3</v>
      </c>
      <c r="AB1356" s="41">
        <f t="shared" si="200"/>
        <v>0</v>
      </c>
      <c r="AC1356" s="42" t="b">
        <v>1</v>
      </c>
      <c r="AD1356" s="42" t="s">
        <v>138</v>
      </c>
      <c r="AE1356" s="42" t="s">
        <v>138</v>
      </c>
      <c r="AF1356" s="42" t="str">
        <f t="array" ref="AF1356">INDEX('Deal Info'!D:D, MATCH(A1356,'Deal Info'!A:A, 0))</f>
        <v>Fix10</v>
      </c>
      <c r="AG1356" s="43" t="str">
        <f t="array" ref="AG1356">INDEX('Deal Info'!G:G, MATCH(A1356,'Deal Info'!A:A, 0))</f>
        <v>None</v>
      </c>
    </row>
    <row r="1357" hidden="1">
      <c r="A1357" s="23" t="str">
        <f t="array" ref="A1357">if(G1357='Room Info'!$B$1, INDEX('Room Info'!$A$2:$A3446, MATCH(B1357,'Room Info'!$B$2:$B3446, 0)),if(G1357='Room Info'!$C$1, INDEX('Room Info'!$A$2:$A3446, MATCH(B1357,'Room Info'!$C$2:$C3446, 0)),if(G1357='Room Info'!$D$1, INDEX('Room Info'!$A$2:$A3446, MATCH(B1357,'Room Info'!$D$2:$D3446, 0)),if(G1357='Room Info'!$E$1, INDEX('Room Info'!$A$2:$A3446, MATCH(B1357,'Room Info'!$E$2:$E3446, 0)),if(G1357='Room Info'!$F$1, INDEX('Room Info'!$A$2:$A3446, MATCH(B1357,'Room Info'!$F$2:$F3446, 0)),if(G1357='Room Info'!$H$1, INDEX('Room Info'!$A$2:$A3446, MATCH(B1357,'Room Info'!$H$2:$H3446, 0)),if(G1357='Room Info'!$G$1, INDEX('Room Info'!$A$2:$A3446, MATCH(B1357,'Room Info'!$G$2:$G3446, 0)))))))))</f>
        <v>volkovsky</v>
      </c>
      <c r="B1357" s="50" t="s">
        <v>216</v>
      </c>
      <c r="C1357" s="82">
        <v>44855.0</v>
      </c>
      <c r="D1357" s="82">
        <v>44885.0</v>
      </c>
      <c r="E1357" s="52">
        <v>44866.0</v>
      </c>
      <c r="F1357" s="53" t="s">
        <v>4</v>
      </c>
      <c r="G1357" s="50" t="s">
        <v>5</v>
      </c>
      <c r="H1357" s="54" t="s">
        <v>96</v>
      </c>
      <c r="I1357" s="54" t="s">
        <v>7</v>
      </c>
      <c r="J1357" s="79">
        <v>250.0</v>
      </c>
      <c r="K1357" s="80">
        <v>462.0</v>
      </c>
      <c r="L1357" s="77">
        <v>-14250.0</v>
      </c>
      <c r="M1357" s="81">
        <v>1420.0</v>
      </c>
      <c r="N1357" s="33">
        <f t="shared" si="155"/>
        <v>115500</v>
      </c>
      <c r="O1357" s="50">
        <v>-1756.0</v>
      </c>
      <c r="P1357" s="34">
        <f t="shared" si="14"/>
        <v>-3.800865801</v>
      </c>
      <c r="Q1357" s="60"/>
      <c r="R1357" s="36">
        <f t="shared" si="196"/>
        <v>1420</v>
      </c>
      <c r="S1357" s="78">
        <v>-6960.0</v>
      </c>
      <c r="T1357" s="37">
        <f t="shared" si="197"/>
        <v>-5540</v>
      </c>
      <c r="U1357" s="62"/>
      <c r="V1357" s="63"/>
      <c r="W1357" s="63"/>
      <c r="X1357" s="35">
        <f t="shared" si="201"/>
        <v>0.1</v>
      </c>
      <c r="Y1357" s="35">
        <f t="shared" si="202"/>
        <v>0</v>
      </c>
      <c r="Z1357" s="40">
        <f t="shared" si="198"/>
        <v>-4986</v>
      </c>
      <c r="AA1357" s="34">
        <f t="shared" si="199"/>
        <v>-554</v>
      </c>
      <c r="AB1357" s="41">
        <f t="shared" si="200"/>
        <v>0</v>
      </c>
      <c r="AC1357" s="42" t="b">
        <v>1</v>
      </c>
      <c r="AD1357" s="42" t="s">
        <v>138</v>
      </c>
      <c r="AE1357" s="42" t="s">
        <v>138</v>
      </c>
      <c r="AF1357" s="42" t="str">
        <f t="array" ref="AF1357">INDEX('Deal Info'!D:D, MATCH(A1357,'Deal Info'!A:A, 0))</f>
        <v>Fix10</v>
      </c>
      <c r="AG1357" s="43" t="str">
        <f t="array" ref="AG1357">INDEX('Deal Info'!G:G, MATCH(A1357,'Deal Info'!A:A, 0))</f>
        <v>None</v>
      </c>
    </row>
    <row r="1358" hidden="1">
      <c r="A1358" s="23" t="str">
        <f t="array" ref="A1358">if(G1358='Room Info'!$B$1, INDEX('Room Info'!$A$2:$A3446, MATCH(B1358,'Room Info'!$B$2:$B3446, 0)),if(G1358='Room Info'!$C$1, INDEX('Room Info'!$A$2:$A3446, MATCH(B1358,'Room Info'!$C$2:$C3446, 0)),if(G1358='Room Info'!$D$1, INDEX('Room Info'!$A$2:$A3446, MATCH(B1358,'Room Info'!$D$2:$D3446, 0)),if(G1358='Room Info'!$E$1, INDEX('Room Info'!$A$2:$A3446, MATCH(B1358,'Room Info'!$E$2:$E3446, 0)),if(G1358='Room Info'!$F$1, INDEX('Room Info'!$A$2:$A3446, MATCH(B1358,'Room Info'!$F$2:$F3446, 0)),if(G1358='Room Info'!$H$1, INDEX('Room Info'!$A$2:$A3446, MATCH(B1358,'Room Info'!$H$2:$H3446, 0)),if(G1358='Room Info'!$G$1, INDEX('Room Info'!$A$2:$A3446, MATCH(B1358,'Room Info'!$G$2:$G3446, 0)))))))))</f>
        <v>volkovsky</v>
      </c>
      <c r="B1358" s="50" t="s">
        <v>216</v>
      </c>
      <c r="C1358" s="82">
        <v>44855.0</v>
      </c>
      <c r="D1358" s="82">
        <v>44885.0</v>
      </c>
      <c r="E1358" s="52">
        <v>44866.0</v>
      </c>
      <c r="F1358" s="53" t="s">
        <v>4</v>
      </c>
      <c r="G1358" s="50" t="s">
        <v>5</v>
      </c>
      <c r="H1358" s="54" t="s">
        <v>97</v>
      </c>
      <c r="I1358" s="54" t="s">
        <v>11</v>
      </c>
      <c r="J1358" s="79">
        <v>250.0</v>
      </c>
      <c r="K1358" s="80">
        <v>166.0</v>
      </c>
      <c r="L1358" s="77">
        <v>-1500.0</v>
      </c>
      <c r="M1358" s="81">
        <v>510.0</v>
      </c>
      <c r="N1358" s="33">
        <f t="shared" si="155"/>
        <v>41500</v>
      </c>
      <c r="O1358" s="50">
        <v>105.0</v>
      </c>
      <c r="P1358" s="34">
        <f t="shared" si="14"/>
        <v>0.6325301205</v>
      </c>
      <c r="Q1358" s="60"/>
      <c r="R1358" s="36">
        <f t="shared" si="196"/>
        <v>510</v>
      </c>
      <c r="S1358" s="78">
        <v>-2122.0</v>
      </c>
      <c r="T1358" s="37">
        <f t="shared" si="197"/>
        <v>-1612</v>
      </c>
      <c r="U1358" s="62"/>
      <c r="V1358" s="63"/>
      <c r="W1358" s="63"/>
      <c r="X1358" s="35">
        <f t="shared" si="201"/>
        <v>0.1</v>
      </c>
      <c r="Y1358" s="35">
        <f t="shared" si="202"/>
        <v>0</v>
      </c>
      <c r="Z1358" s="40">
        <f t="shared" si="198"/>
        <v>-1450.8</v>
      </c>
      <c r="AA1358" s="34">
        <f t="shared" si="199"/>
        <v>-161.2</v>
      </c>
      <c r="AB1358" s="41">
        <f t="shared" si="200"/>
        <v>0</v>
      </c>
      <c r="AC1358" s="42" t="b">
        <v>1</v>
      </c>
      <c r="AD1358" s="42" t="s">
        <v>138</v>
      </c>
      <c r="AE1358" s="42" t="s">
        <v>138</v>
      </c>
      <c r="AF1358" s="42" t="str">
        <f t="array" ref="AF1358">INDEX('Deal Info'!D:D, MATCH(A1358,'Deal Info'!A:A, 0))</f>
        <v>Fix10</v>
      </c>
      <c r="AG1358" s="43" t="str">
        <f t="array" ref="AG1358">INDEX('Deal Info'!G:G, MATCH(A1358,'Deal Info'!A:A, 0))</f>
        <v>None</v>
      </c>
    </row>
    <row r="1359" hidden="1">
      <c r="A1359" s="23" t="str">
        <f t="array" ref="A1359">if(G1359='Room Info'!$B$1, INDEX('Room Info'!$A$2:$A3446, MATCH(B1359,'Room Info'!$B$2:$B3446, 0)),if(G1359='Room Info'!$C$1, INDEX('Room Info'!$A$2:$A3446, MATCH(B1359,'Room Info'!$C$2:$C3446, 0)),if(G1359='Room Info'!$D$1, INDEX('Room Info'!$A$2:$A3446, MATCH(B1359,'Room Info'!$D$2:$D3446, 0)),if(G1359='Room Info'!$E$1, INDEX('Room Info'!$A$2:$A3446, MATCH(B1359,'Room Info'!$E$2:$E3446, 0)),if(G1359='Room Info'!$F$1, INDEX('Room Info'!$A$2:$A3446, MATCH(B1359,'Room Info'!$F$2:$F3446, 0)),if(G1359='Room Info'!$H$1, INDEX('Room Info'!$A$2:$A3446, MATCH(B1359,'Room Info'!$H$2:$H3446, 0)),if(G1359='Room Info'!$G$1, INDEX('Room Info'!$A$2:$A3446, MATCH(B1359,'Room Info'!$G$2:$G3446, 0)))))))))</f>
        <v>volkovsky</v>
      </c>
      <c r="B1359" s="50" t="s">
        <v>216</v>
      </c>
      <c r="C1359" s="82">
        <v>44886.0</v>
      </c>
      <c r="D1359" s="82">
        <v>44915.0</v>
      </c>
      <c r="E1359" s="52">
        <v>44896.0</v>
      </c>
      <c r="F1359" s="53" t="s">
        <v>4</v>
      </c>
      <c r="G1359" s="50" t="s">
        <v>5</v>
      </c>
      <c r="H1359" s="96" t="s">
        <v>74</v>
      </c>
      <c r="I1359" s="54" t="s">
        <v>7</v>
      </c>
      <c r="J1359" s="79">
        <v>50.0</v>
      </c>
      <c r="K1359" s="80">
        <v>1.0</v>
      </c>
      <c r="L1359" s="77">
        <v>50.0</v>
      </c>
      <c r="M1359" s="81">
        <v>3.0</v>
      </c>
      <c r="N1359" s="33">
        <f t="shared" si="155"/>
        <v>50</v>
      </c>
      <c r="O1359" s="50">
        <v>335.0</v>
      </c>
      <c r="P1359" s="34">
        <f t="shared" si="14"/>
        <v>335</v>
      </c>
      <c r="Q1359" s="60"/>
      <c r="R1359" s="36">
        <f t="shared" si="196"/>
        <v>3</v>
      </c>
      <c r="S1359" s="78">
        <v>27.0</v>
      </c>
      <c r="T1359" s="37">
        <f t="shared" si="197"/>
        <v>30</v>
      </c>
      <c r="U1359" s="62"/>
      <c r="V1359" s="63"/>
      <c r="W1359" s="63"/>
      <c r="X1359" s="35">
        <f t="shared" si="201"/>
        <v>0.1</v>
      </c>
      <c r="Y1359" s="35">
        <f t="shared" si="202"/>
        <v>0</v>
      </c>
      <c r="Z1359" s="40">
        <f t="shared" si="198"/>
        <v>27</v>
      </c>
      <c r="AA1359" s="34">
        <f t="shared" si="199"/>
        <v>3</v>
      </c>
      <c r="AB1359" s="41">
        <f t="shared" si="200"/>
        <v>0</v>
      </c>
      <c r="AC1359" s="42" t="b">
        <v>1</v>
      </c>
      <c r="AD1359" s="42" t="s">
        <v>138</v>
      </c>
      <c r="AE1359" s="42" t="s">
        <v>138</v>
      </c>
      <c r="AF1359" s="42" t="str">
        <f t="array" ref="AF1359">INDEX('Deal Info'!D:D, MATCH(A1359,'Deal Info'!A:A, 0))</f>
        <v>Fix10</v>
      </c>
      <c r="AG1359" s="43" t="str">
        <f t="array" ref="AG1359">INDEX('Deal Info'!G:G, MATCH(A1359,'Deal Info'!A:A, 0))</f>
        <v>None</v>
      </c>
    </row>
    <row r="1360" hidden="1">
      <c r="A1360" s="23" t="str">
        <f t="array" ref="A1360">if(G1360='Room Info'!$B$1, INDEX('Room Info'!$A$2:$A3446, MATCH(B1360,'Room Info'!$B$2:$B3446, 0)),if(G1360='Room Info'!$C$1, INDEX('Room Info'!$A$2:$A3446, MATCH(B1360,'Room Info'!$C$2:$C3446, 0)),if(G1360='Room Info'!$D$1, INDEX('Room Info'!$A$2:$A3446, MATCH(B1360,'Room Info'!$D$2:$D3446, 0)),if(G1360='Room Info'!$E$1, INDEX('Room Info'!$A$2:$A3446, MATCH(B1360,'Room Info'!$E$2:$E3446, 0)),if(G1360='Room Info'!$F$1, INDEX('Room Info'!$A$2:$A3446, MATCH(B1360,'Room Info'!$F$2:$F3446, 0)),if(G1360='Room Info'!$H$1, INDEX('Room Info'!$A$2:$A3446, MATCH(B1360,'Room Info'!$H$2:$H3446, 0)),if(G1360='Room Info'!$G$1, INDEX('Room Info'!$A$2:$A3446, MATCH(B1360,'Room Info'!$G$2:$G3446, 0)))))))))</f>
        <v>volkovsky</v>
      </c>
      <c r="B1360" s="50" t="s">
        <v>216</v>
      </c>
      <c r="C1360" s="82">
        <v>44886.0</v>
      </c>
      <c r="D1360" s="82">
        <v>44915.0</v>
      </c>
      <c r="E1360" s="52">
        <v>44896.0</v>
      </c>
      <c r="F1360" s="53" t="s">
        <v>4</v>
      </c>
      <c r="G1360" s="59" t="s">
        <v>5</v>
      </c>
      <c r="H1360" s="54" t="s">
        <v>85</v>
      </c>
      <c r="I1360" s="54" t="s">
        <v>7</v>
      </c>
      <c r="J1360" s="55">
        <v>100.0</v>
      </c>
      <c r="K1360" s="56">
        <v>2289.0</v>
      </c>
      <c r="L1360" s="57">
        <v>-10300.0</v>
      </c>
      <c r="M1360" s="58">
        <v>10201.0</v>
      </c>
      <c r="N1360" s="33">
        <f t="shared" si="155"/>
        <v>228900</v>
      </c>
      <c r="O1360" s="59">
        <v>44440.0</v>
      </c>
      <c r="P1360" s="34">
        <f t="shared" si="14"/>
        <v>19.41459152</v>
      </c>
      <c r="Q1360" s="60"/>
      <c r="R1360" s="36">
        <f t="shared" si="196"/>
        <v>10201</v>
      </c>
      <c r="S1360" s="61">
        <v>-4044.0</v>
      </c>
      <c r="T1360" s="37">
        <f t="shared" si="197"/>
        <v>6157</v>
      </c>
      <c r="U1360" s="62"/>
      <c r="V1360" s="63"/>
      <c r="W1360" s="63"/>
      <c r="X1360" s="35">
        <f t="shared" si="201"/>
        <v>0.1</v>
      </c>
      <c r="Y1360" s="35">
        <f t="shared" si="202"/>
        <v>0</v>
      </c>
      <c r="Z1360" s="40">
        <f t="shared" si="198"/>
        <v>5541.3</v>
      </c>
      <c r="AA1360" s="34">
        <f t="shared" si="199"/>
        <v>615.7</v>
      </c>
      <c r="AB1360" s="41">
        <f t="shared" si="200"/>
        <v>0</v>
      </c>
      <c r="AC1360" s="42" t="b">
        <v>1</v>
      </c>
      <c r="AD1360" s="42" t="s">
        <v>138</v>
      </c>
      <c r="AE1360" s="42" t="s">
        <v>138</v>
      </c>
      <c r="AF1360" s="42" t="str">
        <f t="array" ref="AF1360">INDEX('Deal Info'!D:D, MATCH(A1360,'Deal Info'!A:A, 0))</f>
        <v>Fix10</v>
      </c>
      <c r="AG1360" s="43" t="str">
        <f t="array" ref="AG1360">INDEX('Deal Info'!G:G, MATCH(A1360,'Deal Info'!A:A, 0))</f>
        <v>None</v>
      </c>
    </row>
    <row r="1361" hidden="1">
      <c r="A1361" s="23" t="str">
        <f t="array" ref="A1361">if(G1361='Room Info'!$B$1, INDEX('Room Info'!$A$2:$A3446, MATCH(B1361,'Room Info'!$B$2:$B3446, 0)),if(G1361='Room Info'!$C$1, INDEX('Room Info'!$A$2:$A3446, MATCH(B1361,'Room Info'!$C$2:$C3446, 0)),if(G1361='Room Info'!$D$1, INDEX('Room Info'!$A$2:$A3446, MATCH(B1361,'Room Info'!$D$2:$D3446, 0)),if(G1361='Room Info'!$E$1, INDEX('Room Info'!$A$2:$A3446, MATCH(B1361,'Room Info'!$E$2:$E3446, 0)),if(G1361='Room Info'!$F$1, INDEX('Room Info'!$A$2:$A3446, MATCH(B1361,'Room Info'!$F$2:$F3446, 0)),if(G1361='Room Info'!$H$1, INDEX('Room Info'!$A$2:$A3446, MATCH(B1361,'Room Info'!$H$2:$H3446, 0)),if(G1361='Room Info'!$G$1, INDEX('Room Info'!$A$2:$A3446, MATCH(B1361,'Room Info'!$G$2:$G3446, 0)))))))))</f>
        <v>volkovsky</v>
      </c>
      <c r="B1361" s="50" t="s">
        <v>216</v>
      </c>
      <c r="C1361" s="51">
        <v>44886.0</v>
      </c>
      <c r="D1361" s="51">
        <v>44915.0</v>
      </c>
      <c r="E1361" s="52">
        <v>44896.0</v>
      </c>
      <c r="F1361" s="53" t="s">
        <v>4</v>
      </c>
      <c r="G1361" s="50" t="s">
        <v>5</v>
      </c>
      <c r="H1361" s="54" t="s">
        <v>86</v>
      </c>
      <c r="I1361" s="54" t="s">
        <v>11</v>
      </c>
      <c r="J1361" s="55">
        <v>100.0</v>
      </c>
      <c r="K1361" s="56">
        <v>33.0</v>
      </c>
      <c r="L1361" s="57">
        <v>-400.0</v>
      </c>
      <c r="M1361" s="58">
        <v>147.0</v>
      </c>
      <c r="N1361" s="33">
        <f t="shared" si="155"/>
        <v>3300</v>
      </c>
      <c r="O1361" s="59">
        <v>-2098.0</v>
      </c>
      <c r="P1361" s="34">
        <f t="shared" si="14"/>
        <v>-63.57575758</v>
      </c>
      <c r="Q1361" s="60"/>
      <c r="R1361" s="36">
        <f t="shared" si="196"/>
        <v>147</v>
      </c>
      <c r="S1361" s="61">
        <v>-835.0</v>
      </c>
      <c r="T1361" s="37">
        <f t="shared" si="197"/>
        <v>-688</v>
      </c>
      <c r="U1361" s="62"/>
      <c r="V1361" s="63"/>
      <c r="W1361" s="63"/>
      <c r="X1361" s="35">
        <f t="shared" si="201"/>
        <v>0.1</v>
      </c>
      <c r="Y1361" s="35">
        <f t="shared" si="202"/>
        <v>0</v>
      </c>
      <c r="Z1361" s="40">
        <f t="shared" si="198"/>
        <v>-619.2</v>
      </c>
      <c r="AA1361" s="34">
        <f t="shared" si="199"/>
        <v>-68.8</v>
      </c>
      <c r="AB1361" s="41">
        <f t="shared" si="200"/>
        <v>0</v>
      </c>
      <c r="AC1361" s="42" t="b">
        <v>1</v>
      </c>
      <c r="AD1361" s="42" t="s">
        <v>138</v>
      </c>
      <c r="AE1361" s="42" t="s">
        <v>138</v>
      </c>
      <c r="AF1361" s="42" t="str">
        <f t="array" ref="AF1361">INDEX('Deal Info'!D:D, MATCH(A1361,'Deal Info'!A:A, 0))</f>
        <v>Fix10</v>
      </c>
      <c r="AG1361" s="43" t="str">
        <f t="array" ref="AG1361">INDEX('Deal Info'!G:G, MATCH(A1361,'Deal Info'!A:A, 0))</f>
        <v>None</v>
      </c>
    </row>
    <row r="1362" hidden="1">
      <c r="A1362" s="23" t="str">
        <f t="array" ref="A1362">if(G1362='Room Info'!$B$1, INDEX('Room Info'!$A$2:$A3446, MATCH(B1362,'Room Info'!$B$2:$B3446, 0)),if(G1362='Room Info'!$C$1, INDEX('Room Info'!$A$2:$A3446, MATCH(B1362,'Room Info'!$C$2:$C3446, 0)),if(G1362='Room Info'!$D$1, INDEX('Room Info'!$A$2:$A3446, MATCH(B1362,'Room Info'!$D$2:$D3446, 0)),if(G1362='Room Info'!$E$1, INDEX('Room Info'!$A$2:$A3446, MATCH(B1362,'Room Info'!$E$2:$E3446, 0)),if(G1362='Room Info'!$F$1, INDEX('Room Info'!$A$2:$A3446, MATCH(B1362,'Room Info'!$F$2:$F3446, 0)),if(G1362='Room Info'!$H$1, INDEX('Room Info'!$A$2:$A3446, MATCH(B1362,'Room Info'!$H$2:$H3446, 0)),if(G1362='Room Info'!$G$1, INDEX('Room Info'!$A$2:$A3446, MATCH(B1362,'Room Info'!$G$2:$G3446, 0)))))))))</f>
        <v>volkovsky</v>
      </c>
      <c r="B1362" s="50" t="s">
        <v>216</v>
      </c>
      <c r="C1362" s="51">
        <v>44886.0</v>
      </c>
      <c r="D1362" s="51">
        <v>44915.0</v>
      </c>
      <c r="E1362" s="52">
        <v>44896.0</v>
      </c>
      <c r="F1362" s="53" t="s">
        <v>4</v>
      </c>
      <c r="G1362" s="50" t="s">
        <v>5</v>
      </c>
      <c r="H1362" s="54" t="s">
        <v>96</v>
      </c>
      <c r="I1362" s="54" t="s">
        <v>7</v>
      </c>
      <c r="J1362" s="55">
        <v>250.0</v>
      </c>
      <c r="K1362" s="56">
        <v>615.0</v>
      </c>
      <c r="L1362" s="57">
        <v>750.0</v>
      </c>
      <c r="M1362" s="58">
        <v>6852.0</v>
      </c>
      <c r="N1362" s="33">
        <f t="shared" si="155"/>
        <v>153750</v>
      </c>
      <c r="O1362" s="59">
        <v>205.0</v>
      </c>
      <c r="P1362" s="34">
        <f t="shared" si="14"/>
        <v>0.3333333333</v>
      </c>
      <c r="Q1362" s="60"/>
      <c r="R1362" s="36">
        <f t="shared" si="196"/>
        <v>6852</v>
      </c>
      <c r="S1362" s="61">
        <v>-7846.0</v>
      </c>
      <c r="T1362" s="37">
        <f t="shared" si="197"/>
        <v>-994</v>
      </c>
      <c r="U1362" s="62"/>
      <c r="V1362" s="63"/>
      <c r="W1362" s="63"/>
      <c r="X1362" s="35">
        <f t="shared" si="201"/>
        <v>0.1</v>
      </c>
      <c r="Y1362" s="35">
        <f t="shared" si="202"/>
        <v>0</v>
      </c>
      <c r="Z1362" s="40">
        <f t="shared" si="198"/>
        <v>-894.6</v>
      </c>
      <c r="AA1362" s="34">
        <f t="shared" si="199"/>
        <v>-99.4</v>
      </c>
      <c r="AB1362" s="41">
        <f t="shared" si="200"/>
        <v>0</v>
      </c>
      <c r="AC1362" s="42" t="b">
        <v>1</v>
      </c>
      <c r="AD1362" s="42" t="s">
        <v>138</v>
      </c>
      <c r="AE1362" s="42" t="s">
        <v>138</v>
      </c>
      <c r="AF1362" s="42" t="str">
        <f t="array" ref="AF1362">INDEX('Deal Info'!D:D, MATCH(A1362,'Deal Info'!A:A, 0))</f>
        <v>Fix10</v>
      </c>
      <c r="AG1362" s="43" t="str">
        <f t="array" ref="AG1362">INDEX('Deal Info'!G:G, MATCH(A1362,'Deal Info'!A:A, 0))</f>
        <v>None</v>
      </c>
    </row>
    <row r="1363" hidden="1">
      <c r="A1363" s="23" t="str">
        <f t="array" ref="A1363">if(G1363='Room Info'!$B$1, INDEX('Room Info'!$A$2:$A3446, MATCH(B1363,'Room Info'!$B$2:$B3446, 0)),if(G1363='Room Info'!$C$1, INDEX('Room Info'!$A$2:$A3446, MATCH(B1363,'Room Info'!$C$2:$C3446, 0)),if(G1363='Room Info'!$D$1, INDEX('Room Info'!$A$2:$A3446, MATCH(B1363,'Room Info'!$D$2:$D3446, 0)),if(G1363='Room Info'!$E$1, INDEX('Room Info'!$A$2:$A3446, MATCH(B1363,'Room Info'!$E$2:$E3446, 0)),if(G1363='Room Info'!$F$1, INDEX('Room Info'!$A$2:$A3446, MATCH(B1363,'Room Info'!$F$2:$F3446, 0)),if(G1363='Room Info'!$H$1, INDEX('Room Info'!$A$2:$A3446, MATCH(B1363,'Room Info'!$H$2:$H3446, 0)),if(G1363='Room Info'!$G$1, INDEX('Room Info'!$A$2:$A3446, MATCH(B1363,'Room Info'!$G$2:$G3446, 0)))))))))</f>
        <v>volkovsky</v>
      </c>
      <c r="B1363" s="50" t="s">
        <v>216</v>
      </c>
      <c r="C1363" s="51">
        <v>44886.0</v>
      </c>
      <c r="D1363" s="51">
        <v>44915.0</v>
      </c>
      <c r="E1363" s="52">
        <v>44896.0</v>
      </c>
      <c r="F1363" s="53" t="s">
        <v>4</v>
      </c>
      <c r="G1363" s="50" t="s">
        <v>5</v>
      </c>
      <c r="H1363" s="54" t="s">
        <v>97</v>
      </c>
      <c r="I1363" s="54" t="s">
        <v>11</v>
      </c>
      <c r="J1363" s="55">
        <v>250.0</v>
      </c>
      <c r="K1363" s="56">
        <v>51.0</v>
      </c>
      <c r="L1363" s="57">
        <v>1500.0</v>
      </c>
      <c r="M1363" s="58">
        <v>568.0</v>
      </c>
      <c r="N1363" s="33">
        <f t="shared" si="155"/>
        <v>12750</v>
      </c>
      <c r="O1363" s="59">
        <v>409.0</v>
      </c>
      <c r="P1363" s="34">
        <f t="shared" si="14"/>
        <v>8.019607843</v>
      </c>
      <c r="Q1363" s="60"/>
      <c r="R1363" s="36">
        <f t="shared" si="196"/>
        <v>568</v>
      </c>
      <c r="S1363" s="61">
        <v>-338.0</v>
      </c>
      <c r="T1363" s="37">
        <f t="shared" si="197"/>
        <v>230</v>
      </c>
      <c r="U1363" s="62"/>
      <c r="V1363" s="63"/>
      <c r="W1363" s="63"/>
      <c r="X1363" s="35">
        <f t="shared" si="201"/>
        <v>0.1</v>
      </c>
      <c r="Y1363" s="35">
        <f t="shared" si="202"/>
        <v>0</v>
      </c>
      <c r="Z1363" s="40">
        <f t="shared" si="198"/>
        <v>207</v>
      </c>
      <c r="AA1363" s="34">
        <f t="shared" si="199"/>
        <v>23</v>
      </c>
      <c r="AB1363" s="41">
        <f t="shared" si="200"/>
        <v>0</v>
      </c>
      <c r="AC1363" s="42" t="b">
        <v>1</v>
      </c>
      <c r="AD1363" s="42" t="s">
        <v>138</v>
      </c>
      <c r="AE1363" s="42" t="s">
        <v>138</v>
      </c>
      <c r="AF1363" s="42" t="str">
        <f t="array" ref="AF1363">INDEX('Deal Info'!D:D, MATCH(A1363,'Deal Info'!A:A, 0))</f>
        <v>Fix10</v>
      </c>
      <c r="AG1363" s="43" t="str">
        <f t="array" ref="AG1363">INDEX('Deal Info'!G:G, MATCH(A1363,'Deal Info'!A:A, 0))</f>
        <v>None</v>
      </c>
    </row>
    <row r="1364" hidden="1">
      <c r="A1364" s="23" t="str">
        <f t="array" ref="A1364">if(G1364='Room Info'!$B$1, INDEX('Room Info'!$A$2:$A3446, MATCH(B1364,'Room Info'!$B$2:$B3446, 0)),if(G1364='Room Info'!$C$1, INDEX('Room Info'!$A$2:$A3446, MATCH(B1364,'Room Info'!$C$2:$C3446, 0)),if(G1364='Room Info'!$D$1, INDEX('Room Info'!$A$2:$A3446, MATCH(B1364,'Room Info'!$D$2:$D3446, 0)),if(G1364='Room Info'!$E$1, INDEX('Room Info'!$A$2:$A3446, MATCH(B1364,'Room Info'!$E$2:$E3446, 0)),if(G1364='Room Info'!$F$1, INDEX('Room Info'!$A$2:$A3446, MATCH(B1364,'Room Info'!$F$2:$F3446, 0)),if(G1364='Room Info'!$H$1, INDEX('Room Info'!$A$2:$A3446, MATCH(B1364,'Room Info'!$H$2:$H3446, 0)),if(G1364='Room Info'!$G$1, INDEX('Room Info'!$A$2:$A3446, MATCH(B1364,'Room Info'!$G$2:$G3446, 0)))))))))</f>
        <v>volkovsky</v>
      </c>
      <c r="B1364" s="50" t="s">
        <v>216</v>
      </c>
      <c r="C1364" s="51">
        <v>44916.0</v>
      </c>
      <c r="D1364" s="51">
        <v>44946.0</v>
      </c>
      <c r="E1364" s="52">
        <v>44927.0</v>
      </c>
      <c r="F1364" s="53" t="s">
        <v>4</v>
      </c>
      <c r="G1364" s="50" t="s">
        <v>5</v>
      </c>
      <c r="H1364" s="54" t="s">
        <v>85</v>
      </c>
      <c r="I1364" s="54" t="s">
        <v>7</v>
      </c>
      <c r="J1364" s="55">
        <v>100.0</v>
      </c>
      <c r="K1364" s="56">
        <v>1844.0</v>
      </c>
      <c r="L1364" s="57">
        <v>9500.0</v>
      </c>
      <c r="M1364" s="58">
        <v>7331.0</v>
      </c>
      <c r="N1364" s="33">
        <f t="shared" si="155"/>
        <v>184400</v>
      </c>
      <c r="O1364" s="59">
        <v>50315.0</v>
      </c>
      <c r="P1364" s="34">
        <f t="shared" si="14"/>
        <v>27.28579176</v>
      </c>
      <c r="Q1364" s="60"/>
      <c r="R1364" s="36">
        <f t="shared" si="196"/>
        <v>7331</v>
      </c>
      <c r="S1364" s="61">
        <v>-172.0</v>
      </c>
      <c r="T1364" s="37">
        <f t="shared" si="197"/>
        <v>7159</v>
      </c>
      <c r="U1364" s="62"/>
      <c r="V1364" s="63"/>
      <c r="W1364" s="63"/>
      <c r="X1364" s="35">
        <f t="shared" si="201"/>
        <v>0.1</v>
      </c>
      <c r="Y1364" s="35">
        <f t="shared" si="202"/>
        <v>0</v>
      </c>
      <c r="Z1364" s="40">
        <f t="shared" si="198"/>
        <v>6443.1</v>
      </c>
      <c r="AA1364" s="34">
        <f t="shared" si="199"/>
        <v>715.9</v>
      </c>
      <c r="AB1364" s="41">
        <f t="shared" si="200"/>
        <v>0</v>
      </c>
      <c r="AC1364" s="42" t="b">
        <v>1</v>
      </c>
      <c r="AD1364" s="42" t="s">
        <v>138</v>
      </c>
      <c r="AE1364" s="42" t="s">
        <v>138</v>
      </c>
      <c r="AF1364" s="42" t="str">
        <f t="array" ref="AF1364">INDEX('Deal Info'!D:D, MATCH(A1364,'Deal Info'!A:A, 0))</f>
        <v>Fix10</v>
      </c>
      <c r="AG1364" s="43" t="str">
        <f t="array" ref="AG1364">INDEX('Deal Info'!G:G, MATCH(A1364,'Deal Info'!A:A, 0))</f>
        <v>None</v>
      </c>
    </row>
    <row r="1365" hidden="1">
      <c r="A1365" s="23" t="str">
        <f t="array" ref="A1365">if(G1365='Room Info'!$B$1, INDEX('Room Info'!$A$2:$A3446, MATCH(B1365,'Room Info'!$B$2:$B3446, 0)),if(G1365='Room Info'!$C$1, INDEX('Room Info'!$A$2:$A3446, MATCH(B1365,'Room Info'!$C$2:$C3446, 0)),if(G1365='Room Info'!$D$1, INDEX('Room Info'!$A$2:$A3446, MATCH(B1365,'Room Info'!$D$2:$D3446, 0)),if(G1365='Room Info'!$E$1, INDEX('Room Info'!$A$2:$A3446, MATCH(B1365,'Room Info'!$E$2:$E3446, 0)),if(G1365='Room Info'!$F$1, INDEX('Room Info'!$A$2:$A3446, MATCH(B1365,'Room Info'!$F$2:$F3446, 0)),if(G1365='Room Info'!$H$1, INDEX('Room Info'!$A$2:$A3446, MATCH(B1365,'Room Info'!$H$2:$H3446, 0)),if(G1365='Room Info'!$G$1, INDEX('Room Info'!$A$2:$A3446, MATCH(B1365,'Room Info'!$G$2:$G3446, 0)))))))))</f>
        <v>volkovsky</v>
      </c>
      <c r="B1365" s="50" t="s">
        <v>216</v>
      </c>
      <c r="C1365" s="51">
        <v>44916.0</v>
      </c>
      <c r="D1365" s="51">
        <v>44946.0</v>
      </c>
      <c r="E1365" s="52">
        <v>44927.0</v>
      </c>
      <c r="F1365" s="53" t="s">
        <v>4</v>
      </c>
      <c r="G1365" s="50" t="s">
        <v>5</v>
      </c>
      <c r="H1365" s="54" t="s">
        <v>86</v>
      </c>
      <c r="I1365" s="54" t="s">
        <v>11</v>
      </c>
      <c r="J1365" s="55">
        <v>100.0</v>
      </c>
      <c r="K1365" s="56">
        <v>101.0</v>
      </c>
      <c r="L1365" s="57">
        <v>-1800.0</v>
      </c>
      <c r="M1365" s="58">
        <v>402.0</v>
      </c>
      <c r="N1365" s="33">
        <f t="shared" si="155"/>
        <v>10100</v>
      </c>
      <c r="O1365" s="59">
        <v>-188.0</v>
      </c>
      <c r="P1365" s="34">
        <f t="shared" si="14"/>
        <v>-1.861386139</v>
      </c>
      <c r="Q1365" s="60"/>
      <c r="R1365" s="36">
        <f t="shared" si="196"/>
        <v>402</v>
      </c>
      <c r="S1365" s="61">
        <v>-585.0</v>
      </c>
      <c r="T1365" s="37">
        <f t="shared" si="197"/>
        <v>-183</v>
      </c>
      <c r="U1365" s="62"/>
      <c r="V1365" s="63"/>
      <c r="W1365" s="63"/>
      <c r="X1365" s="35">
        <f t="shared" si="201"/>
        <v>0.1</v>
      </c>
      <c r="Y1365" s="35">
        <f t="shared" si="202"/>
        <v>0</v>
      </c>
      <c r="Z1365" s="40">
        <f t="shared" si="198"/>
        <v>-164.7</v>
      </c>
      <c r="AA1365" s="34">
        <f t="shared" si="199"/>
        <v>-18.3</v>
      </c>
      <c r="AB1365" s="41">
        <f t="shared" si="200"/>
        <v>0</v>
      </c>
      <c r="AC1365" s="42" t="b">
        <v>1</v>
      </c>
      <c r="AD1365" s="42" t="s">
        <v>138</v>
      </c>
      <c r="AE1365" s="42" t="s">
        <v>138</v>
      </c>
      <c r="AF1365" s="42" t="str">
        <f t="array" ref="AF1365">INDEX('Deal Info'!D:D, MATCH(A1365,'Deal Info'!A:A, 0))</f>
        <v>Fix10</v>
      </c>
      <c r="AG1365" s="43" t="str">
        <f t="array" ref="AG1365">INDEX('Deal Info'!G:G, MATCH(A1365,'Deal Info'!A:A, 0))</f>
        <v>None</v>
      </c>
    </row>
    <row r="1366" hidden="1">
      <c r="A1366" s="23" t="str">
        <f t="array" ref="A1366">if(G1366='Room Info'!$B$1, INDEX('Room Info'!$A$2:$A3446, MATCH(B1366,'Room Info'!$B$2:$B3446, 0)),if(G1366='Room Info'!$C$1, INDEX('Room Info'!$A$2:$A3446, MATCH(B1366,'Room Info'!$C$2:$C3446, 0)),if(G1366='Room Info'!$D$1, INDEX('Room Info'!$A$2:$A3446, MATCH(B1366,'Room Info'!$D$2:$D3446, 0)),if(G1366='Room Info'!$E$1, INDEX('Room Info'!$A$2:$A3446, MATCH(B1366,'Room Info'!$E$2:$E3446, 0)),if(G1366='Room Info'!$F$1, INDEX('Room Info'!$A$2:$A3446, MATCH(B1366,'Room Info'!$F$2:$F3446, 0)),if(G1366='Room Info'!$H$1, INDEX('Room Info'!$A$2:$A3446, MATCH(B1366,'Room Info'!$H$2:$H3446, 0)),if(G1366='Room Info'!$G$1, INDEX('Room Info'!$A$2:$A3446, MATCH(B1366,'Room Info'!$G$2:$G3446, 0)))))))))</f>
        <v>volkovsky</v>
      </c>
      <c r="B1366" s="50" t="s">
        <v>216</v>
      </c>
      <c r="C1366" s="51">
        <v>44916.0</v>
      </c>
      <c r="D1366" s="51">
        <v>44946.0</v>
      </c>
      <c r="E1366" s="52">
        <v>44927.0</v>
      </c>
      <c r="F1366" s="53" t="s">
        <v>4</v>
      </c>
      <c r="G1366" s="50" t="s">
        <v>5</v>
      </c>
      <c r="H1366" s="54" t="s">
        <v>96</v>
      </c>
      <c r="I1366" s="54" t="s">
        <v>7</v>
      </c>
      <c r="J1366" s="55">
        <v>250.0</v>
      </c>
      <c r="K1366" s="56">
        <v>584.0</v>
      </c>
      <c r="L1366" s="57">
        <v>21000.0</v>
      </c>
      <c r="M1366" s="58">
        <v>5804.0</v>
      </c>
      <c r="N1366" s="33">
        <f t="shared" si="155"/>
        <v>146000</v>
      </c>
      <c r="O1366" s="59">
        <v>22707.0</v>
      </c>
      <c r="P1366" s="34">
        <f t="shared" si="14"/>
        <v>38.88184932</v>
      </c>
      <c r="Q1366" s="60"/>
      <c r="R1366" s="36">
        <f t="shared" si="196"/>
        <v>5804</v>
      </c>
      <c r="S1366" s="61">
        <v>3415.0</v>
      </c>
      <c r="T1366" s="37">
        <f t="shared" si="197"/>
        <v>9219</v>
      </c>
      <c r="U1366" s="62"/>
      <c r="V1366" s="63"/>
      <c r="W1366" s="63"/>
      <c r="X1366" s="35">
        <f t="shared" si="201"/>
        <v>0.1</v>
      </c>
      <c r="Y1366" s="35">
        <f t="shared" si="202"/>
        <v>0</v>
      </c>
      <c r="Z1366" s="40">
        <f t="shared" si="198"/>
        <v>8297.1</v>
      </c>
      <c r="AA1366" s="34">
        <f t="shared" si="199"/>
        <v>921.9</v>
      </c>
      <c r="AB1366" s="41">
        <f t="shared" si="200"/>
        <v>0</v>
      </c>
      <c r="AC1366" s="42" t="b">
        <v>1</v>
      </c>
      <c r="AD1366" s="42" t="s">
        <v>138</v>
      </c>
      <c r="AE1366" s="42" t="s">
        <v>138</v>
      </c>
      <c r="AF1366" s="42" t="str">
        <f t="array" ref="AF1366">INDEX('Deal Info'!D:D, MATCH(A1366,'Deal Info'!A:A, 0))</f>
        <v>Fix10</v>
      </c>
      <c r="AG1366" s="43" t="str">
        <f t="array" ref="AG1366">INDEX('Deal Info'!G:G, MATCH(A1366,'Deal Info'!A:A, 0))</f>
        <v>None</v>
      </c>
    </row>
    <row r="1367" hidden="1">
      <c r="A1367" s="23" t="str">
        <f t="array" ref="A1367">if(G1367='Room Info'!$B$1, INDEX('Room Info'!$A$2:$A3446, MATCH(B1367,'Room Info'!$B$2:$B3446, 0)),if(G1367='Room Info'!$C$1, INDEX('Room Info'!$A$2:$A3446, MATCH(B1367,'Room Info'!$C$2:$C3446, 0)),if(G1367='Room Info'!$D$1, INDEX('Room Info'!$A$2:$A3446, MATCH(B1367,'Room Info'!$D$2:$D3446, 0)),if(G1367='Room Info'!$E$1, INDEX('Room Info'!$A$2:$A3446, MATCH(B1367,'Room Info'!$E$2:$E3446, 0)),if(G1367='Room Info'!$F$1, INDEX('Room Info'!$A$2:$A3446, MATCH(B1367,'Room Info'!$F$2:$F3446, 0)),if(G1367='Room Info'!$H$1, INDEX('Room Info'!$A$2:$A3446, MATCH(B1367,'Room Info'!$H$2:$H3446, 0)),if(G1367='Room Info'!$G$1, INDEX('Room Info'!$A$2:$A3446, MATCH(B1367,'Room Info'!$G$2:$G3446, 0)))))))))</f>
        <v>volkovsky</v>
      </c>
      <c r="B1367" s="50" t="s">
        <v>216</v>
      </c>
      <c r="C1367" s="51">
        <v>44916.0</v>
      </c>
      <c r="D1367" s="51">
        <v>44946.0</v>
      </c>
      <c r="E1367" s="52">
        <v>44927.0</v>
      </c>
      <c r="F1367" s="53" t="s">
        <v>4</v>
      </c>
      <c r="G1367" s="50" t="s">
        <v>5</v>
      </c>
      <c r="H1367" s="54" t="s">
        <v>97</v>
      </c>
      <c r="I1367" s="54" t="s">
        <v>11</v>
      </c>
      <c r="J1367" s="55">
        <v>250.0</v>
      </c>
      <c r="K1367" s="56">
        <v>97.0</v>
      </c>
      <c r="L1367" s="57">
        <v>-4250.0</v>
      </c>
      <c r="M1367" s="58">
        <v>964.0</v>
      </c>
      <c r="N1367" s="33">
        <f t="shared" si="155"/>
        <v>24250</v>
      </c>
      <c r="O1367" s="59">
        <v>815.0</v>
      </c>
      <c r="P1367" s="34">
        <f t="shared" si="14"/>
        <v>8.402061856</v>
      </c>
      <c r="Q1367" s="60"/>
      <c r="R1367" s="36">
        <f t="shared" si="196"/>
        <v>964</v>
      </c>
      <c r="S1367" s="61">
        <v>-566.0</v>
      </c>
      <c r="T1367" s="37">
        <f t="shared" si="197"/>
        <v>398</v>
      </c>
      <c r="U1367" s="62"/>
      <c r="V1367" s="63"/>
      <c r="W1367" s="63"/>
      <c r="X1367" s="35">
        <f t="shared" si="201"/>
        <v>0.1</v>
      </c>
      <c r="Y1367" s="35">
        <f t="shared" si="202"/>
        <v>0</v>
      </c>
      <c r="Z1367" s="40">
        <f t="shared" si="198"/>
        <v>358.2</v>
      </c>
      <c r="AA1367" s="34">
        <f t="shared" si="199"/>
        <v>39.8</v>
      </c>
      <c r="AB1367" s="41">
        <f t="shared" si="200"/>
        <v>0</v>
      </c>
      <c r="AC1367" s="42" t="b">
        <v>1</v>
      </c>
      <c r="AD1367" s="42" t="s">
        <v>138</v>
      </c>
      <c r="AE1367" s="42" t="s">
        <v>138</v>
      </c>
      <c r="AF1367" s="42" t="str">
        <f t="array" ref="AF1367">INDEX('Deal Info'!D:D, MATCH(A1367,'Deal Info'!A:A, 0))</f>
        <v>Fix10</v>
      </c>
      <c r="AG1367" s="43" t="str">
        <f t="array" ref="AG1367">INDEX('Deal Info'!G:G, MATCH(A1367,'Deal Info'!A:A, 0))</f>
        <v>None</v>
      </c>
    </row>
    <row r="1368" hidden="1">
      <c r="A1368" s="23" t="str">
        <f t="array" ref="A1368">if(G1368='Room Info'!$B$1, INDEX('Room Info'!$A$2:$A3446, MATCH(B1368,'Room Info'!$B$2:$B3446, 0)),if(G1368='Room Info'!$C$1, INDEX('Room Info'!$A$2:$A3446, MATCH(B1368,'Room Info'!$C$2:$C3446, 0)),if(G1368='Room Info'!$D$1, INDEX('Room Info'!$A$2:$A3446, MATCH(B1368,'Room Info'!$D$2:$D3446, 0)),if(G1368='Room Info'!$E$1, INDEX('Room Info'!$A$2:$A3446, MATCH(B1368,'Room Info'!$E$2:$E3446, 0)),if(G1368='Room Info'!$F$1, INDEX('Room Info'!$A$2:$A3446, MATCH(B1368,'Room Info'!$F$2:$F3446, 0)),if(G1368='Room Info'!$H$1, INDEX('Room Info'!$A$2:$A3446, MATCH(B1368,'Room Info'!$H$2:$H3446, 0)),if(G1368='Room Info'!$G$1, INDEX('Room Info'!$A$2:$A3446, MATCH(B1368,'Room Info'!$G$2:$G3446, 0)))))))))</f>
        <v>guilexperi</v>
      </c>
      <c r="B1368" s="50" t="s">
        <v>218</v>
      </c>
      <c r="C1368" s="51">
        <v>44835.0</v>
      </c>
      <c r="D1368" s="51">
        <v>44865.0</v>
      </c>
      <c r="E1368" s="52">
        <v>44835.0</v>
      </c>
      <c r="F1368" s="53" t="s">
        <v>8</v>
      </c>
      <c r="G1368" s="50" t="s">
        <v>5</v>
      </c>
      <c r="H1368" s="54" t="s">
        <v>107</v>
      </c>
      <c r="I1368" s="54" t="s">
        <v>15</v>
      </c>
      <c r="J1368" s="55">
        <v>1000.0</v>
      </c>
      <c r="K1368" s="56">
        <v>3.0</v>
      </c>
      <c r="L1368" s="57">
        <v>-1022.0</v>
      </c>
      <c r="M1368" s="58">
        <v>24.0</v>
      </c>
      <c r="N1368" s="33">
        <f t="shared" si="155"/>
        <v>3000</v>
      </c>
      <c r="O1368" s="59">
        <v>-333.0</v>
      </c>
      <c r="P1368" s="34">
        <f t="shared" si="14"/>
        <v>-111</v>
      </c>
      <c r="Q1368" s="60"/>
      <c r="R1368" s="36">
        <f t="shared" si="196"/>
        <v>24</v>
      </c>
      <c r="S1368" s="61">
        <v>-704.0</v>
      </c>
      <c r="T1368" s="37">
        <f t="shared" si="197"/>
        <v>-680</v>
      </c>
      <c r="U1368" s="62"/>
      <c r="V1368" s="63"/>
      <c r="W1368" s="63"/>
      <c r="X1368" s="35" t="b">
        <f t="shared" si="201"/>
        <v>0</v>
      </c>
      <c r="Y1368" s="83">
        <v>0.22</v>
      </c>
      <c r="Z1368" s="40">
        <f t="shared" si="198"/>
        <v>-530.4</v>
      </c>
      <c r="AA1368" s="34">
        <f t="shared" si="199"/>
        <v>0</v>
      </c>
      <c r="AB1368" s="41">
        <f t="shared" si="200"/>
        <v>-149.6</v>
      </c>
      <c r="AC1368" s="66" t="b">
        <v>1</v>
      </c>
      <c r="AD1368" s="42" t="s">
        <v>138</v>
      </c>
      <c r="AE1368" s="42" t="s">
        <v>138</v>
      </c>
      <c r="AF1368" s="42" t="str">
        <f t="array" ref="AF1368">INDEX('Deal Info'!D:D, MATCH(A1368,'Deal Info'!A:A, 0))</f>
        <v>None</v>
      </c>
      <c r="AG1368" s="43" t="str">
        <f t="array" ref="AG1368">INDEX('Deal Info'!G:G, MATCH(A1368,'Deal Info'!A:A, 0))</f>
        <v>guilexperi</v>
      </c>
    </row>
    <row r="1369" hidden="1">
      <c r="A1369" s="23" t="str">
        <f t="array" ref="A1369">if(G1369='Room Info'!$B$1, INDEX('Room Info'!$A$2:$A3446, MATCH(B1369,'Room Info'!$B$2:$B3446, 0)),if(G1369='Room Info'!$C$1, INDEX('Room Info'!$A$2:$A3446, MATCH(B1369,'Room Info'!$C$2:$C3446, 0)),if(G1369='Room Info'!$D$1, INDEX('Room Info'!$A$2:$A3446, MATCH(B1369,'Room Info'!$D$2:$D3446, 0)),if(G1369='Room Info'!$E$1, INDEX('Room Info'!$A$2:$A3446, MATCH(B1369,'Room Info'!$E$2:$E3446, 0)),if(G1369='Room Info'!$F$1, INDEX('Room Info'!$A$2:$A3446, MATCH(B1369,'Room Info'!$F$2:$F3446, 0)),if(G1369='Room Info'!$H$1, INDEX('Room Info'!$A$2:$A3446, MATCH(B1369,'Room Info'!$H$2:$H3446, 0)),if(G1369='Room Info'!$G$1, INDEX('Room Info'!$A$2:$A3446, MATCH(B1369,'Room Info'!$G$2:$G3446, 0)))))))))</f>
        <v>guilexperi</v>
      </c>
      <c r="B1369" s="50" t="s">
        <v>218</v>
      </c>
      <c r="C1369" s="51">
        <v>44835.0</v>
      </c>
      <c r="D1369" s="51">
        <v>44865.0</v>
      </c>
      <c r="E1369" s="52">
        <v>44835.0</v>
      </c>
      <c r="F1369" s="53" t="s">
        <v>8</v>
      </c>
      <c r="G1369" s="50" t="s">
        <v>5</v>
      </c>
      <c r="H1369" s="54" t="s">
        <v>103</v>
      </c>
      <c r="I1369" s="54" t="s">
        <v>15</v>
      </c>
      <c r="J1369" s="55">
        <v>500.0</v>
      </c>
      <c r="K1369" s="56">
        <v>21.0</v>
      </c>
      <c r="L1369" s="57">
        <v>-633.0</v>
      </c>
      <c r="M1369" s="58">
        <v>100.0</v>
      </c>
      <c r="N1369" s="33">
        <f t="shared" si="155"/>
        <v>10500</v>
      </c>
      <c r="O1369" s="59">
        <v>-1244.0</v>
      </c>
      <c r="P1369" s="34">
        <f t="shared" si="14"/>
        <v>-59.23809524</v>
      </c>
      <c r="Q1369" s="60"/>
      <c r="R1369" s="36">
        <f t="shared" si="196"/>
        <v>100</v>
      </c>
      <c r="S1369" s="121">
        <v>-1416.0</v>
      </c>
      <c r="T1369" s="37">
        <f t="shared" si="197"/>
        <v>-1316</v>
      </c>
      <c r="U1369" s="62"/>
      <c r="V1369" s="63"/>
      <c r="W1369" s="63"/>
      <c r="X1369" s="35" t="b">
        <f t="shared" si="201"/>
        <v>0</v>
      </c>
      <c r="Y1369" s="83">
        <v>0.22</v>
      </c>
      <c r="Z1369" s="40">
        <f t="shared" si="198"/>
        <v>-1026.48</v>
      </c>
      <c r="AA1369" s="34">
        <f t="shared" si="199"/>
        <v>0</v>
      </c>
      <c r="AB1369" s="41">
        <f t="shared" si="200"/>
        <v>-289.52</v>
      </c>
      <c r="AC1369" s="66" t="b">
        <v>1</v>
      </c>
      <c r="AD1369" s="42" t="s">
        <v>138</v>
      </c>
      <c r="AE1369" s="42" t="s">
        <v>138</v>
      </c>
      <c r="AF1369" s="42" t="str">
        <f t="array" ref="AF1369">INDEX('Deal Info'!D:D, MATCH(A1369,'Deal Info'!A:A, 0))</f>
        <v>None</v>
      </c>
      <c r="AG1369" s="43" t="str">
        <f t="array" ref="AG1369">INDEX('Deal Info'!G:G, MATCH(A1369,'Deal Info'!A:A, 0))</f>
        <v>guilexperi</v>
      </c>
    </row>
    <row r="1370" hidden="1">
      <c r="A1370" s="23" t="str">
        <f t="array" ref="A1370">if(G1370='Room Info'!$B$1, INDEX('Room Info'!$A$2:$A3446, MATCH(B1370,'Room Info'!$B$2:$B3446, 0)),if(G1370='Room Info'!$C$1, INDEX('Room Info'!$A$2:$A3446, MATCH(B1370,'Room Info'!$C$2:$C3446, 0)),if(G1370='Room Info'!$D$1, INDEX('Room Info'!$A$2:$A3446, MATCH(B1370,'Room Info'!$D$2:$D3446, 0)),if(G1370='Room Info'!$E$1, INDEX('Room Info'!$A$2:$A3446, MATCH(B1370,'Room Info'!$E$2:$E3446, 0)),if(G1370='Room Info'!$F$1, INDEX('Room Info'!$A$2:$A3446, MATCH(B1370,'Room Info'!$F$2:$F3446, 0)),if(G1370='Room Info'!$H$1, INDEX('Room Info'!$A$2:$A3446, MATCH(B1370,'Room Info'!$H$2:$H3446, 0)),if(G1370='Room Info'!$G$1, INDEX('Room Info'!$A$2:$A3446, MATCH(B1370,'Room Info'!$G$2:$G3446, 0)))))))))</f>
        <v>guilexperi</v>
      </c>
      <c r="B1370" s="50" t="s">
        <v>218</v>
      </c>
      <c r="C1370" s="51">
        <v>44835.0</v>
      </c>
      <c r="D1370" s="51">
        <v>44865.0</v>
      </c>
      <c r="E1370" s="52">
        <v>44835.0</v>
      </c>
      <c r="F1370" s="53" t="s">
        <v>8</v>
      </c>
      <c r="G1370" s="50" t="s">
        <v>5</v>
      </c>
      <c r="H1370" s="54" t="s">
        <v>86</v>
      </c>
      <c r="I1370" s="54" t="s">
        <v>11</v>
      </c>
      <c r="J1370" s="55">
        <v>100.0</v>
      </c>
      <c r="K1370" s="56">
        <v>83.0</v>
      </c>
      <c r="L1370" s="57">
        <v>-1200.0</v>
      </c>
      <c r="M1370" s="58">
        <v>296.0</v>
      </c>
      <c r="N1370" s="33">
        <f t="shared" si="155"/>
        <v>8300</v>
      </c>
      <c r="O1370" s="59">
        <v>2067.0</v>
      </c>
      <c r="P1370" s="34">
        <f t="shared" si="14"/>
        <v>24.90361446</v>
      </c>
      <c r="Q1370" s="60"/>
      <c r="R1370" s="36">
        <f t="shared" si="196"/>
        <v>296</v>
      </c>
      <c r="S1370" s="61">
        <v>152.0</v>
      </c>
      <c r="T1370" s="37">
        <f t="shared" si="197"/>
        <v>448</v>
      </c>
      <c r="U1370" s="62"/>
      <c r="V1370" s="63"/>
      <c r="W1370" s="63"/>
      <c r="X1370" s="35" t="b">
        <f t="shared" si="201"/>
        <v>0</v>
      </c>
      <c r="Y1370" s="83">
        <v>0.22</v>
      </c>
      <c r="Z1370" s="40">
        <f t="shared" si="198"/>
        <v>349.44</v>
      </c>
      <c r="AA1370" s="34">
        <f t="shared" si="199"/>
        <v>0</v>
      </c>
      <c r="AB1370" s="41">
        <f t="shared" si="200"/>
        <v>98.56</v>
      </c>
      <c r="AC1370" s="66" t="b">
        <v>1</v>
      </c>
      <c r="AD1370" s="42" t="s">
        <v>138</v>
      </c>
      <c r="AE1370" s="42" t="s">
        <v>138</v>
      </c>
      <c r="AF1370" s="42" t="str">
        <f t="array" ref="AF1370">INDEX('Deal Info'!D:D, MATCH(A1370,'Deal Info'!A:A, 0))</f>
        <v>None</v>
      </c>
      <c r="AG1370" s="43" t="str">
        <f t="array" ref="AG1370">INDEX('Deal Info'!G:G, MATCH(A1370,'Deal Info'!A:A, 0))</f>
        <v>guilexperi</v>
      </c>
    </row>
    <row r="1371" hidden="1">
      <c r="A1371" s="23" t="str">
        <f t="array" ref="A1371">if(G1371='Room Info'!$B$1, INDEX('Room Info'!$A$2:$A3446, MATCH(B1371,'Room Info'!$B$2:$B3446, 0)),if(G1371='Room Info'!$C$1, INDEX('Room Info'!$A$2:$A3446, MATCH(B1371,'Room Info'!$C$2:$C3446, 0)),if(G1371='Room Info'!$D$1, INDEX('Room Info'!$A$2:$A3446, MATCH(B1371,'Room Info'!$D$2:$D3446, 0)),if(G1371='Room Info'!$E$1, INDEX('Room Info'!$A$2:$A3446, MATCH(B1371,'Room Info'!$E$2:$E3446, 0)),if(G1371='Room Info'!$F$1, INDEX('Room Info'!$A$2:$A3446, MATCH(B1371,'Room Info'!$F$2:$F3446, 0)),if(G1371='Room Info'!$H$1, INDEX('Room Info'!$A$2:$A3446, MATCH(B1371,'Room Info'!$H$2:$H3446, 0)),if(G1371='Room Info'!$G$1, INDEX('Room Info'!$A$2:$A3446, MATCH(B1371,'Room Info'!$G$2:$G3446, 0)))))))))</f>
        <v>guilexperi</v>
      </c>
      <c r="B1371" s="50" t="s">
        <v>218</v>
      </c>
      <c r="C1371" s="51">
        <v>44835.0</v>
      </c>
      <c r="D1371" s="51">
        <v>44865.0</v>
      </c>
      <c r="E1371" s="52">
        <v>44835.0</v>
      </c>
      <c r="F1371" s="53" t="s">
        <v>8</v>
      </c>
      <c r="G1371" s="50" t="s">
        <v>5</v>
      </c>
      <c r="H1371" s="54" t="s">
        <v>94</v>
      </c>
      <c r="I1371" s="54" t="s">
        <v>15</v>
      </c>
      <c r="J1371" s="55">
        <v>200.0</v>
      </c>
      <c r="K1371" s="56">
        <v>98.0</v>
      </c>
      <c r="L1371" s="57">
        <v>-1901.0</v>
      </c>
      <c r="M1371" s="58">
        <v>234.0</v>
      </c>
      <c r="N1371" s="33">
        <f t="shared" si="155"/>
        <v>19600</v>
      </c>
      <c r="O1371" s="59">
        <v>-929.0</v>
      </c>
      <c r="P1371" s="34">
        <f t="shared" si="14"/>
        <v>-9.479591837</v>
      </c>
      <c r="Q1371" s="60"/>
      <c r="R1371" s="36">
        <f t="shared" si="196"/>
        <v>234</v>
      </c>
      <c r="S1371" s="61">
        <v>-793.0</v>
      </c>
      <c r="T1371" s="37">
        <f t="shared" si="197"/>
        <v>-559</v>
      </c>
      <c r="U1371" s="62"/>
      <c r="V1371" s="63"/>
      <c r="W1371" s="63"/>
      <c r="X1371" s="35" t="b">
        <f t="shared" si="201"/>
        <v>0</v>
      </c>
      <c r="Y1371" s="83">
        <v>0.22</v>
      </c>
      <c r="Z1371" s="40">
        <f t="shared" si="198"/>
        <v>-436.02</v>
      </c>
      <c r="AA1371" s="34">
        <f t="shared" si="199"/>
        <v>0</v>
      </c>
      <c r="AB1371" s="41">
        <f t="shared" si="200"/>
        <v>-122.98</v>
      </c>
      <c r="AC1371" s="66" t="b">
        <v>1</v>
      </c>
      <c r="AD1371" s="42" t="s">
        <v>138</v>
      </c>
      <c r="AE1371" s="42" t="s">
        <v>138</v>
      </c>
      <c r="AF1371" s="42" t="str">
        <f t="array" ref="AF1371">INDEX('Deal Info'!D:D, MATCH(A1371,'Deal Info'!A:A, 0))</f>
        <v>None</v>
      </c>
      <c r="AG1371" s="43" t="str">
        <f t="array" ref="AG1371">INDEX('Deal Info'!G:G, MATCH(A1371,'Deal Info'!A:A, 0))</f>
        <v>guilexperi</v>
      </c>
    </row>
    <row r="1372" hidden="1">
      <c r="A1372" s="23" t="str">
        <f t="array" ref="A1372">if(G1372='Room Info'!$B$1, INDEX('Room Info'!$A$2:$A3446, MATCH(B1372,'Room Info'!$B$2:$B3446, 0)),if(G1372='Room Info'!$C$1, INDEX('Room Info'!$A$2:$A3446, MATCH(B1372,'Room Info'!$C$2:$C3446, 0)),if(G1372='Room Info'!$D$1, INDEX('Room Info'!$A$2:$A3446, MATCH(B1372,'Room Info'!$D$2:$D3446, 0)),if(G1372='Room Info'!$E$1, INDEX('Room Info'!$A$2:$A3446, MATCH(B1372,'Room Info'!$E$2:$E3446, 0)),if(G1372='Room Info'!$F$1, INDEX('Room Info'!$A$2:$A3446, MATCH(B1372,'Room Info'!$F$2:$F3446, 0)),if(G1372='Room Info'!$H$1, INDEX('Room Info'!$A$2:$A3446, MATCH(B1372,'Room Info'!$H$2:$H3446, 0)),if(G1372='Room Info'!$G$1, INDEX('Room Info'!$A$2:$A3446, MATCH(B1372,'Room Info'!$G$2:$G3446, 0)))))))))</f>
        <v>guilexperi</v>
      </c>
      <c r="B1372" s="50" t="s">
        <v>218</v>
      </c>
      <c r="C1372" s="51">
        <v>44835.0</v>
      </c>
      <c r="D1372" s="51">
        <v>44865.0</v>
      </c>
      <c r="E1372" s="52">
        <v>44835.0</v>
      </c>
      <c r="F1372" s="53" t="s">
        <v>8</v>
      </c>
      <c r="G1372" s="50" t="s">
        <v>5</v>
      </c>
      <c r="H1372" s="54" t="s">
        <v>97</v>
      </c>
      <c r="I1372" s="54" t="s">
        <v>11</v>
      </c>
      <c r="J1372" s="55">
        <v>250.0</v>
      </c>
      <c r="K1372" s="56">
        <v>180.0</v>
      </c>
      <c r="L1372" s="57">
        <v>-7000.0</v>
      </c>
      <c r="M1372" s="58">
        <v>1607.0</v>
      </c>
      <c r="N1372" s="33">
        <f t="shared" si="155"/>
        <v>45000</v>
      </c>
      <c r="O1372" s="59">
        <v>-2229.0</v>
      </c>
      <c r="P1372" s="34">
        <f t="shared" si="14"/>
        <v>-12.38333333</v>
      </c>
      <c r="Q1372" s="60"/>
      <c r="R1372" s="36">
        <f t="shared" si="196"/>
        <v>1607</v>
      </c>
      <c r="S1372" s="121">
        <v>-4286.0</v>
      </c>
      <c r="T1372" s="37">
        <f t="shared" si="197"/>
        <v>-2679</v>
      </c>
      <c r="U1372" s="62"/>
      <c r="V1372" s="63"/>
      <c r="W1372" s="63"/>
      <c r="X1372" s="35" t="b">
        <f t="shared" si="201"/>
        <v>0</v>
      </c>
      <c r="Y1372" s="83">
        <v>0.22</v>
      </c>
      <c r="Z1372" s="40">
        <f t="shared" si="198"/>
        <v>-2089.62</v>
      </c>
      <c r="AA1372" s="34">
        <f t="shared" si="199"/>
        <v>0</v>
      </c>
      <c r="AB1372" s="41">
        <f t="shared" si="200"/>
        <v>-589.38</v>
      </c>
      <c r="AC1372" s="66" t="b">
        <v>1</v>
      </c>
      <c r="AD1372" s="42" t="s">
        <v>138</v>
      </c>
      <c r="AE1372" s="42" t="s">
        <v>138</v>
      </c>
      <c r="AF1372" s="42" t="str">
        <f t="array" ref="AF1372">INDEX('Deal Info'!D:D, MATCH(A1372,'Deal Info'!A:A, 0))</f>
        <v>None</v>
      </c>
      <c r="AG1372" s="43" t="str">
        <f t="array" ref="AG1372">INDEX('Deal Info'!G:G, MATCH(A1372,'Deal Info'!A:A, 0))</f>
        <v>guilexperi</v>
      </c>
    </row>
    <row r="1373" hidden="1">
      <c r="A1373" s="23" t="str">
        <f t="array" ref="A1373">if(G1373='Room Info'!$B$1, INDEX('Room Info'!$A$2:$A3446, MATCH(B1373,'Room Info'!$B$2:$B3446, 0)),if(G1373='Room Info'!$C$1, INDEX('Room Info'!$A$2:$A3446, MATCH(B1373,'Room Info'!$C$2:$C3446, 0)),if(G1373='Room Info'!$D$1, INDEX('Room Info'!$A$2:$A3446, MATCH(B1373,'Room Info'!$D$2:$D3446, 0)),if(G1373='Room Info'!$E$1, INDEX('Room Info'!$A$2:$A3446, MATCH(B1373,'Room Info'!$E$2:$E3446, 0)),if(G1373='Room Info'!$F$1, INDEX('Room Info'!$A$2:$A3446, MATCH(B1373,'Room Info'!$F$2:$F3446, 0)),if(G1373='Room Info'!$H$1, INDEX('Room Info'!$A$2:$A3446, MATCH(B1373,'Room Info'!$H$2:$H3446, 0)),if(G1373='Room Info'!$G$1, INDEX('Room Info'!$A$2:$A3446, MATCH(B1373,'Room Info'!$G$2:$G3446, 0)))))))))</f>
        <v>guilexperi</v>
      </c>
      <c r="B1373" s="50" t="s">
        <v>218</v>
      </c>
      <c r="C1373" s="51">
        <v>44835.0</v>
      </c>
      <c r="D1373" s="51">
        <v>44865.0</v>
      </c>
      <c r="E1373" s="52">
        <v>44835.0</v>
      </c>
      <c r="F1373" s="53" t="s">
        <v>8</v>
      </c>
      <c r="G1373" s="50" t="s">
        <v>5</v>
      </c>
      <c r="H1373" s="54" t="s">
        <v>100</v>
      </c>
      <c r="I1373" s="54" t="s">
        <v>15</v>
      </c>
      <c r="J1373" s="55">
        <v>300.0</v>
      </c>
      <c r="K1373" s="56">
        <v>455.0</v>
      </c>
      <c r="L1373" s="57">
        <v>-12977.0</v>
      </c>
      <c r="M1373" s="58">
        <v>1460.0</v>
      </c>
      <c r="N1373" s="33">
        <f t="shared" si="155"/>
        <v>136500</v>
      </c>
      <c r="O1373" s="59">
        <v>4958.0</v>
      </c>
      <c r="P1373" s="34">
        <f t="shared" si="14"/>
        <v>10.8967033</v>
      </c>
      <c r="Q1373" s="60"/>
      <c r="R1373" s="36">
        <f t="shared" si="196"/>
        <v>1460</v>
      </c>
      <c r="S1373" s="61">
        <v>155.0</v>
      </c>
      <c r="T1373" s="37">
        <f t="shared" si="197"/>
        <v>1615</v>
      </c>
      <c r="U1373" s="62"/>
      <c r="V1373" s="63"/>
      <c r="W1373" s="63"/>
      <c r="X1373" s="35" t="b">
        <f t="shared" si="201"/>
        <v>0</v>
      </c>
      <c r="Y1373" s="83">
        <v>0.22</v>
      </c>
      <c r="Z1373" s="40">
        <f t="shared" si="198"/>
        <v>1259.7</v>
      </c>
      <c r="AA1373" s="34">
        <f t="shared" si="199"/>
        <v>0</v>
      </c>
      <c r="AB1373" s="41">
        <f t="shared" si="200"/>
        <v>355.3</v>
      </c>
      <c r="AC1373" s="66" t="b">
        <v>1</v>
      </c>
      <c r="AD1373" s="42" t="s">
        <v>138</v>
      </c>
      <c r="AE1373" s="42" t="s">
        <v>138</v>
      </c>
      <c r="AF1373" s="42" t="str">
        <f t="array" ref="AF1373">INDEX('Deal Info'!D:D, MATCH(A1373,'Deal Info'!A:A, 0))</f>
        <v>None</v>
      </c>
      <c r="AG1373" s="43" t="str">
        <f t="array" ref="AG1373">INDEX('Deal Info'!G:G, MATCH(A1373,'Deal Info'!A:A, 0))</f>
        <v>guilexperi</v>
      </c>
    </row>
    <row r="1374" hidden="1">
      <c r="A1374" s="23" t="str">
        <f t="array" ref="A1374">if(G1374='Room Info'!$B$1, INDEX('Room Info'!$A$2:$A3446, MATCH(B1374,'Room Info'!$B$2:$B3446, 0)),if(G1374='Room Info'!$C$1, INDEX('Room Info'!$A$2:$A3446, MATCH(B1374,'Room Info'!$C$2:$C3446, 0)),if(G1374='Room Info'!$D$1, INDEX('Room Info'!$A$2:$A3446, MATCH(B1374,'Room Info'!$D$2:$D3446, 0)),if(G1374='Room Info'!$E$1, INDEX('Room Info'!$A$2:$A3446, MATCH(B1374,'Room Info'!$E$2:$E3446, 0)),if(G1374='Room Info'!$F$1, INDEX('Room Info'!$A$2:$A3446, MATCH(B1374,'Room Info'!$F$2:$F3446, 0)),if(G1374='Room Info'!$H$1, INDEX('Room Info'!$A$2:$A3446, MATCH(B1374,'Room Info'!$H$2:$H3446, 0)),if(G1374='Room Info'!$G$1, INDEX('Room Info'!$A$2:$A3446, MATCH(B1374,'Room Info'!$G$2:$G3446, 0)))))))))</f>
        <v>guilexperi</v>
      </c>
      <c r="B1374" s="50" t="s">
        <v>218</v>
      </c>
      <c r="C1374" s="51">
        <v>44835.0</v>
      </c>
      <c r="D1374" s="51">
        <v>44865.0</v>
      </c>
      <c r="E1374" s="52">
        <v>44835.0</v>
      </c>
      <c r="F1374" s="53" t="s">
        <v>8</v>
      </c>
      <c r="G1374" s="50" t="s">
        <v>5</v>
      </c>
      <c r="H1374" s="54" t="s">
        <v>101</v>
      </c>
      <c r="I1374" s="54" t="s">
        <v>7</v>
      </c>
      <c r="J1374" s="55">
        <v>500.0</v>
      </c>
      <c r="K1374" s="56">
        <v>538.0</v>
      </c>
      <c r="L1374" s="57">
        <v>-6000.0</v>
      </c>
      <c r="M1374" s="58">
        <v>9609.0</v>
      </c>
      <c r="N1374" s="33">
        <f t="shared" si="155"/>
        <v>269000</v>
      </c>
      <c r="O1374" s="59">
        <v>3751.0</v>
      </c>
      <c r="P1374" s="34">
        <f t="shared" si="14"/>
        <v>6.972118959</v>
      </c>
      <c r="Q1374" s="60"/>
      <c r="R1374" s="36">
        <f t="shared" si="196"/>
        <v>9609</v>
      </c>
      <c r="S1374" s="121">
        <v>-11157.0</v>
      </c>
      <c r="T1374" s="37">
        <f t="shared" si="197"/>
        <v>-1548</v>
      </c>
      <c r="U1374" s="62"/>
      <c r="V1374" s="63"/>
      <c r="W1374" s="63"/>
      <c r="X1374" s="35" t="b">
        <f t="shared" si="201"/>
        <v>0</v>
      </c>
      <c r="Y1374" s="83">
        <v>0.22</v>
      </c>
      <c r="Z1374" s="40">
        <f t="shared" si="198"/>
        <v>-1207.44</v>
      </c>
      <c r="AA1374" s="34">
        <f t="shared" si="199"/>
        <v>0</v>
      </c>
      <c r="AB1374" s="41">
        <f t="shared" si="200"/>
        <v>-340.56</v>
      </c>
      <c r="AC1374" s="66" t="b">
        <v>1</v>
      </c>
      <c r="AD1374" s="42" t="s">
        <v>138</v>
      </c>
      <c r="AE1374" s="42" t="s">
        <v>138</v>
      </c>
      <c r="AF1374" s="42" t="str">
        <f t="array" ref="AF1374">INDEX('Deal Info'!D:D, MATCH(A1374,'Deal Info'!A:A, 0))</f>
        <v>None</v>
      </c>
      <c r="AG1374" s="43" t="str">
        <f t="array" ref="AG1374">INDEX('Deal Info'!G:G, MATCH(A1374,'Deal Info'!A:A, 0))</f>
        <v>guilexperi</v>
      </c>
    </row>
    <row r="1375" hidden="1">
      <c r="A1375" s="23" t="str">
        <f t="array" ref="A1375">if(G1375='Room Info'!$B$1, INDEX('Room Info'!$A$2:$A3446, MATCH(B1375,'Room Info'!$B$2:$B3446, 0)),if(G1375='Room Info'!$C$1, INDEX('Room Info'!$A$2:$A3446, MATCH(B1375,'Room Info'!$C$2:$C3446, 0)),if(G1375='Room Info'!$D$1, INDEX('Room Info'!$A$2:$A3446, MATCH(B1375,'Room Info'!$D$2:$D3446, 0)),if(G1375='Room Info'!$E$1, INDEX('Room Info'!$A$2:$A3446, MATCH(B1375,'Room Info'!$E$2:$E3446, 0)),if(G1375='Room Info'!$F$1, INDEX('Room Info'!$A$2:$A3446, MATCH(B1375,'Room Info'!$F$2:$F3446, 0)),if(G1375='Room Info'!$H$1, INDEX('Room Info'!$A$2:$A3446, MATCH(B1375,'Room Info'!$H$2:$H3446, 0)),if(G1375='Room Info'!$G$1, INDEX('Room Info'!$A$2:$A3446, MATCH(B1375,'Room Info'!$G$2:$G3446, 0)))))))))</f>
        <v>guilexperi</v>
      </c>
      <c r="B1375" s="50" t="s">
        <v>218</v>
      </c>
      <c r="C1375" s="51">
        <v>44835.0</v>
      </c>
      <c r="D1375" s="51">
        <v>44865.0</v>
      </c>
      <c r="E1375" s="52">
        <v>44835.0</v>
      </c>
      <c r="F1375" s="53" t="s">
        <v>8</v>
      </c>
      <c r="G1375" s="50" t="s">
        <v>5</v>
      </c>
      <c r="H1375" s="54" t="s">
        <v>96</v>
      </c>
      <c r="I1375" s="54" t="s">
        <v>7</v>
      </c>
      <c r="J1375" s="55">
        <v>250.0</v>
      </c>
      <c r="K1375" s="56">
        <v>1682.0</v>
      </c>
      <c r="L1375" s="57">
        <v>-22000.0</v>
      </c>
      <c r="M1375" s="58">
        <v>15020.0</v>
      </c>
      <c r="N1375" s="33">
        <f t="shared" si="155"/>
        <v>420500</v>
      </c>
      <c r="O1375" s="59">
        <v>14467.0</v>
      </c>
      <c r="P1375" s="34">
        <f t="shared" si="14"/>
        <v>8.601070155</v>
      </c>
      <c r="Q1375" s="60"/>
      <c r="R1375" s="36">
        <f t="shared" si="196"/>
        <v>15020</v>
      </c>
      <c r="S1375" s="121">
        <v>-17062.0</v>
      </c>
      <c r="T1375" s="37">
        <f t="shared" si="197"/>
        <v>-2042</v>
      </c>
      <c r="U1375" s="62"/>
      <c r="V1375" s="63"/>
      <c r="W1375" s="63"/>
      <c r="X1375" s="35" t="b">
        <f t="shared" si="201"/>
        <v>0</v>
      </c>
      <c r="Y1375" s="83">
        <v>0.22</v>
      </c>
      <c r="Z1375" s="40">
        <f t="shared" si="198"/>
        <v>-1592.76</v>
      </c>
      <c r="AA1375" s="34">
        <f t="shared" si="199"/>
        <v>0</v>
      </c>
      <c r="AB1375" s="41">
        <f t="shared" si="200"/>
        <v>-449.24</v>
      </c>
      <c r="AC1375" s="66" t="b">
        <v>1</v>
      </c>
      <c r="AD1375" s="42" t="s">
        <v>138</v>
      </c>
      <c r="AE1375" s="42" t="s">
        <v>138</v>
      </c>
      <c r="AF1375" s="42" t="str">
        <f t="array" ref="AF1375">INDEX('Deal Info'!D:D, MATCH(A1375,'Deal Info'!A:A, 0))</f>
        <v>None</v>
      </c>
      <c r="AG1375" s="43" t="str">
        <f t="array" ref="AG1375">INDEX('Deal Info'!G:G, MATCH(A1375,'Deal Info'!A:A, 0))</f>
        <v>guilexperi</v>
      </c>
    </row>
    <row r="1376" hidden="1">
      <c r="A1376" s="23" t="str">
        <f t="array" ref="A1376">if(G1376='Room Info'!$B$1, INDEX('Room Info'!$A$2:$A3446, MATCH(B1376,'Room Info'!$B$2:$B3446, 0)),if(G1376='Room Info'!$C$1, INDEX('Room Info'!$A$2:$A3446, MATCH(B1376,'Room Info'!$C$2:$C3446, 0)),if(G1376='Room Info'!$D$1, INDEX('Room Info'!$A$2:$A3446, MATCH(B1376,'Room Info'!$D$2:$D3446, 0)),if(G1376='Room Info'!$E$1, INDEX('Room Info'!$A$2:$A3446, MATCH(B1376,'Room Info'!$E$2:$E3446, 0)),if(G1376='Room Info'!$F$1, INDEX('Room Info'!$A$2:$A3446, MATCH(B1376,'Room Info'!$F$2:$F3446, 0)),if(G1376='Room Info'!$H$1, INDEX('Room Info'!$A$2:$A3446, MATCH(B1376,'Room Info'!$H$2:$H3446, 0)),if(G1376='Room Info'!$G$1, INDEX('Room Info'!$A$2:$A3446, MATCH(B1376,'Room Info'!$G$2:$G3446, 0)))))))))</f>
        <v>guilexperi</v>
      </c>
      <c r="B1376" s="50" t="s">
        <v>218</v>
      </c>
      <c r="C1376" s="51">
        <v>44866.0</v>
      </c>
      <c r="D1376" s="51">
        <v>44895.0</v>
      </c>
      <c r="E1376" s="52">
        <v>44866.0</v>
      </c>
      <c r="F1376" s="53" t="s">
        <v>8</v>
      </c>
      <c r="G1376" s="50" t="s">
        <v>5</v>
      </c>
      <c r="H1376" s="54" t="s">
        <v>107</v>
      </c>
      <c r="I1376" s="54" t="s">
        <v>15</v>
      </c>
      <c r="J1376" s="55">
        <v>1000.0</v>
      </c>
      <c r="K1376" s="56">
        <v>7.0</v>
      </c>
      <c r="L1376" s="57">
        <v>911.0</v>
      </c>
      <c r="M1376" s="58">
        <v>4.0</v>
      </c>
      <c r="N1376" s="33">
        <f t="shared" si="155"/>
        <v>7000</v>
      </c>
      <c r="O1376" s="59">
        <v>-23.0</v>
      </c>
      <c r="P1376" s="34">
        <f t="shared" si="14"/>
        <v>-3.285714286</v>
      </c>
      <c r="Q1376" s="60"/>
      <c r="R1376" s="36">
        <f t="shared" si="196"/>
        <v>4</v>
      </c>
      <c r="S1376" s="61">
        <v>-145.0</v>
      </c>
      <c r="T1376" s="37">
        <f t="shared" si="197"/>
        <v>-141</v>
      </c>
      <c r="U1376" s="62"/>
      <c r="V1376" s="63"/>
      <c r="W1376" s="63"/>
      <c r="X1376" s="35" t="b">
        <f t="shared" si="201"/>
        <v>0</v>
      </c>
      <c r="Y1376" s="83">
        <v>0.22</v>
      </c>
      <c r="Z1376" s="40">
        <f t="shared" si="198"/>
        <v>-109.98</v>
      </c>
      <c r="AA1376" s="34">
        <f t="shared" si="199"/>
        <v>0</v>
      </c>
      <c r="AB1376" s="41">
        <f t="shared" si="200"/>
        <v>-31.02</v>
      </c>
      <c r="AC1376" s="66" t="b">
        <v>1</v>
      </c>
      <c r="AD1376" s="42" t="s">
        <v>138</v>
      </c>
      <c r="AE1376" s="42" t="s">
        <v>138</v>
      </c>
      <c r="AF1376" s="42" t="str">
        <f t="array" ref="AF1376">INDEX('Deal Info'!D:D, MATCH(A1376,'Deal Info'!A:A, 0))</f>
        <v>None</v>
      </c>
      <c r="AG1376" s="43" t="str">
        <f t="array" ref="AG1376">INDEX('Deal Info'!G:G, MATCH(A1376,'Deal Info'!A:A, 0))</f>
        <v>guilexperi</v>
      </c>
    </row>
    <row r="1377" hidden="1">
      <c r="A1377" s="23" t="str">
        <f t="array" ref="A1377">if(G1377='Room Info'!$B$1, INDEX('Room Info'!$A$2:$A3446, MATCH(B1377,'Room Info'!$B$2:$B3446, 0)),if(G1377='Room Info'!$C$1, INDEX('Room Info'!$A$2:$A3446, MATCH(B1377,'Room Info'!$C$2:$C3446, 0)),if(G1377='Room Info'!$D$1, INDEX('Room Info'!$A$2:$A3446, MATCH(B1377,'Room Info'!$D$2:$D3446, 0)),if(G1377='Room Info'!$E$1, INDEX('Room Info'!$A$2:$A3446, MATCH(B1377,'Room Info'!$E$2:$E3446, 0)),if(G1377='Room Info'!$F$1, INDEX('Room Info'!$A$2:$A3446, MATCH(B1377,'Room Info'!$F$2:$F3446, 0)),if(G1377='Room Info'!$H$1, INDEX('Room Info'!$A$2:$A3446, MATCH(B1377,'Room Info'!$H$2:$H3446, 0)),if(G1377='Room Info'!$G$1, INDEX('Room Info'!$A$2:$A3446, MATCH(B1377,'Room Info'!$G$2:$G3446, 0)))))))))</f>
        <v>guilexperi</v>
      </c>
      <c r="B1377" s="50" t="s">
        <v>218</v>
      </c>
      <c r="C1377" s="51">
        <v>44866.0</v>
      </c>
      <c r="D1377" s="51">
        <v>44895.0</v>
      </c>
      <c r="E1377" s="52">
        <v>44866.0</v>
      </c>
      <c r="F1377" s="53" t="s">
        <v>8</v>
      </c>
      <c r="G1377" s="50" t="s">
        <v>5</v>
      </c>
      <c r="H1377" s="54" t="s">
        <v>103</v>
      </c>
      <c r="I1377" s="54" t="s">
        <v>15</v>
      </c>
      <c r="J1377" s="55">
        <v>500.0</v>
      </c>
      <c r="K1377" s="56">
        <v>21.0</v>
      </c>
      <c r="L1377" s="57">
        <v>2327.0</v>
      </c>
      <c r="M1377" s="58">
        <v>8.0</v>
      </c>
      <c r="N1377" s="33">
        <f t="shared" si="155"/>
        <v>10500</v>
      </c>
      <c r="O1377" s="59">
        <v>1619.0</v>
      </c>
      <c r="P1377" s="34">
        <f t="shared" si="14"/>
        <v>77.0952381</v>
      </c>
      <c r="Q1377" s="60"/>
      <c r="R1377" s="36">
        <f t="shared" si="196"/>
        <v>8</v>
      </c>
      <c r="S1377" s="121">
        <v>1420.0</v>
      </c>
      <c r="T1377" s="37">
        <f t="shared" si="197"/>
        <v>1428</v>
      </c>
      <c r="U1377" s="62"/>
      <c r="V1377" s="63"/>
      <c r="W1377" s="63"/>
      <c r="X1377" s="35" t="b">
        <f t="shared" si="201"/>
        <v>0</v>
      </c>
      <c r="Y1377" s="83">
        <v>0.22</v>
      </c>
      <c r="Z1377" s="40">
        <f t="shared" si="198"/>
        <v>1113.84</v>
      </c>
      <c r="AA1377" s="34">
        <f t="shared" si="199"/>
        <v>0</v>
      </c>
      <c r="AB1377" s="41">
        <f t="shared" si="200"/>
        <v>314.16</v>
      </c>
      <c r="AC1377" s="66" t="b">
        <v>1</v>
      </c>
      <c r="AD1377" s="42" t="s">
        <v>138</v>
      </c>
      <c r="AE1377" s="42" t="s">
        <v>138</v>
      </c>
      <c r="AF1377" s="42" t="str">
        <f t="array" ref="AF1377">INDEX('Deal Info'!D:D, MATCH(A1377,'Deal Info'!A:A, 0))</f>
        <v>None</v>
      </c>
      <c r="AG1377" s="43" t="str">
        <f t="array" ref="AG1377">INDEX('Deal Info'!G:G, MATCH(A1377,'Deal Info'!A:A, 0))</f>
        <v>guilexperi</v>
      </c>
    </row>
    <row r="1378" hidden="1">
      <c r="A1378" s="23" t="str">
        <f t="array" ref="A1378">if(G1378='Room Info'!$B$1, INDEX('Room Info'!$A$2:$A3446, MATCH(B1378,'Room Info'!$B$2:$B3446, 0)),if(G1378='Room Info'!$C$1, INDEX('Room Info'!$A$2:$A3446, MATCH(B1378,'Room Info'!$C$2:$C3446, 0)),if(G1378='Room Info'!$D$1, INDEX('Room Info'!$A$2:$A3446, MATCH(B1378,'Room Info'!$D$2:$D3446, 0)),if(G1378='Room Info'!$E$1, INDEX('Room Info'!$A$2:$A3446, MATCH(B1378,'Room Info'!$E$2:$E3446, 0)),if(G1378='Room Info'!$F$1, INDEX('Room Info'!$A$2:$A3446, MATCH(B1378,'Room Info'!$F$2:$F3446, 0)),if(G1378='Room Info'!$H$1, INDEX('Room Info'!$A$2:$A3446, MATCH(B1378,'Room Info'!$H$2:$H3446, 0)),if(G1378='Room Info'!$G$1, INDEX('Room Info'!$A$2:$A3446, MATCH(B1378,'Room Info'!$G$2:$G3446, 0)))))))))</f>
        <v>guilexperi</v>
      </c>
      <c r="B1378" s="50" t="s">
        <v>218</v>
      </c>
      <c r="C1378" s="51">
        <v>44866.0</v>
      </c>
      <c r="D1378" s="51">
        <v>44895.0</v>
      </c>
      <c r="E1378" s="52">
        <v>44866.0</v>
      </c>
      <c r="F1378" s="53" t="s">
        <v>8</v>
      </c>
      <c r="G1378" s="50" t="s">
        <v>5</v>
      </c>
      <c r="H1378" s="54" t="s">
        <v>94</v>
      </c>
      <c r="I1378" s="54" t="s">
        <v>15</v>
      </c>
      <c r="J1378" s="55">
        <v>200.0</v>
      </c>
      <c r="K1378" s="56">
        <v>175.0</v>
      </c>
      <c r="L1378" s="57">
        <v>-1468.0</v>
      </c>
      <c r="M1378" s="58">
        <v>33.0</v>
      </c>
      <c r="N1378" s="33">
        <f t="shared" si="155"/>
        <v>35000</v>
      </c>
      <c r="O1378" s="59">
        <v>-3494.0</v>
      </c>
      <c r="P1378" s="34">
        <f t="shared" si="14"/>
        <v>-19.96571429</v>
      </c>
      <c r="Q1378" s="60"/>
      <c r="R1378" s="36">
        <f t="shared" si="196"/>
        <v>33</v>
      </c>
      <c r="S1378" s="121">
        <v>-1963.0</v>
      </c>
      <c r="T1378" s="37">
        <f t="shared" si="197"/>
        <v>-1930</v>
      </c>
      <c r="U1378" s="62"/>
      <c r="V1378" s="63"/>
      <c r="W1378" s="63"/>
      <c r="X1378" s="35" t="b">
        <f t="shared" si="201"/>
        <v>0</v>
      </c>
      <c r="Y1378" s="83">
        <v>0.22</v>
      </c>
      <c r="Z1378" s="40">
        <f t="shared" si="198"/>
        <v>-1505.4</v>
      </c>
      <c r="AA1378" s="34">
        <f t="shared" si="199"/>
        <v>0</v>
      </c>
      <c r="AB1378" s="41">
        <f t="shared" si="200"/>
        <v>-424.6</v>
      </c>
      <c r="AC1378" s="66" t="b">
        <v>1</v>
      </c>
      <c r="AD1378" s="42" t="s">
        <v>138</v>
      </c>
      <c r="AE1378" s="42" t="s">
        <v>138</v>
      </c>
      <c r="AF1378" s="42" t="str">
        <f t="array" ref="AF1378">INDEX('Deal Info'!D:D, MATCH(A1378,'Deal Info'!A:A, 0))</f>
        <v>None</v>
      </c>
      <c r="AG1378" s="43" t="str">
        <f t="array" ref="AG1378">INDEX('Deal Info'!G:G, MATCH(A1378,'Deal Info'!A:A, 0))</f>
        <v>guilexperi</v>
      </c>
    </row>
    <row r="1379" hidden="1">
      <c r="A1379" s="23" t="str">
        <f t="array" ref="A1379">if(G1379='Room Info'!$B$1, INDEX('Room Info'!$A$2:$A3446, MATCH(B1379,'Room Info'!$B$2:$B3446, 0)),if(G1379='Room Info'!$C$1, INDEX('Room Info'!$A$2:$A3446, MATCH(B1379,'Room Info'!$C$2:$C3446, 0)),if(G1379='Room Info'!$D$1, INDEX('Room Info'!$A$2:$A3446, MATCH(B1379,'Room Info'!$D$2:$D3446, 0)),if(G1379='Room Info'!$E$1, INDEX('Room Info'!$A$2:$A3446, MATCH(B1379,'Room Info'!$E$2:$E3446, 0)),if(G1379='Room Info'!$F$1, INDEX('Room Info'!$A$2:$A3446, MATCH(B1379,'Room Info'!$F$2:$F3446, 0)),if(G1379='Room Info'!$H$1, INDEX('Room Info'!$A$2:$A3446, MATCH(B1379,'Room Info'!$H$2:$H3446, 0)),if(G1379='Room Info'!$G$1, INDEX('Room Info'!$A$2:$A3446, MATCH(B1379,'Room Info'!$G$2:$G3446, 0)))))))))</f>
        <v>guilexperi</v>
      </c>
      <c r="B1379" s="50" t="s">
        <v>218</v>
      </c>
      <c r="C1379" s="51">
        <v>44866.0</v>
      </c>
      <c r="D1379" s="51">
        <v>44895.0</v>
      </c>
      <c r="E1379" s="52">
        <v>44866.0</v>
      </c>
      <c r="F1379" s="53" t="s">
        <v>8</v>
      </c>
      <c r="G1379" s="50" t="s">
        <v>5</v>
      </c>
      <c r="H1379" s="54" t="s">
        <v>100</v>
      </c>
      <c r="I1379" s="54" t="s">
        <v>15</v>
      </c>
      <c r="J1379" s="55">
        <v>300.0</v>
      </c>
      <c r="K1379" s="56">
        <v>176.0</v>
      </c>
      <c r="L1379" s="57">
        <v>-427.0</v>
      </c>
      <c r="M1379" s="58">
        <v>45.0</v>
      </c>
      <c r="N1379" s="33">
        <f t="shared" si="155"/>
        <v>52800</v>
      </c>
      <c r="O1379" s="59">
        <v>704.0</v>
      </c>
      <c r="P1379" s="34">
        <f t="shared" si="14"/>
        <v>4</v>
      </c>
      <c r="Q1379" s="60"/>
      <c r="R1379" s="36">
        <f t="shared" si="196"/>
        <v>45</v>
      </c>
      <c r="S1379" s="61">
        <v>-472.0</v>
      </c>
      <c r="T1379" s="37">
        <f t="shared" si="197"/>
        <v>-427</v>
      </c>
      <c r="U1379" s="62"/>
      <c r="V1379" s="63"/>
      <c r="W1379" s="63"/>
      <c r="X1379" s="35" t="b">
        <f t="shared" si="201"/>
        <v>0</v>
      </c>
      <c r="Y1379" s="83">
        <v>0.22</v>
      </c>
      <c r="Z1379" s="40">
        <f t="shared" si="198"/>
        <v>-333.06</v>
      </c>
      <c r="AA1379" s="34">
        <f t="shared" si="199"/>
        <v>0</v>
      </c>
      <c r="AB1379" s="41">
        <f t="shared" si="200"/>
        <v>-93.94</v>
      </c>
      <c r="AC1379" s="66" t="b">
        <v>1</v>
      </c>
      <c r="AD1379" s="42" t="s">
        <v>138</v>
      </c>
      <c r="AE1379" s="42" t="s">
        <v>138</v>
      </c>
      <c r="AF1379" s="42" t="str">
        <f t="array" ref="AF1379">INDEX('Deal Info'!D:D, MATCH(A1379,'Deal Info'!A:A, 0))</f>
        <v>None</v>
      </c>
      <c r="AG1379" s="43" t="str">
        <f t="array" ref="AG1379">INDEX('Deal Info'!G:G, MATCH(A1379,'Deal Info'!A:A, 0))</f>
        <v>guilexperi</v>
      </c>
    </row>
    <row r="1380" hidden="1">
      <c r="A1380" s="23" t="str">
        <f t="array" ref="A1380">if(G1380='Room Info'!$B$1, INDEX('Room Info'!$A$2:$A3446, MATCH(B1380,'Room Info'!$B$2:$B3446, 0)),if(G1380='Room Info'!$C$1, INDEX('Room Info'!$A$2:$A3446, MATCH(B1380,'Room Info'!$C$2:$C3446, 0)),if(G1380='Room Info'!$D$1, INDEX('Room Info'!$A$2:$A3446, MATCH(B1380,'Room Info'!$D$2:$D3446, 0)),if(G1380='Room Info'!$E$1, INDEX('Room Info'!$A$2:$A3446, MATCH(B1380,'Room Info'!$E$2:$E3446, 0)),if(G1380='Room Info'!$F$1, INDEX('Room Info'!$A$2:$A3446, MATCH(B1380,'Room Info'!$F$2:$F3446, 0)),if(G1380='Room Info'!$H$1, INDEX('Room Info'!$A$2:$A3446, MATCH(B1380,'Room Info'!$H$2:$H3446, 0)),if(G1380='Room Info'!$G$1, INDEX('Room Info'!$A$2:$A3446, MATCH(B1380,'Room Info'!$G$2:$G3446, 0)))))))))</f>
        <v>guilexperi</v>
      </c>
      <c r="B1380" s="50" t="s">
        <v>218</v>
      </c>
      <c r="C1380" s="51">
        <v>44896.0</v>
      </c>
      <c r="D1380" s="51">
        <v>44915.0</v>
      </c>
      <c r="E1380" s="52">
        <v>44896.0</v>
      </c>
      <c r="F1380" s="53" t="s">
        <v>8</v>
      </c>
      <c r="G1380" s="50" t="s">
        <v>5</v>
      </c>
      <c r="H1380" s="54" t="s">
        <v>86</v>
      </c>
      <c r="I1380" s="54" t="s">
        <v>11</v>
      </c>
      <c r="J1380" s="55">
        <v>100.0</v>
      </c>
      <c r="K1380" s="56">
        <v>3.0</v>
      </c>
      <c r="L1380" s="57">
        <v>-300.0</v>
      </c>
      <c r="M1380" s="58">
        <v>5.0</v>
      </c>
      <c r="N1380" s="33">
        <f t="shared" si="155"/>
        <v>300</v>
      </c>
      <c r="O1380" s="59">
        <v>-358.0</v>
      </c>
      <c r="P1380" s="34">
        <f t="shared" si="14"/>
        <v>-119.3333333</v>
      </c>
      <c r="Q1380" s="60"/>
      <c r="R1380" s="36">
        <f t="shared" si="196"/>
        <v>5</v>
      </c>
      <c r="S1380" s="61">
        <v>-128.0</v>
      </c>
      <c r="T1380" s="37">
        <f t="shared" si="197"/>
        <v>-123</v>
      </c>
      <c r="U1380" s="62"/>
      <c r="V1380" s="63"/>
      <c r="W1380" s="63"/>
      <c r="X1380" s="35" t="b">
        <f t="shared" si="201"/>
        <v>0</v>
      </c>
      <c r="Y1380" s="83">
        <v>0.22</v>
      </c>
      <c r="Z1380" s="40">
        <f t="shared" si="198"/>
        <v>-95.94</v>
      </c>
      <c r="AA1380" s="34">
        <f t="shared" si="199"/>
        <v>0</v>
      </c>
      <c r="AB1380" s="41">
        <f t="shared" si="200"/>
        <v>-27.06</v>
      </c>
      <c r="AC1380" s="66" t="b">
        <v>1</v>
      </c>
      <c r="AD1380" s="42" t="s">
        <v>138</v>
      </c>
      <c r="AE1380" s="42" t="s">
        <v>138</v>
      </c>
      <c r="AF1380" s="42" t="str">
        <f t="array" ref="AF1380">INDEX('Deal Info'!D:D, MATCH(A1380,'Deal Info'!A:A, 0))</f>
        <v>None</v>
      </c>
      <c r="AG1380" s="43" t="str">
        <f t="array" ref="AG1380">INDEX('Deal Info'!G:G, MATCH(A1380,'Deal Info'!A:A, 0))</f>
        <v>guilexperi</v>
      </c>
    </row>
    <row r="1381" hidden="1">
      <c r="A1381" s="23" t="str">
        <f t="array" ref="A1381">if(G1381='Room Info'!$B$1, INDEX('Room Info'!$A$2:$A3446, MATCH(B1381,'Room Info'!$B$2:$B3446, 0)),if(G1381='Room Info'!$C$1, INDEX('Room Info'!$A$2:$A3446, MATCH(B1381,'Room Info'!$C$2:$C3446, 0)),if(G1381='Room Info'!$D$1, INDEX('Room Info'!$A$2:$A3446, MATCH(B1381,'Room Info'!$D$2:$D3446, 0)),if(G1381='Room Info'!$E$1, INDEX('Room Info'!$A$2:$A3446, MATCH(B1381,'Room Info'!$E$2:$E3446, 0)),if(G1381='Room Info'!$F$1, INDEX('Room Info'!$A$2:$A3446, MATCH(B1381,'Room Info'!$F$2:$F3446, 0)),if(G1381='Room Info'!$H$1, INDEX('Room Info'!$A$2:$A3446, MATCH(B1381,'Room Info'!$H$2:$H3446, 0)),if(G1381='Room Info'!$G$1, INDEX('Room Info'!$A$2:$A3446, MATCH(B1381,'Room Info'!$G$2:$G3446, 0)))))))))</f>
        <v>guilexperi</v>
      </c>
      <c r="B1381" s="50" t="s">
        <v>218</v>
      </c>
      <c r="C1381" s="51">
        <v>44896.0</v>
      </c>
      <c r="D1381" s="51">
        <v>44915.0</v>
      </c>
      <c r="E1381" s="52">
        <v>44896.0</v>
      </c>
      <c r="F1381" s="53" t="s">
        <v>8</v>
      </c>
      <c r="G1381" s="50" t="s">
        <v>5</v>
      </c>
      <c r="H1381" s="54" t="s">
        <v>87</v>
      </c>
      <c r="I1381" s="54" t="s">
        <v>15</v>
      </c>
      <c r="J1381" s="55">
        <v>100.0</v>
      </c>
      <c r="K1381" s="56">
        <v>3.0</v>
      </c>
      <c r="L1381" s="57">
        <v>-104.0</v>
      </c>
      <c r="M1381" s="58">
        <v>2.0</v>
      </c>
      <c r="N1381" s="33">
        <f t="shared" si="155"/>
        <v>300</v>
      </c>
      <c r="O1381" s="59">
        <v>348.0</v>
      </c>
      <c r="P1381" s="34">
        <f t="shared" si="14"/>
        <v>116</v>
      </c>
      <c r="Q1381" s="60"/>
      <c r="R1381" s="36">
        <f t="shared" si="196"/>
        <v>2</v>
      </c>
      <c r="S1381" s="61">
        <v>62.0</v>
      </c>
      <c r="T1381" s="37">
        <f t="shared" si="197"/>
        <v>64</v>
      </c>
      <c r="U1381" s="62"/>
      <c r="V1381" s="63"/>
      <c r="W1381" s="63"/>
      <c r="X1381" s="35" t="b">
        <f t="shared" si="201"/>
        <v>0</v>
      </c>
      <c r="Y1381" s="83">
        <v>0.22</v>
      </c>
      <c r="Z1381" s="40">
        <f t="shared" si="198"/>
        <v>49.92</v>
      </c>
      <c r="AA1381" s="34">
        <f t="shared" si="199"/>
        <v>0</v>
      </c>
      <c r="AB1381" s="41">
        <f t="shared" si="200"/>
        <v>14.08</v>
      </c>
      <c r="AC1381" s="66" t="b">
        <v>1</v>
      </c>
      <c r="AD1381" s="42" t="s">
        <v>138</v>
      </c>
      <c r="AE1381" s="42" t="s">
        <v>138</v>
      </c>
      <c r="AF1381" s="42" t="str">
        <f t="array" ref="AF1381">INDEX('Deal Info'!D:D, MATCH(A1381,'Deal Info'!A:A, 0))</f>
        <v>None</v>
      </c>
      <c r="AG1381" s="43" t="str">
        <f t="array" ref="AG1381">INDEX('Deal Info'!G:G, MATCH(A1381,'Deal Info'!A:A, 0))</f>
        <v>guilexperi</v>
      </c>
    </row>
    <row r="1382" hidden="1">
      <c r="A1382" s="23" t="str">
        <f t="array" ref="A1382">if(G1382='Room Info'!$B$1, INDEX('Room Info'!$A$2:$A3446, MATCH(B1382,'Room Info'!$B$2:$B3446, 0)),if(G1382='Room Info'!$C$1, INDEX('Room Info'!$A$2:$A3446, MATCH(B1382,'Room Info'!$C$2:$C3446, 0)),if(G1382='Room Info'!$D$1, INDEX('Room Info'!$A$2:$A3446, MATCH(B1382,'Room Info'!$D$2:$D3446, 0)),if(G1382='Room Info'!$E$1, INDEX('Room Info'!$A$2:$A3446, MATCH(B1382,'Room Info'!$E$2:$E3446, 0)),if(G1382='Room Info'!$F$1, INDEX('Room Info'!$A$2:$A3446, MATCH(B1382,'Room Info'!$F$2:$F3446, 0)),if(G1382='Room Info'!$H$1, INDEX('Room Info'!$A$2:$A3446, MATCH(B1382,'Room Info'!$H$2:$H3446, 0)),if(G1382='Room Info'!$G$1, INDEX('Room Info'!$A$2:$A3446, MATCH(B1382,'Room Info'!$G$2:$G3446, 0)))))))))</f>
        <v>guilexperi</v>
      </c>
      <c r="B1382" s="50" t="s">
        <v>218</v>
      </c>
      <c r="C1382" s="51">
        <v>44896.0</v>
      </c>
      <c r="D1382" s="51">
        <v>44915.0</v>
      </c>
      <c r="E1382" s="52">
        <v>44896.0</v>
      </c>
      <c r="F1382" s="53" t="s">
        <v>8</v>
      </c>
      <c r="G1382" s="50" t="s">
        <v>5</v>
      </c>
      <c r="H1382" s="54" t="s">
        <v>94</v>
      </c>
      <c r="I1382" s="54" t="s">
        <v>15</v>
      </c>
      <c r="J1382" s="55">
        <v>200.0</v>
      </c>
      <c r="K1382" s="56">
        <v>359.0</v>
      </c>
      <c r="L1382" s="57">
        <v>-4149.0</v>
      </c>
      <c r="M1382" s="58">
        <v>377.0</v>
      </c>
      <c r="N1382" s="33">
        <f t="shared" si="155"/>
        <v>71800</v>
      </c>
      <c r="O1382" s="59">
        <v>-1659.0</v>
      </c>
      <c r="P1382" s="34">
        <f t="shared" si="14"/>
        <v>-4.621169916</v>
      </c>
      <c r="Q1382" s="60"/>
      <c r="R1382" s="36">
        <f t="shared" si="196"/>
        <v>377</v>
      </c>
      <c r="S1382" s="121">
        <v>-1914.0</v>
      </c>
      <c r="T1382" s="37">
        <f t="shared" si="197"/>
        <v>-1537</v>
      </c>
      <c r="U1382" s="62"/>
      <c r="V1382" s="63"/>
      <c r="W1382" s="63"/>
      <c r="X1382" s="35" t="b">
        <f t="shared" si="201"/>
        <v>0</v>
      </c>
      <c r="Y1382" s="83">
        <v>0.22</v>
      </c>
      <c r="Z1382" s="40">
        <f t="shared" si="198"/>
        <v>-1198.86</v>
      </c>
      <c r="AA1382" s="34">
        <f t="shared" si="199"/>
        <v>0</v>
      </c>
      <c r="AB1382" s="41">
        <f t="shared" si="200"/>
        <v>-338.14</v>
      </c>
      <c r="AC1382" s="66" t="b">
        <v>1</v>
      </c>
      <c r="AD1382" s="42" t="s">
        <v>138</v>
      </c>
      <c r="AE1382" s="42" t="s">
        <v>138</v>
      </c>
      <c r="AF1382" s="42" t="str">
        <f t="array" ref="AF1382">INDEX('Deal Info'!D:D, MATCH(A1382,'Deal Info'!A:A, 0))</f>
        <v>None</v>
      </c>
      <c r="AG1382" s="43" t="str">
        <f t="array" ref="AG1382">INDEX('Deal Info'!G:G, MATCH(A1382,'Deal Info'!A:A, 0))</f>
        <v>guilexperi</v>
      </c>
    </row>
    <row r="1383" hidden="1">
      <c r="A1383" s="23" t="str">
        <f t="array" ref="A1383">if(G1383='Room Info'!$B$1, INDEX('Room Info'!$A$2:$A3446, MATCH(B1383,'Room Info'!$B$2:$B3446, 0)),if(G1383='Room Info'!$C$1, INDEX('Room Info'!$A$2:$A3446, MATCH(B1383,'Room Info'!$C$2:$C3446, 0)),if(G1383='Room Info'!$D$1, INDEX('Room Info'!$A$2:$A3446, MATCH(B1383,'Room Info'!$D$2:$D3446, 0)),if(G1383='Room Info'!$E$1, INDEX('Room Info'!$A$2:$A3446, MATCH(B1383,'Room Info'!$E$2:$E3446, 0)),if(G1383='Room Info'!$F$1, INDEX('Room Info'!$A$2:$A3446, MATCH(B1383,'Room Info'!$F$2:$F3446, 0)),if(G1383='Room Info'!$H$1, INDEX('Room Info'!$A$2:$A3446, MATCH(B1383,'Room Info'!$H$2:$H3446, 0)),if(G1383='Room Info'!$G$1, INDEX('Room Info'!$A$2:$A3446, MATCH(B1383,'Room Info'!$G$2:$G3446, 0)))))))))</f>
        <v>guilexperi</v>
      </c>
      <c r="B1383" s="50" t="s">
        <v>218</v>
      </c>
      <c r="C1383" s="51">
        <v>44896.0</v>
      </c>
      <c r="D1383" s="51">
        <v>44915.0</v>
      </c>
      <c r="E1383" s="52">
        <v>44896.0</v>
      </c>
      <c r="F1383" s="53" t="s">
        <v>8</v>
      </c>
      <c r="G1383" s="50" t="s">
        <v>5</v>
      </c>
      <c r="H1383" s="54" t="s">
        <v>96</v>
      </c>
      <c r="I1383" s="54" t="s">
        <v>7</v>
      </c>
      <c r="J1383" s="55">
        <v>250.0</v>
      </c>
      <c r="K1383" s="56">
        <v>1150.0</v>
      </c>
      <c r="L1383" s="57">
        <v>12000.0</v>
      </c>
      <c r="M1383" s="58">
        <v>4522.0</v>
      </c>
      <c r="N1383" s="33">
        <f t="shared" si="155"/>
        <v>287500</v>
      </c>
      <c r="O1383" s="59">
        <v>34802.0</v>
      </c>
      <c r="P1383" s="34">
        <f t="shared" si="14"/>
        <v>30.2626087</v>
      </c>
      <c r="Q1383" s="60"/>
      <c r="R1383" s="36">
        <f t="shared" si="196"/>
        <v>4522</v>
      </c>
      <c r="S1383" s="121">
        <v>1251.0</v>
      </c>
      <c r="T1383" s="37">
        <f t="shared" si="197"/>
        <v>5773</v>
      </c>
      <c r="U1383" s="62"/>
      <c r="V1383" s="63"/>
      <c r="W1383" s="63"/>
      <c r="X1383" s="35" t="b">
        <f t="shared" si="201"/>
        <v>0</v>
      </c>
      <c r="Y1383" s="83">
        <v>0.22</v>
      </c>
      <c r="Z1383" s="40">
        <f t="shared" si="198"/>
        <v>4502.94</v>
      </c>
      <c r="AA1383" s="34">
        <f t="shared" si="199"/>
        <v>0</v>
      </c>
      <c r="AB1383" s="41">
        <f t="shared" si="200"/>
        <v>1270.06</v>
      </c>
      <c r="AC1383" s="66" t="b">
        <v>1</v>
      </c>
      <c r="AD1383" s="42" t="s">
        <v>138</v>
      </c>
      <c r="AE1383" s="42" t="s">
        <v>138</v>
      </c>
      <c r="AF1383" s="42" t="str">
        <f t="array" ref="AF1383">INDEX('Deal Info'!D:D, MATCH(A1383,'Deal Info'!A:A, 0))</f>
        <v>None</v>
      </c>
      <c r="AG1383" s="43" t="str">
        <f t="array" ref="AG1383">INDEX('Deal Info'!G:G, MATCH(A1383,'Deal Info'!A:A, 0))</f>
        <v>guilexperi</v>
      </c>
    </row>
    <row r="1384" hidden="1">
      <c r="A1384" s="23" t="str">
        <f t="array" ref="A1384">if(G1384='Room Info'!$B$1, INDEX('Room Info'!$A$2:$A3446, MATCH(B1384,'Room Info'!$B$2:$B3446, 0)),if(G1384='Room Info'!$C$1, INDEX('Room Info'!$A$2:$A3446, MATCH(B1384,'Room Info'!$C$2:$C3446, 0)),if(G1384='Room Info'!$D$1, INDEX('Room Info'!$A$2:$A3446, MATCH(B1384,'Room Info'!$D$2:$D3446, 0)),if(G1384='Room Info'!$E$1, INDEX('Room Info'!$A$2:$A3446, MATCH(B1384,'Room Info'!$E$2:$E3446, 0)),if(G1384='Room Info'!$F$1, INDEX('Room Info'!$A$2:$A3446, MATCH(B1384,'Room Info'!$F$2:$F3446, 0)),if(G1384='Room Info'!$H$1, INDEX('Room Info'!$A$2:$A3446, MATCH(B1384,'Room Info'!$H$2:$H3446, 0)),if(G1384='Room Info'!$G$1, INDEX('Room Info'!$A$2:$A3446, MATCH(B1384,'Room Info'!$G$2:$G3446, 0)))))))))</f>
        <v>guilexperi</v>
      </c>
      <c r="B1384" s="50" t="s">
        <v>218</v>
      </c>
      <c r="C1384" s="51">
        <v>44896.0</v>
      </c>
      <c r="D1384" s="51">
        <v>44915.0</v>
      </c>
      <c r="E1384" s="52">
        <v>44896.0</v>
      </c>
      <c r="F1384" s="53" t="s">
        <v>8</v>
      </c>
      <c r="G1384" s="50" t="s">
        <v>5</v>
      </c>
      <c r="H1384" s="54" t="s">
        <v>100</v>
      </c>
      <c r="I1384" s="54" t="s">
        <v>15</v>
      </c>
      <c r="J1384" s="55">
        <v>300.0</v>
      </c>
      <c r="K1384" s="56">
        <v>179.0</v>
      </c>
      <c r="L1384" s="57">
        <v>6584.0</v>
      </c>
      <c r="M1384" s="58">
        <v>253.0</v>
      </c>
      <c r="N1384" s="33">
        <f t="shared" si="155"/>
        <v>53700</v>
      </c>
      <c r="O1384" s="59">
        <v>4997.0</v>
      </c>
      <c r="P1384" s="34">
        <f t="shared" si="14"/>
        <v>27.91620112</v>
      </c>
      <c r="Q1384" s="60"/>
      <c r="R1384" s="36">
        <f t="shared" si="196"/>
        <v>253</v>
      </c>
      <c r="S1384" s="121">
        <v>2103.0</v>
      </c>
      <c r="T1384" s="37">
        <f t="shared" si="197"/>
        <v>2356</v>
      </c>
      <c r="U1384" s="62"/>
      <c r="V1384" s="63"/>
      <c r="W1384" s="63"/>
      <c r="X1384" s="35" t="b">
        <f t="shared" si="201"/>
        <v>0</v>
      </c>
      <c r="Y1384" s="83">
        <v>0.22</v>
      </c>
      <c r="Z1384" s="40">
        <f t="shared" si="198"/>
        <v>1837.68</v>
      </c>
      <c r="AA1384" s="34">
        <f t="shared" si="199"/>
        <v>0</v>
      </c>
      <c r="AB1384" s="41">
        <f t="shared" si="200"/>
        <v>518.32</v>
      </c>
      <c r="AC1384" s="66" t="b">
        <v>1</v>
      </c>
      <c r="AD1384" s="42" t="s">
        <v>138</v>
      </c>
      <c r="AE1384" s="42" t="s">
        <v>138</v>
      </c>
      <c r="AF1384" s="42" t="str">
        <f t="array" ref="AF1384">INDEX('Deal Info'!D:D, MATCH(A1384,'Deal Info'!A:A, 0))</f>
        <v>None</v>
      </c>
      <c r="AG1384" s="43" t="str">
        <f t="array" ref="AG1384">INDEX('Deal Info'!G:G, MATCH(A1384,'Deal Info'!A:A, 0))</f>
        <v>guilexperi</v>
      </c>
    </row>
    <row r="1385" hidden="1">
      <c r="A1385" s="23" t="str">
        <f t="array" ref="A1385">if(G1385='Room Info'!$B$1, INDEX('Room Info'!$A$2:$A3446, MATCH(B1385,'Room Info'!$B$2:$B3446, 0)),if(G1385='Room Info'!$C$1, INDEX('Room Info'!$A$2:$A3446, MATCH(B1385,'Room Info'!$C$2:$C3446, 0)),if(G1385='Room Info'!$D$1, INDEX('Room Info'!$A$2:$A3446, MATCH(B1385,'Room Info'!$D$2:$D3446, 0)),if(G1385='Room Info'!$E$1, INDEX('Room Info'!$A$2:$A3446, MATCH(B1385,'Room Info'!$E$2:$E3446, 0)),if(G1385='Room Info'!$F$1, INDEX('Room Info'!$A$2:$A3446, MATCH(B1385,'Room Info'!$F$2:$F3446, 0)),if(G1385='Room Info'!$H$1, INDEX('Room Info'!$A$2:$A3446, MATCH(B1385,'Room Info'!$H$2:$H3446, 0)),if(G1385='Room Info'!$G$1, INDEX('Room Info'!$A$2:$A3446, MATCH(B1385,'Room Info'!$G$2:$G3446, 0)))))))))</f>
        <v>guilexperi</v>
      </c>
      <c r="B1385" s="50" t="s">
        <v>218</v>
      </c>
      <c r="C1385" s="51">
        <v>44896.0</v>
      </c>
      <c r="D1385" s="51">
        <v>44915.0</v>
      </c>
      <c r="E1385" s="52">
        <v>44896.0</v>
      </c>
      <c r="F1385" s="53" t="s">
        <v>8</v>
      </c>
      <c r="G1385" s="50" t="s">
        <v>5</v>
      </c>
      <c r="H1385" s="54" t="s">
        <v>101</v>
      </c>
      <c r="I1385" s="54" t="s">
        <v>7</v>
      </c>
      <c r="J1385" s="55">
        <v>500.0</v>
      </c>
      <c r="K1385" s="56">
        <v>719.0</v>
      </c>
      <c r="L1385" s="57">
        <v>-14500.0</v>
      </c>
      <c r="M1385" s="58">
        <v>5654.0</v>
      </c>
      <c r="N1385" s="33">
        <f t="shared" si="155"/>
        <v>359500</v>
      </c>
      <c r="O1385" s="59">
        <v>-1647.0</v>
      </c>
      <c r="P1385" s="34">
        <f t="shared" si="14"/>
        <v>-2.290681502</v>
      </c>
      <c r="Q1385" s="60"/>
      <c r="R1385" s="36">
        <f t="shared" si="196"/>
        <v>5654</v>
      </c>
      <c r="S1385" s="121">
        <v>-20140.0</v>
      </c>
      <c r="T1385" s="37">
        <f t="shared" si="197"/>
        <v>-14486</v>
      </c>
      <c r="U1385" s="62"/>
      <c r="V1385" s="63"/>
      <c r="W1385" s="63"/>
      <c r="X1385" s="35" t="b">
        <f t="shared" si="201"/>
        <v>0</v>
      </c>
      <c r="Y1385" s="83">
        <v>0.22</v>
      </c>
      <c r="Z1385" s="40">
        <f t="shared" si="198"/>
        <v>-11299.08</v>
      </c>
      <c r="AA1385" s="34">
        <f t="shared" si="199"/>
        <v>0</v>
      </c>
      <c r="AB1385" s="41">
        <f t="shared" si="200"/>
        <v>-3186.92</v>
      </c>
      <c r="AC1385" s="66" t="b">
        <v>1</v>
      </c>
      <c r="AD1385" s="42" t="s">
        <v>138</v>
      </c>
      <c r="AE1385" s="42" t="s">
        <v>138</v>
      </c>
      <c r="AF1385" s="42" t="str">
        <f t="array" ref="AF1385">INDEX('Deal Info'!D:D, MATCH(A1385,'Deal Info'!A:A, 0))</f>
        <v>None</v>
      </c>
      <c r="AG1385" s="43" t="str">
        <f t="array" ref="AG1385">INDEX('Deal Info'!G:G, MATCH(A1385,'Deal Info'!A:A, 0))</f>
        <v>guilexperi</v>
      </c>
    </row>
    <row r="1386" hidden="1">
      <c r="A1386" s="23" t="str">
        <f t="array" ref="A1386">if(G1386='Room Info'!$B$1, INDEX('Room Info'!$A$2:$A3446, MATCH(B1386,'Room Info'!$B$2:$B3446, 0)),if(G1386='Room Info'!$C$1, INDEX('Room Info'!$A$2:$A3446, MATCH(B1386,'Room Info'!$C$2:$C3446, 0)),if(G1386='Room Info'!$D$1, INDEX('Room Info'!$A$2:$A3446, MATCH(B1386,'Room Info'!$D$2:$D3446, 0)),if(G1386='Room Info'!$E$1, INDEX('Room Info'!$A$2:$A3446, MATCH(B1386,'Room Info'!$E$2:$E3446, 0)),if(G1386='Room Info'!$F$1, INDEX('Room Info'!$A$2:$A3446, MATCH(B1386,'Room Info'!$F$2:$F3446, 0)),if(G1386='Room Info'!$H$1, INDEX('Room Info'!$A$2:$A3446, MATCH(B1386,'Room Info'!$H$2:$H3446, 0)),if(G1386='Room Info'!$G$1, INDEX('Room Info'!$A$2:$A3446, MATCH(B1386,'Room Info'!$G$2:$G3446, 0)))))))))</f>
        <v>guilexperi</v>
      </c>
      <c r="B1386" s="50" t="s">
        <v>218</v>
      </c>
      <c r="C1386" s="51">
        <v>44896.0</v>
      </c>
      <c r="D1386" s="51">
        <v>44915.0</v>
      </c>
      <c r="E1386" s="52">
        <v>44896.0</v>
      </c>
      <c r="F1386" s="53" t="s">
        <v>8</v>
      </c>
      <c r="G1386" s="50" t="s">
        <v>5</v>
      </c>
      <c r="H1386" s="54" t="s">
        <v>103</v>
      </c>
      <c r="I1386" s="54" t="s">
        <v>15</v>
      </c>
      <c r="J1386" s="55">
        <v>500.0</v>
      </c>
      <c r="K1386" s="56">
        <v>15.0</v>
      </c>
      <c r="L1386" s="57">
        <v>393.0</v>
      </c>
      <c r="M1386" s="58">
        <v>31.0</v>
      </c>
      <c r="N1386" s="33">
        <f t="shared" si="155"/>
        <v>7500</v>
      </c>
      <c r="O1386" s="59">
        <v>461.0</v>
      </c>
      <c r="P1386" s="34">
        <f t="shared" si="14"/>
        <v>30.73333333</v>
      </c>
      <c r="Q1386" s="60"/>
      <c r="R1386" s="36">
        <f t="shared" si="196"/>
        <v>31</v>
      </c>
      <c r="S1386" s="61">
        <v>348.0</v>
      </c>
      <c r="T1386" s="37">
        <f t="shared" si="197"/>
        <v>379</v>
      </c>
      <c r="U1386" s="62"/>
      <c r="V1386" s="63"/>
      <c r="W1386" s="63"/>
      <c r="X1386" s="35" t="b">
        <f t="shared" si="201"/>
        <v>0</v>
      </c>
      <c r="Y1386" s="83">
        <v>0.22</v>
      </c>
      <c r="Z1386" s="40">
        <f t="shared" si="198"/>
        <v>295.62</v>
      </c>
      <c r="AA1386" s="34">
        <f t="shared" si="199"/>
        <v>0</v>
      </c>
      <c r="AB1386" s="41">
        <f t="shared" si="200"/>
        <v>83.38</v>
      </c>
      <c r="AC1386" s="66" t="b">
        <v>1</v>
      </c>
      <c r="AD1386" s="42" t="s">
        <v>138</v>
      </c>
      <c r="AE1386" s="42" t="s">
        <v>138</v>
      </c>
      <c r="AF1386" s="42" t="str">
        <f t="array" ref="AF1386">INDEX('Deal Info'!D:D, MATCH(A1386,'Deal Info'!A:A, 0))</f>
        <v>None</v>
      </c>
      <c r="AG1386" s="43" t="str">
        <f t="array" ref="AG1386">INDEX('Deal Info'!G:G, MATCH(A1386,'Deal Info'!A:A, 0))</f>
        <v>guilexperi</v>
      </c>
    </row>
    <row r="1387" hidden="1">
      <c r="A1387" s="23" t="str">
        <f t="array" ref="A1387">if(G1387='Room Info'!$B$1, INDEX('Room Info'!$A$2:$A3446, MATCH(B1387,'Room Info'!$B$2:$B3446, 0)),if(G1387='Room Info'!$C$1, INDEX('Room Info'!$A$2:$A3446, MATCH(B1387,'Room Info'!$C$2:$C3446, 0)),if(G1387='Room Info'!$D$1, INDEX('Room Info'!$A$2:$A3446, MATCH(B1387,'Room Info'!$D$2:$D3446, 0)),if(G1387='Room Info'!$E$1, INDEX('Room Info'!$A$2:$A3446, MATCH(B1387,'Room Info'!$E$2:$E3446, 0)),if(G1387='Room Info'!$F$1, INDEX('Room Info'!$A$2:$A3446, MATCH(B1387,'Room Info'!$F$2:$F3446, 0)),if(G1387='Room Info'!$H$1, INDEX('Room Info'!$A$2:$A3446, MATCH(B1387,'Room Info'!$H$2:$H3446, 0)),if(G1387='Room Info'!$G$1, INDEX('Room Info'!$A$2:$A3446, MATCH(B1387,'Room Info'!$G$2:$G3446, 0)))))))))</f>
        <v>guilexperi</v>
      </c>
      <c r="B1387" s="50" t="s">
        <v>218</v>
      </c>
      <c r="C1387" s="51">
        <v>44896.0</v>
      </c>
      <c r="D1387" s="51">
        <v>44915.0</v>
      </c>
      <c r="E1387" s="52">
        <v>44896.0</v>
      </c>
      <c r="F1387" s="53" t="s">
        <v>8</v>
      </c>
      <c r="G1387" s="50" t="s">
        <v>5</v>
      </c>
      <c r="H1387" s="54" t="s">
        <v>107</v>
      </c>
      <c r="I1387" s="54" t="s">
        <v>15</v>
      </c>
      <c r="J1387" s="55">
        <v>1000.0</v>
      </c>
      <c r="K1387" s="56">
        <v>1.0</v>
      </c>
      <c r="L1387" s="57">
        <v>978.0</v>
      </c>
      <c r="M1387" s="58">
        <v>4.0</v>
      </c>
      <c r="N1387" s="33">
        <f t="shared" si="155"/>
        <v>1000</v>
      </c>
      <c r="O1387" s="59">
        <v>291.0</v>
      </c>
      <c r="P1387" s="34">
        <f t="shared" si="14"/>
        <v>291</v>
      </c>
      <c r="Q1387" s="60"/>
      <c r="R1387" s="36">
        <f t="shared" si="196"/>
        <v>4</v>
      </c>
      <c r="S1387" s="61">
        <v>564.0</v>
      </c>
      <c r="T1387" s="37">
        <f t="shared" si="197"/>
        <v>568</v>
      </c>
      <c r="U1387" s="62"/>
      <c r="V1387" s="63"/>
      <c r="W1387" s="63"/>
      <c r="X1387" s="35" t="b">
        <f t="shared" si="201"/>
        <v>0</v>
      </c>
      <c r="Y1387" s="83">
        <v>0.22</v>
      </c>
      <c r="Z1387" s="40">
        <f t="shared" si="198"/>
        <v>443.04</v>
      </c>
      <c r="AA1387" s="34">
        <f t="shared" si="199"/>
        <v>0</v>
      </c>
      <c r="AB1387" s="41">
        <f t="shared" si="200"/>
        <v>124.96</v>
      </c>
      <c r="AC1387" s="66" t="b">
        <v>1</v>
      </c>
      <c r="AD1387" s="42" t="s">
        <v>138</v>
      </c>
      <c r="AE1387" s="42" t="s">
        <v>138</v>
      </c>
      <c r="AF1387" s="42" t="str">
        <f t="array" ref="AF1387">INDEX('Deal Info'!D:D, MATCH(A1387,'Deal Info'!A:A, 0))</f>
        <v>None</v>
      </c>
      <c r="AG1387" s="43" t="str">
        <f t="array" ref="AG1387">INDEX('Deal Info'!G:G, MATCH(A1387,'Deal Info'!A:A, 0))</f>
        <v>guilexperi</v>
      </c>
    </row>
    <row r="1388" hidden="1">
      <c r="A1388" s="23" t="str">
        <f t="array" ref="A1388">if(G1388='Room Info'!$B$1, INDEX('Room Info'!$A$2:$A3446, MATCH(B1388,'Room Info'!$B$2:$B3446, 0)),if(G1388='Room Info'!$C$1, INDEX('Room Info'!$A$2:$A3446, MATCH(B1388,'Room Info'!$C$2:$C3446, 0)),if(G1388='Room Info'!$D$1, INDEX('Room Info'!$A$2:$A3446, MATCH(B1388,'Room Info'!$D$2:$D3446, 0)),if(G1388='Room Info'!$E$1, INDEX('Room Info'!$A$2:$A3446, MATCH(B1388,'Room Info'!$E$2:$E3446, 0)),if(G1388='Room Info'!$F$1, INDEX('Room Info'!$A$2:$A3446, MATCH(B1388,'Room Info'!$F$2:$F3446, 0)),if(G1388='Room Info'!$H$1, INDEX('Room Info'!$A$2:$A3446, MATCH(B1388,'Room Info'!$H$2:$H3446, 0)),if(G1388='Room Info'!$G$1, INDEX('Room Info'!$A$2:$A3446, MATCH(B1388,'Room Info'!$G$2:$G3446, 0)))))))))</f>
        <v>guilexperi</v>
      </c>
      <c r="B1388" s="50" t="s">
        <v>218</v>
      </c>
      <c r="C1388" s="51">
        <v>44916.0</v>
      </c>
      <c r="D1388" s="51">
        <v>44921.0</v>
      </c>
      <c r="E1388" s="52">
        <v>44896.0</v>
      </c>
      <c r="F1388" s="53" t="s">
        <v>8</v>
      </c>
      <c r="G1388" s="50" t="s">
        <v>5</v>
      </c>
      <c r="H1388" s="54" t="s">
        <v>86</v>
      </c>
      <c r="I1388" s="54" t="s">
        <v>11</v>
      </c>
      <c r="J1388" s="55">
        <v>100.0</v>
      </c>
      <c r="K1388" s="56">
        <v>15.0</v>
      </c>
      <c r="L1388" s="57">
        <v>-200.0</v>
      </c>
      <c r="M1388" s="58">
        <v>258.0</v>
      </c>
      <c r="N1388" s="33">
        <f t="shared" si="155"/>
        <v>1500</v>
      </c>
      <c r="O1388" s="59">
        <v>733.0</v>
      </c>
      <c r="P1388" s="34">
        <f t="shared" si="14"/>
        <v>48.86666667</v>
      </c>
      <c r="Q1388" s="60"/>
      <c r="R1388" s="36">
        <f t="shared" si="196"/>
        <v>258</v>
      </c>
      <c r="S1388" s="61">
        <v>148.0</v>
      </c>
      <c r="T1388" s="37">
        <f t="shared" si="197"/>
        <v>406</v>
      </c>
      <c r="U1388" s="62"/>
      <c r="V1388" s="63"/>
      <c r="W1388" s="63"/>
      <c r="X1388" s="35" t="b">
        <f t="shared" si="201"/>
        <v>0</v>
      </c>
      <c r="Y1388" s="83">
        <v>0.22</v>
      </c>
      <c r="Z1388" s="40">
        <f t="shared" si="198"/>
        <v>316.68</v>
      </c>
      <c r="AA1388" s="34">
        <f t="shared" si="199"/>
        <v>0</v>
      </c>
      <c r="AB1388" s="41">
        <f t="shared" si="200"/>
        <v>89.32</v>
      </c>
      <c r="AC1388" s="66" t="b">
        <v>1</v>
      </c>
      <c r="AD1388" s="42" t="s">
        <v>138</v>
      </c>
      <c r="AE1388" s="42" t="s">
        <v>138</v>
      </c>
      <c r="AF1388" s="42" t="str">
        <f t="array" ref="AF1388">INDEX('Deal Info'!D:D, MATCH(A1388,'Deal Info'!A:A, 0))</f>
        <v>None</v>
      </c>
      <c r="AG1388" s="43" t="str">
        <f t="array" ref="AG1388">INDEX('Deal Info'!G:G, MATCH(A1388,'Deal Info'!A:A, 0))</f>
        <v>guilexperi</v>
      </c>
    </row>
    <row r="1389" hidden="1">
      <c r="A1389" s="23" t="str">
        <f t="array" ref="A1389">if(G1389='Room Info'!$B$1, INDEX('Room Info'!$A$2:$A3446, MATCH(B1389,'Room Info'!$B$2:$B3446, 0)),if(G1389='Room Info'!$C$1, INDEX('Room Info'!$A$2:$A3446, MATCH(B1389,'Room Info'!$C$2:$C3446, 0)),if(G1389='Room Info'!$D$1, INDEX('Room Info'!$A$2:$A3446, MATCH(B1389,'Room Info'!$D$2:$D3446, 0)),if(G1389='Room Info'!$E$1, INDEX('Room Info'!$A$2:$A3446, MATCH(B1389,'Room Info'!$E$2:$E3446, 0)),if(G1389='Room Info'!$F$1, INDEX('Room Info'!$A$2:$A3446, MATCH(B1389,'Room Info'!$F$2:$F3446, 0)),if(G1389='Room Info'!$H$1, INDEX('Room Info'!$A$2:$A3446, MATCH(B1389,'Room Info'!$H$2:$H3446, 0)),if(G1389='Room Info'!$G$1, INDEX('Room Info'!$A$2:$A3446, MATCH(B1389,'Room Info'!$G$2:$G3446, 0)))))))))</f>
        <v>guilexperi</v>
      </c>
      <c r="B1389" s="50" t="s">
        <v>218</v>
      </c>
      <c r="C1389" s="51">
        <v>44916.0</v>
      </c>
      <c r="D1389" s="51">
        <v>44921.0</v>
      </c>
      <c r="E1389" s="52">
        <v>44896.0</v>
      </c>
      <c r="F1389" s="53" t="s">
        <v>8</v>
      </c>
      <c r="G1389" s="50" t="s">
        <v>5</v>
      </c>
      <c r="H1389" s="54" t="s">
        <v>87</v>
      </c>
      <c r="I1389" s="54" t="s">
        <v>15</v>
      </c>
      <c r="J1389" s="55">
        <v>100.0</v>
      </c>
      <c r="K1389" s="56">
        <v>5.0</v>
      </c>
      <c r="L1389" s="57">
        <v>285.0</v>
      </c>
      <c r="M1389" s="58">
        <v>32.0</v>
      </c>
      <c r="N1389" s="33">
        <f t="shared" si="155"/>
        <v>500</v>
      </c>
      <c r="O1389" s="59">
        <v>-121.0</v>
      </c>
      <c r="P1389" s="34">
        <f t="shared" si="14"/>
        <v>-24.2</v>
      </c>
      <c r="Q1389" s="60"/>
      <c r="R1389" s="36">
        <f t="shared" si="196"/>
        <v>32</v>
      </c>
      <c r="S1389" s="61">
        <v>-33.0</v>
      </c>
      <c r="T1389" s="37">
        <f t="shared" si="197"/>
        <v>-1</v>
      </c>
      <c r="U1389" s="62"/>
      <c r="V1389" s="63"/>
      <c r="W1389" s="63"/>
      <c r="X1389" s="35" t="b">
        <f t="shared" si="201"/>
        <v>0</v>
      </c>
      <c r="Y1389" s="83">
        <v>0.22</v>
      </c>
      <c r="Z1389" s="40">
        <f t="shared" si="198"/>
        <v>-0.78</v>
      </c>
      <c r="AA1389" s="34">
        <f t="shared" si="199"/>
        <v>0</v>
      </c>
      <c r="AB1389" s="41">
        <f t="shared" si="200"/>
        <v>-0.22</v>
      </c>
      <c r="AC1389" s="66" t="b">
        <v>1</v>
      </c>
      <c r="AD1389" s="42" t="s">
        <v>138</v>
      </c>
      <c r="AE1389" s="42" t="s">
        <v>138</v>
      </c>
      <c r="AF1389" s="42" t="str">
        <f t="array" ref="AF1389">INDEX('Deal Info'!D:D, MATCH(A1389,'Deal Info'!A:A, 0))</f>
        <v>None</v>
      </c>
      <c r="AG1389" s="43" t="str">
        <f t="array" ref="AG1389">INDEX('Deal Info'!G:G, MATCH(A1389,'Deal Info'!A:A, 0))</f>
        <v>guilexperi</v>
      </c>
    </row>
    <row r="1390" hidden="1">
      <c r="A1390" s="23" t="str">
        <f t="array" ref="A1390">if(G1390='Room Info'!$B$1, INDEX('Room Info'!$A$2:$A3446, MATCH(B1390,'Room Info'!$B$2:$B3446, 0)),if(G1390='Room Info'!$C$1, INDEX('Room Info'!$A$2:$A3446, MATCH(B1390,'Room Info'!$C$2:$C3446, 0)),if(G1390='Room Info'!$D$1, INDEX('Room Info'!$A$2:$A3446, MATCH(B1390,'Room Info'!$D$2:$D3446, 0)),if(G1390='Room Info'!$E$1, INDEX('Room Info'!$A$2:$A3446, MATCH(B1390,'Room Info'!$E$2:$E3446, 0)),if(G1390='Room Info'!$F$1, INDEX('Room Info'!$A$2:$A3446, MATCH(B1390,'Room Info'!$F$2:$F3446, 0)),if(G1390='Room Info'!$H$1, INDEX('Room Info'!$A$2:$A3446, MATCH(B1390,'Room Info'!$H$2:$H3446, 0)),if(G1390='Room Info'!$G$1, INDEX('Room Info'!$A$2:$A3446, MATCH(B1390,'Room Info'!$G$2:$G3446, 0)))))))))</f>
        <v>guilexperi</v>
      </c>
      <c r="B1390" s="50" t="s">
        <v>218</v>
      </c>
      <c r="C1390" s="51">
        <v>44916.0</v>
      </c>
      <c r="D1390" s="51">
        <v>44921.0</v>
      </c>
      <c r="E1390" s="52">
        <v>44896.0</v>
      </c>
      <c r="F1390" s="53" t="s">
        <v>8</v>
      </c>
      <c r="G1390" s="50" t="s">
        <v>5</v>
      </c>
      <c r="H1390" s="54" t="s">
        <v>107</v>
      </c>
      <c r="I1390" s="54" t="s">
        <v>15</v>
      </c>
      <c r="J1390" s="55">
        <v>1000.0</v>
      </c>
      <c r="K1390" s="56">
        <v>3.0</v>
      </c>
      <c r="L1390" s="57">
        <v>-1022.0</v>
      </c>
      <c r="M1390" s="58">
        <v>115.0</v>
      </c>
      <c r="N1390" s="33">
        <f t="shared" si="155"/>
        <v>3000</v>
      </c>
      <c r="O1390" s="59">
        <v>-347.0</v>
      </c>
      <c r="P1390" s="34">
        <f t="shared" si="14"/>
        <v>-115.6666667</v>
      </c>
      <c r="Q1390" s="60"/>
      <c r="R1390" s="36">
        <f t="shared" si="196"/>
        <v>115</v>
      </c>
      <c r="S1390" s="61">
        <v>-720.0</v>
      </c>
      <c r="T1390" s="37">
        <f t="shared" si="197"/>
        <v>-605</v>
      </c>
      <c r="U1390" s="62"/>
      <c r="V1390" s="63"/>
      <c r="W1390" s="63"/>
      <c r="X1390" s="35" t="b">
        <f t="shared" si="201"/>
        <v>0</v>
      </c>
      <c r="Y1390" s="83">
        <v>0.22</v>
      </c>
      <c r="Z1390" s="40">
        <f t="shared" si="198"/>
        <v>-471.9</v>
      </c>
      <c r="AA1390" s="34">
        <f t="shared" si="199"/>
        <v>0</v>
      </c>
      <c r="AB1390" s="41">
        <f t="shared" si="200"/>
        <v>-133.1</v>
      </c>
      <c r="AC1390" s="66" t="b">
        <v>1</v>
      </c>
      <c r="AD1390" s="42" t="s">
        <v>138</v>
      </c>
      <c r="AE1390" s="42" t="s">
        <v>138</v>
      </c>
      <c r="AF1390" s="42" t="str">
        <f t="array" ref="AF1390">INDEX('Deal Info'!D:D, MATCH(A1390,'Deal Info'!A:A, 0))</f>
        <v>None</v>
      </c>
      <c r="AG1390" s="43" t="str">
        <f t="array" ref="AG1390">INDEX('Deal Info'!G:G, MATCH(A1390,'Deal Info'!A:A, 0))</f>
        <v>guilexperi</v>
      </c>
    </row>
    <row r="1391" hidden="1">
      <c r="A1391" s="23" t="str">
        <f t="array" ref="A1391">if(G1391='Room Info'!$B$1, INDEX('Room Info'!$A$2:$A3446, MATCH(B1391,'Room Info'!$B$2:$B3446, 0)),if(G1391='Room Info'!$C$1, INDEX('Room Info'!$A$2:$A3446, MATCH(B1391,'Room Info'!$C$2:$C3446, 0)),if(G1391='Room Info'!$D$1, INDEX('Room Info'!$A$2:$A3446, MATCH(B1391,'Room Info'!$D$2:$D3446, 0)),if(G1391='Room Info'!$E$1, INDEX('Room Info'!$A$2:$A3446, MATCH(B1391,'Room Info'!$E$2:$E3446, 0)),if(G1391='Room Info'!$F$1, INDEX('Room Info'!$A$2:$A3446, MATCH(B1391,'Room Info'!$F$2:$F3446, 0)),if(G1391='Room Info'!$H$1, INDEX('Room Info'!$A$2:$A3446, MATCH(B1391,'Room Info'!$H$2:$H3446, 0)),if(G1391='Room Info'!$G$1, INDEX('Room Info'!$A$2:$A3446, MATCH(B1391,'Room Info'!$G$2:$G3446, 0)))))))))</f>
        <v>guilexperi</v>
      </c>
      <c r="B1391" s="50" t="s">
        <v>218</v>
      </c>
      <c r="C1391" s="51">
        <v>44916.0</v>
      </c>
      <c r="D1391" s="51">
        <v>44921.0</v>
      </c>
      <c r="E1391" s="52">
        <v>44896.0</v>
      </c>
      <c r="F1391" s="53" t="s">
        <v>8</v>
      </c>
      <c r="G1391" s="50" t="s">
        <v>5</v>
      </c>
      <c r="H1391" s="54" t="s">
        <v>94</v>
      </c>
      <c r="I1391" s="54" t="s">
        <v>15</v>
      </c>
      <c r="J1391" s="55">
        <v>200.0</v>
      </c>
      <c r="K1391" s="56">
        <v>31.0</v>
      </c>
      <c r="L1391" s="57">
        <v>-1087.0</v>
      </c>
      <c r="M1391" s="58">
        <v>355.0</v>
      </c>
      <c r="N1391" s="33">
        <f t="shared" si="155"/>
        <v>6200</v>
      </c>
      <c r="O1391" s="59">
        <v>96.0</v>
      </c>
      <c r="P1391" s="34">
        <f t="shared" si="14"/>
        <v>3.096774194</v>
      </c>
      <c r="Q1391" s="60"/>
      <c r="R1391" s="36">
        <f t="shared" si="196"/>
        <v>355</v>
      </c>
      <c r="S1391" s="61">
        <v>-66.0</v>
      </c>
      <c r="T1391" s="37">
        <f t="shared" si="197"/>
        <v>289</v>
      </c>
      <c r="U1391" s="62"/>
      <c r="V1391" s="63"/>
      <c r="W1391" s="63"/>
      <c r="X1391" s="35" t="b">
        <f t="shared" si="201"/>
        <v>0</v>
      </c>
      <c r="Y1391" s="83">
        <v>0.22</v>
      </c>
      <c r="Z1391" s="40">
        <f t="shared" si="198"/>
        <v>225.42</v>
      </c>
      <c r="AA1391" s="34">
        <f t="shared" si="199"/>
        <v>0</v>
      </c>
      <c r="AB1391" s="41">
        <f t="shared" si="200"/>
        <v>63.58</v>
      </c>
      <c r="AC1391" s="66" t="b">
        <v>1</v>
      </c>
      <c r="AD1391" s="42" t="s">
        <v>138</v>
      </c>
      <c r="AE1391" s="42" t="s">
        <v>138</v>
      </c>
      <c r="AF1391" s="42" t="str">
        <f t="array" ref="AF1391">INDEX('Deal Info'!D:D, MATCH(A1391,'Deal Info'!A:A, 0))</f>
        <v>None</v>
      </c>
      <c r="AG1391" s="43" t="str">
        <f t="array" ref="AG1391">INDEX('Deal Info'!G:G, MATCH(A1391,'Deal Info'!A:A, 0))</f>
        <v>guilexperi</v>
      </c>
    </row>
    <row r="1392" hidden="1">
      <c r="A1392" s="23" t="str">
        <f t="array" ref="A1392">if(G1392='Room Info'!$B$1, INDEX('Room Info'!$A$2:$A3446, MATCH(B1392,'Room Info'!$B$2:$B3446, 0)),if(G1392='Room Info'!$C$1, INDEX('Room Info'!$A$2:$A3446, MATCH(B1392,'Room Info'!$C$2:$C3446, 0)),if(G1392='Room Info'!$D$1, INDEX('Room Info'!$A$2:$A3446, MATCH(B1392,'Room Info'!$D$2:$D3446, 0)),if(G1392='Room Info'!$E$1, INDEX('Room Info'!$A$2:$A3446, MATCH(B1392,'Room Info'!$E$2:$E3446, 0)),if(G1392='Room Info'!$F$1, INDEX('Room Info'!$A$2:$A3446, MATCH(B1392,'Room Info'!$F$2:$F3446, 0)),if(G1392='Room Info'!$H$1, INDEX('Room Info'!$A$2:$A3446, MATCH(B1392,'Room Info'!$H$2:$H3446, 0)),if(G1392='Room Info'!$G$1, INDEX('Room Info'!$A$2:$A3446, MATCH(B1392,'Room Info'!$G$2:$G3446, 0)))))))))</f>
        <v>guilexperi</v>
      </c>
      <c r="B1392" s="50" t="s">
        <v>218</v>
      </c>
      <c r="C1392" s="51">
        <v>44916.0</v>
      </c>
      <c r="D1392" s="51">
        <v>44921.0</v>
      </c>
      <c r="E1392" s="52">
        <v>44896.0</v>
      </c>
      <c r="F1392" s="53" t="s">
        <v>8</v>
      </c>
      <c r="G1392" s="50" t="s">
        <v>5</v>
      </c>
      <c r="H1392" s="54" t="s">
        <v>96</v>
      </c>
      <c r="I1392" s="54" t="s">
        <v>7</v>
      </c>
      <c r="J1392" s="55">
        <v>250.0</v>
      </c>
      <c r="K1392" s="56">
        <v>261.0</v>
      </c>
      <c r="L1392" s="57">
        <v>-5000.0</v>
      </c>
      <c r="M1392" s="58">
        <v>11204.0</v>
      </c>
      <c r="N1392" s="33">
        <f t="shared" si="155"/>
        <v>65250</v>
      </c>
      <c r="O1392" s="59">
        <v>5778.0</v>
      </c>
      <c r="P1392" s="34">
        <f t="shared" si="14"/>
        <v>22.13793103</v>
      </c>
      <c r="Q1392" s="60"/>
      <c r="R1392" s="36">
        <f t="shared" si="196"/>
        <v>11204</v>
      </c>
      <c r="S1392" s="61">
        <v>-653.0</v>
      </c>
      <c r="T1392" s="37">
        <f t="shared" si="197"/>
        <v>10551</v>
      </c>
      <c r="U1392" s="62"/>
      <c r="V1392" s="63"/>
      <c r="W1392" s="63"/>
      <c r="X1392" s="35" t="b">
        <f t="shared" si="201"/>
        <v>0</v>
      </c>
      <c r="Y1392" s="83">
        <v>0.22</v>
      </c>
      <c r="Z1392" s="40">
        <f t="shared" si="198"/>
        <v>8229.78</v>
      </c>
      <c r="AA1392" s="34">
        <f t="shared" si="199"/>
        <v>0</v>
      </c>
      <c r="AB1392" s="41">
        <f t="shared" si="200"/>
        <v>2321.22</v>
      </c>
      <c r="AC1392" s="66" t="b">
        <v>1</v>
      </c>
      <c r="AD1392" s="42" t="s">
        <v>138</v>
      </c>
      <c r="AE1392" s="42" t="s">
        <v>138</v>
      </c>
      <c r="AF1392" s="42" t="str">
        <f t="array" ref="AF1392">INDEX('Deal Info'!D:D, MATCH(A1392,'Deal Info'!A:A, 0))</f>
        <v>None</v>
      </c>
      <c r="AG1392" s="43" t="str">
        <f t="array" ref="AG1392">INDEX('Deal Info'!G:G, MATCH(A1392,'Deal Info'!A:A, 0))</f>
        <v>guilexperi</v>
      </c>
    </row>
    <row r="1393" hidden="1">
      <c r="A1393" s="23" t="str">
        <f t="array" ref="A1393">if(G1393='Room Info'!$B$1, INDEX('Room Info'!$A$2:$A3446, MATCH(B1393,'Room Info'!$B$2:$B3446, 0)),if(G1393='Room Info'!$C$1, INDEX('Room Info'!$A$2:$A3446, MATCH(B1393,'Room Info'!$C$2:$C3446, 0)),if(G1393='Room Info'!$D$1, INDEX('Room Info'!$A$2:$A3446, MATCH(B1393,'Room Info'!$D$2:$D3446, 0)),if(G1393='Room Info'!$E$1, INDEX('Room Info'!$A$2:$A3446, MATCH(B1393,'Room Info'!$E$2:$E3446, 0)),if(G1393='Room Info'!$F$1, INDEX('Room Info'!$A$2:$A3446, MATCH(B1393,'Room Info'!$F$2:$F3446, 0)),if(G1393='Room Info'!$H$1, INDEX('Room Info'!$A$2:$A3446, MATCH(B1393,'Room Info'!$H$2:$H3446, 0)),if(G1393='Room Info'!$G$1, INDEX('Room Info'!$A$2:$A3446, MATCH(B1393,'Room Info'!$G$2:$G3446, 0)))))))))</f>
        <v>guilexperi</v>
      </c>
      <c r="B1393" s="50" t="s">
        <v>218</v>
      </c>
      <c r="C1393" s="51">
        <v>44916.0</v>
      </c>
      <c r="D1393" s="51">
        <v>44921.0</v>
      </c>
      <c r="E1393" s="52">
        <v>44896.0</v>
      </c>
      <c r="F1393" s="53" t="s">
        <v>8</v>
      </c>
      <c r="G1393" s="50" t="s">
        <v>5</v>
      </c>
      <c r="H1393" s="54" t="s">
        <v>97</v>
      </c>
      <c r="I1393" s="54" t="s">
        <v>11</v>
      </c>
      <c r="J1393" s="55">
        <v>250.0</v>
      </c>
      <c r="K1393" s="56">
        <v>2.0</v>
      </c>
      <c r="L1393" s="57">
        <v>-500.0</v>
      </c>
      <c r="M1393" s="58">
        <v>86.0</v>
      </c>
      <c r="N1393" s="33">
        <f t="shared" si="155"/>
        <v>500</v>
      </c>
      <c r="O1393" s="59">
        <v>110.0</v>
      </c>
      <c r="P1393" s="34">
        <f t="shared" si="14"/>
        <v>55</v>
      </c>
      <c r="Q1393" s="60"/>
      <c r="R1393" s="36">
        <f t="shared" si="196"/>
        <v>86</v>
      </c>
      <c r="S1393" s="61">
        <v>60.0</v>
      </c>
      <c r="T1393" s="37">
        <f t="shared" si="197"/>
        <v>146</v>
      </c>
      <c r="U1393" s="62"/>
      <c r="V1393" s="63"/>
      <c r="W1393" s="63"/>
      <c r="X1393" s="35" t="b">
        <f t="shared" si="201"/>
        <v>0</v>
      </c>
      <c r="Y1393" s="83">
        <v>0.22</v>
      </c>
      <c r="Z1393" s="40">
        <f t="shared" si="198"/>
        <v>113.88</v>
      </c>
      <c r="AA1393" s="34">
        <f t="shared" si="199"/>
        <v>0</v>
      </c>
      <c r="AB1393" s="41">
        <f t="shared" si="200"/>
        <v>32.12</v>
      </c>
      <c r="AC1393" s="66" t="b">
        <v>1</v>
      </c>
      <c r="AD1393" s="42" t="s">
        <v>138</v>
      </c>
      <c r="AE1393" s="42" t="s">
        <v>138</v>
      </c>
      <c r="AF1393" s="42" t="str">
        <f t="array" ref="AF1393">INDEX('Deal Info'!D:D, MATCH(A1393,'Deal Info'!A:A, 0))</f>
        <v>None</v>
      </c>
      <c r="AG1393" s="43" t="str">
        <f t="array" ref="AG1393">INDEX('Deal Info'!G:G, MATCH(A1393,'Deal Info'!A:A, 0))</f>
        <v>guilexperi</v>
      </c>
    </row>
    <row r="1394" hidden="1">
      <c r="A1394" s="23" t="str">
        <f t="array" ref="A1394">if(G1394='Room Info'!$B$1, INDEX('Room Info'!$A$2:$A3446, MATCH(B1394,'Room Info'!$B$2:$B3446, 0)),if(G1394='Room Info'!$C$1, INDEX('Room Info'!$A$2:$A3446, MATCH(B1394,'Room Info'!$C$2:$C3446, 0)),if(G1394='Room Info'!$D$1, INDEX('Room Info'!$A$2:$A3446, MATCH(B1394,'Room Info'!$D$2:$D3446, 0)),if(G1394='Room Info'!$E$1, INDEX('Room Info'!$A$2:$A3446, MATCH(B1394,'Room Info'!$E$2:$E3446, 0)),if(G1394='Room Info'!$F$1, INDEX('Room Info'!$A$2:$A3446, MATCH(B1394,'Room Info'!$F$2:$F3446, 0)),if(G1394='Room Info'!$H$1, INDEX('Room Info'!$A$2:$A3446, MATCH(B1394,'Room Info'!$H$2:$H3446, 0)),if(G1394='Room Info'!$G$1, INDEX('Room Info'!$A$2:$A3446, MATCH(B1394,'Room Info'!$G$2:$G3446, 0)))))))))</f>
        <v>guilexperi</v>
      </c>
      <c r="B1394" s="50" t="s">
        <v>218</v>
      </c>
      <c r="C1394" s="51">
        <v>44916.0</v>
      </c>
      <c r="D1394" s="51">
        <v>44921.0</v>
      </c>
      <c r="E1394" s="52">
        <v>44896.0</v>
      </c>
      <c r="F1394" s="53" t="s">
        <v>8</v>
      </c>
      <c r="G1394" s="50" t="s">
        <v>5</v>
      </c>
      <c r="H1394" s="54" t="s">
        <v>100</v>
      </c>
      <c r="I1394" s="54" t="s">
        <v>15</v>
      </c>
      <c r="J1394" s="55">
        <v>300.0</v>
      </c>
      <c r="K1394" s="56">
        <v>30.0</v>
      </c>
      <c r="L1394" s="57">
        <v>2229.0</v>
      </c>
      <c r="M1394" s="58">
        <v>463.0</v>
      </c>
      <c r="N1394" s="33">
        <f t="shared" si="155"/>
        <v>9000</v>
      </c>
      <c r="O1394" s="59">
        <v>608.0</v>
      </c>
      <c r="P1394" s="34">
        <f t="shared" si="14"/>
        <v>20.26666667</v>
      </c>
      <c r="Q1394" s="60"/>
      <c r="R1394" s="36">
        <f t="shared" si="196"/>
        <v>463</v>
      </c>
      <c r="S1394" s="61">
        <v>225.0</v>
      </c>
      <c r="T1394" s="37">
        <f t="shared" si="197"/>
        <v>688</v>
      </c>
      <c r="U1394" s="62"/>
      <c r="V1394" s="63"/>
      <c r="W1394" s="63"/>
      <c r="X1394" s="35" t="b">
        <f t="shared" si="201"/>
        <v>0</v>
      </c>
      <c r="Y1394" s="83">
        <v>0.22</v>
      </c>
      <c r="Z1394" s="40">
        <f t="shared" si="198"/>
        <v>536.64</v>
      </c>
      <c r="AA1394" s="34">
        <f t="shared" si="199"/>
        <v>0</v>
      </c>
      <c r="AB1394" s="41">
        <f t="shared" si="200"/>
        <v>151.36</v>
      </c>
      <c r="AC1394" s="66" t="b">
        <v>1</v>
      </c>
      <c r="AD1394" s="42" t="s">
        <v>138</v>
      </c>
      <c r="AE1394" s="42" t="s">
        <v>138</v>
      </c>
      <c r="AF1394" s="42" t="str">
        <f t="array" ref="AF1394">INDEX('Deal Info'!D:D, MATCH(A1394,'Deal Info'!A:A, 0))</f>
        <v>None</v>
      </c>
      <c r="AG1394" s="43" t="str">
        <f t="array" ref="AG1394">INDEX('Deal Info'!G:G, MATCH(A1394,'Deal Info'!A:A, 0))</f>
        <v>guilexperi</v>
      </c>
    </row>
    <row r="1395" hidden="1">
      <c r="A1395" s="23" t="str">
        <f t="array" ref="A1395">if(G1395='Room Info'!$B$1, INDEX('Room Info'!$A$2:$A3446, MATCH(B1395,'Room Info'!$B$2:$B3446, 0)),if(G1395='Room Info'!$C$1, INDEX('Room Info'!$A$2:$A3446, MATCH(B1395,'Room Info'!$C$2:$C3446, 0)),if(G1395='Room Info'!$D$1, INDEX('Room Info'!$A$2:$A3446, MATCH(B1395,'Room Info'!$D$2:$D3446, 0)),if(G1395='Room Info'!$E$1, INDEX('Room Info'!$A$2:$A3446, MATCH(B1395,'Room Info'!$E$2:$E3446, 0)),if(G1395='Room Info'!$F$1, INDEX('Room Info'!$A$2:$A3446, MATCH(B1395,'Room Info'!$F$2:$F3446, 0)),if(G1395='Room Info'!$H$1, INDEX('Room Info'!$A$2:$A3446, MATCH(B1395,'Room Info'!$H$2:$H3446, 0)),if(G1395='Room Info'!$G$1, INDEX('Room Info'!$A$2:$A3446, MATCH(B1395,'Room Info'!$G$2:$G3446, 0)))))))))</f>
        <v>guilexperi</v>
      </c>
      <c r="B1395" s="50" t="s">
        <v>218</v>
      </c>
      <c r="C1395" s="51">
        <v>44916.0</v>
      </c>
      <c r="D1395" s="51">
        <v>44921.0</v>
      </c>
      <c r="E1395" s="52">
        <v>44896.0</v>
      </c>
      <c r="F1395" s="53" t="s">
        <v>8</v>
      </c>
      <c r="G1395" s="50" t="s">
        <v>5</v>
      </c>
      <c r="H1395" s="54" t="s">
        <v>35</v>
      </c>
      <c r="I1395" s="54" t="s">
        <v>7</v>
      </c>
      <c r="J1395" s="55">
        <v>5.0</v>
      </c>
      <c r="K1395" s="56">
        <v>2.0</v>
      </c>
      <c r="L1395" s="57">
        <v>20.0</v>
      </c>
      <c r="M1395" s="58">
        <v>3.0</v>
      </c>
      <c r="N1395" s="33">
        <f t="shared" si="155"/>
        <v>10</v>
      </c>
      <c r="O1395" s="59">
        <v>256.0</v>
      </c>
      <c r="P1395" s="34">
        <f t="shared" si="14"/>
        <v>128</v>
      </c>
      <c r="Q1395" s="60"/>
      <c r="R1395" s="36">
        <f t="shared" si="196"/>
        <v>3</v>
      </c>
      <c r="S1395" s="61">
        <v>1.0</v>
      </c>
      <c r="T1395" s="37">
        <f t="shared" si="197"/>
        <v>4</v>
      </c>
      <c r="U1395" s="62"/>
      <c r="V1395" s="63"/>
      <c r="W1395" s="63"/>
      <c r="X1395" s="35" t="b">
        <f t="shared" si="201"/>
        <v>0</v>
      </c>
      <c r="Y1395" s="83">
        <v>0.22</v>
      </c>
      <c r="Z1395" s="40">
        <f t="shared" si="198"/>
        <v>3.12</v>
      </c>
      <c r="AA1395" s="34">
        <f t="shared" si="199"/>
        <v>0</v>
      </c>
      <c r="AB1395" s="41">
        <f t="shared" si="200"/>
        <v>0.88</v>
      </c>
      <c r="AC1395" s="66" t="b">
        <v>1</v>
      </c>
      <c r="AD1395" s="42" t="s">
        <v>138</v>
      </c>
      <c r="AE1395" s="42" t="s">
        <v>138</v>
      </c>
      <c r="AF1395" s="42" t="str">
        <f t="array" ref="AF1395">INDEX('Deal Info'!D:D, MATCH(A1395,'Deal Info'!A:A, 0))</f>
        <v>None</v>
      </c>
      <c r="AG1395" s="43" t="str">
        <f t="array" ref="AG1395">INDEX('Deal Info'!G:G, MATCH(A1395,'Deal Info'!A:A, 0))</f>
        <v>guilexperi</v>
      </c>
    </row>
    <row r="1396" hidden="1">
      <c r="A1396" s="23" t="str">
        <f t="array" ref="A1396">if(G1396='Room Info'!$B$1, INDEX('Room Info'!$A$2:$A3446, MATCH(B1396,'Room Info'!$B$2:$B3446, 0)),if(G1396='Room Info'!$C$1, INDEX('Room Info'!$A$2:$A3446, MATCH(B1396,'Room Info'!$C$2:$C3446, 0)),if(G1396='Room Info'!$D$1, INDEX('Room Info'!$A$2:$A3446, MATCH(B1396,'Room Info'!$D$2:$D3446, 0)),if(G1396='Room Info'!$E$1, INDEX('Room Info'!$A$2:$A3446, MATCH(B1396,'Room Info'!$E$2:$E3446, 0)),if(G1396='Room Info'!$F$1, INDEX('Room Info'!$A$2:$A3446, MATCH(B1396,'Room Info'!$F$2:$F3446, 0)),if(G1396='Room Info'!$H$1, INDEX('Room Info'!$A$2:$A3446, MATCH(B1396,'Room Info'!$H$2:$H3446, 0)),if(G1396='Room Info'!$G$1, INDEX('Room Info'!$A$2:$A3446, MATCH(B1396,'Room Info'!$G$2:$G3446, 0)))))))))</f>
        <v>guilexperi</v>
      </c>
      <c r="B1396" s="50" t="s">
        <v>218</v>
      </c>
      <c r="C1396" s="51">
        <v>44916.0</v>
      </c>
      <c r="D1396" s="51">
        <v>44921.0</v>
      </c>
      <c r="E1396" s="52">
        <v>44896.0</v>
      </c>
      <c r="F1396" s="53" t="s">
        <v>8</v>
      </c>
      <c r="G1396" s="50" t="s">
        <v>5</v>
      </c>
      <c r="H1396" s="54" t="s">
        <v>101</v>
      </c>
      <c r="I1396" s="54" t="s">
        <v>7</v>
      </c>
      <c r="J1396" s="55">
        <v>500.0</v>
      </c>
      <c r="K1396" s="56">
        <v>88.0</v>
      </c>
      <c r="L1396" s="57">
        <v>3500.0</v>
      </c>
      <c r="M1396" s="58">
        <v>7555.0</v>
      </c>
      <c r="N1396" s="33">
        <f t="shared" si="155"/>
        <v>44000</v>
      </c>
      <c r="O1396" s="59">
        <v>5239.0</v>
      </c>
      <c r="P1396" s="34">
        <f t="shared" si="14"/>
        <v>59.53409091</v>
      </c>
      <c r="Q1396" s="60"/>
      <c r="R1396" s="36">
        <f t="shared" si="196"/>
        <v>7555</v>
      </c>
      <c r="S1396" s="121">
        <v>2691.0</v>
      </c>
      <c r="T1396" s="37">
        <f t="shared" si="197"/>
        <v>10246</v>
      </c>
      <c r="U1396" s="62"/>
      <c r="V1396" s="63"/>
      <c r="W1396" s="63"/>
      <c r="X1396" s="35" t="b">
        <f t="shared" si="201"/>
        <v>0</v>
      </c>
      <c r="Y1396" s="83">
        <v>0.22</v>
      </c>
      <c r="Z1396" s="40">
        <f t="shared" si="198"/>
        <v>7991.88</v>
      </c>
      <c r="AA1396" s="34">
        <f t="shared" si="199"/>
        <v>0</v>
      </c>
      <c r="AB1396" s="41">
        <f t="shared" si="200"/>
        <v>2254.12</v>
      </c>
      <c r="AC1396" s="66" t="b">
        <v>1</v>
      </c>
      <c r="AD1396" s="42" t="s">
        <v>138</v>
      </c>
      <c r="AE1396" s="42" t="s">
        <v>138</v>
      </c>
      <c r="AF1396" s="42" t="str">
        <f t="array" ref="AF1396">INDEX('Deal Info'!D:D, MATCH(A1396,'Deal Info'!A:A, 0))</f>
        <v>None</v>
      </c>
      <c r="AG1396" s="43" t="str">
        <f t="array" ref="AG1396">INDEX('Deal Info'!G:G, MATCH(A1396,'Deal Info'!A:A, 0))</f>
        <v>guilexperi</v>
      </c>
    </row>
    <row r="1397" hidden="1">
      <c r="A1397" s="23" t="str">
        <f t="array" ref="A1397">if(G1397='Room Info'!$B$1, INDEX('Room Info'!$A$2:$A3446, MATCH(B1397,'Room Info'!$B$2:$B3446, 0)),if(G1397='Room Info'!$C$1, INDEX('Room Info'!$A$2:$A3446, MATCH(B1397,'Room Info'!$C$2:$C3446, 0)),if(G1397='Room Info'!$D$1, INDEX('Room Info'!$A$2:$A3446, MATCH(B1397,'Room Info'!$D$2:$D3446, 0)),if(G1397='Room Info'!$E$1, INDEX('Room Info'!$A$2:$A3446, MATCH(B1397,'Room Info'!$E$2:$E3446, 0)),if(G1397='Room Info'!$F$1, INDEX('Room Info'!$A$2:$A3446, MATCH(B1397,'Room Info'!$F$2:$F3446, 0)),if(G1397='Room Info'!$H$1, INDEX('Room Info'!$A$2:$A3446, MATCH(B1397,'Room Info'!$H$2:$H3446, 0)),if(G1397='Room Info'!$G$1, INDEX('Room Info'!$A$2:$A3446, MATCH(B1397,'Room Info'!$G$2:$G3446, 0)))))))))</f>
        <v>guilexperi</v>
      </c>
      <c r="B1397" s="50" t="s">
        <v>218</v>
      </c>
      <c r="C1397" s="51">
        <v>44916.0</v>
      </c>
      <c r="D1397" s="51">
        <v>44921.0</v>
      </c>
      <c r="E1397" s="52">
        <v>44896.0</v>
      </c>
      <c r="F1397" s="53" t="s">
        <v>8</v>
      </c>
      <c r="G1397" s="50" t="s">
        <v>5</v>
      </c>
      <c r="H1397" s="54" t="s">
        <v>103</v>
      </c>
      <c r="I1397" s="54" t="s">
        <v>15</v>
      </c>
      <c r="J1397" s="55">
        <v>500.0</v>
      </c>
      <c r="K1397" s="56">
        <v>10.0</v>
      </c>
      <c r="L1397" s="57">
        <v>-3027.0</v>
      </c>
      <c r="M1397" s="58">
        <v>229.0</v>
      </c>
      <c r="N1397" s="33">
        <f t="shared" si="155"/>
        <v>5000</v>
      </c>
      <c r="O1397" s="59">
        <v>-1823.0</v>
      </c>
      <c r="P1397" s="34">
        <f t="shared" si="14"/>
        <v>-182.3</v>
      </c>
      <c r="Q1397" s="60"/>
      <c r="R1397" s="36">
        <f t="shared" si="196"/>
        <v>229</v>
      </c>
      <c r="S1397" s="121">
        <v>-1865.0</v>
      </c>
      <c r="T1397" s="37">
        <f t="shared" si="197"/>
        <v>-1636</v>
      </c>
      <c r="U1397" s="62"/>
      <c r="V1397" s="63"/>
      <c r="W1397" s="63"/>
      <c r="X1397" s="35" t="b">
        <f t="shared" si="201"/>
        <v>0</v>
      </c>
      <c r="Y1397" s="83">
        <v>0.22</v>
      </c>
      <c r="Z1397" s="40">
        <f t="shared" si="198"/>
        <v>-1276.08</v>
      </c>
      <c r="AA1397" s="34">
        <f t="shared" si="199"/>
        <v>0</v>
      </c>
      <c r="AB1397" s="41">
        <f t="shared" si="200"/>
        <v>-359.92</v>
      </c>
      <c r="AC1397" s="66" t="b">
        <v>1</v>
      </c>
      <c r="AD1397" s="42" t="s">
        <v>138</v>
      </c>
      <c r="AE1397" s="42" t="s">
        <v>138</v>
      </c>
      <c r="AF1397" s="42" t="str">
        <f t="array" ref="AF1397">INDEX('Deal Info'!D:D, MATCH(A1397,'Deal Info'!A:A, 0))</f>
        <v>None</v>
      </c>
      <c r="AG1397" s="43" t="str">
        <f t="array" ref="AG1397">INDEX('Deal Info'!G:G, MATCH(A1397,'Deal Info'!A:A, 0))</f>
        <v>guilexperi</v>
      </c>
    </row>
    <row r="1398" hidden="1">
      <c r="A1398" s="23" t="str">
        <f t="array" ref="A1398">if(G1398='Room Info'!$B$1, INDEX('Room Info'!$A$2:$A3446, MATCH(B1398,'Room Info'!$B$2:$B3446, 0)),if(G1398='Room Info'!$C$1, INDEX('Room Info'!$A$2:$A3446, MATCH(B1398,'Room Info'!$C$2:$C3446, 0)),if(G1398='Room Info'!$D$1, INDEX('Room Info'!$A$2:$A3446, MATCH(B1398,'Room Info'!$D$2:$D3446, 0)),if(G1398='Room Info'!$E$1, INDEX('Room Info'!$A$2:$A3446, MATCH(B1398,'Room Info'!$E$2:$E3446, 0)),if(G1398='Room Info'!$F$1, INDEX('Room Info'!$A$2:$A3446, MATCH(B1398,'Room Info'!$F$2:$F3446, 0)),if(G1398='Room Info'!$H$1, INDEX('Room Info'!$A$2:$A3446, MATCH(B1398,'Room Info'!$H$2:$H3446, 0)),if(G1398='Room Info'!$G$1, INDEX('Room Info'!$A$2:$A3446, MATCH(B1398,'Room Info'!$G$2:$G3446, 0)))))))))</f>
        <v>guilexperi</v>
      </c>
      <c r="B1398" s="50" t="s">
        <v>218</v>
      </c>
      <c r="C1398" s="51">
        <v>44922.0</v>
      </c>
      <c r="D1398" s="51">
        <v>44957.0</v>
      </c>
      <c r="E1398" s="52">
        <v>44927.0</v>
      </c>
      <c r="F1398" s="53" t="s">
        <v>8</v>
      </c>
      <c r="G1398" s="50" t="s">
        <v>5</v>
      </c>
      <c r="H1398" s="54" t="s">
        <v>107</v>
      </c>
      <c r="I1398" s="54" t="s">
        <v>15</v>
      </c>
      <c r="J1398" s="55">
        <v>1000.0</v>
      </c>
      <c r="K1398" s="56">
        <v>12.0</v>
      </c>
      <c r="L1398" s="57">
        <v>-134.0</v>
      </c>
      <c r="M1398" s="58">
        <v>73.0</v>
      </c>
      <c r="N1398" s="33">
        <f t="shared" si="155"/>
        <v>12000</v>
      </c>
      <c r="O1398" s="59">
        <v>-358.0</v>
      </c>
      <c r="P1398" s="34">
        <f t="shared" si="14"/>
        <v>-29.83333333</v>
      </c>
      <c r="Q1398" s="60"/>
      <c r="R1398" s="36">
        <f t="shared" si="196"/>
        <v>73</v>
      </c>
      <c r="S1398" s="61">
        <v>-828.0</v>
      </c>
      <c r="T1398" s="37">
        <f t="shared" si="197"/>
        <v>-755</v>
      </c>
      <c r="U1398" s="62"/>
      <c r="V1398" s="63"/>
      <c r="W1398" s="63"/>
      <c r="X1398" s="35" t="b">
        <f t="shared" si="201"/>
        <v>0</v>
      </c>
      <c r="Y1398" s="83">
        <v>0.15</v>
      </c>
      <c r="Z1398" s="40">
        <f t="shared" si="198"/>
        <v>-641.75</v>
      </c>
      <c r="AA1398" s="34">
        <f t="shared" si="199"/>
        <v>0</v>
      </c>
      <c r="AB1398" s="41">
        <f t="shared" si="200"/>
        <v>-113.25</v>
      </c>
      <c r="AC1398" s="66" t="b">
        <v>1</v>
      </c>
      <c r="AD1398" s="42" t="s">
        <v>138</v>
      </c>
      <c r="AE1398" s="42" t="s">
        <v>138</v>
      </c>
      <c r="AF1398" s="42" t="str">
        <f t="array" ref="AF1398">INDEX('Deal Info'!D:D, MATCH(A1398,'Deal Info'!A:A, 0))</f>
        <v>None</v>
      </c>
      <c r="AG1398" s="43" t="str">
        <f t="array" ref="AG1398">INDEX('Deal Info'!G:G, MATCH(A1398,'Deal Info'!A:A, 0))</f>
        <v>guilexperi</v>
      </c>
    </row>
    <row r="1399" hidden="1">
      <c r="A1399" s="23" t="str">
        <f t="array" ref="A1399">if(G1399='Room Info'!$B$1, INDEX('Room Info'!$A$2:$A3446, MATCH(B1399,'Room Info'!$B$2:$B3446, 0)),if(G1399='Room Info'!$C$1, INDEX('Room Info'!$A$2:$A3446, MATCH(B1399,'Room Info'!$C$2:$C3446, 0)),if(G1399='Room Info'!$D$1, INDEX('Room Info'!$A$2:$A3446, MATCH(B1399,'Room Info'!$D$2:$D3446, 0)),if(G1399='Room Info'!$E$1, INDEX('Room Info'!$A$2:$A3446, MATCH(B1399,'Room Info'!$E$2:$E3446, 0)),if(G1399='Room Info'!$F$1, INDEX('Room Info'!$A$2:$A3446, MATCH(B1399,'Room Info'!$F$2:$F3446, 0)),if(G1399='Room Info'!$H$1, INDEX('Room Info'!$A$2:$A3446, MATCH(B1399,'Room Info'!$H$2:$H3446, 0)),if(G1399='Room Info'!$G$1, INDEX('Room Info'!$A$2:$A3446, MATCH(B1399,'Room Info'!$G$2:$G3446, 0)))))))))</f>
        <v>guilexperi</v>
      </c>
      <c r="B1399" s="50" t="s">
        <v>218</v>
      </c>
      <c r="C1399" s="51">
        <v>44922.0</v>
      </c>
      <c r="D1399" s="51">
        <v>44957.0</v>
      </c>
      <c r="E1399" s="52">
        <v>44927.0</v>
      </c>
      <c r="F1399" s="53" t="s">
        <v>8</v>
      </c>
      <c r="G1399" s="50" t="s">
        <v>5</v>
      </c>
      <c r="H1399" s="54" t="s">
        <v>87</v>
      </c>
      <c r="I1399" s="54" t="s">
        <v>15</v>
      </c>
      <c r="J1399" s="55">
        <v>100.0</v>
      </c>
      <c r="K1399" s="56">
        <v>12.0</v>
      </c>
      <c r="L1399" s="57">
        <v>566.0</v>
      </c>
      <c r="M1399" s="58">
        <v>10.0</v>
      </c>
      <c r="N1399" s="33">
        <f t="shared" si="155"/>
        <v>1200</v>
      </c>
      <c r="O1399" s="59">
        <v>1308.0</v>
      </c>
      <c r="P1399" s="34">
        <f t="shared" si="14"/>
        <v>109</v>
      </c>
      <c r="Q1399" s="60"/>
      <c r="R1399" s="36">
        <f t="shared" si="196"/>
        <v>10</v>
      </c>
      <c r="S1399" s="61">
        <v>235.0</v>
      </c>
      <c r="T1399" s="37">
        <f t="shared" si="197"/>
        <v>245</v>
      </c>
      <c r="U1399" s="62"/>
      <c r="V1399" s="63"/>
      <c r="W1399" s="63"/>
      <c r="X1399" s="35" t="b">
        <f t="shared" si="201"/>
        <v>0</v>
      </c>
      <c r="Y1399" s="83">
        <v>0.15</v>
      </c>
      <c r="Z1399" s="40">
        <f t="shared" si="198"/>
        <v>208.25</v>
      </c>
      <c r="AA1399" s="34">
        <f t="shared" si="199"/>
        <v>0</v>
      </c>
      <c r="AB1399" s="41">
        <f t="shared" si="200"/>
        <v>36.75</v>
      </c>
      <c r="AC1399" s="66" t="b">
        <v>1</v>
      </c>
      <c r="AD1399" s="42" t="s">
        <v>138</v>
      </c>
      <c r="AE1399" s="42" t="s">
        <v>138</v>
      </c>
      <c r="AF1399" s="42" t="str">
        <f t="array" ref="AF1399">INDEX('Deal Info'!D:D, MATCH(A1399,'Deal Info'!A:A, 0))</f>
        <v>None</v>
      </c>
      <c r="AG1399" s="43" t="str">
        <f t="array" ref="AG1399">INDEX('Deal Info'!G:G, MATCH(A1399,'Deal Info'!A:A, 0))</f>
        <v>guilexperi</v>
      </c>
    </row>
    <row r="1400" hidden="1">
      <c r="A1400" s="23" t="str">
        <f t="array" ref="A1400">if(G1400='Room Info'!$B$1, INDEX('Room Info'!$A$2:$A3446, MATCH(B1400,'Room Info'!$B$2:$B3446, 0)),if(G1400='Room Info'!$C$1, INDEX('Room Info'!$A$2:$A3446, MATCH(B1400,'Room Info'!$C$2:$C3446, 0)),if(G1400='Room Info'!$D$1, INDEX('Room Info'!$A$2:$A3446, MATCH(B1400,'Room Info'!$D$2:$D3446, 0)),if(G1400='Room Info'!$E$1, INDEX('Room Info'!$A$2:$A3446, MATCH(B1400,'Room Info'!$E$2:$E3446, 0)),if(G1400='Room Info'!$F$1, INDEX('Room Info'!$A$2:$A3446, MATCH(B1400,'Room Info'!$F$2:$F3446, 0)),if(G1400='Room Info'!$H$1, INDEX('Room Info'!$A$2:$A3446, MATCH(B1400,'Room Info'!$H$2:$H3446, 0)),if(G1400='Room Info'!$G$1, INDEX('Room Info'!$A$2:$A3446, MATCH(B1400,'Room Info'!$G$2:$G3446, 0)))))))))</f>
        <v>guilexperi</v>
      </c>
      <c r="B1400" s="50" t="s">
        <v>218</v>
      </c>
      <c r="C1400" s="51">
        <v>44922.0</v>
      </c>
      <c r="D1400" s="51">
        <v>44957.0</v>
      </c>
      <c r="E1400" s="52">
        <v>44927.0</v>
      </c>
      <c r="F1400" s="53" t="s">
        <v>8</v>
      </c>
      <c r="G1400" s="50" t="s">
        <v>5</v>
      </c>
      <c r="H1400" s="54" t="s">
        <v>86</v>
      </c>
      <c r="I1400" s="54" t="s">
        <v>11</v>
      </c>
      <c r="J1400" s="55">
        <v>100.0</v>
      </c>
      <c r="K1400" s="56">
        <v>21.0</v>
      </c>
      <c r="L1400" s="57">
        <v>-300.0</v>
      </c>
      <c r="M1400" s="58">
        <v>22.0</v>
      </c>
      <c r="N1400" s="33">
        <f t="shared" si="155"/>
        <v>2100</v>
      </c>
      <c r="O1400" s="59">
        <v>614.0</v>
      </c>
      <c r="P1400" s="34">
        <f t="shared" si="14"/>
        <v>29.23809524</v>
      </c>
      <c r="Q1400" s="60"/>
      <c r="R1400" s="36">
        <f t="shared" si="196"/>
        <v>22</v>
      </c>
      <c r="S1400" s="61">
        <v>76.0</v>
      </c>
      <c r="T1400" s="37">
        <f t="shared" si="197"/>
        <v>98</v>
      </c>
      <c r="U1400" s="62"/>
      <c r="V1400" s="63"/>
      <c r="W1400" s="63"/>
      <c r="X1400" s="35" t="b">
        <f t="shared" si="201"/>
        <v>0</v>
      </c>
      <c r="Y1400" s="83">
        <v>0.15</v>
      </c>
      <c r="Z1400" s="40">
        <f t="shared" si="198"/>
        <v>83.3</v>
      </c>
      <c r="AA1400" s="34">
        <f t="shared" si="199"/>
        <v>0</v>
      </c>
      <c r="AB1400" s="41">
        <f t="shared" si="200"/>
        <v>14.7</v>
      </c>
      <c r="AC1400" s="66" t="b">
        <v>1</v>
      </c>
      <c r="AD1400" s="42" t="s">
        <v>138</v>
      </c>
      <c r="AE1400" s="42" t="s">
        <v>138</v>
      </c>
      <c r="AF1400" s="42" t="str">
        <f t="array" ref="AF1400">INDEX('Deal Info'!D:D, MATCH(A1400,'Deal Info'!A:A, 0))</f>
        <v>None</v>
      </c>
      <c r="AG1400" s="43" t="str">
        <f t="array" ref="AG1400">INDEX('Deal Info'!G:G, MATCH(A1400,'Deal Info'!A:A, 0))</f>
        <v>guilexperi</v>
      </c>
    </row>
    <row r="1401" hidden="1">
      <c r="A1401" s="23" t="str">
        <f t="array" ref="A1401">if(G1401='Room Info'!$B$1, INDEX('Room Info'!$A$2:$A3446, MATCH(B1401,'Room Info'!$B$2:$B3446, 0)),if(G1401='Room Info'!$C$1, INDEX('Room Info'!$A$2:$A3446, MATCH(B1401,'Room Info'!$C$2:$C3446, 0)),if(G1401='Room Info'!$D$1, INDEX('Room Info'!$A$2:$A3446, MATCH(B1401,'Room Info'!$D$2:$D3446, 0)),if(G1401='Room Info'!$E$1, INDEX('Room Info'!$A$2:$A3446, MATCH(B1401,'Room Info'!$E$2:$E3446, 0)),if(G1401='Room Info'!$F$1, INDEX('Room Info'!$A$2:$A3446, MATCH(B1401,'Room Info'!$F$2:$F3446, 0)),if(G1401='Room Info'!$H$1, INDEX('Room Info'!$A$2:$A3446, MATCH(B1401,'Room Info'!$H$2:$H3446, 0)),if(G1401='Room Info'!$G$1, INDEX('Room Info'!$A$2:$A3446, MATCH(B1401,'Room Info'!$G$2:$G3446, 0)))))))))</f>
        <v>guilexperi</v>
      </c>
      <c r="B1401" s="50" t="s">
        <v>218</v>
      </c>
      <c r="C1401" s="51">
        <v>44922.0</v>
      </c>
      <c r="D1401" s="51">
        <v>44957.0</v>
      </c>
      <c r="E1401" s="52">
        <v>44927.0</v>
      </c>
      <c r="F1401" s="53" t="s">
        <v>8</v>
      </c>
      <c r="G1401" s="50" t="s">
        <v>5</v>
      </c>
      <c r="H1401" s="54" t="s">
        <v>103</v>
      </c>
      <c r="I1401" s="54" t="s">
        <v>15</v>
      </c>
      <c r="J1401" s="55">
        <v>500.0</v>
      </c>
      <c r="K1401" s="56">
        <v>25.0</v>
      </c>
      <c r="L1401" s="57">
        <v>-2633.0</v>
      </c>
      <c r="M1401" s="58">
        <v>73.0</v>
      </c>
      <c r="N1401" s="33">
        <f t="shared" si="155"/>
        <v>12500</v>
      </c>
      <c r="O1401" s="59">
        <v>-1607.0</v>
      </c>
      <c r="P1401" s="34">
        <f t="shared" si="14"/>
        <v>-64.28</v>
      </c>
      <c r="Q1401" s="60"/>
      <c r="R1401" s="36">
        <f t="shared" si="196"/>
        <v>73</v>
      </c>
      <c r="S1401" s="121">
        <v>-1740.0</v>
      </c>
      <c r="T1401" s="37">
        <f t="shared" si="197"/>
        <v>-1667</v>
      </c>
      <c r="U1401" s="62"/>
      <c r="V1401" s="63"/>
      <c r="W1401" s="63"/>
      <c r="X1401" s="35" t="b">
        <f t="shared" si="201"/>
        <v>0</v>
      </c>
      <c r="Y1401" s="83">
        <v>0.15</v>
      </c>
      <c r="Z1401" s="40">
        <f t="shared" si="198"/>
        <v>-1416.95</v>
      </c>
      <c r="AA1401" s="34">
        <f t="shared" si="199"/>
        <v>0</v>
      </c>
      <c r="AB1401" s="41">
        <f t="shared" si="200"/>
        <v>-250.05</v>
      </c>
      <c r="AC1401" s="66" t="b">
        <v>1</v>
      </c>
      <c r="AD1401" s="42" t="s">
        <v>138</v>
      </c>
      <c r="AE1401" s="42" t="s">
        <v>138</v>
      </c>
      <c r="AF1401" s="42" t="str">
        <f t="array" ref="AF1401">INDEX('Deal Info'!D:D, MATCH(A1401,'Deal Info'!A:A, 0))</f>
        <v>None</v>
      </c>
      <c r="AG1401" s="43" t="str">
        <f t="array" ref="AG1401">INDEX('Deal Info'!G:G, MATCH(A1401,'Deal Info'!A:A, 0))</f>
        <v>guilexperi</v>
      </c>
    </row>
    <row r="1402" hidden="1">
      <c r="A1402" s="23" t="str">
        <f t="array" ref="A1402">if(G1402='Room Info'!$B$1, INDEX('Room Info'!$A$2:$A3446, MATCH(B1402,'Room Info'!$B$2:$B3446, 0)),if(G1402='Room Info'!$C$1, INDEX('Room Info'!$A$2:$A3446, MATCH(B1402,'Room Info'!$C$2:$C3446, 0)),if(G1402='Room Info'!$D$1, INDEX('Room Info'!$A$2:$A3446, MATCH(B1402,'Room Info'!$D$2:$D3446, 0)),if(G1402='Room Info'!$E$1, INDEX('Room Info'!$A$2:$A3446, MATCH(B1402,'Room Info'!$E$2:$E3446, 0)),if(G1402='Room Info'!$F$1, INDEX('Room Info'!$A$2:$A3446, MATCH(B1402,'Room Info'!$F$2:$F3446, 0)),if(G1402='Room Info'!$H$1, INDEX('Room Info'!$A$2:$A3446, MATCH(B1402,'Room Info'!$H$2:$H3446, 0)),if(G1402='Room Info'!$G$1, INDEX('Room Info'!$A$2:$A3446, MATCH(B1402,'Room Info'!$G$2:$G3446, 0)))))))))</f>
        <v>guilexperi</v>
      </c>
      <c r="B1402" s="50" t="s">
        <v>218</v>
      </c>
      <c r="C1402" s="51">
        <v>44922.0</v>
      </c>
      <c r="D1402" s="51">
        <v>44957.0</v>
      </c>
      <c r="E1402" s="52">
        <v>44927.0</v>
      </c>
      <c r="F1402" s="53" t="s">
        <v>8</v>
      </c>
      <c r="G1402" s="50" t="s">
        <v>5</v>
      </c>
      <c r="H1402" s="54" t="s">
        <v>97</v>
      </c>
      <c r="I1402" s="54" t="s">
        <v>11</v>
      </c>
      <c r="J1402" s="55">
        <v>250.0</v>
      </c>
      <c r="K1402" s="56">
        <v>171.0</v>
      </c>
      <c r="L1402" s="57">
        <v>2500.0</v>
      </c>
      <c r="M1402" s="58">
        <v>1538.0</v>
      </c>
      <c r="N1402" s="33">
        <f t="shared" si="155"/>
        <v>42750</v>
      </c>
      <c r="O1402" s="59">
        <v>-1354.0</v>
      </c>
      <c r="P1402" s="34">
        <f t="shared" si="14"/>
        <v>-7.918128655</v>
      </c>
      <c r="Q1402" s="60"/>
      <c r="R1402" s="36">
        <f t="shared" si="196"/>
        <v>1538</v>
      </c>
      <c r="S1402" s="121">
        <v>-3311.0</v>
      </c>
      <c r="T1402" s="37">
        <f t="shared" si="197"/>
        <v>-1773</v>
      </c>
      <c r="U1402" s="62"/>
      <c r="V1402" s="63"/>
      <c r="W1402" s="63"/>
      <c r="X1402" s="35" t="b">
        <f t="shared" si="201"/>
        <v>0</v>
      </c>
      <c r="Y1402" s="83">
        <v>0.15</v>
      </c>
      <c r="Z1402" s="40">
        <f t="shared" si="198"/>
        <v>-1507.05</v>
      </c>
      <c r="AA1402" s="34">
        <f t="shared" si="199"/>
        <v>0</v>
      </c>
      <c r="AB1402" s="41">
        <f t="shared" si="200"/>
        <v>-265.95</v>
      </c>
      <c r="AC1402" s="66" t="b">
        <v>1</v>
      </c>
      <c r="AD1402" s="42" t="s">
        <v>138</v>
      </c>
      <c r="AE1402" s="42" t="s">
        <v>138</v>
      </c>
      <c r="AF1402" s="42" t="str">
        <f t="array" ref="AF1402">INDEX('Deal Info'!D:D, MATCH(A1402,'Deal Info'!A:A, 0))</f>
        <v>None</v>
      </c>
      <c r="AG1402" s="43" t="str">
        <f t="array" ref="AG1402">INDEX('Deal Info'!G:G, MATCH(A1402,'Deal Info'!A:A, 0))</f>
        <v>guilexperi</v>
      </c>
    </row>
    <row r="1403" hidden="1">
      <c r="A1403" s="23" t="str">
        <f t="array" ref="A1403">if(G1403='Room Info'!$B$1, INDEX('Room Info'!$A$2:$A3446, MATCH(B1403,'Room Info'!$B$2:$B3446, 0)),if(G1403='Room Info'!$C$1, INDEX('Room Info'!$A$2:$A3446, MATCH(B1403,'Room Info'!$C$2:$C3446, 0)),if(G1403='Room Info'!$D$1, INDEX('Room Info'!$A$2:$A3446, MATCH(B1403,'Room Info'!$D$2:$D3446, 0)),if(G1403='Room Info'!$E$1, INDEX('Room Info'!$A$2:$A3446, MATCH(B1403,'Room Info'!$E$2:$E3446, 0)),if(G1403='Room Info'!$F$1, INDEX('Room Info'!$A$2:$A3446, MATCH(B1403,'Room Info'!$F$2:$F3446, 0)),if(G1403='Room Info'!$H$1, INDEX('Room Info'!$A$2:$A3446, MATCH(B1403,'Room Info'!$H$2:$H3446, 0)),if(G1403='Room Info'!$G$1, INDEX('Room Info'!$A$2:$A3446, MATCH(B1403,'Room Info'!$G$2:$G3446, 0)))))))))</f>
        <v>guilexperi</v>
      </c>
      <c r="B1403" s="50" t="s">
        <v>218</v>
      </c>
      <c r="C1403" s="51">
        <v>44922.0</v>
      </c>
      <c r="D1403" s="51">
        <v>44957.0</v>
      </c>
      <c r="E1403" s="52">
        <v>44927.0</v>
      </c>
      <c r="F1403" s="53" t="s">
        <v>8</v>
      </c>
      <c r="G1403" s="50" t="s">
        <v>5</v>
      </c>
      <c r="H1403" s="54" t="s">
        <v>101</v>
      </c>
      <c r="I1403" s="54" t="s">
        <v>7</v>
      </c>
      <c r="J1403" s="55">
        <v>500.0</v>
      </c>
      <c r="K1403" s="56">
        <v>495.0</v>
      </c>
      <c r="L1403" s="57">
        <v>-13000.0</v>
      </c>
      <c r="M1403" s="58">
        <v>7409.0</v>
      </c>
      <c r="N1403" s="33">
        <f t="shared" si="155"/>
        <v>247500</v>
      </c>
      <c r="O1403" s="59">
        <v>9312.0</v>
      </c>
      <c r="P1403" s="34">
        <f t="shared" si="14"/>
        <v>18.81212121</v>
      </c>
      <c r="Q1403" s="60"/>
      <c r="R1403" s="36">
        <f t="shared" si="196"/>
        <v>7409</v>
      </c>
      <c r="S1403" s="121">
        <v>-4079.0</v>
      </c>
      <c r="T1403" s="37">
        <f t="shared" si="197"/>
        <v>3330</v>
      </c>
      <c r="U1403" s="62"/>
      <c r="V1403" s="63"/>
      <c r="W1403" s="63"/>
      <c r="X1403" s="35" t="b">
        <f t="shared" si="201"/>
        <v>0</v>
      </c>
      <c r="Y1403" s="83">
        <v>0.15</v>
      </c>
      <c r="Z1403" s="40">
        <f t="shared" si="198"/>
        <v>2830.5</v>
      </c>
      <c r="AA1403" s="34">
        <f t="shared" si="199"/>
        <v>0</v>
      </c>
      <c r="AB1403" s="41">
        <f t="shared" si="200"/>
        <v>499.5</v>
      </c>
      <c r="AC1403" s="66" t="b">
        <v>1</v>
      </c>
      <c r="AD1403" s="42" t="s">
        <v>138</v>
      </c>
      <c r="AE1403" s="42" t="s">
        <v>138</v>
      </c>
      <c r="AF1403" s="42" t="str">
        <f t="array" ref="AF1403">INDEX('Deal Info'!D:D, MATCH(A1403,'Deal Info'!A:A, 0))</f>
        <v>None</v>
      </c>
      <c r="AG1403" s="43" t="str">
        <f t="array" ref="AG1403">INDEX('Deal Info'!G:G, MATCH(A1403,'Deal Info'!A:A, 0))</f>
        <v>guilexperi</v>
      </c>
    </row>
    <row r="1404" hidden="1">
      <c r="A1404" s="23" t="str">
        <f t="array" ref="A1404">if(G1404='Room Info'!$B$1, INDEX('Room Info'!$A$2:$A3446, MATCH(B1404,'Room Info'!$B$2:$B3446, 0)),if(G1404='Room Info'!$C$1, INDEX('Room Info'!$A$2:$A3446, MATCH(B1404,'Room Info'!$C$2:$C3446, 0)),if(G1404='Room Info'!$D$1, INDEX('Room Info'!$A$2:$A3446, MATCH(B1404,'Room Info'!$D$2:$D3446, 0)),if(G1404='Room Info'!$E$1, INDEX('Room Info'!$A$2:$A3446, MATCH(B1404,'Room Info'!$E$2:$E3446, 0)),if(G1404='Room Info'!$F$1, INDEX('Room Info'!$A$2:$A3446, MATCH(B1404,'Room Info'!$F$2:$F3446, 0)),if(G1404='Room Info'!$H$1, INDEX('Room Info'!$A$2:$A3446, MATCH(B1404,'Room Info'!$H$2:$H3446, 0)),if(G1404='Room Info'!$G$1, INDEX('Room Info'!$A$2:$A3446, MATCH(B1404,'Room Info'!$G$2:$G3446, 0)))))))))</f>
        <v>guilexperi</v>
      </c>
      <c r="B1404" s="50" t="s">
        <v>218</v>
      </c>
      <c r="C1404" s="51">
        <v>44922.0</v>
      </c>
      <c r="D1404" s="51">
        <v>44957.0</v>
      </c>
      <c r="E1404" s="52">
        <v>44927.0</v>
      </c>
      <c r="F1404" s="53" t="s">
        <v>8</v>
      </c>
      <c r="G1404" s="50" t="s">
        <v>5</v>
      </c>
      <c r="H1404" s="54" t="s">
        <v>94</v>
      </c>
      <c r="I1404" s="54" t="s">
        <v>15</v>
      </c>
      <c r="J1404" s="55">
        <v>200.0</v>
      </c>
      <c r="K1404" s="56">
        <v>821.0</v>
      </c>
      <c r="L1404" s="57">
        <v>208.0</v>
      </c>
      <c r="M1404" s="58">
        <v>1921.0</v>
      </c>
      <c r="N1404" s="33">
        <f t="shared" si="155"/>
        <v>164200</v>
      </c>
      <c r="O1404" s="59">
        <v>3251.0</v>
      </c>
      <c r="P1404" s="34">
        <f t="shared" si="14"/>
        <v>3.959805116</v>
      </c>
      <c r="Q1404" s="60"/>
      <c r="R1404" s="36">
        <f t="shared" si="196"/>
        <v>1921</v>
      </c>
      <c r="S1404" s="121">
        <v>-1325.0</v>
      </c>
      <c r="T1404" s="37">
        <f t="shared" si="197"/>
        <v>596</v>
      </c>
      <c r="U1404" s="62"/>
      <c r="V1404" s="63"/>
      <c r="W1404" s="63"/>
      <c r="X1404" s="35" t="b">
        <f t="shared" si="201"/>
        <v>0</v>
      </c>
      <c r="Y1404" s="83">
        <v>0.15</v>
      </c>
      <c r="Z1404" s="40">
        <f t="shared" si="198"/>
        <v>506.6</v>
      </c>
      <c r="AA1404" s="34">
        <f t="shared" si="199"/>
        <v>0</v>
      </c>
      <c r="AB1404" s="41">
        <f t="shared" si="200"/>
        <v>89.4</v>
      </c>
      <c r="AC1404" s="66" t="b">
        <v>1</v>
      </c>
      <c r="AD1404" s="42" t="s">
        <v>138</v>
      </c>
      <c r="AE1404" s="42" t="s">
        <v>138</v>
      </c>
      <c r="AF1404" s="42" t="str">
        <f t="array" ref="AF1404">INDEX('Deal Info'!D:D, MATCH(A1404,'Deal Info'!A:A, 0))</f>
        <v>None</v>
      </c>
      <c r="AG1404" s="43" t="str">
        <f t="array" ref="AG1404">INDEX('Deal Info'!G:G, MATCH(A1404,'Deal Info'!A:A, 0))</f>
        <v>guilexperi</v>
      </c>
    </row>
    <row r="1405" hidden="1">
      <c r="A1405" s="23" t="str">
        <f t="array" ref="A1405">if(G1405='Room Info'!$B$1, INDEX('Room Info'!$A$2:$A3446, MATCH(B1405,'Room Info'!$B$2:$B3446, 0)),if(G1405='Room Info'!$C$1, INDEX('Room Info'!$A$2:$A3446, MATCH(B1405,'Room Info'!$C$2:$C3446, 0)),if(G1405='Room Info'!$D$1, INDEX('Room Info'!$A$2:$A3446, MATCH(B1405,'Room Info'!$D$2:$D3446, 0)),if(G1405='Room Info'!$E$1, INDEX('Room Info'!$A$2:$A3446, MATCH(B1405,'Room Info'!$E$2:$E3446, 0)),if(G1405='Room Info'!$F$1, INDEX('Room Info'!$A$2:$A3446, MATCH(B1405,'Room Info'!$F$2:$F3446, 0)),if(G1405='Room Info'!$H$1, INDEX('Room Info'!$A$2:$A3446, MATCH(B1405,'Room Info'!$H$2:$H3446, 0)),if(G1405='Room Info'!$G$1, INDEX('Room Info'!$A$2:$A3446, MATCH(B1405,'Room Info'!$G$2:$G3446, 0)))))))))</f>
        <v>guilexperi</v>
      </c>
      <c r="B1405" s="50" t="s">
        <v>218</v>
      </c>
      <c r="C1405" s="51">
        <v>44922.0</v>
      </c>
      <c r="D1405" s="51">
        <v>44957.0</v>
      </c>
      <c r="E1405" s="52">
        <v>44927.0</v>
      </c>
      <c r="F1405" s="53" t="s">
        <v>8</v>
      </c>
      <c r="G1405" s="50" t="s">
        <v>5</v>
      </c>
      <c r="H1405" s="54" t="s">
        <v>96</v>
      </c>
      <c r="I1405" s="54" t="s">
        <v>7</v>
      </c>
      <c r="J1405" s="55">
        <v>250.0</v>
      </c>
      <c r="K1405" s="56">
        <v>1480.0</v>
      </c>
      <c r="L1405" s="57">
        <v>-19750.0</v>
      </c>
      <c r="M1405" s="58">
        <v>11095.0</v>
      </c>
      <c r="N1405" s="33">
        <f t="shared" si="155"/>
        <v>370000</v>
      </c>
      <c r="O1405" s="59">
        <v>5962.0</v>
      </c>
      <c r="P1405" s="34">
        <f t="shared" si="14"/>
        <v>4.028378378</v>
      </c>
      <c r="Q1405" s="60"/>
      <c r="R1405" s="36">
        <f t="shared" si="196"/>
        <v>11095</v>
      </c>
      <c r="S1405" s="121">
        <v>-16684.0</v>
      </c>
      <c r="T1405" s="37">
        <f t="shared" si="197"/>
        <v>-5589</v>
      </c>
      <c r="U1405" s="62"/>
      <c r="V1405" s="63"/>
      <c r="W1405" s="63"/>
      <c r="X1405" s="35" t="b">
        <f t="shared" si="201"/>
        <v>0</v>
      </c>
      <c r="Y1405" s="83">
        <v>0.15</v>
      </c>
      <c r="Z1405" s="40">
        <f t="shared" si="198"/>
        <v>-4750.65</v>
      </c>
      <c r="AA1405" s="34">
        <f t="shared" si="199"/>
        <v>0</v>
      </c>
      <c r="AB1405" s="41">
        <f t="shared" si="200"/>
        <v>-838.35</v>
      </c>
      <c r="AC1405" s="66" t="b">
        <v>1</v>
      </c>
      <c r="AD1405" s="42" t="s">
        <v>138</v>
      </c>
      <c r="AE1405" s="42" t="s">
        <v>138</v>
      </c>
      <c r="AF1405" s="42" t="str">
        <f t="array" ref="AF1405">INDEX('Deal Info'!D:D, MATCH(A1405,'Deal Info'!A:A, 0))</f>
        <v>None</v>
      </c>
      <c r="AG1405" s="43" t="str">
        <f t="array" ref="AG1405">INDEX('Deal Info'!G:G, MATCH(A1405,'Deal Info'!A:A, 0))</f>
        <v>guilexperi</v>
      </c>
    </row>
    <row r="1406" hidden="1">
      <c r="A1406" s="23" t="str">
        <f t="array" ref="A1406">if(G1406='Room Info'!$B$1, INDEX('Room Info'!$A$2:$A3446, MATCH(B1406,'Room Info'!$B$2:$B3446, 0)),if(G1406='Room Info'!$C$1, INDEX('Room Info'!$A$2:$A3446, MATCH(B1406,'Room Info'!$C$2:$C3446, 0)),if(G1406='Room Info'!$D$1, INDEX('Room Info'!$A$2:$A3446, MATCH(B1406,'Room Info'!$D$2:$D3446, 0)),if(G1406='Room Info'!$E$1, INDEX('Room Info'!$A$2:$A3446, MATCH(B1406,'Room Info'!$E$2:$E3446, 0)),if(G1406='Room Info'!$F$1, INDEX('Room Info'!$A$2:$A3446, MATCH(B1406,'Room Info'!$F$2:$F3446, 0)),if(G1406='Room Info'!$H$1, INDEX('Room Info'!$A$2:$A3446, MATCH(B1406,'Room Info'!$H$2:$H3446, 0)),if(G1406='Room Info'!$G$1, INDEX('Room Info'!$A$2:$A3446, MATCH(B1406,'Room Info'!$G$2:$G3446, 0)))))))))</f>
        <v>guilexperi</v>
      </c>
      <c r="B1406" s="50" t="s">
        <v>218</v>
      </c>
      <c r="C1406" s="51">
        <v>44922.0</v>
      </c>
      <c r="D1406" s="51">
        <v>44957.0</v>
      </c>
      <c r="E1406" s="52">
        <v>44927.0</v>
      </c>
      <c r="F1406" s="53" t="s">
        <v>8</v>
      </c>
      <c r="G1406" s="50" t="s">
        <v>5</v>
      </c>
      <c r="H1406" s="54" t="s">
        <v>100</v>
      </c>
      <c r="I1406" s="54" t="s">
        <v>15</v>
      </c>
      <c r="J1406" s="55">
        <v>300.0</v>
      </c>
      <c r="K1406" s="56">
        <v>2403.0</v>
      </c>
      <c r="L1406" s="57">
        <v>3100.0</v>
      </c>
      <c r="M1406" s="58">
        <v>7759.0</v>
      </c>
      <c r="N1406" s="33">
        <f t="shared" si="155"/>
        <v>720900</v>
      </c>
      <c r="O1406" s="59">
        <v>26154.0</v>
      </c>
      <c r="P1406" s="34">
        <f t="shared" si="14"/>
        <v>10.88389513</v>
      </c>
      <c r="Q1406" s="60"/>
      <c r="R1406" s="36">
        <f t="shared" si="196"/>
        <v>7759</v>
      </c>
      <c r="S1406" s="121">
        <v>5348.0</v>
      </c>
      <c r="T1406" s="37">
        <f t="shared" si="197"/>
        <v>13107</v>
      </c>
      <c r="U1406" s="62"/>
      <c r="V1406" s="63"/>
      <c r="W1406" s="63"/>
      <c r="X1406" s="35" t="b">
        <f t="shared" si="201"/>
        <v>0</v>
      </c>
      <c r="Y1406" s="83">
        <v>0.15</v>
      </c>
      <c r="Z1406" s="40">
        <f t="shared" si="198"/>
        <v>11140.95</v>
      </c>
      <c r="AA1406" s="34">
        <f t="shared" si="199"/>
        <v>0</v>
      </c>
      <c r="AB1406" s="41">
        <f t="shared" si="200"/>
        <v>1966.05</v>
      </c>
      <c r="AC1406" s="66" t="b">
        <v>1</v>
      </c>
      <c r="AD1406" s="42" t="s">
        <v>138</v>
      </c>
      <c r="AE1406" s="42" t="s">
        <v>138</v>
      </c>
      <c r="AF1406" s="42" t="str">
        <f t="array" ref="AF1406">INDEX('Deal Info'!D:D, MATCH(A1406,'Deal Info'!A:A, 0))</f>
        <v>None</v>
      </c>
      <c r="AG1406" s="43" t="str">
        <f t="array" ref="AG1406">INDEX('Deal Info'!G:G, MATCH(A1406,'Deal Info'!A:A, 0))</f>
        <v>guilexperi</v>
      </c>
    </row>
    <row r="1407">
      <c r="A1407" s="23" t="str">
        <f t="array" ref="A1407">if(G1407='Room Info'!$B$1, INDEX('Room Info'!$A$2:$A3446, MATCH(B1407,'Room Info'!$B$2:$B3446, 0)),if(G1407='Room Info'!$C$1, INDEX('Room Info'!$A$2:$A3446, MATCH(B1407,'Room Info'!$C$2:$C3446, 0)),if(G1407='Room Info'!$D$1, INDEX('Room Info'!$A$2:$A3446, MATCH(B1407,'Room Info'!$D$2:$D3446, 0)),if(G1407='Room Info'!$E$1, INDEX('Room Info'!$A$2:$A3446, MATCH(B1407,'Room Info'!$E$2:$E3446, 0)),if(G1407='Room Info'!$F$1, INDEX('Room Info'!$A$2:$A3446, MATCH(B1407,'Room Info'!$F$2:$F3446, 0)),if(G1407='Room Info'!$H$1, INDEX('Room Info'!$A$2:$A3446, MATCH(B1407,'Room Info'!$H$2:$H3446, 0)),if(G1407='Room Info'!$G$1, INDEX('Room Info'!$A$2:$A3446, MATCH(B1407,'Room Info'!$G$2:$G3446, 0)))))))))</f>
        <v>Lo4io</v>
      </c>
      <c r="B1407" s="23" t="s">
        <v>156</v>
      </c>
      <c r="C1407" s="24">
        <v>44947.0</v>
      </c>
      <c r="D1407" s="25">
        <v>44977.0</v>
      </c>
      <c r="E1407" s="26">
        <v>44958.0</v>
      </c>
      <c r="F1407" s="45" t="s">
        <v>4</v>
      </c>
      <c r="G1407" s="23" t="s">
        <v>5</v>
      </c>
      <c r="H1407" s="28" t="s">
        <v>74</v>
      </c>
      <c r="I1407" s="28" t="s">
        <v>7</v>
      </c>
      <c r="J1407" s="44">
        <f t="shared" ref="J1407:J1467" si="203">iferror(if(H1407="$0.25",0.25, 
if(H1407="$0.25 Flash",0.25, 
if(H1407 = "$1", 1, 
if(H1407 = "$1 Flash", 1, 
if(H1407 = "$2", 2, 
if( H1407 = "$2 Flash" , 2, 
if( H1407= "$3", 3, 
if( H1407= "$3 Ultra", 3, 
if( H1407= "$5", 5, 
if( H1407= "$5 (1M)", 5, 
if( H1407= "$5 (1M) Flash", 5, 
if( H1407= "$5 Flash", 5, 
if( H1407= "$5 Flash (1M)", 5,
if( H1407= "$10", 10,
if( H1407= "$10 (1M)", 10,
if( H1407= "$10 (1M) (old)", 10,
if( H1407= "$10 Flash", 10,
if( H1407= "$10 Ultra", 10,
if( H1407= "$20", 20,
if( H1407= "$20 Ultra", 20,
if( H1407= "$25", 25,
if( H1407= "$25 Flash", 25,
if( H1407= "$50", 50,
if( H1407= "$50 Flash", 50,
if( H1407= "$50 Ultra", 50,
if( H1407= "$100", 100,
if( H1407= "$100 Flash", 100,
if( H1407= "$100 HUHT", 100,
if( H1407= "$100 Ultra", 100,
if( H1407= "$200", 200,
if( H1407= "$200 HUHT", 200,
if( H1407= "$250", 250,
if( H1407= "$250 Flash", 250,
if( H1407= "$300 HUHT", 300,
if( H1407= "$500", 500,
if( H1407= "$500 Flash", 500,
if( H1407 = "$500 HUHT",500,
if( H1407= "$1000", 1000,
if( H1407= "€0.25 Flash", 0.25,
if( H1407="€0.25(nitro) new",0.25,
if( H1407= "€1", 1,
if( H1407= "€2", 2,
if( H1407= "€5", 5,
if( H1407= "€5 (1M)", 5,
if( H1407= "€5 (bf 01.08)", 5,
if( H1407= "€5 (bf 05.05)", 5,
if( H1407= "€5 Nitro", 5,
if( H1407= "€5(wx) new", 5,
if( H1407= "€10", 10,
if( H1407= "€10 (1M)", 10,
if( H1407= "€10 (bf 01.08)", 10,
if( H1407= "€10 (bf 05.05)", 10,
if( H1407= "€10 (MP)", 10,
if( H1407= "€10 (old)", 10,
if( H1407= "€10 Nitro (bf 05.05)", 10,
if( H1407= "€10 Nitro (old)", 10,
if( H1407= "€10(wx) new", 10,
if( H1407= "€20", 20,
if( H1407= "€25", 25, 
if( H1407= "€25 (bf 01.08)", 25, 
if( H1407= "€25 (bf 05.05)", 25, 
if( H1407= "€25 (MP)", 25, 
if( H1407= "€25 (old)", 25,
if( H1407= "€25 Nitro", 25,
if( H1407= "€25 Nitro (bf 01.08)", 25,
if( H1407= "€25 Nitro (bf 05.05)", 25,
if( H1407= "€25(nitro) new", 25,
if( H1407= "€25(wx) new", 25,
if( H1407= "€50", 50,
if( H1407= "€50 (bf 01.08)", 50,
if( H1407= "€50 (bf 05.05)", 50,
if( H1407= "€50 (old)", 50,
if( H1407= "€50 Nitro", 50,
if( H1407= "€50 Nitro (bf 01.08)", 50,
if( H1407= "€50 Nitro (bf 05.05)", 50,
if( H1407= "€50(wx) new", 50,
if( H1407= "€100", 100,
if( H1407= "€100 (old)", 100,
if( H1407= "€100 Nitro", 100,
if( H1407= "€100 Nitro (old)", 100,
if( H1407= "€200", 200,
if( H1407= "€250", 250,
if( H1407= "€250 Nitro", 250,
if( H1407= "€500", 500,
if( H1407= "€500 Nitro", 500,
if( H1407= "1000 rub", 1000,
if( H1407= "2500 rub", 2500,
if( H1407= "5000 rub", 5000,"")))))))))))))))))))))))))))))))))))))))))))))))))))))))))))))))))))))))))))))))))))))))))</f>
        <v>50</v>
      </c>
      <c r="K1407" s="93">
        <v>105.0</v>
      </c>
      <c r="L1407" s="94">
        <v>-800.0</v>
      </c>
      <c r="M1407" s="47">
        <v>450.0</v>
      </c>
      <c r="N1407" s="33">
        <f t="shared" si="155"/>
        <v>5250</v>
      </c>
      <c r="O1407" s="90">
        <v>4775.0</v>
      </c>
      <c r="P1407" s="34">
        <f t="shared" si="14"/>
        <v>45.47619048</v>
      </c>
      <c r="Q1407" s="35"/>
      <c r="R1407" s="36">
        <f t="shared" si="196"/>
        <v>450</v>
      </c>
      <c r="S1407" s="124">
        <v>-2451.0</v>
      </c>
      <c r="T1407" s="37">
        <f t="shared" ref="T1407:T1467" si="204">IF(AND(AD1407="EUR", F1407="Without EV deal"), R1407 + L1407, 
IF(AND(AD1407="USD", F1407="Without EV deal"), R1407 + L1407, 
IF(AND(AD1407="EUR", F1407="Steel Phoenix"), R1407 + S1407/U1407, 
R1407 + S1407)))</f>
        <v>-2001</v>
      </c>
      <c r="U1407" s="38">
        <v>1.067</v>
      </c>
      <c r="V1407" s="74">
        <v>37.32526141992295</v>
      </c>
      <c r="W1407" s="69">
        <v>65.0</v>
      </c>
      <c r="X1407" s="35">
        <f t="shared" ref="X1407:X1467" si="205">IF(AF1407="DoEV",IF(AND(V1407&lt;20,W1407&lt;55),0.3,0)+IF(AND(V1407&lt;20,W1407&gt;=55,W1407&lt;105),0.23,0)+IF(AND(V1407&lt;20,W1407&gt;=105),0.17,0)+IF(AND(V1407&gt;=20,V1407&lt;40,W1407&lt;45),0.3,0)+IF(AND(V1407&gt;=20,V1407&lt;40,W1407&gt;=45,W1407&lt;95),0.23,0)+IF(AND(V1407&gt;=20,V1407&lt;40,W1407&gt;=95),0.17,0)+IF(AND(V1407&gt;=40,V1407&lt;75,W1407&lt;35),0.3,0)+IF(AND(V1407&gt;=40,V1407&lt;75,W1407&gt;=35,W1407&lt;75),0.23,0)+IF(AND(V1407&gt;=40,V1407&lt;75,W1407&gt;=75,W1407&lt;120),0.17,0)+IF(AND(V1407&gt;=40,V1407&lt;75,W1407&gt;=120),0.12,0)+IF(AND(V1407&gt;=75,V1407&lt;175,W1407&lt;35),0.3,0)+IF(AND(V1407&gt;=75,V1407&lt;=175,W1407&gt;=35,W1407&lt;65),0.23,0)+IF(AND(V1407&gt;=75,V1407&lt;=175,W1407&gt;=65,W1407&lt;110),0.17,0)+IF(AND(V1407&gt;=75,V1407&lt;=175,W1407&gt;=110),0.12,0)+IF(AND(V1407&gt;175,W1407&lt;25),0.3,0)+IF(AND(V1407&gt;175,W1407&gt;=25,W1407&lt;55),0.23,0)+IF(AND(V1407&gt;175,W1407&gt;=55,W1407&lt;95),0.17,0)+IF(AND(V1407&gt;175,W1407&gt;=95),0.12,0),
IF(AF1407="Fix15",0.15,
IF(AF1407="Fix5",0.05,
if(AF1407="Fix18.75",0.1875,
IF(AF1407="Fix11.25",0.1125,
IF(AF1407="Fix10",0.1,
IF(AF1407="Fix9",0.09,
IF(AF1407="Fix12",0.12,
IF(AF1407="Fix19",0.19,
IF(AF1407="DoEV2017",IF(AND(W1407&lt;74),0.2,0)+IF(AND(W1407&gt;=74),0.17,0),
IF(AF1407="SF",IF(AND(V1407&lt;20,W1407&lt;89),0.3,0)+IF(AND(V1407&lt;20,W1407&gt;=89),0.25,0)+IF(AND(V1407&gt;=20,V1407&lt;40,W1407&lt;74),0.3,0)+IF(AND(V1407&gt;=20,V1407&lt;40,W1407&gt;=75),0.22,0)+IF(AND(V1407&gt;=40,V1407&lt;75,W1407&lt;75),0.26,0)+IF(AND(V1407&gt;=40,V1407&lt;75,W1407&gt;=75),0.22,0)+IF(V1407&gt;=75,0.22,0),
IF(AF1407="DoEVold",IF(AND(V1407&lt;40,W1407&lt;35),0.35,0)+IF(AND(V1407&lt;40,W1407&gt;=35,W1407&lt;75),0.25,0)+IF(AND(V1407&lt;40,W1407&gt;=75),0.17,0)+IF(AND(V1407&gt;=40,V1407&lt;75,W1407&lt;25),0.35,0)+IF(AND(V1407&gt;=40,V1407&lt;75,W1407&gt;=25,W1407&lt;65),0.25,0)+IF(AND(V1407&gt;=40,V1407&lt;75,W1407&gt;=65,W1407&lt;100),0.17,0)+IF(AND(V1407&gt;=40,V1407&lt;75,W1407&gt;=100),0.1,0)+IF(AND(V1407&gt;=75,W1407&lt;25),0.35,0)+IF(AND(V1407&gt;=75,W1407&gt;=25,W1407&lt;60),0.25,0)+IF(AND(V1407&gt;=75,W1407&gt;=60,W1407&lt;95),0.17,0)+IF(AND(V1407&gt;=75,W1407&gt;=95),0.1,0),
IF(AF1407="DoEVold15",IF(AND(V1407&lt;=40,W1407&lt;35),0.35,0)+IF(AND(V1407&lt;=40,W1407&gt;=35,W1407&lt;75),0.25,0)+IF(AND(V1407&lt;=40,W1407&gt;=75,W1407&lt;120),0.17,0)+IF(AND(V1407&lt;=40,W1407&gt;=120),0.15,0)+IF(AND(V1407&gt;40,V1407&lt;75,W1407&lt;25),0.35,0)+IF(AND(V1407&gt;=40,V1407&lt;75,W1407&gt;=25,W1407&lt;65),0.25,0)+IF(AND(V1407&gt;=40,V1407&lt;75,W1407&gt;=65,W1407&lt;100),0.17,0)+IF(AND(V1407&gt;=40,V1407&lt;75,W1407&gt;=100),0.1,0)+IF(AND(V1407&gt;=75,W1407&lt;25),0.35,0)+IF(AND(V1407&gt;=75,W1407&gt;=25,W1407&lt;60),0.25,0)+IF(AND(V1407&gt;=75,W1407&gt;=60,W1407&lt;95),0.17,0)+IF(AND(V1407&gt;=75,W1407&gt;=95),0.1,0),
IF(AF1407="DoEVba",IF(AND(V1407&lt;20,W1407&lt;105),0.2,0)+IF(AND(V1407&lt;20,W1407&gt;=105),0.15,0)+IF(AND(V1407&gt;=20,V1407&lt;40,W1407&lt;95),0.2,0)+IF(AND(V1407&gt;=20,V1407&lt;40,W1407&gt;=95,W1407&lt;150),0.15,0)+IF(AND(V1407&gt;=20,V1407&lt;40,W1407&gt;=150),0.12,0)+IF(AND(V1407&gt;=40,V1407&lt;75,W1407&lt;75),0.2,0)+IF(AND(V1407&gt;=40,V1407&lt;75,W1407&gt;=75,W1407&lt;120),0.15,0)+IF(AND(V1407&gt;=40,V1407&lt;75,W1407&gt;=120),0.12,0)+IF(AND(V1407&gt;=75,V1407&lt;175,W1407&lt;65),0.2,0)+IF(AND(V1407&gt;=75,V1407&lt;175,W1407&gt;=65,W1407&lt;110),0.15,0)+IF(AND(V1407&gt;=75,V1407&lt;175,W1407&gt;=110),0.12,0)+IF(AND(V1407&gt;=175,W1407&lt;55),0.2,0)+IF(AND(V1407&gt;=175,W1407&gt;=55,W1407&lt;95),0.15,0)+IF(AND(V1407&gt;=175,W1407&gt;=95),0.12,0),
IF(AF1407="DoEVku",IF(AND(V1407&lt;20,W1407&lt;55),0.23,0)+IF(AND(V1407&lt;20,W1407&gt;=55,W1407&lt;105),0.2,0)+IF(AND(V1407&lt;20,W1407&gt;=105),0.17,0)+IF(AND(V1407&gt;=20,V1407&lt;40,W1407&lt;45),0.23,0)+IF(AND(V1407&gt;=20,V1407&lt;40,W1407&gt;=45,W1407&lt;95),0.2,0)+IF(AND(V1407&gt;=20,V1407&lt;40,W1407&gt;=95,W1407&lt;=150),0.17,0)+IF(AND(V1407&gt;=20,V1407&lt;40,W1407&gt;=150),0.12,0)+IF(AND(V1407&gt;=40,V1407&lt;75,W1407&lt;35),0.23,0)+IF(AND(V1407&gt;=40,V1407&lt;75,W1407&gt;=35,W1407&lt;75),0.2,0)+IF(AND(V1407&gt;=40,V1407&lt;75,W1407&gt;=75,W1407&lt;120),0.17,0)+IF(AND(V1407&gt;=40,V1407&lt;75,W1407&gt;=120),0.12,0)+IF(AND(V1407&gt;=75,V1407&lt;175,W1407&lt;35),0.23,0)+IF(AND(V1407&gt;=75,V1407&lt;=175,W1407&gt;=35,W1407&lt;65),0.2,0)+IF(AND(V1407&gt;=75,V1407&lt;=175,W1407&gt;=65,W1407&lt;110),0.17,0)+IF(AND(V1407&gt;=75,V1407&lt;=175,W1407&gt;=110),0.12,0)+IF(AND(V1407&gt;175,W1407&lt;25),0.23,0)+IF(AND(V1407&gt;175,W1407&gt;=25,W1407&lt;55),0.2,0)+IF(AND(V1407&gt;175,W1407&gt;=55,W1407&lt;95),0.17,0)+IF(AND(V1407&gt;175,W1407&gt;=95),0.12,0),
IF(AF1407="DoEVs1",IF(AND(V1407&lt;20,W1407&lt;55),0.3,0)+IF(AND(V1407&lt;20,W1407&gt;=55,W1407&lt;105),0.23,0)+IF(AND(V1407&lt;20,W1407&gt;=105),0.17,0)+IF(AND(V1407&gt;=20,V1407&lt;40,W1407&lt;45),0.3,0)+IF(AND(V1407&gt;=20,V1407&lt;40,W1407&gt;=45,W1407&lt;95),0.23,0)+IF(AND(V1407&gt;=20,V1407&lt;40,W1407&gt;=95,W1407&lt;=150),0.17,0)+IF(AND(V1407&gt;=20,V1407&lt;40,W1407&gt;=150),0.12,0)+IF(AND(V1407&gt;=40,V1407&lt;75,W1407&lt;35),0.3,0)+IF(AND(V1407&gt;=40,V1407&lt;75,W1407&gt;=35,W1407&lt;75),0.23,0)+IF(AND(V1407&gt;=40,V1407&lt;75,W1407&gt;=75,W1407&lt;120),0.17,0)+IF(AND(V1407&gt;=40,V1407&lt;75,W1407&gt;=120),0.12,0)+IF(AND(V1407&gt;=75,V1407&lt;175,W1407&lt;35),0.3,0)+IF(AND(V1407&gt;=75,V1407&lt;=175,W1407&gt;=35,W1407&lt;65),0.23,0)+IF(AND(V1407&gt;=75,V1407&lt;=175,W1407&gt;=65,W1407&lt;110),0.17,0)+IF(AND(V1407&gt;=75,V1407&lt;=175,W1407&gt;=110),0.12,0)+IF(AND(V1407&gt;175,W1407&lt;25),0.3,0)+IF(AND(V1407&gt;175,W1407&gt;=25,W1407&lt;55),0.23,0)+IF(AND(V1407&gt;175,W1407&gt;=55,W1407&lt;95),0.17,0)+IF(AND(V1407&gt;175,W1407&gt;=95),0.12,0),
IF(AF1407="DoEVsu",IF(AND(V1407&lt;20,W1407&lt;55),0.3,0)+IF(AND(V1407&lt;20,W1407&gt;=55,W1407&lt;105),0.23,0)+IF(AND(V1407&lt;20,W1407&gt;=105),0.17,0)+IF(AND(V1407&gt;=20,V1407&lt;40,W1407&lt;45),0.3,0)+IF(AND(V1407&gt;=20,V1407&lt;40,W1407&gt;=45,W1407&lt;95),0.23,0)+IF(AND(V1407&gt;=20,V1407&lt;40,W1407&gt;=95,W1407&lt;=250),0.17,0)+IF(AND(V1407&gt;=20,V1407&lt;40,W1407&gt;=250),0.12,0)+IF(AND(V1407&gt;=40,V1407&lt;75,W1407&lt;35),0.3,0)+IF(AND(V1407&gt;=40,V1407&lt;75,W1407&gt;=35,W1407&lt;75),0.23,0)+IF(AND(V1407&gt;=40,V1407&lt;75,W1407&gt;=75,W1407&lt;120),0.17,0)+IF(AND(V1407&gt;=40,V1407&lt;75,W1407&gt;=120),0.12,0)+IF(AND(V1407&gt;=75,V1407&lt;175,W1407&lt;35),0.3,0)+IF(AND(V1407&gt;=75,V1407&lt;=175,W1407&gt;=35,W1407&lt;65),0.23,0)+IF(AND(V1407&gt;=75,V1407&lt;=175,W1407&gt;=65,W1407&lt;110),0.17,0)+IF(AND(V1407&gt;=75,V1407&lt;=175,W1407&gt;=110),0.12,0)+IF(AND(V1407&gt;175,W1407&lt;25),0.3,0)+IF(AND(V1407&gt;175,W1407&gt;=25,W1407&lt;55),0.23,0)+IF(AND(V1407&gt;175,W1407&gt;=55,W1407&lt;95),0.17,0)+IF(AND(V1407&gt;175,W1407&gt;=95),0.12,0),
IF(AF1407="DoEVni",IF(AND(V1407&lt;20,W1407&lt;55),0.3,0)+IF(AND(V1407&lt;20,W1407&gt;=55,W1407&lt;105),0.23,0)+IF(AND(V1407&lt;20,W1407&gt;=105),0.17,0)+IF(AND(V1407&gt;=20,V1407&lt;40,W1407&lt;45),0.3,0)+IF(AND(V1407&gt;=20,V1407&lt;40,W1407&gt;=45,W1407&lt;95),0.23,0)+IF(AND(V1407&gt;=20,V1407&lt;40,W1407&gt;=95,W1407&lt;=200),0.17,0)+IF(AND(V1407&gt;=20,V1407&lt;40,W1407&gt;=200),0.12,0)+IF(AND(V1407&gt;=40,V1407&lt;75,W1407&lt;35),0.3,0)+IF(AND(V1407&gt;=40,V1407&lt;75,W1407&gt;=35,W1407&lt;75),0.23,0)+IF(AND(V1407&gt;=40,V1407&lt;75,W1407&gt;=75,W1407&lt;120),0.17,0)+IF(AND(V1407&gt;=40,V1407&lt;75,W1407&gt;=120),0.12,0)+IF(AND(V1407&gt;=75,V1407&lt;175,W1407&lt;35),0.3,0)+IF(AND(V1407&gt;=75,V1407&lt;=175,W1407&gt;=35,W1407&lt;65),0.23,0)+IF(AND(V1407&gt;=75,V1407&lt;=175,W1407&gt;=65,W1407&lt;110),0.17,0)+IF(AND(V1407&gt;=75,V1407&lt;=175,W1407&gt;=110),0.12,0)+IF(AND(V1407&gt;175,W1407&lt;25),0.3,0)+IF(AND(V1407&gt;175,W1407&gt;=25,W1407&lt;55),0.23,0)+IF(AND(V1407&gt;175,W1407&gt;=55,W1407&lt;95),0.17,0)+IF(AND(V1407&gt;175,W1407&gt;=95),0.12,0),
IF(AF1407="DoEVLo",IF(AND(V1407&lt;20,W1407&lt;55),0.25,0)+IF(AND(V1407&lt;20,W1407&gt;=55,W1407&lt;105),0.2,0)+IF(AND(V1407&lt;20,W1407&gt;=105),0.15,0)+IF(AND(V1407&gt;=20,V1407&lt;40,W1407&lt;45),0.25,0)+IF(AND(V1407&gt;=20,V1407&lt;40,W1407&gt;=45,W1407&lt;95),0.2,0)+IF(AND(V1407&gt;=20,V1407&lt;40,W1407&gt;=95),0.15,0)+IF(AND(V1407&gt;=40,V1407&lt;75,W1407&lt;35),0.25,0)+IF(AND(V1407&gt;=40,V1407&lt;75,W1407&gt;=35,W1407&lt;75),0.2,0)+IF(AND(V1407&gt;=40,V1407&lt;75,W1407&gt;=75,W1407&lt;120),0.15,0)+IF(AND(V1407&gt;=40,V1407&lt;75,W1407&gt;=120),0.1,0)+IF(AND(V1407&gt;=75,V1407&lt;175,W1407&lt;35),0.25,0)+IF(AND(V1407&gt;=75,V1407&lt;=175,W1407&gt;=35,W1407&lt;65),0.2,0)+IF(AND(V1407&gt;=75,V1407&lt;=175,W1407&gt;=65,W1407&lt;110),0.15,0)+IF(AND(V1407&gt;=75,V1407&lt;=175,W1407&gt;=110),0.1,0)+IF(AND(V1407&gt;175,W1407&lt;25),0.25,0)+IF(AND(V1407&gt;175,W1407&gt;=25,W1407&lt;55),0.2,0)+IF(AND(V1407&gt;175,W1407&gt;=55,W1407&lt;95),0.15,0)+IF(AND(V1407&gt;175,W1407&gt;=95),0.1,0))))))))))))))))))))</f>
        <v>0.2</v>
      </c>
      <c r="Y1407" s="35">
        <f t="shared" ref="Y1407:Y1467" si="206">if(AG1407="None",0,if(AG1407="Fix5",0.05, if(AG1407="Fix6.25",0.0625,if(AG1407="Fix3.75",0.0375, if(AG1407="Fix11",0.11, if(AG1407="Fix10",0.1,if(AG1407="Fix3",0.03,0)))))))</f>
        <v>0</v>
      </c>
      <c r="Z1407" s="40">
        <f t="shared" ref="Z1407:Z1467" si="207">if(and(AD1407="EUR", AE1407 = "USD"), T1407*U1407-AA1407-AB1407, T1407-AA1407-AB1407)</f>
        <v>-1600.8</v>
      </c>
      <c r="AA1407" s="34">
        <f t="shared" ref="AA1407:AA1467" si="208">IF(AND(AD1407="EUR", F1407="Without EV deal", AE1407="USD"), (T1407*X1407)*U1407, 
IF(AND(AD1407="EUR", F1407="Without EV deal", AE1407="EUR"), (T1407*X1407), 
IF(AND(AD1407="EUR",AE1407="USD"), (T1407*X1407)*U1407, 
T1407*X1407)))</f>
        <v>-400.2</v>
      </c>
      <c r="AB1407" s="41">
        <f t="shared" ref="AB1407:AB1467" si="209">IF(AND(AD1407="EUR", F1407="Without EV deal", AE1407="USD"), (T1407*Y1407)*U1407, 
IF(AND(AD1407="EUR", F1407="Without EV deal", AE1407="EUR"), (T1407*Y1407), 
IF(AND(AD1407="EUR",AE1407="USD"), (T1407*Y1407)*U1407, 
T1407*Y1407)))</f>
        <v>0</v>
      </c>
      <c r="AC1407" s="66" t="b">
        <v>1</v>
      </c>
      <c r="AD1407" s="87" t="str">
        <f t="shared" ref="AD1407:AD1467" si="210">IF(OR(H1407="€0.25 Flash",
H1407="€0.25(nitro) new",
H1407="€1",
H1407="€2",
H1407="€2 (bf 01.08)",
H1407="€5",
H1407="€5 (1M)",
H1407="€5 (bf 01.08)",
H1407="€5 (bf 05.05)",
H1407="€5 Nitro",
H1407="€5(wx) new",
H1407="€10",
H1407="€10 (1M)",
H1407="€10 (bf 01.08)",
H1407="€10 (bf 05.05)",
H1407="€10 (MP)",
H1407="€10 (old)",
H1407="€10 Nitro (bf 05.05)",
H1407="€10 Nitro (old)",
H1407="€10(wx) new",
H1407="€20",
H1407="€25",
H1407="€25 (bf 01.08)",
H1407="€25 (bf 05.05)",
H1407="€25 (MP)",
H1407="€25 (old)",
H1407="€25 Nitro",
H1407="€25 Nitro (bf 01.08)",
H1407="€25 Nitro (bf 05.05)",
H1407="€25(nitro) new",
H1407="€25(wx) new",
H1407="€50",
H1407="€50 (bf 01.08)",
H1407="€50 (bf 05.05)",
H1407="€50 (old)",
H1407="€50 Nitro",
H1407="€50 Nitro (bf 01.08)",
H1407="€50 Nitro (bf 05.05)",
H1407="€50(wx) new",
H1407="€100",
H1407="€100 (old)",
H1407="€100 Nitro",
H1407="€100 Nitro (old)",
H1407="€200",
H1407="€250",
H1407="€250 Nitro",
H1407="€500",
H1407="€500 Nitro"),"EUR", "USD")
</f>
        <v>USD</v>
      </c>
      <c r="AE1407" s="87" t="s">
        <v>138</v>
      </c>
      <c r="AF1407" s="88" t="str">
        <f t="array" ref="AF1407">INDEX('Deal Info'!D:D, MATCH(A1407,'Deal Info'!A:A, 0))</f>
        <v>DoEVLo</v>
      </c>
      <c r="AG1407" s="89" t="str">
        <f t="array" ref="AG1407">INDEX('Deal Info'!G:G, MATCH(A1407,'Deal Info'!A:A, 0))</f>
        <v>None</v>
      </c>
    </row>
    <row r="1408">
      <c r="A1408" s="23" t="str">
        <f t="array" ref="A1408">if(G1408='Room Info'!$B$1, INDEX('Room Info'!$A$2:$A3446, MATCH(B1408,'Room Info'!$B$2:$B3446, 0)),if(G1408='Room Info'!$C$1, INDEX('Room Info'!$A$2:$A3446, MATCH(B1408,'Room Info'!$C$2:$C3446, 0)),if(G1408='Room Info'!$D$1, INDEX('Room Info'!$A$2:$A3446, MATCH(B1408,'Room Info'!$D$2:$D3446, 0)),if(G1408='Room Info'!$E$1, INDEX('Room Info'!$A$2:$A3446, MATCH(B1408,'Room Info'!$E$2:$E3446, 0)),if(G1408='Room Info'!$F$1, INDEX('Room Info'!$A$2:$A3446, MATCH(B1408,'Room Info'!$F$2:$F3446, 0)),if(G1408='Room Info'!$H$1, INDEX('Room Info'!$A$2:$A3446, MATCH(B1408,'Room Info'!$H$2:$H3446, 0)),if(G1408='Room Info'!$G$1, INDEX('Room Info'!$A$2:$A3446, MATCH(B1408,'Room Info'!$G$2:$G3446, 0)))))))))</f>
        <v>Lo4io</v>
      </c>
      <c r="B1408" s="23" t="s">
        <v>156</v>
      </c>
      <c r="C1408" s="24">
        <v>44947.0</v>
      </c>
      <c r="D1408" s="25">
        <v>44977.0</v>
      </c>
      <c r="E1408" s="26">
        <v>44958.0</v>
      </c>
      <c r="F1408" s="27" t="s">
        <v>4</v>
      </c>
      <c r="G1408" s="23" t="s">
        <v>5</v>
      </c>
      <c r="H1408" s="28" t="s">
        <v>75</v>
      </c>
      <c r="I1408" s="28" t="s">
        <v>11</v>
      </c>
      <c r="J1408" s="44">
        <f t="shared" si="203"/>
        <v>50</v>
      </c>
      <c r="K1408" s="93">
        <v>125.0</v>
      </c>
      <c r="L1408" s="94">
        <v>-500.0</v>
      </c>
      <c r="M1408" s="32"/>
      <c r="N1408" s="33">
        <f t="shared" si="155"/>
        <v>6250</v>
      </c>
      <c r="O1408" s="90">
        <v>773.0</v>
      </c>
      <c r="P1408" s="34">
        <f t="shared" si="14"/>
        <v>6.184</v>
      </c>
      <c r="Q1408" s="35"/>
      <c r="R1408" s="36">
        <f t="shared" si="196"/>
        <v>0</v>
      </c>
      <c r="S1408" s="33"/>
      <c r="T1408" s="37">
        <f t="shared" si="204"/>
        <v>0</v>
      </c>
      <c r="U1408" s="38">
        <v>1.067</v>
      </c>
      <c r="V1408" s="74">
        <v>37.32526141992295</v>
      </c>
      <c r="W1408" s="69">
        <v>65.0</v>
      </c>
      <c r="X1408" s="35">
        <f t="shared" si="205"/>
        <v>0.2</v>
      </c>
      <c r="Y1408" s="35">
        <f t="shared" si="206"/>
        <v>0</v>
      </c>
      <c r="Z1408" s="40">
        <f t="shared" si="207"/>
        <v>0</v>
      </c>
      <c r="AA1408" s="34">
        <f t="shared" si="208"/>
        <v>0</v>
      </c>
      <c r="AB1408" s="41">
        <f t="shared" si="209"/>
        <v>0</v>
      </c>
      <c r="AC1408" s="66" t="b">
        <v>1</v>
      </c>
      <c r="AD1408" s="87" t="str">
        <f t="shared" si="210"/>
        <v>USD</v>
      </c>
      <c r="AE1408" s="88" t="s">
        <v>138</v>
      </c>
      <c r="AF1408" s="88" t="str">
        <f t="array" ref="AF1408">INDEX('Deal Info'!D:D, MATCH(A1408,'Deal Info'!A:A, 0))</f>
        <v>DoEVLo</v>
      </c>
      <c r="AG1408" s="89" t="str">
        <f t="array" ref="AG1408">INDEX('Deal Info'!G:G, MATCH(A1408,'Deal Info'!A:A, 0))</f>
        <v>None</v>
      </c>
    </row>
    <row r="1409" hidden="1">
      <c r="A1409" s="23" t="str">
        <f t="array" ref="A1409">if(G1409='Room Info'!$B$1, INDEX('Room Info'!$A$2:$A3446, MATCH(B1409,'Room Info'!$B$2:$B3446, 0)),if(G1409='Room Info'!$C$1, INDEX('Room Info'!$A$2:$A3446, MATCH(B1409,'Room Info'!$C$2:$C3446, 0)),if(G1409='Room Info'!$D$1, INDEX('Room Info'!$A$2:$A3446, MATCH(B1409,'Room Info'!$D$2:$D3446, 0)),if(G1409='Room Info'!$E$1, INDEX('Room Info'!$A$2:$A3446, MATCH(B1409,'Room Info'!$E$2:$E3446, 0)),if(G1409='Room Info'!$F$1, INDEX('Room Info'!$A$2:$A3446, MATCH(B1409,'Room Info'!$F$2:$F3446, 0)),if(G1409='Room Info'!$H$1, INDEX('Room Info'!$A$2:$A3446, MATCH(B1409,'Room Info'!$H$2:$H3446, 0)),if(G1409='Room Info'!$G$1, INDEX('Room Info'!$A$2:$A3446, MATCH(B1409,'Room Info'!$G$2:$G3446, 0)))))))))</f>
        <v>Ekx444</v>
      </c>
      <c r="B1409" s="23" t="s">
        <v>192</v>
      </c>
      <c r="C1409" s="24">
        <v>44947.0</v>
      </c>
      <c r="D1409" s="25">
        <v>44977.0</v>
      </c>
      <c r="E1409" s="26">
        <v>44958.0</v>
      </c>
      <c r="F1409" s="45" t="s">
        <v>4</v>
      </c>
      <c r="G1409" s="23" t="s">
        <v>5</v>
      </c>
      <c r="H1409" s="28" t="s">
        <v>62</v>
      </c>
      <c r="I1409" s="28" t="s">
        <v>7</v>
      </c>
      <c r="J1409" s="44">
        <f t="shared" si="203"/>
        <v>25</v>
      </c>
      <c r="K1409" s="93">
        <v>5492.0</v>
      </c>
      <c r="L1409" s="94">
        <v>2925.0</v>
      </c>
      <c r="M1409" s="47">
        <v>4125.0</v>
      </c>
      <c r="N1409" s="33">
        <f t="shared" si="155"/>
        <v>137300</v>
      </c>
      <c r="O1409" s="90">
        <v>192527.0</v>
      </c>
      <c r="P1409" s="34">
        <f t="shared" si="14"/>
        <v>35.05589949</v>
      </c>
      <c r="Q1409" s="35"/>
      <c r="R1409" s="36">
        <f t="shared" si="196"/>
        <v>4125</v>
      </c>
      <c r="S1409" s="124">
        <v>287.0</v>
      </c>
      <c r="T1409" s="37">
        <f t="shared" si="204"/>
        <v>4412</v>
      </c>
      <c r="U1409" s="38">
        <v>1.067</v>
      </c>
      <c r="V1409" s="39">
        <v>25.0</v>
      </c>
      <c r="W1409" s="39">
        <v>176.48</v>
      </c>
      <c r="X1409" s="35">
        <f t="shared" si="205"/>
        <v>0.17</v>
      </c>
      <c r="Y1409" s="35">
        <f t="shared" si="206"/>
        <v>0</v>
      </c>
      <c r="Z1409" s="40">
        <f t="shared" si="207"/>
        <v>3661.96</v>
      </c>
      <c r="AA1409" s="34">
        <f t="shared" si="208"/>
        <v>750.04</v>
      </c>
      <c r="AB1409" s="41">
        <f t="shared" si="209"/>
        <v>0</v>
      </c>
      <c r="AC1409" s="42" t="b">
        <v>1</v>
      </c>
      <c r="AD1409" s="87" t="str">
        <f t="shared" si="210"/>
        <v>USD</v>
      </c>
      <c r="AE1409" s="88" t="s">
        <v>138</v>
      </c>
      <c r="AF1409" s="88" t="str">
        <f t="array" ref="AF1409">INDEX('Deal Info'!D:D, MATCH(A1409,'Deal Info'!A:A, 0))</f>
        <v>DoEV</v>
      </c>
      <c r="AG1409" s="89" t="str">
        <f t="array" ref="AG1409">INDEX('Deal Info'!G:G, MATCH(A1409,'Deal Info'!A:A, 0))</f>
        <v>None</v>
      </c>
    </row>
    <row r="1410" hidden="1">
      <c r="A1410" s="23" t="str">
        <f t="array" ref="A1410">if(G1410='Room Info'!$B$1, INDEX('Room Info'!$A$2:$A3446, MATCH(B1410,'Room Info'!$B$2:$B3446, 0)),if(G1410='Room Info'!$C$1, INDEX('Room Info'!$A$2:$A3446, MATCH(B1410,'Room Info'!$C$2:$C3446, 0)),if(G1410='Room Info'!$D$1, INDEX('Room Info'!$A$2:$A3446, MATCH(B1410,'Room Info'!$D$2:$D3446, 0)),if(G1410='Room Info'!$E$1, INDEX('Room Info'!$A$2:$A3446, MATCH(B1410,'Room Info'!$E$2:$E3446, 0)),if(G1410='Room Info'!$F$1, INDEX('Room Info'!$A$2:$A3446, MATCH(B1410,'Room Info'!$F$2:$F3446, 0)),if(G1410='Room Info'!$H$1, INDEX('Room Info'!$A$2:$A3446, MATCH(B1410,'Room Info'!$H$2:$H3446, 0)),if(G1410='Room Info'!$G$1, INDEX('Room Info'!$A$2:$A3446, MATCH(B1410,'Room Info'!$G$2:$G3446, 0)))))))))</f>
        <v>CrippledMind</v>
      </c>
      <c r="B1410" s="90" t="s">
        <v>170</v>
      </c>
      <c r="C1410" s="24">
        <v>44947.0</v>
      </c>
      <c r="D1410" s="25">
        <v>44977.0</v>
      </c>
      <c r="E1410" s="26">
        <v>44958.0</v>
      </c>
      <c r="F1410" s="45" t="s">
        <v>4</v>
      </c>
      <c r="G1410" s="23" t="s">
        <v>5</v>
      </c>
      <c r="H1410" s="28" t="s">
        <v>35</v>
      </c>
      <c r="I1410" s="28" t="s">
        <v>7</v>
      </c>
      <c r="J1410" s="44">
        <f t="shared" si="203"/>
        <v>5</v>
      </c>
      <c r="K1410" s="93">
        <v>272.0</v>
      </c>
      <c r="L1410" s="94">
        <v>-45.0</v>
      </c>
      <c r="M1410" s="47">
        <v>160.0</v>
      </c>
      <c r="N1410" s="33">
        <f t="shared" si="155"/>
        <v>1360</v>
      </c>
      <c r="O1410" s="90">
        <v>8025.0</v>
      </c>
      <c r="P1410" s="34">
        <f t="shared" si="14"/>
        <v>29.50367647</v>
      </c>
      <c r="Q1410" s="35"/>
      <c r="R1410" s="36">
        <f t="shared" si="196"/>
        <v>160</v>
      </c>
      <c r="S1410" s="33"/>
      <c r="T1410" s="37">
        <f t="shared" si="204"/>
        <v>160</v>
      </c>
      <c r="U1410" s="38">
        <v>1.067</v>
      </c>
      <c r="V1410" s="39">
        <v>8.25864276568502</v>
      </c>
      <c r="W1410" s="39">
        <v>19.37364341085271</v>
      </c>
      <c r="X1410" s="35">
        <f t="shared" si="205"/>
        <v>0.3</v>
      </c>
      <c r="Y1410" s="35">
        <f t="shared" si="206"/>
        <v>0</v>
      </c>
      <c r="Z1410" s="40">
        <f t="shared" si="207"/>
        <v>112</v>
      </c>
      <c r="AA1410" s="34">
        <f t="shared" si="208"/>
        <v>48</v>
      </c>
      <c r="AB1410" s="41">
        <f t="shared" si="209"/>
        <v>0</v>
      </c>
      <c r="AC1410" s="42" t="b">
        <v>1</v>
      </c>
      <c r="AD1410" s="87" t="str">
        <f t="shared" si="210"/>
        <v>USD</v>
      </c>
      <c r="AE1410" s="88" t="s">
        <v>138</v>
      </c>
      <c r="AF1410" s="88" t="str">
        <f t="array" ref="AF1410">INDEX('Deal Info'!D:D, MATCH(A1410,'Deal Info'!A:A, 0))</f>
        <v>DoEV</v>
      </c>
      <c r="AG1410" s="89" t="str">
        <f t="array" ref="AG1410">INDEX('Deal Info'!G:G, MATCH(A1410,'Deal Info'!A:A, 0))</f>
        <v>None</v>
      </c>
    </row>
    <row r="1411" hidden="1">
      <c r="A1411" s="23" t="str">
        <f t="array" ref="A1411">if(G1411='Room Info'!$B$1, INDEX('Room Info'!$A$2:$A3446, MATCH(B1411,'Room Info'!$B$2:$B3446, 0)),if(G1411='Room Info'!$C$1, INDEX('Room Info'!$A$2:$A3446, MATCH(B1411,'Room Info'!$C$2:$C3446, 0)),if(G1411='Room Info'!$D$1, INDEX('Room Info'!$A$2:$A3446, MATCH(B1411,'Room Info'!$D$2:$D3446, 0)),if(G1411='Room Info'!$E$1, INDEX('Room Info'!$A$2:$A3446, MATCH(B1411,'Room Info'!$E$2:$E3446, 0)),if(G1411='Room Info'!$F$1, INDEX('Room Info'!$A$2:$A3446, MATCH(B1411,'Room Info'!$F$2:$F3446, 0)),if(G1411='Room Info'!$H$1, INDEX('Room Info'!$A$2:$A3446, MATCH(B1411,'Room Info'!$H$2:$H3446, 0)),if(G1411='Room Info'!$G$1, INDEX('Room Info'!$A$2:$A3446, MATCH(B1411,'Room Info'!$G$2:$G3446, 0)))))))))</f>
        <v>CrippledMind</v>
      </c>
      <c r="B1411" s="23" t="s">
        <v>170</v>
      </c>
      <c r="C1411" s="24">
        <v>44947.0</v>
      </c>
      <c r="D1411" s="25">
        <v>44977.0</v>
      </c>
      <c r="E1411" s="26">
        <v>44958.0</v>
      </c>
      <c r="F1411" s="45" t="s">
        <v>4</v>
      </c>
      <c r="G1411" s="23" t="s">
        <v>5</v>
      </c>
      <c r="H1411" s="28" t="s">
        <v>45</v>
      </c>
      <c r="I1411" s="28" t="s">
        <v>7</v>
      </c>
      <c r="J1411" s="44">
        <f t="shared" si="203"/>
        <v>10</v>
      </c>
      <c r="K1411" s="93">
        <v>509.0</v>
      </c>
      <c r="L1411" s="94">
        <v>-570.0</v>
      </c>
      <c r="M1411" s="32"/>
      <c r="N1411" s="33">
        <f t="shared" si="155"/>
        <v>5090</v>
      </c>
      <c r="O1411" s="90">
        <v>4115.0</v>
      </c>
      <c r="P1411" s="34">
        <f t="shared" si="14"/>
        <v>8.084479371</v>
      </c>
      <c r="Q1411" s="35"/>
      <c r="R1411" s="36">
        <f t="shared" si="196"/>
        <v>0</v>
      </c>
      <c r="S1411" s="33"/>
      <c r="T1411" s="37">
        <f t="shared" si="204"/>
        <v>0</v>
      </c>
      <c r="U1411" s="38">
        <v>1.067</v>
      </c>
      <c r="V1411" s="39">
        <v>8.25864276568502</v>
      </c>
      <c r="W1411" s="39">
        <v>19.37364341085271</v>
      </c>
      <c r="X1411" s="35">
        <f t="shared" si="205"/>
        <v>0.3</v>
      </c>
      <c r="Y1411" s="35">
        <f t="shared" si="206"/>
        <v>0</v>
      </c>
      <c r="Z1411" s="40">
        <f t="shared" si="207"/>
        <v>0</v>
      </c>
      <c r="AA1411" s="34">
        <f t="shared" si="208"/>
        <v>0</v>
      </c>
      <c r="AB1411" s="41">
        <f t="shared" si="209"/>
        <v>0</v>
      </c>
      <c r="AC1411" s="42" t="b">
        <v>1</v>
      </c>
      <c r="AD1411" s="87" t="str">
        <f t="shared" si="210"/>
        <v>USD</v>
      </c>
      <c r="AE1411" s="88" t="s">
        <v>138</v>
      </c>
      <c r="AF1411" s="88" t="str">
        <f t="array" ref="AF1411">INDEX('Deal Info'!D:D, MATCH(A1411,'Deal Info'!A:A, 0))</f>
        <v>DoEV</v>
      </c>
      <c r="AG1411" s="89" t="str">
        <f t="array" ref="AG1411">INDEX('Deal Info'!G:G, MATCH(A1411,'Deal Info'!A:A, 0))</f>
        <v>None</v>
      </c>
    </row>
    <row r="1412" hidden="1">
      <c r="A1412" s="23" t="str">
        <f t="array" ref="A1412">if(G1412='Room Info'!$B$1, INDEX('Room Info'!$A$2:$A3446, MATCH(B1412,'Room Info'!$B$2:$B3446, 0)),if(G1412='Room Info'!$C$1, INDEX('Room Info'!$A$2:$A3446, MATCH(B1412,'Room Info'!$C$2:$C3446, 0)),if(G1412='Room Info'!$D$1, INDEX('Room Info'!$A$2:$A3446, MATCH(B1412,'Room Info'!$D$2:$D3446, 0)),if(G1412='Room Info'!$E$1, INDEX('Room Info'!$A$2:$A3446, MATCH(B1412,'Room Info'!$E$2:$E3446, 0)),if(G1412='Room Info'!$F$1, INDEX('Room Info'!$A$2:$A3446, MATCH(B1412,'Room Info'!$F$2:$F3446, 0)),if(G1412='Room Info'!$H$1, INDEX('Room Info'!$A$2:$A3446, MATCH(B1412,'Room Info'!$H$2:$H3446, 0)),if(G1412='Room Info'!$G$1, INDEX('Room Info'!$A$2:$A3446, MATCH(B1412,'Room Info'!$G$2:$G3446, 0)))))))))</f>
        <v>KuCoH</v>
      </c>
      <c r="B1412" s="23" t="s">
        <v>199</v>
      </c>
      <c r="C1412" s="24">
        <v>44947.0</v>
      </c>
      <c r="D1412" s="25">
        <v>44977.0</v>
      </c>
      <c r="E1412" s="26">
        <v>44958.0</v>
      </c>
      <c r="F1412" s="27" t="s">
        <v>4</v>
      </c>
      <c r="G1412" s="23" t="s">
        <v>5</v>
      </c>
      <c r="H1412" s="28" t="s">
        <v>62</v>
      </c>
      <c r="I1412" s="28" t="s">
        <v>7</v>
      </c>
      <c r="J1412" s="44">
        <f t="shared" si="203"/>
        <v>25</v>
      </c>
      <c r="K1412" s="93">
        <v>1974.0</v>
      </c>
      <c r="L1412" s="94">
        <v>-125.0</v>
      </c>
      <c r="M1412" s="47">
        <v>1970.0</v>
      </c>
      <c r="N1412" s="33">
        <f t="shared" si="155"/>
        <v>49350</v>
      </c>
      <c r="O1412" s="90">
        <v>52800.0</v>
      </c>
      <c r="P1412" s="34">
        <f t="shared" si="14"/>
        <v>26.74772036</v>
      </c>
      <c r="Q1412" s="35"/>
      <c r="R1412" s="36">
        <f t="shared" si="196"/>
        <v>1970</v>
      </c>
      <c r="S1412" s="124">
        <v>-841.0</v>
      </c>
      <c r="T1412" s="37">
        <f t="shared" si="204"/>
        <v>1129</v>
      </c>
      <c r="U1412" s="38">
        <v>1.067</v>
      </c>
      <c r="V1412" s="39">
        <v>25.0</v>
      </c>
      <c r="W1412" s="39">
        <v>45.16</v>
      </c>
      <c r="X1412" s="35">
        <f t="shared" si="205"/>
        <v>0.2</v>
      </c>
      <c r="Y1412" s="35">
        <f t="shared" si="206"/>
        <v>0.1</v>
      </c>
      <c r="Z1412" s="40">
        <f t="shared" si="207"/>
        <v>790.3</v>
      </c>
      <c r="AA1412" s="34">
        <f t="shared" si="208"/>
        <v>225.8</v>
      </c>
      <c r="AB1412" s="41">
        <f t="shared" si="209"/>
        <v>112.9</v>
      </c>
      <c r="AC1412" s="42" t="b">
        <v>1</v>
      </c>
      <c r="AD1412" s="87" t="str">
        <f t="shared" si="210"/>
        <v>USD</v>
      </c>
      <c r="AE1412" s="88" t="s">
        <v>138</v>
      </c>
      <c r="AF1412" s="88" t="str">
        <f t="array" ref="AF1412">INDEX('Deal Info'!D:D, MATCH(A1412,'Deal Info'!A:A, 0))</f>
        <v>DoEVku</v>
      </c>
      <c r="AG1412" s="89" t="str">
        <f t="array" ref="AG1412">INDEX('Deal Info'!G:G, MATCH(A1412,'Deal Info'!A:A, 0))</f>
        <v>Fix10</v>
      </c>
    </row>
    <row r="1413" hidden="1">
      <c r="A1413" s="23" t="str">
        <f t="array" ref="A1413">if(G1413='Room Info'!$B$1, INDEX('Room Info'!$A$2:$A3446, MATCH(B1413,'Room Info'!$B$2:$B3446, 0)),if(G1413='Room Info'!$C$1, INDEX('Room Info'!$A$2:$A3446, MATCH(B1413,'Room Info'!$C$2:$C3446, 0)),if(G1413='Room Info'!$D$1, INDEX('Room Info'!$A$2:$A3446, MATCH(B1413,'Room Info'!$D$2:$D3446, 0)),if(G1413='Room Info'!$E$1, INDEX('Room Info'!$A$2:$A3446, MATCH(B1413,'Room Info'!$E$2:$E3446, 0)),if(G1413='Room Info'!$F$1, INDEX('Room Info'!$A$2:$A3446, MATCH(B1413,'Room Info'!$F$2:$F3446, 0)),if(G1413='Room Info'!$H$1, INDEX('Room Info'!$A$2:$A3446, MATCH(B1413,'Room Info'!$H$2:$H3446, 0)),if(G1413='Room Info'!$G$1, INDEX('Room Info'!$A$2:$A3446, MATCH(B1413,'Room Info'!$G$2:$G3446, 0)))))))))</f>
        <v>KuCoH</v>
      </c>
      <c r="B1413" s="23" t="s">
        <v>199</v>
      </c>
      <c r="C1413" s="24">
        <v>44947.0</v>
      </c>
      <c r="D1413" s="25">
        <v>44977.0</v>
      </c>
      <c r="E1413" s="26">
        <v>44958.0</v>
      </c>
      <c r="F1413" s="27" t="s">
        <v>4</v>
      </c>
      <c r="G1413" s="23" t="s">
        <v>5</v>
      </c>
      <c r="H1413" s="28" t="s">
        <v>63</v>
      </c>
      <c r="I1413" s="28" t="s">
        <v>11</v>
      </c>
      <c r="J1413" s="44">
        <f t="shared" si="203"/>
        <v>25</v>
      </c>
      <c r="K1413" s="93">
        <v>52.0</v>
      </c>
      <c r="L1413" s="94">
        <v>-175.0</v>
      </c>
      <c r="M1413" s="32"/>
      <c r="N1413" s="33">
        <f t="shared" si="155"/>
        <v>1300</v>
      </c>
      <c r="O1413" s="90">
        <v>-1317.0</v>
      </c>
      <c r="P1413" s="34">
        <f t="shared" si="14"/>
        <v>-25.32692308</v>
      </c>
      <c r="Q1413" s="35"/>
      <c r="R1413" s="36">
        <f t="shared" si="196"/>
        <v>0</v>
      </c>
      <c r="S1413" s="33"/>
      <c r="T1413" s="37">
        <f t="shared" si="204"/>
        <v>0</v>
      </c>
      <c r="U1413" s="38">
        <v>1.067</v>
      </c>
      <c r="V1413" s="39">
        <v>25.0</v>
      </c>
      <c r="W1413" s="39">
        <v>45.16</v>
      </c>
      <c r="X1413" s="35">
        <f t="shared" si="205"/>
        <v>0.2</v>
      </c>
      <c r="Y1413" s="35">
        <f t="shared" si="206"/>
        <v>0.1</v>
      </c>
      <c r="Z1413" s="40">
        <f t="shared" si="207"/>
        <v>0</v>
      </c>
      <c r="AA1413" s="34">
        <f t="shared" si="208"/>
        <v>0</v>
      </c>
      <c r="AB1413" s="41">
        <f t="shared" si="209"/>
        <v>0</v>
      </c>
      <c r="AC1413" s="42" t="b">
        <v>1</v>
      </c>
      <c r="AD1413" s="87" t="str">
        <f t="shared" si="210"/>
        <v>USD</v>
      </c>
      <c r="AE1413" s="88" t="s">
        <v>138</v>
      </c>
      <c r="AF1413" s="88" t="str">
        <f t="array" ref="AF1413">INDEX('Deal Info'!D:D, MATCH(A1413,'Deal Info'!A:A, 0))</f>
        <v>DoEVku</v>
      </c>
      <c r="AG1413" s="89" t="str">
        <f t="array" ref="AG1413">INDEX('Deal Info'!G:G, MATCH(A1413,'Deal Info'!A:A, 0))</f>
        <v>Fix10</v>
      </c>
    </row>
    <row r="1414" hidden="1">
      <c r="A1414" s="23" t="str">
        <f t="array" ref="A1414">if(G1414='Room Info'!$B$1, INDEX('Room Info'!$A$2:$A3446, MATCH(B1414,'Room Info'!$B$2:$B3446, 0)),if(G1414='Room Info'!$C$1, INDEX('Room Info'!$A$2:$A3446, MATCH(B1414,'Room Info'!$C$2:$C3446, 0)),if(G1414='Room Info'!$D$1, INDEX('Room Info'!$A$2:$A3446, MATCH(B1414,'Room Info'!$D$2:$D3446, 0)),if(G1414='Room Info'!$E$1, INDEX('Room Info'!$A$2:$A3446, MATCH(B1414,'Room Info'!$E$2:$E3446, 0)),if(G1414='Room Info'!$F$1, INDEX('Room Info'!$A$2:$A3446, MATCH(B1414,'Room Info'!$F$2:$F3446, 0)),if(G1414='Room Info'!$H$1, INDEX('Room Info'!$A$2:$A3446, MATCH(B1414,'Room Info'!$H$2:$H3446, 0)),if(G1414='Room Info'!$G$1, INDEX('Room Info'!$A$2:$A3446, MATCH(B1414,'Room Info'!$G$2:$G3446, 0)))))))))</f>
        <v>fig6</v>
      </c>
      <c r="B1414" s="90" t="s">
        <v>195</v>
      </c>
      <c r="C1414" s="24">
        <v>44947.0</v>
      </c>
      <c r="D1414" s="25">
        <v>44977.0</v>
      </c>
      <c r="E1414" s="26">
        <v>44958.0</v>
      </c>
      <c r="F1414" s="27" t="s">
        <v>4</v>
      </c>
      <c r="G1414" s="23" t="s">
        <v>5</v>
      </c>
      <c r="H1414" s="28" t="s">
        <v>74</v>
      </c>
      <c r="I1414" s="28" t="s">
        <v>7</v>
      </c>
      <c r="J1414" s="44">
        <f t="shared" si="203"/>
        <v>50</v>
      </c>
      <c r="K1414" s="93">
        <v>125.0</v>
      </c>
      <c r="L1414" s="94">
        <v>-250.0</v>
      </c>
      <c r="M1414" s="47">
        <v>33800.0</v>
      </c>
      <c r="N1414" s="33">
        <f t="shared" si="155"/>
        <v>6250</v>
      </c>
      <c r="O1414" s="90">
        <v>6826.0</v>
      </c>
      <c r="P1414" s="34">
        <f t="shared" si="14"/>
        <v>54.608</v>
      </c>
      <c r="Q1414" s="35"/>
      <c r="R1414" s="36">
        <f t="shared" si="196"/>
        <v>33800</v>
      </c>
      <c r="S1414" s="124">
        <v>1072.0</v>
      </c>
      <c r="T1414" s="37">
        <f t="shared" si="204"/>
        <v>34872</v>
      </c>
      <c r="U1414" s="38">
        <v>1.067</v>
      </c>
      <c r="V1414" s="39"/>
      <c r="W1414" s="39"/>
      <c r="X1414" s="35">
        <f t="shared" si="205"/>
        <v>0.1125</v>
      </c>
      <c r="Y1414" s="35">
        <f t="shared" si="206"/>
        <v>0.0375</v>
      </c>
      <c r="Z1414" s="40">
        <f t="shared" si="207"/>
        <v>29641.2</v>
      </c>
      <c r="AA1414" s="34">
        <f t="shared" si="208"/>
        <v>3923.1</v>
      </c>
      <c r="AB1414" s="41">
        <f t="shared" si="209"/>
        <v>1307.7</v>
      </c>
      <c r="AC1414" s="42" t="b">
        <v>1</v>
      </c>
      <c r="AD1414" s="87" t="str">
        <f t="shared" si="210"/>
        <v>USD</v>
      </c>
      <c r="AE1414" s="88" t="s">
        <v>138</v>
      </c>
      <c r="AF1414" s="88" t="str">
        <f t="array" ref="AF1414">INDEX('Deal Info'!D:D, MATCH(A1414,'Deal Info'!A:A, 0))</f>
        <v>Fix11.25</v>
      </c>
      <c r="AG1414" s="88" t="str">
        <f t="array" ref="AG1414">INDEX('Deal Info'!G:G, MATCH(A1414,'Deal Info'!A:A, 0))</f>
        <v>Fix3.75</v>
      </c>
    </row>
    <row r="1415" hidden="1">
      <c r="A1415" s="23" t="str">
        <f t="array" ref="A1415">if(G1415='Room Info'!$B$1, INDEX('Room Info'!$A$2:$A3446, MATCH(B1415,'Room Info'!$B$2:$B3446, 0)),if(G1415='Room Info'!$C$1, INDEX('Room Info'!$A$2:$A3446, MATCH(B1415,'Room Info'!$C$2:$C3446, 0)),if(G1415='Room Info'!$D$1, INDEX('Room Info'!$A$2:$A3446, MATCH(B1415,'Room Info'!$D$2:$D3446, 0)),if(G1415='Room Info'!$E$1, INDEX('Room Info'!$A$2:$A3446, MATCH(B1415,'Room Info'!$E$2:$E3446, 0)),if(G1415='Room Info'!$F$1, INDEX('Room Info'!$A$2:$A3446, MATCH(B1415,'Room Info'!$F$2:$F3446, 0)),if(G1415='Room Info'!$H$1, INDEX('Room Info'!$A$2:$A3446, MATCH(B1415,'Room Info'!$H$2:$H3446, 0)),if(G1415='Room Info'!$G$1, INDEX('Room Info'!$A$2:$A3446, MATCH(B1415,'Room Info'!$G$2:$G3446, 0)))))))))</f>
        <v>fig6</v>
      </c>
      <c r="B1415" s="23" t="s">
        <v>195</v>
      </c>
      <c r="C1415" s="24">
        <v>44947.0</v>
      </c>
      <c r="D1415" s="25">
        <v>44977.0</v>
      </c>
      <c r="E1415" s="26">
        <v>44958.0</v>
      </c>
      <c r="F1415" s="45" t="s">
        <v>4</v>
      </c>
      <c r="G1415" s="23" t="s">
        <v>5</v>
      </c>
      <c r="H1415" s="28" t="s">
        <v>85</v>
      </c>
      <c r="I1415" s="28" t="s">
        <v>7</v>
      </c>
      <c r="J1415" s="44">
        <f t="shared" si="203"/>
        <v>100</v>
      </c>
      <c r="K1415" s="93">
        <v>2613.0</v>
      </c>
      <c r="L1415" s="94">
        <v>4100.0</v>
      </c>
      <c r="M1415" s="32"/>
      <c r="N1415" s="33">
        <f t="shared" si="155"/>
        <v>261300</v>
      </c>
      <c r="O1415" s="90">
        <v>107990.0</v>
      </c>
      <c r="P1415" s="34">
        <f t="shared" si="14"/>
        <v>41.32797551</v>
      </c>
      <c r="Q1415" s="35"/>
      <c r="R1415" s="36">
        <f t="shared" si="196"/>
        <v>0</v>
      </c>
      <c r="S1415" s="33"/>
      <c r="T1415" s="37">
        <f t="shared" si="204"/>
        <v>0</v>
      </c>
      <c r="U1415" s="38">
        <v>1.067</v>
      </c>
      <c r="V1415" s="39"/>
      <c r="W1415" s="39"/>
      <c r="X1415" s="35">
        <f t="shared" si="205"/>
        <v>0.1125</v>
      </c>
      <c r="Y1415" s="35">
        <f t="shared" si="206"/>
        <v>0.0375</v>
      </c>
      <c r="Z1415" s="40">
        <f t="shared" si="207"/>
        <v>0</v>
      </c>
      <c r="AA1415" s="34">
        <f t="shared" si="208"/>
        <v>0</v>
      </c>
      <c r="AB1415" s="41">
        <f t="shared" si="209"/>
        <v>0</v>
      </c>
      <c r="AC1415" s="42" t="b">
        <v>1</v>
      </c>
      <c r="AD1415" s="87" t="str">
        <f t="shared" si="210"/>
        <v>USD</v>
      </c>
      <c r="AE1415" s="88" t="s">
        <v>138</v>
      </c>
      <c r="AF1415" s="88" t="str">
        <f t="array" ref="AF1415">INDEX('Deal Info'!D:D, MATCH(A1415,'Deal Info'!A:A, 0))</f>
        <v>Fix11.25</v>
      </c>
      <c r="AG1415" s="88" t="str">
        <f t="array" ref="AG1415">INDEX('Deal Info'!G:G, MATCH(A1415,'Deal Info'!A:A, 0))</f>
        <v>Fix3.75</v>
      </c>
    </row>
    <row r="1416" hidden="1">
      <c r="A1416" s="23" t="str">
        <f t="array" ref="A1416">if(G1416='Room Info'!$B$1, INDEX('Room Info'!$A$2:$A3446, MATCH(B1416,'Room Info'!$B$2:$B3446, 0)),if(G1416='Room Info'!$C$1, INDEX('Room Info'!$A$2:$A3446, MATCH(B1416,'Room Info'!$C$2:$C3446, 0)),if(G1416='Room Info'!$D$1, INDEX('Room Info'!$A$2:$A3446, MATCH(B1416,'Room Info'!$D$2:$D3446, 0)),if(G1416='Room Info'!$E$1, INDEX('Room Info'!$A$2:$A3446, MATCH(B1416,'Room Info'!$E$2:$E3446, 0)),if(G1416='Room Info'!$F$1, INDEX('Room Info'!$A$2:$A3446, MATCH(B1416,'Room Info'!$F$2:$F3446, 0)),if(G1416='Room Info'!$H$1, INDEX('Room Info'!$A$2:$A3446, MATCH(B1416,'Room Info'!$H$2:$H3446, 0)),if(G1416='Room Info'!$G$1, INDEX('Room Info'!$A$2:$A3446, MATCH(B1416,'Room Info'!$G$2:$G3446, 0)))))))))</f>
        <v>fig6</v>
      </c>
      <c r="B1416" s="23" t="s">
        <v>195</v>
      </c>
      <c r="C1416" s="24">
        <v>44947.0</v>
      </c>
      <c r="D1416" s="25">
        <v>44977.0</v>
      </c>
      <c r="E1416" s="26">
        <v>44958.0</v>
      </c>
      <c r="F1416" s="27" t="s">
        <v>12</v>
      </c>
      <c r="G1416" s="23" t="s">
        <v>5</v>
      </c>
      <c r="H1416" s="28" t="s">
        <v>87</v>
      </c>
      <c r="I1416" s="28" t="s">
        <v>15</v>
      </c>
      <c r="J1416" s="44">
        <f t="shared" si="203"/>
        <v>100</v>
      </c>
      <c r="K1416" s="93">
        <v>757.0</v>
      </c>
      <c r="L1416" s="94">
        <v>2796.0</v>
      </c>
      <c r="M1416" s="32"/>
      <c r="N1416" s="33">
        <f t="shared" si="155"/>
        <v>75700</v>
      </c>
      <c r="O1416" s="23"/>
      <c r="P1416" s="34">
        <f t="shared" si="14"/>
        <v>0</v>
      </c>
      <c r="Q1416" s="35"/>
      <c r="R1416" s="36">
        <f t="shared" si="196"/>
        <v>0</v>
      </c>
      <c r="S1416" s="33"/>
      <c r="T1416" s="37">
        <f t="shared" si="204"/>
        <v>2796</v>
      </c>
      <c r="U1416" s="38">
        <v>1.067</v>
      </c>
      <c r="V1416" s="39"/>
      <c r="W1416" s="39"/>
      <c r="X1416" s="35">
        <f t="shared" si="205"/>
        <v>0.1125</v>
      </c>
      <c r="Y1416" s="35">
        <f t="shared" si="206"/>
        <v>0.0375</v>
      </c>
      <c r="Z1416" s="40">
        <f t="shared" si="207"/>
        <v>2376.6</v>
      </c>
      <c r="AA1416" s="34">
        <f t="shared" si="208"/>
        <v>314.55</v>
      </c>
      <c r="AB1416" s="41">
        <f t="shared" si="209"/>
        <v>104.85</v>
      </c>
      <c r="AC1416" s="42" t="b">
        <v>1</v>
      </c>
      <c r="AD1416" s="87" t="str">
        <f t="shared" si="210"/>
        <v>USD</v>
      </c>
      <c r="AE1416" s="88" t="s">
        <v>138</v>
      </c>
      <c r="AF1416" s="88" t="str">
        <f t="array" ref="AF1416">INDEX('Deal Info'!D:D, MATCH(A1416,'Deal Info'!A:A, 0))</f>
        <v>Fix11.25</v>
      </c>
      <c r="AG1416" s="88" t="str">
        <f t="array" ref="AG1416">INDEX('Deal Info'!G:G, MATCH(A1416,'Deal Info'!A:A, 0))</f>
        <v>Fix3.75</v>
      </c>
    </row>
    <row r="1417" hidden="1">
      <c r="A1417" s="23" t="str">
        <f t="array" ref="A1417">if(G1417='Room Info'!$B$1, INDEX('Room Info'!$A$2:$A3446, MATCH(B1417,'Room Info'!$B$2:$B3446, 0)),if(G1417='Room Info'!$C$1, INDEX('Room Info'!$A$2:$A3446, MATCH(B1417,'Room Info'!$C$2:$C3446, 0)),if(G1417='Room Info'!$D$1, INDEX('Room Info'!$A$2:$A3446, MATCH(B1417,'Room Info'!$D$2:$D3446, 0)),if(G1417='Room Info'!$E$1, INDEX('Room Info'!$A$2:$A3446, MATCH(B1417,'Room Info'!$E$2:$E3446, 0)),if(G1417='Room Info'!$F$1, INDEX('Room Info'!$A$2:$A3446, MATCH(B1417,'Room Info'!$F$2:$F3446, 0)),if(G1417='Room Info'!$H$1, INDEX('Room Info'!$A$2:$A3446, MATCH(B1417,'Room Info'!$H$2:$H3446, 0)),if(G1417='Room Info'!$G$1, INDEX('Room Info'!$A$2:$A3446, MATCH(B1417,'Room Info'!$G$2:$G3446, 0)))))))))</f>
        <v>fig6</v>
      </c>
      <c r="B1417" s="23" t="s">
        <v>195</v>
      </c>
      <c r="C1417" s="24">
        <v>44947.0</v>
      </c>
      <c r="D1417" s="25">
        <v>44977.0</v>
      </c>
      <c r="E1417" s="26">
        <v>44958.0</v>
      </c>
      <c r="F1417" s="27" t="s">
        <v>4</v>
      </c>
      <c r="G1417" s="23" t="s">
        <v>5</v>
      </c>
      <c r="H1417" s="28" t="s">
        <v>86</v>
      </c>
      <c r="I1417" s="28" t="s">
        <v>11</v>
      </c>
      <c r="J1417" s="44">
        <f t="shared" si="203"/>
        <v>100</v>
      </c>
      <c r="K1417" s="93">
        <v>661.0</v>
      </c>
      <c r="L1417" s="94">
        <v>5400.0</v>
      </c>
      <c r="M1417" s="32"/>
      <c r="N1417" s="33">
        <f t="shared" si="155"/>
        <v>66100</v>
      </c>
      <c r="O1417" s="90">
        <v>9506.0</v>
      </c>
      <c r="P1417" s="34">
        <f t="shared" si="14"/>
        <v>14.38124054</v>
      </c>
      <c r="Q1417" s="35"/>
      <c r="R1417" s="36">
        <f t="shared" si="196"/>
        <v>0</v>
      </c>
      <c r="S1417" s="33"/>
      <c r="T1417" s="37">
        <f t="shared" si="204"/>
        <v>0</v>
      </c>
      <c r="U1417" s="38">
        <v>1.067</v>
      </c>
      <c r="V1417" s="39"/>
      <c r="W1417" s="39"/>
      <c r="X1417" s="35">
        <f t="shared" si="205"/>
        <v>0.1125</v>
      </c>
      <c r="Y1417" s="35">
        <f t="shared" si="206"/>
        <v>0.0375</v>
      </c>
      <c r="Z1417" s="40">
        <f t="shared" si="207"/>
        <v>0</v>
      </c>
      <c r="AA1417" s="34">
        <f t="shared" si="208"/>
        <v>0</v>
      </c>
      <c r="AB1417" s="41">
        <f t="shared" si="209"/>
        <v>0</v>
      </c>
      <c r="AC1417" s="42" t="b">
        <v>1</v>
      </c>
      <c r="AD1417" s="87" t="str">
        <f t="shared" si="210"/>
        <v>USD</v>
      </c>
      <c r="AE1417" s="88" t="s">
        <v>138</v>
      </c>
      <c r="AF1417" s="88" t="str">
        <f t="array" ref="AF1417">INDEX('Deal Info'!D:D, MATCH(A1417,'Deal Info'!A:A, 0))</f>
        <v>Fix11.25</v>
      </c>
      <c r="AG1417" s="88" t="str">
        <f t="array" ref="AG1417">INDEX('Deal Info'!G:G, MATCH(A1417,'Deal Info'!A:A, 0))</f>
        <v>Fix3.75</v>
      </c>
    </row>
    <row r="1418" hidden="1">
      <c r="A1418" s="23" t="str">
        <f t="array" ref="A1418">if(G1418='Room Info'!$B$1, INDEX('Room Info'!$A$2:$A3446, MATCH(B1418,'Room Info'!$B$2:$B3446, 0)),if(G1418='Room Info'!$C$1, INDEX('Room Info'!$A$2:$A3446, MATCH(B1418,'Room Info'!$C$2:$C3446, 0)),if(G1418='Room Info'!$D$1, INDEX('Room Info'!$A$2:$A3446, MATCH(B1418,'Room Info'!$D$2:$D3446, 0)),if(G1418='Room Info'!$E$1, INDEX('Room Info'!$A$2:$A3446, MATCH(B1418,'Room Info'!$E$2:$E3446, 0)),if(G1418='Room Info'!$F$1, INDEX('Room Info'!$A$2:$A3446, MATCH(B1418,'Room Info'!$F$2:$F3446, 0)),if(G1418='Room Info'!$H$1, INDEX('Room Info'!$A$2:$A3446, MATCH(B1418,'Room Info'!$H$2:$H3446, 0)),if(G1418='Room Info'!$G$1, INDEX('Room Info'!$A$2:$A3446, MATCH(B1418,'Room Info'!$G$2:$G3446, 0)))))))))</f>
        <v>fig6</v>
      </c>
      <c r="B1418" s="23" t="s">
        <v>195</v>
      </c>
      <c r="C1418" s="24">
        <v>44947.0</v>
      </c>
      <c r="D1418" s="25">
        <v>44977.0</v>
      </c>
      <c r="E1418" s="26">
        <v>44958.0</v>
      </c>
      <c r="F1418" s="27" t="s">
        <v>12</v>
      </c>
      <c r="G1418" s="23" t="s">
        <v>5</v>
      </c>
      <c r="H1418" s="28" t="s">
        <v>94</v>
      </c>
      <c r="I1418" s="28" t="s">
        <v>15</v>
      </c>
      <c r="J1418" s="44">
        <f t="shared" si="203"/>
        <v>200</v>
      </c>
      <c r="K1418" s="93">
        <v>44.0</v>
      </c>
      <c r="L1418" s="94">
        <v>246.0</v>
      </c>
      <c r="M1418" s="32"/>
      <c r="N1418" s="33">
        <f t="shared" si="155"/>
        <v>8800</v>
      </c>
      <c r="O1418" s="23"/>
      <c r="P1418" s="34">
        <f t="shared" si="14"/>
        <v>0</v>
      </c>
      <c r="Q1418" s="35"/>
      <c r="R1418" s="36">
        <f t="shared" si="196"/>
        <v>0</v>
      </c>
      <c r="S1418" s="33"/>
      <c r="T1418" s="37">
        <f t="shared" si="204"/>
        <v>246</v>
      </c>
      <c r="U1418" s="38">
        <v>1.067</v>
      </c>
      <c r="V1418" s="39"/>
      <c r="W1418" s="39"/>
      <c r="X1418" s="35">
        <f t="shared" si="205"/>
        <v>0.1125</v>
      </c>
      <c r="Y1418" s="35">
        <f t="shared" si="206"/>
        <v>0.0375</v>
      </c>
      <c r="Z1418" s="40">
        <f t="shared" si="207"/>
        <v>209.1</v>
      </c>
      <c r="AA1418" s="34">
        <f t="shared" si="208"/>
        <v>27.675</v>
      </c>
      <c r="AB1418" s="41">
        <f t="shared" si="209"/>
        <v>9.225</v>
      </c>
      <c r="AC1418" s="42" t="b">
        <v>1</v>
      </c>
      <c r="AD1418" s="87" t="str">
        <f t="shared" si="210"/>
        <v>USD</v>
      </c>
      <c r="AE1418" s="88" t="s">
        <v>138</v>
      </c>
      <c r="AF1418" s="88" t="str">
        <f t="array" ref="AF1418">INDEX('Deal Info'!D:D, MATCH(A1418,'Deal Info'!A:A, 0))</f>
        <v>Fix11.25</v>
      </c>
      <c r="AG1418" s="88" t="str">
        <f t="array" ref="AG1418">INDEX('Deal Info'!G:G, MATCH(A1418,'Deal Info'!A:A, 0))</f>
        <v>Fix3.75</v>
      </c>
    </row>
    <row r="1419" hidden="1">
      <c r="A1419" s="23" t="str">
        <f t="array" ref="A1419">if(G1419='Room Info'!$B$1, INDEX('Room Info'!$A$2:$A3446, MATCH(B1419,'Room Info'!$B$2:$B3446, 0)),if(G1419='Room Info'!$C$1, INDEX('Room Info'!$A$2:$A3446, MATCH(B1419,'Room Info'!$C$2:$C3446, 0)),if(G1419='Room Info'!$D$1, INDEX('Room Info'!$A$2:$A3446, MATCH(B1419,'Room Info'!$D$2:$D3446, 0)),if(G1419='Room Info'!$E$1, INDEX('Room Info'!$A$2:$A3446, MATCH(B1419,'Room Info'!$E$2:$E3446, 0)),if(G1419='Room Info'!$F$1, INDEX('Room Info'!$A$2:$A3446, MATCH(B1419,'Room Info'!$F$2:$F3446, 0)),if(G1419='Room Info'!$H$1, INDEX('Room Info'!$A$2:$A3446, MATCH(B1419,'Room Info'!$H$2:$H3446, 0)),if(G1419='Room Info'!$G$1, INDEX('Room Info'!$A$2:$A3446, MATCH(B1419,'Room Info'!$G$2:$G3446, 0)))))))))</f>
        <v>fig6</v>
      </c>
      <c r="B1419" s="23" t="s">
        <v>195</v>
      </c>
      <c r="C1419" s="24">
        <v>44947.0</v>
      </c>
      <c r="D1419" s="25">
        <v>44977.0</v>
      </c>
      <c r="E1419" s="26">
        <v>44958.0</v>
      </c>
      <c r="F1419" s="45" t="s">
        <v>4</v>
      </c>
      <c r="G1419" s="23" t="s">
        <v>5</v>
      </c>
      <c r="H1419" s="28" t="s">
        <v>96</v>
      </c>
      <c r="I1419" s="28" t="s">
        <v>7</v>
      </c>
      <c r="J1419" s="44">
        <f t="shared" si="203"/>
        <v>250</v>
      </c>
      <c r="K1419" s="93">
        <v>2248.0</v>
      </c>
      <c r="L1419" s="94">
        <v>3750.0</v>
      </c>
      <c r="M1419" s="32"/>
      <c r="N1419" s="33">
        <f t="shared" si="155"/>
        <v>562000</v>
      </c>
      <c r="O1419" s="90">
        <v>62940.0</v>
      </c>
      <c r="P1419" s="34">
        <f t="shared" si="14"/>
        <v>27.99822064</v>
      </c>
      <c r="Q1419" s="35"/>
      <c r="R1419" s="36">
        <f t="shared" si="196"/>
        <v>0</v>
      </c>
      <c r="S1419" s="33"/>
      <c r="T1419" s="37">
        <f t="shared" si="204"/>
        <v>0</v>
      </c>
      <c r="U1419" s="38">
        <v>1.067</v>
      </c>
      <c r="V1419" s="39"/>
      <c r="W1419" s="39"/>
      <c r="X1419" s="35">
        <f t="shared" si="205"/>
        <v>0.1125</v>
      </c>
      <c r="Y1419" s="35">
        <f t="shared" si="206"/>
        <v>0.0375</v>
      </c>
      <c r="Z1419" s="40">
        <f t="shared" si="207"/>
        <v>0</v>
      </c>
      <c r="AA1419" s="34">
        <f t="shared" si="208"/>
        <v>0</v>
      </c>
      <c r="AB1419" s="41">
        <f t="shared" si="209"/>
        <v>0</v>
      </c>
      <c r="AC1419" s="42" t="b">
        <v>1</v>
      </c>
      <c r="AD1419" s="87" t="str">
        <f t="shared" si="210"/>
        <v>USD</v>
      </c>
      <c r="AE1419" s="88" t="s">
        <v>138</v>
      </c>
      <c r="AF1419" s="88" t="str">
        <f t="array" ref="AF1419">INDEX('Deal Info'!D:D, MATCH(A1419,'Deal Info'!A:A, 0))</f>
        <v>Fix11.25</v>
      </c>
      <c r="AG1419" s="88" t="str">
        <f t="array" ref="AG1419">INDEX('Deal Info'!G:G, MATCH(A1419,'Deal Info'!A:A, 0))</f>
        <v>Fix3.75</v>
      </c>
    </row>
    <row r="1420" hidden="1">
      <c r="A1420" s="23" t="str">
        <f t="array" ref="A1420">if(G1420='Room Info'!$B$1, INDEX('Room Info'!$A$2:$A3446, MATCH(B1420,'Room Info'!$B$2:$B3446, 0)),if(G1420='Room Info'!$C$1, INDEX('Room Info'!$A$2:$A3446, MATCH(B1420,'Room Info'!$C$2:$C3446, 0)),if(G1420='Room Info'!$D$1, INDEX('Room Info'!$A$2:$A3446, MATCH(B1420,'Room Info'!$D$2:$D3446, 0)),if(G1420='Room Info'!$E$1, INDEX('Room Info'!$A$2:$A3446, MATCH(B1420,'Room Info'!$E$2:$E3446, 0)),if(G1420='Room Info'!$F$1, INDEX('Room Info'!$A$2:$A3446, MATCH(B1420,'Room Info'!$F$2:$F3446, 0)),if(G1420='Room Info'!$H$1, INDEX('Room Info'!$A$2:$A3446, MATCH(B1420,'Room Info'!$H$2:$H3446, 0)),if(G1420='Room Info'!$G$1, INDEX('Room Info'!$A$2:$A3446, MATCH(B1420,'Room Info'!$G$2:$G3446, 0)))))))))</f>
        <v>fig6</v>
      </c>
      <c r="B1420" s="23" t="s">
        <v>195</v>
      </c>
      <c r="C1420" s="24">
        <v>44947.0</v>
      </c>
      <c r="D1420" s="25">
        <v>44977.0</v>
      </c>
      <c r="E1420" s="26">
        <v>44958.0</v>
      </c>
      <c r="F1420" s="45" t="s">
        <v>4</v>
      </c>
      <c r="G1420" s="23" t="s">
        <v>5</v>
      </c>
      <c r="H1420" s="28" t="s">
        <v>97</v>
      </c>
      <c r="I1420" s="28" t="s">
        <v>11</v>
      </c>
      <c r="J1420" s="44">
        <f t="shared" si="203"/>
        <v>250</v>
      </c>
      <c r="K1420" s="93">
        <v>1165.0</v>
      </c>
      <c r="L1420" s="94">
        <v>4250.0</v>
      </c>
      <c r="M1420" s="32"/>
      <c r="N1420" s="33">
        <f t="shared" si="155"/>
        <v>291250</v>
      </c>
      <c r="O1420" s="90">
        <v>14751.0</v>
      </c>
      <c r="P1420" s="34">
        <f t="shared" si="14"/>
        <v>12.66180258</v>
      </c>
      <c r="Q1420" s="35"/>
      <c r="R1420" s="36">
        <f t="shared" si="196"/>
        <v>0</v>
      </c>
      <c r="S1420" s="33"/>
      <c r="T1420" s="37">
        <f t="shared" si="204"/>
        <v>0</v>
      </c>
      <c r="U1420" s="38">
        <v>1.067</v>
      </c>
      <c r="V1420" s="39"/>
      <c r="W1420" s="39"/>
      <c r="X1420" s="35">
        <f t="shared" si="205"/>
        <v>0.1125</v>
      </c>
      <c r="Y1420" s="35">
        <f t="shared" si="206"/>
        <v>0.0375</v>
      </c>
      <c r="Z1420" s="40">
        <f t="shared" si="207"/>
        <v>0</v>
      </c>
      <c r="AA1420" s="34">
        <f t="shared" si="208"/>
        <v>0</v>
      </c>
      <c r="AB1420" s="41">
        <f t="shared" si="209"/>
        <v>0</v>
      </c>
      <c r="AC1420" s="42" t="b">
        <v>1</v>
      </c>
      <c r="AD1420" s="87" t="str">
        <f t="shared" si="210"/>
        <v>USD</v>
      </c>
      <c r="AE1420" s="88" t="s">
        <v>138</v>
      </c>
      <c r="AF1420" s="88" t="str">
        <f t="array" ref="AF1420">INDEX('Deal Info'!D:D, MATCH(A1420,'Deal Info'!A:A, 0))</f>
        <v>Fix11.25</v>
      </c>
      <c r="AG1420" s="88" t="str">
        <f t="array" ref="AG1420">INDEX('Deal Info'!G:G, MATCH(A1420,'Deal Info'!A:A, 0))</f>
        <v>Fix3.75</v>
      </c>
    </row>
    <row r="1421" hidden="1">
      <c r="A1421" s="23" t="str">
        <f t="array" ref="A1421">if(G1421='Room Info'!$B$1, INDEX('Room Info'!$A$2:$A3446, MATCH(B1421,'Room Info'!$B$2:$B3446, 0)),if(G1421='Room Info'!$C$1, INDEX('Room Info'!$A$2:$A3446, MATCH(B1421,'Room Info'!$C$2:$C3446, 0)),if(G1421='Room Info'!$D$1, INDEX('Room Info'!$A$2:$A3446, MATCH(B1421,'Room Info'!$D$2:$D3446, 0)),if(G1421='Room Info'!$E$1, INDEX('Room Info'!$A$2:$A3446, MATCH(B1421,'Room Info'!$E$2:$E3446, 0)),if(G1421='Room Info'!$F$1, INDEX('Room Info'!$A$2:$A3446, MATCH(B1421,'Room Info'!$F$2:$F3446, 0)),if(G1421='Room Info'!$H$1, INDEX('Room Info'!$A$2:$A3446, MATCH(B1421,'Room Info'!$H$2:$H3446, 0)),if(G1421='Room Info'!$G$1, INDEX('Room Info'!$A$2:$A3446, MATCH(B1421,'Room Info'!$G$2:$G3446, 0)))))))))</f>
        <v>fig6</v>
      </c>
      <c r="B1421" s="23" t="s">
        <v>195</v>
      </c>
      <c r="C1421" s="24">
        <v>44947.0</v>
      </c>
      <c r="D1421" s="25">
        <v>44977.0</v>
      </c>
      <c r="E1421" s="26">
        <v>44958.0</v>
      </c>
      <c r="F1421" s="27" t="s">
        <v>12</v>
      </c>
      <c r="G1421" s="23" t="s">
        <v>5</v>
      </c>
      <c r="H1421" s="28" t="s">
        <v>100</v>
      </c>
      <c r="I1421" s="28" t="s">
        <v>15</v>
      </c>
      <c r="J1421" s="44">
        <f t="shared" si="203"/>
        <v>300</v>
      </c>
      <c r="K1421" s="93">
        <v>2.0</v>
      </c>
      <c r="L1421" s="94">
        <v>-600.0</v>
      </c>
      <c r="M1421" s="32"/>
      <c r="N1421" s="33">
        <f t="shared" si="155"/>
        <v>600</v>
      </c>
      <c r="O1421" s="23"/>
      <c r="P1421" s="34">
        <f t="shared" si="14"/>
        <v>0</v>
      </c>
      <c r="Q1421" s="35"/>
      <c r="R1421" s="36">
        <f t="shared" si="196"/>
        <v>0</v>
      </c>
      <c r="S1421" s="33"/>
      <c r="T1421" s="37">
        <f t="shared" si="204"/>
        <v>-600</v>
      </c>
      <c r="U1421" s="38">
        <v>1.067</v>
      </c>
      <c r="V1421" s="39"/>
      <c r="W1421" s="39"/>
      <c r="X1421" s="35">
        <f t="shared" si="205"/>
        <v>0.1125</v>
      </c>
      <c r="Y1421" s="35">
        <f t="shared" si="206"/>
        <v>0.0375</v>
      </c>
      <c r="Z1421" s="40">
        <f t="shared" si="207"/>
        <v>-510</v>
      </c>
      <c r="AA1421" s="34">
        <f t="shared" si="208"/>
        <v>-67.5</v>
      </c>
      <c r="AB1421" s="41">
        <f t="shared" si="209"/>
        <v>-22.5</v>
      </c>
      <c r="AC1421" s="42" t="b">
        <v>1</v>
      </c>
      <c r="AD1421" s="87" t="str">
        <f t="shared" si="210"/>
        <v>USD</v>
      </c>
      <c r="AE1421" s="88" t="s">
        <v>138</v>
      </c>
      <c r="AF1421" s="88" t="str">
        <f t="array" ref="AF1421">INDEX('Deal Info'!D:D, MATCH(A1421,'Deal Info'!A:A, 0))</f>
        <v>Fix11.25</v>
      </c>
      <c r="AG1421" s="88" t="str">
        <f t="array" ref="AG1421">INDEX('Deal Info'!G:G, MATCH(A1421,'Deal Info'!A:A, 0))</f>
        <v>Fix3.75</v>
      </c>
    </row>
    <row r="1422" hidden="1">
      <c r="A1422" s="23" t="str">
        <f t="array" ref="A1422">if(G1422='Room Info'!$B$1, INDEX('Room Info'!$A$2:$A3446, MATCH(B1422,'Room Info'!$B$2:$B3446, 0)),if(G1422='Room Info'!$C$1, INDEX('Room Info'!$A$2:$A3446, MATCH(B1422,'Room Info'!$C$2:$C3446, 0)),if(G1422='Room Info'!$D$1, INDEX('Room Info'!$A$2:$A3446, MATCH(B1422,'Room Info'!$D$2:$D3446, 0)),if(G1422='Room Info'!$E$1, INDEX('Room Info'!$A$2:$A3446, MATCH(B1422,'Room Info'!$E$2:$E3446, 0)),if(G1422='Room Info'!$F$1, INDEX('Room Info'!$A$2:$A3446, MATCH(B1422,'Room Info'!$F$2:$F3446, 0)),if(G1422='Room Info'!$H$1, INDEX('Room Info'!$A$2:$A3446, MATCH(B1422,'Room Info'!$H$2:$H3446, 0)),if(G1422='Room Info'!$G$1, INDEX('Room Info'!$A$2:$A3446, MATCH(B1422,'Room Info'!$G$2:$G3446, 0)))))))))</f>
        <v>Fedorovi4</v>
      </c>
      <c r="B1422" s="90" t="s">
        <v>152</v>
      </c>
      <c r="C1422" s="24">
        <v>44947.0</v>
      </c>
      <c r="D1422" s="25">
        <v>44977.0</v>
      </c>
      <c r="E1422" s="26">
        <v>44958.0</v>
      </c>
      <c r="F1422" s="45" t="s">
        <v>4</v>
      </c>
      <c r="G1422" s="23" t="s">
        <v>5</v>
      </c>
      <c r="H1422" s="28" t="s">
        <v>20</v>
      </c>
      <c r="I1422" s="28" t="s">
        <v>7</v>
      </c>
      <c r="J1422" s="44">
        <f t="shared" si="203"/>
        <v>1</v>
      </c>
      <c r="K1422" s="93">
        <v>9.0</v>
      </c>
      <c r="L1422" s="94">
        <v>4.0</v>
      </c>
      <c r="M1422" s="47">
        <v>110.0</v>
      </c>
      <c r="N1422" s="33">
        <f t="shared" si="155"/>
        <v>9</v>
      </c>
      <c r="O1422" s="23"/>
      <c r="P1422" s="34">
        <f t="shared" si="14"/>
        <v>0</v>
      </c>
      <c r="Q1422" s="35"/>
      <c r="R1422" s="36">
        <f t="shared" si="196"/>
        <v>110</v>
      </c>
      <c r="S1422" s="124">
        <v>-579.0</v>
      </c>
      <c r="T1422" s="37">
        <f t="shared" si="204"/>
        <v>-469</v>
      </c>
      <c r="U1422" s="38">
        <v>1.067</v>
      </c>
      <c r="V1422" s="39">
        <v>46.78102189781022</v>
      </c>
      <c r="W1422" s="39">
        <v>-10.025432984865033</v>
      </c>
      <c r="X1422" s="35">
        <f t="shared" si="205"/>
        <v>0.26</v>
      </c>
      <c r="Y1422" s="35">
        <f t="shared" si="206"/>
        <v>0</v>
      </c>
      <c r="Z1422" s="40">
        <f t="shared" si="207"/>
        <v>-347.06</v>
      </c>
      <c r="AA1422" s="34">
        <f t="shared" si="208"/>
        <v>-121.94</v>
      </c>
      <c r="AB1422" s="41">
        <f t="shared" si="209"/>
        <v>0</v>
      </c>
      <c r="AC1422" s="42" t="b">
        <v>0</v>
      </c>
      <c r="AD1422" s="87" t="str">
        <f t="shared" si="210"/>
        <v>USD</v>
      </c>
      <c r="AE1422" s="88" t="s">
        <v>138</v>
      </c>
      <c r="AF1422" s="88" t="str">
        <f t="array" ref="AF1422">INDEX('Deal Info'!D:D, MATCH(A1422,'Deal Info'!A:A, 0))</f>
        <v>SF</v>
      </c>
      <c r="AG1422" s="89" t="str">
        <f t="array" ref="AG1422">INDEX('Deal Info'!G:G, MATCH(A1422,'Deal Info'!A:A, 0))</f>
        <v>None</v>
      </c>
    </row>
    <row r="1423" hidden="1">
      <c r="A1423" s="23" t="str">
        <f t="array" ref="A1423">if(G1423='Room Info'!$B$1, INDEX('Room Info'!$A$2:$A3446, MATCH(B1423,'Room Info'!$B$2:$B3446, 0)),if(G1423='Room Info'!$C$1, INDEX('Room Info'!$A$2:$A3446, MATCH(B1423,'Room Info'!$C$2:$C3446, 0)),if(G1423='Room Info'!$D$1, INDEX('Room Info'!$A$2:$A3446, MATCH(B1423,'Room Info'!$D$2:$D3446, 0)),if(G1423='Room Info'!$E$1, INDEX('Room Info'!$A$2:$A3446, MATCH(B1423,'Room Info'!$E$2:$E3446, 0)),if(G1423='Room Info'!$F$1, INDEX('Room Info'!$A$2:$A3446, MATCH(B1423,'Room Info'!$F$2:$F3446, 0)),if(G1423='Room Info'!$H$1, INDEX('Room Info'!$A$2:$A3446, MATCH(B1423,'Room Info'!$H$2:$H3446, 0)),if(G1423='Room Info'!$G$1, INDEX('Room Info'!$A$2:$A3446, MATCH(B1423,'Room Info'!$G$2:$G3446, 0)))))))))</f>
        <v>Fedorovi4</v>
      </c>
      <c r="B1423" s="90" t="s">
        <v>152</v>
      </c>
      <c r="C1423" s="91">
        <v>44947.0</v>
      </c>
      <c r="D1423" s="92">
        <v>44977.0</v>
      </c>
      <c r="E1423" s="26">
        <v>44958.0</v>
      </c>
      <c r="F1423" s="45" t="s">
        <v>4</v>
      </c>
      <c r="G1423" s="23" t="s">
        <v>5</v>
      </c>
      <c r="H1423" s="28" t="s">
        <v>74</v>
      </c>
      <c r="I1423" s="28" t="s">
        <v>7</v>
      </c>
      <c r="J1423" s="44">
        <f t="shared" si="203"/>
        <v>50</v>
      </c>
      <c r="K1423" s="93">
        <v>128.0</v>
      </c>
      <c r="L1423" s="94">
        <v>1450.0</v>
      </c>
      <c r="M1423" s="32"/>
      <c r="N1423" s="33">
        <f t="shared" si="155"/>
        <v>6400</v>
      </c>
      <c r="O1423" s="90">
        <v>-1898.0</v>
      </c>
      <c r="P1423" s="34">
        <f t="shared" si="14"/>
        <v>-14.828125</v>
      </c>
      <c r="Q1423" s="35"/>
      <c r="R1423" s="36">
        <f t="shared" si="196"/>
        <v>0</v>
      </c>
      <c r="S1423" s="33"/>
      <c r="T1423" s="37">
        <f t="shared" si="204"/>
        <v>0</v>
      </c>
      <c r="U1423" s="38">
        <v>1.067</v>
      </c>
      <c r="V1423" s="39">
        <v>46.78102189781022</v>
      </c>
      <c r="W1423" s="39">
        <v>-10.025432984865033</v>
      </c>
      <c r="X1423" s="35">
        <f t="shared" si="205"/>
        <v>0.26</v>
      </c>
      <c r="Y1423" s="35">
        <f t="shared" si="206"/>
        <v>0</v>
      </c>
      <c r="Z1423" s="40">
        <f t="shared" si="207"/>
        <v>0</v>
      </c>
      <c r="AA1423" s="34">
        <f t="shared" si="208"/>
        <v>0</v>
      </c>
      <c r="AB1423" s="41">
        <f t="shared" si="209"/>
        <v>0</v>
      </c>
      <c r="AC1423" s="42" t="b">
        <v>0</v>
      </c>
      <c r="AD1423" s="87" t="str">
        <f t="shared" si="210"/>
        <v>USD</v>
      </c>
      <c r="AE1423" s="88" t="s">
        <v>138</v>
      </c>
      <c r="AF1423" s="88" t="str">
        <f t="array" ref="AF1423">INDEX('Deal Info'!D:D, MATCH(A1423,'Deal Info'!A:A, 0))</f>
        <v>SF</v>
      </c>
      <c r="AG1423" s="89" t="str">
        <f t="array" ref="AG1423">INDEX('Deal Info'!G:G, MATCH(A1423,'Deal Info'!A:A, 0))</f>
        <v>None</v>
      </c>
    </row>
    <row r="1424" hidden="1">
      <c r="A1424" s="23" t="str">
        <f t="array" ref="A1424">if(G1424='Room Info'!$B$1, INDEX('Room Info'!$A$2:$A3446, MATCH(B1424,'Room Info'!$B$2:$B3446, 0)),if(G1424='Room Info'!$C$1, INDEX('Room Info'!$A$2:$A3446, MATCH(B1424,'Room Info'!$C$2:$C3446, 0)),if(G1424='Room Info'!$D$1, INDEX('Room Info'!$A$2:$A3446, MATCH(B1424,'Room Info'!$D$2:$D3446, 0)),if(G1424='Room Info'!$E$1, INDEX('Room Info'!$A$2:$A3446, MATCH(B1424,'Room Info'!$E$2:$E3446, 0)),if(G1424='Room Info'!$F$1, INDEX('Room Info'!$A$2:$A3446, MATCH(B1424,'Room Info'!$F$2:$F3446, 0)),if(G1424='Room Info'!$H$1, INDEX('Room Info'!$A$2:$A3446, MATCH(B1424,'Room Info'!$H$2:$H3446, 0)),if(G1424='Room Info'!$G$1, INDEX('Room Info'!$A$2:$A3446, MATCH(B1424,'Room Info'!$G$2:$G3446, 0)))))))))</f>
        <v>AlexanderDSL</v>
      </c>
      <c r="B1424" s="90" t="s">
        <v>148</v>
      </c>
      <c r="C1424" s="91">
        <v>44947.0</v>
      </c>
      <c r="D1424" s="92">
        <v>44977.0</v>
      </c>
      <c r="E1424" s="26">
        <v>44958.0</v>
      </c>
      <c r="F1424" s="27" t="s">
        <v>4</v>
      </c>
      <c r="G1424" s="23" t="s">
        <v>5</v>
      </c>
      <c r="H1424" s="28" t="s">
        <v>85</v>
      </c>
      <c r="I1424" s="28" t="s">
        <v>7</v>
      </c>
      <c r="J1424" s="44">
        <f t="shared" si="203"/>
        <v>100</v>
      </c>
      <c r="K1424" s="93">
        <v>3206.0</v>
      </c>
      <c r="L1424" s="94">
        <v>-10000.0</v>
      </c>
      <c r="M1424" s="47">
        <v>12950.0</v>
      </c>
      <c r="N1424" s="33">
        <f t="shared" si="155"/>
        <v>320600</v>
      </c>
      <c r="O1424" s="90">
        <v>29082.0</v>
      </c>
      <c r="P1424" s="34">
        <f t="shared" si="14"/>
        <v>9.071116656</v>
      </c>
      <c r="Q1424" s="35"/>
      <c r="R1424" s="36">
        <f t="shared" si="196"/>
        <v>12950</v>
      </c>
      <c r="S1424" s="124">
        <v>-14069.0</v>
      </c>
      <c r="T1424" s="37">
        <f t="shared" si="204"/>
        <v>-1119</v>
      </c>
      <c r="U1424" s="38">
        <v>1.067</v>
      </c>
      <c r="V1424" s="39"/>
      <c r="W1424" s="39"/>
      <c r="X1424" s="35">
        <f t="shared" si="205"/>
        <v>0.15</v>
      </c>
      <c r="Y1424" s="35">
        <f t="shared" si="206"/>
        <v>0.05</v>
      </c>
      <c r="Z1424" s="40">
        <f t="shared" si="207"/>
        <v>-895.2</v>
      </c>
      <c r="AA1424" s="34">
        <f t="shared" si="208"/>
        <v>-167.85</v>
      </c>
      <c r="AB1424" s="41">
        <f t="shared" si="209"/>
        <v>-55.95</v>
      </c>
      <c r="AC1424" s="66" t="b">
        <v>1</v>
      </c>
      <c r="AD1424" s="87" t="str">
        <f t="shared" si="210"/>
        <v>USD</v>
      </c>
      <c r="AE1424" s="88" t="s">
        <v>138</v>
      </c>
      <c r="AF1424" s="88" t="str">
        <f t="array" ref="AF1424">INDEX('Deal Info'!D:D, MATCH(A1424,'Deal Info'!A:A, 0))</f>
        <v>Fix15</v>
      </c>
      <c r="AG1424" s="89" t="str">
        <f t="array" ref="AG1424">INDEX('Deal Info'!G:G, MATCH(A1424,'Deal Info'!A:A, 0))</f>
        <v>Fix5</v>
      </c>
    </row>
    <row r="1425" hidden="1">
      <c r="A1425" s="23" t="str">
        <f t="array" ref="A1425">if(G1425='Room Info'!$B$1, INDEX('Room Info'!$A$2:$A3446, MATCH(B1425,'Room Info'!$B$2:$B3446, 0)),if(G1425='Room Info'!$C$1, INDEX('Room Info'!$A$2:$A3446, MATCH(B1425,'Room Info'!$C$2:$C3446, 0)),if(G1425='Room Info'!$D$1, INDEX('Room Info'!$A$2:$A3446, MATCH(B1425,'Room Info'!$D$2:$D3446, 0)),if(G1425='Room Info'!$E$1, INDEX('Room Info'!$A$2:$A3446, MATCH(B1425,'Room Info'!$E$2:$E3446, 0)),if(G1425='Room Info'!$F$1, INDEX('Room Info'!$A$2:$A3446, MATCH(B1425,'Room Info'!$F$2:$F3446, 0)),if(G1425='Room Info'!$H$1, INDEX('Room Info'!$A$2:$A3446, MATCH(B1425,'Room Info'!$H$2:$H3446, 0)),if(G1425='Room Info'!$G$1, INDEX('Room Info'!$A$2:$A3446, MATCH(B1425,'Room Info'!$G$2:$G3446, 0)))))))))</f>
        <v>AlexanderDSL</v>
      </c>
      <c r="B1425" s="90" t="s">
        <v>148</v>
      </c>
      <c r="C1425" s="91">
        <v>44947.0</v>
      </c>
      <c r="D1425" s="92">
        <v>44977.0</v>
      </c>
      <c r="E1425" s="26">
        <v>44958.0</v>
      </c>
      <c r="F1425" s="27" t="s">
        <v>4</v>
      </c>
      <c r="G1425" s="23" t="s">
        <v>5</v>
      </c>
      <c r="H1425" s="28" t="s">
        <v>86</v>
      </c>
      <c r="I1425" s="28" t="s">
        <v>11</v>
      </c>
      <c r="J1425" s="44">
        <f t="shared" si="203"/>
        <v>100</v>
      </c>
      <c r="K1425" s="93">
        <v>194.0</v>
      </c>
      <c r="L1425" s="94">
        <v>-1600.0</v>
      </c>
      <c r="M1425" s="32"/>
      <c r="N1425" s="33">
        <f t="shared" si="155"/>
        <v>19400</v>
      </c>
      <c r="O1425" s="90">
        <v>-4892.0</v>
      </c>
      <c r="P1425" s="34">
        <f t="shared" si="14"/>
        <v>-25.21649485</v>
      </c>
      <c r="Q1425" s="35"/>
      <c r="R1425" s="36">
        <f t="shared" si="196"/>
        <v>0</v>
      </c>
      <c r="S1425" s="33"/>
      <c r="T1425" s="37">
        <f t="shared" si="204"/>
        <v>0</v>
      </c>
      <c r="U1425" s="38">
        <v>1.067</v>
      </c>
      <c r="V1425" s="39"/>
      <c r="W1425" s="39"/>
      <c r="X1425" s="35">
        <f t="shared" si="205"/>
        <v>0.15</v>
      </c>
      <c r="Y1425" s="35">
        <f t="shared" si="206"/>
        <v>0.05</v>
      </c>
      <c r="Z1425" s="40">
        <f t="shared" si="207"/>
        <v>0</v>
      </c>
      <c r="AA1425" s="34">
        <f t="shared" si="208"/>
        <v>0</v>
      </c>
      <c r="AB1425" s="41">
        <f t="shared" si="209"/>
        <v>0</v>
      </c>
      <c r="AC1425" s="66" t="b">
        <v>1</v>
      </c>
      <c r="AD1425" s="87" t="str">
        <f t="shared" si="210"/>
        <v>USD</v>
      </c>
      <c r="AE1425" s="88" t="s">
        <v>138</v>
      </c>
      <c r="AF1425" s="88" t="str">
        <f t="array" ref="AF1425">INDEX('Deal Info'!D:D, MATCH(A1425,'Deal Info'!A:A, 0))</f>
        <v>Fix15</v>
      </c>
      <c r="AG1425" s="89" t="str">
        <f t="array" ref="AG1425">INDEX('Deal Info'!G:G, MATCH(A1425,'Deal Info'!A:A, 0))</f>
        <v>Fix5</v>
      </c>
    </row>
    <row r="1426" hidden="1">
      <c r="A1426" s="23" t="str">
        <f t="array" ref="A1426">if(G1426='Room Info'!$B$1, INDEX('Room Info'!$A$2:$A3446, MATCH(B1426,'Room Info'!$B$2:$B3446, 0)),if(G1426='Room Info'!$C$1, INDEX('Room Info'!$A$2:$A3446, MATCH(B1426,'Room Info'!$C$2:$C3446, 0)),if(G1426='Room Info'!$D$1, INDEX('Room Info'!$A$2:$A3446, MATCH(B1426,'Room Info'!$D$2:$D3446, 0)),if(G1426='Room Info'!$E$1, INDEX('Room Info'!$A$2:$A3446, MATCH(B1426,'Room Info'!$E$2:$E3446, 0)),if(G1426='Room Info'!$F$1, INDEX('Room Info'!$A$2:$A3446, MATCH(B1426,'Room Info'!$F$2:$F3446, 0)),if(G1426='Room Info'!$H$1, INDEX('Room Info'!$A$2:$A3446, MATCH(B1426,'Room Info'!$H$2:$H3446, 0)),if(G1426='Room Info'!$G$1, INDEX('Room Info'!$A$2:$A3446, MATCH(B1426,'Room Info'!$G$2:$G3446, 0)))))))))</f>
        <v>barabashOva</v>
      </c>
      <c r="B1426" s="90" t="s">
        <v>219</v>
      </c>
      <c r="C1426" s="91">
        <v>44947.0</v>
      </c>
      <c r="D1426" s="92">
        <v>44977.0</v>
      </c>
      <c r="E1426" s="26">
        <v>44958.0</v>
      </c>
      <c r="F1426" s="27" t="s">
        <v>4</v>
      </c>
      <c r="G1426" s="23" t="s">
        <v>5</v>
      </c>
      <c r="H1426" s="28" t="s">
        <v>45</v>
      </c>
      <c r="I1426" s="28" t="s">
        <v>7</v>
      </c>
      <c r="J1426" s="44">
        <f t="shared" si="203"/>
        <v>10</v>
      </c>
      <c r="K1426" s="93">
        <v>4048.0</v>
      </c>
      <c r="L1426" s="94">
        <v>830.0</v>
      </c>
      <c r="M1426" s="47">
        <v>2010.0</v>
      </c>
      <c r="N1426" s="33">
        <f t="shared" si="155"/>
        <v>40480</v>
      </c>
      <c r="O1426" s="90">
        <v>167515.0</v>
      </c>
      <c r="P1426" s="34">
        <f t="shared" si="14"/>
        <v>41.38216403</v>
      </c>
      <c r="Q1426" s="35"/>
      <c r="R1426" s="36">
        <f t="shared" si="196"/>
        <v>2010</v>
      </c>
      <c r="S1426" s="124">
        <v>121.0</v>
      </c>
      <c r="T1426" s="37">
        <f t="shared" si="204"/>
        <v>2131</v>
      </c>
      <c r="U1426" s="38">
        <v>1.067</v>
      </c>
      <c r="V1426" s="39">
        <v>10.0</v>
      </c>
      <c r="W1426" s="39">
        <v>213.0</v>
      </c>
      <c r="X1426" s="35">
        <f t="shared" si="205"/>
        <v>0.15</v>
      </c>
      <c r="Y1426" s="35">
        <f t="shared" si="206"/>
        <v>0</v>
      </c>
      <c r="Z1426" s="40">
        <f t="shared" si="207"/>
        <v>1811.35</v>
      </c>
      <c r="AA1426" s="34">
        <f t="shared" si="208"/>
        <v>319.65</v>
      </c>
      <c r="AB1426" s="41">
        <f t="shared" si="209"/>
        <v>0</v>
      </c>
      <c r="AC1426" s="42" t="b">
        <v>1</v>
      </c>
      <c r="AD1426" s="87" t="str">
        <f t="shared" si="210"/>
        <v>USD</v>
      </c>
      <c r="AE1426" s="88" t="s">
        <v>138</v>
      </c>
      <c r="AF1426" s="88" t="str">
        <f t="array" ref="AF1426">INDEX('Deal Info'!D:D, MATCH(A1426,'Deal Info'!A:A, 0))</f>
        <v>DoEVba</v>
      </c>
      <c r="AG1426" s="89" t="str">
        <f t="array" ref="AG1426">INDEX('Deal Info'!G:G, MATCH(A1426,'Deal Info'!A:A, 0))</f>
        <v>None</v>
      </c>
    </row>
    <row r="1427" hidden="1">
      <c r="A1427" s="23" t="str">
        <f t="array" ref="A1427">if(G1427='Room Info'!$B$1, INDEX('Room Info'!$A$2:$A3446, MATCH(B1427,'Room Info'!$B$2:$B3446, 0)),if(G1427='Room Info'!$C$1, INDEX('Room Info'!$A$2:$A3446, MATCH(B1427,'Room Info'!$C$2:$C3446, 0)),if(G1427='Room Info'!$D$1, INDEX('Room Info'!$A$2:$A3446, MATCH(B1427,'Room Info'!$D$2:$D3446, 0)),if(G1427='Room Info'!$E$1, INDEX('Room Info'!$A$2:$A3446, MATCH(B1427,'Room Info'!$E$2:$E3446, 0)),if(G1427='Room Info'!$F$1, INDEX('Room Info'!$A$2:$A3446, MATCH(B1427,'Room Info'!$F$2:$F3446, 0)),if(G1427='Room Info'!$H$1, INDEX('Room Info'!$A$2:$A3446, MATCH(B1427,'Room Info'!$H$2:$H3446, 0)),if(G1427='Room Info'!$G$1, INDEX('Room Info'!$A$2:$A3446, MATCH(B1427,'Room Info'!$G$2:$G3446, 0)))))))))</f>
        <v>Farodit</v>
      </c>
      <c r="B1427" s="90" t="s">
        <v>220</v>
      </c>
      <c r="C1427" s="91">
        <v>44947.0</v>
      </c>
      <c r="D1427" s="92">
        <v>44977.0</v>
      </c>
      <c r="E1427" s="26">
        <v>44958.0</v>
      </c>
      <c r="F1427" s="27" t="s">
        <v>4</v>
      </c>
      <c r="G1427" s="23" t="s">
        <v>5</v>
      </c>
      <c r="H1427" s="28" t="s">
        <v>45</v>
      </c>
      <c r="I1427" s="28" t="s">
        <v>7</v>
      </c>
      <c r="J1427" s="44">
        <f t="shared" si="203"/>
        <v>10</v>
      </c>
      <c r="K1427" s="93">
        <v>98.0</v>
      </c>
      <c r="L1427" s="94">
        <v>20.0</v>
      </c>
      <c r="M1427" s="47">
        <v>20.0</v>
      </c>
      <c r="N1427" s="33">
        <f t="shared" si="155"/>
        <v>980</v>
      </c>
      <c r="O1427" s="90">
        <v>1668.0</v>
      </c>
      <c r="P1427" s="34">
        <f t="shared" si="14"/>
        <v>17.02040816</v>
      </c>
      <c r="Q1427" s="35"/>
      <c r="R1427" s="36">
        <f t="shared" si="196"/>
        <v>20</v>
      </c>
      <c r="S1427" s="124">
        <v>2357.0</v>
      </c>
      <c r="T1427" s="37">
        <f t="shared" si="204"/>
        <v>2377</v>
      </c>
      <c r="U1427" s="38">
        <v>1.067</v>
      </c>
      <c r="V1427" s="39">
        <v>22.48961218836565</v>
      </c>
      <c r="W1427" s="39">
        <v>105.69324095458045</v>
      </c>
      <c r="X1427" s="35">
        <f t="shared" si="205"/>
        <v>0.17</v>
      </c>
      <c r="Y1427" s="35">
        <f t="shared" si="206"/>
        <v>0</v>
      </c>
      <c r="Z1427" s="40">
        <f t="shared" si="207"/>
        <v>1972.91</v>
      </c>
      <c r="AA1427" s="34">
        <f t="shared" si="208"/>
        <v>404.09</v>
      </c>
      <c r="AB1427" s="41">
        <f t="shared" si="209"/>
        <v>0</v>
      </c>
      <c r="AC1427" s="42" t="b">
        <v>1</v>
      </c>
      <c r="AD1427" s="87" t="str">
        <f t="shared" si="210"/>
        <v>USD</v>
      </c>
      <c r="AE1427" s="88" t="s">
        <v>138</v>
      </c>
      <c r="AF1427" s="88" t="str">
        <f t="array" ref="AF1427">INDEX('Deal Info'!D:D, MATCH(A1427,'Deal Info'!A:A, 0))</f>
        <v>DoEV</v>
      </c>
      <c r="AG1427" s="89" t="str">
        <f t="array" ref="AG1427">INDEX('Deal Info'!G:G, MATCH(A1427,'Deal Info'!A:A, 0))</f>
        <v>None</v>
      </c>
    </row>
    <row r="1428" hidden="1">
      <c r="A1428" s="23" t="str">
        <f t="array" ref="A1428">if(G1428='Room Info'!$B$1, INDEX('Room Info'!$A$2:$A3446, MATCH(B1428,'Room Info'!$B$2:$B3446, 0)),if(G1428='Room Info'!$C$1, INDEX('Room Info'!$A$2:$A3446, MATCH(B1428,'Room Info'!$C$2:$C3446, 0)),if(G1428='Room Info'!$D$1, INDEX('Room Info'!$A$2:$A3446, MATCH(B1428,'Room Info'!$D$2:$D3446, 0)),if(G1428='Room Info'!$E$1, INDEX('Room Info'!$A$2:$A3446, MATCH(B1428,'Room Info'!$E$2:$E3446, 0)),if(G1428='Room Info'!$F$1, INDEX('Room Info'!$A$2:$A3446, MATCH(B1428,'Room Info'!$F$2:$F3446, 0)),if(G1428='Room Info'!$H$1, INDEX('Room Info'!$A$2:$A3446, MATCH(B1428,'Room Info'!$H$2:$H3446, 0)),if(G1428='Room Info'!$G$1, INDEX('Room Info'!$A$2:$A3446, MATCH(B1428,'Room Info'!$G$2:$G3446, 0)))))))))</f>
        <v>Farodit</v>
      </c>
      <c r="B1428" s="90" t="s">
        <v>194</v>
      </c>
      <c r="C1428" s="91">
        <v>44947.0</v>
      </c>
      <c r="D1428" s="92">
        <v>44977.0</v>
      </c>
      <c r="E1428" s="26">
        <v>44958.0</v>
      </c>
      <c r="F1428" s="27" t="s">
        <v>4</v>
      </c>
      <c r="G1428" s="23" t="s">
        <v>22</v>
      </c>
      <c r="H1428" s="125" t="s">
        <v>40</v>
      </c>
      <c r="I1428" s="28" t="s">
        <v>7</v>
      </c>
      <c r="J1428" s="44">
        <f t="shared" si="203"/>
        <v>5</v>
      </c>
      <c r="K1428" s="93">
        <v>1.0</v>
      </c>
      <c r="L1428" s="94">
        <v>-5.0</v>
      </c>
      <c r="M1428" s="32"/>
      <c r="N1428" s="33">
        <f t="shared" si="155"/>
        <v>5</v>
      </c>
      <c r="O1428" s="23"/>
      <c r="P1428" s="34">
        <f t="shared" si="14"/>
        <v>0</v>
      </c>
      <c r="Q1428" s="35"/>
      <c r="R1428" s="36">
        <f t="shared" si="196"/>
        <v>0</v>
      </c>
      <c r="S1428" s="33"/>
      <c r="T1428" s="37">
        <f t="shared" si="204"/>
        <v>0</v>
      </c>
      <c r="U1428" s="38">
        <v>1.067</v>
      </c>
      <c r="V1428" s="39">
        <v>22.48961218836565</v>
      </c>
      <c r="W1428" s="39">
        <v>105.69324095458045</v>
      </c>
      <c r="X1428" s="35">
        <f t="shared" si="205"/>
        <v>0.17</v>
      </c>
      <c r="Y1428" s="35">
        <f t="shared" si="206"/>
        <v>0</v>
      </c>
      <c r="Z1428" s="40">
        <f t="shared" si="207"/>
        <v>0</v>
      </c>
      <c r="AA1428" s="34">
        <f t="shared" si="208"/>
        <v>0</v>
      </c>
      <c r="AB1428" s="41">
        <f t="shared" si="209"/>
        <v>0</v>
      </c>
      <c r="AC1428" s="42" t="b">
        <v>1</v>
      </c>
      <c r="AD1428" s="87" t="str">
        <f t="shared" si="210"/>
        <v>EUR</v>
      </c>
      <c r="AE1428" s="88" t="s">
        <v>138</v>
      </c>
      <c r="AF1428" s="88" t="str">
        <f t="array" ref="AF1428">INDEX('Deal Info'!D:D, MATCH(A1428,'Deal Info'!A:A, 0))</f>
        <v>DoEV</v>
      </c>
      <c r="AG1428" s="89" t="str">
        <f t="array" ref="AG1428">INDEX('Deal Info'!G:G, MATCH(A1428,'Deal Info'!A:A, 0))</f>
        <v>None</v>
      </c>
    </row>
    <row r="1429" hidden="1">
      <c r="A1429" s="23" t="str">
        <f t="array" ref="A1429">if(G1429='Room Info'!$B$1, INDEX('Room Info'!$A$2:$A3446, MATCH(B1429,'Room Info'!$B$2:$B3446, 0)),if(G1429='Room Info'!$C$1, INDEX('Room Info'!$A$2:$A3446, MATCH(B1429,'Room Info'!$C$2:$C3446, 0)),if(G1429='Room Info'!$D$1, INDEX('Room Info'!$A$2:$A3446, MATCH(B1429,'Room Info'!$D$2:$D3446, 0)),if(G1429='Room Info'!$E$1, INDEX('Room Info'!$A$2:$A3446, MATCH(B1429,'Room Info'!$E$2:$E3446, 0)),if(G1429='Room Info'!$F$1, INDEX('Room Info'!$A$2:$A3446, MATCH(B1429,'Room Info'!$F$2:$F3446, 0)),if(G1429='Room Info'!$H$1, INDEX('Room Info'!$A$2:$A3446, MATCH(B1429,'Room Info'!$H$2:$H3446, 0)),if(G1429='Room Info'!$G$1, INDEX('Room Info'!$A$2:$A3446, MATCH(B1429,'Room Info'!$G$2:$G3446, 0)))))))))</f>
        <v>Farodit</v>
      </c>
      <c r="B1429" s="90" t="s">
        <v>194</v>
      </c>
      <c r="C1429" s="91">
        <v>44947.0</v>
      </c>
      <c r="D1429" s="92">
        <v>44977.0</v>
      </c>
      <c r="E1429" s="26">
        <v>44958.0</v>
      </c>
      <c r="F1429" s="27" t="s">
        <v>4</v>
      </c>
      <c r="G1429" s="23" t="s">
        <v>22</v>
      </c>
      <c r="H1429" s="125" t="s">
        <v>51</v>
      </c>
      <c r="I1429" s="28" t="s">
        <v>7</v>
      </c>
      <c r="J1429" s="44">
        <f t="shared" si="203"/>
        <v>10</v>
      </c>
      <c r="K1429" s="93">
        <v>384.0</v>
      </c>
      <c r="L1429" s="94">
        <v>30.0</v>
      </c>
      <c r="M1429" s="32"/>
      <c r="N1429" s="33">
        <f t="shared" si="155"/>
        <v>3840</v>
      </c>
      <c r="O1429" s="90">
        <v>32074.0</v>
      </c>
      <c r="P1429" s="34">
        <f t="shared" si="14"/>
        <v>83.52604167</v>
      </c>
      <c r="Q1429" s="35"/>
      <c r="R1429" s="36">
        <f t="shared" si="196"/>
        <v>0</v>
      </c>
      <c r="S1429" s="33"/>
      <c r="T1429" s="37">
        <f t="shared" si="204"/>
        <v>0</v>
      </c>
      <c r="U1429" s="38">
        <v>1.067</v>
      </c>
      <c r="V1429" s="39">
        <v>22.48961218836565</v>
      </c>
      <c r="W1429" s="39">
        <v>105.69324095458045</v>
      </c>
      <c r="X1429" s="35">
        <f t="shared" si="205"/>
        <v>0.17</v>
      </c>
      <c r="Y1429" s="35">
        <f t="shared" si="206"/>
        <v>0</v>
      </c>
      <c r="Z1429" s="40">
        <f t="shared" si="207"/>
        <v>0</v>
      </c>
      <c r="AA1429" s="34">
        <f t="shared" si="208"/>
        <v>0</v>
      </c>
      <c r="AB1429" s="41">
        <f t="shared" si="209"/>
        <v>0</v>
      </c>
      <c r="AC1429" s="42" t="b">
        <v>1</v>
      </c>
      <c r="AD1429" s="87" t="str">
        <f t="shared" si="210"/>
        <v>EUR</v>
      </c>
      <c r="AE1429" s="88" t="s">
        <v>138</v>
      </c>
      <c r="AF1429" s="88" t="str">
        <f t="array" ref="AF1429">INDEX('Deal Info'!D:D, MATCH(A1429,'Deal Info'!A:A, 0))</f>
        <v>DoEV</v>
      </c>
      <c r="AG1429" s="89" t="str">
        <f t="array" ref="AG1429">INDEX('Deal Info'!G:G, MATCH(A1429,'Deal Info'!A:A, 0))</f>
        <v>None</v>
      </c>
    </row>
    <row r="1430" hidden="1">
      <c r="A1430" s="23" t="str">
        <f t="array" ref="A1430">if(G1430='Room Info'!$B$1, INDEX('Room Info'!$A$2:$A3446, MATCH(B1430,'Room Info'!$B$2:$B3446, 0)),if(G1430='Room Info'!$C$1, INDEX('Room Info'!$A$2:$A3446, MATCH(B1430,'Room Info'!$C$2:$C3446, 0)),if(G1430='Room Info'!$D$1, INDEX('Room Info'!$A$2:$A3446, MATCH(B1430,'Room Info'!$D$2:$D3446, 0)),if(G1430='Room Info'!$E$1, INDEX('Room Info'!$A$2:$A3446, MATCH(B1430,'Room Info'!$E$2:$E3446, 0)),if(G1430='Room Info'!$F$1, INDEX('Room Info'!$A$2:$A3446, MATCH(B1430,'Room Info'!$F$2:$F3446, 0)),if(G1430='Room Info'!$H$1, INDEX('Room Info'!$A$2:$A3446, MATCH(B1430,'Room Info'!$H$2:$H3446, 0)),if(G1430='Room Info'!$G$1, INDEX('Room Info'!$A$2:$A3446, MATCH(B1430,'Room Info'!$G$2:$G3446, 0)))))))))</f>
        <v>Farodit</v>
      </c>
      <c r="B1430" s="90" t="s">
        <v>194</v>
      </c>
      <c r="C1430" s="91">
        <v>44947.0</v>
      </c>
      <c r="D1430" s="92">
        <v>44977.0</v>
      </c>
      <c r="E1430" s="26">
        <v>44958.0</v>
      </c>
      <c r="F1430" s="27" t="s">
        <v>4</v>
      </c>
      <c r="G1430" s="23" t="s">
        <v>22</v>
      </c>
      <c r="H1430" s="125" t="s">
        <v>64</v>
      </c>
      <c r="I1430" s="28" t="s">
        <v>7</v>
      </c>
      <c r="J1430" s="44">
        <f t="shared" si="203"/>
        <v>25</v>
      </c>
      <c r="K1430" s="93">
        <v>2405.0</v>
      </c>
      <c r="L1430" s="94">
        <v>-325.0</v>
      </c>
      <c r="M1430" s="32"/>
      <c r="N1430" s="33">
        <f t="shared" si="155"/>
        <v>60125</v>
      </c>
      <c r="O1430" s="90">
        <v>138222.0</v>
      </c>
      <c r="P1430" s="34">
        <f t="shared" si="14"/>
        <v>57.47276507</v>
      </c>
      <c r="Q1430" s="35"/>
      <c r="R1430" s="36">
        <f t="shared" si="196"/>
        <v>0</v>
      </c>
      <c r="S1430" s="33"/>
      <c r="T1430" s="37">
        <f t="shared" si="204"/>
        <v>0</v>
      </c>
      <c r="U1430" s="38">
        <v>1.067</v>
      </c>
      <c r="V1430" s="39">
        <v>22.48961218836565</v>
      </c>
      <c r="W1430" s="39">
        <v>105.69324095458045</v>
      </c>
      <c r="X1430" s="35">
        <f t="shared" si="205"/>
        <v>0.17</v>
      </c>
      <c r="Y1430" s="35">
        <f t="shared" si="206"/>
        <v>0</v>
      </c>
      <c r="Z1430" s="40">
        <f t="shared" si="207"/>
        <v>0</v>
      </c>
      <c r="AA1430" s="34">
        <f t="shared" si="208"/>
        <v>0</v>
      </c>
      <c r="AB1430" s="41">
        <f t="shared" si="209"/>
        <v>0</v>
      </c>
      <c r="AC1430" s="42" t="b">
        <v>1</v>
      </c>
      <c r="AD1430" s="87" t="str">
        <f t="shared" si="210"/>
        <v>EUR</v>
      </c>
      <c r="AE1430" s="88" t="s">
        <v>138</v>
      </c>
      <c r="AF1430" s="88" t="str">
        <f t="array" ref="AF1430">INDEX('Deal Info'!D:D, MATCH(A1430,'Deal Info'!A:A, 0))</f>
        <v>DoEV</v>
      </c>
      <c r="AG1430" s="89" t="str">
        <f t="array" ref="AG1430">INDEX('Deal Info'!G:G, MATCH(A1430,'Deal Info'!A:A, 0))</f>
        <v>None</v>
      </c>
    </row>
    <row r="1431" hidden="1">
      <c r="A1431" s="23" t="str">
        <f t="array" ref="A1431">if(G1431='Room Info'!$B$1, INDEX('Room Info'!$A$2:$A3446, MATCH(B1431,'Room Info'!$B$2:$B3446, 0)),if(G1431='Room Info'!$C$1, INDEX('Room Info'!$A$2:$A3446, MATCH(B1431,'Room Info'!$C$2:$C3446, 0)),if(G1431='Room Info'!$D$1, INDEX('Room Info'!$A$2:$A3446, MATCH(B1431,'Room Info'!$D$2:$D3446, 0)),if(G1431='Room Info'!$E$1, INDEX('Room Info'!$A$2:$A3446, MATCH(B1431,'Room Info'!$E$2:$E3446, 0)),if(G1431='Room Info'!$F$1, INDEX('Room Info'!$A$2:$A3446, MATCH(B1431,'Room Info'!$F$2:$F3446, 0)),if(G1431='Room Info'!$H$1, INDEX('Room Info'!$A$2:$A3446, MATCH(B1431,'Room Info'!$H$2:$H3446, 0)),if(G1431='Room Info'!$G$1, INDEX('Room Info'!$A$2:$A3446, MATCH(B1431,'Room Info'!$G$2:$G3446, 0)))))))))</f>
        <v>007x2</v>
      </c>
      <c r="B1431" s="90" t="s">
        <v>137</v>
      </c>
      <c r="C1431" s="91">
        <v>44947.0</v>
      </c>
      <c r="D1431" s="92">
        <v>44977.0</v>
      </c>
      <c r="E1431" s="26">
        <v>44958.0</v>
      </c>
      <c r="F1431" s="27" t="s">
        <v>12</v>
      </c>
      <c r="G1431" s="23" t="s">
        <v>5</v>
      </c>
      <c r="H1431" s="28" t="s">
        <v>20</v>
      </c>
      <c r="I1431" s="28" t="s">
        <v>7</v>
      </c>
      <c r="J1431" s="44">
        <f t="shared" si="203"/>
        <v>1</v>
      </c>
      <c r="K1431" s="93">
        <v>1.0</v>
      </c>
      <c r="L1431" s="94">
        <v>-1.0</v>
      </c>
      <c r="M1431" s="47">
        <v>780.0</v>
      </c>
      <c r="N1431" s="33">
        <f t="shared" si="155"/>
        <v>1</v>
      </c>
      <c r="O1431" s="23"/>
      <c r="P1431" s="34">
        <f t="shared" si="14"/>
        <v>0</v>
      </c>
      <c r="Q1431" s="35"/>
      <c r="R1431" s="36">
        <f t="shared" si="196"/>
        <v>780</v>
      </c>
      <c r="S1431" s="124"/>
      <c r="T1431" s="37">
        <f t="shared" si="204"/>
        <v>779</v>
      </c>
      <c r="U1431" s="38">
        <v>1.067</v>
      </c>
      <c r="V1431" s="39">
        <v>9.996059544658493</v>
      </c>
      <c r="W1431" s="39">
        <v>61.72432219350883</v>
      </c>
      <c r="X1431" s="35">
        <f t="shared" si="205"/>
        <v>0.23</v>
      </c>
      <c r="Y1431" s="35">
        <f t="shared" si="206"/>
        <v>0</v>
      </c>
      <c r="Z1431" s="40">
        <f t="shared" si="207"/>
        <v>599.83</v>
      </c>
      <c r="AA1431" s="34">
        <f t="shared" si="208"/>
        <v>179.17</v>
      </c>
      <c r="AB1431" s="41">
        <f t="shared" si="209"/>
        <v>0</v>
      </c>
      <c r="AC1431" s="42" t="b">
        <v>1</v>
      </c>
      <c r="AD1431" s="87" t="str">
        <f t="shared" si="210"/>
        <v>USD</v>
      </c>
      <c r="AE1431" s="88" t="s">
        <v>138</v>
      </c>
      <c r="AF1431" s="88" t="str">
        <f t="array" ref="AF1431">INDEX('Deal Info'!D:D, MATCH(A1431,'Deal Info'!A:A, 0))</f>
        <v>DoEV</v>
      </c>
      <c r="AG1431" s="89" t="str">
        <f t="array" ref="AG1431">INDEX('Deal Info'!G:G, MATCH(A1431,'Deal Info'!A:A, 0))</f>
        <v>None</v>
      </c>
    </row>
    <row r="1432" hidden="1">
      <c r="A1432" s="23" t="str">
        <f t="array" ref="A1432">if(G1432='Room Info'!$B$1, INDEX('Room Info'!$A$2:$A3446, MATCH(B1432,'Room Info'!$B$2:$B3446, 0)),if(G1432='Room Info'!$C$1, INDEX('Room Info'!$A$2:$A3446, MATCH(B1432,'Room Info'!$C$2:$C3446, 0)),if(G1432='Room Info'!$D$1, INDEX('Room Info'!$A$2:$A3446, MATCH(B1432,'Room Info'!$D$2:$D3446, 0)),if(G1432='Room Info'!$E$1, INDEX('Room Info'!$A$2:$A3446, MATCH(B1432,'Room Info'!$E$2:$E3446, 0)),if(G1432='Room Info'!$F$1, INDEX('Room Info'!$A$2:$A3446, MATCH(B1432,'Room Info'!$F$2:$F3446, 0)),if(G1432='Room Info'!$H$1, INDEX('Room Info'!$A$2:$A3446, MATCH(B1432,'Room Info'!$H$2:$H3446, 0)),if(G1432='Room Info'!$G$1, INDEX('Room Info'!$A$2:$A3446, MATCH(B1432,'Room Info'!$G$2:$G3446, 0)))))))))</f>
        <v>007x2</v>
      </c>
      <c r="B1432" s="90" t="s">
        <v>137</v>
      </c>
      <c r="C1432" s="91">
        <v>44947.0</v>
      </c>
      <c r="D1432" s="92">
        <v>44977.0</v>
      </c>
      <c r="E1432" s="26">
        <v>44958.0</v>
      </c>
      <c r="F1432" s="27" t="s">
        <v>4</v>
      </c>
      <c r="G1432" s="23" t="s">
        <v>5</v>
      </c>
      <c r="H1432" s="28" t="s">
        <v>45</v>
      </c>
      <c r="I1432" s="28" t="s">
        <v>7</v>
      </c>
      <c r="J1432" s="44">
        <f t="shared" si="203"/>
        <v>10</v>
      </c>
      <c r="K1432" s="93">
        <v>2283.0</v>
      </c>
      <c r="L1432" s="94">
        <v>-640.0</v>
      </c>
      <c r="M1432" s="32"/>
      <c r="N1432" s="33">
        <f t="shared" si="155"/>
        <v>22830</v>
      </c>
      <c r="O1432" s="90">
        <v>80816.0</v>
      </c>
      <c r="P1432" s="34">
        <f t="shared" si="14"/>
        <v>35.39903636</v>
      </c>
      <c r="Q1432" s="35"/>
      <c r="R1432" s="36">
        <f t="shared" si="196"/>
        <v>0</v>
      </c>
      <c r="S1432" s="33">
        <v>-161.0</v>
      </c>
      <c r="T1432" s="37">
        <f t="shared" si="204"/>
        <v>-161</v>
      </c>
      <c r="U1432" s="38">
        <v>1.067</v>
      </c>
      <c r="V1432" s="39">
        <v>9.996059544658493</v>
      </c>
      <c r="W1432" s="39">
        <v>61.72432219350883</v>
      </c>
      <c r="X1432" s="35">
        <f t="shared" si="205"/>
        <v>0.23</v>
      </c>
      <c r="Y1432" s="35">
        <f t="shared" si="206"/>
        <v>0</v>
      </c>
      <c r="Z1432" s="40">
        <f t="shared" si="207"/>
        <v>-123.97</v>
      </c>
      <c r="AA1432" s="34">
        <f t="shared" si="208"/>
        <v>-37.03</v>
      </c>
      <c r="AB1432" s="41">
        <f t="shared" si="209"/>
        <v>0</v>
      </c>
      <c r="AC1432" s="42" t="b">
        <v>1</v>
      </c>
      <c r="AD1432" s="87" t="str">
        <f t="shared" si="210"/>
        <v>USD</v>
      </c>
      <c r="AE1432" s="88" t="s">
        <v>138</v>
      </c>
      <c r="AF1432" s="88" t="str">
        <f t="array" ref="AF1432">INDEX('Deal Info'!D:D, MATCH(A1432,'Deal Info'!A:A, 0))</f>
        <v>DoEV</v>
      </c>
      <c r="AG1432" s="89" t="str">
        <f t="array" ref="AG1432">INDEX('Deal Info'!G:G, MATCH(A1432,'Deal Info'!A:A, 0))</f>
        <v>None</v>
      </c>
    </row>
    <row r="1433" hidden="1">
      <c r="A1433" s="23" t="str">
        <f t="array" ref="A1433">if(G1433='Room Info'!$B$1, INDEX('Room Info'!$A$2:$A3446, MATCH(B1433,'Room Info'!$B$2:$B3446, 0)),if(G1433='Room Info'!$C$1, INDEX('Room Info'!$A$2:$A3446, MATCH(B1433,'Room Info'!$C$2:$C3446, 0)),if(G1433='Room Info'!$D$1, INDEX('Room Info'!$A$2:$A3446, MATCH(B1433,'Room Info'!$D$2:$D3446, 0)),if(G1433='Room Info'!$E$1, INDEX('Room Info'!$A$2:$A3446, MATCH(B1433,'Room Info'!$E$2:$E3446, 0)),if(G1433='Room Info'!$F$1, INDEX('Room Info'!$A$2:$A3446, MATCH(B1433,'Room Info'!$F$2:$F3446, 0)),if(G1433='Room Info'!$H$1, INDEX('Room Info'!$A$2:$A3446, MATCH(B1433,'Room Info'!$H$2:$H3446, 0)),if(G1433='Room Info'!$G$1, INDEX('Room Info'!$A$2:$A3446, MATCH(B1433,'Room Info'!$G$2:$G3446, 0)))))))))</f>
        <v>Kiss4money99</v>
      </c>
      <c r="B1433" s="90" t="s">
        <v>166</v>
      </c>
      <c r="C1433" s="91">
        <v>44947.0</v>
      </c>
      <c r="D1433" s="92">
        <v>44977.0</v>
      </c>
      <c r="E1433" s="26">
        <v>44958.0</v>
      </c>
      <c r="F1433" s="27" t="s">
        <v>4</v>
      </c>
      <c r="G1433" s="23" t="s">
        <v>5</v>
      </c>
      <c r="H1433" s="28" t="s">
        <v>35</v>
      </c>
      <c r="I1433" s="28" t="s">
        <v>7</v>
      </c>
      <c r="J1433" s="44">
        <f t="shared" si="203"/>
        <v>5</v>
      </c>
      <c r="K1433" s="93">
        <v>10.0</v>
      </c>
      <c r="L1433" s="94">
        <v>-20.0</v>
      </c>
      <c r="M1433" s="47">
        <v>1685.0</v>
      </c>
      <c r="N1433" s="33">
        <f t="shared" si="155"/>
        <v>50</v>
      </c>
      <c r="O1433" s="90">
        <v>1452.0</v>
      </c>
      <c r="P1433" s="34">
        <f t="shared" si="14"/>
        <v>145.2</v>
      </c>
      <c r="Q1433" s="35"/>
      <c r="R1433" s="36">
        <f t="shared" si="196"/>
        <v>1685</v>
      </c>
      <c r="S1433" s="124">
        <v>558.0</v>
      </c>
      <c r="T1433" s="37">
        <f t="shared" si="204"/>
        <v>2243</v>
      </c>
      <c r="U1433" s="38">
        <v>1.067</v>
      </c>
      <c r="V1433" s="39">
        <v>9.987228607918263</v>
      </c>
      <c r="W1433" s="39">
        <v>224.58682864450128</v>
      </c>
      <c r="X1433" s="35">
        <f t="shared" si="205"/>
        <v>0.25</v>
      </c>
      <c r="Y1433" s="35">
        <f t="shared" si="206"/>
        <v>0</v>
      </c>
      <c r="Z1433" s="40">
        <f t="shared" si="207"/>
        <v>1682.25</v>
      </c>
      <c r="AA1433" s="34">
        <f t="shared" si="208"/>
        <v>560.75</v>
      </c>
      <c r="AB1433" s="41">
        <f t="shared" si="209"/>
        <v>0</v>
      </c>
      <c r="AC1433" s="42" t="b">
        <v>1</v>
      </c>
      <c r="AD1433" s="87" t="str">
        <f t="shared" si="210"/>
        <v>USD</v>
      </c>
      <c r="AE1433" s="88" t="s">
        <v>138</v>
      </c>
      <c r="AF1433" s="88" t="str">
        <f t="array" ref="AF1433">INDEX('Deal Info'!D:D, MATCH(A1433,'Deal Info'!A:A, 0))</f>
        <v>SF</v>
      </c>
      <c r="AG1433" s="89" t="str">
        <f t="array" ref="AG1433">INDEX('Deal Info'!G:G, MATCH(A1433,'Deal Info'!A:A, 0))</f>
        <v>None</v>
      </c>
    </row>
    <row r="1434" hidden="1">
      <c r="A1434" s="23" t="str">
        <f t="array" ref="A1434">if(G1434='Room Info'!$B$1, INDEX('Room Info'!$A$2:$A3446, MATCH(B1434,'Room Info'!$B$2:$B3446, 0)),if(G1434='Room Info'!$C$1, INDEX('Room Info'!$A$2:$A3446, MATCH(B1434,'Room Info'!$C$2:$C3446, 0)),if(G1434='Room Info'!$D$1, INDEX('Room Info'!$A$2:$A3446, MATCH(B1434,'Room Info'!$D$2:$D3446, 0)),if(G1434='Room Info'!$E$1, INDEX('Room Info'!$A$2:$A3446, MATCH(B1434,'Room Info'!$E$2:$E3446, 0)),if(G1434='Room Info'!$F$1, INDEX('Room Info'!$A$2:$A3446, MATCH(B1434,'Room Info'!$F$2:$F3446, 0)),if(G1434='Room Info'!$H$1, INDEX('Room Info'!$A$2:$A3446, MATCH(B1434,'Room Info'!$H$2:$H3446, 0)),if(G1434='Room Info'!$G$1, INDEX('Room Info'!$A$2:$A3446, MATCH(B1434,'Room Info'!$G$2:$G3446, 0)))))))))</f>
        <v>Kiss4money99</v>
      </c>
      <c r="B1434" s="90" t="s">
        <v>166</v>
      </c>
      <c r="C1434" s="91">
        <v>44947.0</v>
      </c>
      <c r="D1434" s="92">
        <v>44977.0</v>
      </c>
      <c r="E1434" s="26">
        <v>44958.0</v>
      </c>
      <c r="F1434" s="27" t="s">
        <v>4</v>
      </c>
      <c r="G1434" s="23" t="s">
        <v>5</v>
      </c>
      <c r="H1434" s="28" t="s">
        <v>45</v>
      </c>
      <c r="I1434" s="28" t="s">
        <v>7</v>
      </c>
      <c r="J1434" s="44">
        <f t="shared" si="203"/>
        <v>10</v>
      </c>
      <c r="K1434" s="93">
        <v>3905.0</v>
      </c>
      <c r="L1434" s="94">
        <v>680.0</v>
      </c>
      <c r="M1434" s="32"/>
      <c r="N1434" s="33">
        <f t="shared" si="155"/>
        <v>39050</v>
      </c>
      <c r="O1434" s="90">
        <v>185188.0</v>
      </c>
      <c r="P1434" s="34">
        <f t="shared" si="14"/>
        <v>47.42330346</v>
      </c>
      <c r="Q1434" s="35"/>
      <c r="R1434" s="36">
        <f t="shared" si="196"/>
        <v>0</v>
      </c>
      <c r="S1434" s="33"/>
      <c r="T1434" s="37">
        <f t="shared" si="204"/>
        <v>0</v>
      </c>
      <c r="U1434" s="38">
        <v>1.067</v>
      </c>
      <c r="V1434" s="39">
        <v>9.987228607918263</v>
      </c>
      <c r="W1434" s="39">
        <v>224.58682864450128</v>
      </c>
      <c r="X1434" s="35">
        <f t="shared" si="205"/>
        <v>0.25</v>
      </c>
      <c r="Y1434" s="35">
        <f t="shared" si="206"/>
        <v>0</v>
      </c>
      <c r="Z1434" s="40">
        <f t="shared" si="207"/>
        <v>0</v>
      </c>
      <c r="AA1434" s="34">
        <f t="shared" si="208"/>
        <v>0</v>
      </c>
      <c r="AB1434" s="41">
        <f t="shared" si="209"/>
        <v>0</v>
      </c>
      <c r="AC1434" s="42" t="b">
        <v>1</v>
      </c>
      <c r="AD1434" s="87" t="str">
        <f t="shared" si="210"/>
        <v>USD</v>
      </c>
      <c r="AE1434" s="88" t="s">
        <v>138</v>
      </c>
      <c r="AF1434" s="88" t="str">
        <f t="array" ref="AF1434">INDEX('Deal Info'!D:D, MATCH(A1434,'Deal Info'!A:A, 0))</f>
        <v>SF</v>
      </c>
      <c r="AG1434" s="89" t="str">
        <f t="array" ref="AG1434">INDEX('Deal Info'!G:G, MATCH(A1434,'Deal Info'!A:A, 0))</f>
        <v>None</v>
      </c>
    </row>
    <row r="1435" hidden="1">
      <c r="A1435" s="23" t="str">
        <f t="array" ref="A1435">if(G1435='Room Info'!$B$1, INDEX('Room Info'!$A$2:$A3446, MATCH(B1435,'Room Info'!$B$2:$B3446, 0)),if(G1435='Room Info'!$C$1, INDEX('Room Info'!$A$2:$A3446, MATCH(B1435,'Room Info'!$C$2:$C3446, 0)),if(G1435='Room Info'!$D$1, INDEX('Room Info'!$A$2:$A3446, MATCH(B1435,'Room Info'!$D$2:$D3446, 0)),if(G1435='Room Info'!$E$1, INDEX('Room Info'!$A$2:$A3446, MATCH(B1435,'Room Info'!$E$2:$E3446, 0)),if(G1435='Room Info'!$F$1, INDEX('Room Info'!$A$2:$A3446, MATCH(B1435,'Room Info'!$F$2:$F3446, 0)),if(G1435='Room Info'!$H$1, INDEX('Room Info'!$A$2:$A3446, MATCH(B1435,'Room Info'!$H$2:$H3446, 0)),if(G1435='Room Info'!$G$1, INDEX('Room Info'!$A$2:$A3446, MATCH(B1435,'Room Info'!$G$2:$G3446, 0)))))))))</f>
        <v>Mexanuk_AV</v>
      </c>
      <c r="B1435" s="90" t="s">
        <v>160</v>
      </c>
      <c r="C1435" s="91">
        <v>44947.0</v>
      </c>
      <c r="D1435" s="92">
        <v>44977.0</v>
      </c>
      <c r="E1435" s="26">
        <v>44958.0</v>
      </c>
      <c r="F1435" s="27" t="s">
        <v>4</v>
      </c>
      <c r="G1435" s="23" t="s">
        <v>5</v>
      </c>
      <c r="H1435" s="28" t="s">
        <v>48</v>
      </c>
      <c r="I1435" s="28" t="s">
        <v>11</v>
      </c>
      <c r="J1435" s="44">
        <f t="shared" si="203"/>
        <v>10</v>
      </c>
      <c r="K1435" s="93">
        <v>3340.0</v>
      </c>
      <c r="L1435" s="94">
        <v>-2280.0</v>
      </c>
      <c r="M1435" s="126">
        <v>2505.0</v>
      </c>
      <c r="N1435" s="33">
        <f t="shared" si="155"/>
        <v>33400</v>
      </c>
      <c r="O1435" s="90">
        <v>38123.0</v>
      </c>
      <c r="P1435" s="34">
        <f t="shared" si="14"/>
        <v>11.41407186</v>
      </c>
      <c r="Q1435" s="35"/>
      <c r="R1435" s="36">
        <f t="shared" si="196"/>
        <v>2505</v>
      </c>
      <c r="S1435" s="124">
        <v>-1224.0</v>
      </c>
      <c r="T1435" s="37">
        <f t="shared" si="204"/>
        <v>1281</v>
      </c>
      <c r="U1435" s="38">
        <v>1.067</v>
      </c>
      <c r="V1435" s="39">
        <v>10.0</v>
      </c>
      <c r="W1435" s="39">
        <v>129.1</v>
      </c>
      <c r="X1435" s="35">
        <f t="shared" si="205"/>
        <v>0.25</v>
      </c>
      <c r="Y1435" s="35">
        <f t="shared" si="206"/>
        <v>0</v>
      </c>
      <c r="Z1435" s="40">
        <f t="shared" si="207"/>
        <v>960.75</v>
      </c>
      <c r="AA1435" s="34">
        <f t="shared" si="208"/>
        <v>320.25</v>
      </c>
      <c r="AB1435" s="41">
        <f t="shared" si="209"/>
        <v>0</v>
      </c>
      <c r="AC1435" s="42" t="b">
        <v>0</v>
      </c>
      <c r="AD1435" s="87" t="str">
        <f t="shared" si="210"/>
        <v>USD</v>
      </c>
      <c r="AE1435" s="88" t="s">
        <v>138</v>
      </c>
      <c r="AF1435" s="88" t="str">
        <f t="array" ref="AF1435">INDEX('Deal Info'!D:D, MATCH(A1435,'Deal Info'!A:A, 0))</f>
        <v>SF</v>
      </c>
      <c r="AG1435" s="89" t="str">
        <f t="array" ref="AG1435">INDEX('Deal Info'!G:G, MATCH(A1435,'Deal Info'!A:A, 0))</f>
        <v>None</v>
      </c>
    </row>
    <row r="1436" hidden="1">
      <c r="A1436" s="23" t="str">
        <f t="array" ref="A1436">if(G1436='Room Info'!$B$1, INDEX('Room Info'!$A$2:$A3446, MATCH(B1436,'Room Info'!$B$2:$B3446, 0)),if(G1436='Room Info'!$C$1, INDEX('Room Info'!$A$2:$A3446, MATCH(B1436,'Room Info'!$C$2:$C3446, 0)),if(G1436='Room Info'!$D$1, INDEX('Room Info'!$A$2:$A3446, MATCH(B1436,'Room Info'!$D$2:$D3446, 0)),if(G1436='Room Info'!$E$1, INDEX('Room Info'!$A$2:$A3446, MATCH(B1436,'Room Info'!$E$2:$E3446, 0)),if(G1436='Room Info'!$F$1, INDEX('Room Info'!$A$2:$A3446, MATCH(B1436,'Room Info'!$F$2:$F3446, 0)),if(G1436='Room Info'!$H$1, INDEX('Room Info'!$A$2:$A3446, MATCH(B1436,'Room Info'!$H$2:$H3446, 0)),if(G1436='Room Info'!$G$1, INDEX('Room Info'!$A$2:$A3446, MATCH(B1436,'Room Info'!$G$2:$G3446, 0)))))))))</f>
        <v>Mexanuk_AV</v>
      </c>
      <c r="B1436" s="90" t="s">
        <v>160</v>
      </c>
      <c r="C1436" s="91">
        <v>44947.0</v>
      </c>
      <c r="D1436" s="92">
        <v>44977.0</v>
      </c>
      <c r="E1436" s="26">
        <v>44958.0</v>
      </c>
      <c r="F1436" s="27" t="s">
        <v>12</v>
      </c>
      <c r="G1436" s="23" t="s">
        <v>5</v>
      </c>
      <c r="H1436" s="28" t="s">
        <v>48</v>
      </c>
      <c r="I1436" s="28" t="s">
        <v>11</v>
      </c>
      <c r="J1436" s="44">
        <f t="shared" si="203"/>
        <v>10</v>
      </c>
      <c r="K1436" s="93">
        <v>49.0</v>
      </c>
      <c r="L1436" s="94">
        <v>10.0</v>
      </c>
      <c r="M1436" s="47"/>
      <c r="N1436" s="33">
        <f t="shared" si="155"/>
        <v>490</v>
      </c>
      <c r="O1436" s="23"/>
      <c r="P1436" s="34">
        <f t="shared" si="14"/>
        <v>0</v>
      </c>
      <c r="Q1436" s="35"/>
      <c r="R1436" s="36">
        <f t="shared" si="196"/>
        <v>0</v>
      </c>
      <c r="S1436" s="33"/>
      <c r="T1436" s="37">
        <f t="shared" si="204"/>
        <v>10</v>
      </c>
      <c r="U1436" s="38">
        <v>1.067</v>
      </c>
      <c r="V1436" s="39">
        <v>10.0</v>
      </c>
      <c r="W1436" s="39">
        <v>129.1</v>
      </c>
      <c r="X1436" s="35">
        <f t="shared" si="205"/>
        <v>0.25</v>
      </c>
      <c r="Y1436" s="35">
        <f t="shared" si="206"/>
        <v>0</v>
      </c>
      <c r="Z1436" s="40">
        <f t="shared" si="207"/>
        <v>7.5</v>
      </c>
      <c r="AA1436" s="34">
        <f t="shared" si="208"/>
        <v>2.5</v>
      </c>
      <c r="AB1436" s="41">
        <f t="shared" si="209"/>
        <v>0</v>
      </c>
      <c r="AC1436" s="42" t="b">
        <v>0</v>
      </c>
      <c r="AD1436" s="87" t="str">
        <f t="shared" si="210"/>
        <v>USD</v>
      </c>
      <c r="AE1436" s="88" t="s">
        <v>138</v>
      </c>
      <c r="AF1436" s="88" t="str">
        <f t="array" ref="AF1436">INDEX('Deal Info'!D:D, MATCH(A1436,'Deal Info'!A:A, 0))</f>
        <v>SF</v>
      </c>
      <c r="AG1436" s="89" t="str">
        <f t="array" ref="AG1436">INDEX('Deal Info'!G:G, MATCH(A1436,'Deal Info'!A:A, 0))</f>
        <v>None</v>
      </c>
    </row>
    <row r="1437" hidden="1">
      <c r="A1437" s="23" t="str">
        <f t="array" ref="A1437">if(G1437='Room Info'!$B$1, INDEX('Room Info'!$A$2:$A3446, MATCH(B1437,'Room Info'!$B$2:$B3446, 0)),if(G1437='Room Info'!$C$1, INDEX('Room Info'!$A$2:$A3446, MATCH(B1437,'Room Info'!$C$2:$C3446, 0)),if(G1437='Room Info'!$D$1, INDEX('Room Info'!$A$2:$A3446, MATCH(B1437,'Room Info'!$D$2:$D3446, 0)),if(G1437='Room Info'!$E$1, INDEX('Room Info'!$A$2:$A3446, MATCH(B1437,'Room Info'!$E$2:$E3446, 0)),if(G1437='Room Info'!$F$1, INDEX('Room Info'!$A$2:$A3446, MATCH(B1437,'Room Info'!$F$2:$F3446, 0)),if(G1437='Room Info'!$H$1, INDEX('Room Info'!$A$2:$A3446, MATCH(B1437,'Room Info'!$H$2:$H3446, 0)),if(G1437='Room Info'!$G$1, INDEX('Room Info'!$A$2:$A3446, MATCH(B1437,'Room Info'!$G$2:$G3446, 0)))))))))</f>
        <v>ekomlev98</v>
      </c>
      <c r="B1437" s="90" t="s">
        <v>190</v>
      </c>
      <c r="C1437" s="91">
        <v>44947.0</v>
      </c>
      <c r="D1437" s="92">
        <v>44977.0</v>
      </c>
      <c r="E1437" s="26">
        <v>44958.0</v>
      </c>
      <c r="F1437" s="27" t="s">
        <v>4</v>
      </c>
      <c r="G1437" s="23" t="s">
        <v>5</v>
      </c>
      <c r="H1437" s="28" t="s">
        <v>62</v>
      </c>
      <c r="I1437" s="28" t="s">
        <v>7</v>
      </c>
      <c r="J1437" s="44">
        <f t="shared" si="203"/>
        <v>25</v>
      </c>
      <c r="K1437" s="93">
        <v>3241.0</v>
      </c>
      <c r="L1437" s="94">
        <v>5150.0</v>
      </c>
      <c r="M1437" s="47">
        <v>2475.0</v>
      </c>
      <c r="N1437" s="33">
        <f t="shared" si="155"/>
        <v>81025</v>
      </c>
      <c r="O1437" s="90">
        <v>103046.0</v>
      </c>
      <c r="P1437" s="34">
        <f t="shared" si="14"/>
        <v>31.79450787</v>
      </c>
      <c r="Q1437" s="35"/>
      <c r="R1437" s="36">
        <f t="shared" si="196"/>
        <v>2475</v>
      </c>
      <c r="S1437" s="124">
        <v>-433.0</v>
      </c>
      <c r="T1437" s="37">
        <f t="shared" si="204"/>
        <v>2042</v>
      </c>
      <c r="U1437" s="38">
        <v>1.067</v>
      </c>
      <c r="V1437" s="39">
        <v>25.0</v>
      </c>
      <c r="W1437" s="39">
        <v>81.68</v>
      </c>
      <c r="X1437" s="35">
        <f t="shared" si="205"/>
        <v>0.22</v>
      </c>
      <c r="Y1437" s="35">
        <f t="shared" si="206"/>
        <v>0</v>
      </c>
      <c r="Z1437" s="40">
        <f t="shared" si="207"/>
        <v>1592.76</v>
      </c>
      <c r="AA1437" s="34">
        <f t="shared" si="208"/>
        <v>449.24</v>
      </c>
      <c r="AB1437" s="41">
        <f t="shared" si="209"/>
        <v>0</v>
      </c>
      <c r="AC1437" s="42" t="b">
        <v>1</v>
      </c>
      <c r="AD1437" s="87" t="str">
        <f t="shared" si="210"/>
        <v>USD</v>
      </c>
      <c r="AE1437" s="88" t="s">
        <v>138</v>
      </c>
      <c r="AF1437" s="88" t="str">
        <f t="array" ref="AF1437">INDEX('Deal Info'!D:D, MATCH(A1437,'Deal Info'!A:A, 0))</f>
        <v>SF</v>
      </c>
      <c r="AG1437" s="89" t="str">
        <f t="array" ref="AG1437">INDEX('Deal Info'!G:G, MATCH(A1437,'Deal Info'!A:A, 0))</f>
        <v>None</v>
      </c>
    </row>
    <row r="1438" hidden="1">
      <c r="A1438" s="23" t="str">
        <f t="array" ref="A1438">if(G1438='Room Info'!$B$1, INDEX('Room Info'!$A$2:$A3446, MATCH(B1438,'Room Info'!$B$2:$B3446, 0)),if(G1438='Room Info'!$C$1, INDEX('Room Info'!$A$2:$A3446, MATCH(B1438,'Room Info'!$C$2:$C3446, 0)),if(G1438='Room Info'!$D$1, INDEX('Room Info'!$A$2:$A3446, MATCH(B1438,'Room Info'!$D$2:$D3446, 0)),if(G1438='Room Info'!$E$1, INDEX('Room Info'!$A$2:$A3446, MATCH(B1438,'Room Info'!$E$2:$E3446, 0)),if(G1438='Room Info'!$F$1, INDEX('Room Info'!$A$2:$A3446, MATCH(B1438,'Room Info'!$F$2:$F3446, 0)),if(G1438='Room Info'!$H$1, INDEX('Room Info'!$A$2:$A3446, MATCH(B1438,'Room Info'!$H$2:$H3446, 0)),if(G1438='Room Info'!$G$1, INDEX('Room Info'!$A$2:$A3446, MATCH(B1438,'Room Info'!$G$2:$G3446, 0)))))))))</f>
        <v>SDEBA1</v>
      </c>
      <c r="B1438" s="90" t="s">
        <v>161</v>
      </c>
      <c r="C1438" s="91">
        <v>44947.0</v>
      </c>
      <c r="D1438" s="92">
        <v>44977.0</v>
      </c>
      <c r="E1438" s="26">
        <v>44958.0</v>
      </c>
      <c r="F1438" s="27" t="s">
        <v>4</v>
      </c>
      <c r="G1438" s="23" t="s">
        <v>5</v>
      </c>
      <c r="H1438" s="28" t="s">
        <v>36</v>
      </c>
      <c r="I1438" s="28" t="s">
        <v>11</v>
      </c>
      <c r="J1438" s="44">
        <f t="shared" si="203"/>
        <v>5</v>
      </c>
      <c r="K1438" s="93">
        <v>2232.0</v>
      </c>
      <c r="L1438" s="94">
        <v>-185.0</v>
      </c>
      <c r="M1438" s="47">
        <v>2070.0</v>
      </c>
      <c r="N1438" s="33">
        <f t="shared" si="155"/>
        <v>11160</v>
      </c>
      <c r="O1438" s="90">
        <v>36964.0</v>
      </c>
      <c r="P1438" s="34">
        <f t="shared" si="14"/>
        <v>16.5609319</v>
      </c>
      <c r="Q1438" s="35"/>
      <c r="R1438" s="36">
        <f t="shared" si="196"/>
        <v>2070</v>
      </c>
      <c r="S1438" s="124">
        <v>-1708.0</v>
      </c>
      <c r="T1438" s="37">
        <f t="shared" si="204"/>
        <v>362</v>
      </c>
      <c r="U1438" s="38">
        <v>1.067</v>
      </c>
      <c r="V1438" s="39">
        <v>8.86807804404145</v>
      </c>
      <c r="W1438" s="63">
        <v>75.0</v>
      </c>
      <c r="X1438" s="35">
        <f t="shared" si="205"/>
        <v>0.23</v>
      </c>
      <c r="Y1438" s="35">
        <f t="shared" si="206"/>
        <v>0</v>
      </c>
      <c r="Z1438" s="40">
        <f t="shared" si="207"/>
        <v>278.74</v>
      </c>
      <c r="AA1438" s="34">
        <f t="shared" si="208"/>
        <v>83.26</v>
      </c>
      <c r="AB1438" s="41">
        <f t="shared" si="209"/>
        <v>0</v>
      </c>
      <c r="AC1438" s="66" t="b">
        <v>1</v>
      </c>
      <c r="AD1438" s="87" t="str">
        <f t="shared" si="210"/>
        <v>USD</v>
      </c>
      <c r="AE1438" s="88" t="s">
        <v>138</v>
      </c>
      <c r="AF1438" s="88" t="str">
        <f t="array" ref="AF1438">INDEX('Deal Info'!D:D, MATCH(A1438,'Deal Info'!A:A, 0))</f>
        <v>DoEV</v>
      </c>
      <c r="AG1438" s="89" t="str">
        <f t="array" ref="AG1438">INDEX('Deal Info'!G:G, MATCH(A1438,'Deal Info'!A:A, 0))</f>
        <v>None</v>
      </c>
    </row>
    <row r="1439" hidden="1">
      <c r="A1439" s="23" t="str">
        <f t="array" ref="A1439">if(G1439='Room Info'!$B$1, INDEX('Room Info'!$A$2:$A3446, MATCH(B1439,'Room Info'!$B$2:$B3446, 0)),if(G1439='Room Info'!$C$1, INDEX('Room Info'!$A$2:$A3446, MATCH(B1439,'Room Info'!$C$2:$C3446, 0)),if(G1439='Room Info'!$D$1, INDEX('Room Info'!$A$2:$A3446, MATCH(B1439,'Room Info'!$D$2:$D3446, 0)),if(G1439='Room Info'!$E$1, INDEX('Room Info'!$A$2:$A3446, MATCH(B1439,'Room Info'!$E$2:$E3446, 0)),if(G1439='Room Info'!$F$1, INDEX('Room Info'!$A$2:$A3446, MATCH(B1439,'Room Info'!$F$2:$F3446, 0)),if(G1439='Room Info'!$H$1, INDEX('Room Info'!$A$2:$A3446, MATCH(B1439,'Room Info'!$H$2:$H3446, 0)),if(G1439='Room Info'!$G$1, INDEX('Room Info'!$A$2:$A3446, MATCH(B1439,'Room Info'!$G$2:$G3446, 0)))))))))</f>
        <v>SDEBA1</v>
      </c>
      <c r="B1439" s="90" t="s">
        <v>161</v>
      </c>
      <c r="C1439" s="91">
        <v>44947.0</v>
      </c>
      <c r="D1439" s="92">
        <v>44977.0</v>
      </c>
      <c r="E1439" s="26">
        <v>44958.0</v>
      </c>
      <c r="F1439" s="27" t="s">
        <v>4</v>
      </c>
      <c r="G1439" s="23" t="s">
        <v>5</v>
      </c>
      <c r="H1439" s="28" t="s">
        <v>45</v>
      </c>
      <c r="I1439" s="28" t="s">
        <v>7</v>
      </c>
      <c r="J1439" s="44">
        <f t="shared" si="203"/>
        <v>10</v>
      </c>
      <c r="K1439" s="93">
        <v>661.0</v>
      </c>
      <c r="L1439" s="94">
        <v>-250.0</v>
      </c>
      <c r="M1439" s="32"/>
      <c r="N1439" s="33">
        <f t="shared" si="155"/>
        <v>6610</v>
      </c>
      <c r="O1439" s="90">
        <v>35386.0</v>
      </c>
      <c r="P1439" s="34">
        <f t="shared" si="14"/>
        <v>53.53403933</v>
      </c>
      <c r="Q1439" s="35"/>
      <c r="R1439" s="36">
        <f t="shared" si="196"/>
        <v>0</v>
      </c>
      <c r="S1439" s="33"/>
      <c r="T1439" s="37">
        <f t="shared" si="204"/>
        <v>0</v>
      </c>
      <c r="U1439" s="38">
        <v>1.067</v>
      </c>
      <c r="V1439" s="39">
        <v>8.86807804404145</v>
      </c>
      <c r="W1439" s="63">
        <v>75.0</v>
      </c>
      <c r="X1439" s="35">
        <f t="shared" si="205"/>
        <v>0.23</v>
      </c>
      <c r="Y1439" s="35">
        <f t="shared" si="206"/>
        <v>0</v>
      </c>
      <c r="Z1439" s="40">
        <f t="shared" si="207"/>
        <v>0</v>
      </c>
      <c r="AA1439" s="34">
        <f t="shared" si="208"/>
        <v>0</v>
      </c>
      <c r="AB1439" s="41">
        <f t="shared" si="209"/>
        <v>0</v>
      </c>
      <c r="AC1439" s="66" t="b">
        <v>1</v>
      </c>
      <c r="AD1439" s="87" t="str">
        <f t="shared" si="210"/>
        <v>USD</v>
      </c>
      <c r="AE1439" s="88" t="s">
        <v>138</v>
      </c>
      <c r="AF1439" s="88" t="str">
        <f t="array" ref="AF1439">INDEX('Deal Info'!D:D, MATCH(A1439,'Deal Info'!A:A, 0))</f>
        <v>DoEV</v>
      </c>
      <c r="AG1439" s="89" t="str">
        <f t="array" ref="AG1439">INDEX('Deal Info'!G:G, MATCH(A1439,'Deal Info'!A:A, 0))</f>
        <v>None</v>
      </c>
    </row>
    <row r="1440" hidden="1">
      <c r="A1440" s="23" t="str">
        <f t="array" ref="A1440">if(G1440='Room Info'!$B$1, INDEX('Room Info'!$A$2:$A3446, MATCH(B1440,'Room Info'!$B$2:$B3446, 0)),if(G1440='Room Info'!$C$1, INDEX('Room Info'!$A$2:$A3446, MATCH(B1440,'Room Info'!$C$2:$C3446, 0)),if(G1440='Room Info'!$D$1, INDEX('Room Info'!$A$2:$A3446, MATCH(B1440,'Room Info'!$D$2:$D3446, 0)),if(G1440='Room Info'!$E$1, INDEX('Room Info'!$A$2:$A3446, MATCH(B1440,'Room Info'!$E$2:$E3446, 0)),if(G1440='Room Info'!$F$1, INDEX('Room Info'!$A$2:$A3446, MATCH(B1440,'Room Info'!$F$2:$F3446, 0)),if(G1440='Room Info'!$H$1, INDEX('Room Info'!$A$2:$A3446, MATCH(B1440,'Room Info'!$H$2:$H3446, 0)),if(G1440='Room Info'!$G$1, INDEX('Room Info'!$A$2:$A3446, MATCH(B1440,'Room Info'!$G$2:$G3446, 0)))))))))</f>
        <v>SDEBA1</v>
      </c>
      <c r="B1440" s="90" t="s">
        <v>161</v>
      </c>
      <c r="C1440" s="91">
        <v>44947.0</v>
      </c>
      <c r="D1440" s="92">
        <v>44977.0</v>
      </c>
      <c r="E1440" s="26">
        <v>44958.0</v>
      </c>
      <c r="F1440" s="27" t="s">
        <v>4</v>
      </c>
      <c r="G1440" s="23" t="s">
        <v>5</v>
      </c>
      <c r="H1440" s="28" t="s">
        <v>48</v>
      </c>
      <c r="I1440" s="28" t="s">
        <v>11</v>
      </c>
      <c r="J1440" s="44">
        <f t="shared" si="203"/>
        <v>10</v>
      </c>
      <c r="K1440" s="93">
        <v>3692.0</v>
      </c>
      <c r="L1440" s="94">
        <v>-1570.0</v>
      </c>
      <c r="M1440" s="32"/>
      <c r="N1440" s="33">
        <f t="shared" si="155"/>
        <v>36920</v>
      </c>
      <c r="O1440" s="90">
        <v>40242.0</v>
      </c>
      <c r="P1440" s="34">
        <f t="shared" si="14"/>
        <v>10.89978332</v>
      </c>
      <c r="Q1440" s="35"/>
      <c r="R1440" s="36">
        <f t="shared" si="196"/>
        <v>0</v>
      </c>
      <c r="S1440" s="33"/>
      <c r="T1440" s="37">
        <f t="shared" si="204"/>
        <v>0</v>
      </c>
      <c r="U1440" s="38">
        <v>1.067</v>
      </c>
      <c r="V1440" s="39">
        <v>8.86807804404145</v>
      </c>
      <c r="W1440" s="63">
        <v>75.0</v>
      </c>
      <c r="X1440" s="35">
        <f t="shared" si="205"/>
        <v>0.23</v>
      </c>
      <c r="Y1440" s="35">
        <f t="shared" si="206"/>
        <v>0</v>
      </c>
      <c r="Z1440" s="40">
        <f t="shared" si="207"/>
        <v>0</v>
      </c>
      <c r="AA1440" s="34">
        <f t="shared" si="208"/>
        <v>0</v>
      </c>
      <c r="AB1440" s="41">
        <f t="shared" si="209"/>
        <v>0</v>
      </c>
      <c r="AC1440" s="66" t="b">
        <v>1</v>
      </c>
      <c r="AD1440" s="87" t="str">
        <f t="shared" si="210"/>
        <v>USD</v>
      </c>
      <c r="AE1440" s="88" t="s">
        <v>138</v>
      </c>
      <c r="AF1440" s="88" t="str">
        <f t="array" ref="AF1440">INDEX('Deal Info'!D:D, MATCH(A1440,'Deal Info'!A:A, 0))</f>
        <v>DoEV</v>
      </c>
      <c r="AG1440" s="89" t="str">
        <f t="array" ref="AG1440">INDEX('Deal Info'!G:G, MATCH(A1440,'Deal Info'!A:A, 0))</f>
        <v>None</v>
      </c>
    </row>
    <row r="1441" hidden="1">
      <c r="A1441" s="23" t="str">
        <f t="array" ref="A1441">if(G1441='Room Info'!$B$1, INDEX('Room Info'!$A$2:$A3446, MATCH(B1441,'Room Info'!$B$2:$B3446, 0)),if(G1441='Room Info'!$C$1, INDEX('Room Info'!$A$2:$A3446, MATCH(B1441,'Room Info'!$C$2:$C3446, 0)),if(G1441='Room Info'!$D$1, INDEX('Room Info'!$A$2:$A3446, MATCH(B1441,'Room Info'!$D$2:$D3446, 0)),if(G1441='Room Info'!$E$1, INDEX('Room Info'!$A$2:$A3446, MATCH(B1441,'Room Info'!$E$2:$E3446, 0)),if(G1441='Room Info'!$F$1, INDEX('Room Info'!$A$2:$A3446, MATCH(B1441,'Room Info'!$F$2:$F3446, 0)),if(G1441='Room Info'!$H$1, INDEX('Room Info'!$A$2:$A3446, MATCH(B1441,'Room Info'!$H$2:$H3446, 0)),if(G1441='Room Info'!$G$1, INDEX('Room Info'!$A$2:$A3446, MATCH(B1441,'Room Info'!$G$2:$G3446, 0)))))))))</f>
        <v>BodyaComUa</v>
      </c>
      <c r="B1441" s="90" t="s">
        <v>184</v>
      </c>
      <c r="C1441" s="91">
        <v>44947.0</v>
      </c>
      <c r="D1441" s="92">
        <v>44977.0</v>
      </c>
      <c r="E1441" s="26">
        <v>44958.0</v>
      </c>
      <c r="F1441" s="27" t="s">
        <v>4</v>
      </c>
      <c r="G1441" s="23" t="s">
        <v>5</v>
      </c>
      <c r="H1441" s="28" t="s">
        <v>28</v>
      </c>
      <c r="I1441" s="28" t="s">
        <v>7</v>
      </c>
      <c r="J1441" s="44">
        <f t="shared" si="203"/>
        <v>2</v>
      </c>
      <c r="K1441" s="93">
        <v>112.0</v>
      </c>
      <c r="L1441" s="94">
        <v>14.0</v>
      </c>
      <c r="M1441" s="47">
        <v>1145.0</v>
      </c>
      <c r="N1441" s="33">
        <f t="shared" si="155"/>
        <v>224</v>
      </c>
      <c r="O1441" s="23"/>
      <c r="P1441" s="34">
        <f t="shared" si="14"/>
        <v>0</v>
      </c>
      <c r="Q1441" s="35"/>
      <c r="R1441" s="36">
        <f t="shared" si="196"/>
        <v>1145</v>
      </c>
      <c r="S1441" s="124">
        <v>637.0</v>
      </c>
      <c r="T1441" s="37">
        <f t="shared" si="204"/>
        <v>1782</v>
      </c>
      <c r="U1441" s="38">
        <v>1.067</v>
      </c>
      <c r="V1441" s="39">
        <v>7.74</v>
      </c>
      <c r="W1441" s="39">
        <v>230.2325581395349</v>
      </c>
      <c r="X1441" s="35">
        <f t="shared" si="205"/>
        <v>0.17</v>
      </c>
      <c r="Y1441" s="35">
        <f t="shared" si="206"/>
        <v>0</v>
      </c>
      <c r="Z1441" s="40">
        <f t="shared" si="207"/>
        <v>1479.06</v>
      </c>
      <c r="AA1441" s="34">
        <f t="shared" si="208"/>
        <v>302.94</v>
      </c>
      <c r="AB1441" s="41">
        <f t="shared" si="209"/>
        <v>0</v>
      </c>
      <c r="AC1441" s="42" t="b">
        <v>1</v>
      </c>
      <c r="AD1441" s="87" t="str">
        <f t="shared" si="210"/>
        <v>USD</v>
      </c>
      <c r="AE1441" s="88" t="s">
        <v>138</v>
      </c>
      <c r="AF1441" s="88" t="str">
        <f t="array" ref="AF1441">INDEX('Deal Info'!D:D, MATCH(A1441,'Deal Info'!A:A, 0))</f>
        <v>DoEV</v>
      </c>
      <c r="AG1441" s="89" t="str">
        <f t="array" ref="AG1441">INDEX('Deal Info'!G:G, MATCH(A1441,'Deal Info'!A:A, 0))</f>
        <v>None</v>
      </c>
    </row>
    <row r="1442" hidden="1">
      <c r="A1442" s="23" t="str">
        <f t="array" ref="A1442">if(G1442='Room Info'!$B$1, INDEX('Room Info'!$A$2:$A3446, MATCH(B1442,'Room Info'!$B$2:$B3446, 0)),if(G1442='Room Info'!$C$1, INDEX('Room Info'!$A$2:$A3446, MATCH(B1442,'Room Info'!$C$2:$C3446, 0)),if(G1442='Room Info'!$D$1, INDEX('Room Info'!$A$2:$A3446, MATCH(B1442,'Room Info'!$D$2:$D3446, 0)),if(G1442='Room Info'!$E$1, INDEX('Room Info'!$A$2:$A3446, MATCH(B1442,'Room Info'!$E$2:$E3446, 0)),if(G1442='Room Info'!$F$1, INDEX('Room Info'!$A$2:$A3446, MATCH(B1442,'Room Info'!$F$2:$F3446, 0)),if(G1442='Room Info'!$H$1, INDEX('Room Info'!$A$2:$A3446, MATCH(B1442,'Room Info'!$H$2:$H3446, 0)),if(G1442='Room Info'!$G$1, INDEX('Room Info'!$A$2:$A3446, MATCH(B1442,'Room Info'!$G$2:$G3446, 0)))))))))</f>
        <v>BodyaComUa</v>
      </c>
      <c r="B1442" s="90" t="s">
        <v>184</v>
      </c>
      <c r="C1442" s="91">
        <v>44947.0</v>
      </c>
      <c r="D1442" s="92">
        <v>44977.0</v>
      </c>
      <c r="E1442" s="26">
        <v>44958.0</v>
      </c>
      <c r="F1442" s="27" t="s">
        <v>4</v>
      </c>
      <c r="G1442" s="23" t="s">
        <v>5</v>
      </c>
      <c r="H1442" s="28" t="s">
        <v>34</v>
      </c>
      <c r="I1442" s="28" t="s">
        <v>7</v>
      </c>
      <c r="J1442" s="44">
        <f t="shared" si="203"/>
        <v>5</v>
      </c>
      <c r="K1442" s="93">
        <v>1000.0</v>
      </c>
      <c r="L1442" s="94">
        <v>25.0</v>
      </c>
      <c r="M1442" s="32"/>
      <c r="N1442" s="33">
        <f t="shared" si="155"/>
        <v>5000</v>
      </c>
      <c r="O1442" s="90">
        <v>71734.0</v>
      </c>
      <c r="P1442" s="34">
        <f t="shared" si="14"/>
        <v>71.734</v>
      </c>
      <c r="Q1442" s="35"/>
      <c r="R1442" s="36">
        <f t="shared" si="196"/>
        <v>0</v>
      </c>
      <c r="S1442" s="33"/>
      <c r="T1442" s="37">
        <f t="shared" si="204"/>
        <v>0</v>
      </c>
      <c r="U1442" s="38">
        <v>1.067</v>
      </c>
      <c r="V1442" s="39">
        <v>7.74</v>
      </c>
      <c r="W1442" s="39">
        <v>230.2325581395349</v>
      </c>
      <c r="X1442" s="35">
        <f t="shared" si="205"/>
        <v>0.17</v>
      </c>
      <c r="Y1442" s="35">
        <f t="shared" si="206"/>
        <v>0</v>
      </c>
      <c r="Z1442" s="40">
        <f t="shared" si="207"/>
        <v>0</v>
      </c>
      <c r="AA1442" s="34">
        <f t="shared" si="208"/>
        <v>0</v>
      </c>
      <c r="AB1442" s="41">
        <f t="shared" si="209"/>
        <v>0</v>
      </c>
      <c r="AC1442" s="42" t="b">
        <v>1</v>
      </c>
      <c r="AD1442" s="87" t="str">
        <f t="shared" si="210"/>
        <v>USD</v>
      </c>
      <c r="AE1442" s="88" t="s">
        <v>138</v>
      </c>
      <c r="AF1442" s="88" t="str">
        <f t="array" ref="AF1442">INDEX('Deal Info'!D:D, MATCH(A1442,'Deal Info'!A:A, 0))</f>
        <v>DoEV</v>
      </c>
      <c r="AG1442" s="89" t="str">
        <f t="array" ref="AG1442">INDEX('Deal Info'!G:G, MATCH(A1442,'Deal Info'!A:A, 0))</f>
        <v>None</v>
      </c>
    </row>
    <row r="1443" hidden="1">
      <c r="A1443" s="23" t="str">
        <f t="array" ref="A1443">if(G1443='Room Info'!$B$1, INDEX('Room Info'!$A$2:$A3446, MATCH(B1443,'Room Info'!$B$2:$B3446, 0)),if(G1443='Room Info'!$C$1, INDEX('Room Info'!$A$2:$A3446, MATCH(B1443,'Room Info'!$C$2:$C3446, 0)),if(G1443='Room Info'!$D$1, INDEX('Room Info'!$A$2:$A3446, MATCH(B1443,'Room Info'!$D$2:$D3446, 0)),if(G1443='Room Info'!$E$1, INDEX('Room Info'!$A$2:$A3446, MATCH(B1443,'Room Info'!$E$2:$E3446, 0)),if(G1443='Room Info'!$F$1, INDEX('Room Info'!$A$2:$A3446, MATCH(B1443,'Room Info'!$F$2:$F3446, 0)),if(G1443='Room Info'!$H$1, INDEX('Room Info'!$A$2:$A3446, MATCH(B1443,'Room Info'!$H$2:$H3446, 0)),if(G1443='Room Info'!$G$1, INDEX('Room Info'!$A$2:$A3446, MATCH(B1443,'Room Info'!$G$2:$G3446, 0)))))))))</f>
        <v>BodyaComUa</v>
      </c>
      <c r="B1443" s="90" t="s">
        <v>184</v>
      </c>
      <c r="C1443" s="91">
        <v>44947.0</v>
      </c>
      <c r="D1443" s="92">
        <v>44977.0</v>
      </c>
      <c r="E1443" s="26">
        <v>44958.0</v>
      </c>
      <c r="F1443" s="27" t="s">
        <v>4</v>
      </c>
      <c r="G1443" s="23" t="s">
        <v>5</v>
      </c>
      <c r="H1443" s="28" t="s">
        <v>45</v>
      </c>
      <c r="I1443" s="28" t="s">
        <v>7</v>
      </c>
      <c r="J1443" s="44">
        <f t="shared" si="203"/>
        <v>10</v>
      </c>
      <c r="K1443" s="93">
        <v>1500.0</v>
      </c>
      <c r="L1443" s="94">
        <v>150.0</v>
      </c>
      <c r="M1443" s="32"/>
      <c r="N1443" s="33">
        <f t="shared" si="155"/>
        <v>15000</v>
      </c>
      <c r="O1443" s="90">
        <v>84315.0</v>
      </c>
      <c r="P1443" s="34">
        <f t="shared" si="14"/>
        <v>56.21</v>
      </c>
      <c r="Q1443" s="35"/>
      <c r="R1443" s="36">
        <f t="shared" si="196"/>
        <v>0</v>
      </c>
      <c r="S1443" s="33"/>
      <c r="T1443" s="37">
        <f t="shared" si="204"/>
        <v>0</v>
      </c>
      <c r="U1443" s="38">
        <v>1.067</v>
      </c>
      <c r="V1443" s="39">
        <v>7.74</v>
      </c>
      <c r="W1443" s="39">
        <v>230.2325581395349</v>
      </c>
      <c r="X1443" s="35">
        <f t="shared" si="205"/>
        <v>0.17</v>
      </c>
      <c r="Y1443" s="35">
        <f t="shared" si="206"/>
        <v>0</v>
      </c>
      <c r="Z1443" s="40">
        <f t="shared" si="207"/>
        <v>0</v>
      </c>
      <c r="AA1443" s="34">
        <f t="shared" si="208"/>
        <v>0</v>
      </c>
      <c r="AB1443" s="41">
        <f t="shared" si="209"/>
        <v>0</v>
      </c>
      <c r="AC1443" s="42" t="b">
        <v>1</v>
      </c>
      <c r="AD1443" s="87" t="str">
        <f t="shared" si="210"/>
        <v>USD</v>
      </c>
      <c r="AE1443" s="88" t="s">
        <v>138</v>
      </c>
      <c r="AF1443" s="88" t="str">
        <f t="array" ref="AF1443">INDEX('Deal Info'!D:D, MATCH(A1443,'Deal Info'!A:A, 0))</f>
        <v>DoEV</v>
      </c>
      <c r="AG1443" s="89" t="str">
        <f t="array" ref="AG1443">INDEX('Deal Info'!G:G, MATCH(A1443,'Deal Info'!A:A, 0))</f>
        <v>None</v>
      </c>
    </row>
    <row r="1444" hidden="1">
      <c r="A1444" s="23" t="str">
        <f t="array" ref="A1444">if(G1444='Room Info'!$B$1, INDEX('Room Info'!$A$2:$A3446, MATCH(B1444,'Room Info'!$B$2:$B3446, 0)),if(G1444='Room Info'!$C$1, INDEX('Room Info'!$A$2:$A3446, MATCH(B1444,'Room Info'!$C$2:$C3446, 0)),if(G1444='Room Info'!$D$1, INDEX('Room Info'!$A$2:$A3446, MATCH(B1444,'Room Info'!$D$2:$D3446, 0)),if(G1444='Room Info'!$E$1, INDEX('Room Info'!$A$2:$A3446, MATCH(B1444,'Room Info'!$E$2:$E3446, 0)),if(G1444='Room Info'!$F$1, INDEX('Room Info'!$A$2:$A3446, MATCH(B1444,'Room Info'!$F$2:$F3446, 0)),if(G1444='Room Info'!$H$1, INDEX('Room Info'!$A$2:$A3446, MATCH(B1444,'Room Info'!$H$2:$H3446, 0)),if(G1444='Room Info'!$G$1, INDEX('Room Info'!$A$2:$A3446, MATCH(B1444,'Room Info'!$G$2:$G3446, 0)))))))))</f>
        <v>bbaltqq</v>
      </c>
      <c r="B1444" s="90" t="s">
        <v>149</v>
      </c>
      <c r="C1444" s="91">
        <v>44947.0</v>
      </c>
      <c r="D1444" s="92">
        <v>44977.0</v>
      </c>
      <c r="E1444" s="26">
        <v>44958.0</v>
      </c>
      <c r="F1444" s="27" t="s">
        <v>4</v>
      </c>
      <c r="G1444" s="23" t="s">
        <v>5</v>
      </c>
      <c r="H1444" s="28" t="s">
        <v>35</v>
      </c>
      <c r="I1444" s="28" t="s">
        <v>7</v>
      </c>
      <c r="J1444" s="44">
        <f t="shared" si="203"/>
        <v>5</v>
      </c>
      <c r="K1444" s="93">
        <v>2.0</v>
      </c>
      <c r="L1444" s="94">
        <v>-10.0</v>
      </c>
      <c r="M1444" s="47">
        <v>8155.0</v>
      </c>
      <c r="N1444" s="33">
        <f t="shared" si="155"/>
        <v>10</v>
      </c>
      <c r="O1444" s="23"/>
      <c r="P1444" s="34">
        <f t="shared" si="14"/>
        <v>0</v>
      </c>
      <c r="Q1444" s="35"/>
      <c r="R1444" s="36">
        <f t="shared" si="196"/>
        <v>8155</v>
      </c>
      <c r="S1444" s="124">
        <v>-6220.0</v>
      </c>
      <c r="T1444" s="37">
        <f t="shared" si="204"/>
        <v>1935</v>
      </c>
      <c r="U1444" s="38">
        <v>1.067</v>
      </c>
      <c r="V1444" s="39">
        <v>49.968936953520476</v>
      </c>
      <c r="W1444" s="39">
        <v>38.72405774411162</v>
      </c>
      <c r="X1444" s="35">
        <f t="shared" si="205"/>
        <v>0.26</v>
      </c>
      <c r="Y1444" s="35">
        <f t="shared" si="206"/>
        <v>0</v>
      </c>
      <c r="Z1444" s="40">
        <f t="shared" si="207"/>
        <v>1431.9</v>
      </c>
      <c r="AA1444" s="34">
        <f t="shared" si="208"/>
        <v>503.1</v>
      </c>
      <c r="AB1444" s="41">
        <f t="shared" si="209"/>
        <v>0</v>
      </c>
      <c r="AC1444" s="42" t="b">
        <v>0</v>
      </c>
      <c r="AD1444" s="87" t="str">
        <f t="shared" si="210"/>
        <v>USD</v>
      </c>
      <c r="AE1444" s="88" t="s">
        <v>138</v>
      </c>
      <c r="AF1444" s="88" t="str">
        <f t="array" ref="AF1444">INDEX('Deal Info'!D:D, MATCH(A1444,'Deal Info'!A:A, 0))</f>
        <v>SF</v>
      </c>
      <c r="AG1444" s="89" t="str">
        <f t="array" ref="AG1444">INDEX('Deal Info'!G:G, MATCH(A1444,'Deal Info'!A:A, 0))</f>
        <v>None</v>
      </c>
    </row>
    <row r="1445" hidden="1">
      <c r="A1445" s="23" t="str">
        <f t="array" ref="A1445">if(G1445='Room Info'!$B$1, INDEX('Room Info'!$A$2:$A3446, MATCH(B1445,'Room Info'!$B$2:$B3446, 0)),if(G1445='Room Info'!$C$1, INDEX('Room Info'!$A$2:$A3446, MATCH(B1445,'Room Info'!$C$2:$C3446, 0)),if(G1445='Room Info'!$D$1, INDEX('Room Info'!$A$2:$A3446, MATCH(B1445,'Room Info'!$D$2:$D3446, 0)),if(G1445='Room Info'!$E$1, INDEX('Room Info'!$A$2:$A3446, MATCH(B1445,'Room Info'!$E$2:$E3446, 0)),if(G1445='Room Info'!$F$1, INDEX('Room Info'!$A$2:$A3446, MATCH(B1445,'Room Info'!$F$2:$F3446, 0)),if(G1445='Room Info'!$H$1, INDEX('Room Info'!$A$2:$A3446, MATCH(B1445,'Room Info'!$H$2:$H3446, 0)),if(G1445='Room Info'!$G$1, INDEX('Room Info'!$A$2:$A3446, MATCH(B1445,'Room Info'!$G$2:$G3446, 0)))))))))</f>
        <v>bbaltqq</v>
      </c>
      <c r="B1445" s="90" t="s">
        <v>149</v>
      </c>
      <c r="C1445" s="91">
        <v>44947.0</v>
      </c>
      <c r="D1445" s="92">
        <v>44977.0</v>
      </c>
      <c r="E1445" s="26">
        <v>44958.0</v>
      </c>
      <c r="F1445" s="27" t="s">
        <v>4</v>
      </c>
      <c r="G1445" s="23" t="s">
        <v>5</v>
      </c>
      <c r="H1445" s="28" t="s">
        <v>36</v>
      </c>
      <c r="I1445" s="28" t="s">
        <v>11</v>
      </c>
      <c r="J1445" s="44">
        <f t="shared" si="203"/>
        <v>5</v>
      </c>
      <c r="K1445" s="93">
        <v>1.0</v>
      </c>
      <c r="L1445" s="94">
        <v>-5.0</v>
      </c>
      <c r="M1445" s="32"/>
      <c r="N1445" s="33">
        <f t="shared" si="155"/>
        <v>5</v>
      </c>
      <c r="O1445" s="23"/>
      <c r="P1445" s="34">
        <f t="shared" si="14"/>
        <v>0</v>
      </c>
      <c r="Q1445" s="35"/>
      <c r="R1445" s="36">
        <f t="shared" si="196"/>
        <v>0</v>
      </c>
      <c r="S1445" s="33"/>
      <c r="T1445" s="37">
        <f t="shared" si="204"/>
        <v>0</v>
      </c>
      <c r="U1445" s="38">
        <v>1.067</v>
      </c>
      <c r="V1445" s="39">
        <v>49.968936953520476</v>
      </c>
      <c r="W1445" s="39">
        <v>38.72405774411162</v>
      </c>
      <c r="X1445" s="35">
        <f t="shared" si="205"/>
        <v>0.26</v>
      </c>
      <c r="Y1445" s="35">
        <f t="shared" si="206"/>
        <v>0</v>
      </c>
      <c r="Z1445" s="40">
        <f t="shared" si="207"/>
        <v>0</v>
      </c>
      <c r="AA1445" s="34">
        <f t="shared" si="208"/>
        <v>0</v>
      </c>
      <c r="AB1445" s="41">
        <f t="shared" si="209"/>
        <v>0</v>
      </c>
      <c r="AC1445" s="42" t="b">
        <v>0</v>
      </c>
      <c r="AD1445" s="87" t="str">
        <f t="shared" si="210"/>
        <v>USD</v>
      </c>
      <c r="AE1445" s="88" t="s">
        <v>138</v>
      </c>
      <c r="AF1445" s="88" t="str">
        <f t="array" ref="AF1445">INDEX('Deal Info'!D:D, MATCH(A1445,'Deal Info'!A:A, 0))</f>
        <v>SF</v>
      </c>
      <c r="AG1445" s="89" t="str">
        <f t="array" ref="AG1445">INDEX('Deal Info'!G:G, MATCH(A1445,'Deal Info'!A:A, 0))</f>
        <v>None</v>
      </c>
    </row>
    <row r="1446" hidden="1">
      <c r="A1446" s="23" t="str">
        <f t="array" ref="A1446">if(G1446='Room Info'!$B$1, INDEX('Room Info'!$A$2:$A3446, MATCH(B1446,'Room Info'!$B$2:$B3446, 0)),if(G1446='Room Info'!$C$1, INDEX('Room Info'!$A$2:$A3446, MATCH(B1446,'Room Info'!$C$2:$C3446, 0)),if(G1446='Room Info'!$D$1, INDEX('Room Info'!$A$2:$A3446, MATCH(B1446,'Room Info'!$D$2:$D3446, 0)),if(G1446='Room Info'!$E$1, INDEX('Room Info'!$A$2:$A3446, MATCH(B1446,'Room Info'!$E$2:$E3446, 0)),if(G1446='Room Info'!$F$1, INDEX('Room Info'!$A$2:$A3446, MATCH(B1446,'Room Info'!$F$2:$F3446, 0)),if(G1446='Room Info'!$H$1, INDEX('Room Info'!$A$2:$A3446, MATCH(B1446,'Room Info'!$H$2:$H3446, 0)),if(G1446='Room Info'!$G$1, INDEX('Room Info'!$A$2:$A3446, MATCH(B1446,'Room Info'!$G$2:$G3446, 0)))))))))</f>
        <v>bbaltqq</v>
      </c>
      <c r="B1446" s="90" t="s">
        <v>149</v>
      </c>
      <c r="C1446" s="91">
        <v>44947.0</v>
      </c>
      <c r="D1446" s="92">
        <v>44977.0</v>
      </c>
      <c r="E1446" s="26">
        <v>44958.0</v>
      </c>
      <c r="F1446" s="27" t="s">
        <v>4</v>
      </c>
      <c r="G1446" s="23" t="s">
        <v>5</v>
      </c>
      <c r="H1446" s="28" t="s">
        <v>74</v>
      </c>
      <c r="I1446" s="28" t="s">
        <v>7</v>
      </c>
      <c r="J1446" s="44">
        <f t="shared" si="203"/>
        <v>50</v>
      </c>
      <c r="K1446" s="93">
        <v>4343.0</v>
      </c>
      <c r="L1446" s="94">
        <v>-9500.0</v>
      </c>
      <c r="M1446" s="32"/>
      <c r="N1446" s="33">
        <f t="shared" si="155"/>
        <v>217150</v>
      </c>
      <c r="O1446" s="90">
        <v>80267.0</v>
      </c>
      <c r="P1446" s="34">
        <f t="shared" si="14"/>
        <v>18.48192494</v>
      </c>
      <c r="Q1446" s="35"/>
      <c r="R1446" s="36">
        <f t="shared" si="196"/>
        <v>0</v>
      </c>
      <c r="S1446" s="33"/>
      <c r="T1446" s="37">
        <f t="shared" si="204"/>
        <v>0</v>
      </c>
      <c r="U1446" s="38">
        <v>1.067</v>
      </c>
      <c r="V1446" s="39">
        <v>49.968936953520476</v>
      </c>
      <c r="W1446" s="39">
        <v>38.72405774411162</v>
      </c>
      <c r="X1446" s="35">
        <f t="shared" si="205"/>
        <v>0.26</v>
      </c>
      <c r="Y1446" s="35">
        <f t="shared" si="206"/>
        <v>0</v>
      </c>
      <c r="Z1446" s="40">
        <f t="shared" si="207"/>
        <v>0</v>
      </c>
      <c r="AA1446" s="34">
        <f t="shared" si="208"/>
        <v>0</v>
      </c>
      <c r="AB1446" s="41">
        <f t="shared" si="209"/>
        <v>0</v>
      </c>
      <c r="AC1446" s="42" t="b">
        <v>0</v>
      </c>
      <c r="AD1446" s="87" t="str">
        <f t="shared" si="210"/>
        <v>USD</v>
      </c>
      <c r="AE1446" s="88" t="s">
        <v>138</v>
      </c>
      <c r="AF1446" s="88" t="str">
        <f t="array" ref="AF1446">INDEX('Deal Info'!D:D, MATCH(A1446,'Deal Info'!A:A, 0))</f>
        <v>SF</v>
      </c>
      <c r="AG1446" s="89" t="str">
        <f t="array" ref="AG1446">INDEX('Deal Info'!G:G, MATCH(A1446,'Deal Info'!A:A, 0))</f>
        <v>None</v>
      </c>
    </row>
    <row r="1447" hidden="1">
      <c r="A1447" s="23" t="str">
        <f t="array" ref="A1447">if(G1447='Room Info'!$B$1, INDEX('Room Info'!$A$2:$A3446, MATCH(B1447,'Room Info'!$B$2:$B3446, 0)),if(G1447='Room Info'!$C$1, INDEX('Room Info'!$A$2:$A3446, MATCH(B1447,'Room Info'!$C$2:$C3446, 0)),if(G1447='Room Info'!$D$1, INDEX('Room Info'!$A$2:$A3446, MATCH(B1447,'Room Info'!$D$2:$D3446, 0)),if(G1447='Room Info'!$E$1, INDEX('Room Info'!$A$2:$A3446, MATCH(B1447,'Room Info'!$E$2:$E3446, 0)),if(G1447='Room Info'!$F$1, INDEX('Room Info'!$A$2:$A3446, MATCH(B1447,'Room Info'!$F$2:$F3446, 0)),if(G1447='Room Info'!$H$1, INDEX('Room Info'!$A$2:$A3446, MATCH(B1447,'Room Info'!$H$2:$H3446, 0)),if(G1447='Room Info'!$G$1, INDEX('Room Info'!$A$2:$A3446, MATCH(B1447,'Room Info'!$G$2:$G3446, 0)))))))))</f>
        <v>volkovsky</v>
      </c>
      <c r="B1447" s="90" t="s">
        <v>216</v>
      </c>
      <c r="C1447" s="91">
        <v>44947.0</v>
      </c>
      <c r="D1447" s="92">
        <v>44977.0</v>
      </c>
      <c r="E1447" s="26">
        <v>44958.0</v>
      </c>
      <c r="F1447" s="27" t="s">
        <v>4</v>
      </c>
      <c r="G1447" s="23" t="s">
        <v>5</v>
      </c>
      <c r="H1447" s="28" t="s">
        <v>85</v>
      </c>
      <c r="I1447" s="28" t="s">
        <v>7</v>
      </c>
      <c r="J1447" s="44">
        <f t="shared" si="203"/>
        <v>100</v>
      </c>
      <c r="K1447" s="93">
        <v>1585.0</v>
      </c>
      <c r="L1447" s="94">
        <v>-800.0</v>
      </c>
      <c r="M1447" s="47">
        <v>15400.0</v>
      </c>
      <c r="N1447" s="33">
        <f t="shared" si="155"/>
        <v>158500</v>
      </c>
      <c r="O1447" s="90">
        <v>81334.0</v>
      </c>
      <c r="P1447" s="34">
        <f t="shared" si="14"/>
        <v>51.3148265</v>
      </c>
      <c r="Q1447" s="35"/>
      <c r="R1447" s="36">
        <f t="shared" si="196"/>
        <v>15400</v>
      </c>
      <c r="S1447" s="124">
        <v>-4568.0</v>
      </c>
      <c r="T1447" s="37">
        <f t="shared" si="204"/>
        <v>10832</v>
      </c>
      <c r="U1447" s="38">
        <v>1.067</v>
      </c>
      <c r="V1447" s="69">
        <v>147.5306203</v>
      </c>
      <c r="W1447" s="69">
        <v>73.42204606</v>
      </c>
      <c r="X1447" s="35">
        <f t="shared" si="205"/>
        <v>0.1</v>
      </c>
      <c r="Y1447" s="35">
        <f t="shared" si="206"/>
        <v>0</v>
      </c>
      <c r="Z1447" s="40">
        <f t="shared" si="207"/>
        <v>9748.8</v>
      </c>
      <c r="AA1447" s="34">
        <f t="shared" si="208"/>
        <v>1083.2</v>
      </c>
      <c r="AB1447" s="41">
        <f t="shared" si="209"/>
        <v>0</v>
      </c>
      <c r="AC1447" s="42" t="b">
        <v>1</v>
      </c>
      <c r="AD1447" s="87" t="str">
        <f t="shared" si="210"/>
        <v>USD</v>
      </c>
      <c r="AE1447" s="88" t="s">
        <v>138</v>
      </c>
      <c r="AF1447" s="88" t="str">
        <f t="array" ref="AF1447">INDEX('Deal Info'!D:D, MATCH(A1447,'Deal Info'!A:A, 0))</f>
        <v>Fix10</v>
      </c>
      <c r="AG1447" s="89" t="str">
        <f t="array" ref="AG1447">INDEX('Deal Info'!G:G, MATCH(A1447,'Deal Info'!A:A, 0))</f>
        <v>None</v>
      </c>
    </row>
    <row r="1448" hidden="1">
      <c r="A1448" s="23" t="str">
        <f t="array" ref="A1448">if(G1448='Room Info'!$B$1, INDEX('Room Info'!$A$2:$A3446, MATCH(B1448,'Room Info'!$B$2:$B3446, 0)),if(G1448='Room Info'!$C$1, INDEX('Room Info'!$A$2:$A3446, MATCH(B1448,'Room Info'!$C$2:$C3446, 0)),if(G1448='Room Info'!$D$1, INDEX('Room Info'!$A$2:$A3446, MATCH(B1448,'Room Info'!$D$2:$D3446, 0)),if(G1448='Room Info'!$E$1, INDEX('Room Info'!$A$2:$A3446, MATCH(B1448,'Room Info'!$E$2:$E3446, 0)),if(G1448='Room Info'!$F$1, INDEX('Room Info'!$A$2:$A3446, MATCH(B1448,'Room Info'!$F$2:$F3446, 0)),if(G1448='Room Info'!$H$1, INDEX('Room Info'!$A$2:$A3446, MATCH(B1448,'Room Info'!$H$2:$H3446, 0)),if(G1448='Room Info'!$G$1, INDEX('Room Info'!$A$2:$A3446, MATCH(B1448,'Room Info'!$G$2:$G3446, 0)))))))))</f>
        <v>volkovsky</v>
      </c>
      <c r="B1448" s="90" t="s">
        <v>216</v>
      </c>
      <c r="C1448" s="91">
        <v>44947.0</v>
      </c>
      <c r="D1448" s="92">
        <v>44977.0</v>
      </c>
      <c r="E1448" s="26">
        <v>44958.0</v>
      </c>
      <c r="F1448" s="27" t="s">
        <v>4</v>
      </c>
      <c r="G1448" s="23" t="s">
        <v>5</v>
      </c>
      <c r="H1448" s="28" t="s">
        <v>86</v>
      </c>
      <c r="I1448" s="28" t="s">
        <v>11</v>
      </c>
      <c r="J1448" s="44">
        <f t="shared" si="203"/>
        <v>100</v>
      </c>
      <c r="K1448" s="93">
        <v>144.0</v>
      </c>
      <c r="L1448" s="94">
        <v>-800.0</v>
      </c>
      <c r="M1448" s="32"/>
      <c r="N1448" s="33">
        <f t="shared" si="155"/>
        <v>14400</v>
      </c>
      <c r="O1448" s="90">
        <v>678.0</v>
      </c>
      <c r="P1448" s="34">
        <f t="shared" si="14"/>
        <v>4.708333333</v>
      </c>
      <c r="Q1448" s="35"/>
      <c r="R1448" s="36">
        <f t="shared" si="196"/>
        <v>0</v>
      </c>
      <c r="S1448" s="33"/>
      <c r="T1448" s="37">
        <f t="shared" si="204"/>
        <v>0</v>
      </c>
      <c r="U1448" s="38">
        <v>1.067</v>
      </c>
      <c r="V1448" s="69">
        <v>147.5306203</v>
      </c>
      <c r="W1448" s="69">
        <v>73.42204606</v>
      </c>
      <c r="X1448" s="35">
        <f t="shared" si="205"/>
        <v>0.1</v>
      </c>
      <c r="Y1448" s="35">
        <f t="shared" si="206"/>
        <v>0</v>
      </c>
      <c r="Z1448" s="40">
        <f t="shared" si="207"/>
        <v>0</v>
      </c>
      <c r="AA1448" s="34">
        <f t="shared" si="208"/>
        <v>0</v>
      </c>
      <c r="AB1448" s="41">
        <f t="shared" si="209"/>
        <v>0</v>
      </c>
      <c r="AC1448" s="42" t="b">
        <v>1</v>
      </c>
      <c r="AD1448" s="87" t="str">
        <f t="shared" si="210"/>
        <v>USD</v>
      </c>
      <c r="AE1448" s="88" t="s">
        <v>138</v>
      </c>
      <c r="AF1448" s="88" t="str">
        <f t="array" ref="AF1448">INDEX('Deal Info'!D:D, MATCH(A1448,'Deal Info'!A:A, 0))</f>
        <v>Fix10</v>
      </c>
      <c r="AG1448" s="89" t="str">
        <f t="array" ref="AG1448">INDEX('Deal Info'!G:G, MATCH(A1448,'Deal Info'!A:A, 0))</f>
        <v>None</v>
      </c>
    </row>
    <row r="1449" hidden="1">
      <c r="A1449" s="23" t="str">
        <f t="array" ref="A1449">if(G1449='Room Info'!$B$1, INDEX('Room Info'!$A$2:$A3446, MATCH(B1449,'Room Info'!$B$2:$B3446, 0)),if(G1449='Room Info'!$C$1, INDEX('Room Info'!$A$2:$A3446, MATCH(B1449,'Room Info'!$C$2:$C3446, 0)),if(G1449='Room Info'!$D$1, INDEX('Room Info'!$A$2:$A3446, MATCH(B1449,'Room Info'!$D$2:$D3446, 0)),if(G1449='Room Info'!$E$1, INDEX('Room Info'!$A$2:$A3446, MATCH(B1449,'Room Info'!$E$2:$E3446, 0)),if(G1449='Room Info'!$F$1, INDEX('Room Info'!$A$2:$A3446, MATCH(B1449,'Room Info'!$F$2:$F3446, 0)),if(G1449='Room Info'!$H$1, INDEX('Room Info'!$A$2:$A3446, MATCH(B1449,'Room Info'!$H$2:$H3446, 0)),if(G1449='Room Info'!$G$1, INDEX('Room Info'!$A$2:$A3446, MATCH(B1449,'Room Info'!$G$2:$G3446, 0)))))))))</f>
        <v>volkovsky</v>
      </c>
      <c r="B1449" s="90" t="s">
        <v>216</v>
      </c>
      <c r="C1449" s="91">
        <v>44947.0</v>
      </c>
      <c r="D1449" s="92">
        <v>44977.0</v>
      </c>
      <c r="E1449" s="26">
        <v>44958.0</v>
      </c>
      <c r="F1449" s="27" t="s">
        <v>4</v>
      </c>
      <c r="G1449" s="23" t="s">
        <v>5</v>
      </c>
      <c r="H1449" s="28" t="s">
        <v>96</v>
      </c>
      <c r="I1449" s="28" t="s">
        <v>7</v>
      </c>
      <c r="J1449" s="44">
        <f t="shared" si="203"/>
        <v>250</v>
      </c>
      <c r="K1449" s="93">
        <v>584.0</v>
      </c>
      <c r="L1449" s="94">
        <v>6500.0</v>
      </c>
      <c r="M1449" s="32"/>
      <c r="N1449" s="33">
        <f t="shared" si="155"/>
        <v>146000</v>
      </c>
      <c r="O1449" s="90">
        <v>-2365.0</v>
      </c>
      <c r="P1449" s="34">
        <f t="shared" si="14"/>
        <v>-4.049657534</v>
      </c>
      <c r="Q1449" s="35"/>
      <c r="R1449" s="36">
        <f t="shared" si="196"/>
        <v>0</v>
      </c>
      <c r="S1449" s="33"/>
      <c r="T1449" s="37">
        <f t="shared" si="204"/>
        <v>0</v>
      </c>
      <c r="U1449" s="38">
        <v>1.067</v>
      </c>
      <c r="V1449" s="69">
        <v>147.5306203</v>
      </c>
      <c r="W1449" s="69">
        <v>73.42204606</v>
      </c>
      <c r="X1449" s="35">
        <f t="shared" si="205"/>
        <v>0.1</v>
      </c>
      <c r="Y1449" s="35">
        <f t="shared" si="206"/>
        <v>0</v>
      </c>
      <c r="Z1449" s="40">
        <f t="shared" si="207"/>
        <v>0</v>
      </c>
      <c r="AA1449" s="34">
        <f t="shared" si="208"/>
        <v>0</v>
      </c>
      <c r="AB1449" s="41">
        <f t="shared" si="209"/>
        <v>0</v>
      </c>
      <c r="AC1449" s="42" t="b">
        <v>1</v>
      </c>
      <c r="AD1449" s="87" t="str">
        <f t="shared" si="210"/>
        <v>USD</v>
      </c>
      <c r="AE1449" s="88" t="s">
        <v>138</v>
      </c>
      <c r="AF1449" s="88" t="str">
        <f t="array" ref="AF1449">INDEX('Deal Info'!D:D, MATCH(A1449,'Deal Info'!A:A, 0))</f>
        <v>Fix10</v>
      </c>
      <c r="AG1449" s="89" t="str">
        <f t="array" ref="AG1449">INDEX('Deal Info'!G:G, MATCH(A1449,'Deal Info'!A:A, 0))</f>
        <v>None</v>
      </c>
    </row>
    <row r="1450" hidden="1">
      <c r="A1450" s="23" t="str">
        <f t="array" ref="A1450">if(G1450='Room Info'!$B$1, INDEX('Room Info'!$A$2:$A3446, MATCH(B1450,'Room Info'!$B$2:$B3446, 0)),if(G1450='Room Info'!$C$1, INDEX('Room Info'!$A$2:$A3446, MATCH(B1450,'Room Info'!$C$2:$C3446, 0)),if(G1450='Room Info'!$D$1, INDEX('Room Info'!$A$2:$A3446, MATCH(B1450,'Room Info'!$D$2:$D3446, 0)),if(G1450='Room Info'!$E$1, INDEX('Room Info'!$A$2:$A3446, MATCH(B1450,'Room Info'!$E$2:$E3446, 0)),if(G1450='Room Info'!$F$1, INDEX('Room Info'!$A$2:$A3446, MATCH(B1450,'Room Info'!$F$2:$F3446, 0)),if(G1450='Room Info'!$H$1, INDEX('Room Info'!$A$2:$A3446, MATCH(B1450,'Room Info'!$H$2:$H3446, 0)),if(G1450='Room Info'!$G$1, INDEX('Room Info'!$A$2:$A3446, MATCH(B1450,'Room Info'!$G$2:$G3446, 0)))))))))</f>
        <v>volkovsky</v>
      </c>
      <c r="B1450" s="90" t="s">
        <v>216</v>
      </c>
      <c r="C1450" s="91">
        <v>44947.0</v>
      </c>
      <c r="D1450" s="92">
        <v>44977.0</v>
      </c>
      <c r="E1450" s="26">
        <v>44958.0</v>
      </c>
      <c r="F1450" s="27" t="s">
        <v>4</v>
      </c>
      <c r="G1450" s="23" t="s">
        <v>5</v>
      </c>
      <c r="H1450" s="28" t="s">
        <v>97</v>
      </c>
      <c r="I1450" s="28" t="s">
        <v>11</v>
      </c>
      <c r="J1450" s="44">
        <f t="shared" si="203"/>
        <v>250</v>
      </c>
      <c r="K1450" s="93">
        <v>218.0</v>
      </c>
      <c r="L1450" s="94">
        <v>32250.0</v>
      </c>
      <c r="M1450" s="32"/>
      <c r="N1450" s="33">
        <f t="shared" si="155"/>
        <v>54500</v>
      </c>
      <c r="O1450" s="90">
        <v>465.0</v>
      </c>
      <c r="P1450" s="34">
        <f t="shared" si="14"/>
        <v>2.133027523</v>
      </c>
      <c r="Q1450" s="35"/>
      <c r="R1450" s="36">
        <f t="shared" si="196"/>
        <v>0</v>
      </c>
      <c r="S1450" s="33"/>
      <c r="T1450" s="37">
        <f t="shared" si="204"/>
        <v>0</v>
      </c>
      <c r="U1450" s="38">
        <v>1.067</v>
      </c>
      <c r="V1450" s="69">
        <v>147.5306203</v>
      </c>
      <c r="W1450" s="69">
        <v>73.42204606</v>
      </c>
      <c r="X1450" s="35">
        <f t="shared" si="205"/>
        <v>0.1</v>
      </c>
      <c r="Y1450" s="35">
        <f t="shared" si="206"/>
        <v>0</v>
      </c>
      <c r="Z1450" s="40">
        <f t="shared" si="207"/>
        <v>0</v>
      </c>
      <c r="AA1450" s="34">
        <f t="shared" si="208"/>
        <v>0</v>
      </c>
      <c r="AB1450" s="41">
        <f t="shared" si="209"/>
        <v>0</v>
      </c>
      <c r="AC1450" s="42" t="b">
        <v>1</v>
      </c>
      <c r="AD1450" s="87" t="str">
        <f t="shared" si="210"/>
        <v>USD</v>
      </c>
      <c r="AE1450" s="88" t="s">
        <v>138</v>
      </c>
      <c r="AF1450" s="88" t="str">
        <f t="array" ref="AF1450">INDEX('Deal Info'!D:D, MATCH(A1450,'Deal Info'!A:A, 0))</f>
        <v>Fix10</v>
      </c>
      <c r="AG1450" s="89" t="str">
        <f t="array" ref="AG1450">INDEX('Deal Info'!G:G, MATCH(A1450,'Deal Info'!A:A, 0))</f>
        <v>None</v>
      </c>
    </row>
    <row r="1451" hidden="1">
      <c r="A1451" s="23" t="str">
        <f t="array" ref="A1451">if(G1451='Room Info'!$B$1, INDEX('Room Info'!$A$2:$A3446, MATCH(B1451,'Room Info'!$B$2:$B3446, 0)),if(G1451='Room Info'!$C$1, INDEX('Room Info'!$A$2:$A3446, MATCH(B1451,'Room Info'!$C$2:$C3446, 0)),if(G1451='Room Info'!$D$1, INDEX('Room Info'!$A$2:$A3446, MATCH(B1451,'Room Info'!$D$2:$D3446, 0)),if(G1451='Room Info'!$E$1, INDEX('Room Info'!$A$2:$A3446, MATCH(B1451,'Room Info'!$E$2:$E3446, 0)),if(G1451='Room Info'!$F$1, INDEX('Room Info'!$A$2:$A3446, MATCH(B1451,'Room Info'!$F$2:$F3446, 0)),if(G1451='Room Info'!$H$1, INDEX('Room Info'!$A$2:$A3446, MATCH(B1451,'Room Info'!$H$2:$H3446, 0)),if(G1451='Room Info'!$G$1, INDEX('Room Info'!$A$2:$A3446, MATCH(B1451,'Room Info'!$G$2:$G3446, 0)))))))))</f>
        <v>QQcheliQ</v>
      </c>
      <c r="B1451" s="90" t="s">
        <v>210</v>
      </c>
      <c r="C1451" s="91">
        <v>44947.0</v>
      </c>
      <c r="D1451" s="92">
        <v>44977.0</v>
      </c>
      <c r="E1451" s="26">
        <v>44958.0</v>
      </c>
      <c r="F1451" s="27" t="s">
        <v>4</v>
      </c>
      <c r="G1451" s="23" t="s">
        <v>5</v>
      </c>
      <c r="H1451" s="28" t="s">
        <v>36</v>
      </c>
      <c r="I1451" s="28" t="s">
        <v>11</v>
      </c>
      <c r="J1451" s="44">
        <f t="shared" si="203"/>
        <v>5</v>
      </c>
      <c r="K1451" s="93">
        <v>1.0</v>
      </c>
      <c r="L1451" s="94">
        <v>5.0</v>
      </c>
      <c r="M1451" s="47">
        <v>3005.0</v>
      </c>
      <c r="N1451" s="33">
        <f t="shared" si="155"/>
        <v>5</v>
      </c>
      <c r="O1451" s="23"/>
      <c r="P1451" s="34">
        <f t="shared" si="14"/>
        <v>0</v>
      </c>
      <c r="Q1451" s="35"/>
      <c r="R1451" s="36">
        <f t="shared" si="196"/>
        <v>3005</v>
      </c>
      <c r="S1451" s="124">
        <v>-2719.0</v>
      </c>
      <c r="T1451" s="37">
        <f t="shared" si="204"/>
        <v>286</v>
      </c>
      <c r="U1451" s="38">
        <v>1.067</v>
      </c>
      <c r="V1451" s="39">
        <v>29.40107393638992</v>
      </c>
      <c r="W1451" s="39">
        <v>9.727535824669852</v>
      </c>
      <c r="X1451" s="35">
        <f t="shared" si="205"/>
        <v>0.3</v>
      </c>
      <c r="Y1451" s="35">
        <f t="shared" si="206"/>
        <v>0</v>
      </c>
      <c r="Z1451" s="40">
        <f t="shared" si="207"/>
        <v>200.2</v>
      </c>
      <c r="AA1451" s="34">
        <f t="shared" si="208"/>
        <v>85.8</v>
      </c>
      <c r="AB1451" s="41">
        <f t="shared" si="209"/>
        <v>0</v>
      </c>
      <c r="AC1451" s="42" t="b">
        <v>1</v>
      </c>
      <c r="AD1451" s="87" t="str">
        <f t="shared" si="210"/>
        <v>USD</v>
      </c>
      <c r="AE1451" s="88" t="s">
        <v>138</v>
      </c>
      <c r="AF1451" s="88" t="str">
        <f t="array" ref="AF1451">INDEX('Deal Info'!D:D, MATCH(A1451,'Deal Info'!A:A, 0))</f>
        <v>DoEV</v>
      </c>
      <c r="AG1451" s="89" t="str">
        <f t="array" ref="AG1451">INDEX('Deal Info'!G:G, MATCH(A1451,'Deal Info'!A:A, 0))</f>
        <v>None</v>
      </c>
    </row>
    <row r="1452" hidden="1">
      <c r="A1452" s="23" t="str">
        <f t="array" ref="A1452">if(G1452='Room Info'!$B$1, INDEX('Room Info'!$A$2:$A3446, MATCH(B1452,'Room Info'!$B$2:$B3446, 0)),if(G1452='Room Info'!$C$1, INDEX('Room Info'!$A$2:$A3446, MATCH(B1452,'Room Info'!$C$2:$C3446, 0)),if(G1452='Room Info'!$D$1, INDEX('Room Info'!$A$2:$A3446, MATCH(B1452,'Room Info'!$D$2:$D3446, 0)),if(G1452='Room Info'!$E$1, INDEX('Room Info'!$A$2:$A3446, MATCH(B1452,'Room Info'!$E$2:$E3446, 0)),if(G1452='Room Info'!$F$1, INDEX('Room Info'!$A$2:$A3446, MATCH(B1452,'Room Info'!$F$2:$F3446, 0)),if(G1452='Room Info'!$H$1, INDEX('Room Info'!$A$2:$A3446, MATCH(B1452,'Room Info'!$H$2:$H3446, 0)),if(G1452='Room Info'!$G$1, INDEX('Room Info'!$A$2:$A3446, MATCH(B1452,'Room Info'!$G$2:$G3446, 0)))))))))</f>
        <v>QQcheliQ</v>
      </c>
      <c r="B1452" s="90" t="s">
        <v>210</v>
      </c>
      <c r="C1452" s="91">
        <v>44947.0</v>
      </c>
      <c r="D1452" s="92">
        <v>44977.0</v>
      </c>
      <c r="E1452" s="26">
        <v>44958.0</v>
      </c>
      <c r="F1452" s="27" t="s">
        <v>4</v>
      </c>
      <c r="G1452" s="23" t="s">
        <v>5</v>
      </c>
      <c r="H1452" s="28" t="s">
        <v>62</v>
      </c>
      <c r="I1452" s="28" t="s">
        <v>7</v>
      </c>
      <c r="J1452" s="44">
        <f t="shared" si="203"/>
        <v>25</v>
      </c>
      <c r="K1452" s="93">
        <v>1993.0</v>
      </c>
      <c r="L1452" s="94">
        <v>-1375.0</v>
      </c>
      <c r="M1452" s="32"/>
      <c r="N1452" s="33">
        <f t="shared" si="155"/>
        <v>49825</v>
      </c>
      <c r="O1452" s="90">
        <v>23304.0</v>
      </c>
      <c r="P1452" s="34">
        <f t="shared" si="14"/>
        <v>11.69292524</v>
      </c>
      <c r="Q1452" s="35"/>
      <c r="R1452" s="36">
        <f t="shared" si="196"/>
        <v>0</v>
      </c>
      <c r="S1452" s="33"/>
      <c r="T1452" s="37">
        <f t="shared" si="204"/>
        <v>0</v>
      </c>
      <c r="U1452" s="38">
        <v>1.067</v>
      </c>
      <c r="V1452" s="39">
        <v>29.40107393638992</v>
      </c>
      <c r="W1452" s="39">
        <v>9.727535824669852</v>
      </c>
      <c r="X1452" s="35">
        <f t="shared" si="205"/>
        <v>0.3</v>
      </c>
      <c r="Y1452" s="35">
        <f t="shared" si="206"/>
        <v>0</v>
      </c>
      <c r="Z1452" s="40">
        <f t="shared" si="207"/>
        <v>0</v>
      </c>
      <c r="AA1452" s="34">
        <f t="shared" si="208"/>
        <v>0</v>
      </c>
      <c r="AB1452" s="41">
        <f t="shared" si="209"/>
        <v>0</v>
      </c>
      <c r="AC1452" s="42" t="b">
        <v>1</v>
      </c>
      <c r="AD1452" s="87" t="str">
        <f t="shared" si="210"/>
        <v>USD</v>
      </c>
      <c r="AE1452" s="88" t="s">
        <v>138</v>
      </c>
      <c r="AF1452" s="88" t="str">
        <f t="array" ref="AF1452">INDEX('Deal Info'!D:D, MATCH(A1452,'Deal Info'!A:A, 0))</f>
        <v>DoEV</v>
      </c>
      <c r="AG1452" s="89" t="str">
        <f t="array" ref="AG1452">INDEX('Deal Info'!G:G, MATCH(A1452,'Deal Info'!A:A, 0))</f>
        <v>None</v>
      </c>
    </row>
    <row r="1453" hidden="1">
      <c r="A1453" s="23" t="str">
        <f t="array" ref="A1453">if(G1453='Room Info'!$B$1, INDEX('Room Info'!$A$2:$A3446, MATCH(B1453,'Room Info'!$B$2:$B3446, 0)),if(G1453='Room Info'!$C$1, INDEX('Room Info'!$A$2:$A3446, MATCH(B1453,'Room Info'!$C$2:$C3446, 0)),if(G1453='Room Info'!$D$1, INDEX('Room Info'!$A$2:$A3446, MATCH(B1453,'Room Info'!$D$2:$D3446, 0)),if(G1453='Room Info'!$E$1, INDEX('Room Info'!$A$2:$A3446, MATCH(B1453,'Room Info'!$E$2:$E3446, 0)),if(G1453='Room Info'!$F$1, INDEX('Room Info'!$A$2:$A3446, MATCH(B1453,'Room Info'!$F$2:$F3446, 0)),if(G1453='Room Info'!$H$1, INDEX('Room Info'!$A$2:$A3446, MATCH(B1453,'Room Info'!$H$2:$H3446, 0)),if(G1453='Room Info'!$G$1, INDEX('Room Info'!$A$2:$A3446, MATCH(B1453,'Room Info'!$G$2:$G3446, 0)))))))))</f>
        <v>QQcheliQ</v>
      </c>
      <c r="B1453" s="90" t="s">
        <v>210</v>
      </c>
      <c r="C1453" s="91">
        <v>44947.0</v>
      </c>
      <c r="D1453" s="92">
        <v>44977.0</v>
      </c>
      <c r="E1453" s="26">
        <v>44958.0</v>
      </c>
      <c r="F1453" s="27" t="s">
        <v>4</v>
      </c>
      <c r="G1453" s="23" t="s">
        <v>5</v>
      </c>
      <c r="H1453" s="28" t="s">
        <v>74</v>
      </c>
      <c r="I1453" s="28" t="s">
        <v>7</v>
      </c>
      <c r="J1453" s="44">
        <f t="shared" si="203"/>
        <v>50</v>
      </c>
      <c r="K1453" s="93">
        <v>427.0</v>
      </c>
      <c r="L1453" s="94">
        <v>1150.0</v>
      </c>
      <c r="M1453" s="32"/>
      <c r="N1453" s="33">
        <f t="shared" si="155"/>
        <v>21350</v>
      </c>
      <c r="O1453" s="90">
        <v>7317.0</v>
      </c>
      <c r="P1453" s="34">
        <f t="shared" si="14"/>
        <v>17.13583138</v>
      </c>
      <c r="Q1453" s="35"/>
      <c r="R1453" s="36">
        <f t="shared" si="196"/>
        <v>0</v>
      </c>
      <c r="S1453" s="33"/>
      <c r="T1453" s="37">
        <f t="shared" si="204"/>
        <v>0</v>
      </c>
      <c r="U1453" s="38">
        <v>1.067</v>
      </c>
      <c r="V1453" s="39">
        <v>29.40107393638992</v>
      </c>
      <c r="W1453" s="39">
        <v>9.727535824669852</v>
      </c>
      <c r="X1453" s="35">
        <f t="shared" si="205"/>
        <v>0.3</v>
      </c>
      <c r="Y1453" s="35">
        <f t="shared" si="206"/>
        <v>0</v>
      </c>
      <c r="Z1453" s="40">
        <f t="shared" si="207"/>
        <v>0</v>
      </c>
      <c r="AA1453" s="34">
        <f t="shared" si="208"/>
        <v>0</v>
      </c>
      <c r="AB1453" s="41">
        <f t="shared" si="209"/>
        <v>0</v>
      </c>
      <c r="AC1453" s="42" t="b">
        <v>1</v>
      </c>
      <c r="AD1453" s="87" t="str">
        <f t="shared" si="210"/>
        <v>USD</v>
      </c>
      <c r="AE1453" s="88" t="s">
        <v>138</v>
      </c>
      <c r="AF1453" s="88" t="str">
        <f t="array" ref="AF1453">INDEX('Deal Info'!D:D, MATCH(A1453,'Deal Info'!A:A, 0))</f>
        <v>DoEV</v>
      </c>
      <c r="AG1453" s="89" t="str">
        <f t="array" ref="AG1453">INDEX('Deal Info'!G:G, MATCH(A1453,'Deal Info'!A:A, 0))</f>
        <v>None</v>
      </c>
    </row>
    <row r="1454" hidden="1">
      <c r="A1454" s="23" t="str">
        <f t="array" ref="A1454">if(G1454='Room Info'!$B$1, INDEX('Room Info'!$A$2:$A3446, MATCH(B1454,'Room Info'!$B$2:$B3446, 0)),if(G1454='Room Info'!$C$1, INDEX('Room Info'!$A$2:$A3446, MATCH(B1454,'Room Info'!$C$2:$C3446, 0)),if(G1454='Room Info'!$D$1, INDEX('Room Info'!$A$2:$A3446, MATCH(B1454,'Room Info'!$D$2:$D3446, 0)),if(G1454='Room Info'!$E$1, INDEX('Room Info'!$A$2:$A3446, MATCH(B1454,'Room Info'!$E$2:$E3446, 0)),if(G1454='Room Info'!$F$1, INDEX('Room Info'!$A$2:$A3446, MATCH(B1454,'Room Info'!$F$2:$F3446, 0)),if(G1454='Room Info'!$H$1, INDEX('Room Info'!$A$2:$A3446, MATCH(B1454,'Room Info'!$H$2:$H3446, 0)),if(G1454='Room Info'!$G$1, INDEX('Room Info'!$A$2:$A3446, MATCH(B1454,'Room Info'!$G$2:$G3446, 0)))))))))</f>
        <v>overplayKK</v>
      </c>
      <c r="B1454" s="23" t="s">
        <v>208</v>
      </c>
      <c r="C1454" s="91">
        <v>44947.0</v>
      </c>
      <c r="D1454" s="92">
        <v>44977.0</v>
      </c>
      <c r="E1454" s="26">
        <v>44958.0</v>
      </c>
      <c r="F1454" s="27" t="s">
        <v>4</v>
      </c>
      <c r="G1454" s="90" t="s">
        <v>13</v>
      </c>
      <c r="H1454" s="28" t="s">
        <v>45</v>
      </c>
      <c r="I1454" s="28" t="s">
        <v>18</v>
      </c>
      <c r="J1454" s="44">
        <f t="shared" si="203"/>
        <v>10</v>
      </c>
      <c r="K1454" s="93">
        <v>10805.0</v>
      </c>
      <c r="L1454" s="94">
        <v>-1230.0</v>
      </c>
      <c r="M1454" s="106">
        <f>4558.86+855</f>
        <v>5413.86</v>
      </c>
      <c r="N1454" s="33">
        <f t="shared" si="155"/>
        <v>108050</v>
      </c>
      <c r="O1454" s="90">
        <v>160413.0</v>
      </c>
      <c r="P1454" s="34">
        <f t="shared" si="14"/>
        <v>14.84618232</v>
      </c>
      <c r="Q1454" s="35"/>
      <c r="R1454" s="36">
        <f t="shared" si="196"/>
        <v>5413.86</v>
      </c>
      <c r="S1454" s="124">
        <v>-3192.0</v>
      </c>
      <c r="T1454" s="37">
        <f t="shared" si="204"/>
        <v>2221.86</v>
      </c>
      <c r="U1454" s="38">
        <v>1.067</v>
      </c>
      <c r="V1454" s="39">
        <v>10.0</v>
      </c>
      <c r="W1454" s="39">
        <v>222.18599999999998</v>
      </c>
      <c r="X1454" s="35">
        <f t="shared" si="205"/>
        <v>0.25</v>
      </c>
      <c r="Y1454" s="35">
        <f t="shared" si="206"/>
        <v>0</v>
      </c>
      <c r="Z1454" s="40">
        <f t="shared" si="207"/>
        <v>1666.395</v>
      </c>
      <c r="AA1454" s="34">
        <f t="shared" si="208"/>
        <v>555.465</v>
      </c>
      <c r="AB1454" s="41">
        <f t="shared" si="209"/>
        <v>0</v>
      </c>
      <c r="AC1454" s="42" t="b">
        <v>1</v>
      </c>
      <c r="AD1454" s="87" t="str">
        <f t="shared" si="210"/>
        <v>USD</v>
      </c>
      <c r="AE1454" s="88" t="s">
        <v>138</v>
      </c>
      <c r="AF1454" s="88" t="str">
        <f t="array" ref="AF1454">INDEX('Deal Info'!D:D, MATCH(A1454,'Deal Info'!A:A, 0))</f>
        <v>SF</v>
      </c>
      <c r="AG1454" s="89" t="str">
        <f t="array" ref="AG1454">INDEX('Deal Info'!G:G, MATCH(A1454,'Deal Info'!A:A, 0))</f>
        <v>None</v>
      </c>
    </row>
    <row r="1455" hidden="1">
      <c r="A1455" s="23" t="str">
        <f t="array" ref="A1455">if(G1455='Room Info'!$B$1, INDEX('Room Info'!$A$2:$A3446, MATCH(B1455,'Room Info'!$B$2:$B3446, 0)),if(G1455='Room Info'!$C$1, INDEX('Room Info'!$A$2:$A3446, MATCH(B1455,'Room Info'!$C$2:$C3446, 0)),if(G1455='Room Info'!$D$1, INDEX('Room Info'!$A$2:$A3446, MATCH(B1455,'Room Info'!$D$2:$D3446, 0)),if(G1455='Room Info'!$E$1, INDEX('Room Info'!$A$2:$A3446, MATCH(B1455,'Room Info'!$E$2:$E3446, 0)),if(G1455='Room Info'!$F$1, INDEX('Room Info'!$A$2:$A3446, MATCH(B1455,'Room Info'!$F$2:$F3446, 0)),if(G1455='Room Info'!$H$1, INDEX('Room Info'!$A$2:$A3446, MATCH(B1455,'Room Info'!$H$2:$H3446, 0)),if(G1455='Room Info'!$G$1, INDEX('Room Info'!$A$2:$A3446, MATCH(B1455,'Room Info'!$G$2:$G3446, 0)))))))))</f>
        <v>Mandr1990</v>
      </c>
      <c r="B1455" s="90" t="s">
        <v>204</v>
      </c>
      <c r="C1455" s="91">
        <v>44947.0</v>
      </c>
      <c r="D1455" s="92">
        <v>44977.0</v>
      </c>
      <c r="E1455" s="26">
        <v>44958.0</v>
      </c>
      <c r="F1455" s="27" t="s">
        <v>4</v>
      </c>
      <c r="G1455" s="90" t="s">
        <v>13</v>
      </c>
      <c r="H1455" s="28" t="s">
        <v>85</v>
      </c>
      <c r="I1455" s="28" t="s">
        <v>18</v>
      </c>
      <c r="J1455" s="44">
        <f t="shared" si="203"/>
        <v>100</v>
      </c>
      <c r="K1455" s="93">
        <v>1197.0</v>
      </c>
      <c r="L1455" s="94">
        <v>-12300.0</v>
      </c>
      <c r="M1455" s="106">
        <f>14061.41+250</f>
        <v>14311.41</v>
      </c>
      <c r="N1455" s="33">
        <f t="shared" si="155"/>
        <v>119700</v>
      </c>
      <c r="O1455" s="90">
        <v>9921.0</v>
      </c>
      <c r="P1455" s="34">
        <f t="shared" si="14"/>
        <v>8.288220551</v>
      </c>
      <c r="Q1455" s="35"/>
      <c r="R1455" s="36">
        <f t="shared" si="196"/>
        <v>14311.41</v>
      </c>
      <c r="S1455" s="124">
        <v>-8141.0</v>
      </c>
      <c r="T1455" s="37">
        <f t="shared" si="204"/>
        <v>6170.41</v>
      </c>
      <c r="U1455" s="38">
        <v>1.067</v>
      </c>
      <c r="V1455" s="39"/>
      <c r="W1455" s="39"/>
      <c r="X1455" s="35">
        <f t="shared" si="205"/>
        <v>0.09</v>
      </c>
      <c r="Y1455" s="35">
        <f t="shared" si="206"/>
        <v>0.03</v>
      </c>
      <c r="Z1455" s="40">
        <f t="shared" si="207"/>
        <v>5429.9608</v>
      </c>
      <c r="AA1455" s="34">
        <f t="shared" si="208"/>
        <v>555.3369</v>
      </c>
      <c r="AB1455" s="41">
        <f t="shared" si="209"/>
        <v>185.1123</v>
      </c>
      <c r="AC1455" s="42" t="b">
        <v>1</v>
      </c>
      <c r="AD1455" s="87" t="str">
        <f t="shared" si="210"/>
        <v>USD</v>
      </c>
      <c r="AE1455" s="88" t="s">
        <v>138</v>
      </c>
      <c r="AF1455" s="89" t="str">
        <f t="array" ref="AF1455">INDEX('Deal Info'!D:D, MATCH(A1455,'Deal Info'!A:A, 0))</f>
        <v>Fix9</v>
      </c>
      <c r="AG1455" s="89" t="str">
        <f t="array" ref="AG1455">INDEX('Deal Info'!G:G, MATCH(A1455,'Deal Info'!A:A, 0))</f>
        <v>Fix3</v>
      </c>
    </row>
    <row r="1456" hidden="1">
      <c r="A1456" s="23" t="str">
        <f t="array" ref="A1456">if(G1456='Room Info'!$B$1, INDEX('Room Info'!$A$2:$A3446, MATCH(B1456,'Room Info'!$B$2:$B3446, 0)),if(G1456='Room Info'!$C$1, INDEX('Room Info'!$A$2:$A3446, MATCH(B1456,'Room Info'!$C$2:$C3446, 0)),if(G1456='Room Info'!$D$1, INDEX('Room Info'!$A$2:$A3446, MATCH(B1456,'Room Info'!$D$2:$D3446, 0)),if(G1456='Room Info'!$E$1, INDEX('Room Info'!$A$2:$A3446, MATCH(B1456,'Room Info'!$E$2:$E3446, 0)),if(G1456='Room Info'!$F$1, INDEX('Room Info'!$A$2:$A3446, MATCH(B1456,'Room Info'!$F$2:$F3446, 0)),if(G1456='Room Info'!$H$1, INDEX('Room Info'!$A$2:$A3446, MATCH(B1456,'Room Info'!$H$2:$H3446, 0)),if(G1456='Room Info'!$G$1, INDEX('Room Info'!$A$2:$A3446, MATCH(B1456,'Room Info'!$G$2:$G3446, 0)))))))))</f>
        <v>Mandr1990</v>
      </c>
      <c r="B1456" s="90" t="s">
        <v>204</v>
      </c>
      <c r="C1456" s="91">
        <v>44947.0</v>
      </c>
      <c r="D1456" s="92">
        <v>44977.0</v>
      </c>
      <c r="E1456" s="26">
        <v>44958.0</v>
      </c>
      <c r="F1456" s="27" t="s">
        <v>4</v>
      </c>
      <c r="G1456" s="90" t="s">
        <v>13</v>
      </c>
      <c r="H1456" s="28" t="s">
        <v>93</v>
      </c>
      <c r="I1456" s="28" t="s">
        <v>18</v>
      </c>
      <c r="J1456" s="44">
        <f t="shared" si="203"/>
        <v>200</v>
      </c>
      <c r="K1456" s="93">
        <v>555.0</v>
      </c>
      <c r="L1456" s="94">
        <v>2600.0</v>
      </c>
      <c r="M1456" s="106"/>
      <c r="N1456" s="33">
        <f t="shared" si="155"/>
        <v>111000</v>
      </c>
      <c r="O1456" s="90">
        <v>9859.0</v>
      </c>
      <c r="P1456" s="34">
        <f t="shared" si="14"/>
        <v>17.76396396</v>
      </c>
      <c r="Q1456" s="35"/>
      <c r="R1456" s="36">
        <f t="shared" si="196"/>
        <v>0</v>
      </c>
      <c r="S1456" s="33"/>
      <c r="T1456" s="37">
        <f t="shared" si="204"/>
        <v>0</v>
      </c>
      <c r="U1456" s="38">
        <v>1.067</v>
      </c>
      <c r="V1456" s="39"/>
      <c r="W1456" s="39"/>
      <c r="X1456" s="35">
        <f t="shared" si="205"/>
        <v>0.09</v>
      </c>
      <c r="Y1456" s="35">
        <f t="shared" si="206"/>
        <v>0.03</v>
      </c>
      <c r="Z1456" s="40">
        <f t="shared" si="207"/>
        <v>0</v>
      </c>
      <c r="AA1456" s="34">
        <f t="shared" si="208"/>
        <v>0</v>
      </c>
      <c r="AB1456" s="41">
        <f t="shared" si="209"/>
        <v>0</v>
      </c>
      <c r="AC1456" s="42" t="b">
        <v>1</v>
      </c>
      <c r="AD1456" s="87" t="str">
        <f t="shared" si="210"/>
        <v>USD</v>
      </c>
      <c r="AE1456" s="88" t="s">
        <v>138</v>
      </c>
      <c r="AF1456" s="89" t="str">
        <f t="array" ref="AF1456">INDEX('Deal Info'!D:D, MATCH(A1456,'Deal Info'!A:A, 0))</f>
        <v>Fix9</v>
      </c>
      <c r="AG1456" s="89" t="str">
        <f t="array" ref="AG1456">INDEX('Deal Info'!G:G, MATCH(A1456,'Deal Info'!A:A, 0))</f>
        <v>Fix3</v>
      </c>
    </row>
    <row r="1457" hidden="1">
      <c r="A1457" s="23" t="str">
        <f t="array" ref="A1457">if(G1457='Room Info'!$B$1, INDEX('Room Info'!$A$2:$A3446, MATCH(B1457,'Room Info'!$B$2:$B3446, 0)),if(G1457='Room Info'!$C$1, INDEX('Room Info'!$A$2:$A3446, MATCH(B1457,'Room Info'!$C$2:$C3446, 0)),if(G1457='Room Info'!$D$1, INDEX('Room Info'!$A$2:$A3446, MATCH(B1457,'Room Info'!$D$2:$D3446, 0)),if(G1457='Room Info'!$E$1, INDEX('Room Info'!$A$2:$A3446, MATCH(B1457,'Room Info'!$E$2:$E3446, 0)),if(G1457='Room Info'!$F$1, INDEX('Room Info'!$A$2:$A3446, MATCH(B1457,'Room Info'!$F$2:$F3446, 0)),if(G1457='Room Info'!$H$1, INDEX('Room Info'!$A$2:$A3446, MATCH(B1457,'Room Info'!$H$2:$H3446, 0)),if(G1457='Room Info'!$G$1, INDEX('Room Info'!$A$2:$A3446, MATCH(B1457,'Room Info'!$G$2:$G3446, 0)))))))))</f>
        <v>gRRRiz</v>
      </c>
      <c r="B1457" s="23" t="s">
        <v>164</v>
      </c>
      <c r="C1457" s="91">
        <v>44947.0</v>
      </c>
      <c r="D1457" s="92">
        <v>44977.0</v>
      </c>
      <c r="E1457" s="26">
        <v>44958.0</v>
      </c>
      <c r="F1457" s="27" t="s">
        <v>4</v>
      </c>
      <c r="G1457" s="90" t="s">
        <v>13</v>
      </c>
      <c r="H1457" s="28" t="s">
        <v>59</v>
      </c>
      <c r="I1457" s="28" t="s">
        <v>18</v>
      </c>
      <c r="J1457" s="44">
        <f t="shared" si="203"/>
        <v>20</v>
      </c>
      <c r="K1457" s="93">
        <v>2.0</v>
      </c>
      <c r="L1457" s="94">
        <v>-40.0</v>
      </c>
      <c r="M1457" s="106">
        <v>73541.65</v>
      </c>
      <c r="N1457" s="33">
        <f t="shared" si="155"/>
        <v>40</v>
      </c>
      <c r="O1457" s="90">
        <v>-70.0</v>
      </c>
      <c r="P1457" s="34">
        <f t="shared" si="14"/>
        <v>-35</v>
      </c>
      <c r="Q1457" s="35"/>
      <c r="R1457" s="36">
        <f t="shared" si="196"/>
        <v>73541.65</v>
      </c>
      <c r="S1457" s="124">
        <v>-61945.0</v>
      </c>
      <c r="T1457" s="37">
        <f t="shared" si="204"/>
        <v>11596.65</v>
      </c>
      <c r="U1457" s="38">
        <v>1.067</v>
      </c>
      <c r="V1457" s="39"/>
      <c r="W1457" s="39"/>
      <c r="X1457" s="35">
        <f t="shared" si="205"/>
        <v>0.15</v>
      </c>
      <c r="Y1457" s="35">
        <f t="shared" si="206"/>
        <v>0.05</v>
      </c>
      <c r="Z1457" s="40">
        <f t="shared" si="207"/>
        <v>9277.32</v>
      </c>
      <c r="AA1457" s="34">
        <f t="shared" si="208"/>
        <v>1739.4975</v>
      </c>
      <c r="AB1457" s="41">
        <f t="shared" si="209"/>
        <v>579.8325</v>
      </c>
      <c r="AC1457" s="42" t="b">
        <v>1</v>
      </c>
      <c r="AD1457" s="87" t="str">
        <f t="shared" si="210"/>
        <v>USD</v>
      </c>
      <c r="AE1457" s="88" t="s">
        <v>138</v>
      </c>
      <c r="AF1457" s="88" t="str">
        <f t="array" ref="AF1457">INDEX('Deal Info'!D:D, MATCH(A1457,'Deal Info'!A:A, 0))</f>
        <v>Fix15</v>
      </c>
      <c r="AG1457" s="88" t="str">
        <f t="array" ref="AG1457">INDEX('Deal Info'!G:G, MATCH(A1457,'Deal Info'!A:A, 0))</f>
        <v>Fix5</v>
      </c>
    </row>
    <row r="1458" hidden="1">
      <c r="A1458" s="23" t="str">
        <f t="array" ref="A1458">if(G1458='Room Info'!$B$1, INDEX('Room Info'!$A$2:$A3446, MATCH(B1458,'Room Info'!$B$2:$B3446, 0)),if(G1458='Room Info'!$C$1, INDEX('Room Info'!$A$2:$A3446, MATCH(B1458,'Room Info'!$C$2:$C3446, 0)),if(G1458='Room Info'!$D$1, INDEX('Room Info'!$A$2:$A3446, MATCH(B1458,'Room Info'!$D$2:$D3446, 0)),if(G1458='Room Info'!$E$1, INDEX('Room Info'!$A$2:$A3446, MATCH(B1458,'Room Info'!$E$2:$E3446, 0)),if(G1458='Room Info'!$F$1, INDEX('Room Info'!$A$2:$A3446, MATCH(B1458,'Room Info'!$F$2:$F3446, 0)),if(G1458='Room Info'!$H$1, INDEX('Room Info'!$A$2:$A3446, MATCH(B1458,'Room Info'!$H$2:$H3446, 0)),if(G1458='Room Info'!$G$1, INDEX('Room Info'!$A$2:$A3446, MATCH(B1458,'Room Info'!$G$2:$G3446, 0)))))))))</f>
        <v>gRRRiz</v>
      </c>
      <c r="B1458" s="23" t="s">
        <v>164</v>
      </c>
      <c r="C1458" s="91">
        <v>44947.0</v>
      </c>
      <c r="D1458" s="92">
        <v>44977.0</v>
      </c>
      <c r="E1458" s="26">
        <v>44958.0</v>
      </c>
      <c r="F1458" s="27" t="s">
        <v>4</v>
      </c>
      <c r="G1458" s="90" t="s">
        <v>13</v>
      </c>
      <c r="H1458" s="28" t="s">
        <v>85</v>
      </c>
      <c r="I1458" s="28" t="s">
        <v>18</v>
      </c>
      <c r="J1458" s="44">
        <f t="shared" si="203"/>
        <v>100</v>
      </c>
      <c r="K1458" s="93">
        <v>13583.0</v>
      </c>
      <c r="L1458" s="94">
        <v>-45000.0</v>
      </c>
      <c r="M1458" s="106"/>
      <c r="N1458" s="33">
        <f t="shared" si="155"/>
        <v>1358300</v>
      </c>
      <c r="O1458" s="90">
        <v>125826.0</v>
      </c>
      <c r="P1458" s="34">
        <f t="shared" si="14"/>
        <v>9.263491129</v>
      </c>
      <c r="Q1458" s="35"/>
      <c r="R1458" s="36">
        <f t="shared" si="196"/>
        <v>0</v>
      </c>
      <c r="S1458" s="33"/>
      <c r="T1458" s="37">
        <f t="shared" si="204"/>
        <v>0</v>
      </c>
      <c r="U1458" s="38">
        <v>1.067</v>
      </c>
      <c r="V1458" s="39"/>
      <c r="W1458" s="39"/>
      <c r="X1458" s="35">
        <f t="shared" si="205"/>
        <v>0.15</v>
      </c>
      <c r="Y1458" s="35">
        <f t="shared" si="206"/>
        <v>0.05</v>
      </c>
      <c r="Z1458" s="40">
        <f t="shared" si="207"/>
        <v>0</v>
      </c>
      <c r="AA1458" s="34">
        <f t="shared" si="208"/>
        <v>0</v>
      </c>
      <c r="AB1458" s="41">
        <f t="shared" si="209"/>
        <v>0</v>
      </c>
      <c r="AC1458" s="42" t="b">
        <v>1</v>
      </c>
      <c r="AD1458" s="87" t="str">
        <f t="shared" si="210"/>
        <v>USD</v>
      </c>
      <c r="AE1458" s="88" t="s">
        <v>138</v>
      </c>
      <c r="AF1458" s="88" t="str">
        <f t="array" ref="AF1458">INDEX('Deal Info'!D:D, MATCH(A1458,'Deal Info'!A:A, 0))</f>
        <v>Fix15</v>
      </c>
      <c r="AG1458" s="88" t="str">
        <f t="array" ref="AG1458">INDEX('Deal Info'!G:G, MATCH(A1458,'Deal Info'!A:A, 0))</f>
        <v>Fix5</v>
      </c>
    </row>
    <row r="1459" hidden="1">
      <c r="A1459" s="23" t="str">
        <f t="array" ref="A1459">if(G1459='Room Info'!$B$1, INDEX('Room Info'!$A$2:$A3446, MATCH(B1459,'Room Info'!$B$2:$B3446, 0)),if(G1459='Room Info'!$C$1, INDEX('Room Info'!$A$2:$A3446, MATCH(B1459,'Room Info'!$C$2:$C3446, 0)),if(G1459='Room Info'!$D$1, INDEX('Room Info'!$A$2:$A3446, MATCH(B1459,'Room Info'!$D$2:$D3446, 0)),if(G1459='Room Info'!$E$1, INDEX('Room Info'!$A$2:$A3446, MATCH(B1459,'Room Info'!$E$2:$E3446, 0)),if(G1459='Room Info'!$F$1, INDEX('Room Info'!$A$2:$A3446, MATCH(B1459,'Room Info'!$F$2:$F3446, 0)),if(G1459='Room Info'!$H$1, INDEX('Room Info'!$A$2:$A3446, MATCH(B1459,'Room Info'!$H$2:$H3446, 0)),if(G1459='Room Info'!$G$1, INDEX('Room Info'!$A$2:$A3446, MATCH(B1459,'Room Info'!$G$2:$G3446, 0)))))))))</f>
        <v>S1lense</v>
      </c>
      <c r="B1459" s="90" t="s">
        <v>169</v>
      </c>
      <c r="C1459" s="91">
        <v>44947.0</v>
      </c>
      <c r="D1459" s="92">
        <v>44977.0</v>
      </c>
      <c r="E1459" s="26">
        <v>44958.0</v>
      </c>
      <c r="F1459" s="27" t="s">
        <v>4</v>
      </c>
      <c r="G1459" s="23" t="s">
        <v>5</v>
      </c>
      <c r="H1459" s="28" t="s">
        <v>48</v>
      </c>
      <c r="I1459" s="28" t="s">
        <v>11</v>
      </c>
      <c r="J1459" s="44">
        <f t="shared" si="203"/>
        <v>10</v>
      </c>
      <c r="K1459" s="93">
        <v>3441.0</v>
      </c>
      <c r="L1459" s="94">
        <v>-3030.0</v>
      </c>
      <c r="M1459" s="47">
        <v>13160.0</v>
      </c>
      <c r="N1459" s="33">
        <f t="shared" si="155"/>
        <v>34410</v>
      </c>
      <c r="O1459" s="90">
        <v>29204.0</v>
      </c>
      <c r="P1459" s="34">
        <f t="shared" si="14"/>
        <v>8.487067713</v>
      </c>
      <c r="Q1459" s="35"/>
      <c r="R1459" s="36">
        <f t="shared" si="196"/>
        <v>13160</v>
      </c>
      <c r="S1459" s="124">
        <v>-11072.0</v>
      </c>
      <c r="T1459" s="37">
        <f t="shared" si="204"/>
        <v>2088</v>
      </c>
      <c r="U1459" s="38">
        <v>1.067</v>
      </c>
      <c r="V1459" s="39">
        <v>20.415667466027177</v>
      </c>
      <c r="W1459" s="39">
        <v>102.27</v>
      </c>
      <c r="X1459" s="35">
        <f t="shared" si="205"/>
        <v>0.17</v>
      </c>
      <c r="Y1459" s="35">
        <f t="shared" si="206"/>
        <v>0</v>
      </c>
      <c r="Z1459" s="40">
        <f t="shared" si="207"/>
        <v>1733.04</v>
      </c>
      <c r="AA1459" s="34">
        <f t="shared" si="208"/>
        <v>354.96</v>
      </c>
      <c r="AB1459" s="41">
        <f t="shared" si="209"/>
        <v>0</v>
      </c>
      <c r="AC1459" s="42" t="b">
        <v>1</v>
      </c>
      <c r="AD1459" s="87" t="str">
        <f t="shared" si="210"/>
        <v>USD</v>
      </c>
      <c r="AE1459" s="88" t="s">
        <v>138</v>
      </c>
      <c r="AF1459" s="88" t="str">
        <f t="array" ref="AF1459">INDEX('Deal Info'!D:D, MATCH(A1459,'Deal Info'!A:A, 0))</f>
        <v>DoEVs1</v>
      </c>
      <c r="AG1459" s="89" t="str">
        <f t="array" ref="AG1459">INDEX('Deal Info'!G:G, MATCH(A1459,'Deal Info'!A:A, 0))</f>
        <v>None</v>
      </c>
    </row>
    <row r="1460" hidden="1">
      <c r="A1460" s="23" t="str">
        <f t="array" ref="A1460">if(G1460='Room Info'!$B$1, INDEX('Room Info'!$A$2:$A3446, MATCH(B1460,'Room Info'!$B$2:$B3446, 0)),if(G1460='Room Info'!$C$1, INDEX('Room Info'!$A$2:$A3446, MATCH(B1460,'Room Info'!$C$2:$C3446, 0)),if(G1460='Room Info'!$D$1, INDEX('Room Info'!$A$2:$A3446, MATCH(B1460,'Room Info'!$D$2:$D3446, 0)),if(G1460='Room Info'!$E$1, INDEX('Room Info'!$A$2:$A3446, MATCH(B1460,'Room Info'!$E$2:$E3446, 0)),if(G1460='Room Info'!$F$1, INDEX('Room Info'!$A$2:$A3446, MATCH(B1460,'Room Info'!$F$2:$F3446, 0)),if(G1460='Room Info'!$H$1, INDEX('Room Info'!$A$2:$A3446, MATCH(B1460,'Room Info'!$H$2:$H3446, 0)),if(G1460='Room Info'!$G$1, INDEX('Room Info'!$A$2:$A3446, MATCH(B1460,'Room Info'!$G$2:$G3446, 0)))))))))</f>
        <v>S1lense</v>
      </c>
      <c r="B1460" s="90" t="s">
        <v>169</v>
      </c>
      <c r="C1460" s="91">
        <v>44947.0</v>
      </c>
      <c r="D1460" s="92">
        <v>44977.0</v>
      </c>
      <c r="E1460" s="26">
        <v>44958.0</v>
      </c>
      <c r="F1460" s="27" t="s">
        <v>4</v>
      </c>
      <c r="G1460" s="23" t="s">
        <v>5</v>
      </c>
      <c r="H1460" s="28" t="s">
        <v>63</v>
      </c>
      <c r="I1460" s="28" t="s">
        <v>11</v>
      </c>
      <c r="J1460" s="44">
        <f t="shared" si="203"/>
        <v>25</v>
      </c>
      <c r="K1460" s="93">
        <v>7818.0</v>
      </c>
      <c r="L1460" s="94">
        <v>-12600.0</v>
      </c>
      <c r="M1460" s="47"/>
      <c r="N1460" s="33">
        <f t="shared" si="155"/>
        <v>195450</v>
      </c>
      <c r="O1460" s="90">
        <v>36766.0</v>
      </c>
      <c r="P1460" s="34">
        <f t="shared" si="14"/>
        <v>4.702737273</v>
      </c>
      <c r="Q1460" s="35"/>
      <c r="R1460" s="36">
        <f t="shared" si="196"/>
        <v>0</v>
      </c>
      <c r="S1460" s="33"/>
      <c r="T1460" s="37">
        <f t="shared" si="204"/>
        <v>0</v>
      </c>
      <c r="U1460" s="38">
        <v>1.067</v>
      </c>
      <c r="V1460" s="39">
        <v>20.415667466027177</v>
      </c>
      <c r="W1460" s="39">
        <v>102.27</v>
      </c>
      <c r="X1460" s="35">
        <f t="shared" si="205"/>
        <v>0.17</v>
      </c>
      <c r="Y1460" s="35">
        <f t="shared" si="206"/>
        <v>0</v>
      </c>
      <c r="Z1460" s="40">
        <f t="shared" si="207"/>
        <v>0</v>
      </c>
      <c r="AA1460" s="34">
        <f t="shared" si="208"/>
        <v>0</v>
      </c>
      <c r="AB1460" s="41">
        <f t="shared" si="209"/>
        <v>0</v>
      </c>
      <c r="AC1460" s="42" t="b">
        <v>1</v>
      </c>
      <c r="AD1460" s="87" t="str">
        <f t="shared" si="210"/>
        <v>USD</v>
      </c>
      <c r="AE1460" s="88" t="s">
        <v>138</v>
      </c>
      <c r="AF1460" s="88" t="str">
        <f t="array" ref="AF1460">INDEX('Deal Info'!D:D, MATCH(A1460,'Deal Info'!A:A, 0))</f>
        <v>DoEVs1</v>
      </c>
      <c r="AG1460" s="89" t="str">
        <f t="array" ref="AG1460">INDEX('Deal Info'!G:G, MATCH(A1460,'Deal Info'!A:A, 0))</f>
        <v>None</v>
      </c>
    </row>
    <row r="1461" hidden="1">
      <c r="A1461" s="23" t="str">
        <f t="array" ref="A1461">if(G1461='Room Info'!$B$1, INDEX('Room Info'!$A$2:$A3446, MATCH(B1461,'Room Info'!$B$2:$B3446, 0)),if(G1461='Room Info'!$C$1, INDEX('Room Info'!$A$2:$A3446, MATCH(B1461,'Room Info'!$C$2:$C3446, 0)),if(G1461='Room Info'!$D$1, INDEX('Room Info'!$A$2:$A3446, MATCH(B1461,'Room Info'!$D$2:$D3446, 0)),if(G1461='Room Info'!$E$1, INDEX('Room Info'!$A$2:$A3446, MATCH(B1461,'Room Info'!$E$2:$E3446, 0)),if(G1461='Room Info'!$F$1, INDEX('Room Info'!$A$2:$A3446, MATCH(B1461,'Room Info'!$F$2:$F3446, 0)),if(G1461='Room Info'!$H$1, INDEX('Room Info'!$A$2:$A3446, MATCH(B1461,'Room Info'!$H$2:$H3446, 0)),if(G1461='Room Info'!$G$1, INDEX('Room Info'!$A$2:$A3446, MATCH(B1461,'Room Info'!$G$2:$G3446, 0)))))))))</f>
        <v>Night Kin9</v>
      </c>
      <c r="B1461" s="90" t="s">
        <v>205</v>
      </c>
      <c r="C1461" s="91">
        <v>44947.0</v>
      </c>
      <c r="D1461" s="92">
        <v>44977.0</v>
      </c>
      <c r="E1461" s="26">
        <v>44958.0</v>
      </c>
      <c r="F1461" s="27" t="s">
        <v>4</v>
      </c>
      <c r="G1461" s="23" t="s">
        <v>5</v>
      </c>
      <c r="H1461" s="28" t="s">
        <v>23</v>
      </c>
      <c r="I1461" s="28" t="s">
        <v>11</v>
      </c>
      <c r="J1461" s="44">
        <f t="shared" si="203"/>
        <v>1</v>
      </c>
      <c r="K1461" s="93">
        <v>9.0</v>
      </c>
      <c r="L1461" s="94">
        <v>-6.0</v>
      </c>
      <c r="M1461" s="47">
        <v>30550.0</v>
      </c>
      <c r="N1461" s="33">
        <f t="shared" si="155"/>
        <v>9</v>
      </c>
      <c r="O1461" s="23"/>
      <c r="P1461" s="34">
        <f t="shared" si="14"/>
        <v>0</v>
      </c>
      <c r="Q1461" s="35"/>
      <c r="R1461" s="36">
        <f t="shared" si="196"/>
        <v>30550</v>
      </c>
      <c r="S1461" s="124">
        <v>-19996.0</v>
      </c>
      <c r="T1461" s="37">
        <f t="shared" si="204"/>
        <v>10554</v>
      </c>
      <c r="U1461" s="38">
        <v>1.067</v>
      </c>
      <c r="V1461" s="39">
        <v>47.0827201217965</v>
      </c>
      <c r="W1461" s="39">
        <v>224.16</v>
      </c>
      <c r="X1461" s="35">
        <f t="shared" si="205"/>
        <v>0.12</v>
      </c>
      <c r="Y1461" s="35">
        <f t="shared" si="206"/>
        <v>0</v>
      </c>
      <c r="Z1461" s="40">
        <f t="shared" si="207"/>
        <v>9287.52</v>
      </c>
      <c r="AA1461" s="34">
        <f t="shared" si="208"/>
        <v>1266.48</v>
      </c>
      <c r="AB1461" s="41">
        <f t="shared" si="209"/>
        <v>0</v>
      </c>
      <c r="AC1461" s="42" t="b">
        <v>1</v>
      </c>
      <c r="AD1461" s="87" t="str">
        <f t="shared" si="210"/>
        <v>USD</v>
      </c>
      <c r="AE1461" s="88" t="s">
        <v>138</v>
      </c>
      <c r="AF1461" s="88" t="str">
        <f t="array" ref="AF1461">INDEX('Deal Info'!D:D, MATCH(A1461,'Deal Info'!A:A, 0))</f>
        <v>DoEVni</v>
      </c>
      <c r="AG1461" s="89" t="str">
        <f t="array" ref="AG1461">INDEX('Deal Info'!G:G, MATCH(A1461,'Deal Info'!A:A, 0))</f>
        <v>None</v>
      </c>
    </row>
    <row r="1462" hidden="1">
      <c r="A1462" s="23" t="str">
        <f t="array" ref="A1462">if(G1462='Room Info'!$B$1, INDEX('Room Info'!$A$2:$A3446, MATCH(B1462,'Room Info'!$B$2:$B3446, 0)),if(G1462='Room Info'!$C$1, INDEX('Room Info'!$A$2:$A3446, MATCH(B1462,'Room Info'!$C$2:$C3446, 0)),if(G1462='Room Info'!$D$1, INDEX('Room Info'!$A$2:$A3446, MATCH(B1462,'Room Info'!$D$2:$D3446, 0)),if(G1462='Room Info'!$E$1, INDEX('Room Info'!$A$2:$A3446, MATCH(B1462,'Room Info'!$E$2:$E3446, 0)),if(G1462='Room Info'!$F$1, INDEX('Room Info'!$A$2:$A3446, MATCH(B1462,'Room Info'!$F$2:$F3446, 0)),if(G1462='Room Info'!$H$1, INDEX('Room Info'!$A$2:$A3446, MATCH(B1462,'Room Info'!$H$2:$H3446, 0)),if(G1462='Room Info'!$G$1, INDEX('Room Info'!$A$2:$A3446, MATCH(B1462,'Room Info'!$G$2:$G3446, 0)))))))))</f>
        <v>Night Kin9</v>
      </c>
      <c r="B1462" s="90" t="s">
        <v>205</v>
      </c>
      <c r="C1462" s="91">
        <v>44947.0</v>
      </c>
      <c r="D1462" s="92">
        <v>44977.0</v>
      </c>
      <c r="E1462" s="26">
        <v>44958.0</v>
      </c>
      <c r="F1462" s="27" t="s">
        <v>4</v>
      </c>
      <c r="G1462" s="23" t="s">
        <v>5</v>
      </c>
      <c r="H1462" s="28" t="s">
        <v>62</v>
      </c>
      <c r="I1462" s="28" t="s">
        <v>7</v>
      </c>
      <c r="J1462" s="44">
        <f t="shared" si="203"/>
        <v>25</v>
      </c>
      <c r="K1462" s="93">
        <v>28.0</v>
      </c>
      <c r="L1462" s="94">
        <v>-400.0</v>
      </c>
      <c r="M1462" s="32"/>
      <c r="N1462" s="33">
        <f t="shared" si="155"/>
        <v>700</v>
      </c>
      <c r="O1462" s="90">
        <v>-3989.0</v>
      </c>
      <c r="P1462" s="34">
        <f t="shared" si="14"/>
        <v>-142.4642857</v>
      </c>
      <c r="Q1462" s="35"/>
      <c r="R1462" s="36">
        <f t="shared" si="196"/>
        <v>0</v>
      </c>
      <c r="S1462" s="33"/>
      <c r="T1462" s="37">
        <f t="shared" si="204"/>
        <v>0</v>
      </c>
      <c r="U1462" s="38">
        <v>1.067</v>
      </c>
      <c r="V1462" s="39">
        <v>47.0827201217965</v>
      </c>
      <c r="W1462" s="39">
        <v>224.16</v>
      </c>
      <c r="X1462" s="35">
        <f t="shared" si="205"/>
        <v>0.12</v>
      </c>
      <c r="Y1462" s="35">
        <f t="shared" si="206"/>
        <v>0</v>
      </c>
      <c r="Z1462" s="40">
        <f t="shared" si="207"/>
        <v>0</v>
      </c>
      <c r="AA1462" s="34">
        <f t="shared" si="208"/>
        <v>0</v>
      </c>
      <c r="AB1462" s="41">
        <f t="shared" si="209"/>
        <v>0</v>
      </c>
      <c r="AC1462" s="42" t="b">
        <v>1</v>
      </c>
      <c r="AD1462" s="87" t="str">
        <f t="shared" si="210"/>
        <v>USD</v>
      </c>
      <c r="AE1462" s="88" t="s">
        <v>138</v>
      </c>
      <c r="AF1462" s="88" t="str">
        <f t="array" ref="AF1462">INDEX('Deal Info'!D:D, MATCH(A1462,'Deal Info'!A:A, 0))</f>
        <v>DoEVni</v>
      </c>
      <c r="AG1462" s="89" t="str">
        <f t="array" ref="AG1462">INDEX('Deal Info'!G:G, MATCH(A1462,'Deal Info'!A:A, 0))</f>
        <v>None</v>
      </c>
    </row>
    <row r="1463" hidden="1">
      <c r="A1463" s="23" t="str">
        <f t="array" ref="A1463">if(G1463='Room Info'!$B$1, INDEX('Room Info'!$A$2:$A3446, MATCH(B1463,'Room Info'!$B$2:$B3446, 0)),if(G1463='Room Info'!$C$1, INDEX('Room Info'!$A$2:$A3446, MATCH(B1463,'Room Info'!$C$2:$C3446, 0)),if(G1463='Room Info'!$D$1, INDEX('Room Info'!$A$2:$A3446, MATCH(B1463,'Room Info'!$D$2:$D3446, 0)),if(G1463='Room Info'!$E$1, INDEX('Room Info'!$A$2:$A3446, MATCH(B1463,'Room Info'!$E$2:$E3446, 0)),if(G1463='Room Info'!$F$1, INDEX('Room Info'!$A$2:$A3446, MATCH(B1463,'Room Info'!$F$2:$F3446, 0)),if(G1463='Room Info'!$H$1, INDEX('Room Info'!$A$2:$A3446, MATCH(B1463,'Room Info'!$H$2:$H3446, 0)),if(G1463='Room Info'!$G$1, INDEX('Room Info'!$A$2:$A3446, MATCH(B1463,'Room Info'!$G$2:$G3446, 0)))))))))</f>
        <v>Night Kin9</v>
      </c>
      <c r="B1463" s="90" t="s">
        <v>205</v>
      </c>
      <c r="C1463" s="91">
        <v>44947.0</v>
      </c>
      <c r="D1463" s="92">
        <v>44977.0</v>
      </c>
      <c r="E1463" s="26">
        <v>44958.0</v>
      </c>
      <c r="F1463" s="27" t="s">
        <v>4</v>
      </c>
      <c r="G1463" s="23" t="s">
        <v>5</v>
      </c>
      <c r="H1463" s="28" t="s">
        <v>63</v>
      </c>
      <c r="I1463" s="28" t="s">
        <v>11</v>
      </c>
      <c r="J1463" s="44">
        <f t="shared" si="203"/>
        <v>25</v>
      </c>
      <c r="K1463" s="93">
        <v>2388.0</v>
      </c>
      <c r="L1463" s="94">
        <v>4875.0</v>
      </c>
      <c r="M1463" s="32"/>
      <c r="N1463" s="33">
        <f t="shared" si="155"/>
        <v>59700</v>
      </c>
      <c r="O1463" s="90">
        <v>42890.0</v>
      </c>
      <c r="P1463" s="34">
        <f t="shared" si="14"/>
        <v>17.96063652</v>
      </c>
      <c r="Q1463" s="35"/>
      <c r="R1463" s="36">
        <f t="shared" si="196"/>
        <v>0</v>
      </c>
      <c r="S1463" s="33"/>
      <c r="T1463" s="37">
        <f t="shared" si="204"/>
        <v>0</v>
      </c>
      <c r="U1463" s="38">
        <v>1.067</v>
      </c>
      <c r="V1463" s="39">
        <v>47.0827201217965</v>
      </c>
      <c r="W1463" s="39">
        <v>224.16</v>
      </c>
      <c r="X1463" s="35">
        <f t="shared" si="205"/>
        <v>0.12</v>
      </c>
      <c r="Y1463" s="35">
        <f t="shared" si="206"/>
        <v>0</v>
      </c>
      <c r="Z1463" s="40">
        <f t="shared" si="207"/>
        <v>0</v>
      </c>
      <c r="AA1463" s="34">
        <f t="shared" si="208"/>
        <v>0</v>
      </c>
      <c r="AB1463" s="41">
        <f t="shared" si="209"/>
        <v>0</v>
      </c>
      <c r="AC1463" s="42" t="b">
        <v>1</v>
      </c>
      <c r="AD1463" s="87" t="str">
        <f t="shared" si="210"/>
        <v>USD</v>
      </c>
      <c r="AE1463" s="88" t="s">
        <v>138</v>
      </c>
      <c r="AF1463" s="88" t="str">
        <f t="array" ref="AF1463">INDEX('Deal Info'!D:D, MATCH(A1463,'Deal Info'!A:A, 0))</f>
        <v>DoEVni</v>
      </c>
      <c r="AG1463" s="89" t="str">
        <f t="array" ref="AG1463">INDEX('Deal Info'!G:G, MATCH(A1463,'Deal Info'!A:A, 0))</f>
        <v>None</v>
      </c>
    </row>
    <row r="1464" hidden="1">
      <c r="A1464" s="23" t="str">
        <f t="array" ref="A1464">if(G1464='Room Info'!$B$1, INDEX('Room Info'!$A$2:$A3446, MATCH(B1464,'Room Info'!$B$2:$B3446, 0)),if(G1464='Room Info'!$C$1, INDEX('Room Info'!$A$2:$A3446, MATCH(B1464,'Room Info'!$C$2:$C3446, 0)),if(G1464='Room Info'!$D$1, INDEX('Room Info'!$A$2:$A3446, MATCH(B1464,'Room Info'!$D$2:$D3446, 0)),if(G1464='Room Info'!$E$1, INDEX('Room Info'!$A$2:$A3446, MATCH(B1464,'Room Info'!$E$2:$E3446, 0)),if(G1464='Room Info'!$F$1, INDEX('Room Info'!$A$2:$A3446, MATCH(B1464,'Room Info'!$F$2:$F3446, 0)),if(G1464='Room Info'!$H$1, INDEX('Room Info'!$A$2:$A3446, MATCH(B1464,'Room Info'!$H$2:$H3446, 0)),if(G1464='Room Info'!$G$1, INDEX('Room Info'!$A$2:$A3446, MATCH(B1464,'Room Info'!$G$2:$G3446, 0)))))))))</f>
        <v>Night Kin9</v>
      </c>
      <c r="B1464" s="90" t="s">
        <v>205</v>
      </c>
      <c r="C1464" s="91">
        <v>44947.0</v>
      </c>
      <c r="D1464" s="92">
        <v>44977.0</v>
      </c>
      <c r="E1464" s="26">
        <v>44958.0</v>
      </c>
      <c r="F1464" s="27" t="s">
        <v>4</v>
      </c>
      <c r="G1464" s="23" t="s">
        <v>5</v>
      </c>
      <c r="H1464" s="28" t="s">
        <v>74</v>
      </c>
      <c r="I1464" s="28" t="s">
        <v>7</v>
      </c>
      <c r="J1464" s="44">
        <f t="shared" si="203"/>
        <v>50</v>
      </c>
      <c r="K1464" s="93">
        <v>337.0</v>
      </c>
      <c r="L1464" s="94">
        <v>-1150.0</v>
      </c>
      <c r="M1464" s="32"/>
      <c r="N1464" s="33">
        <f t="shared" si="155"/>
        <v>16850</v>
      </c>
      <c r="O1464" s="90">
        <v>5341.0</v>
      </c>
      <c r="P1464" s="34">
        <f t="shared" si="14"/>
        <v>15.84866469</v>
      </c>
      <c r="Q1464" s="35"/>
      <c r="R1464" s="36">
        <f t="shared" si="196"/>
        <v>0</v>
      </c>
      <c r="S1464" s="33"/>
      <c r="T1464" s="37">
        <f t="shared" si="204"/>
        <v>0</v>
      </c>
      <c r="U1464" s="38">
        <v>1.067</v>
      </c>
      <c r="V1464" s="39">
        <v>47.0827201217965</v>
      </c>
      <c r="W1464" s="39">
        <v>224.16</v>
      </c>
      <c r="X1464" s="35">
        <f t="shared" si="205"/>
        <v>0.12</v>
      </c>
      <c r="Y1464" s="35">
        <f t="shared" si="206"/>
        <v>0</v>
      </c>
      <c r="Z1464" s="40">
        <f t="shared" si="207"/>
        <v>0</v>
      </c>
      <c r="AA1464" s="34">
        <f t="shared" si="208"/>
        <v>0</v>
      </c>
      <c r="AB1464" s="41">
        <f t="shared" si="209"/>
        <v>0</v>
      </c>
      <c r="AC1464" s="42" t="b">
        <v>1</v>
      </c>
      <c r="AD1464" s="87" t="str">
        <f t="shared" si="210"/>
        <v>USD</v>
      </c>
      <c r="AE1464" s="88" t="s">
        <v>138</v>
      </c>
      <c r="AF1464" s="88" t="str">
        <f t="array" ref="AF1464">INDEX('Deal Info'!D:D, MATCH(A1464,'Deal Info'!A:A, 0))</f>
        <v>DoEVni</v>
      </c>
      <c r="AG1464" s="89" t="str">
        <f t="array" ref="AG1464">INDEX('Deal Info'!G:G, MATCH(A1464,'Deal Info'!A:A, 0))</f>
        <v>None</v>
      </c>
    </row>
    <row r="1465" hidden="1">
      <c r="A1465" s="23" t="str">
        <f t="array" ref="A1465">if(G1465='Room Info'!$B$1, INDEX('Room Info'!$A$2:$A3446, MATCH(B1465,'Room Info'!$B$2:$B3446, 0)),if(G1465='Room Info'!$C$1, INDEX('Room Info'!$A$2:$A3446, MATCH(B1465,'Room Info'!$C$2:$C3446, 0)),if(G1465='Room Info'!$D$1, INDEX('Room Info'!$A$2:$A3446, MATCH(B1465,'Room Info'!$D$2:$D3446, 0)),if(G1465='Room Info'!$E$1, INDEX('Room Info'!$A$2:$A3446, MATCH(B1465,'Room Info'!$E$2:$E3446, 0)),if(G1465='Room Info'!$F$1, INDEX('Room Info'!$A$2:$A3446, MATCH(B1465,'Room Info'!$F$2:$F3446, 0)),if(G1465='Room Info'!$H$1, INDEX('Room Info'!$A$2:$A3446, MATCH(B1465,'Room Info'!$H$2:$H3446, 0)),if(G1465='Room Info'!$G$1, INDEX('Room Info'!$A$2:$A3446, MATCH(B1465,'Room Info'!$G$2:$G3446, 0)))))))))</f>
        <v>Night Kin9</v>
      </c>
      <c r="B1465" s="90" t="s">
        <v>205</v>
      </c>
      <c r="C1465" s="91">
        <v>44947.0</v>
      </c>
      <c r="D1465" s="92">
        <v>44977.0</v>
      </c>
      <c r="E1465" s="26">
        <v>44958.0</v>
      </c>
      <c r="F1465" s="27" t="s">
        <v>4</v>
      </c>
      <c r="G1465" s="23" t="s">
        <v>5</v>
      </c>
      <c r="H1465" s="28" t="s">
        <v>75</v>
      </c>
      <c r="I1465" s="28" t="s">
        <v>11</v>
      </c>
      <c r="J1465" s="44">
        <f t="shared" si="203"/>
        <v>50</v>
      </c>
      <c r="K1465" s="93">
        <v>8534.0</v>
      </c>
      <c r="L1465" s="94">
        <v>-20650.0</v>
      </c>
      <c r="M1465" s="32"/>
      <c r="N1465" s="33">
        <f t="shared" si="155"/>
        <v>426700</v>
      </c>
      <c r="O1465" s="90">
        <v>64745.0</v>
      </c>
      <c r="P1465" s="34">
        <f t="shared" si="14"/>
        <v>7.586711976</v>
      </c>
      <c r="Q1465" s="35"/>
      <c r="R1465" s="36">
        <f t="shared" si="196"/>
        <v>0</v>
      </c>
      <c r="S1465" s="33"/>
      <c r="T1465" s="37">
        <f t="shared" si="204"/>
        <v>0</v>
      </c>
      <c r="U1465" s="38">
        <v>1.067</v>
      </c>
      <c r="V1465" s="39">
        <v>47.0827201217965</v>
      </c>
      <c r="W1465" s="39">
        <v>224.16</v>
      </c>
      <c r="X1465" s="35">
        <f t="shared" si="205"/>
        <v>0.12</v>
      </c>
      <c r="Y1465" s="35">
        <f t="shared" si="206"/>
        <v>0</v>
      </c>
      <c r="Z1465" s="40">
        <f t="shared" si="207"/>
        <v>0</v>
      </c>
      <c r="AA1465" s="34">
        <f t="shared" si="208"/>
        <v>0</v>
      </c>
      <c r="AB1465" s="41">
        <f t="shared" si="209"/>
        <v>0</v>
      </c>
      <c r="AC1465" s="42" t="b">
        <v>1</v>
      </c>
      <c r="AD1465" s="87" t="str">
        <f t="shared" si="210"/>
        <v>USD</v>
      </c>
      <c r="AE1465" s="88" t="s">
        <v>138</v>
      </c>
      <c r="AF1465" s="88" t="str">
        <f t="array" ref="AF1465">INDEX('Deal Info'!D:D, MATCH(A1465,'Deal Info'!A:A, 0))</f>
        <v>DoEVni</v>
      </c>
      <c r="AG1465" s="89" t="str">
        <f t="array" ref="AG1465">INDEX('Deal Info'!G:G, MATCH(A1465,'Deal Info'!A:A, 0))</f>
        <v>None</v>
      </c>
    </row>
    <row r="1466" hidden="1">
      <c r="A1466" s="23" t="str">
        <f t="array" ref="A1466">if(G1466='Room Info'!$B$1, INDEX('Room Info'!$A$2:$A3446, MATCH(B1466,'Room Info'!$B$2:$B3446, 0)),if(G1466='Room Info'!$C$1, INDEX('Room Info'!$A$2:$A3446, MATCH(B1466,'Room Info'!$C$2:$C3446, 0)),if(G1466='Room Info'!$D$1, INDEX('Room Info'!$A$2:$A3446, MATCH(B1466,'Room Info'!$D$2:$D3446, 0)),if(G1466='Room Info'!$E$1, INDEX('Room Info'!$A$2:$A3446, MATCH(B1466,'Room Info'!$E$2:$E3446, 0)),if(G1466='Room Info'!$F$1, INDEX('Room Info'!$A$2:$A3446, MATCH(B1466,'Room Info'!$F$2:$F3446, 0)),if(G1466='Room Info'!$H$1, INDEX('Room Info'!$A$2:$A3446, MATCH(B1466,'Room Info'!$H$2:$H3446, 0)),if(G1466='Room Info'!$G$1, INDEX('Room Info'!$A$2:$A3446, MATCH(B1466,'Room Info'!$G$2:$G3446, 0)))))))))</f>
        <v>Night Kin9</v>
      </c>
      <c r="B1466" s="90" t="s">
        <v>205</v>
      </c>
      <c r="C1466" s="91">
        <v>44947.0</v>
      </c>
      <c r="D1466" s="92">
        <v>44977.0</v>
      </c>
      <c r="E1466" s="26">
        <v>44958.0</v>
      </c>
      <c r="F1466" s="27" t="s">
        <v>4</v>
      </c>
      <c r="G1466" s="23" t="s">
        <v>5</v>
      </c>
      <c r="H1466" s="28" t="s">
        <v>85</v>
      </c>
      <c r="I1466" s="28" t="s">
        <v>7</v>
      </c>
      <c r="J1466" s="44">
        <f t="shared" si="203"/>
        <v>100</v>
      </c>
      <c r="K1466" s="93">
        <v>83.0</v>
      </c>
      <c r="L1466" s="94">
        <v>-2100.0</v>
      </c>
      <c r="M1466" s="32"/>
      <c r="N1466" s="33">
        <f t="shared" si="155"/>
        <v>8300</v>
      </c>
      <c r="O1466" s="90">
        <v>-1636.0</v>
      </c>
      <c r="P1466" s="34">
        <f t="shared" si="14"/>
        <v>-19.71084337</v>
      </c>
      <c r="Q1466" s="35"/>
      <c r="R1466" s="36">
        <f t="shared" si="196"/>
        <v>0</v>
      </c>
      <c r="S1466" s="33"/>
      <c r="T1466" s="37">
        <f t="shared" si="204"/>
        <v>0</v>
      </c>
      <c r="U1466" s="38">
        <v>1.067</v>
      </c>
      <c r="V1466" s="39">
        <v>47.0827201217965</v>
      </c>
      <c r="W1466" s="39">
        <v>224.16</v>
      </c>
      <c r="X1466" s="35">
        <f t="shared" si="205"/>
        <v>0.12</v>
      </c>
      <c r="Y1466" s="35">
        <f t="shared" si="206"/>
        <v>0</v>
      </c>
      <c r="Z1466" s="40">
        <f t="shared" si="207"/>
        <v>0</v>
      </c>
      <c r="AA1466" s="34">
        <f t="shared" si="208"/>
        <v>0</v>
      </c>
      <c r="AB1466" s="41">
        <f t="shared" si="209"/>
        <v>0</v>
      </c>
      <c r="AC1466" s="42" t="b">
        <v>1</v>
      </c>
      <c r="AD1466" s="87" t="str">
        <f t="shared" si="210"/>
        <v>USD</v>
      </c>
      <c r="AE1466" s="88" t="s">
        <v>138</v>
      </c>
      <c r="AF1466" s="88" t="str">
        <f t="array" ref="AF1466">INDEX('Deal Info'!D:D, MATCH(A1466,'Deal Info'!A:A, 0))</f>
        <v>DoEVni</v>
      </c>
      <c r="AG1466" s="89" t="str">
        <f t="array" ref="AG1466">INDEX('Deal Info'!G:G, MATCH(A1466,'Deal Info'!A:A, 0))</f>
        <v>None</v>
      </c>
    </row>
    <row r="1467" hidden="1">
      <c r="A1467" s="23" t="str">
        <f t="array" ref="A1467">if(G1467='Room Info'!$B$1, INDEX('Room Info'!$A$2:$A3446, MATCH(B1467,'Room Info'!$B$2:$B3446, 0)),if(G1467='Room Info'!$C$1, INDEX('Room Info'!$A$2:$A3446, MATCH(B1467,'Room Info'!$C$2:$C3446, 0)),if(G1467='Room Info'!$D$1, INDEX('Room Info'!$A$2:$A3446, MATCH(B1467,'Room Info'!$D$2:$D3446, 0)),if(G1467='Room Info'!$E$1, INDEX('Room Info'!$A$2:$A3446, MATCH(B1467,'Room Info'!$E$2:$E3446, 0)),if(G1467='Room Info'!$F$1, INDEX('Room Info'!$A$2:$A3446, MATCH(B1467,'Room Info'!$F$2:$F3446, 0)),if(G1467='Room Info'!$H$1, INDEX('Room Info'!$A$2:$A3446, MATCH(B1467,'Room Info'!$H$2:$H3446, 0)),if(G1467='Room Info'!$G$1, INDEX('Room Info'!$A$2:$A3446, MATCH(B1467,'Room Info'!$G$2:$G3446, 0)))))))))</f>
        <v>Night Kin9</v>
      </c>
      <c r="B1467" s="90" t="s">
        <v>205</v>
      </c>
      <c r="C1467" s="91">
        <v>44947.0</v>
      </c>
      <c r="D1467" s="92">
        <v>44977.0</v>
      </c>
      <c r="E1467" s="26">
        <v>44958.0</v>
      </c>
      <c r="F1467" s="27" t="s">
        <v>4</v>
      </c>
      <c r="G1467" s="23" t="s">
        <v>5</v>
      </c>
      <c r="H1467" s="28" t="s">
        <v>86</v>
      </c>
      <c r="I1467" s="28" t="s">
        <v>11</v>
      </c>
      <c r="J1467" s="44">
        <f t="shared" si="203"/>
        <v>100</v>
      </c>
      <c r="K1467" s="93">
        <v>444.0</v>
      </c>
      <c r="L1467" s="94">
        <v>1300.0</v>
      </c>
      <c r="M1467" s="32"/>
      <c r="N1467" s="33">
        <f t="shared" si="155"/>
        <v>44400</v>
      </c>
      <c r="O1467" s="90">
        <v>2901.0</v>
      </c>
      <c r="P1467" s="34">
        <f t="shared" si="14"/>
        <v>6.533783784</v>
      </c>
      <c r="Q1467" s="35"/>
      <c r="R1467" s="36">
        <f t="shared" si="196"/>
        <v>0</v>
      </c>
      <c r="S1467" s="33"/>
      <c r="T1467" s="37">
        <f t="shared" si="204"/>
        <v>0</v>
      </c>
      <c r="U1467" s="38">
        <v>1.067</v>
      </c>
      <c r="V1467" s="39">
        <v>47.0827201217965</v>
      </c>
      <c r="W1467" s="39">
        <v>224.16</v>
      </c>
      <c r="X1467" s="35">
        <f t="shared" si="205"/>
        <v>0.12</v>
      </c>
      <c r="Y1467" s="35">
        <f t="shared" si="206"/>
        <v>0</v>
      </c>
      <c r="Z1467" s="40">
        <f t="shared" si="207"/>
        <v>0</v>
      </c>
      <c r="AA1467" s="34">
        <f t="shared" si="208"/>
        <v>0</v>
      </c>
      <c r="AB1467" s="41">
        <f t="shared" si="209"/>
        <v>0</v>
      </c>
      <c r="AC1467" s="42" t="b">
        <v>1</v>
      </c>
      <c r="AD1467" s="87" t="str">
        <f t="shared" si="210"/>
        <v>USD</v>
      </c>
      <c r="AE1467" s="88" t="s">
        <v>138</v>
      </c>
      <c r="AF1467" s="88" t="str">
        <f t="array" ref="AF1467">INDEX('Deal Info'!D:D, MATCH(A1467,'Deal Info'!A:A, 0))</f>
        <v>DoEVni</v>
      </c>
      <c r="AG1467" s="89" t="str">
        <f t="array" ref="AG1467">INDEX('Deal Info'!G:G, MATCH(A1467,'Deal Info'!A:A, 0))</f>
        <v>None</v>
      </c>
    </row>
    <row r="1468" hidden="1">
      <c r="A1468" s="23" t="str">
        <f t="array" ref="A1468">if(G1468='Room Info'!$B$1, INDEX('Room Info'!$A$2:$A3446, MATCH(B1468,'Room Info'!$B$2:$B3446, 0)),if(G1468='Room Info'!$C$1, INDEX('Room Info'!$A$2:$A3446, MATCH(B1468,'Room Info'!$C$2:$C3446, 0)),if(G1468='Room Info'!$D$1, INDEX('Room Info'!$A$2:$A3446, MATCH(B1468,'Room Info'!$D$2:$D3446, 0)),if(G1468='Room Info'!$E$1, INDEX('Room Info'!$A$2:$A3446, MATCH(B1468,'Room Info'!$E$2:$E3446, 0)),if(G1468='Room Info'!$F$1, INDEX('Room Info'!$A$2:$A3446, MATCH(B1468,'Room Info'!$F$2:$F3446, 0)),if(G1468='Room Info'!$H$1, INDEX('Room Info'!$A$2:$A3446, MATCH(B1468,'Room Info'!$H$2:$H3446, 0)),if(G1468='Room Info'!$G$1, INDEX('Room Info'!$A$2:$A3446, MATCH(B1468,'Room Info'!$G$2:$G3446, 0)))))))))</f>
        <v>Abcdf</v>
      </c>
      <c r="B1468" s="23" t="s">
        <v>144</v>
      </c>
      <c r="C1468" s="46">
        <v>44551.0</v>
      </c>
      <c r="D1468" s="46">
        <v>44581.0</v>
      </c>
      <c r="E1468" s="26">
        <v>44562.0</v>
      </c>
      <c r="F1468" s="27" t="s">
        <v>4</v>
      </c>
      <c r="G1468" s="23" t="s">
        <v>9</v>
      </c>
      <c r="H1468" s="28" t="s">
        <v>53</v>
      </c>
      <c r="I1468" s="28" t="s">
        <v>7</v>
      </c>
      <c r="J1468" s="44">
        <v>10.0</v>
      </c>
      <c r="K1468" s="30">
        <v>165.0</v>
      </c>
      <c r="L1468" s="31">
        <v>-113.0</v>
      </c>
      <c r="M1468" s="47">
        <v>0.0</v>
      </c>
      <c r="N1468" s="33">
        <f t="shared" si="155"/>
        <v>1650</v>
      </c>
      <c r="O1468" s="23">
        <v>10603.0</v>
      </c>
      <c r="P1468" s="34">
        <f t="shared" si="14"/>
        <v>64.26060606</v>
      </c>
      <c r="Q1468" s="35"/>
      <c r="R1468" s="36">
        <f t="shared" si="196"/>
        <v>0</v>
      </c>
      <c r="S1468" s="33">
        <v>45.0</v>
      </c>
      <c r="T1468" s="37">
        <f t="shared" ref="T1468:T1469" si="211">R1468+S1468+if(F1468="Without EV deal",L1468,0)</f>
        <v>45</v>
      </c>
      <c r="U1468" s="38">
        <v>1.0</v>
      </c>
      <c r="V1468" s="39">
        <v>10.0</v>
      </c>
      <c r="W1468" s="39">
        <v>4.5</v>
      </c>
      <c r="X1468" s="35">
        <f t="shared" ref="X1468:X1469" si="212">IF(AF1468="DoEV",IF(AND(V1468&lt;20,W1468&lt;55),0.3,0)+IF(AND(V1468&lt;20,W1468&gt;=55,W1468&lt;105),0.23,0)+IF(AND(V1468&lt;20,W1468&gt;=105),0.17,0)+IF(AND(V1468&gt;=20,V1468&lt;40,W1468&lt;45),0.3,0)+IF(AND(V1468&gt;=20,V1468&lt;40,W1468&gt;=45,W1468&lt;95),0.23,0)+IF(AND(V1468&gt;=20,V1468&lt;40,W1468&gt;=95),0.17,0)+IF(AND(V1468&gt;=40,V1468&lt;75,W1468&lt;35),0.3,0)+IF(AND(V1468&gt;=40,V1468&lt;75,W1468&gt;=35,W1468&lt;75),0.23,0)+IF(AND(V1468&gt;=40,V1468&lt;75,W1468&gt;=75,W1468&lt;120),0.17,0)+IF(AND(V1468&gt;=40,V1468&lt;75,W1468&gt;=120),0.12,0)+IF(AND(V1468&gt;=75,V1468&lt;175,W1468&lt;35),0.3,0)+IF(AND(V1468&gt;=75,V1468&lt;=175,W1468&gt;=35,W1468&lt;65),0.23,0)+IF(AND(V1468&gt;=75,V1468&lt;=175,W1468&gt;=65,W1468&lt;110),0.17,0)+IF(AND(V1468&gt;=75,V1468&lt;=175,W1468&gt;=110),0.12,0)+IF(AND(V1468&gt;175,W1468&lt;25),0.3,0)+IF(AND(V1468&gt;175,W1468&gt;=25,W1468&lt;55),0.23,0)+IF(AND(V1468&gt;175,W1468&gt;=55,W1468&lt;95),0.17,0)+IF(AND(V1468&gt;175,W1468&gt;=95),0.12,0),
IF(AF1468="Fix15",0.15,
IF(AF1468="Fix11.25",0.1125,
IF(AF1468="Fix10",0.1,
IF(AF1468="Fix9",0.09,
IF(AF1468="DoEV2017",IF(AND(W1468&lt;74),0.2,0)+IF(AND(W1468&gt;=74),0.17,0),
IF(AF1468="SF",IF(AND(V1468&lt;20,W1468&lt;89),0.3,0)+IF(AND(V1468&lt;20,W1468&gt;=89),0.25,0)+IF(AND(V1468&gt;=20,V1468&lt;40,W1468&lt;74),0.3,0)+IF(AND(V1468&gt;=20,V1468&lt;40,W1468&gt;=75),0.22,0)+IF(AND(V1468&gt;=40,V1468&lt;75,W1468&lt;75),0.26,0)+IF(AND(V1468&gt;=40,V1468&lt;75,W1468&gt;=75),0.22,0)+IF(V1468&gt;=75,0.22,0),
IF(AF1468="DoEVold",IF(AND(V1468&lt;40,W1468&lt;35),0.35,0)+IF(AND(V1468&lt;40,W1468&gt;=35,W1468&lt;75),0.25,0)+IF(AND(V1468&lt;40,W1468&gt;=75),0.17,0)+IF(AND(V1468&gt;=40,V1468&lt;75,W1468&lt;25),0.35,0)+IF(AND(V1468&gt;=40,V1468&lt;75,W1468&gt;=25,W1468&lt;65),0.25,0)+IF(AND(V1468&gt;=40,V1468&lt;75,W1468&gt;=65,W1468&lt;100),0.17,0)+IF(AND(V1468&gt;=40,V1468&lt;75,W1468&gt;=100),0.1,0)+IF(AND(V1468&gt;=75,W1468&lt;25),0.35,0)+IF(AND(V1468&gt;=75,W1468&gt;=25,W1468&lt;60),0.25,0)+IF(AND(V1468&gt;=75,W1468&gt;=60,W1468&lt;95),0.17,0)+IF(AND(V1468&gt;=75,W1468&gt;=95),0.1,0),
IF(AF1468="DoEVold15",IF(AND(V1468&lt;=40,W1468&lt;35),0.35,0)+IF(AND(V1468&lt;=40,W1468&gt;=35,W1468&lt;75),0.25,0)+IF(AND(V1468&lt;=40,W1468&gt;=75,W1468&lt;120),0.17,0)+IF(AND(V1468&lt;=40,W1468&gt;=120),0.15,0)+IF(AND(V1468&gt;40,V1468&lt;75,W1468&lt;25),0.35,0)+IF(AND(V1468&gt;=40,V1468&lt;75,W1468&gt;=25,W1468&lt;65),0.25,0)+IF(AND(V1468&gt;=40,V1468&lt;75,W1468&gt;=65,W1468&lt;100),0.17,0)+IF(AND(V1468&gt;=40,V1468&lt;75,W1468&gt;=100),0.1,0)+IF(AND(V1468&gt;=75,W1468&lt;25),0.35,0)+IF(AND(V1468&gt;=75,W1468&gt;=25,W1468&lt;60),0.25,0)+IF(AND(V1468&gt;=75,W1468&gt;=60,W1468&lt;95),0.17,0)+IF(AND(V1468&gt;=75,W1468&gt;=95),0.1,0),
IF(AF1468="DoEVba",IF(AND(V1468&lt;20,W1468&lt;105),0.2,0)+IF(AND(V1468&lt;20,W1468&gt;=105),0.15,0)+IF(AND(V1468&gt;=20,V1468&lt;40,W1468&lt;95),0.2,0)+IF(AND(V1468&gt;=20,V1468&lt;40,W1468&gt;=95,W1468&lt;150),0.15,0)+IF(AND(V1468&gt;=20,V1468&lt;40,W1468&gt;=150),0.12,0)+IF(AND(V1468&gt;=40,V1468&lt;75,W1468&lt;75),0.2,0)+IF(AND(V1468&gt;=40,V1468&lt;75,W1468&gt;=75,W1468&lt;120),0.15,0)+IF(AND(V1468&gt;=40,V1468&lt;75,W1468&gt;=120),0.12,0)+IF(AND(V1468&gt;=75,V1468&lt;175,W1468&lt;65),0.2,0)+IF(AND(V1468&gt;=75,V1468&lt;175,W1468&gt;=65,W1468&lt;110),0.15,0)+IF(AND(V1468&gt;=75,V1468&lt;175,W1468&gt;=110),0.12,0)+IF(AND(V1468&gt;=175,W1468&lt;55),0.2,0)+IF(AND(V1468&gt;=175,W1468&gt;=55,W1468&lt;95),0.15,0)+IF(AND(V1468&gt;=175,W1468&gt;=95),0.12,0),
IF(AF1468="DoEVku",IF(AND(V1468&lt;20,W1468&lt;55),0.23,0)+IF(AND(V1468&lt;20,W1468&gt;=55,W1468&lt;105),0.2,0)+IF(AND(V1468&lt;20,W1468&gt;=105),0.17,0)+IF(AND(V1468&gt;=20,V1468&lt;40,W1468&lt;45),0.23,0)+IF(AND(V1468&gt;=20,V1468&lt;40,W1468&gt;=45,W1468&lt;95),0.2,0)+IF(AND(V1468&gt;=20,V1468&lt;40,W1468&gt;=95,W1468&lt;=150),0.17,0)+IF(AND(V1468&gt;=20,V1468&lt;40,W1468&gt;=150),0.12,0)+IF(AND(V1468&gt;=40,V1468&lt;75,W1468&lt;35),0.23,0)+IF(AND(V1468&gt;=40,V1468&lt;75,W1468&gt;=35,W1468&lt;75),0.2,0)+IF(AND(V1468&gt;=40,V1468&lt;75,W1468&gt;=75,W1468&lt;120),0.17,0)+IF(AND(V1468&gt;=40,V1468&lt;75,W1468&gt;=120),0.12,0)+IF(AND(V1468&gt;=75,V1468&lt;175,W1468&lt;35),0.23,0)+IF(AND(V1468&gt;=75,V1468&lt;=175,W1468&gt;=35,W1468&lt;65),0.2,0)+IF(AND(V1468&gt;=75,V1468&lt;=175,W1468&gt;=65,W1468&lt;110),0.17,0)+IF(AND(V1468&gt;=75,V1468&lt;=175,W1468&gt;=110),0.12,0)+IF(AND(V1468&gt;175,W1468&lt;25),0.23,0)+IF(AND(V1468&gt;175,W1468&gt;=25,W1468&lt;55),0.2,0)+IF(AND(V1468&gt;175,W1468&gt;=55,W1468&lt;95),0.17,0)+IF(AND(V1468&gt;175,W1468&gt;=95),0.12,0),
IF(AF1468="DoEVs1",IF(AND(V1468&lt;20,W1468&lt;55),0.3,0)+IF(AND(V1468&lt;20,W1468&gt;=55,W1468&lt;105),0.23,0)+IF(AND(V1468&lt;20,W1468&gt;=105),0.17,0)+IF(AND(V1468&gt;=20,V1468&lt;40,W1468&lt;45),0.3,0)+IF(AND(V1468&gt;=20,V1468&lt;40,W1468&gt;=45,W1468&lt;95),0.23,0)+IF(AND(V1468&gt;=20,V1468&lt;40,W1468&gt;=95,W1468&lt;=150),0.17,0)+IF(AND(V1468&gt;=20,V1468&lt;40,W1468&gt;=150),0.12,0)+IF(AND(V1468&gt;=40,V1468&lt;75,W1468&lt;35),0.3,0)+IF(AND(V1468&gt;=40,V1468&lt;75,W1468&gt;=35,W1468&lt;75),0.23,0)+IF(AND(V1468&gt;=40,V1468&lt;75,W1468&gt;=75,W1468&lt;120),0.17,0)+IF(AND(V1468&gt;=40,V1468&lt;75,W1468&gt;=120),0.12,0)+IF(AND(V1468&gt;=75,V1468&lt;175,W1468&lt;35),0.3,0)+IF(AND(V1468&gt;=75,V1468&lt;=175,W1468&gt;=35,W1468&lt;65),0.23,0)+IF(AND(V1468&gt;=75,V1468&lt;=175,W1468&gt;=65,W1468&lt;110),0.17,0)+IF(AND(V1468&gt;=75,V1468&lt;=175,W1468&gt;=110),0.12,0)+IF(AND(V1468&gt;175,W1468&lt;25),0.3,0)+IF(AND(V1468&gt;175,W1468&gt;=25,W1468&lt;55),0.23,0)+IF(AND(V1468&gt;175,W1468&gt;=55,W1468&lt;95),0.17,0)+IF(AND(V1468&gt;175,W1468&gt;=95),0.12,0),
IF(AF1468="DoEVsu",IF(AND(V1468&lt;20,W1468&lt;55),0.3,0)+IF(AND(V1468&lt;20,W1468&gt;=55,W1468&lt;105),0.23,0)+IF(AND(V1468&lt;20,W1468&gt;=105),0.17,0)+IF(AND(V1468&gt;=20,V1468&lt;40,W1468&lt;45),0.3,0)+IF(AND(V1468&gt;=20,V1468&lt;40,W1468&gt;=45,W1468&lt;95),0.23,0)+IF(AND(V1468&gt;=20,V1468&lt;40,W1468&gt;=95,W1468&lt;=250),0.17,0)+IF(AND(V1468&gt;=20,V1468&lt;40,W1468&gt;=250),0.12,0)+IF(AND(V1468&gt;=40,V1468&lt;75,W1468&lt;35),0.3,0)+IF(AND(V1468&gt;=40,V1468&lt;75,W1468&gt;=35,W1468&lt;75),0.23,0)+IF(AND(V1468&gt;=40,V1468&lt;75,W1468&gt;=75,W1468&lt;120),0.17,0)+IF(AND(V1468&gt;=40,V1468&lt;75,W1468&gt;=120),0.12,0)+IF(AND(V1468&gt;=75,V1468&lt;175,W1468&lt;35),0.3,0)+IF(AND(V1468&gt;=75,V1468&lt;=175,W1468&gt;=35,W1468&lt;65),0.23,0)+IF(AND(V1468&gt;=75,V1468&lt;=175,W1468&gt;=65,W1468&lt;110),0.17,0)+IF(AND(V1468&gt;=75,V1468&lt;=175,W1468&gt;=110),0.12,0)+IF(AND(V1468&gt;175,W1468&lt;25),0.3,0)+IF(AND(V1468&gt;175,W1468&gt;=25,W1468&lt;55),0.23,0)+IF(AND(V1468&gt;175,W1468&gt;=55,W1468&lt;95),0.17,0)+IF(AND(V1468&gt;175,W1468&gt;=95),0.12,0),
IF(AF1468="DoEVni",IF(AND(V1468&lt;20,W1468&lt;55),0.3,0)+IF(AND(V1468&lt;20,W1468&gt;=55,W1468&lt;105),0.23,0)+IF(AND(V1468&lt;20,W1468&gt;=105),0.17,0)+IF(AND(V1468&gt;=20,V1468&lt;40,W1468&lt;45),0.3,0)+IF(AND(V1468&gt;=20,V1468&lt;40,W1468&gt;=45,W1468&lt;95),0.23,0)+IF(AND(V1468&gt;=20,V1468&lt;40,W1468&gt;=95,W1468&lt;=200),0.17,0)+IF(AND(V1468&gt;=20,V1468&lt;40,W1468&gt;=200),0.12,0)+IF(AND(V1468&gt;=40,V1468&lt;75,W1468&lt;35),0.3,0)+IF(AND(V1468&gt;=40,V1468&lt;75,W1468&gt;=35,W1468&lt;75),0.23,0)+IF(AND(V1468&gt;=40,V1468&lt;75,W1468&gt;=75,W1468&lt;120),0.17,0)+IF(AND(V1468&gt;=40,V1468&lt;75,W1468&gt;=120),0.12,0)+IF(AND(V1468&gt;=75,V1468&lt;175,W1468&lt;35),0.3,0)+IF(AND(V1468&gt;=75,V1468&lt;=175,W1468&gt;=35,W1468&lt;65),0.23,0)+IF(AND(V1468&gt;=75,V1468&lt;=175,W1468&gt;=65,W1468&lt;110),0.17,0)+IF(AND(V1468&gt;=75,V1468&lt;=175,W1468&gt;=110),0.12,0)+IF(AND(V1468&gt;175,W1468&lt;25),0.3,0)+IF(AND(V1468&gt;175,W1468&gt;=25,W1468&lt;55),0.23,0)+IF(AND(V1468&gt;175,W1468&gt;=55,W1468&lt;95),0.17,0)+IF(AND(V1468&gt;175,W1468&gt;=95),0.12,0),
IF(AF1468="DoEVLo",IF(AND(V1468&lt;20,W1468&lt;55),0.25,0)+IF(AND(V1468&lt;20,W1468&gt;=55,W1468&lt;105),0.2,0)+IF(AND(V1468&lt;20,W1468&gt;=105),0.15,0)+IF(AND(V1468&gt;=20,V1468&lt;40,W1468&lt;45),0.25,0)+IF(AND(V1468&gt;=20,V1468&lt;40,W1468&gt;=45,W1468&lt;95),0.2,0)+IF(AND(V1468&gt;=20,V1468&lt;40,W1468&gt;=95),0.15,0)+IF(AND(V1468&gt;=40,V1468&lt;75,W1468&lt;35),0.25,0)+IF(AND(V1468&gt;=40,V1468&lt;75,W1468&gt;=35,W1468&lt;75),0.2,0)+IF(AND(V1468&gt;=40,V1468&lt;75,W1468&gt;=75,W1468&lt;120),0.15,0)+IF(AND(V1468&gt;=40,V1468&lt;75,W1468&gt;=120),0.1,0)+IF(AND(V1468&gt;=75,V1468&lt;175,W1468&lt;35),0.25,0)+IF(AND(V1468&gt;=75,V1468&lt;=175,W1468&gt;=35,W1468&lt;65),0.2,0)+IF(AND(V1468&gt;=75,V1468&lt;=175,W1468&gt;=65,W1468&lt;110),0.15,0)+IF(AND(V1468&gt;=75,V1468&lt;=175,W1468&gt;=110),0.1,0)+IF(AND(V1468&gt;175,W1468&lt;25),0.25,0)+IF(AND(V1468&gt;175,W1468&gt;=25,W1468&lt;55),0.2,0)+IF(AND(V1468&gt;175,W1468&gt;=55,W1468&lt;95),0.15,0)+IF(AND(V1468&gt;175,W1468&gt;=95),0.1,0))))))))))))))))</f>
        <v>0.2</v>
      </c>
      <c r="Y1468" s="35">
        <f t="shared" ref="Y1468:Y1469" si="213">if(AG1468="None",0,if(AG1468="Fix5",0.05,if(AG1468="Fix3.75",0.0375,if(AG1468="Fix10",0.1,if(AG1468="Fix3",0.03,0)))))</f>
        <v>0</v>
      </c>
      <c r="Z1468" s="40">
        <f t="shared" ref="Z1468:Z1469" si="214">T1468-AA1468-AB1468</f>
        <v>36</v>
      </c>
      <c r="AA1468" s="34">
        <f t="shared" ref="AA1468:AA1469" si="215">if(AD1468="EUR",((T1468-R1468)*X1468)*U1468+(R1468*X1468),(T1468*X1468))</f>
        <v>9</v>
      </c>
      <c r="AB1468" s="41">
        <f t="shared" ref="AB1468:AB1469" si="216">if(AD1468="EUR",((T1468-R1468)*Y1468)*U1468+(R1468*Y1468),(T1468*Y1468))</f>
        <v>0</v>
      </c>
      <c r="AC1468" s="42" t="b">
        <v>1</v>
      </c>
      <c r="AD1468" s="42" t="s">
        <v>140</v>
      </c>
      <c r="AE1468" s="42"/>
      <c r="AF1468" s="42" t="str">
        <f t="array" ref="AF1468">INDEX('Deal Info'!D:D, MATCH(A1468,'Deal Info'!A:A, 0))</f>
        <v>DoEV2017</v>
      </c>
      <c r="AG1468" s="43" t="str">
        <f t="array" ref="AG1468">INDEX('Deal Info'!G:G, MATCH(A1468,'Deal Info'!A:A, 0))</f>
        <v>None</v>
      </c>
    </row>
    <row r="1469" hidden="1">
      <c r="A1469" s="23" t="str">
        <f t="array" ref="A1469">if(G1469='Room Info'!$B$1, INDEX('Room Info'!$A$2:$A3446, MATCH(B1469,'Room Info'!$B$2:$B3446, 0)),if(G1469='Room Info'!$C$1, INDEX('Room Info'!$A$2:$A3446, MATCH(B1469,'Room Info'!$C$2:$C3446, 0)),if(G1469='Room Info'!$D$1, INDEX('Room Info'!$A$2:$A3446, MATCH(B1469,'Room Info'!$D$2:$D3446, 0)),if(G1469='Room Info'!$E$1, INDEX('Room Info'!$A$2:$A3446, MATCH(B1469,'Room Info'!$E$2:$E3446, 0)),if(G1469='Room Info'!$F$1, INDEX('Room Info'!$A$2:$A3446, MATCH(B1469,'Room Info'!$F$2:$F3446, 0)),if(G1469='Room Info'!$H$1, INDEX('Room Info'!$A$2:$A3446, MATCH(B1469,'Room Info'!$H$2:$H3446, 0)),if(G1469='Room Info'!$G$1, INDEX('Room Info'!$A$2:$A3446, MATCH(B1469,'Room Info'!$G$2:$G3446, 0)))))))))</f>
        <v>Abcdf</v>
      </c>
      <c r="B1469" s="23" t="s">
        <v>144</v>
      </c>
      <c r="C1469" s="46">
        <v>44613.0</v>
      </c>
      <c r="D1469" s="46">
        <v>44641.0</v>
      </c>
      <c r="E1469" s="26">
        <v>44621.0</v>
      </c>
      <c r="F1469" s="27" t="s">
        <v>4</v>
      </c>
      <c r="G1469" s="23" t="s">
        <v>9</v>
      </c>
      <c r="H1469" s="28" t="s">
        <v>53</v>
      </c>
      <c r="I1469" s="28" t="s">
        <v>7</v>
      </c>
      <c r="J1469" s="44">
        <v>10.0</v>
      </c>
      <c r="K1469" s="30">
        <v>78.0</v>
      </c>
      <c r="L1469" s="31">
        <v>-177.0</v>
      </c>
      <c r="M1469" s="47">
        <v>0.0</v>
      </c>
      <c r="N1469" s="33">
        <f t="shared" si="155"/>
        <v>780</v>
      </c>
      <c r="O1469" s="23">
        <v>8167.0</v>
      </c>
      <c r="P1469" s="34">
        <f t="shared" si="14"/>
        <v>104.7051282</v>
      </c>
      <c r="Q1469" s="35"/>
      <c r="R1469" s="36">
        <f t="shared" si="196"/>
        <v>0</v>
      </c>
      <c r="S1469" s="33">
        <v>78.0</v>
      </c>
      <c r="T1469" s="37">
        <f t="shared" si="211"/>
        <v>78</v>
      </c>
      <c r="U1469" s="38">
        <v>1.0</v>
      </c>
      <c r="V1469" s="39">
        <v>10.0</v>
      </c>
      <c r="W1469" s="39">
        <v>7.8</v>
      </c>
      <c r="X1469" s="35">
        <f t="shared" si="212"/>
        <v>0.2</v>
      </c>
      <c r="Y1469" s="35">
        <f t="shared" si="213"/>
        <v>0</v>
      </c>
      <c r="Z1469" s="40">
        <f t="shared" si="214"/>
        <v>62.4</v>
      </c>
      <c r="AA1469" s="34">
        <f t="shared" si="215"/>
        <v>15.6</v>
      </c>
      <c r="AB1469" s="41">
        <f t="shared" si="216"/>
        <v>0</v>
      </c>
      <c r="AC1469" s="42" t="b">
        <v>1</v>
      </c>
      <c r="AD1469" s="42" t="s">
        <v>140</v>
      </c>
      <c r="AE1469" s="42"/>
      <c r="AF1469" s="42" t="str">
        <f t="array" ref="AF1469">INDEX('Deal Info'!D:D, MATCH(A1469,'Deal Info'!A:A, 0))</f>
        <v>DoEV2017</v>
      </c>
      <c r="AG1469" s="43" t="str">
        <f t="array" ref="AG1469">INDEX('Deal Info'!G:G, MATCH(A1469,'Deal Info'!A:A, 0))</f>
        <v>None</v>
      </c>
    </row>
    <row r="1470" hidden="1">
      <c r="A1470" s="23" t="str">
        <f t="array" ref="A1470">if(G1470='Room Info'!$B$1, INDEX('Room Info'!$A$2:$A3446, MATCH(B1470,'Room Info'!$B$2:$B3446, 0)),if(G1470='Room Info'!$C$1, INDEX('Room Info'!$A$2:$A3446, MATCH(B1470,'Room Info'!$C$2:$C3446, 0)),if(G1470='Room Info'!$D$1, INDEX('Room Info'!$A$2:$A3446, MATCH(B1470,'Room Info'!$D$2:$D3446, 0)),if(G1470='Room Info'!$E$1, INDEX('Room Info'!$A$2:$A3446, MATCH(B1470,'Room Info'!$E$2:$E3446, 0)),if(G1470='Room Info'!$F$1, INDEX('Room Info'!$A$2:$A3446, MATCH(B1470,'Room Info'!$F$2:$F3446, 0)),if(G1470='Room Info'!$H$1, INDEX('Room Info'!$A$2:$A3446, MATCH(B1470,'Room Info'!$H$2:$H3446, 0)),if(G1470='Room Info'!$G$1, INDEX('Room Info'!$A$2:$A3446, MATCH(B1470,'Room Info'!$G$2:$G3446, 0)))))))))</f>
        <v>DeusVulter</v>
      </c>
      <c r="B1470" s="23" t="s">
        <v>221</v>
      </c>
      <c r="C1470" s="46">
        <v>44927.0</v>
      </c>
      <c r="D1470" s="46">
        <v>44957.0</v>
      </c>
      <c r="E1470" s="26">
        <v>44958.0</v>
      </c>
      <c r="F1470" s="27" t="s">
        <v>4</v>
      </c>
      <c r="G1470" s="23" t="s">
        <v>16</v>
      </c>
      <c r="H1470" s="28" t="s">
        <v>59</v>
      </c>
      <c r="I1470" s="28" t="s">
        <v>7</v>
      </c>
      <c r="J1470" s="44">
        <f t="shared" ref="J1470:J1472" si="217">iferror(if(H1470="$0.25",0.25, 
if(H1470="$0.25 Flash",0.25, 
if(H1470 = "$1", 1, 
if(H1470 = "$1 Flash", 1, 
if(H1470 = "$2", 2, 
if( H1470 = "$2 Flash" , 2, 
if( H1470= "$3", 3, 
if( H1470= "$3 Ultra", 3, 
if( H1470= "$5", 5, 
if( H1470= "$5 (1M)", 5, 
if( H1470= "$5 (1M) Flash", 5, 
if( H1470= "$5 Flash", 5, 
if( H1470= "$5 Flash (1M)", 5,
if( H1470= "$10", 10,
if( H1470= "$10 (1M)", 10,
if( H1470= "$10 (1M) (old)", 10,
if( H1470= "$10 Flash", 10,
if( H1470= "$10 Ultra", 10,
if( H1470= "$20", 20,
if( H1470= "$20 Ultra", 20,
if( H1470= "$25", 25,
if( H1470= "$25 Flash", 25,
if( H1470= "$50", 50,
if( H1470= "$50 Flash", 50,
if( H1470= "$50 Ultra", 50,
if( H1470= "$100", 100,
if( H1470= "$100 Flash", 100,
if( H1470= "$100 HUHT", 100,
if( H1470= "$100 Ultra", 100,
if( H1470= "$200", 200,
if( H1470= "$200 HUHT", 200,
if( H1470= "$250", 250,
if( H1470= "$250 Flash", 250,
if( H1470= "$300 HUHT", 300,
if( H1470= "$500", 500,
if( H1470= "$500 Flash", 500,
if( H1470 = "$500 HUHT",500,
if( H1470= "$1000", 1000,
if( H1470= "€0.25 Flash", 0.25,
if( H1470="€0.25(nitro) new",0.25,
if( H1470= "€1", 1,
if( H1470= "€2", 2,
if( H1470= "€5", 5,
if( H1470= "€5 (1M)", 5,
if( H1470= "€5 (bf 01.08)", 5,
if( H1470= "€5 (bf 05.05)", 5,
if( H1470= "€5 Nitro", 5,
if( H1470= "€5(wx) new", 5,
if( H1470= "€10", 10,
if( H1470= "€10 (1M)", 10,
if( H1470= "€10 (bf 01.08)", 10,
if( H1470= "€10 (bf 05.05)", 10,
if( H1470= "€10 (MP)", 10,
if( H1470= "€10 (old)", 10,
if( H1470= "€10 Nitro (bf 05.05)", 10,
if( H1470= "€10 Nitro (old)", 10,
if( H1470= "€10(wx) new", 10,
if( H1470= "€20", 20,
if( H1470= "€25", 25, 
if( H1470= "€25 (bf 01.08)", 25, 
if( H1470= "€25 (bf 05.05)", 25, 
if( H1470= "€25 (MP)", 25, 
if( H1470= "€25 (old)", 25,
if( H1470= "€25 Nitro", 25,
if( H1470= "€25 Nitro (bf 01.08)", 25,
if( H1470= "€25 Nitro (bf 05.05)", 25,
if( H1470= "€25(nitro) new", 25,
if( H1470= "€25(wx) new", 25,
if( H1470= "€50", 50,
if( H1470= "€50 (bf 01.08)", 50,
if( H1470= "€50 (bf 05.05)", 50,
if( H1470= "€50 (old)", 50,
if( H1470= "€50 Nitro", 50,
if( H1470= "€50 Nitro (bf 01.08)", 50,
if( H1470= "€50 Nitro (bf 05.05)", 50,
if( H1470= "€50(wx) new", 50,
if( H1470= "€100", 100,
if( H1470= "€100 (old)", 100,
if( H1470= "€100 Nitro", 100,
if( H1470= "€100 Nitro (old)", 100,
if( H1470= "€200", 200,
if( H1470= "€250", 250,
if( H1470= "€250 Nitro", 250,
if( H1470= "€500", 500,
if( H1470= "€500 Nitro", 500,
if( H1470= "1000 rub", 1000,
if( H1470= "2500 rub", 2500,
if( H1470= "5000 rub", 5000,"")))))))))))))))))))))))))))))))))))))))))))))))))))))))))))))))))))))))))))))))))))))))))</f>
        <v>20</v>
      </c>
      <c r="K1470" s="93">
        <v>2812.0</v>
      </c>
      <c r="L1470" s="94">
        <v>-1660.0</v>
      </c>
      <c r="M1470" s="127">
        <v>2325.37</v>
      </c>
      <c r="N1470" s="33">
        <f t="shared" si="155"/>
        <v>56240</v>
      </c>
      <c r="O1470" s="90">
        <v>51578.0</v>
      </c>
      <c r="P1470" s="34">
        <f t="shared" si="14"/>
        <v>18.34210526</v>
      </c>
      <c r="Q1470" s="35"/>
      <c r="R1470" s="36">
        <f t="shared" si="196"/>
        <v>2325.37</v>
      </c>
      <c r="S1470" s="124">
        <v>-1608.0</v>
      </c>
      <c r="T1470" s="37">
        <f t="shared" ref="T1470:T1472" si="218">IF(AND(AD1470="EUR", F1470="Without EV deal"), R1470 + L1470, 
IF(AND(AD1470="USD", F1470="Without EV deal"), R1470 + L1470, 
IF(AND(AD1470="EUR", F1470="Steel Phoenix"), R1470 + S1470/U1470, 
R1470 + S1470)))</f>
        <v>717.37</v>
      </c>
      <c r="U1470" s="38">
        <v>1.067</v>
      </c>
      <c r="V1470" s="69">
        <v>20.0</v>
      </c>
      <c r="W1470" s="69">
        <v>96.58146279</v>
      </c>
      <c r="X1470" s="35">
        <f t="shared" ref="X1470:X1472" si="219">IF(AF1470="DoEV",IF(AND(V1470&lt;20,W1470&lt;55),0.3,0)+IF(AND(V1470&lt;20,W1470&gt;=55,W1470&lt;105),0.23,0)+IF(AND(V1470&lt;20,W1470&gt;=105),0.17,0)+IF(AND(V1470&gt;=20,V1470&lt;40,W1470&lt;45),0.3,0)+IF(AND(V1470&gt;=20,V1470&lt;40,W1470&gt;=45,W1470&lt;95),0.23,0)+IF(AND(V1470&gt;=20,V1470&lt;40,W1470&gt;=95),0.17,0)+IF(AND(V1470&gt;=40,V1470&lt;75,W1470&lt;35),0.3,0)+IF(AND(V1470&gt;=40,V1470&lt;75,W1470&gt;=35,W1470&lt;75),0.23,0)+IF(AND(V1470&gt;=40,V1470&lt;75,W1470&gt;=75,W1470&lt;120),0.17,0)+IF(AND(V1470&gt;=40,V1470&lt;75,W1470&gt;=120),0.12,0)+IF(AND(V1470&gt;=75,V1470&lt;175,W1470&lt;35),0.3,0)+IF(AND(V1470&gt;=75,V1470&lt;=175,W1470&gt;=35,W1470&lt;65),0.23,0)+IF(AND(V1470&gt;=75,V1470&lt;=175,W1470&gt;=65,W1470&lt;110),0.17,0)+IF(AND(V1470&gt;=75,V1470&lt;=175,W1470&gt;=110),0.12,0)+IF(AND(V1470&gt;175,W1470&lt;25),0.3,0)+IF(AND(V1470&gt;175,W1470&gt;=25,W1470&lt;55),0.23,0)+IF(AND(V1470&gt;175,W1470&gt;=55,W1470&lt;95),0.17,0)+IF(AND(V1470&gt;175,W1470&gt;=95),0.12,0),
IF(AF1470="Fix15",0.15,
IF(AF1470="Fix5",0.05,
if(AF1470="Fix18.75",0.1875,
IF(AF1470="Fix11.25",0.1125,
IF(AF1470="Fix10",0.1,
IF(AF1470="Fix9",0.09,
IF(AF1470="Fix12",0.12,
IF(AF1470="Fix19",0.19,
IF(AF1470="DoEV2017",IF(AND(W1470&lt;74),0.2,0)+IF(AND(W1470&gt;=74),0.17,0),
IF(AF1470="SF",IF(AND(V1470&lt;20,W1470&lt;89),0.3,0)+IF(AND(V1470&lt;20,W1470&gt;=89),0.25,0)+IF(AND(V1470&gt;=20,V1470&lt;40,W1470&lt;74),0.3,0)+IF(AND(V1470&gt;=20,V1470&lt;40,W1470&gt;=75),0.22,0)+IF(AND(V1470&gt;=40,V1470&lt;75,W1470&lt;75),0.26,0)+IF(AND(V1470&gt;=40,V1470&lt;75,W1470&gt;=75),0.22,0)+IF(V1470&gt;=75,0.22,0),
IF(AF1470="DoEVold",IF(AND(V1470&lt;40,W1470&lt;35),0.35,0)+IF(AND(V1470&lt;40,W1470&gt;=35,W1470&lt;75),0.25,0)+IF(AND(V1470&lt;40,W1470&gt;=75),0.17,0)+IF(AND(V1470&gt;=40,V1470&lt;75,W1470&lt;25),0.35,0)+IF(AND(V1470&gt;=40,V1470&lt;75,W1470&gt;=25,W1470&lt;65),0.25,0)+IF(AND(V1470&gt;=40,V1470&lt;75,W1470&gt;=65,W1470&lt;100),0.17,0)+IF(AND(V1470&gt;=40,V1470&lt;75,W1470&gt;=100),0.1,0)+IF(AND(V1470&gt;=75,W1470&lt;25),0.35,0)+IF(AND(V1470&gt;=75,W1470&gt;=25,W1470&lt;60),0.25,0)+IF(AND(V1470&gt;=75,W1470&gt;=60,W1470&lt;95),0.17,0)+IF(AND(V1470&gt;=75,W1470&gt;=95),0.1,0),
IF(AF1470="DoEVold15",IF(AND(V1470&lt;=40,W1470&lt;35),0.35,0)+IF(AND(V1470&lt;=40,W1470&gt;=35,W1470&lt;75),0.25,0)+IF(AND(V1470&lt;=40,W1470&gt;=75,W1470&lt;120),0.17,0)+IF(AND(V1470&lt;=40,W1470&gt;=120),0.15,0)+IF(AND(V1470&gt;40,V1470&lt;75,W1470&lt;25),0.35,0)+IF(AND(V1470&gt;=40,V1470&lt;75,W1470&gt;=25,W1470&lt;65),0.25,0)+IF(AND(V1470&gt;=40,V1470&lt;75,W1470&gt;=65,W1470&lt;100),0.17,0)+IF(AND(V1470&gt;=40,V1470&lt;75,W1470&gt;=100),0.1,0)+IF(AND(V1470&gt;=75,W1470&lt;25),0.35,0)+IF(AND(V1470&gt;=75,W1470&gt;=25,W1470&lt;60),0.25,0)+IF(AND(V1470&gt;=75,W1470&gt;=60,W1470&lt;95),0.17,0)+IF(AND(V1470&gt;=75,W1470&gt;=95),0.1,0),
IF(AF1470="DoEVba",IF(AND(V1470&lt;20,W1470&lt;105),0.2,0)+IF(AND(V1470&lt;20,W1470&gt;=105),0.15,0)+IF(AND(V1470&gt;=20,V1470&lt;40,W1470&lt;95),0.2,0)+IF(AND(V1470&gt;=20,V1470&lt;40,W1470&gt;=95,W1470&lt;150),0.15,0)+IF(AND(V1470&gt;=20,V1470&lt;40,W1470&gt;=150),0.12,0)+IF(AND(V1470&gt;=40,V1470&lt;75,W1470&lt;75),0.2,0)+IF(AND(V1470&gt;=40,V1470&lt;75,W1470&gt;=75,W1470&lt;120),0.15,0)+IF(AND(V1470&gt;=40,V1470&lt;75,W1470&gt;=120),0.12,0)+IF(AND(V1470&gt;=75,V1470&lt;175,W1470&lt;65),0.2,0)+IF(AND(V1470&gt;=75,V1470&lt;175,W1470&gt;=65,W1470&lt;110),0.15,0)+IF(AND(V1470&gt;=75,V1470&lt;175,W1470&gt;=110),0.12,0)+IF(AND(V1470&gt;=175,W1470&lt;55),0.2,0)+IF(AND(V1470&gt;=175,W1470&gt;=55,W1470&lt;95),0.15,0)+IF(AND(V1470&gt;=175,W1470&gt;=95),0.12,0),
IF(AF1470="DoEVku",IF(AND(V1470&lt;20,W1470&lt;55),0.23,0)+IF(AND(V1470&lt;20,W1470&gt;=55,W1470&lt;105),0.2,0)+IF(AND(V1470&lt;20,W1470&gt;=105),0.17,0)+IF(AND(V1470&gt;=20,V1470&lt;40,W1470&lt;45),0.23,0)+IF(AND(V1470&gt;=20,V1470&lt;40,W1470&gt;=45,W1470&lt;95),0.2,0)+IF(AND(V1470&gt;=20,V1470&lt;40,W1470&gt;=95,W1470&lt;=150),0.17,0)+IF(AND(V1470&gt;=20,V1470&lt;40,W1470&gt;=150),0.12,0)+IF(AND(V1470&gt;=40,V1470&lt;75,W1470&lt;35),0.23,0)+IF(AND(V1470&gt;=40,V1470&lt;75,W1470&gt;=35,W1470&lt;75),0.2,0)+IF(AND(V1470&gt;=40,V1470&lt;75,W1470&gt;=75,W1470&lt;120),0.17,0)+IF(AND(V1470&gt;=40,V1470&lt;75,W1470&gt;=120),0.12,0)+IF(AND(V1470&gt;=75,V1470&lt;175,W1470&lt;35),0.23,0)+IF(AND(V1470&gt;=75,V1470&lt;=175,W1470&gt;=35,W1470&lt;65),0.2,0)+IF(AND(V1470&gt;=75,V1470&lt;=175,W1470&gt;=65,W1470&lt;110),0.17,0)+IF(AND(V1470&gt;=75,V1470&lt;=175,W1470&gt;=110),0.12,0)+IF(AND(V1470&gt;175,W1470&lt;25),0.23,0)+IF(AND(V1470&gt;175,W1470&gt;=25,W1470&lt;55),0.2,0)+IF(AND(V1470&gt;175,W1470&gt;=55,W1470&lt;95),0.17,0)+IF(AND(V1470&gt;175,W1470&gt;=95),0.12,0),
IF(AF1470="DoEVs1",IF(AND(V1470&lt;20,W1470&lt;55),0.3,0)+IF(AND(V1470&lt;20,W1470&gt;=55,W1470&lt;105),0.23,0)+IF(AND(V1470&lt;20,W1470&gt;=105),0.17,0)+IF(AND(V1470&gt;=20,V1470&lt;40,W1470&lt;45),0.3,0)+IF(AND(V1470&gt;=20,V1470&lt;40,W1470&gt;=45,W1470&lt;95),0.23,0)+IF(AND(V1470&gt;=20,V1470&lt;40,W1470&gt;=95,W1470&lt;=150),0.17,0)+IF(AND(V1470&gt;=20,V1470&lt;40,W1470&gt;=150),0.12,0)+IF(AND(V1470&gt;=40,V1470&lt;75,W1470&lt;35),0.3,0)+IF(AND(V1470&gt;=40,V1470&lt;75,W1470&gt;=35,W1470&lt;75),0.23,0)+IF(AND(V1470&gt;=40,V1470&lt;75,W1470&gt;=75,W1470&lt;120),0.17,0)+IF(AND(V1470&gt;=40,V1470&lt;75,W1470&gt;=120),0.12,0)+IF(AND(V1470&gt;=75,V1470&lt;175,W1470&lt;35),0.3,0)+IF(AND(V1470&gt;=75,V1470&lt;=175,W1470&gt;=35,W1470&lt;65),0.23,0)+IF(AND(V1470&gt;=75,V1470&lt;=175,W1470&gt;=65,W1470&lt;110),0.17,0)+IF(AND(V1470&gt;=75,V1470&lt;=175,W1470&gt;=110),0.12,0)+IF(AND(V1470&gt;175,W1470&lt;25),0.3,0)+IF(AND(V1470&gt;175,W1470&gt;=25,W1470&lt;55),0.23,0)+IF(AND(V1470&gt;175,W1470&gt;=55,W1470&lt;95),0.17,0)+IF(AND(V1470&gt;175,W1470&gt;=95),0.12,0),
IF(AF1470="DoEVsu",IF(AND(V1470&lt;20,W1470&lt;55),0.3,0)+IF(AND(V1470&lt;20,W1470&gt;=55,W1470&lt;105),0.23,0)+IF(AND(V1470&lt;20,W1470&gt;=105),0.17,0)+IF(AND(V1470&gt;=20,V1470&lt;40,W1470&lt;45),0.3,0)+IF(AND(V1470&gt;=20,V1470&lt;40,W1470&gt;=45,W1470&lt;95),0.23,0)+IF(AND(V1470&gt;=20,V1470&lt;40,W1470&gt;=95,W1470&lt;=250),0.17,0)+IF(AND(V1470&gt;=20,V1470&lt;40,W1470&gt;=250),0.12,0)+IF(AND(V1470&gt;=40,V1470&lt;75,W1470&lt;35),0.3,0)+IF(AND(V1470&gt;=40,V1470&lt;75,W1470&gt;=35,W1470&lt;75),0.23,0)+IF(AND(V1470&gt;=40,V1470&lt;75,W1470&gt;=75,W1470&lt;120),0.17,0)+IF(AND(V1470&gt;=40,V1470&lt;75,W1470&gt;=120),0.12,0)+IF(AND(V1470&gt;=75,V1470&lt;175,W1470&lt;35),0.3,0)+IF(AND(V1470&gt;=75,V1470&lt;=175,W1470&gt;=35,W1470&lt;65),0.23,0)+IF(AND(V1470&gt;=75,V1470&lt;=175,W1470&gt;=65,W1470&lt;110),0.17,0)+IF(AND(V1470&gt;=75,V1470&lt;=175,W1470&gt;=110),0.12,0)+IF(AND(V1470&gt;175,W1470&lt;25),0.3,0)+IF(AND(V1470&gt;175,W1470&gt;=25,W1470&lt;55),0.23,0)+IF(AND(V1470&gt;175,W1470&gt;=55,W1470&lt;95),0.17,0)+IF(AND(V1470&gt;175,W1470&gt;=95),0.12,0),
IF(AF1470="DoEVni",IF(AND(V1470&lt;20,W1470&lt;55),0.3,0)+IF(AND(V1470&lt;20,W1470&gt;=55,W1470&lt;105),0.23,0)+IF(AND(V1470&lt;20,W1470&gt;=105),0.17,0)+IF(AND(V1470&gt;=20,V1470&lt;40,W1470&lt;45),0.3,0)+IF(AND(V1470&gt;=20,V1470&lt;40,W1470&gt;=45,W1470&lt;95),0.23,0)+IF(AND(V1470&gt;=20,V1470&lt;40,W1470&gt;=95,W1470&lt;=200),0.17,0)+IF(AND(V1470&gt;=20,V1470&lt;40,W1470&gt;=200),0.12,0)+IF(AND(V1470&gt;=40,V1470&lt;75,W1470&lt;35),0.3,0)+IF(AND(V1470&gt;=40,V1470&lt;75,W1470&gt;=35,W1470&lt;75),0.23,0)+IF(AND(V1470&gt;=40,V1470&lt;75,W1470&gt;=75,W1470&lt;120),0.17,0)+IF(AND(V1470&gt;=40,V1470&lt;75,W1470&gt;=120),0.12,0)+IF(AND(V1470&gt;=75,V1470&lt;175,W1470&lt;35),0.3,0)+IF(AND(V1470&gt;=75,V1470&lt;=175,W1470&gt;=35,W1470&lt;65),0.23,0)+IF(AND(V1470&gt;=75,V1470&lt;=175,W1470&gt;=65,W1470&lt;110),0.17,0)+IF(AND(V1470&gt;=75,V1470&lt;=175,W1470&gt;=110),0.12,0)+IF(AND(V1470&gt;175,W1470&lt;25),0.3,0)+IF(AND(V1470&gt;175,W1470&gt;=25,W1470&lt;55),0.23,0)+IF(AND(V1470&gt;175,W1470&gt;=55,W1470&lt;95),0.17,0)+IF(AND(V1470&gt;175,W1470&gt;=95),0.12,0),
IF(AF1470="DoEVLo",IF(AND(V1470&lt;20,W1470&lt;55),0.25,0)+IF(AND(V1470&lt;20,W1470&gt;=55,W1470&lt;105),0.2,0)+IF(AND(V1470&lt;20,W1470&gt;=105),0.15,0)+IF(AND(V1470&gt;=20,V1470&lt;40,W1470&lt;45),0.25,0)+IF(AND(V1470&gt;=20,V1470&lt;40,W1470&gt;=45,W1470&lt;95),0.2,0)+IF(AND(V1470&gt;=20,V1470&lt;40,W1470&gt;=95),0.15,0)+IF(AND(V1470&gt;=40,V1470&lt;75,W1470&lt;35),0.25,0)+IF(AND(V1470&gt;=40,V1470&lt;75,W1470&gt;=35,W1470&lt;75),0.2,0)+IF(AND(V1470&gt;=40,V1470&lt;75,W1470&gt;=75,W1470&lt;120),0.15,0)+IF(AND(V1470&gt;=40,V1470&lt;75,W1470&gt;=120),0.1,0)+IF(AND(V1470&gt;=75,V1470&lt;175,W1470&lt;35),0.25,0)+IF(AND(V1470&gt;=75,V1470&lt;=175,W1470&gt;=35,W1470&lt;65),0.2,0)+IF(AND(V1470&gt;=75,V1470&lt;=175,W1470&gt;=65,W1470&lt;110),0.15,0)+IF(AND(V1470&gt;=75,V1470&lt;=175,W1470&gt;=110),0.1,0)+IF(AND(V1470&gt;175,W1470&lt;25),0.25,0)+IF(AND(V1470&gt;175,W1470&gt;=25,W1470&lt;55),0.2,0)+IF(AND(V1470&gt;175,W1470&gt;=55,W1470&lt;95),0.15,0)+IF(AND(V1470&gt;175,W1470&gt;=95),0.1,0))))))))))))))))))))</f>
        <v>0.17</v>
      </c>
      <c r="Y1470" s="35">
        <f t="shared" ref="Y1470:Y1472" si="220">if(AG1470="None",0,if(AG1470="Fix5",0.05, if(AG1470="Fix6.25",0.0625,if(AG1470="Fix3.75",0.0375, if(AG1470="Fix11",0.11, if(AG1470="Fix10",0.1,if(AG1470="Fix3",0.03,0)))))))</f>
        <v>0</v>
      </c>
      <c r="Z1470" s="40">
        <f t="shared" ref="Z1470:Z1472" si="221">if(and(AD1470="EUR", AE1470 = "USD"), T1470*U1470-AA1470-AB1470, T1470-AA1470-AB1470)</f>
        <v>595.4171</v>
      </c>
      <c r="AA1470" s="34">
        <f t="shared" ref="AA1470:AA1472" si="222">IF(AND(AD1470="EUR", F1470="Without EV deal", AE1470="USD"), (T1470*X1470)*U1470, 
IF(AND(AD1470="EUR", F1470="Without EV deal", AE1470="EUR"), (T1470*X1470), 
IF(AND(AD1470="EUR",AE1470="USD"), (T1470*X1470)*U1470, 
T1470*X1470)))</f>
        <v>121.9529</v>
      </c>
      <c r="AB1470" s="41">
        <f t="shared" ref="AB1470:AB1472" si="223">IF(AND(AD1470="EUR", F1470="Without EV deal", AE1470="USD"), (T1470*Y1470)*U1470, 
IF(AND(AD1470="EUR", F1470="Without EV deal", AE1470="EUR"), (T1470*Y1470), 
IF(AND(AD1470="EUR",AE1470="USD"), (T1470*Y1470)*U1470, 
T1470*Y1470)))</f>
        <v>0</v>
      </c>
      <c r="AC1470" s="42" t="b">
        <v>1</v>
      </c>
      <c r="AD1470" s="87" t="str">
        <f t="shared" ref="AD1470:AD1472" si="224">IF(OR(H1470="€0.25 Flash",
H1470="€0.25(nitro) new",
H1470="€1",
H1470="€2",
H1470="€2 (bf 01.08)",
H1470="€5",
H1470="€5 (1M)",
H1470="€5 (bf 01.08)",
H1470="€5 (bf 05.05)",
H1470="€5 Nitro",
H1470="€5(wx) new",
H1470="€10",
H1470="€10 (1M)",
H1470="€10 (bf 01.08)",
H1470="€10 (bf 05.05)",
H1470="€10 (MP)",
H1470="€10 (old)",
H1470="€10 Nitro (bf 05.05)",
H1470="€10 Nitro (old)",
H1470="€10(wx) new",
H1470="€20",
H1470="€25",
H1470="€25 (bf 01.08)",
H1470="€25 (bf 05.05)",
H1470="€25 (MP)",
H1470="€25 (old)",
H1470="€25 Nitro",
H1470="€25 Nitro (bf 01.08)",
H1470="€25 Nitro (bf 05.05)",
H1470="€25(nitro) new",
H1470="€25(wx) new",
H1470="€50",
H1470="€50 (bf 01.08)",
H1470="€50 (bf 05.05)",
H1470="€50 (old)",
H1470="€50 Nitro",
H1470="€50 Nitro (bf 01.08)",
H1470="€50 Nitro (bf 05.05)",
H1470="€50(wx) new",
H1470="€100",
H1470="€100 (old)",
H1470="€100 Nitro",
H1470="€100 Nitro (old)",
H1470="€200",
H1470="€250",
H1470="€250 Nitro",
H1470="€500",
H1470="€500 Nitro"),"EUR", "USD")
</f>
        <v>USD</v>
      </c>
      <c r="AE1470" s="88" t="s">
        <v>138</v>
      </c>
      <c r="AF1470" s="88" t="str">
        <f t="array" ref="AF1470">INDEX('Deal Info'!D:D, MATCH(A1470,'Deal Info'!A:A, 0))</f>
        <v>DoEV</v>
      </c>
      <c r="AG1470" s="89" t="str">
        <f t="array" ref="AG1470">INDEX('Deal Info'!G:G, MATCH(A1470,'Deal Info'!A:A, 0))</f>
        <v>None</v>
      </c>
    </row>
    <row r="1471" hidden="1">
      <c r="A1471" s="23" t="str">
        <f t="array" ref="A1471">if(G1471='Room Info'!$B$1, INDEX('Room Info'!$A$2:$A3446, MATCH(B1471,'Room Info'!$B$2:$B3446, 0)),if(G1471='Room Info'!$C$1, INDEX('Room Info'!$A$2:$A3446, MATCH(B1471,'Room Info'!$C$2:$C3446, 0)),if(G1471='Room Info'!$D$1, INDEX('Room Info'!$A$2:$A3446, MATCH(B1471,'Room Info'!$D$2:$D3446, 0)),if(G1471='Room Info'!$E$1, INDEX('Room Info'!$A$2:$A3446, MATCH(B1471,'Room Info'!$E$2:$E3446, 0)),if(G1471='Room Info'!$F$1, INDEX('Room Info'!$A$2:$A3446, MATCH(B1471,'Room Info'!$F$2:$F3446, 0)),if(G1471='Room Info'!$H$1, INDEX('Room Info'!$A$2:$A3446, MATCH(B1471,'Room Info'!$H$2:$H3446, 0)),if(G1471='Room Info'!$G$1, INDEX('Room Info'!$A$2:$A3446, MATCH(B1471,'Room Info'!$G$2:$G3446, 0)))))))))</f>
        <v>Lo4io</v>
      </c>
      <c r="B1471" s="23" t="s">
        <v>222</v>
      </c>
      <c r="C1471" s="46">
        <v>44927.0</v>
      </c>
      <c r="D1471" s="46">
        <v>44957.0</v>
      </c>
      <c r="E1471" s="26">
        <v>44958.0</v>
      </c>
      <c r="F1471" s="27" t="s">
        <v>4</v>
      </c>
      <c r="G1471" s="23" t="s">
        <v>16</v>
      </c>
      <c r="H1471" s="28" t="s">
        <v>85</v>
      </c>
      <c r="I1471" s="28" t="s">
        <v>7</v>
      </c>
      <c r="J1471" s="44">
        <f t="shared" si="217"/>
        <v>100</v>
      </c>
      <c r="K1471" s="93">
        <v>4.0</v>
      </c>
      <c r="L1471" s="94">
        <v>-400.0</v>
      </c>
      <c r="M1471" s="49">
        <v>422.0</v>
      </c>
      <c r="N1471" s="33">
        <f t="shared" si="155"/>
        <v>400</v>
      </c>
      <c r="O1471" s="90">
        <v>-1242.0</v>
      </c>
      <c r="P1471" s="34">
        <f t="shared" si="14"/>
        <v>-310.5</v>
      </c>
      <c r="Q1471" s="35"/>
      <c r="R1471" s="36">
        <f t="shared" si="196"/>
        <v>422</v>
      </c>
      <c r="S1471" s="33"/>
      <c r="T1471" s="37">
        <f t="shared" si="218"/>
        <v>422</v>
      </c>
      <c r="U1471" s="38">
        <v>1.067</v>
      </c>
      <c r="V1471" s="74">
        <v>37.32526141992295</v>
      </c>
      <c r="W1471" s="69">
        <v>65.0</v>
      </c>
      <c r="X1471" s="35">
        <f t="shared" si="219"/>
        <v>0.2</v>
      </c>
      <c r="Y1471" s="35">
        <f t="shared" si="220"/>
        <v>0</v>
      </c>
      <c r="Z1471" s="40">
        <f t="shared" si="221"/>
        <v>337.6</v>
      </c>
      <c r="AA1471" s="34">
        <f t="shared" si="222"/>
        <v>84.4</v>
      </c>
      <c r="AB1471" s="41">
        <f t="shared" si="223"/>
        <v>0</v>
      </c>
      <c r="AC1471" s="66" t="b">
        <v>1</v>
      </c>
      <c r="AD1471" s="87" t="str">
        <f t="shared" si="224"/>
        <v>USD</v>
      </c>
      <c r="AE1471" s="88" t="s">
        <v>138</v>
      </c>
      <c r="AF1471" s="88" t="str">
        <f t="array" ref="AF1471">INDEX('Deal Info'!D:D, MATCH(A1471,'Deal Info'!A:A, 0))</f>
        <v>DoEVLo</v>
      </c>
      <c r="AG1471" s="89" t="str">
        <f t="array" ref="AG1471">INDEX('Deal Info'!G:G, MATCH(A1471,'Deal Info'!A:A, 0))</f>
        <v>None</v>
      </c>
    </row>
    <row r="1472" hidden="1">
      <c r="A1472" s="23" t="str">
        <f t="array" ref="A1472">if(G1472='Room Info'!$B$1, INDEX('Room Info'!$A$2:$A3446, MATCH(B1472,'Room Info'!$B$2:$B3446, 0)),if(G1472='Room Info'!$C$1, INDEX('Room Info'!$A$2:$A3446, MATCH(B1472,'Room Info'!$C$2:$C3446, 0)),if(G1472='Room Info'!$D$1, INDEX('Room Info'!$A$2:$A3446, MATCH(B1472,'Room Info'!$D$2:$D3446, 0)),if(G1472='Room Info'!$E$1, INDEX('Room Info'!$A$2:$A3446, MATCH(B1472,'Room Info'!$E$2:$E3446, 0)),if(G1472='Room Info'!$F$1, INDEX('Room Info'!$A$2:$A3446, MATCH(B1472,'Room Info'!$F$2:$F3446, 0)),if(G1472='Room Info'!$H$1, INDEX('Room Info'!$A$2:$A3446, MATCH(B1472,'Room Info'!$H$2:$H3446, 0)),if(G1472='Room Info'!$G$1, INDEX('Room Info'!$A$2:$A3446, MATCH(B1472,'Room Info'!$G$2:$G3446, 0)))))))))</f>
        <v>Lo4io</v>
      </c>
      <c r="B1472" s="23" t="s">
        <v>222</v>
      </c>
      <c r="C1472" s="46">
        <v>44927.0</v>
      </c>
      <c r="D1472" s="46">
        <v>44957.0</v>
      </c>
      <c r="E1472" s="26">
        <v>44958.0</v>
      </c>
      <c r="F1472" s="27" t="s">
        <v>4</v>
      </c>
      <c r="G1472" s="23" t="s">
        <v>16</v>
      </c>
      <c r="H1472" s="28" t="s">
        <v>74</v>
      </c>
      <c r="I1472" s="28" t="s">
        <v>7</v>
      </c>
      <c r="J1472" s="44">
        <f t="shared" si="217"/>
        <v>50</v>
      </c>
      <c r="K1472" s="93">
        <v>316.0</v>
      </c>
      <c r="L1472" s="94">
        <v>-300.0</v>
      </c>
      <c r="M1472" s="32"/>
      <c r="N1472" s="33">
        <f t="shared" si="155"/>
        <v>15800</v>
      </c>
      <c r="O1472" s="90">
        <v>5380.0</v>
      </c>
      <c r="P1472" s="34">
        <f t="shared" si="14"/>
        <v>17.02531646</v>
      </c>
      <c r="Q1472" s="35"/>
      <c r="R1472" s="36">
        <f t="shared" si="196"/>
        <v>0</v>
      </c>
      <c r="S1472" s="33"/>
      <c r="T1472" s="37">
        <f t="shared" si="218"/>
        <v>0</v>
      </c>
      <c r="U1472" s="38">
        <v>1.067</v>
      </c>
      <c r="V1472" s="74">
        <v>37.32526141992295</v>
      </c>
      <c r="W1472" s="69">
        <v>65.0</v>
      </c>
      <c r="X1472" s="35">
        <f t="shared" si="219"/>
        <v>0.2</v>
      </c>
      <c r="Y1472" s="35">
        <f t="shared" si="220"/>
        <v>0</v>
      </c>
      <c r="Z1472" s="40">
        <f t="shared" si="221"/>
        <v>0</v>
      </c>
      <c r="AA1472" s="34">
        <f t="shared" si="222"/>
        <v>0</v>
      </c>
      <c r="AB1472" s="41">
        <f t="shared" si="223"/>
        <v>0</v>
      </c>
      <c r="AC1472" s="66" t="b">
        <v>1</v>
      </c>
      <c r="AD1472" s="87" t="str">
        <f t="shared" si="224"/>
        <v>USD</v>
      </c>
      <c r="AE1472" s="88" t="s">
        <v>138</v>
      </c>
      <c r="AF1472" s="88" t="str">
        <f t="array" ref="AF1472">INDEX('Deal Info'!D:D, MATCH(A1472,'Deal Info'!A:A, 0))</f>
        <v>DoEVLo</v>
      </c>
      <c r="AG1472" s="89" t="str">
        <f t="array" ref="AG1472">INDEX('Deal Info'!G:G, MATCH(A1472,'Deal Info'!A:A, 0))</f>
        <v>None</v>
      </c>
    </row>
    <row r="1473" hidden="1">
      <c r="A1473" s="23" t="str">
        <f t="array" ref="A1473">if(G1473='Room Info'!$B$1, INDEX('Room Info'!$A$2:$A3446, MATCH(B1473,'Room Info'!$B$2:$B3446, 0)),if(G1473='Room Info'!$C$1, INDEX('Room Info'!$A$2:$A3446, MATCH(B1473,'Room Info'!$C$2:$C3446, 0)),if(G1473='Room Info'!$D$1, INDEX('Room Info'!$A$2:$A3446, MATCH(B1473,'Room Info'!$D$2:$D3446, 0)),if(G1473='Room Info'!$E$1, INDEX('Room Info'!$A$2:$A3446, MATCH(B1473,'Room Info'!$E$2:$E3446, 0)),if(G1473='Room Info'!$F$1, INDEX('Room Info'!$A$2:$A3446, MATCH(B1473,'Room Info'!$F$2:$F3446, 0)),if(G1473='Room Info'!$H$1, INDEX('Room Info'!$A$2:$A3446, MATCH(B1473,'Room Info'!$H$2:$H3446, 0)),if(G1473='Room Info'!$G$1, INDEX('Room Info'!$A$2:$A3446, MATCH(B1473,'Room Info'!$G$2:$G3446, 0)))))))))</f>
        <v>Freedoom</v>
      </c>
      <c r="B1473" s="50" t="s">
        <v>159</v>
      </c>
      <c r="C1473" s="51">
        <v>44835.0</v>
      </c>
      <c r="D1473" s="51">
        <v>44865.0</v>
      </c>
      <c r="E1473" s="52">
        <v>44835.0</v>
      </c>
      <c r="F1473" s="53" t="s">
        <v>12</v>
      </c>
      <c r="G1473" s="50" t="s">
        <v>9</v>
      </c>
      <c r="H1473" s="54" t="s">
        <v>43</v>
      </c>
      <c r="I1473" s="54" t="s">
        <v>24</v>
      </c>
      <c r="J1473" s="55">
        <v>5.0</v>
      </c>
      <c r="K1473" s="56">
        <v>225.0</v>
      </c>
      <c r="L1473" s="57">
        <v>-65.0</v>
      </c>
      <c r="M1473" s="58">
        <v>0.0</v>
      </c>
      <c r="N1473" s="33">
        <f t="shared" si="155"/>
        <v>1125</v>
      </c>
      <c r="O1473" s="59">
        <v>4050.0</v>
      </c>
      <c r="P1473" s="34">
        <f t="shared" si="14"/>
        <v>18</v>
      </c>
      <c r="Q1473" s="60"/>
      <c r="R1473" s="36">
        <f t="shared" si="196"/>
        <v>0</v>
      </c>
      <c r="S1473" s="61">
        <v>-36.0</v>
      </c>
      <c r="T1473" s="37">
        <f t="shared" ref="T1473:T1475" si="225">R1473+S1473+if(F1473="Without EV deal",L1473,0)</f>
        <v>-101</v>
      </c>
      <c r="U1473" s="62">
        <v>1.0</v>
      </c>
      <c r="V1473" s="63"/>
      <c r="W1473" s="63"/>
      <c r="X1473" s="35">
        <f t="shared" ref="X1473:X1475" si="226">IF(AF1473="DoEV",IF(AND(V1473&lt;20,W1473&lt;55),0.3,0)+IF(AND(V1473&lt;20,W1473&gt;=55,W1473&lt;105),0.23,0)+IF(AND(V1473&lt;20,W1473&gt;=105),0.17,0)+IF(AND(V1473&gt;=20,V1473&lt;40,W1473&lt;45),0.3,0)+IF(AND(V1473&gt;=20,V1473&lt;40,W1473&gt;=45,W1473&lt;95),0.23,0)+IF(AND(V1473&gt;=20,V1473&lt;40,W1473&gt;=95),0.17,0)+IF(AND(V1473&gt;=40,V1473&lt;75,W1473&lt;35),0.3,0)+IF(AND(V1473&gt;=40,V1473&lt;75,W1473&gt;=35,W1473&lt;75),0.23,0)+IF(AND(V1473&gt;=40,V1473&lt;75,W1473&gt;=75,W1473&lt;120),0.17,0)+IF(AND(V1473&gt;=40,V1473&lt;75,W1473&gt;=120),0.12,0)+IF(AND(V1473&gt;=75,V1473&lt;175,W1473&lt;35),0.3,0)+IF(AND(V1473&gt;=75,V1473&lt;=175,W1473&gt;=35,W1473&lt;65),0.23,0)+IF(AND(V1473&gt;=75,V1473&lt;=175,W1473&gt;=65,W1473&lt;110),0.17,0)+IF(AND(V1473&gt;=75,V1473&lt;=175,W1473&gt;=110),0.12,0)+IF(AND(V1473&gt;175,W1473&lt;25),0.3,0)+IF(AND(V1473&gt;175,W1473&gt;=25,W1473&lt;55),0.23,0)+IF(AND(V1473&gt;175,W1473&gt;=55,W1473&lt;95),0.17,0)+IF(AND(V1473&gt;175,W1473&gt;=95),0.12,0),
IF(AF1473="Fix15",0.15,
IF(AF1473="Fix11.25",0.1125,
IF(AF1473="Fix10",0.1,
IF(AF1473="Fix9",0.09,
IF(AF1473="DoEV2017",IF(AND(W1473&lt;74),0.2,0)+IF(AND(W1473&gt;=74),0.17,0),
IF(AF1473="SF",IF(AND(V1473&lt;20,W1473&lt;89),0.3,0)+IF(AND(V1473&lt;20,W1473&gt;=89),0.25,0)+IF(AND(V1473&gt;=20,V1473&lt;40,W1473&lt;74),0.3,0)+IF(AND(V1473&gt;=20,V1473&lt;40,W1473&gt;=75),0.22,0)+IF(AND(V1473&gt;=40,V1473&lt;75,W1473&lt;75),0.26,0)+IF(AND(V1473&gt;=40,V1473&lt;75,W1473&gt;=75),0.22,0)+IF(V1473&gt;=75,0.22,0),
IF(AF1473="DoEVold",IF(AND(V1473&lt;40,W1473&lt;35),0.35,0)+IF(AND(V1473&lt;40,W1473&gt;=35,W1473&lt;75),0.25,0)+IF(AND(V1473&lt;40,W1473&gt;=75),0.17,0)+IF(AND(V1473&gt;=40,V1473&lt;75,W1473&lt;25),0.35,0)+IF(AND(V1473&gt;=40,V1473&lt;75,W1473&gt;=25,W1473&lt;65),0.25,0)+IF(AND(V1473&gt;=40,V1473&lt;75,W1473&gt;=65,W1473&lt;100),0.17,0)+IF(AND(V1473&gt;=40,V1473&lt;75,W1473&gt;=100),0.1,0)+IF(AND(V1473&gt;=75,W1473&lt;25),0.35,0)+IF(AND(V1473&gt;=75,W1473&gt;=25,W1473&lt;60),0.25,0)+IF(AND(V1473&gt;=75,W1473&gt;=60,W1473&lt;95),0.17,0)+IF(AND(V1473&gt;=75,W1473&gt;=95),0.1,0),
IF(AF1473="DoEVold15",IF(AND(V1473&lt;=40,W1473&lt;35),0.35,0)+IF(AND(V1473&lt;=40,W1473&gt;=35,W1473&lt;75),0.25,0)+IF(AND(V1473&lt;=40,W1473&gt;=75,W1473&lt;120),0.17,0)+IF(AND(V1473&lt;=40,W1473&gt;=120),0.15,0)+IF(AND(V1473&gt;40,V1473&lt;75,W1473&lt;25),0.35,0)+IF(AND(V1473&gt;=40,V1473&lt;75,W1473&gt;=25,W1473&lt;65),0.25,0)+IF(AND(V1473&gt;=40,V1473&lt;75,W1473&gt;=65,W1473&lt;100),0.17,0)+IF(AND(V1473&gt;=40,V1473&lt;75,W1473&gt;=100),0.1,0)+IF(AND(V1473&gt;=75,W1473&lt;25),0.35,0)+IF(AND(V1473&gt;=75,W1473&gt;=25,W1473&lt;60),0.25,0)+IF(AND(V1473&gt;=75,W1473&gt;=60,W1473&lt;95),0.17,0)+IF(AND(V1473&gt;=75,W1473&gt;=95),0.1,0),
IF(AF1473="DoEVba",IF(AND(V1473&lt;20,W1473&lt;105),0.2,0)+IF(AND(V1473&lt;20,W1473&gt;=105),0.15,0)+IF(AND(V1473&gt;=20,V1473&lt;40,W1473&lt;95),0.2,0)+IF(AND(V1473&gt;=20,V1473&lt;40,W1473&gt;=95,W1473&lt;150),0.15,0)+IF(AND(V1473&gt;=20,V1473&lt;40,W1473&gt;=150),0.12,0)+IF(AND(V1473&gt;=40,V1473&lt;75,W1473&lt;75),0.2,0)+IF(AND(V1473&gt;=40,V1473&lt;75,W1473&gt;=75,W1473&lt;120),0.15,0)+IF(AND(V1473&gt;=40,V1473&lt;75,W1473&gt;=120),0.12,0)+IF(AND(V1473&gt;=75,V1473&lt;175,W1473&lt;65),0.2,0)+IF(AND(V1473&gt;=75,V1473&lt;175,W1473&gt;=65,W1473&lt;110),0.15,0)+IF(AND(V1473&gt;=75,V1473&lt;175,W1473&gt;=110),0.12,0)+IF(AND(V1473&gt;=175,W1473&lt;55),0.2,0)+IF(AND(V1473&gt;=175,W1473&gt;=55,W1473&lt;95),0.15,0)+IF(AND(V1473&gt;=175,W1473&gt;=95),0.12,0),
IF(AF1473="DoEVku",IF(AND(V1473&lt;20,W1473&lt;55),0.23,0)+IF(AND(V1473&lt;20,W1473&gt;=55,W1473&lt;105),0.2,0)+IF(AND(V1473&lt;20,W1473&gt;=105),0.17,0)+IF(AND(V1473&gt;=20,V1473&lt;40,W1473&lt;45),0.23,0)+IF(AND(V1473&gt;=20,V1473&lt;40,W1473&gt;=45,W1473&lt;95),0.2,0)+IF(AND(V1473&gt;=20,V1473&lt;40,W1473&gt;=95,W1473&lt;=150),0.17,0)+IF(AND(V1473&gt;=20,V1473&lt;40,W1473&gt;=150),0.12,0)+IF(AND(V1473&gt;=40,V1473&lt;75,W1473&lt;35),0.23,0)+IF(AND(V1473&gt;=40,V1473&lt;75,W1473&gt;=35,W1473&lt;75),0.2,0)+IF(AND(V1473&gt;=40,V1473&lt;75,W1473&gt;=75,W1473&lt;120),0.17,0)+IF(AND(V1473&gt;=40,V1473&lt;75,W1473&gt;=120),0.12,0)+IF(AND(V1473&gt;=75,V1473&lt;175,W1473&lt;35),0.23,0)+IF(AND(V1473&gt;=75,V1473&lt;=175,W1473&gt;=35,W1473&lt;65),0.2,0)+IF(AND(V1473&gt;=75,V1473&lt;=175,W1473&gt;=65,W1473&lt;110),0.17,0)+IF(AND(V1473&gt;=75,V1473&lt;=175,W1473&gt;=110),0.12,0)+IF(AND(V1473&gt;175,W1473&lt;25),0.23,0)+IF(AND(V1473&gt;175,W1473&gt;=25,W1473&lt;55),0.2,0)+IF(AND(V1473&gt;175,W1473&gt;=55,W1473&lt;95),0.17,0)+IF(AND(V1473&gt;175,W1473&gt;=95),0.12,0),
IF(AF1473="DoEVs1",IF(AND(V1473&lt;20,W1473&lt;55),0.3,0)+IF(AND(V1473&lt;20,W1473&gt;=55,W1473&lt;105),0.23,0)+IF(AND(V1473&lt;20,W1473&gt;=105),0.17,0)+IF(AND(V1473&gt;=20,V1473&lt;40,W1473&lt;45),0.3,0)+IF(AND(V1473&gt;=20,V1473&lt;40,W1473&gt;=45,W1473&lt;95),0.23,0)+IF(AND(V1473&gt;=20,V1473&lt;40,W1473&gt;=95,W1473&lt;=150),0.17,0)+IF(AND(V1473&gt;=20,V1473&lt;40,W1473&gt;=150),0.12,0)+IF(AND(V1473&gt;=40,V1473&lt;75,W1473&lt;35),0.3,0)+IF(AND(V1473&gt;=40,V1473&lt;75,W1473&gt;=35,W1473&lt;75),0.23,0)+IF(AND(V1473&gt;=40,V1473&lt;75,W1473&gt;=75,W1473&lt;120),0.17,0)+IF(AND(V1473&gt;=40,V1473&lt;75,W1473&gt;=120),0.12,0)+IF(AND(V1473&gt;=75,V1473&lt;175,W1473&lt;35),0.3,0)+IF(AND(V1473&gt;=75,V1473&lt;=175,W1473&gt;=35,W1473&lt;65),0.23,0)+IF(AND(V1473&gt;=75,V1473&lt;=175,W1473&gt;=65,W1473&lt;110),0.17,0)+IF(AND(V1473&gt;=75,V1473&lt;=175,W1473&gt;=110),0.12,0)+IF(AND(V1473&gt;175,W1473&lt;25),0.3,0)+IF(AND(V1473&gt;175,W1473&gt;=25,W1473&lt;55),0.23,0)+IF(AND(V1473&gt;175,W1473&gt;=55,W1473&lt;95),0.17,0)+IF(AND(V1473&gt;175,W1473&gt;=95),0.12,0),
IF(AF1473="DoEVsu",IF(AND(V1473&lt;20,W1473&lt;55),0.3,0)+IF(AND(V1473&lt;20,W1473&gt;=55,W1473&lt;105),0.23,0)+IF(AND(V1473&lt;20,W1473&gt;=105),0.17,0)+IF(AND(V1473&gt;=20,V1473&lt;40,W1473&lt;45),0.3,0)+IF(AND(V1473&gt;=20,V1473&lt;40,W1473&gt;=45,W1473&lt;95),0.23,0)+IF(AND(V1473&gt;=20,V1473&lt;40,W1473&gt;=95,W1473&lt;=250),0.17,0)+IF(AND(V1473&gt;=20,V1473&lt;40,W1473&gt;=250),0.12,0)+IF(AND(V1473&gt;=40,V1473&lt;75,W1473&lt;35),0.3,0)+IF(AND(V1473&gt;=40,V1473&lt;75,W1473&gt;=35,W1473&lt;75),0.23,0)+IF(AND(V1473&gt;=40,V1473&lt;75,W1473&gt;=75,W1473&lt;120),0.17,0)+IF(AND(V1473&gt;=40,V1473&lt;75,W1473&gt;=120),0.12,0)+IF(AND(V1473&gt;=75,V1473&lt;175,W1473&lt;35),0.3,0)+IF(AND(V1473&gt;=75,V1473&lt;=175,W1473&gt;=35,W1473&lt;65),0.23,0)+IF(AND(V1473&gt;=75,V1473&lt;=175,W1473&gt;=65,W1473&lt;110),0.17,0)+IF(AND(V1473&gt;=75,V1473&lt;=175,W1473&gt;=110),0.12,0)+IF(AND(V1473&gt;175,W1473&lt;25),0.3,0)+IF(AND(V1473&gt;175,W1473&gt;=25,W1473&lt;55),0.23,0)+IF(AND(V1473&gt;175,W1473&gt;=55,W1473&lt;95),0.17,0)+IF(AND(V1473&gt;175,W1473&gt;=95),0.12,0),
IF(AF1473="DoEVni",IF(AND(V1473&lt;20,W1473&lt;55),0.3,0)+IF(AND(V1473&lt;20,W1473&gt;=55,W1473&lt;105),0.23,0)+IF(AND(V1473&lt;20,W1473&gt;=105),0.17,0)+IF(AND(V1473&gt;=20,V1473&lt;40,W1473&lt;45),0.3,0)+IF(AND(V1473&gt;=20,V1473&lt;40,W1473&gt;=45,W1473&lt;95),0.23,0)+IF(AND(V1473&gt;=20,V1473&lt;40,W1473&gt;=95,W1473&lt;=200),0.17,0)+IF(AND(V1473&gt;=20,V1473&lt;40,W1473&gt;=200),0.12,0)+IF(AND(V1473&gt;=40,V1473&lt;75,W1473&lt;35),0.3,0)+IF(AND(V1473&gt;=40,V1473&lt;75,W1473&gt;=35,W1473&lt;75),0.23,0)+IF(AND(V1473&gt;=40,V1473&lt;75,W1473&gt;=75,W1473&lt;120),0.17,0)+IF(AND(V1473&gt;=40,V1473&lt;75,W1473&gt;=120),0.12,0)+IF(AND(V1473&gt;=75,V1473&lt;175,W1473&lt;35),0.3,0)+IF(AND(V1473&gt;=75,V1473&lt;=175,W1473&gt;=35,W1473&lt;65),0.23,0)+IF(AND(V1473&gt;=75,V1473&lt;=175,W1473&gt;=65,W1473&lt;110),0.17,0)+IF(AND(V1473&gt;=75,V1473&lt;=175,W1473&gt;=110),0.12,0)+IF(AND(V1473&gt;175,W1473&lt;25),0.3,0)+IF(AND(V1473&gt;175,W1473&gt;=25,W1473&lt;55),0.23,0)+IF(AND(V1473&gt;175,W1473&gt;=55,W1473&lt;95),0.17,0)+IF(AND(V1473&gt;175,W1473&gt;=95),0.12,0),
IF(AF1473="DoEVLo",IF(AND(V1473&lt;20,W1473&lt;55),0.25,0)+IF(AND(V1473&lt;20,W1473&gt;=55,W1473&lt;105),0.2,0)+IF(AND(V1473&lt;20,W1473&gt;=105),0.15,0)+IF(AND(V1473&gt;=20,V1473&lt;40,W1473&lt;45),0.25,0)+IF(AND(V1473&gt;=20,V1473&lt;40,W1473&gt;=45,W1473&lt;95),0.2,0)+IF(AND(V1473&gt;=20,V1473&lt;40,W1473&gt;=95),0.15,0)+IF(AND(V1473&gt;=40,V1473&lt;75,W1473&lt;35),0.25,0)+IF(AND(V1473&gt;=40,V1473&lt;75,W1473&gt;=35,W1473&lt;75),0.2,0)+IF(AND(V1473&gt;=40,V1473&lt;75,W1473&gt;=75,W1473&lt;120),0.15,0)+IF(AND(V1473&gt;=40,V1473&lt;75,W1473&gt;=120),0.1,0)+IF(AND(V1473&gt;=75,V1473&lt;175,W1473&lt;35),0.25,0)+IF(AND(V1473&gt;=75,V1473&lt;=175,W1473&gt;=35,W1473&lt;65),0.2,0)+IF(AND(V1473&gt;=75,V1473&lt;=175,W1473&gt;=65,W1473&lt;110),0.15,0)+IF(AND(V1473&gt;=75,V1473&lt;=175,W1473&gt;=110),0.1,0)+IF(AND(V1473&gt;175,W1473&lt;25),0.25,0)+IF(AND(V1473&gt;175,W1473&gt;=25,W1473&lt;55),0.2,0)+IF(AND(V1473&gt;175,W1473&gt;=55,W1473&lt;95),0.15,0)+IF(AND(V1473&gt;175,W1473&gt;=95),0.1,0))))))))))))))))</f>
        <v>0.35</v>
      </c>
      <c r="Y1473" s="35">
        <f t="shared" ref="Y1473:Y1475" si="227">if(AG1473="None",0,if(AG1473="Fix5",0.05,if(AG1473="Fix3.75",0.0375,if(AG1473="Fix10",0.1,if(AG1473="Fix3",0.03,0)))))</f>
        <v>0</v>
      </c>
      <c r="Z1473" s="64">
        <v>-49.0</v>
      </c>
      <c r="AA1473" s="65">
        <v>-16.0</v>
      </c>
      <c r="AB1473" s="41">
        <f t="shared" ref="AB1473:AB1475" si="228">if(AD1473="EUR",((T1473-R1473)*Y1473)*U1473+(R1473*Y1473),(T1473*Y1473))</f>
        <v>0</v>
      </c>
      <c r="AC1473" s="42" t="b">
        <v>1</v>
      </c>
      <c r="AD1473" s="42" t="s">
        <v>138</v>
      </c>
      <c r="AE1473" s="42" t="s">
        <v>138</v>
      </c>
      <c r="AF1473" s="42" t="str">
        <f t="array" ref="AF1473">INDEX('Deal Info'!D:D, MATCH(A1473,'Deal Info'!A:A, 0))</f>
        <v>DoEVold</v>
      </c>
      <c r="AG1473" s="43" t="str">
        <f t="array" ref="AG1473">INDEX('Deal Info'!G:G, MATCH(A1473,'Deal Info'!A:A, 0))</f>
        <v>None</v>
      </c>
    </row>
    <row r="1474" hidden="1">
      <c r="A1474" s="23" t="str">
        <f t="array" ref="A1474">if(G1474='Room Info'!$B$1, INDEX('Room Info'!$A$2:$A3446, MATCH(B1474,'Room Info'!$B$2:$B3446, 0)),if(G1474='Room Info'!$C$1, INDEX('Room Info'!$A$2:$A3446, MATCH(B1474,'Room Info'!$C$2:$C3446, 0)),if(G1474='Room Info'!$D$1, INDEX('Room Info'!$A$2:$A3446, MATCH(B1474,'Room Info'!$D$2:$D3446, 0)),if(G1474='Room Info'!$E$1, INDEX('Room Info'!$A$2:$A3446, MATCH(B1474,'Room Info'!$E$2:$E3446, 0)),if(G1474='Room Info'!$F$1, INDEX('Room Info'!$A$2:$A3446, MATCH(B1474,'Room Info'!$F$2:$F3446, 0)),if(G1474='Room Info'!$H$1, INDEX('Room Info'!$A$2:$A3446, MATCH(B1474,'Room Info'!$H$2:$H3446, 0)),if(G1474='Room Info'!$G$1, INDEX('Room Info'!$A$2:$A3446, MATCH(B1474,'Room Info'!$G$2:$G3446, 0)))))))))</f>
        <v>Freedoom</v>
      </c>
      <c r="B1474" s="50" t="s">
        <v>159</v>
      </c>
      <c r="C1474" s="51">
        <v>44835.0</v>
      </c>
      <c r="D1474" s="51">
        <v>44865.0</v>
      </c>
      <c r="E1474" s="52">
        <v>44835.0</v>
      </c>
      <c r="F1474" s="53" t="s">
        <v>12</v>
      </c>
      <c r="G1474" s="50" t="s">
        <v>9</v>
      </c>
      <c r="H1474" s="54" t="s">
        <v>39</v>
      </c>
      <c r="I1474" s="54" t="s">
        <v>21</v>
      </c>
      <c r="J1474" s="75">
        <v>5.0</v>
      </c>
      <c r="K1474" s="76">
        <v>465.0</v>
      </c>
      <c r="L1474" s="77">
        <v>-240.0</v>
      </c>
      <c r="M1474" s="58">
        <v>20.0</v>
      </c>
      <c r="N1474" s="33">
        <f t="shared" si="155"/>
        <v>2325</v>
      </c>
      <c r="O1474" s="50">
        <v>20460.0</v>
      </c>
      <c r="P1474" s="34">
        <f t="shared" si="14"/>
        <v>44</v>
      </c>
      <c r="Q1474" s="60"/>
      <c r="R1474" s="36">
        <f t="shared" si="196"/>
        <v>20</v>
      </c>
      <c r="S1474" s="78">
        <v>-16.0</v>
      </c>
      <c r="T1474" s="37">
        <f t="shared" si="225"/>
        <v>-236</v>
      </c>
      <c r="U1474" s="62">
        <v>1.0</v>
      </c>
      <c r="V1474" s="63"/>
      <c r="W1474" s="63"/>
      <c r="X1474" s="35">
        <f t="shared" si="226"/>
        <v>0.35</v>
      </c>
      <c r="Y1474" s="35">
        <f t="shared" si="227"/>
        <v>0</v>
      </c>
      <c r="Z1474" s="64">
        <v>-165.0</v>
      </c>
      <c r="AA1474" s="65">
        <v>-55.0</v>
      </c>
      <c r="AB1474" s="41">
        <f t="shared" si="228"/>
        <v>0</v>
      </c>
      <c r="AC1474" s="42" t="b">
        <v>1</v>
      </c>
      <c r="AD1474" s="42" t="s">
        <v>138</v>
      </c>
      <c r="AE1474" s="42" t="s">
        <v>138</v>
      </c>
      <c r="AF1474" s="42" t="str">
        <f t="array" ref="AF1474">INDEX('Deal Info'!D:D, MATCH(A1474,'Deal Info'!A:A, 0))</f>
        <v>DoEVold</v>
      </c>
      <c r="AG1474" s="43" t="str">
        <f t="array" ref="AG1474">INDEX('Deal Info'!G:G, MATCH(A1474,'Deal Info'!A:A, 0))</f>
        <v>None</v>
      </c>
    </row>
    <row r="1475" hidden="1">
      <c r="A1475" s="23" t="str">
        <f t="array" ref="A1475">if(G1475='Room Info'!$B$1, INDEX('Room Info'!$A$2:$A3446, MATCH(B1475,'Room Info'!$B$2:$B3446, 0)),if(G1475='Room Info'!$C$1, INDEX('Room Info'!$A$2:$A3446, MATCH(B1475,'Room Info'!$C$2:$C3446, 0)),if(G1475='Room Info'!$D$1, INDEX('Room Info'!$A$2:$A3446, MATCH(B1475,'Room Info'!$D$2:$D3446, 0)),if(G1475='Room Info'!$E$1, INDEX('Room Info'!$A$2:$A3446, MATCH(B1475,'Room Info'!$E$2:$E3446, 0)),if(G1475='Room Info'!$F$1, INDEX('Room Info'!$A$2:$A3446, MATCH(B1475,'Room Info'!$F$2:$F3446, 0)),if(G1475='Room Info'!$H$1, INDEX('Room Info'!$A$2:$A3446, MATCH(B1475,'Room Info'!$H$2:$H3446, 0)),if(G1475='Room Info'!$G$1, INDEX('Room Info'!$A$2:$A3446, MATCH(B1475,'Room Info'!$G$2:$G3446, 0)))))))))</f>
        <v>Freedoom</v>
      </c>
      <c r="B1475" s="50" t="s">
        <v>159</v>
      </c>
      <c r="C1475" s="51">
        <v>44866.0</v>
      </c>
      <c r="D1475" s="51">
        <v>44895.0</v>
      </c>
      <c r="E1475" s="52">
        <v>44866.0</v>
      </c>
      <c r="F1475" s="53" t="s">
        <v>12</v>
      </c>
      <c r="G1475" s="50" t="s">
        <v>9</v>
      </c>
      <c r="H1475" s="54" t="s">
        <v>43</v>
      </c>
      <c r="I1475" s="54" t="s">
        <v>24</v>
      </c>
      <c r="J1475" s="55">
        <v>5.0</v>
      </c>
      <c r="K1475" s="56">
        <v>3954.0</v>
      </c>
      <c r="L1475" s="57">
        <v>-300.0</v>
      </c>
      <c r="M1475" s="58">
        <v>425.0</v>
      </c>
      <c r="N1475" s="33">
        <f t="shared" si="155"/>
        <v>19770</v>
      </c>
      <c r="O1475" s="59">
        <v>71338.0</v>
      </c>
      <c r="P1475" s="34">
        <f t="shared" si="14"/>
        <v>18.0419828</v>
      </c>
      <c r="Q1475" s="60"/>
      <c r="R1475" s="36">
        <f t="shared" si="196"/>
        <v>425</v>
      </c>
      <c r="S1475" s="61">
        <v>-636.0</v>
      </c>
      <c r="T1475" s="37">
        <f t="shared" si="225"/>
        <v>-511</v>
      </c>
      <c r="U1475" s="62">
        <v>1.0</v>
      </c>
      <c r="V1475" s="63"/>
      <c r="W1475" s="63"/>
      <c r="X1475" s="35">
        <f t="shared" si="226"/>
        <v>0.35</v>
      </c>
      <c r="Y1475" s="35">
        <f t="shared" si="227"/>
        <v>0</v>
      </c>
      <c r="Z1475" s="64">
        <v>94.0</v>
      </c>
      <c r="AA1475" s="65">
        <v>31.0</v>
      </c>
      <c r="AB1475" s="41">
        <f t="shared" si="228"/>
        <v>0</v>
      </c>
      <c r="AC1475" s="42" t="b">
        <v>1</v>
      </c>
      <c r="AD1475" s="42" t="s">
        <v>138</v>
      </c>
      <c r="AE1475" s="42" t="s">
        <v>138</v>
      </c>
      <c r="AF1475" s="42" t="str">
        <f t="array" ref="AF1475">INDEX('Deal Info'!D:D, MATCH(A1475,'Deal Info'!A:A, 0))</f>
        <v>DoEVold</v>
      </c>
      <c r="AG1475" s="43" t="str">
        <f t="array" ref="AG1475">INDEX('Deal Info'!G:G, MATCH(A1475,'Deal Info'!A:A, 0))</f>
        <v>None</v>
      </c>
    </row>
    <row r="1476" hidden="1">
      <c r="A1476" s="23" t="str">
        <f t="array" ref="A1476">if(G1476='Room Info'!$B$1, INDEX('Room Info'!$A$2:$A3446, MATCH(B1476,'Room Info'!$B$2:$B3446, 0)),if(G1476='Room Info'!$C$1, INDEX('Room Info'!$A$2:$A3446, MATCH(B1476,'Room Info'!$C$2:$C3446, 0)),if(G1476='Room Info'!$D$1, INDEX('Room Info'!$A$2:$A3446, MATCH(B1476,'Room Info'!$D$2:$D3446, 0)),if(G1476='Room Info'!$E$1, INDEX('Room Info'!$A$2:$A3446, MATCH(B1476,'Room Info'!$E$2:$E3446, 0)),if(G1476='Room Info'!$F$1, INDEX('Room Info'!$A$2:$A3446, MATCH(B1476,'Room Info'!$F$2:$F3446, 0)),if(G1476='Room Info'!$H$1, INDEX('Room Info'!$A$2:$A3446, MATCH(B1476,'Room Info'!$H$2:$H3446, 0)),if(G1476='Room Info'!$G$1, INDEX('Room Info'!$A$2:$A3446, MATCH(B1476,'Room Info'!$G$2:$G3446, 0)))))))))</f>
        <v>supreme325i</v>
      </c>
      <c r="B1476" s="90" t="s">
        <v>223</v>
      </c>
      <c r="C1476" s="91">
        <v>44947.0</v>
      </c>
      <c r="D1476" s="92">
        <v>44977.0</v>
      </c>
      <c r="E1476" s="26">
        <v>44958.0</v>
      </c>
      <c r="F1476" s="27" t="s">
        <v>4</v>
      </c>
      <c r="G1476" s="23" t="s">
        <v>5</v>
      </c>
      <c r="H1476" s="28" t="s">
        <v>36</v>
      </c>
      <c r="I1476" s="28" t="s">
        <v>11</v>
      </c>
      <c r="J1476" s="44">
        <f t="shared" ref="J1476:J1487" si="229">iferror(if(H1476="$0.25",0.25, 
if(H1476="$0.25 Flash",0.25, 
if(H1476 = "$1", 1, 
if(H1476 = "$1 Flash", 1, 
if(H1476 = "$2", 2, 
if( H1476 = "$2 Flash" , 2, 
if( H1476= "$3", 3, 
if( H1476= "$3 Ultra", 3, 
if( H1476= "$5", 5, 
if( H1476= "$5 (1M)", 5, 
if( H1476= "$5 (1M) Flash", 5, 
if( H1476= "$5 Flash", 5, 
if( H1476= "$5 Flash (1M)", 5,
if( H1476= "$10", 10,
if( H1476= "$10 (1M)", 10,
if( H1476= "$10 (1M) (old)", 10,
if( H1476= "$10 Flash", 10,
if( H1476= "$10 Ultra", 10,
if( H1476= "$20", 20,
if( H1476= "$20 Ultra", 20,
if( H1476= "$25", 25,
if( H1476= "$25 Flash", 25,
if( H1476= "$50", 50,
if( H1476= "$50 Flash", 50,
if( H1476= "$50 Ultra", 50,
if( H1476= "$100", 100,
if( H1476= "$100 Flash", 100,
if( H1476= "$100 HUHT", 100,
if( H1476= "$100 Ultra", 100,
if( H1476= "$200", 200,
if( H1476= "$200 HUHT", 200,
if( H1476= "$250", 250,
if( H1476= "$250 Flash", 250,
if( H1476= "$300 HUHT", 300,
if( H1476= "$500", 500,
if( H1476= "$500 Flash", 500,
if( H1476 = "$500 HUHT",500,
if( H1476= "$1000", 1000,
if( H1476= "€0.25 Flash", 0.25,
if( H1476="€0.25(nitro) new",0.25,
if( H1476= "€1", 1,
if( H1476= "€2", 2,
if( H1476= "€5", 5,
if( H1476= "€5 (1M)", 5,
if( H1476= "€5 (bf 01.08)", 5,
if( H1476= "€5 (bf 05.05)", 5,
if( H1476= "€5 Nitro", 5,
if( H1476= "€5(wx) new", 5,
if( H1476= "€10", 10,
if( H1476= "€10 (1M)", 10,
if( H1476= "€10 (bf 01.08)", 10,
if( H1476= "€10 (bf 05.05)", 10,
if( H1476= "€10 (MP)", 10,
if( H1476= "€10 (old)", 10,
if( H1476= "€10 Nitro (bf 05.05)", 10,
if( H1476= "€10 Nitro (old)", 10,
if( H1476= "€10(wx) new", 10,
if( H1476= "€20", 20,
if( H1476= "€25", 25, 
if( H1476= "€25 (bf 01.08)", 25, 
if( H1476= "€25 (bf 05.05)", 25, 
if( H1476= "€25 (MP)", 25, 
if( H1476= "€25 (old)", 25,
if( H1476= "€25 Nitro", 25,
if( H1476= "€25 Nitro (bf 01.08)", 25,
if( H1476= "€25 Nitro (bf 05.05)", 25,
if( H1476= "€25(nitro) new", 25,
if( H1476= "€25(wx) new", 25,
if( H1476= "€50", 50,
if( H1476= "€50 (bf 01.08)", 50,
if( H1476= "€50 (bf 05.05)", 50,
if( H1476= "€50 (old)", 50,
if( H1476= "€50 Nitro", 50,
if( H1476= "€50 Nitro (bf 01.08)", 50,
if( H1476= "€50 Nitro (bf 05.05)", 50,
if( H1476= "€50(wx) new", 50,
if( H1476= "€100", 100,
if( H1476= "€100 (old)", 100,
if( H1476= "€100 Nitro", 100,
if( H1476= "€100 Nitro (old)", 100,
if( H1476= "€200", 200,
if( H1476= "€250", 250,
if( H1476= "€250 Nitro", 250,
if( H1476= "€500", 500,
if( H1476= "€500 Nitro", 500,
if( H1476= "1000 rub", 1000,
if( H1476= "2500 rub", 2500,
if( H1476= "5000 rub", 5000,"")))))))))))))))))))))))))))))))))))))))))))))))))))))))))))))))))))))))))))))))))))))))))</f>
        <v>5</v>
      </c>
      <c r="K1476" s="93">
        <v>235.0</v>
      </c>
      <c r="L1476" s="94">
        <v>-170.0</v>
      </c>
      <c r="M1476" s="126">
        <v>10830.0</v>
      </c>
      <c r="N1476" s="33">
        <f t="shared" si="155"/>
        <v>1175</v>
      </c>
      <c r="O1476" s="90">
        <v>3554.0</v>
      </c>
      <c r="P1476" s="34">
        <f t="shared" si="14"/>
        <v>15.12340426</v>
      </c>
      <c r="Q1476" s="35"/>
      <c r="R1476" s="36">
        <f t="shared" si="196"/>
        <v>10830</v>
      </c>
      <c r="S1476" s="124">
        <v>-2858.0</v>
      </c>
      <c r="T1476" s="37">
        <f t="shared" ref="T1476:T1487" si="230">IF(AND(AD1476="EUR", F1476="Without EV deal"), R1476 + L1476, 
IF(AND(AD1476="USD", F1476="Without EV deal"), R1476 + L1476, 
IF(AND(AD1476="EUR", F1476="Steel Phoenix"), R1476 + S1476/U1476, 
R1476 + S1476)))</f>
        <v>7972</v>
      </c>
      <c r="U1476" s="38">
        <v>1.067</v>
      </c>
      <c r="V1476" s="39">
        <v>24.29418831656405</v>
      </c>
      <c r="W1476" s="39">
        <v>328.1443239066605</v>
      </c>
      <c r="X1476" s="35">
        <f t="shared" ref="X1476:X1487" si="231">IF(AF1476="DoEV",IF(AND(V1476&lt;20,W1476&lt;55),0.3,0)+IF(AND(V1476&lt;20,W1476&gt;=55,W1476&lt;105),0.23,0)+IF(AND(V1476&lt;20,W1476&gt;=105),0.17,0)+IF(AND(V1476&gt;=20,V1476&lt;40,W1476&lt;45),0.3,0)+IF(AND(V1476&gt;=20,V1476&lt;40,W1476&gt;=45,W1476&lt;95),0.23,0)+IF(AND(V1476&gt;=20,V1476&lt;40,W1476&gt;=95),0.17,0)+IF(AND(V1476&gt;=40,V1476&lt;75,W1476&lt;35),0.3,0)+IF(AND(V1476&gt;=40,V1476&lt;75,W1476&gt;=35,W1476&lt;75),0.23,0)+IF(AND(V1476&gt;=40,V1476&lt;75,W1476&gt;=75,W1476&lt;120),0.17,0)+IF(AND(V1476&gt;=40,V1476&lt;75,W1476&gt;=120),0.12,0)+IF(AND(V1476&gt;=75,V1476&lt;175,W1476&lt;35),0.3,0)+IF(AND(V1476&gt;=75,V1476&lt;=175,W1476&gt;=35,W1476&lt;65),0.23,0)+IF(AND(V1476&gt;=75,V1476&lt;=175,W1476&gt;=65,W1476&lt;110),0.17,0)+IF(AND(V1476&gt;=75,V1476&lt;=175,W1476&gt;=110),0.12,0)+IF(AND(V1476&gt;175,W1476&lt;25),0.3,0)+IF(AND(V1476&gt;175,W1476&gt;=25,W1476&lt;55),0.23,0)+IF(AND(V1476&gt;175,W1476&gt;=55,W1476&lt;95),0.17,0)+IF(AND(V1476&gt;175,W1476&gt;=95),0.12,0),
IF(AF1476="Fix15",0.15,
IF(AF1476="Fix5",0.05,
if(AF1476="Fix18.75",0.1875,
IF(AF1476="Fix11.25",0.1125,
IF(AF1476="Fix10",0.1,
IF(AF1476="Fix9",0.09,
IF(AF1476="Fix12",0.12,
IF(AF1476="Fix19",0.19,
IF(AF1476="DoEV2017",IF(AND(W1476&lt;74),0.2,0)+IF(AND(W1476&gt;=74),0.17,0),
IF(AF1476="SF",IF(AND(V1476&lt;20,W1476&lt;89),0.3,0)+IF(AND(V1476&lt;20,W1476&gt;=89),0.25,0)+IF(AND(V1476&gt;=20,V1476&lt;40,W1476&lt;74),0.3,0)+IF(AND(V1476&gt;=20,V1476&lt;40,W1476&gt;=75),0.22,0)+IF(AND(V1476&gt;=40,V1476&lt;75,W1476&lt;75),0.26,0)+IF(AND(V1476&gt;=40,V1476&lt;75,W1476&gt;=75),0.22,0)+IF(V1476&gt;=75,0.22,0),
IF(AF1476="DoEVold",IF(AND(V1476&lt;40,W1476&lt;35),0.35,0)+IF(AND(V1476&lt;40,W1476&gt;=35,W1476&lt;75),0.25,0)+IF(AND(V1476&lt;40,W1476&gt;=75),0.17,0)+IF(AND(V1476&gt;=40,V1476&lt;75,W1476&lt;25),0.35,0)+IF(AND(V1476&gt;=40,V1476&lt;75,W1476&gt;=25,W1476&lt;65),0.25,0)+IF(AND(V1476&gt;=40,V1476&lt;75,W1476&gt;=65,W1476&lt;100),0.17,0)+IF(AND(V1476&gt;=40,V1476&lt;75,W1476&gt;=100),0.1,0)+IF(AND(V1476&gt;=75,W1476&lt;25),0.35,0)+IF(AND(V1476&gt;=75,W1476&gt;=25,W1476&lt;60),0.25,0)+IF(AND(V1476&gt;=75,W1476&gt;=60,W1476&lt;95),0.17,0)+IF(AND(V1476&gt;=75,W1476&gt;=95),0.1,0),
IF(AF1476="DoEVold15",IF(AND(V1476&lt;=40,W1476&lt;35),0.35,0)+IF(AND(V1476&lt;=40,W1476&gt;=35,W1476&lt;75),0.25,0)+IF(AND(V1476&lt;=40,W1476&gt;=75,W1476&lt;120),0.17,0)+IF(AND(V1476&lt;=40,W1476&gt;=120),0.15,0)+IF(AND(V1476&gt;40,V1476&lt;75,W1476&lt;25),0.35,0)+IF(AND(V1476&gt;=40,V1476&lt;75,W1476&gt;=25,W1476&lt;65),0.25,0)+IF(AND(V1476&gt;=40,V1476&lt;75,W1476&gt;=65,W1476&lt;100),0.17,0)+IF(AND(V1476&gt;=40,V1476&lt;75,W1476&gt;=100),0.1,0)+IF(AND(V1476&gt;=75,W1476&lt;25),0.35,0)+IF(AND(V1476&gt;=75,W1476&gt;=25,W1476&lt;60),0.25,0)+IF(AND(V1476&gt;=75,W1476&gt;=60,W1476&lt;95),0.17,0)+IF(AND(V1476&gt;=75,W1476&gt;=95),0.1,0),
IF(AF1476="DoEVba",IF(AND(V1476&lt;20,W1476&lt;105),0.2,0)+IF(AND(V1476&lt;20,W1476&gt;=105),0.15,0)+IF(AND(V1476&gt;=20,V1476&lt;40,W1476&lt;95),0.2,0)+IF(AND(V1476&gt;=20,V1476&lt;40,W1476&gt;=95,W1476&lt;150),0.15,0)+IF(AND(V1476&gt;=20,V1476&lt;40,W1476&gt;=150),0.12,0)+IF(AND(V1476&gt;=40,V1476&lt;75,W1476&lt;75),0.2,0)+IF(AND(V1476&gt;=40,V1476&lt;75,W1476&gt;=75,W1476&lt;120),0.15,0)+IF(AND(V1476&gt;=40,V1476&lt;75,W1476&gt;=120),0.12,0)+IF(AND(V1476&gt;=75,V1476&lt;175,W1476&lt;65),0.2,0)+IF(AND(V1476&gt;=75,V1476&lt;175,W1476&gt;=65,W1476&lt;110),0.15,0)+IF(AND(V1476&gt;=75,V1476&lt;175,W1476&gt;=110),0.12,0)+IF(AND(V1476&gt;=175,W1476&lt;55),0.2,0)+IF(AND(V1476&gt;=175,W1476&gt;=55,W1476&lt;95),0.15,0)+IF(AND(V1476&gt;=175,W1476&gt;=95),0.12,0),
IF(AF1476="DoEVku",IF(AND(V1476&lt;20,W1476&lt;55),0.23,0)+IF(AND(V1476&lt;20,W1476&gt;=55,W1476&lt;105),0.2,0)+IF(AND(V1476&lt;20,W1476&gt;=105),0.17,0)+IF(AND(V1476&gt;=20,V1476&lt;40,W1476&lt;45),0.23,0)+IF(AND(V1476&gt;=20,V1476&lt;40,W1476&gt;=45,W1476&lt;95),0.2,0)+IF(AND(V1476&gt;=20,V1476&lt;40,W1476&gt;=95,W1476&lt;=150),0.17,0)+IF(AND(V1476&gt;=20,V1476&lt;40,W1476&gt;=150),0.12,0)+IF(AND(V1476&gt;=40,V1476&lt;75,W1476&lt;35),0.23,0)+IF(AND(V1476&gt;=40,V1476&lt;75,W1476&gt;=35,W1476&lt;75),0.2,0)+IF(AND(V1476&gt;=40,V1476&lt;75,W1476&gt;=75,W1476&lt;120),0.17,0)+IF(AND(V1476&gt;=40,V1476&lt;75,W1476&gt;=120),0.12,0)+IF(AND(V1476&gt;=75,V1476&lt;175,W1476&lt;35),0.23,0)+IF(AND(V1476&gt;=75,V1476&lt;=175,W1476&gt;=35,W1476&lt;65),0.2,0)+IF(AND(V1476&gt;=75,V1476&lt;=175,W1476&gt;=65,W1476&lt;110),0.17,0)+IF(AND(V1476&gt;=75,V1476&lt;=175,W1476&gt;=110),0.12,0)+IF(AND(V1476&gt;175,W1476&lt;25),0.23,0)+IF(AND(V1476&gt;175,W1476&gt;=25,W1476&lt;55),0.2,0)+IF(AND(V1476&gt;175,W1476&gt;=55,W1476&lt;95),0.17,0)+IF(AND(V1476&gt;175,W1476&gt;=95),0.12,0),
IF(AF1476="DoEVs1",IF(AND(V1476&lt;20,W1476&lt;55),0.3,0)+IF(AND(V1476&lt;20,W1476&gt;=55,W1476&lt;105),0.23,0)+IF(AND(V1476&lt;20,W1476&gt;=105),0.17,0)+IF(AND(V1476&gt;=20,V1476&lt;40,W1476&lt;45),0.3,0)+IF(AND(V1476&gt;=20,V1476&lt;40,W1476&gt;=45,W1476&lt;95),0.23,0)+IF(AND(V1476&gt;=20,V1476&lt;40,W1476&gt;=95,W1476&lt;=150),0.17,0)+IF(AND(V1476&gt;=20,V1476&lt;40,W1476&gt;=150),0.12,0)+IF(AND(V1476&gt;=40,V1476&lt;75,W1476&lt;35),0.3,0)+IF(AND(V1476&gt;=40,V1476&lt;75,W1476&gt;=35,W1476&lt;75),0.23,0)+IF(AND(V1476&gt;=40,V1476&lt;75,W1476&gt;=75,W1476&lt;120),0.17,0)+IF(AND(V1476&gt;=40,V1476&lt;75,W1476&gt;=120),0.12,0)+IF(AND(V1476&gt;=75,V1476&lt;175,W1476&lt;35),0.3,0)+IF(AND(V1476&gt;=75,V1476&lt;=175,W1476&gt;=35,W1476&lt;65),0.23,0)+IF(AND(V1476&gt;=75,V1476&lt;=175,W1476&gt;=65,W1476&lt;110),0.17,0)+IF(AND(V1476&gt;=75,V1476&lt;=175,W1476&gt;=110),0.12,0)+IF(AND(V1476&gt;175,W1476&lt;25),0.3,0)+IF(AND(V1476&gt;175,W1476&gt;=25,W1476&lt;55),0.23,0)+IF(AND(V1476&gt;175,W1476&gt;=55,W1476&lt;95),0.17,0)+IF(AND(V1476&gt;175,W1476&gt;=95),0.12,0),
IF(AF1476="DoEVsu",IF(AND(V1476&lt;20,W1476&lt;55),0.3,0)+IF(AND(V1476&lt;20,W1476&gt;=55,W1476&lt;105),0.23,0)+IF(AND(V1476&lt;20,W1476&gt;=105),0.17,0)+IF(AND(V1476&gt;=20,V1476&lt;40,W1476&lt;45),0.3,0)+IF(AND(V1476&gt;=20,V1476&lt;40,W1476&gt;=45,W1476&lt;95),0.23,0)+IF(AND(V1476&gt;=20,V1476&lt;40,W1476&gt;=95,W1476&lt;=250),0.17,0)+IF(AND(V1476&gt;=20,V1476&lt;40,W1476&gt;=250),0.12,0)+IF(AND(V1476&gt;=40,V1476&lt;75,W1476&lt;35),0.3,0)+IF(AND(V1476&gt;=40,V1476&lt;75,W1476&gt;=35,W1476&lt;75),0.23,0)+IF(AND(V1476&gt;=40,V1476&lt;75,W1476&gt;=75,W1476&lt;120),0.17,0)+IF(AND(V1476&gt;=40,V1476&lt;75,W1476&gt;=120),0.12,0)+IF(AND(V1476&gt;=75,V1476&lt;175,W1476&lt;35),0.3,0)+IF(AND(V1476&gt;=75,V1476&lt;=175,W1476&gt;=35,W1476&lt;65),0.23,0)+IF(AND(V1476&gt;=75,V1476&lt;=175,W1476&gt;=65,W1476&lt;110),0.17,0)+IF(AND(V1476&gt;=75,V1476&lt;=175,W1476&gt;=110),0.12,0)+IF(AND(V1476&gt;175,W1476&lt;25),0.3,0)+IF(AND(V1476&gt;175,W1476&gt;=25,W1476&lt;55),0.23,0)+IF(AND(V1476&gt;175,W1476&gt;=55,W1476&lt;95),0.17,0)+IF(AND(V1476&gt;175,W1476&gt;=95),0.12,0),
IF(AF1476="DoEVni",IF(AND(V1476&lt;20,W1476&lt;55),0.3,0)+IF(AND(V1476&lt;20,W1476&gt;=55,W1476&lt;105),0.23,0)+IF(AND(V1476&lt;20,W1476&gt;=105),0.17,0)+IF(AND(V1476&gt;=20,V1476&lt;40,W1476&lt;45),0.3,0)+IF(AND(V1476&gt;=20,V1476&lt;40,W1476&gt;=45,W1476&lt;95),0.23,0)+IF(AND(V1476&gt;=20,V1476&lt;40,W1476&gt;=95,W1476&lt;=200),0.17,0)+IF(AND(V1476&gt;=20,V1476&lt;40,W1476&gt;=200),0.12,0)+IF(AND(V1476&gt;=40,V1476&lt;75,W1476&lt;35),0.3,0)+IF(AND(V1476&gt;=40,V1476&lt;75,W1476&gt;=35,W1476&lt;75),0.23,0)+IF(AND(V1476&gt;=40,V1476&lt;75,W1476&gt;=75,W1476&lt;120),0.17,0)+IF(AND(V1476&gt;=40,V1476&lt;75,W1476&gt;=120),0.12,0)+IF(AND(V1476&gt;=75,V1476&lt;175,W1476&lt;35),0.3,0)+IF(AND(V1476&gt;=75,V1476&lt;=175,W1476&gt;=35,W1476&lt;65),0.23,0)+IF(AND(V1476&gt;=75,V1476&lt;=175,W1476&gt;=65,W1476&lt;110),0.17,0)+IF(AND(V1476&gt;=75,V1476&lt;=175,W1476&gt;=110),0.12,0)+IF(AND(V1476&gt;175,W1476&lt;25),0.3,0)+IF(AND(V1476&gt;175,W1476&gt;=25,W1476&lt;55),0.23,0)+IF(AND(V1476&gt;175,W1476&gt;=55,W1476&lt;95),0.17,0)+IF(AND(V1476&gt;175,W1476&gt;=95),0.12,0),
IF(AF1476="DoEVLo",IF(AND(V1476&lt;20,W1476&lt;55),0.25,0)+IF(AND(V1476&lt;20,W1476&gt;=55,W1476&lt;105),0.2,0)+IF(AND(V1476&lt;20,W1476&gt;=105),0.15,0)+IF(AND(V1476&gt;=20,V1476&lt;40,W1476&lt;45),0.25,0)+IF(AND(V1476&gt;=20,V1476&lt;40,W1476&gt;=45,W1476&lt;95),0.2,0)+IF(AND(V1476&gt;=20,V1476&lt;40,W1476&gt;=95),0.15,0)+IF(AND(V1476&gt;=40,V1476&lt;75,W1476&lt;35),0.25,0)+IF(AND(V1476&gt;=40,V1476&lt;75,W1476&gt;=35,W1476&lt;75),0.2,0)+IF(AND(V1476&gt;=40,V1476&lt;75,W1476&gt;=75,W1476&lt;120),0.15,0)+IF(AND(V1476&gt;=40,V1476&lt;75,W1476&gt;=120),0.1,0)+IF(AND(V1476&gt;=75,V1476&lt;175,W1476&lt;35),0.25,0)+IF(AND(V1476&gt;=75,V1476&lt;=175,W1476&gt;=35,W1476&lt;65),0.2,0)+IF(AND(V1476&gt;=75,V1476&lt;=175,W1476&gt;=65,W1476&lt;110),0.15,0)+IF(AND(V1476&gt;=75,V1476&lt;=175,W1476&gt;=110),0.1,0)+IF(AND(V1476&gt;175,W1476&lt;25),0.25,0)+IF(AND(V1476&gt;175,W1476&gt;=25,W1476&lt;55),0.2,0)+IF(AND(V1476&gt;175,W1476&gt;=55,W1476&lt;95),0.15,0)+IF(AND(V1476&gt;175,W1476&gt;=95),0.1,0))))))))))))))))))))</f>
        <v>0.12</v>
      </c>
      <c r="Y1476" s="35">
        <f t="shared" ref="Y1476:Y1487" si="232">if(AG1476="None",0,if(AG1476="Fix5",0.05, if(AG1476="Fix6.25",0.0625,if(AG1476="Fix3.75",0.0375, if(AG1476="Fix11",0.11, if(AG1476="Fix10",0.1,if(AG1476="Fix3",0.03,0)))))))</f>
        <v>0</v>
      </c>
      <c r="Z1476" s="40">
        <f t="shared" ref="Z1476:Z1487" si="233">if(and(AD1476="EUR", AE1476 = "USD"), T1476*U1476-AA1476-AB1476, T1476-AA1476-AB1476)</f>
        <v>7015.36</v>
      </c>
      <c r="AA1476" s="34">
        <f t="shared" ref="AA1476:AA1487" si="234">IF(AND(AD1476="EUR", F1476="Without EV deal", AE1476="USD"), (T1476*X1476)*U1476, 
IF(AND(AD1476="EUR", F1476="Without EV deal", AE1476="EUR"), (T1476*X1476), 
IF(AND(AD1476="EUR",AE1476="USD"), (T1476*X1476)*U1476, 
T1476*X1476)))</f>
        <v>956.64</v>
      </c>
      <c r="AB1476" s="41">
        <f t="shared" ref="AB1476:AB1487" si="235">IF(AND(AD1476="EUR", F1476="Without EV deal", AE1476="USD"), (T1476*Y1476)*U1476, 
IF(AND(AD1476="EUR", F1476="Without EV deal", AE1476="EUR"), (T1476*Y1476), 
IF(AND(AD1476="EUR",AE1476="USD"), (T1476*Y1476)*U1476, 
T1476*Y1476)))</f>
        <v>0</v>
      </c>
      <c r="AC1476" s="42" t="b">
        <v>0</v>
      </c>
      <c r="AD1476" s="87" t="str">
        <f t="shared" ref="AD1476:AD1487" si="236">IF(OR(H1476="€0.25 Flash",
H1476="€0.25(nitro) new",
H1476="€1",
H1476="€2",
H1476="€2 (bf 01.08)",
H1476="€5",
H1476="€5 (1M)",
H1476="€5 (bf 01.08)",
H1476="€5 (bf 05.05)",
H1476="€5 Nitro",
H1476="€5(wx) new",
H1476="€10",
H1476="€10 (1M)",
H1476="€10 (bf 01.08)",
H1476="€10 (bf 05.05)",
H1476="€10 (MP)",
H1476="€10 (old)",
H1476="€10 Nitro (bf 05.05)",
H1476="€10 Nitro (old)",
H1476="€10(wx) new",
H1476="€20",
H1476="€25",
H1476="€25 (bf 01.08)",
H1476="€25 (bf 05.05)",
H1476="€25 (MP)",
H1476="€25 (old)",
H1476="€25 Nitro",
H1476="€25 Nitro (bf 01.08)",
H1476="€25 Nitro (bf 05.05)",
H1476="€25(nitro) new",
H1476="€25(wx) new",
H1476="€50",
H1476="€50 (bf 01.08)",
H1476="€50 (bf 05.05)",
H1476="€50 (old)",
H1476="€50 Nitro",
H1476="€50 Nitro (bf 01.08)",
H1476="€50 Nitro (bf 05.05)",
H1476="€50(wx) new",
H1476="€100",
H1476="€100 (old)",
H1476="€100 Nitro",
H1476="€100 Nitro (old)",
H1476="€200",
H1476="€250",
H1476="€250 Nitro",
H1476="€500",
H1476="€500 Nitro"),"EUR", "USD")
</f>
        <v>USD</v>
      </c>
      <c r="AE1476" s="88" t="s">
        <v>138</v>
      </c>
      <c r="AF1476" s="88" t="str">
        <f t="array" ref="AF1476">INDEX('Deal Info'!D:D, MATCH(A1476,'Deal Info'!A:A, 0))</f>
        <v>DoEVsu</v>
      </c>
      <c r="AG1476" s="89" t="str">
        <f t="array" ref="AG1476">INDEX('Deal Info'!G:G, MATCH(A1476,'Deal Info'!A:A, 0))</f>
        <v>None</v>
      </c>
    </row>
    <row r="1477" hidden="1">
      <c r="A1477" s="23" t="str">
        <f t="array" ref="A1477">if(G1477='Room Info'!$B$1, INDEX('Room Info'!$A$2:$A3446, MATCH(B1477,'Room Info'!$B$2:$B3446, 0)),if(G1477='Room Info'!$C$1, INDEX('Room Info'!$A$2:$A3446, MATCH(B1477,'Room Info'!$C$2:$C3446, 0)),if(G1477='Room Info'!$D$1, INDEX('Room Info'!$A$2:$A3446, MATCH(B1477,'Room Info'!$D$2:$D3446, 0)),if(G1477='Room Info'!$E$1, INDEX('Room Info'!$A$2:$A3446, MATCH(B1477,'Room Info'!$E$2:$E3446, 0)),if(G1477='Room Info'!$F$1, INDEX('Room Info'!$A$2:$A3446, MATCH(B1477,'Room Info'!$F$2:$F3446, 0)),if(G1477='Room Info'!$H$1, INDEX('Room Info'!$A$2:$A3446, MATCH(B1477,'Room Info'!$H$2:$H3446, 0)),if(G1477='Room Info'!$G$1, INDEX('Room Info'!$A$2:$A3446, MATCH(B1477,'Room Info'!$G$2:$G3446, 0)))))))))</f>
        <v>supreme325i</v>
      </c>
      <c r="B1477" s="90" t="s">
        <v>223</v>
      </c>
      <c r="C1477" s="91">
        <v>44947.0</v>
      </c>
      <c r="D1477" s="92">
        <v>44977.0</v>
      </c>
      <c r="E1477" s="26">
        <v>44958.0</v>
      </c>
      <c r="F1477" s="27" t="s">
        <v>4</v>
      </c>
      <c r="G1477" s="23" t="s">
        <v>5</v>
      </c>
      <c r="H1477" s="28" t="s">
        <v>62</v>
      </c>
      <c r="I1477" s="28" t="s">
        <v>7</v>
      </c>
      <c r="J1477" s="44">
        <f t="shared" si="229"/>
        <v>25</v>
      </c>
      <c r="K1477" s="93">
        <v>6415.0</v>
      </c>
      <c r="L1477" s="94">
        <v>2750.0</v>
      </c>
      <c r="M1477" s="32"/>
      <c r="N1477" s="33">
        <f t="shared" si="155"/>
        <v>160375</v>
      </c>
      <c r="O1477" s="90">
        <v>157954.0</v>
      </c>
      <c r="P1477" s="34">
        <f t="shared" si="14"/>
        <v>24.62260327</v>
      </c>
      <c r="Q1477" s="35"/>
      <c r="R1477" s="36">
        <f t="shared" si="196"/>
        <v>0</v>
      </c>
      <c r="S1477" s="33"/>
      <c r="T1477" s="37">
        <f t="shared" si="230"/>
        <v>0</v>
      </c>
      <c r="U1477" s="38">
        <v>1.067</v>
      </c>
      <c r="V1477" s="39">
        <v>24.29418831656405</v>
      </c>
      <c r="W1477" s="39">
        <v>328.1443239066605</v>
      </c>
      <c r="X1477" s="35">
        <f t="shared" si="231"/>
        <v>0.12</v>
      </c>
      <c r="Y1477" s="35">
        <f t="shared" si="232"/>
        <v>0</v>
      </c>
      <c r="Z1477" s="40">
        <f t="shared" si="233"/>
        <v>0</v>
      </c>
      <c r="AA1477" s="34">
        <f t="shared" si="234"/>
        <v>0</v>
      </c>
      <c r="AB1477" s="41">
        <f t="shared" si="235"/>
        <v>0</v>
      </c>
      <c r="AC1477" s="42" t="b">
        <v>0</v>
      </c>
      <c r="AD1477" s="87" t="str">
        <f t="shared" si="236"/>
        <v>USD</v>
      </c>
      <c r="AE1477" s="88" t="s">
        <v>138</v>
      </c>
      <c r="AF1477" s="88" t="str">
        <f t="array" ref="AF1477">INDEX('Deal Info'!D:D, MATCH(A1477,'Deal Info'!A:A, 0))</f>
        <v>DoEVsu</v>
      </c>
      <c r="AG1477" s="89" t="str">
        <f t="array" ref="AG1477">INDEX('Deal Info'!G:G, MATCH(A1477,'Deal Info'!A:A, 0))</f>
        <v>None</v>
      </c>
    </row>
    <row r="1478" hidden="1">
      <c r="A1478" s="23" t="str">
        <f t="array" ref="A1478">if(G1478='Room Info'!$B$1, INDEX('Room Info'!$A$2:$A3446, MATCH(B1478,'Room Info'!$B$2:$B3446, 0)),if(G1478='Room Info'!$C$1, INDEX('Room Info'!$A$2:$A3446, MATCH(B1478,'Room Info'!$C$2:$C3446, 0)),if(G1478='Room Info'!$D$1, INDEX('Room Info'!$A$2:$A3446, MATCH(B1478,'Room Info'!$D$2:$D3446, 0)),if(G1478='Room Info'!$E$1, INDEX('Room Info'!$A$2:$A3446, MATCH(B1478,'Room Info'!$E$2:$E3446, 0)),if(G1478='Room Info'!$F$1, INDEX('Room Info'!$A$2:$A3446, MATCH(B1478,'Room Info'!$F$2:$F3446, 0)),if(G1478='Room Info'!$H$1, INDEX('Room Info'!$A$2:$A3446, MATCH(B1478,'Room Info'!$H$2:$H3446, 0)),if(G1478='Room Info'!$G$1, INDEX('Room Info'!$A$2:$A3446, MATCH(B1478,'Room Info'!$G$2:$G3446, 0)))))))))</f>
        <v>supreme325i</v>
      </c>
      <c r="B1478" s="90" t="s">
        <v>223</v>
      </c>
      <c r="C1478" s="91">
        <v>44947.0</v>
      </c>
      <c r="D1478" s="92">
        <v>44977.0</v>
      </c>
      <c r="E1478" s="26">
        <v>44958.0</v>
      </c>
      <c r="F1478" s="27" t="s">
        <v>4</v>
      </c>
      <c r="G1478" s="23" t="s">
        <v>5</v>
      </c>
      <c r="H1478" s="28" t="s">
        <v>63</v>
      </c>
      <c r="I1478" s="28" t="s">
        <v>11</v>
      </c>
      <c r="J1478" s="44">
        <f t="shared" si="229"/>
        <v>25</v>
      </c>
      <c r="K1478" s="93">
        <v>9.0</v>
      </c>
      <c r="L1478" s="94">
        <v>25.0</v>
      </c>
      <c r="M1478" s="32"/>
      <c r="N1478" s="33">
        <f t="shared" si="155"/>
        <v>225</v>
      </c>
      <c r="O1478" s="90">
        <v>-351.0</v>
      </c>
      <c r="P1478" s="34">
        <f t="shared" si="14"/>
        <v>-39</v>
      </c>
      <c r="Q1478" s="35"/>
      <c r="R1478" s="36">
        <f t="shared" si="196"/>
        <v>0</v>
      </c>
      <c r="S1478" s="33"/>
      <c r="T1478" s="37">
        <f t="shared" si="230"/>
        <v>0</v>
      </c>
      <c r="U1478" s="38">
        <v>1.067</v>
      </c>
      <c r="V1478" s="39">
        <v>24.29418831656405</v>
      </c>
      <c r="W1478" s="39">
        <v>328.1443239066605</v>
      </c>
      <c r="X1478" s="35">
        <f t="shared" si="231"/>
        <v>0.12</v>
      </c>
      <c r="Y1478" s="35">
        <f t="shared" si="232"/>
        <v>0</v>
      </c>
      <c r="Z1478" s="40">
        <f t="shared" si="233"/>
        <v>0</v>
      </c>
      <c r="AA1478" s="34">
        <f t="shared" si="234"/>
        <v>0</v>
      </c>
      <c r="AB1478" s="41">
        <f t="shared" si="235"/>
        <v>0</v>
      </c>
      <c r="AC1478" s="42" t="b">
        <v>0</v>
      </c>
      <c r="AD1478" s="87" t="str">
        <f t="shared" si="236"/>
        <v>USD</v>
      </c>
      <c r="AE1478" s="88" t="s">
        <v>138</v>
      </c>
      <c r="AF1478" s="88" t="str">
        <f t="array" ref="AF1478">INDEX('Deal Info'!D:D, MATCH(A1478,'Deal Info'!A:A, 0))</f>
        <v>DoEVsu</v>
      </c>
      <c r="AG1478" s="89" t="str">
        <f t="array" ref="AG1478">INDEX('Deal Info'!G:G, MATCH(A1478,'Deal Info'!A:A, 0))</f>
        <v>None</v>
      </c>
    </row>
    <row r="1479" hidden="1">
      <c r="A1479" s="23" t="str">
        <f t="array" ref="A1479">if(G1479='Room Info'!$B$1, INDEX('Room Info'!$A$2:$A3446, MATCH(B1479,'Room Info'!$B$2:$B3446, 0)),if(G1479='Room Info'!$C$1, INDEX('Room Info'!$A$2:$A3446, MATCH(B1479,'Room Info'!$C$2:$C3446, 0)),if(G1479='Room Info'!$D$1, INDEX('Room Info'!$A$2:$A3446, MATCH(B1479,'Room Info'!$D$2:$D3446, 0)),if(G1479='Room Info'!$E$1, INDEX('Room Info'!$A$2:$A3446, MATCH(B1479,'Room Info'!$E$2:$E3446, 0)),if(G1479='Room Info'!$F$1, INDEX('Room Info'!$A$2:$A3446, MATCH(B1479,'Room Info'!$F$2:$F3446, 0)),if(G1479='Room Info'!$H$1, INDEX('Room Info'!$A$2:$A3446, MATCH(B1479,'Room Info'!$H$2:$H3446, 0)),if(G1479='Room Info'!$G$1, INDEX('Room Info'!$A$2:$A3446, MATCH(B1479,'Room Info'!$G$2:$G3446, 0)))))))))</f>
        <v>dimasik</v>
      </c>
      <c r="B1479" s="50" t="s">
        <v>189</v>
      </c>
      <c r="C1479" s="82">
        <v>44958.0</v>
      </c>
      <c r="D1479" s="82">
        <v>44985.0</v>
      </c>
      <c r="E1479" s="26">
        <v>44958.0</v>
      </c>
      <c r="F1479" s="27" t="s">
        <v>12</v>
      </c>
      <c r="G1479" s="23" t="s">
        <v>5</v>
      </c>
      <c r="H1479" s="28" t="s">
        <v>75</v>
      </c>
      <c r="I1479" s="28" t="s">
        <v>11</v>
      </c>
      <c r="J1479" s="44">
        <f t="shared" si="229"/>
        <v>50</v>
      </c>
      <c r="K1479" s="80">
        <v>344.0</v>
      </c>
      <c r="L1479" s="77">
        <v>450.0</v>
      </c>
      <c r="M1479" s="81">
        <v>14500.0</v>
      </c>
      <c r="N1479" s="33">
        <f t="shared" si="155"/>
        <v>17200</v>
      </c>
      <c r="O1479" s="101"/>
      <c r="P1479" s="34">
        <f t="shared" si="14"/>
        <v>0</v>
      </c>
      <c r="Q1479" s="60"/>
      <c r="R1479" s="36">
        <f t="shared" si="196"/>
        <v>14500</v>
      </c>
      <c r="S1479" s="102"/>
      <c r="T1479" s="37">
        <f t="shared" si="230"/>
        <v>14950</v>
      </c>
      <c r="U1479" s="62">
        <v>1.0</v>
      </c>
      <c r="V1479" s="74"/>
      <c r="W1479" s="74"/>
      <c r="X1479" s="35">
        <f t="shared" si="231"/>
        <v>0.19</v>
      </c>
      <c r="Y1479" s="35">
        <f t="shared" si="232"/>
        <v>0</v>
      </c>
      <c r="Z1479" s="40">
        <f t="shared" si="233"/>
        <v>12109.5</v>
      </c>
      <c r="AA1479" s="34">
        <f t="shared" si="234"/>
        <v>2840.5</v>
      </c>
      <c r="AB1479" s="41">
        <f t="shared" si="235"/>
        <v>0</v>
      </c>
      <c r="AC1479" s="42" t="b">
        <v>1</v>
      </c>
      <c r="AD1479" s="87" t="str">
        <f t="shared" si="236"/>
        <v>USD</v>
      </c>
      <c r="AE1479" s="88" t="s">
        <v>138</v>
      </c>
      <c r="AF1479" s="88" t="str">
        <f t="array" ref="AF1479">INDEX('Deal Info'!D:D, MATCH(A1479,'Deal Info'!A:A, 0))</f>
        <v>Fix19</v>
      </c>
      <c r="AG1479" s="89" t="str">
        <f t="array" ref="AG1479">INDEX('Deal Info'!G:G, MATCH(A1479,'Deal Info'!A:A, 0))</f>
        <v>None</v>
      </c>
    </row>
    <row r="1480" hidden="1">
      <c r="A1480" s="23" t="str">
        <f t="array" ref="A1480">if(G1480='Room Info'!$B$1, INDEX('Room Info'!$A$2:$A3446, MATCH(B1480,'Room Info'!$B$2:$B3446, 0)),if(G1480='Room Info'!$C$1, INDEX('Room Info'!$A$2:$A3446, MATCH(B1480,'Room Info'!$C$2:$C3446, 0)),if(G1480='Room Info'!$D$1, INDEX('Room Info'!$A$2:$A3446, MATCH(B1480,'Room Info'!$D$2:$D3446, 0)),if(G1480='Room Info'!$E$1, INDEX('Room Info'!$A$2:$A3446, MATCH(B1480,'Room Info'!$E$2:$E3446, 0)),if(G1480='Room Info'!$F$1, INDEX('Room Info'!$A$2:$A3446, MATCH(B1480,'Room Info'!$F$2:$F3446, 0)),if(G1480='Room Info'!$H$1, INDEX('Room Info'!$A$2:$A3446, MATCH(B1480,'Room Info'!$H$2:$H3446, 0)),if(G1480='Room Info'!$G$1, INDEX('Room Info'!$A$2:$A3446, MATCH(B1480,'Room Info'!$G$2:$G3446, 0)))))))))</f>
        <v>dimasik</v>
      </c>
      <c r="B1480" s="50" t="s">
        <v>189</v>
      </c>
      <c r="C1480" s="82">
        <v>44958.0</v>
      </c>
      <c r="D1480" s="82">
        <v>44985.0</v>
      </c>
      <c r="E1480" s="26">
        <v>44958.0</v>
      </c>
      <c r="F1480" s="27" t="s">
        <v>12</v>
      </c>
      <c r="G1480" s="23" t="s">
        <v>5</v>
      </c>
      <c r="H1480" s="28" t="s">
        <v>85</v>
      </c>
      <c r="I1480" s="28" t="s">
        <v>7</v>
      </c>
      <c r="J1480" s="44">
        <f t="shared" si="229"/>
        <v>100</v>
      </c>
      <c r="K1480" s="56">
        <v>1293.0</v>
      </c>
      <c r="L1480" s="57">
        <v>-1000.0</v>
      </c>
      <c r="M1480" s="67"/>
      <c r="N1480" s="33">
        <f t="shared" si="155"/>
        <v>129300</v>
      </c>
      <c r="O1480" s="70"/>
      <c r="P1480" s="34">
        <f t="shared" si="14"/>
        <v>0</v>
      </c>
      <c r="Q1480" s="60"/>
      <c r="R1480" s="36">
        <f t="shared" si="196"/>
        <v>0</v>
      </c>
      <c r="S1480" s="71"/>
      <c r="T1480" s="37">
        <f t="shared" si="230"/>
        <v>-1000</v>
      </c>
      <c r="U1480" s="62">
        <v>1.0</v>
      </c>
      <c r="V1480" s="74"/>
      <c r="W1480" s="74"/>
      <c r="X1480" s="35">
        <f t="shared" si="231"/>
        <v>0.19</v>
      </c>
      <c r="Y1480" s="35">
        <f t="shared" si="232"/>
        <v>0</v>
      </c>
      <c r="Z1480" s="40">
        <f t="shared" si="233"/>
        <v>-810</v>
      </c>
      <c r="AA1480" s="34">
        <f t="shared" si="234"/>
        <v>-190</v>
      </c>
      <c r="AB1480" s="41">
        <f t="shared" si="235"/>
        <v>0</v>
      </c>
      <c r="AC1480" s="42" t="b">
        <v>1</v>
      </c>
      <c r="AD1480" s="87" t="str">
        <f t="shared" si="236"/>
        <v>USD</v>
      </c>
      <c r="AE1480" s="88" t="s">
        <v>138</v>
      </c>
      <c r="AF1480" s="88" t="str">
        <f t="array" ref="AF1480">INDEX('Deal Info'!D:D, MATCH(A1480,'Deal Info'!A:A, 0))</f>
        <v>Fix19</v>
      </c>
      <c r="AG1480" s="89" t="str">
        <f t="array" ref="AG1480">INDEX('Deal Info'!G:G, MATCH(A1480,'Deal Info'!A:A, 0))</f>
        <v>None</v>
      </c>
    </row>
    <row r="1481" hidden="1">
      <c r="A1481" s="23" t="str">
        <f t="array" ref="A1481">if(G1481='Room Info'!$B$1, INDEX('Room Info'!$A$2:$A3446, MATCH(B1481,'Room Info'!$B$2:$B3446, 0)),if(G1481='Room Info'!$C$1, INDEX('Room Info'!$A$2:$A3446, MATCH(B1481,'Room Info'!$C$2:$C3446, 0)),if(G1481='Room Info'!$D$1, INDEX('Room Info'!$A$2:$A3446, MATCH(B1481,'Room Info'!$D$2:$D3446, 0)),if(G1481='Room Info'!$E$1, INDEX('Room Info'!$A$2:$A3446, MATCH(B1481,'Room Info'!$E$2:$E3446, 0)),if(G1481='Room Info'!$F$1, INDEX('Room Info'!$A$2:$A3446, MATCH(B1481,'Room Info'!$F$2:$F3446, 0)),if(G1481='Room Info'!$H$1, INDEX('Room Info'!$A$2:$A3446, MATCH(B1481,'Room Info'!$H$2:$H3446, 0)),if(G1481='Room Info'!$G$1, INDEX('Room Info'!$A$2:$A3446, MATCH(B1481,'Room Info'!$G$2:$G3446, 0)))))))))</f>
        <v>dimasik</v>
      </c>
      <c r="B1481" s="50" t="s">
        <v>189</v>
      </c>
      <c r="C1481" s="82">
        <v>44958.0</v>
      </c>
      <c r="D1481" s="82">
        <v>44985.0</v>
      </c>
      <c r="E1481" s="26">
        <v>44958.0</v>
      </c>
      <c r="F1481" s="27" t="s">
        <v>12</v>
      </c>
      <c r="G1481" s="23" t="s">
        <v>5</v>
      </c>
      <c r="H1481" s="28" t="s">
        <v>86</v>
      </c>
      <c r="I1481" s="28" t="s">
        <v>11</v>
      </c>
      <c r="J1481" s="44">
        <f t="shared" si="229"/>
        <v>100</v>
      </c>
      <c r="K1481" s="56">
        <v>2788.0</v>
      </c>
      <c r="L1481" s="57">
        <v>2100.0</v>
      </c>
      <c r="M1481" s="67"/>
      <c r="N1481" s="33">
        <f t="shared" si="155"/>
        <v>278800</v>
      </c>
      <c r="O1481" s="70"/>
      <c r="P1481" s="34">
        <f t="shared" si="14"/>
        <v>0</v>
      </c>
      <c r="Q1481" s="60"/>
      <c r="R1481" s="36">
        <f t="shared" si="196"/>
        <v>0</v>
      </c>
      <c r="S1481" s="71"/>
      <c r="T1481" s="37">
        <f t="shared" si="230"/>
        <v>2100</v>
      </c>
      <c r="U1481" s="62">
        <v>1.0</v>
      </c>
      <c r="V1481" s="74"/>
      <c r="W1481" s="74"/>
      <c r="X1481" s="35">
        <f t="shared" si="231"/>
        <v>0.19</v>
      </c>
      <c r="Y1481" s="35">
        <f t="shared" si="232"/>
        <v>0</v>
      </c>
      <c r="Z1481" s="40">
        <f t="shared" si="233"/>
        <v>1701</v>
      </c>
      <c r="AA1481" s="34">
        <f t="shared" si="234"/>
        <v>399</v>
      </c>
      <c r="AB1481" s="41">
        <f t="shared" si="235"/>
        <v>0</v>
      </c>
      <c r="AC1481" s="42" t="b">
        <v>1</v>
      </c>
      <c r="AD1481" s="87" t="str">
        <f t="shared" si="236"/>
        <v>USD</v>
      </c>
      <c r="AE1481" s="88" t="s">
        <v>138</v>
      </c>
      <c r="AF1481" s="88" t="str">
        <f t="array" ref="AF1481">INDEX('Deal Info'!D:D, MATCH(A1481,'Deal Info'!A:A, 0))</f>
        <v>Fix19</v>
      </c>
      <c r="AG1481" s="89" t="str">
        <f t="array" ref="AG1481">INDEX('Deal Info'!G:G, MATCH(A1481,'Deal Info'!A:A, 0))</f>
        <v>None</v>
      </c>
    </row>
    <row r="1482" hidden="1">
      <c r="A1482" s="23" t="str">
        <f t="array" ref="A1482">if(G1482='Room Info'!$B$1, INDEX('Room Info'!$A$2:$A3446, MATCH(B1482,'Room Info'!$B$2:$B3446, 0)),if(G1482='Room Info'!$C$1, INDEX('Room Info'!$A$2:$A3446, MATCH(B1482,'Room Info'!$C$2:$C3446, 0)),if(G1482='Room Info'!$D$1, INDEX('Room Info'!$A$2:$A3446, MATCH(B1482,'Room Info'!$D$2:$D3446, 0)),if(G1482='Room Info'!$E$1, INDEX('Room Info'!$A$2:$A3446, MATCH(B1482,'Room Info'!$E$2:$E3446, 0)),if(G1482='Room Info'!$F$1, INDEX('Room Info'!$A$2:$A3446, MATCH(B1482,'Room Info'!$F$2:$F3446, 0)),if(G1482='Room Info'!$H$1, INDEX('Room Info'!$A$2:$A3446, MATCH(B1482,'Room Info'!$H$2:$H3446, 0)),if(G1482='Room Info'!$G$1, INDEX('Room Info'!$A$2:$A3446, MATCH(B1482,'Room Info'!$G$2:$G3446, 0)))))))))</f>
        <v>dimasik</v>
      </c>
      <c r="B1482" s="50" t="s">
        <v>189</v>
      </c>
      <c r="C1482" s="82">
        <v>44958.0</v>
      </c>
      <c r="D1482" s="82">
        <v>44985.0</v>
      </c>
      <c r="E1482" s="26">
        <v>44958.0</v>
      </c>
      <c r="F1482" s="27" t="s">
        <v>12</v>
      </c>
      <c r="G1482" s="23" t="s">
        <v>5</v>
      </c>
      <c r="H1482" s="86" t="s">
        <v>96</v>
      </c>
      <c r="I1482" s="28" t="s">
        <v>7</v>
      </c>
      <c r="J1482" s="44">
        <f t="shared" si="229"/>
        <v>250</v>
      </c>
      <c r="K1482" s="56">
        <v>152.0</v>
      </c>
      <c r="L1482" s="57">
        <v>4500.0</v>
      </c>
      <c r="M1482" s="67"/>
      <c r="N1482" s="33">
        <f t="shared" si="155"/>
        <v>38000</v>
      </c>
      <c r="O1482" s="70"/>
      <c r="P1482" s="34">
        <f t="shared" si="14"/>
        <v>0</v>
      </c>
      <c r="Q1482" s="60"/>
      <c r="R1482" s="36">
        <f t="shared" si="196"/>
        <v>0</v>
      </c>
      <c r="S1482" s="71"/>
      <c r="T1482" s="37">
        <f t="shared" si="230"/>
        <v>4500</v>
      </c>
      <c r="U1482" s="62">
        <v>1.0</v>
      </c>
      <c r="V1482" s="74"/>
      <c r="W1482" s="74"/>
      <c r="X1482" s="35">
        <f t="shared" si="231"/>
        <v>0.19</v>
      </c>
      <c r="Y1482" s="35">
        <f t="shared" si="232"/>
        <v>0</v>
      </c>
      <c r="Z1482" s="40">
        <f t="shared" si="233"/>
        <v>3645</v>
      </c>
      <c r="AA1482" s="34">
        <f t="shared" si="234"/>
        <v>855</v>
      </c>
      <c r="AB1482" s="41">
        <f t="shared" si="235"/>
        <v>0</v>
      </c>
      <c r="AC1482" s="42" t="b">
        <v>1</v>
      </c>
      <c r="AD1482" s="87" t="str">
        <f t="shared" si="236"/>
        <v>USD</v>
      </c>
      <c r="AE1482" s="88" t="s">
        <v>138</v>
      </c>
      <c r="AF1482" s="88" t="str">
        <f t="array" ref="AF1482">INDEX('Deal Info'!D:D, MATCH(A1482,'Deal Info'!A:A, 0))</f>
        <v>Fix19</v>
      </c>
      <c r="AG1482" s="89" t="str">
        <f t="array" ref="AG1482">INDEX('Deal Info'!G:G, MATCH(A1482,'Deal Info'!A:A, 0))</f>
        <v>None</v>
      </c>
    </row>
    <row r="1483" hidden="1">
      <c r="A1483" s="23" t="str">
        <f t="array" ref="A1483">if(G1483='Room Info'!$B$1, INDEX('Room Info'!$A$2:$A3446, MATCH(B1483,'Room Info'!$B$2:$B3446, 0)),if(G1483='Room Info'!$C$1, INDEX('Room Info'!$A$2:$A3446, MATCH(B1483,'Room Info'!$C$2:$C3446, 0)),if(G1483='Room Info'!$D$1, INDEX('Room Info'!$A$2:$A3446, MATCH(B1483,'Room Info'!$D$2:$D3446, 0)),if(G1483='Room Info'!$E$1, INDEX('Room Info'!$A$2:$A3446, MATCH(B1483,'Room Info'!$E$2:$E3446, 0)),if(G1483='Room Info'!$F$1, INDEX('Room Info'!$A$2:$A3446, MATCH(B1483,'Room Info'!$F$2:$F3446, 0)),if(G1483='Room Info'!$H$1, INDEX('Room Info'!$A$2:$A3446, MATCH(B1483,'Room Info'!$H$2:$H3446, 0)),if(G1483='Room Info'!$G$1, INDEX('Room Info'!$A$2:$A3446, MATCH(B1483,'Room Info'!$G$2:$G3446, 0)))))))))</f>
        <v>dimasik</v>
      </c>
      <c r="B1483" s="50" t="s">
        <v>189</v>
      </c>
      <c r="C1483" s="82">
        <v>44958.0</v>
      </c>
      <c r="D1483" s="82">
        <v>44985.0</v>
      </c>
      <c r="E1483" s="26">
        <v>44958.0</v>
      </c>
      <c r="F1483" s="27" t="s">
        <v>12</v>
      </c>
      <c r="G1483" s="23" t="s">
        <v>5</v>
      </c>
      <c r="H1483" s="86" t="s">
        <v>97</v>
      </c>
      <c r="I1483" s="28" t="s">
        <v>11</v>
      </c>
      <c r="J1483" s="44">
        <f t="shared" si="229"/>
        <v>250</v>
      </c>
      <c r="K1483" s="56">
        <v>207.0</v>
      </c>
      <c r="L1483" s="57">
        <v>3500.0</v>
      </c>
      <c r="M1483" s="67"/>
      <c r="N1483" s="33">
        <f t="shared" si="155"/>
        <v>51750</v>
      </c>
      <c r="O1483" s="70"/>
      <c r="P1483" s="34">
        <f t="shared" si="14"/>
        <v>0</v>
      </c>
      <c r="Q1483" s="60"/>
      <c r="R1483" s="36">
        <f t="shared" si="196"/>
        <v>0</v>
      </c>
      <c r="S1483" s="71"/>
      <c r="T1483" s="37">
        <f t="shared" si="230"/>
        <v>3500</v>
      </c>
      <c r="U1483" s="62">
        <v>1.0</v>
      </c>
      <c r="V1483" s="74"/>
      <c r="W1483" s="74"/>
      <c r="X1483" s="35">
        <f t="shared" si="231"/>
        <v>0.19</v>
      </c>
      <c r="Y1483" s="35">
        <f t="shared" si="232"/>
        <v>0</v>
      </c>
      <c r="Z1483" s="40">
        <f t="shared" si="233"/>
        <v>2835</v>
      </c>
      <c r="AA1483" s="34">
        <f t="shared" si="234"/>
        <v>665</v>
      </c>
      <c r="AB1483" s="41">
        <f t="shared" si="235"/>
        <v>0</v>
      </c>
      <c r="AC1483" s="42" t="b">
        <v>1</v>
      </c>
      <c r="AD1483" s="87" t="str">
        <f t="shared" si="236"/>
        <v>USD</v>
      </c>
      <c r="AE1483" s="88" t="s">
        <v>138</v>
      </c>
      <c r="AF1483" s="88" t="str">
        <f t="array" ref="AF1483">INDEX('Deal Info'!D:D, MATCH(A1483,'Deal Info'!A:A, 0))</f>
        <v>Fix19</v>
      </c>
      <c r="AG1483" s="89" t="str">
        <f t="array" ref="AG1483">INDEX('Deal Info'!G:G, MATCH(A1483,'Deal Info'!A:A, 0))</f>
        <v>None</v>
      </c>
    </row>
    <row r="1484" hidden="1">
      <c r="A1484" s="23" t="str">
        <f t="array" ref="A1484">if(G1484='Room Info'!$B$1, INDEX('Room Info'!$A$2:$A3446, MATCH(B1484,'Room Info'!$B$2:$B3446, 0)),if(G1484='Room Info'!$C$1, INDEX('Room Info'!$A$2:$A3446, MATCH(B1484,'Room Info'!$C$2:$C3446, 0)),if(G1484='Room Info'!$D$1, INDEX('Room Info'!$A$2:$A3446, MATCH(B1484,'Room Info'!$D$2:$D3446, 0)),if(G1484='Room Info'!$E$1, INDEX('Room Info'!$A$2:$A3446, MATCH(B1484,'Room Info'!$E$2:$E3446, 0)),if(G1484='Room Info'!$F$1, INDEX('Room Info'!$A$2:$A3446, MATCH(B1484,'Room Info'!$F$2:$F3446, 0)),if(G1484='Room Info'!$H$1, INDEX('Room Info'!$A$2:$A3446, MATCH(B1484,'Room Info'!$H$2:$H3446, 0)),if(G1484='Room Info'!$G$1, INDEX('Room Info'!$A$2:$A3446, MATCH(B1484,'Room Info'!$G$2:$G3446, 0)))))))))</f>
        <v>dimasik</v>
      </c>
      <c r="B1484" s="50" t="s">
        <v>189</v>
      </c>
      <c r="C1484" s="82">
        <v>44958.0</v>
      </c>
      <c r="D1484" s="82">
        <v>44985.0</v>
      </c>
      <c r="E1484" s="26">
        <v>44958.0</v>
      </c>
      <c r="F1484" s="27" t="s">
        <v>12</v>
      </c>
      <c r="G1484" s="23" t="s">
        <v>5</v>
      </c>
      <c r="H1484" s="86" t="s">
        <v>101</v>
      </c>
      <c r="I1484" s="28" t="s">
        <v>7</v>
      </c>
      <c r="J1484" s="44">
        <f t="shared" si="229"/>
        <v>500</v>
      </c>
      <c r="K1484" s="56">
        <v>4.0</v>
      </c>
      <c r="L1484" s="57">
        <v>-2000.0</v>
      </c>
      <c r="M1484" s="67"/>
      <c r="N1484" s="33">
        <f t="shared" si="155"/>
        <v>2000</v>
      </c>
      <c r="O1484" s="59"/>
      <c r="P1484" s="34">
        <f t="shared" si="14"/>
        <v>0</v>
      </c>
      <c r="Q1484" s="60"/>
      <c r="R1484" s="36">
        <f t="shared" si="196"/>
        <v>0</v>
      </c>
      <c r="S1484" s="71"/>
      <c r="T1484" s="37">
        <f t="shared" si="230"/>
        <v>-2000</v>
      </c>
      <c r="U1484" s="62">
        <v>1.0</v>
      </c>
      <c r="V1484" s="74"/>
      <c r="W1484" s="74"/>
      <c r="X1484" s="35">
        <f t="shared" si="231"/>
        <v>0.19</v>
      </c>
      <c r="Y1484" s="35">
        <f t="shared" si="232"/>
        <v>0</v>
      </c>
      <c r="Z1484" s="40">
        <f t="shared" si="233"/>
        <v>-1620</v>
      </c>
      <c r="AA1484" s="34">
        <f t="shared" si="234"/>
        <v>-380</v>
      </c>
      <c r="AB1484" s="41">
        <f t="shared" si="235"/>
        <v>0</v>
      </c>
      <c r="AC1484" s="42" t="b">
        <v>1</v>
      </c>
      <c r="AD1484" s="87" t="str">
        <f t="shared" si="236"/>
        <v>USD</v>
      </c>
      <c r="AE1484" s="88" t="s">
        <v>138</v>
      </c>
      <c r="AF1484" s="88" t="str">
        <f t="array" ref="AF1484">INDEX('Deal Info'!D:D, MATCH(A1484,'Deal Info'!A:A, 0))</f>
        <v>Fix19</v>
      </c>
      <c r="AG1484" s="89" t="str">
        <f t="array" ref="AG1484">INDEX('Deal Info'!G:G, MATCH(A1484,'Deal Info'!A:A, 0))</f>
        <v>None</v>
      </c>
    </row>
    <row r="1485" hidden="1">
      <c r="A1485" s="23" t="str">
        <f t="array" ref="A1485">if(G1485='Room Info'!$B$1, INDEX('Room Info'!$A$2:$A3446, MATCH(B1485,'Room Info'!$B$2:$B3446, 0)),if(G1485='Room Info'!$C$1, INDEX('Room Info'!$A$2:$A3446, MATCH(B1485,'Room Info'!$C$2:$C3446, 0)),if(G1485='Room Info'!$D$1, INDEX('Room Info'!$A$2:$A3446, MATCH(B1485,'Room Info'!$D$2:$D3446, 0)),if(G1485='Room Info'!$E$1, INDEX('Room Info'!$A$2:$A3446, MATCH(B1485,'Room Info'!$E$2:$E3446, 0)),if(G1485='Room Info'!$F$1, INDEX('Room Info'!$A$2:$A3446, MATCH(B1485,'Room Info'!$F$2:$F3446, 0)),if(G1485='Room Info'!$H$1, INDEX('Room Info'!$A$2:$A3446, MATCH(B1485,'Room Info'!$H$2:$H3446, 0)),if(G1485='Room Info'!$G$1, INDEX('Room Info'!$A$2:$A3446, MATCH(B1485,'Room Info'!$G$2:$G3446, 0)))))))))</f>
        <v>dimasik</v>
      </c>
      <c r="B1485" s="50" t="s">
        <v>189</v>
      </c>
      <c r="C1485" s="82">
        <v>44958.0</v>
      </c>
      <c r="D1485" s="82">
        <v>44985.0</v>
      </c>
      <c r="E1485" s="26">
        <v>44958.0</v>
      </c>
      <c r="F1485" s="27" t="s">
        <v>12</v>
      </c>
      <c r="G1485" s="23" t="s">
        <v>5</v>
      </c>
      <c r="H1485" s="86" t="s">
        <v>102</v>
      </c>
      <c r="I1485" s="28" t="s">
        <v>11</v>
      </c>
      <c r="J1485" s="44">
        <f t="shared" si="229"/>
        <v>500</v>
      </c>
      <c r="K1485" s="56">
        <v>1.0</v>
      </c>
      <c r="L1485" s="57">
        <v>-500.0</v>
      </c>
      <c r="M1485" s="67"/>
      <c r="N1485" s="33">
        <f t="shared" si="155"/>
        <v>500</v>
      </c>
      <c r="O1485" s="70"/>
      <c r="P1485" s="34">
        <f t="shared" si="14"/>
        <v>0</v>
      </c>
      <c r="Q1485" s="60"/>
      <c r="R1485" s="36">
        <f t="shared" si="196"/>
        <v>0</v>
      </c>
      <c r="S1485" s="71"/>
      <c r="T1485" s="37">
        <f t="shared" si="230"/>
        <v>-500</v>
      </c>
      <c r="U1485" s="62">
        <v>1.0</v>
      </c>
      <c r="V1485" s="74"/>
      <c r="W1485" s="74"/>
      <c r="X1485" s="35">
        <f t="shared" si="231"/>
        <v>0.19</v>
      </c>
      <c r="Y1485" s="35">
        <f t="shared" si="232"/>
        <v>0</v>
      </c>
      <c r="Z1485" s="40">
        <f t="shared" si="233"/>
        <v>-405</v>
      </c>
      <c r="AA1485" s="34">
        <f t="shared" si="234"/>
        <v>-95</v>
      </c>
      <c r="AB1485" s="41">
        <f t="shared" si="235"/>
        <v>0</v>
      </c>
      <c r="AC1485" s="42" t="b">
        <v>1</v>
      </c>
      <c r="AD1485" s="87" t="str">
        <f t="shared" si="236"/>
        <v>USD</v>
      </c>
      <c r="AE1485" s="88" t="s">
        <v>138</v>
      </c>
      <c r="AF1485" s="88" t="str">
        <f t="array" ref="AF1485">INDEX('Deal Info'!D:D, MATCH(A1485,'Deal Info'!A:A, 0))</f>
        <v>Fix19</v>
      </c>
      <c r="AG1485" s="89" t="str">
        <f t="array" ref="AG1485">INDEX('Deal Info'!G:G, MATCH(A1485,'Deal Info'!A:A, 0))</f>
        <v>None</v>
      </c>
    </row>
    <row r="1486" hidden="1">
      <c r="A1486" s="23" t="str">
        <f t="array" ref="A1486">if(G1486='Room Info'!$B$1, INDEX('Room Info'!$A$2:$A3446, MATCH(B1486,'Room Info'!$B$2:$B3446, 0)),if(G1486='Room Info'!$C$1, INDEX('Room Info'!$A$2:$A3446, MATCH(B1486,'Room Info'!$C$2:$C3446, 0)),if(G1486='Room Info'!$D$1, INDEX('Room Info'!$A$2:$A3446, MATCH(B1486,'Room Info'!$D$2:$D3446, 0)),if(G1486='Room Info'!$E$1, INDEX('Room Info'!$A$2:$A3446, MATCH(B1486,'Room Info'!$E$2:$E3446, 0)),if(G1486='Room Info'!$F$1, INDEX('Room Info'!$A$2:$A3446, MATCH(B1486,'Room Info'!$F$2:$F3446, 0)),if(G1486='Room Info'!$H$1, INDEX('Room Info'!$A$2:$A3446, MATCH(B1486,'Room Info'!$H$2:$H3446, 0)),if(G1486='Room Info'!$G$1, INDEX('Room Info'!$A$2:$A3446, MATCH(B1486,'Room Info'!$G$2:$G3446, 0)))))))))</f>
        <v>ushakov17</v>
      </c>
      <c r="B1486" s="59" t="s">
        <v>215</v>
      </c>
      <c r="C1486" s="82">
        <v>44958.0</v>
      </c>
      <c r="D1486" s="82">
        <v>44985.0</v>
      </c>
      <c r="E1486" s="26">
        <v>44958.0</v>
      </c>
      <c r="F1486" s="27" t="s">
        <v>12</v>
      </c>
      <c r="G1486" s="23" t="s">
        <v>5</v>
      </c>
      <c r="H1486" s="86" t="s">
        <v>45</v>
      </c>
      <c r="I1486" s="28" t="s">
        <v>7</v>
      </c>
      <c r="J1486" s="44">
        <f t="shared" si="229"/>
        <v>10</v>
      </c>
      <c r="K1486" s="56">
        <v>36.0</v>
      </c>
      <c r="L1486" s="57">
        <v>-150.0</v>
      </c>
      <c r="M1486" s="58">
        <v>1535.0</v>
      </c>
      <c r="N1486" s="33">
        <f t="shared" si="155"/>
        <v>360</v>
      </c>
      <c r="O1486" s="70"/>
      <c r="P1486" s="34">
        <f t="shared" si="14"/>
        <v>0</v>
      </c>
      <c r="Q1486" s="60"/>
      <c r="R1486" s="36">
        <f t="shared" si="196"/>
        <v>1535</v>
      </c>
      <c r="S1486" s="71"/>
      <c r="T1486" s="37">
        <f t="shared" si="230"/>
        <v>1385</v>
      </c>
      <c r="U1486" s="62">
        <v>1.0</v>
      </c>
      <c r="V1486" s="74">
        <v>24.6878612716763</v>
      </c>
      <c r="W1486" s="74">
        <v>39.89815031608523</v>
      </c>
      <c r="X1486" s="35">
        <f t="shared" si="231"/>
        <v>0.3</v>
      </c>
      <c r="Y1486" s="35">
        <f t="shared" si="232"/>
        <v>0</v>
      </c>
      <c r="Z1486" s="40">
        <f t="shared" si="233"/>
        <v>969.5</v>
      </c>
      <c r="AA1486" s="34">
        <f t="shared" si="234"/>
        <v>415.5</v>
      </c>
      <c r="AB1486" s="41">
        <f t="shared" si="235"/>
        <v>0</v>
      </c>
      <c r="AC1486" s="42" t="b">
        <v>1</v>
      </c>
      <c r="AD1486" s="87" t="str">
        <f t="shared" si="236"/>
        <v>USD</v>
      </c>
      <c r="AE1486" s="88" t="s">
        <v>138</v>
      </c>
      <c r="AF1486" s="88" t="str">
        <f t="array" ref="AF1486">INDEX('Deal Info'!D:D, MATCH(A1486,'Deal Info'!A:A, 0))</f>
        <v>DoEV</v>
      </c>
      <c r="AG1486" s="89" t="str">
        <f t="array" ref="AG1486">INDEX('Deal Info'!G:G, MATCH(A1486,'Deal Info'!A:A, 0))</f>
        <v>None</v>
      </c>
    </row>
    <row r="1487" hidden="1">
      <c r="A1487" s="23" t="str">
        <f t="array" ref="A1487">if(G1487='Room Info'!$B$1, INDEX('Room Info'!$A$2:$A3446, MATCH(B1487,'Room Info'!$B$2:$B3446, 0)),if(G1487='Room Info'!$C$1, INDEX('Room Info'!$A$2:$A3446, MATCH(B1487,'Room Info'!$C$2:$C3446, 0)),if(G1487='Room Info'!$D$1, INDEX('Room Info'!$A$2:$A3446, MATCH(B1487,'Room Info'!$D$2:$D3446, 0)),if(G1487='Room Info'!$E$1, INDEX('Room Info'!$A$2:$A3446, MATCH(B1487,'Room Info'!$E$2:$E3446, 0)),if(G1487='Room Info'!$F$1, INDEX('Room Info'!$A$2:$A3446, MATCH(B1487,'Room Info'!$F$2:$F3446, 0)),if(G1487='Room Info'!$H$1, INDEX('Room Info'!$A$2:$A3446, MATCH(B1487,'Room Info'!$H$2:$H3446, 0)),if(G1487='Room Info'!$G$1, INDEX('Room Info'!$A$2:$A3446, MATCH(B1487,'Room Info'!$G$2:$G3446, 0)))))))))</f>
        <v>ushakov17</v>
      </c>
      <c r="B1487" s="59" t="s">
        <v>215</v>
      </c>
      <c r="C1487" s="82">
        <v>44958.0</v>
      </c>
      <c r="D1487" s="82">
        <v>44985.0</v>
      </c>
      <c r="E1487" s="26">
        <v>44958.0</v>
      </c>
      <c r="F1487" s="27" t="s">
        <v>12</v>
      </c>
      <c r="G1487" s="23" t="s">
        <v>5</v>
      </c>
      <c r="H1487" s="28" t="s">
        <v>62</v>
      </c>
      <c r="I1487" s="28" t="s">
        <v>7</v>
      </c>
      <c r="J1487" s="44">
        <f t="shared" si="229"/>
        <v>25</v>
      </c>
      <c r="K1487" s="56">
        <v>1694.0</v>
      </c>
      <c r="L1487" s="57">
        <v>-400.0</v>
      </c>
      <c r="M1487" s="67"/>
      <c r="N1487" s="33">
        <f t="shared" si="155"/>
        <v>42350</v>
      </c>
      <c r="O1487" s="70"/>
      <c r="P1487" s="34">
        <f t="shared" si="14"/>
        <v>0</v>
      </c>
      <c r="Q1487" s="60"/>
      <c r="R1487" s="36">
        <f t="shared" si="196"/>
        <v>0</v>
      </c>
      <c r="S1487" s="71"/>
      <c r="T1487" s="37">
        <f t="shared" si="230"/>
        <v>-400</v>
      </c>
      <c r="U1487" s="62">
        <v>1.0</v>
      </c>
      <c r="V1487" s="74">
        <v>24.6878612716763</v>
      </c>
      <c r="W1487" s="74">
        <v>39.89815031608523</v>
      </c>
      <c r="X1487" s="35">
        <f t="shared" si="231"/>
        <v>0.3</v>
      </c>
      <c r="Y1487" s="35">
        <f t="shared" si="232"/>
        <v>0</v>
      </c>
      <c r="Z1487" s="40">
        <f t="shared" si="233"/>
        <v>-280</v>
      </c>
      <c r="AA1487" s="34">
        <f t="shared" si="234"/>
        <v>-120</v>
      </c>
      <c r="AB1487" s="41">
        <f t="shared" si="235"/>
        <v>0</v>
      </c>
      <c r="AC1487" s="42" t="b">
        <v>1</v>
      </c>
      <c r="AD1487" s="87" t="str">
        <f t="shared" si="236"/>
        <v>USD</v>
      </c>
      <c r="AE1487" s="88" t="s">
        <v>138</v>
      </c>
      <c r="AF1487" s="88" t="str">
        <f t="array" ref="AF1487">INDEX('Deal Info'!D:D, MATCH(A1487,'Deal Info'!A:A, 0))</f>
        <v>DoEV</v>
      </c>
      <c r="AG1487" s="89" t="str">
        <f t="array" ref="AG1487">INDEX('Deal Info'!G:G, MATCH(A1487,'Deal Info'!A:A, 0))</f>
        <v>None</v>
      </c>
    </row>
    <row r="1488" hidden="1">
      <c r="A1488" s="23" t="str">
        <f t="array" ref="A1488">if(G1488='Room Info'!$B$1, INDEX('Room Info'!$A$2:$A3446, MATCH(B1488,'Room Info'!$B$2:$B3446, 0)),if(G1488='Room Info'!$C$1, INDEX('Room Info'!$A$2:$A3446, MATCH(B1488,'Room Info'!$C$2:$C3446, 0)),if(G1488='Room Info'!$D$1, INDEX('Room Info'!$A$2:$A3446, MATCH(B1488,'Room Info'!$D$2:$D3446, 0)),if(G1488='Room Info'!$E$1, INDEX('Room Info'!$A$2:$A3446, MATCH(B1488,'Room Info'!$E$2:$E3446, 0)),if(G1488='Room Info'!$F$1, INDEX('Room Info'!$A$2:$A3446, MATCH(B1488,'Room Info'!$F$2:$F3446, 0)),if(G1488='Room Info'!$H$1, INDEX('Room Info'!$A$2:$A3446, MATCH(B1488,'Room Info'!$H$2:$H3446, 0)),if(G1488='Room Info'!$G$1, INDEX('Room Info'!$A$2:$A3446, MATCH(B1488,'Room Info'!$G$2:$G3446, 0)))))))))</f>
        <v>Freedoom</v>
      </c>
      <c r="B1488" s="50" t="s">
        <v>224</v>
      </c>
      <c r="C1488" s="51">
        <v>44896.0</v>
      </c>
      <c r="D1488" s="51">
        <v>44921.0</v>
      </c>
      <c r="E1488" s="52">
        <v>44896.0</v>
      </c>
      <c r="F1488" s="50" t="s">
        <v>12</v>
      </c>
      <c r="G1488" s="59" t="s">
        <v>9</v>
      </c>
      <c r="H1488" s="54" t="s">
        <v>43</v>
      </c>
      <c r="I1488" s="54" t="s">
        <v>24</v>
      </c>
      <c r="J1488" s="55">
        <v>5.0</v>
      </c>
      <c r="K1488" s="56">
        <v>30.0</v>
      </c>
      <c r="L1488" s="57">
        <v>-70.0</v>
      </c>
      <c r="M1488" s="58">
        <v>0.0</v>
      </c>
      <c r="N1488" s="33">
        <f t="shared" si="155"/>
        <v>150</v>
      </c>
      <c r="O1488" s="59">
        <v>541.0</v>
      </c>
      <c r="P1488" s="34">
        <f t="shared" si="14"/>
        <v>18.03333333</v>
      </c>
      <c r="Q1488" s="60"/>
      <c r="R1488" s="36">
        <f t="shared" si="196"/>
        <v>0</v>
      </c>
      <c r="S1488" s="61">
        <v>-5.0</v>
      </c>
      <c r="T1488" s="37">
        <f t="shared" ref="T1488:T1490" si="237">R1488+S1488+if(F1488="Without EV deal",L1488,0)</f>
        <v>-75</v>
      </c>
      <c r="U1488" s="62">
        <v>1.0</v>
      </c>
      <c r="V1488" s="63"/>
      <c r="W1488" s="63"/>
      <c r="X1488" s="35">
        <f t="shared" ref="X1488:X1490" si="238">IF(AF1488="DoEV",IF(AND(V1488&lt;20,W1488&lt;55),0.3,0)+IF(AND(V1488&lt;20,W1488&gt;=55,W1488&lt;105),0.23,0)+IF(AND(V1488&lt;20,W1488&gt;=105),0.17,0)+IF(AND(V1488&gt;=20,V1488&lt;40,W1488&lt;45),0.3,0)+IF(AND(V1488&gt;=20,V1488&lt;40,W1488&gt;=45,W1488&lt;95),0.23,0)+IF(AND(V1488&gt;=20,V1488&lt;40,W1488&gt;=95),0.17,0)+IF(AND(V1488&gt;=40,V1488&lt;75,W1488&lt;35),0.3,0)+IF(AND(V1488&gt;=40,V1488&lt;75,W1488&gt;=35,W1488&lt;75),0.23,0)+IF(AND(V1488&gt;=40,V1488&lt;75,W1488&gt;=75,W1488&lt;120),0.17,0)+IF(AND(V1488&gt;=40,V1488&lt;75,W1488&gt;=120),0.12,0)+IF(AND(V1488&gt;=75,V1488&lt;175,W1488&lt;35),0.3,0)+IF(AND(V1488&gt;=75,V1488&lt;=175,W1488&gt;=35,W1488&lt;65),0.23,0)+IF(AND(V1488&gt;=75,V1488&lt;=175,W1488&gt;=65,W1488&lt;110),0.17,0)+IF(AND(V1488&gt;=75,V1488&lt;=175,W1488&gt;=110),0.12,0)+IF(AND(V1488&gt;175,W1488&lt;25),0.3,0)+IF(AND(V1488&gt;175,W1488&gt;=25,W1488&lt;55),0.23,0)+IF(AND(V1488&gt;175,W1488&gt;=55,W1488&lt;95),0.17,0)+IF(AND(V1488&gt;175,W1488&gt;=95),0.12,0),
IF(AF1488="Fix15",0.15,
IF(AF1488="Fix11.25",0.1125,
IF(AF1488="Fix10",0.1,
IF(AF1488="Fix9",0.09,
IF(AF1488="DoEV2017",IF(AND(W1488&lt;74),0.2,0)+IF(AND(W1488&gt;=74),0.17,0),
IF(AF1488="SF",IF(AND(V1488&lt;20,W1488&lt;89),0.3,0)+IF(AND(V1488&lt;20,W1488&gt;=89),0.25,0)+IF(AND(V1488&gt;=20,V1488&lt;40,W1488&lt;74),0.3,0)+IF(AND(V1488&gt;=20,V1488&lt;40,W1488&gt;=75),0.22,0)+IF(AND(V1488&gt;=40,V1488&lt;75,W1488&lt;75),0.26,0)+IF(AND(V1488&gt;=40,V1488&lt;75,W1488&gt;=75),0.22,0)+IF(V1488&gt;=75,0.22,0),
IF(AF1488="DoEVold",IF(AND(V1488&lt;40,W1488&lt;35),0.35,0)+IF(AND(V1488&lt;40,W1488&gt;=35,W1488&lt;75),0.25,0)+IF(AND(V1488&lt;40,W1488&gt;=75),0.17,0)+IF(AND(V1488&gt;=40,V1488&lt;75,W1488&lt;25),0.35,0)+IF(AND(V1488&gt;=40,V1488&lt;75,W1488&gt;=25,W1488&lt;65),0.25,0)+IF(AND(V1488&gt;=40,V1488&lt;75,W1488&gt;=65,W1488&lt;100),0.17,0)+IF(AND(V1488&gt;=40,V1488&lt;75,W1488&gt;=100),0.1,0)+IF(AND(V1488&gt;=75,W1488&lt;25),0.35,0)+IF(AND(V1488&gt;=75,W1488&gt;=25,W1488&lt;60),0.25,0)+IF(AND(V1488&gt;=75,W1488&gt;=60,W1488&lt;95),0.17,0)+IF(AND(V1488&gt;=75,W1488&gt;=95),0.1,0),
IF(AF1488="DoEVold15",IF(AND(V1488&lt;=40,W1488&lt;35),0.35,0)+IF(AND(V1488&lt;=40,W1488&gt;=35,W1488&lt;75),0.25,0)+IF(AND(V1488&lt;=40,W1488&gt;=75,W1488&lt;120),0.17,0)+IF(AND(V1488&lt;=40,W1488&gt;=120),0.15,0)+IF(AND(V1488&gt;40,V1488&lt;75,W1488&lt;25),0.35,0)+IF(AND(V1488&gt;=40,V1488&lt;75,W1488&gt;=25,W1488&lt;65),0.25,0)+IF(AND(V1488&gt;=40,V1488&lt;75,W1488&gt;=65,W1488&lt;100),0.17,0)+IF(AND(V1488&gt;=40,V1488&lt;75,W1488&gt;=100),0.1,0)+IF(AND(V1488&gt;=75,W1488&lt;25),0.35,0)+IF(AND(V1488&gt;=75,W1488&gt;=25,W1488&lt;60),0.25,0)+IF(AND(V1488&gt;=75,W1488&gt;=60,W1488&lt;95),0.17,0)+IF(AND(V1488&gt;=75,W1488&gt;=95),0.1,0),
IF(AF1488="DoEVba",IF(AND(V1488&lt;20,W1488&lt;105),0.2,0)+IF(AND(V1488&lt;20,W1488&gt;=105),0.15,0)+IF(AND(V1488&gt;=20,V1488&lt;40,W1488&lt;95),0.2,0)+IF(AND(V1488&gt;=20,V1488&lt;40,W1488&gt;=95,W1488&lt;150),0.15,0)+IF(AND(V1488&gt;=20,V1488&lt;40,W1488&gt;=150),0.12,0)+IF(AND(V1488&gt;=40,V1488&lt;75,W1488&lt;75),0.2,0)+IF(AND(V1488&gt;=40,V1488&lt;75,W1488&gt;=75,W1488&lt;120),0.15,0)+IF(AND(V1488&gt;=40,V1488&lt;75,W1488&gt;=120),0.12,0)+IF(AND(V1488&gt;=75,V1488&lt;175,W1488&lt;65),0.2,0)+IF(AND(V1488&gt;=75,V1488&lt;175,W1488&gt;=65,W1488&lt;110),0.15,0)+IF(AND(V1488&gt;=75,V1488&lt;175,W1488&gt;=110),0.12,0)+IF(AND(V1488&gt;=175,W1488&lt;55),0.2,0)+IF(AND(V1488&gt;=175,W1488&gt;=55,W1488&lt;95),0.15,0)+IF(AND(V1488&gt;=175,W1488&gt;=95),0.12,0),
IF(AF1488="DoEVku",IF(AND(V1488&lt;20,W1488&lt;55),0.23,0)+IF(AND(V1488&lt;20,W1488&gt;=55,W1488&lt;105),0.2,0)+IF(AND(V1488&lt;20,W1488&gt;=105),0.17,0)+IF(AND(V1488&gt;=20,V1488&lt;40,W1488&lt;45),0.23,0)+IF(AND(V1488&gt;=20,V1488&lt;40,W1488&gt;=45,W1488&lt;95),0.2,0)+IF(AND(V1488&gt;=20,V1488&lt;40,W1488&gt;=95,W1488&lt;=150),0.17,0)+IF(AND(V1488&gt;=20,V1488&lt;40,W1488&gt;=150),0.12,0)+IF(AND(V1488&gt;=40,V1488&lt;75,W1488&lt;35),0.23,0)+IF(AND(V1488&gt;=40,V1488&lt;75,W1488&gt;=35,W1488&lt;75),0.2,0)+IF(AND(V1488&gt;=40,V1488&lt;75,W1488&gt;=75,W1488&lt;120),0.17,0)+IF(AND(V1488&gt;=40,V1488&lt;75,W1488&gt;=120),0.12,0)+IF(AND(V1488&gt;=75,V1488&lt;175,W1488&lt;35),0.23,0)+IF(AND(V1488&gt;=75,V1488&lt;=175,W1488&gt;=35,W1488&lt;65),0.2,0)+IF(AND(V1488&gt;=75,V1488&lt;=175,W1488&gt;=65,W1488&lt;110),0.17,0)+IF(AND(V1488&gt;=75,V1488&lt;=175,W1488&gt;=110),0.12,0)+IF(AND(V1488&gt;175,W1488&lt;25),0.23,0)+IF(AND(V1488&gt;175,W1488&gt;=25,W1488&lt;55),0.2,0)+IF(AND(V1488&gt;175,W1488&gt;=55,W1488&lt;95),0.17,0)+IF(AND(V1488&gt;175,W1488&gt;=95),0.12,0),
IF(AF1488="DoEVs1",IF(AND(V1488&lt;20,W1488&lt;55),0.3,0)+IF(AND(V1488&lt;20,W1488&gt;=55,W1488&lt;105),0.23,0)+IF(AND(V1488&lt;20,W1488&gt;=105),0.17,0)+IF(AND(V1488&gt;=20,V1488&lt;40,W1488&lt;45),0.3,0)+IF(AND(V1488&gt;=20,V1488&lt;40,W1488&gt;=45,W1488&lt;95),0.23,0)+IF(AND(V1488&gt;=20,V1488&lt;40,W1488&gt;=95,W1488&lt;=150),0.17,0)+IF(AND(V1488&gt;=20,V1488&lt;40,W1488&gt;=150),0.12,0)+IF(AND(V1488&gt;=40,V1488&lt;75,W1488&lt;35),0.3,0)+IF(AND(V1488&gt;=40,V1488&lt;75,W1488&gt;=35,W1488&lt;75),0.23,0)+IF(AND(V1488&gt;=40,V1488&lt;75,W1488&gt;=75,W1488&lt;120),0.17,0)+IF(AND(V1488&gt;=40,V1488&lt;75,W1488&gt;=120),0.12,0)+IF(AND(V1488&gt;=75,V1488&lt;175,W1488&lt;35),0.3,0)+IF(AND(V1488&gt;=75,V1488&lt;=175,W1488&gt;=35,W1488&lt;65),0.23,0)+IF(AND(V1488&gt;=75,V1488&lt;=175,W1488&gt;=65,W1488&lt;110),0.17,0)+IF(AND(V1488&gt;=75,V1488&lt;=175,W1488&gt;=110),0.12,0)+IF(AND(V1488&gt;175,W1488&lt;25),0.3,0)+IF(AND(V1488&gt;175,W1488&gt;=25,W1488&lt;55),0.23,0)+IF(AND(V1488&gt;175,W1488&gt;=55,W1488&lt;95),0.17,0)+IF(AND(V1488&gt;175,W1488&gt;=95),0.12,0),
IF(AF1488="DoEVsu",IF(AND(V1488&lt;20,W1488&lt;55),0.3,0)+IF(AND(V1488&lt;20,W1488&gt;=55,W1488&lt;105),0.23,0)+IF(AND(V1488&lt;20,W1488&gt;=105),0.17,0)+IF(AND(V1488&gt;=20,V1488&lt;40,W1488&lt;45),0.3,0)+IF(AND(V1488&gt;=20,V1488&lt;40,W1488&gt;=45,W1488&lt;95),0.23,0)+IF(AND(V1488&gt;=20,V1488&lt;40,W1488&gt;=95,W1488&lt;=250),0.17,0)+IF(AND(V1488&gt;=20,V1488&lt;40,W1488&gt;=250),0.12,0)+IF(AND(V1488&gt;=40,V1488&lt;75,W1488&lt;35),0.3,0)+IF(AND(V1488&gt;=40,V1488&lt;75,W1488&gt;=35,W1488&lt;75),0.23,0)+IF(AND(V1488&gt;=40,V1488&lt;75,W1488&gt;=75,W1488&lt;120),0.17,0)+IF(AND(V1488&gt;=40,V1488&lt;75,W1488&gt;=120),0.12,0)+IF(AND(V1488&gt;=75,V1488&lt;175,W1488&lt;35),0.3,0)+IF(AND(V1488&gt;=75,V1488&lt;=175,W1488&gt;=35,W1488&lt;65),0.23,0)+IF(AND(V1488&gt;=75,V1488&lt;=175,W1488&gt;=65,W1488&lt;110),0.17,0)+IF(AND(V1488&gt;=75,V1488&lt;=175,W1488&gt;=110),0.12,0)+IF(AND(V1488&gt;175,W1488&lt;25),0.3,0)+IF(AND(V1488&gt;175,W1488&gt;=25,W1488&lt;55),0.23,0)+IF(AND(V1488&gt;175,W1488&gt;=55,W1488&lt;95),0.17,0)+IF(AND(V1488&gt;175,W1488&gt;=95),0.12,0),
IF(AF1488="DoEVni",IF(AND(V1488&lt;20,W1488&lt;55),0.3,0)+IF(AND(V1488&lt;20,W1488&gt;=55,W1488&lt;105),0.23,0)+IF(AND(V1488&lt;20,W1488&gt;=105),0.17,0)+IF(AND(V1488&gt;=20,V1488&lt;40,W1488&lt;45),0.3,0)+IF(AND(V1488&gt;=20,V1488&lt;40,W1488&gt;=45,W1488&lt;95),0.23,0)+IF(AND(V1488&gt;=20,V1488&lt;40,W1488&gt;=95,W1488&lt;=200),0.17,0)+IF(AND(V1488&gt;=20,V1488&lt;40,W1488&gt;=200),0.12,0)+IF(AND(V1488&gt;=40,V1488&lt;75,W1488&lt;35),0.3,0)+IF(AND(V1488&gt;=40,V1488&lt;75,W1488&gt;=35,W1488&lt;75),0.23,0)+IF(AND(V1488&gt;=40,V1488&lt;75,W1488&gt;=75,W1488&lt;120),0.17,0)+IF(AND(V1488&gt;=40,V1488&lt;75,W1488&gt;=120),0.12,0)+IF(AND(V1488&gt;=75,V1488&lt;175,W1488&lt;35),0.3,0)+IF(AND(V1488&gt;=75,V1488&lt;=175,W1488&gt;=35,W1488&lt;65),0.23,0)+IF(AND(V1488&gt;=75,V1488&lt;=175,W1488&gt;=65,W1488&lt;110),0.17,0)+IF(AND(V1488&gt;=75,V1488&lt;=175,W1488&gt;=110),0.12,0)+IF(AND(V1488&gt;175,W1488&lt;25),0.3,0)+IF(AND(V1488&gt;175,W1488&gt;=25,W1488&lt;55),0.23,0)+IF(AND(V1488&gt;175,W1488&gt;=55,W1488&lt;95),0.17,0)+IF(AND(V1488&gt;175,W1488&gt;=95),0.12,0),
IF(AF1488="DoEVLo",IF(AND(V1488&lt;20,W1488&lt;55),0.25,0)+IF(AND(V1488&lt;20,W1488&gt;=55,W1488&lt;105),0.2,0)+IF(AND(V1488&lt;20,W1488&gt;=105),0.15,0)+IF(AND(V1488&gt;=20,V1488&lt;40,W1488&lt;45),0.25,0)+IF(AND(V1488&gt;=20,V1488&lt;40,W1488&gt;=45,W1488&lt;95),0.2,0)+IF(AND(V1488&gt;=20,V1488&lt;40,W1488&gt;=95),0.15,0)+IF(AND(V1488&gt;=40,V1488&lt;75,W1488&lt;35),0.25,0)+IF(AND(V1488&gt;=40,V1488&lt;75,W1488&gt;=35,W1488&lt;75),0.2,0)+IF(AND(V1488&gt;=40,V1488&lt;75,W1488&gt;=75,W1488&lt;120),0.15,0)+IF(AND(V1488&gt;=40,V1488&lt;75,W1488&gt;=120),0.1,0)+IF(AND(V1488&gt;=75,V1488&lt;175,W1488&lt;35),0.25,0)+IF(AND(V1488&gt;=75,V1488&lt;=175,W1488&gt;=35,W1488&lt;65),0.2,0)+IF(AND(V1488&gt;=75,V1488&lt;=175,W1488&gt;=65,W1488&lt;110),0.15,0)+IF(AND(V1488&gt;=75,V1488&lt;=175,W1488&gt;=110),0.1,0)+IF(AND(V1488&gt;175,W1488&lt;25),0.25,0)+IF(AND(V1488&gt;175,W1488&gt;=25,W1488&lt;55),0.2,0)+IF(AND(V1488&gt;175,W1488&gt;=55,W1488&lt;95),0.15,0)+IF(AND(V1488&gt;175,W1488&gt;=95),0.1,0))))))))))))))))</f>
        <v>0.35</v>
      </c>
      <c r="Y1488" s="35">
        <f t="shared" ref="Y1488:Y1490" si="239">if(AG1488="None",0,if(AG1488="Fix5",0.05,if(AG1488="Fix3.75",0.0375,if(AG1488="Fix10",0.1,if(AG1488="Fix3",0.03,0)))))</f>
        <v>0</v>
      </c>
      <c r="Z1488" s="64">
        <v>-53.0</v>
      </c>
      <c r="AA1488" s="65">
        <v>-18.0</v>
      </c>
      <c r="AB1488" s="41">
        <f t="shared" ref="AB1488:AB1490" si="240">if(AD1488="EUR",((T1488-R1488)*Y1488)*U1488+(R1488*Y1488),(T1488*Y1488))</f>
        <v>0</v>
      </c>
      <c r="AC1488" s="42" t="b">
        <v>1</v>
      </c>
      <c r="AD1488" s="42" t="s">
        <v>138</v>
      </c>
      <c r="AE1488" s="42" t="s">
        <v>138</v>
      </c>
      <c r="AF1488" s="42" t="str">
        <f t="array" ref="AF1488">INDEX('Deal Info'!D:D, MATCH(A1488,'Deal Info'!A:A, 0))</f>
        <v>DoEVold</v>
      </c>
      <c r="AG1488" s="43" t="str">
        <f t="array" ref="AG1488">INDEX('Deal Info'!G:G, MATCH(A1488,'Deal Info'!A:A, 0))</f>
        <v>None</v>
      </c>
    </row>
    <row r="1489" hidden="1">
      <c r="A1489" s="23" t="str">
        <f t="array" ref="A1489">if(G1489='Room Info'!$B$1, INDEX('Room Info'!$A$2:$A3446, MATCH(B1489,'Room Info'!$B$2:$B3446, 0)),if(G1489='Room Info'!$C$1, INDEX('Room Info'!$A$2:$A3446, MATCH(B1489,'Room Info'!$C$2:$C3446, 0)),if(G1489='Room Info'!$D$1, INDEX('Room Info'!$A$2:$A3446, MATCH(B1489,'Room Info'!$D$2:$D3446, 0)),if(G1489='Room Info'!$E$1, INDEX('Room Info'!$A$2:$A3446, MATCH(B1489,'Room Info'!$E$2:$E3446, 0)),if(G1489='Room Info'!$F$1, INDEX('Room Info'!$A$2:$A3446, MATCH(B1489,'Room Info'!$F$2:$F3446, 0)),if(G1489='Room Info'!$H$1, INDEX('Room Info'!$A$2:$A3446, MATCH(B1489,'Room Info'!$H$2:$H3446, 0)),if(G1489='Room Info'!$G$1, INDEX('Room Info'!$A$2:$A3446, MATCH(B1489,'Room Info'!$G$2:$G3446, 0)))))))))</f>
        <v>Freedoom</v>
      </c>
      <c r="B1489" s="50" t="s">
        <v>224</v>
      </c>
      <c r="C1489" s="51">
        <v>44896.0</v>
      </c>
      <c r="D1489" s="51">
        <v>44921.0</v>
      </c>
      <c r="E1489" s="52">
        <v>44896.0</v>
      </c>
      <c r="F1489" s="50" t="s">
        <v>12</v>
      </c>
      <c r="G1489" s="59" t="s">
        <v>9</v>
      </c>
      <c r="H1489" s="54" t="s">
        <v>39</v>
      </c>
      <c r="I1489" s="54" t="s">
        <v>21</v>
      </c>
      <c r="J1489" s="55">
        <v>5.0</v>
      </c>
      <c r="K1489" s="56">
        <v>2958.0</v>
      </c>
      <c r="L1489" s="57">
        <v>290.0</v>
      </c>
      <c r="M1489" s="58">
        <v>782.0</v>
      </c>
      <c r="N1489" s="33">
        <f t="shared" si="155"/>
        <v>14790</v>
      </c>
      <c r="O1489" s="59">
        <v>188757.0</v>
      </c>
      <c r="P1489" s="34">
        <f t="shared" si="14"/>
        <v>63.81237323</v>
      </c>
      <c r="Q1489" s="60"/>
      <c r="R1489" s="36">
        <f t="shared" si="196"/>
        <v>782</v>
      </c>
      <c r="S1489" s="61">
        <v>429.0</v>
      </c>
      <c r="T1489" s="37">
        <f t="shared" si="237"/>
        <v>1501</v>
      </c>
      <c r="U1489" s="62">
        <v>1.0</v>
      </c>
      <c r="V1489" s="63"/>
      <c r="W1489" s="63"/>
      <c r="X1489" s="35">
        <f t="shared" si="238"/>
        <v>0.35</v>
      </c>
      <c r="Y1489" s="35">
        <f t="shared" si="239"/>
        <v>0</v>
      </c>
      <c r="Z1489" s="64">
        <v>804.0</v>
      </c>
      <c r="AA1489" s="65">
        <v>268.0</v>
      </c>
      <c r="AB1489" s="41">
        <f t="shared" si="240"/>
        <v>0</v>
      </c>
      <c r="AC1489" s="42" t="b">
        <v>1</v>
      </c>
      <c r="AD1489" s="42" t="s">
        <v>138</v>
      </c>
      <c r="AE1489" s="42" t="s">
        <v>138</v>
      </c>
      <c r="AF1489" s="42" t="str">
        <f t="array" ref="AF1489">INDEX('Deal Info'!D:D, MATCH(A1489,'Deal Info'!A:A, 0))</f>
        <v>DoEVold</v>
      </c>
      <c r="AG1489" s="43" t="str">
        <f t="array" ref="AG1489">INDEX('Deal Info'!G:G, MATCH(A1489,'Deal Info'!A:A, 0))</f>
        <v>None</v>
      </c>
    </row>
    <row r="1490" hidden="1">
      <c r="A1490" s="23" t="str">
        <f t="array" ref="A1490">if(G1490='Room Info'!$B$1, INDEX('Room Info'!$A$2:$A3446, MATCH(B1490,'Room Info'!$B$2:$B3446, 0)),if(G1490='Room Info'!$C$1, INDEX('Room Info'!$A$2:$A3446, MATCH(B1490,'Room Info'!$C$2:$C3446, 0)),if(G1490='Room Info'!$D$1, INDEX('Room Info'!$A$2:$A3446, MATCH(B1490,'Room Info'!$D$2:$D3446, 0)),if(G1490='Room Info'!$E$1, INDEX('Room Info'!$A$2:$A3446, MATCH(B1490,'Room Info'!$E$2:$E3446, 0)),if(G1490='Room Info'!$F$1, INDEX('Room Info'!$A$2:$A3446, MATCH(B1490,'Room Info'!$F$2:$F3446, 0)),if(G1490='Room Info'!$H$1, INDEX('Room Info'!$A$2:$A3446, MATCH(B1490,'Room Info'!$H$2:$H3446, 0)),if(G1490='Room Info'!$G$1, INDEX('Room Info'!$A$2:$A3446, MATCH(B1490,'Room Info'!$G$2:$G3446, 0)))))))))</f>
        <v>Freedoom</v>
      </c>
      <c r="B1490" s="50" t="s">
        <v>224</v>
      </c>
      <c r="C1490" s="51">
        <v>44922.0</v>
      </c>
      <c r="D1490" s="51">
        <v>44957.0</v>
      </c>
      <c r="E1490" s="52">
        <v>44927.0</v>
      </c>
      <c r="F1490" s="53" t="s">
        <v>12</v>
      </c>
      <c r="G1490" s="50" t="s">
        <v>9</v>
      </c>
      <c r="H1490" s="54" t="s">
        <v>39</v>
      </c>
      <c r="I1490" s="54" t="s">
        <v>21</v>
      </c>
      <c r="J1490" s="75">
        <v>5.0</v>
      </c>
      <c r="K1490" s="76">
        <v>1864.0</v>
      </c>
      <c r="L1490" s="77">
        <v>-585.0</v>
      </c>
      <c r="M1490" s="58">
        <v>198.0</v>
      </c>
      <c r="N1490" s="33">
        <f t="shared" si="155"/>
        <v>9320</v>
      </c>
      <c r="O1490" s="50">
        <v>118946.0</v>
      </c>
      <c r="P1490" s="34">
        <f t="shared" si="14"/>
        <v>63.81223176</v>
      </c>
      <c r="Q1490" s="60"/>
      <c r="R1490" s="36">
        <f t="shared" si="196"/>
        <v>198</v>
      </c>
      <c r="S1490" s="78">
        <v>270.0</v>
      </c>
      <c r="T1490" s="37">
        <f t="shared" si="237"/>
        <v>-117</v>
      </c>
      <c r="U1490" s="62">
        <v>1.0</v>
      </c>
      <c r="V1490" s="63">
        <v>4.71</v>
      </c>
      <c r="W1490" s="63">
        <v>101.0</v>
      </c>
      <c r="X1490" s="35">
        <f t="shared" si="238"/>
        <v>0.17</v>
      </c>
      <c r="Y1490" s="35">
        <f t="shared" si="239"/>
        <v>0</v>
      </c>
      <c r="Z1490" s="40">
        <f>T1490-AA1490-AB1490</f>
        <v>-97.11</v>
      </c>
      <c r="AA1490" s="34">
        <f>if(AD1490="EUR",((T1490-R1490)*X1490)*U1490+(R1490*X1490),(T1490*X1490))</f>
        <v>-19.89</v>
      </c>
      <c r="AB1490" s="41">
        <f t="shared" si="240"/>
        <v>0</v>
      </c>
      <c r="AC1490" s="42" t="b">
        <v>0</v>
      </c>
      <c r="AD1490" s="42" t="s">
        <v>138</v>
      </c>
      <c r="AE1490" s="42" t="s">
        <v>138</v>
      </c>
      <c r="AF1490" s="42" t="str">
        <f t="array" ref="AF1490">INDEX('Deal Info'!D:D, MATCH(A1490,'Deal Info'!A:A, 0))</f>
        <v>DoEVold</v>
      </c>
      <c r="AG1490" s="43" t="str">
        <f t="array" ref="AG1490">INDEX('Deal Info'!G:G, MATCH(A1490,'Deal Info'!A:A, 0))</f>
        <v>None</v>
      </c>
    </row>
    <row r="1491" hidden="1">
      <c r="A1491" s="23" t="str">
        <f t="array" ref="A1491">if(G1491='Room Info'!$B$1, INDEX('Room Info'!$A$2:$A3446, MATCH(B1491,'Room Info'!$B$2:$B3446, 0)),if(G1491='Room Info'!$C$1, INDEX('Room Info'!$A$2:$A3446, MATCH(B1491,'Room Info'!$C$2:$C3446, 0)),if(G1491='Room Info'!$D$1, INDEX('Room Info'!$A$2:$A3446, MATCH(B1491,'Room Info'!$D$2:$D3446, 0)),if(G1491='Room Info'!$E$1, INDEX('Room Info'!$A$2:$A3446, MATCH(B1491,'Room Info'!$E$2:$E3446, 0)),if(G1491='Room Info'!$F$1, INDEX('Room Info'!$A$2:$A3446, MATCH(B1491,'Room Info'!$F$2:$F3446, 0)),if(G1491='Room Info'!$H$1, INDEX('Room Info'!$A$2:$A3446, MATCH(B1491,'Room Info'!$H$2:$H3446, 0)),if(G1491='Room Info'!$G$1, INDEX('Room Info'!$A$2:$A3446, MATCH(B1491,'Room Info'!$G$2:$G3446, 0)))))))))</f>
        <v>Freedoom</v>
      </c>
      <c r="B1491" s="128" t="s">
        <v>224</v>
      </c>
      <c r="C1491" s="82">
        <v>44958.0</v>
      </c>
      <c r="D1491" s="82">
        <v>44985.0</v>
      </c>
      <c r="E1491" s="26">
        <v>44958.0</v>
      </c>
      <c r="F1491" s="27" t="s">
        <v>12</v>
      </c>
      <c r="G1491" s="23" t="s">
        <v>9</v>
      </c>
      <c r="H1491" s="86" t="s">
        <v>44</v>
      </c>
      <c r="I1491" s="28" t="s">
        <v>7</v>
      </c>
      <c r="J1491" s="44">
        <f t="shared" ref="J1491:J1545" si="241">iferror(if(H1491="$0.25",0.25, 
if(H1491="$0.25 Flash",0.25, 
if(H1491 = "$1", 1, 
if(H1491 = "$1 Flash", 1, 
if(H1491 = "$2", 2, 
if( H1491 = "$2 Flash" , 2, 
if( H1491= "$3", 3, 
if( H1491= "$3 Ultra", 3, 
if( H1491= "$5", 5, 
if( H1491= "$5 (1M)", 5, 
if( H1491= "$5 (1M) Flash", 5, 
if( H1491= "$5 Flash", 5, 
if( H1491= "$5 Flash (1M)", 5,
if( H1491= "$10", 10,
if( H1491= "$10 (1M)", 10,
if( H1491= "$10 (1M) (old)", 10,
if( H1491= "$10 Flash", 10,
if( H1491= "$10 Ultra", 10,
if( H1491= "$20", 20,
if( H1491= "$20 Ultra", 20,
if( H1491= "$25", 25,
if( H1491= "$25 Flash", 25,
if( H1491= "$50", 50,
if( H1491= "$50 Flash", 50,
if( H1491= "$50 Ultra", 50,
if( H1491= "$100", 100,
if( H1491= "$100 Flash", 100,
if( H1491= "$100 HUHT", 100,
if( H1491= "$100 Ultra", 100,
if( H1491= "$200", 200,
if( H1491= "$200 HUHT", 200,
if( H1491= "$250", 250,
if( H1491= "$250 Flash", 250,
if( H1491= "$300 HUHT", 300,
if( H1491= "$500", 500,
if( H1491= "$500 Flash", 500,
if( H1491 = "$500 HUHT",500,
if( H1491= "$1000", 1000,
if( H1491= "€0.25 Flash", 0.25,
if( H1491="€0.25(nitro) new",0.25,
if( H1491= "€1", 1,
if( H1491= "€2", 2,
if( H1491= "€5", 5,
if( H1491= "€5 (1M)", 5,
if( H1491= "€5 (bf 01.08)", 5,
if( H1491= "€5 (bf 05.05)", 5,
if( H1491= "€5 Nitro", 5,
if( H1491= "€5(wx) new", 5,
if( H1491= "€10", 10,
if( H1491= "€10 (1M)", 10,
if( H1491= "€10 (bf 01.08)", 10,
if( H1491= "€10 (bf 05.05)", 10,
if( H1491= "€10 (MP)", 10,
if( H1491= "€10 (old)", 10,
if( H1491= "€10 Nitro (bf 05.05)", 10,
if( H1491= "€10 Nitro (old)", 10,
if( H1491= "€10(wx) new", 10,
if( H1491= "€20", 20,
if( H1491= "€25", 25, 
if( H1491= "€25 (bf 01.08)", 25, 
if( H1491= "€25 (bf 05.05)", 25, 
if( H1491= "€25 (MP)", 25, 
if( H1491= "€25 (old)", 25,
if( H1491= "€25 Nitro", 25,
if( H1491= "€25 Nitro (bf 01.08)", 25,
if( H1491= "€25 Nitro (bf 05.05)", 25,
if( H1491= "€25(nitro) new", 25,
if( H1491= "€25(wx) new", 25,
if( H1491= "€50", 50,
if( H1491= "€50 (bf 01.08)", 50,
if( H1491= "€50 (bf 05.05)", 50,
if( H1491= "€50 (old)", 50,
if( H1491= "€50 Nitro", 50,
if( H1491= "€50 Nitro (bf 01.08)", 50,
if( H1491= "€50 Nitro (bf 05.05)", 50,
if( H1491= "€50(wx) new", 50,
if( H1491= "€100", 100,
if( H1491= "€100 (old)", 100,
if( H1491= "€100 Nitro", 100,
if( H1491= "€100 Nitro (old)", 100,
if( H1491= "€200", 200,
if( H1491= "€250", 250,
if( H1491= "€250 Nitro", 250,
if( H1491= "€500", 500,
if( H1491= "€500 Nitro", 500,
if( H1491= "1000 rub", 1000,
if( H1491= "2500 rub", 2500,
if( H1491= "5000 rub", 5000,"")))))))))))))))))))))))))))))))))))))))))))))))))))))))))))))))))))))))))))))))))))))))))</f>
        <v>5</v>
      </c>
      <c r="K1491" s="80">
        <v>715.0</v>
      </c>
      <c r="L1491" s="77">
        <v>-170.0</v>
      </c>
      <c r="M1491" s="81">
        <v>64.0</v>
      </c>
      <c r="N1491" s="33">
        <f t="shared" si="155"/>
        <v>3575</v>
      </c>
      <c r="O1491" s="50">
        <v>39323.0</v>
      </c>
      <c r="P1491" s="34">
        <f t="shared" si="14"/>
        <v>54.9972028</v>
      </c>
      <c r="Q1491" s="60"/>
      <c r="R1491" s="36">
        <f t="shared" si="196"/>
        <v>64</v>
      </c>
      <c r="S1491" s="102"/>
      <c r="T1491" s="37">
        <f t="shared" ref="T1491:T1545" si="242">IF(AND(AD1491="EUR", F1491="Without EV deal"), R1491 + L1491, 
IF(AND(AD1491="USD", F1491="Without EV deal"), R1491 + L1491, 
IF(AND(AD1491="EUR", F1491="Steel Phoenix"), R1491 + S1491/U1491, 
R1491 + S1491)))</f>
        <v>-106</v>
      </c>
      <c r="U1491" s="62">
        <v>1.06</v>
      </c>
      <c r="V1491" s="63"/>
      <c r="W1491" s="63"/>
      <c r="X1491" s="35">
        <f t="shared" ref="X1491:X1545" si="243">IF(AF1491="DoEV",IF(AND(V1491&lt;20,W1491&lt;55),0.3,0)+IF(AND(V1491&lt;20,W1491&gt;=55,W1491&lt;105),0.23,0)+IF(AND(V1491&lt;20,W1491&gt;=105),0.17,0)+IF(AND(V1491&gt;=20,V1491&lt;40,W1491&lt;45),0.3,0)+IF(AND(V1491&gt;=20,V1491&lt;40,W1491&gt;=45,W1491&lt;95),0.23,0)+IF(AND(V1491&gt;=20,V1491&lt;40,W1491&gt;=95),0.17,0)+IF(AND(V1491&gt;=40,V1491&lt;75,W1491&lt;35),0.3,0)+IF(AND(V1491&gt;=40,V1491&lt;75,W1491&gt;=35,W1491&lt;75),0.23,0)+IF(AND(V1491&gt;=40,V1491&lt;75,W1491&gt;=75,W1491&lt;120),0.17,0)+IF(AND(V1491&gt;=40,V1491&lt;75,W1491&gt;=120),0.12,0)+IF(AND(V1491&gt;=75,V1491&lt;175,W1491&lt;35),0.3,0)+IF(AND(V1491&gt;=75,V1491&lt;=175,W1491&gt;=35,W1491&lt;65),0.23,0)+IF(AND(V1491&gt;=75,V1491&lt;=175,W1491&gt;=65,W1491&lt;110),0.17,0)+IF(AND(V1491&gt;=75,V1491&lt;=175,W1491&gt;=110),0.12,0)+IF(AND(V1491&gt;175,W1491&lt;25),0.3,0)+IF(AND(V1491&gt;175,W1491&gt;=25,W1491&lt;55),0.23,0)+IF(AND(V1491&gt;175,W1491&gt;=55,W1491&lt;95),0.17,0)+IF(AND(V1491&gt;175,W1491&gt;=95),0.12,0),
IF(AF1491="Fix15",0.15,
IF(AF1491="Fix5",0.05,
if(AF1491="Fix18.75",0.1875,
IF(AF1491="Fix11.25",0.1125,
IF(AF1491="Fix10",0.1,
IF(AF1491="Fix9",0.09,
IF(AF1491="Fix12",0.12,
IF(AF1491="Fix19",0.19,
IF(AF1491="DoEV2017",IF(AND(W1491&lt;74),0.2,0)+IF(AND(W1491&gt;=74),0.17,0),
IF(AF1491="SF",IF(AND(V1491&lt;20,W1491&lt;89),0.3,0)+IF(AND(V1491&lt;20,W1491&gt;=89),0.25,0)+IF(AND(V1491&gt;=20,V1491&lt;40,W1491&lt;74),0.3,0)+IF(AND(V1491&gt;=20,V1491&lt;40,W1491&gt;=75),0.22,0)+IF(AND(V1491&gt;=40,V1491&lt;75,W1491&lt;75),0.26,0)+IF(AND(V1491&gt;=40,V1491&lt;75,W1491&gt;=75),0.22,0)+IF(V1491&gt;=75,0.22,0),
IF(AF1491="DoEVold",IF(AND(V1491&lt;40,W1491&lt;35),0.35,0)+IF(AND(V1491&lt;40,W1491&gt;=35,W1491&lt;75),0.25,0)+IF(AND(V1491&lt;40,W1491&gt;=75),0.17,0)+IF(AND(V1491&gt;=40,V1491&lt;75,W1491&lt;25),0.35,0)+IF(AND(V1491&gt;=40,V1491&lt;75,W1491&gt;=25,W1491&lt;65),0.25,0)+IF(AND(V1491&gt;=40,V1491&lt;75,W1491&gt;=65,W1491&lt;100),0.17,0)+IF(AND(V1491&gt;=40,V1491&lt;75,W1491&gt;=100),0.1,0)+IF(AND(V1491&gt;=75,W1491&lt;25),0.35,0)+IF(AND(V1491&gt;=75,W1491&gt;=25,W1491&lt;60),0.25,0)+IF(AND(V1491&gt;=75,W1491&gt;=60,W1491&lt;95),0.17,0)+IF(AND(V1491&gt;=75,W1491&gt;=95),0.1,0),
IF(AF1491="DoEVold15",IF(AND(V1491&lt;=40,W1491&lt;35),0.35,0)+IF(AND(V1491&lt;=40,W1491&gt;=35,W1491&lt;75),0.25,0)+IF(AND(V1491&lt;=40,W1491&gt;=75,W1491&lt;120),0.17,0)+IF(AND(V1491&lt;=40,W1491&gt;=120),0.15,0)+IF(AND(V1491&gt;40,V1491&lt;75,W1491&lt;25),0.35,0)+IF(AND(V1491&gt;=40,V1491&lt;75,W1491&gt;=25,W1491&lt;65),0.25,0)+IF(AND(V1491&gt;=40,V1491&lt;75,W1491&gt;=65,W1491&lt;100),0.17,0)+IF(AND(V1491&gt;=40,V1491&lt;75,W1491&gt;=100),0.1,0)+IF(AND(V1491&gt;=75,W1491&lt;25),0.35,0)+IF(AND(V1491&gt;=75,W1491&gt;=25,W1491&lt;60),0.25,0)+IF(AND(V1491&gt;=75,W1491&gt;=60,W1491&lt;95),0.17,0)+IF(AND(V1491&gt;=75,W1491&gt;=95),0.1,0),
IF(AF1491="DoEVba",IF(AND(V1491&lt;20,W1491&lt;105),0.2,0)+IF(AND(V1491&lt;20,W1491&gt;=105),0.15,0)+IF(AND(V1491&gt;=20,V1491&lt;40,W1491&lt;95),0.2,0)+IF(AND(V1491&gt;=20,V1491&lt;40,W1491&gt;=95,W1491&lt;150),0.15,0)+IF(AND(V1491&gt;=20,V1491&lt;40,W1491&gt;=150),0.12,0)+IF(AND(V1491&gt;=40,V1491&lt;75,W1491&lt;75),0.2,0)+IF(AND(V1491&gt;=40,V1491&lt;75,W1491&gt;=75,W1491&lt;120),0.15,0)+IF(AND(V1491&gt;=40,V1491&lt;75,W1491&gt;=120),0.12,0)+IF(AND(V1491&gt;=75,V1491&lt;175,W1491&lt;65),0.2,0)+IF(AND(V1491&gt;=75,V1491&lt;175,W1491&gt;=65,W1491&lt;110),0.15,0)+IF(AND(V1491&gt;=75,V1491&lt;175,W1491&gt;=110),0.12,0)+IF(AND(V1491&gt;=175,W1491&lt;55),0.2,0)+IF(AND(V1491&gt;=175,W1491&gt;=55,W1491&lt;95),0.15,0)+IF(AND(V1491&gt;=175,W1491&gt;=95),0.12,0),
IF(AF1491="DoEVku",IF(AND(V1491&lt;20,W1491&lt;55),0.23,0)+IF(AND(V1491&lt;20,W1491&gt;=55,W1491&lt;105),0.2,0)+IF(AND(V1491&lt;20,W1491&gt;=105),0.17,0)+IF(AND(V1491&gt;=20,V1491&lt;40,W1491&lt;45),0.23,0)+IF(AND(V1491&gt;=20,V1491&lt;40,W1491&gt;=45,W1491&lt;95),0.2,0)+IF(AND(V1491&gt;=20,V1491&lt;40,W1491&gt;=95,W1491&lt;=150),0.17,0)+IF(AND(V1491&gt;=20,V1491&lt;40,W1491&gt;=150),0.12,0)+IF(AND(V1491&gt;=40,V1491&lt;75,W1491&lt;35),0.23,0)+IF(AND(V1491&gt;=40,V1491&lt;75,W1491&gt;=35,W1491&lt;75),0.2,0)+IF(AND(V1491&gt;=40,V1491&lt;75,W1491&gt;=75,W1491&lt;120),0.17,0)+IF(AND(V1491&gt;=40,V1491&lt;75,W1491&gt;=120),0.12,0)+IF(AND(V1491&gt;=75,V1491&lt;175,W1491&lt;35),0.23,0)+IF(AND(V1491&gt;=75,V1491&lt;=175,W1491&gt;=35,W1491&lt;65),0.2,0)+IF(AND(V1491&gt;=75,V1491&lt;=175,W1491&gt;=65,W1491&lt;110),0.17,0)+IF(AND(V1491&gt;=75,V1491&lt;=175,W1491&gt;=110),0.12,0)+IF(AND(V1491&gt;175,W1491&lt;25),0.23,0)+IF(AND(V1491&gt;175,W1491&gt;=25,W1491&lt;55),0.2,0)+IF(AND(V1491&gt;175,W1491&gt;=55,W1491&lt;95),0.17,0)+IF(AND(V1491&gt;175,W1491&gt;=95),0.12,0),
IF(AF1491="DoEVs1",IF(AND(V1491&lt;20,W1491&lt;55),0.3,0)+IF(AND(V1491&lt;20,W1491&gt;=55,W1491&lt;105),0.23,0)+IF(AND(V1491&lt;20,W1491&gt;=105),0.17,0)+IF(AND(V1491&gt;=20,V1491&lt;40,W1491&lt;45),0.3,0)+IF(AND(V1491&gt;=20,V1491&lt;40,W1491&gt;=45,W1491&lt;95),0.23,0)+IF(AND(V1491&gt;=20,V1491&lt;40,W1491&gt;=95,W1491&lt;=150),0.17,0)+IF(AND(V1491&gt;=20,V1491&lt;40,W1491&gt;=150),0.12,0)+IF(AND(V1491&gt;=40,V1491&lt;75,W1491&lt;35),0.3,0)+IF(AND(V1491&gt;=40,V1491&lt;75,W1491&gt;=35,W1491&lt;75),0.23,0)+IF(AND(V1491&gt;=40,V1491&lt;75,W1491&gt;=75,W1491&lt;120),0.17,0)+IF(AND(V1491&gt;=40,V1491&lt;75,W1491&gt;=120),0.12,0)+IF(AND(V1491&gt;=75,V1491&lt;175,W1491&lt;35),0.3,0)+IF(AND(V1491&gt;=75,V1491&lt;=175,W1491&gt;=35,W1491&lt;65),0.23,0)+IF(AND(V1491&gt;=75,V1491&lt;=175,W1491&gt;=65,W1491&lt;110),0.17,0)+IF(AND(V1491&gt;=75,V1491&lt;=175,W1491&gt;=110),0.12,0)+IF(AND(V1491&gt;175,W1491&lt;25),0.3,0)+IF(AND(V1491&gt;175,W1491&gt;=25,W1491&lt;55),0.23,0)+IF(AND(V1491&gt;175,W1491&gt;=55,W1491&lt;95),0.17,0)+IF(AND(V1491&gt;175,W1491&gt;=95),0.12,0),
IF(AF1491="DoEVsu",IF(AND(V1491&lt;20,W1491&lt;55),0.3,0)+IF(AND(V1491&lt;20,W1491&gt;=55,W1491&lt;105),0.23,0)+IF(AND(V1491&lt;20,W1491&gt;=105),0.17,0)+IF(AND(V1491&gt;=20,V1491&lt;40,W1491&lt;45),0.3,0)+IF(AND(V1491&gt;=20,V1491&lt;40,W1491&gt;=45,W1491&lt;95),0.23,0)+IF(AND(V1491&gt;=20,V1491&lt;40,W1491&gt;=95,W1491&lt;=250),0.17,0)+IF(AND(V1491&gt;=20,V1491&lt;40,W1491&gt;=250),0.12,0)+IF(AND(V1491&gt;=40,V1491&lt;75,W1491&lt;35),0.3,0)+IF(AND(V1491&gt;=40,V1491&lt;75,W1491&gt;=35,W1491&lt;75),0.23,0)+IF(AND(V1491&gt;=40,V1491&lt;75,W1491&gt;=75,W1491&lt;120),0.17,0)+IF(AND(V1491&gt;=40,V1491&lt;75,W1491&gt;=120),0.12,0)+IF(AND(V1491&gt;=75,V1491&lt;175,W1491&lt;35),0.3,0)+IF(AND(V1491&gt;=75,V1491&lt;=175,W1491&gt;=35,W1491&lt;65),0.23,0)+IF(AND(V1491&gt;=75,V1491&lt;=175,W1491&gt;=65,W1491&lt;110),0.17,0)+IF(AND(V1491&gt;=75,V1491&lt;=175,W1491&gt;=110),0.12,0)+IF(AND(V1491&gt;175,W1491&lt;25),0.3,0)+IF(AND(V1491&gt;175,W1491&gt;=25,W1491&lt;55),0.23,0)+IF(AND(V1491&gt;175,W1491&gt;=55,W1491&lt;95),0.17,0)+IF(AND(V1491&gt;175,W1491&gt;=95),0.12,0),
IF(AF1491="DoEVni",IF(AND(V1491&lt;20,W1491&lt;55),0.3,0)+IF(AND(V1491&lt;20,W1491&gt;=55,W1491&lt;105),0.23,0)+IF(AND(V1491&lt;20,W1491&gt;=105),0.17,0)+IF(AND(V1491&gt;=20,V1491&lt;40,W1491&lt;45),0.3,0)+IF(AND(V1491&gt;=20,V1491&lt;40,W1491&gt;=45,W1491&lt;95),0.23,0)+IF(AND(V1491&gt;=20,V1491&lt;40,W1491&gt;=95,W1491&lt;=200),0.17,0)+IF(AND(V1491&gt;=20,V1491&lt;40,W1491&gt;=200),0.12,0)+IF(AND(V1491&gt;=40,V1491&lt;75,W1491&lt;35),0.3,0)+IF(AND(V1491&gt;=40,V1491&lt;75,W1491&gt;=35,W1491&lt;75),0.23,0)+IF(AND(V1491&gt;=40,V1491&lt;75,W1491&gt;=75,W1491&lt;120),0.17,0)+IF(AND(V1491&gt;=40,V1491&lt;75,W1491&gt;=120),0.12,0)+IF(AND(V1491&gt;=75,V1491&lt;175,W1491&lt;35),0.3,0)+IF(AND(V1491&gt;=75,V1491&lt;=175,W1491&gt;=35,W1491&lt;65),0.23,0)+IF(AND(V1491&gt;=75,V1491&lt;=175,W1491&gt;=65,W1491&lt;110),0.17,0)+IF(AND(V1491&gt;=75,V1491&lt;=175,W1491&gt;=110),0.12,0)+IF(AND(V1491&gt;175,W1491&lt;25),0.3,0)+IF(AND(V1491&gt;175,W1491&gt;=25,W1491&lt;55),0.23,0)+IF(AND(V1491&gt;175,W1491&gt;=55,W1491&lt;95),0.17,0)+IF(AND(V1491&gt;175,W1491&gt;=95),0.12,0),
IF(AF1491="DoEVLo",IF(AND(V1491&lt;20,W1491&lt;55),0.25,0)+IF(AND(V1491&lt;20,W1491&gt;=55,W1491&lt;105),0.2,0)+IF(AND(V1491&lt;20,W1491&gt;=105),0.15,0)+IF(AND(V1491&gt;=20,V1491&lt;40,W1491&lt;45),0.25,0)+IF(AND(V1491&gt;=20,V1491&lt;40,W1491&gt;=45,W1491&lt;95),0.2,0)+IF(AND(V1491&gt;=20,V1491&lt;40,W1491&gt;=95),0.15,0)+IF(AND(V1491&gt;=40,V1491&lt;75,W1491&lt;35),0.25,0)+IF(AND(V1491&gt;=40,V1491&lt;75,W1491&gt;=35,W1491&lt;75),0.2,0)+IF(AND(V1491&gt;=40,V1491&lt;75,W1491&gt;=75,W1491&lt;120),0.15,0)+IF(AND(V1491&gt;=40,V1491&lt;75,W1491&gt;=120),0.1,0)+IF(AND(V1491&gt;=75,V1491&lt;175,W1491&lt;35),0.25,0)+IF(AND(V1491&gt;=75,V1491&lt;=175,W1491&gt;=35,W1491&lt;65),0.2,0)+IF(AND(V1491&gt;=75,V1491&lt;=175,W1491&gt;=65,W1491&lt;110),0.15,0)+IF(AND(V1491&gt;=75,V1491&lt;=175,W1491&gt;=110),0.1,0)+IF(AND(V1491&gt;175,W1491&lt;25),0.25,0)+IF(AND(V1491&gt;175,W1491&gt;=25,W1491&lt;55),0.2,0)+IF(AND(V1491&gt;175,W1491&gt;=55,W1491&lt;95),0.15,0)+IF(AND(V1491&gt;175,W1491&gt;=95),0.1,0))))))))))))))))))))</f>
        <v>0.35</v>
      </c>
      <c r="Y1491" s="35">
        <f t="shared" ref="Y1491:Y1545" si="244">if(AG1491="None",0,if(AG1491="Fix5",0.05, if(AG1491="Fix6.25",0.0625,if(AG1491="Fix3.75",0.0375, if(AG1491="Fix11",0.11, if(AG1491="Fix10",0.1,if(AG1491="Fix3",0.03,0)))))))</f>
        <v>0</v>
      </c>
      <c r="Z1491" s="40">
        <f t="shared" ref="Z1491:Z1545" si="245">if(and(AD1491="EUR", AE1491 = "USD"), T1491*U1491-AA1491-AB1491, T1491-AA1491-AB1491)</f>
        <v>-73.034</v>
      </c>
      <c r="AA1491" s="34">
        <f t="shared" ref="AA1491:AA1545" si="246">IF(AND(AD1491="EUR", F1491="Without EV deal", AE1491="USD"), (T1491*X1491)*U1491, 
IF(AND(AD1491="EUR", F1491="Without EV deal", AE1491="EUR"), (T1491*X1491), 
IF(AND(AD1491="EUR",AE1491="USD"), (T1491*X1491)*U1491, 
T1491*X1491)))</f>
        <v>-39.326</v>
      </c>
      <c r="AB1491" s="41">
        <f t="shared" ref="AB1491:AB1545" si="247">IF(AND(AD1491="EUR", F1491="Without EV deal", AE1491="USD"), (T1491*Y1491)*U1491, 
IF(AND(AD1491="EUR", F1491="Without EV deal", AE1491="EUR"), (T1491*Y1491), 
IF(AND(AD1491="EUR",AE1491="USD"), (T1491*Y1491)*U1491, 
T1491*Y1491)))</f>
        <v>0</v>
      </c>
      <c r="AC1491" s="42" t="b">
        <v>0</v>
      </c>
      <c r="AD1491" s="87" t="str">
        <f t="shared" ref="AD1491:AD1545" si="248">IF(OR(H1491="€0.25 Flash",
H1491="€0.25(nitro) new",
H1491="€1",
H1491="€2",
H1491="€2 (bf 01.08)",
H1491="€5",
H1491="€5 (1M)",
H1491="€5 (bf 01.08)",
H1491="€5 (bf 05.05)",
H1491="€5 Nitro",
H1491="€5(wx) new",
H1491="€10",
H1491="€10 (1M)",
H1491="€10 (bf 01.08)",
H1491="€10 (bf 05.05)",
H1491="€10 (MP)",
H1491="€10 (old)",
H1491="€10 Nitro (bf 05.05)",
H1491="€10 Nitro (old)",
H1491="€10(wx) new",
H1491="€20",
H1491="€25",
H1491="€25 (bf 01.08)",
H1491="€25 (bf 05.05)",
H1491="€25 (MP)",
H1491="€25 (old)",
H1491="€25 Nitro",
H1491="€25 Nitro (bf 01.08)",
H1491="€25 Nitro (bf 05.05)",
H1491="€25(nitro) new",
H1491="€25(wx) new",
H1491="€50",
H1491="€50 (bf 01.08)",
H1491="€50 (bf 05.05)",
H1491="€50 (old)",
H1491="€50 Nitro",
H1491="€50 Nitro (bf 01.08)",
H1491="€50 Nitro (bf 05.05)",
H1491="€50(wx) new",
H1491="€100",
H1491="€100 (old)",
H1491="€100 Nitro",
H1491="€100 Nitro (old)",
H1491="€200",
H1491="€250",
H1491="€250 Nitro",
H1491="€500",
H1491="€500 Nitro"),"EUR", "USD")
</f>
        <v>EUR</v>
      </c>
      <c r="AE1491" s="88" t="s">
        <v>138</v>
      </c>
      <c r="AF1491" s="88" t="str">
        <f t="array" ref="AF1491">INDEX('Deal Info'!D:D, MATCH(A1491,'Deal Info'!A:A, 0))</f>
        <v>DoEVold</v>
      </c>
      <c r="AG1491" s="89" t="str">
        <f t="array" ref="AG1491">INDEX('Deal Info'!G:G, MATCH(A1491,'Deal Info'!A:A, 0))</f>
        <v>None</v>
      </c>
    </row>
    <row r="1492" hidden="1">
      <c r="A1492" s="23" t="str">
        <f t="array" ref="A1492">if(G1492='Room Info'!$B$1, INDEX('Room Info'!$A$2:$A3446, MATCH(B1492,'Room Info'!$B$2:$B3446, 0)),if(G1492='Room Info'!$C$1, INDEX('Room Info'!$A$2:$A3446, MATCH(B1492,'Room Info'!$C$2:$C3446, 0)),if(G1492='Room Info'!$D$1, INDEX('Room Info'!$A$2:$A3446, MATCH(B1492,'Room Info'!$D$2:$D3446, 0)),if(G1492='Room Info'!$E$1, INDEX('Room Info'!$A$2:$A3446, MATCH(B1492,'Room Info'!$E$2:$E3446, 0)),if(G1492='Room Info'!$F$1, INDEX('Room Info'!$A$2:$A3446, MATCH(B1492,'Room Info'!$F$2:$F3446, 0)),if(G1492='Room Info'!$H$1, INDEX('Room Info'!$A$2:$A3446, MATCH(B1492,'Room Info'!$H$2:$H3446, 0)),if(G1492='Room Info'!$G$1, INDEX('Room Info'!$A$2:$A3446, MATCH(B1492,'Room Info'!$G$2:$G3446, 0)))))))))</f>
        <v>Freedoom</v>
      </c>
      <c r="B1492" s="50" t="s">
        <v>225</v>
      </c>
      <c r="C1492" s="82">
        <v>44958.0</v>
      </c>
      <c r="D1492" s="82">
        <v>44985.0</v>
      </c>
      <c r="E1492" s="26">
        <v>44958.0</v>
      </c>
      <c r="F1492" s="27" t="s">
        <v>12</v>
      </c>
      <c r="G1492" s="23" t="s">
        <v>5</v>
      </c>
      <c r="H1492" s="54" t="s">
        <v>20</v>
      </c>
      <c r="I1492" s="28" t="s">
        <v>7</v>
      </c>
      <c r="J1492" s="44">
        <f t="shared" si="241"/>
        <v>1</v>
      </c>
      <c r="K1492" s="129">
        <v>156.0</v>
      </c>
      <c r="L1492" s="57">
        <v>27.0</v>
      </c>
      <c r="M1492" s="58">
        <v>63.0</v>
      </c>
      <c r="N1492" s="33">
        <f t="shared" si="155"/>
        <v>156</v>
      </c>
      <c r="O1492" s="70">
        <f>107*156</f>
        <v>16692</v>
      </c>
      <c r="P1492" s="34">
        <f t="shared" si="14"/>
        <v>107</v>
      </c>
      <c r="Q1492" s="60"/>
      <c r="R1492" s="36">
        <f t="shared" si="196"/>
        <v>63</v>
      </c>
      <c r="S1492" s="71"/>
      <c r="T1492" s="37">
        <f t="shared" si="242"/>
        <v>90</v>
      </c>
      <c r="U1492" s="62"/>
      <c r="V1492" s="63"/>
      <c r="W1492" s="63"/>
      <c r="X1492" s="35">
        <f t="shared" si="243"/>
        <v>0.35</v>
      </c>
      <c r="Y1492" s="35">
        <f t="shared" si="244"/>
        <v>0</v>
      </c>
      <c r="Z1492" s="40">
        <f t="shared" si="245"/>
        <v>58.5</v>
      </c>
      <c r="AA1492" s="34">
        <f t="shared" si="246"/>
        <v>31.5</v>
      </c>
      <c r="AB1492" s="41">
        <f t="shared" si="247"/>
        <v>0</v>
      </c>
      <c r="AC1492" s="42" t="b">
        <v>0</v>
      </c>
      <c r="AD1492" s="87" t="str">
        <f t="shared" si="248"/>
        <v>USD</v>
      </c>
      <c r="AE1492" s="88" t="s">
        <v>138</v>
      </c>
      <c r="AF1492" s="88" t="str">
        <f t="array" ref="AF1492">INDEX('Deal Info'!D:D, MATCH(A1492,'Deal Info'!A:A, 0))</f>
        <v>DoEVold</v>
      </c>
      <c r="AG1492" s="89" t="str">
        <f t="array" ref="AG1492">INDEX('Deal Info'!G:G, MATCH(A1492,'Deal Info'!A:A, 0))</f>
        <v>None</v>
      </c>
    </row>
    <row r="1493" hidden="1">
      <c r="A1493" s="23" t="str">
        <f t="array" ref="A1493">if(G1493='Room Info'!$B$1, INDEX('Room Info'!$A$2:$A3446, MATCH(B1493,'Room Info'!$B$2:$B3446, 0)),if(G1493='Room Info'!$C$1, INDEX('Room Info'!$A$2:$A3446, MATCH(B1493,'Room Info'!$C$2:$C3446, 0)),if(G1493='Room Info'!$D$1, INDEX('Room Info'!$A$2:$A3446, MATCH(B1493,'Room Info'!$D$2:$D3446, 0)),if(G1493='Room Info'!$E$1, INDEX('Room Info'!$A$2:$A3446, MATCH(B1493,'Room Info'!$E$2:$E3446, 0)),if(G1493='Room Info'!$F$1, INDEX('Room Info'!$A$2:$A3446, MATCH(B1493,'Room Info'!$F$2:$F3446, 0)),if(G1493='Room Info'!$H$1, INDEX('Room Info'!$A$2:$A3446, MATCH(B1493,'Room Info'!$H$2:$H3446, 0)),if(G1493='Room Info'!$G$1, INDEX('Room Info'!$A$2:$A3446, MATCH(B1493,'Room Info'!$G$2:$G3446, 0)))))))))</f>
        <v>prodoman</v>
      </c>
      <c r="B1493" s="101" t="s">
        <v>147</v>
      </c>
      <c r="C1493" s="82">
        <v>44958.0</v>
      </c>
      <c r="D1493" s="82">
        <v>44985.0</v>
      </c>
      <c r="E1493" s="26">
        <v>44958.0</v>
      </c>
      <c r="F1493" s="27" t="s">
        <v>12</v>
      </c>
      <c r="G1493" s="130" t="s">
        <v>13</v>
      </c>
      <c r="H1493" s="96" t="s">
        <v>59</v>
      </c>
      <c r="I1493" s="96" t="s">
        <v>18</v>
      </c>
      <c r="J1493" s="44">
        <f t="shared" si="241"/>
        <v>20</v>
      </c>
      <c r="K1493" s="80">
        <v>3781.0</v>
      </c>
      <c r="L1493" s="77">
        <v>-2720.0</v>
      </c>
      <c r="M1493" s="84">
        <f>975+4755.47</f>
        <v>5730.47</v>
      </c>
      <c r="N1493" s="33">
        <f t="shared" si="155"/>
        <v>75620</v>
      </c>
      <c r="O1493" s="101"/>
      <c r="P1493" s="34">
        <f t="shared" si="14"/>
        <v>0</v>
      </c>
      <c r="Q1493" s="60"/>
      <c r="R1493" s="36">
        <f t="shared" si="196"/>
        <v>5730.47</v>
      </c>
      <c r="S1493" s="102"/>
      <c r="T1493" s="37">
        <f t="shared" si="242"/>
        <v>3010.47</v>
      </c>
      <c r="U1493" s="62"/>
      <c r="V1493" s="63"/>
      <c r="W1493" s="63"/>
      <c r="X1493" s="35">
        <f t="shared" si="243"/>
        <v>0.3</v>
      </c>
      <c r="Y1493" s="35">
        <f t="shared" si="244"/>
        <v>0</v>
      </c>
      <c r="Z1493" s="40">
        <f t="shared" si="245"/>
        <v>2107.329</v>
      </c>
      <c r="AA1493" s="34">
        <f t="shared" si="246"/>
        <v>903.141</v>
      </c>
      <c r="AB1493" s="41">
        <f t="shared" si="247"/>
        <v>0</v>
      </c>
      <c r="AC1493" s="42" t="b">
        <v>0</v>
      </c>
      <c r="AD1493" s="87" t="str">
        <f t="shared" si="248"/>
        <v>USD</v>
      </c>
      <c r="AE1493" s="88" t="s">
        <v>138</v>
      </c>
      <c r="AF1493" s="88" t="str">
        <f t="array" ref="AF1493">INDEX('Deal Info'!D:D, MATCH(A1493,'Deal Info'!A:A, 0))</f>
        <v>DoEV</v>
      </c>
      <c r="AG1493" s="89" t="str">
        <f t="array" ref="AG1493">INDEX('Deal Info'!G:G, MATCH(A1493,'Deal Info'!A:A, 0))</f>
        <v>None</v>
      </c>
    </row>
    <row r="1494" hidden="1">
      <c r="A1494" s="23" t="str">
        <f t="array" ref="A1494">if(G1494='Room Info'!$B$1, INDEX('Room Info'!$A$2:$A3446, MATCH(B1494,'Room Info'!$B$2:$B3446, 0)),if(G1494='Room Info'!$C$1, INDEX('Room Info'!$A$2:$A3446, MATCH(B1494,'Room Info'!$C$2:$C3446, 0)),if(G1494='Room Info'!$D$1, INDEX('Room Info'!$A$2:$A3446, MATCH(B1494,'Room Info'!$D$2:$D3446, 0)),if(G1494='Room Info'!$E$1, INDEX('Room Info'!$A$2:$A3446, MATCH(B1494,'Room Info'!$E$2:$E3446, 0)),if(G1494='Room Info'!$F$1, INDEX('Room Info'!$A$2:$A3446, MATCH(B1494,'Room Info'!$F$2:$F3446, 0)),if(G1494='Room Info'!$H$1, INDEX('Room Info'!$A$2:$A3446, MATCH(B1494,'Room Info'!$H$2:$H3446, 0)),if(G1494='Room Info'!$G$1, INDEX('Room Info'!$A$2:$A3446, MATCH(B1494,'Room Info'!$G$2:$G3446, 0)))))))))</f>
        <v>prodoman</v>
      </c>
      <c r="B1494" s="101" t="s">
        <v>147</v>
      </c>
      <c r="C1494" s="82">
        <v>44958.0</v>
      </c>
      <c r="D1494" s="82">
        <v>44985.0</v>
      </c>
      <c r="E1494" s="26">
        <v>44958.0</v>
      </c>
      <c r="F1494" s="27" t="s">
        <v>12</v>
      </c>
      <c r="G1494" s="130" t="s">
        <v>13</v>
      </c>
      <c r="H1494" s="96" t="s">
        <v>74</v>
      </c>
      <c r="I1494" s="96" t="s">
        <v>18</v>
      </c>
      <c r="J1494" s="44">
        <f t="shared" si="241"/>
        <v>50</v>
      </c>
      <c r="K1494" s="80">
        <v>600.0</v>
      </c>
      <c r="L1494" s="77">
        <v>-3900.0</v>
      </c>
      <c r="M1494" s="84"/>
      <c r="N1494" s="33">
        <f t="shared" si="155"/>
        <v>30000</v>
      </c>
      <c r="O1494" s="101"/>
      <c r="P1494" s="34">
        <f t="shared" si="14"/>
        <v>0</v>
      </c>
      <c r="Q1494" s="60"/>
      <c r="R1494" s="36">
        <f t="shared" si="196"/>
        <v>0</v>
      </c>
      <c r="S1494" s="102"/>
      <c r="T1494" s="37">
        <f t="shared" si="242"/>
        <v>-3900</v>
      </c>
      <c r="U1494" s="62"/>
      <c r="V1494" s="63"/>
      <c r="W1494" s="63"/>
      <c r="X1494" s="35">
        <f t="shared" si="243"/>
        <v>0.3</v>
      </c>
      <c r="Y1494" s="35">
        <f t="shared" si="244"/>
        <v>0</v>
      </c>
      <c r="Z1494" s="40">
        <f t="shared" si="245"/>
        <v>-2730</v>
      </c>
      <c r="AA1494" s="34">
        <f t="shared" si="246"/>
        <v>-1170</v>
      </c>
      <c r="AB1494" s="41">
        <f t="shared" si="247"/>
        <v>0</v>
      </c>
      <c r="AC1494" s="42" t="b">
        <v>0</v>
      </c>
      <c r="AD1494" s="87" t="str">
        <f t="shared" si="248"/>
        <v>USD</v>
      </c>
      <c r="AE1494" s="88" t="s">
        <v>138</v>
      </c>
      <c r="AF1494" s="88" t="str">
        <f t="array" ref="AF1494">INDEX('Deal Info'!D:D, MATCH(A1494,'Deal Info'!A:A, 0))</f>
        <v>DoEV</v>
      </c>
      <c r="AG1494" s="89" t="str">
        <f t="array" ref="AG1494">INDEX('Deal Info'!G:G, MATCH(A1494,'Deal Info'!A:A, 0))</f>
        <v>None</v>
      </c>
    </row>
    <row r="1495" hidden="1">
      <c r="A1495" s="23" t="b">
        <f t="array" ref="A1495">if(G1495='Room Info'!$B$1, INDEX('Room Info'!$A$2:$A3446, MATCH(B1495,'Room Info'!$B$2:$B3446, 0)),if(G1495='Room Info'!$C$1, INDEX('Room Info'!$A$2:$A3446, MATCH(B1495,'Room Info'!$C$2:$C3446, 0)),if(G1495='Room Info'!$D$1, INDEX('Room Info'!$A$2:$A3446, MATCH(B1495,'Room Info'!$D$2:$D3446, 0)),if(G1495='Room Info'!$E$1, INDEX('Room Info'!$A$2:$A3446, MATCH(B1495,'Room Info'!$E$2:$E3446, 0)),if(G1495='Room Info'!$F$1, INDEX('Room Info'!$A$2:$A3446, MATCH(B1495,'Room Info'!$F$2:$F3446, 0)),if(G1495='Room Info'!$H$1, INDEX('Room Info'!$A$2:$A3446, MATCH(B1495,'Room Info'!$H$2:$H3446, 0)),if(G1495='Room Info'!$G$1, INDEX('Room Info'!$A$2:$A3446, MATCH(B1495,'Room Info'!$G$2:$G3446, 0)))))))))</f>
        <v>0</v>
      </c>
      <c r="B1495" s="50" t="s">
        <v>226</v>
      </c>
      <c r="C1495" s="82">
        <v>44958.0</v>
      </c>
      <c r="D1495" s="82">
        <v>44985.0</v>
      </c>
      <c r="E1495" s="26">
        <v>44958.0</v>
      </c>
      <c r="F1495" s="27" t="s">
        <v>12</v>
      </c>
      <c r="G1495" s="50" t="s">
        <v>19</v>
      </c>
      <c r="H1495" s="86" t="s">
        <v>39</v>
      </c>
      <c r="I1495" s="28" t="s">
        <v>7</v>
      </c>
      <c r="J1495" s="44">
        <f t="shared" si="241"/>
        <v>5</v>
      </c>
      <c r="K1495" s="80">
        <v>214.0</v>
      </c>
      <c r="L1495" s="131">
        <f>133.32-361.92-179</f>
        <v>-407.6</v>
      </c>
      <c r="M1495" s="84"/>
      <c r="N1495" s="33">
        <f t="shared" si="155"/>
        <v>1070</v>
      </c>
      <c r="O1495" s="50">
        <v>13361.0</v>
      </c>
      <c r="P1495" s="34">
        <f t="shared" si="14"/>
        <v>62.43457944</v>
      </c>
      <c r="Q1495" s="60">
        <v>0.5</v>
      </c>
      <c r="R1495" s="36">
        <f t="shared" ref="R1495:R1523" si="249">M1495+Q1495*J1495*K1495*0.07</f>
        <v>37.45</v>
      </c>
      <c r="S1495" s="102"/>
      <c r="T1495" s="37">
        <f t="shared" si="242"/>
        <v>-370.15</v>
      </c>
      <c r="U1495" s="62">
        <v>1.0617</v>
      </c>
      <c r="V1495" s="63"/>
      <c r="W1495" s="63"/>
      <c r="X1495" s="35" t="str">
        <f t="shared" si="243"/>
        <v>#N/A</v>
      </c>
      <c r="Y1495" s="35" t="str">
        <f t="shared" si="244"/>
        <v>#N/A</v>
      </c>
      <c r="Z1495" s="40" t="str">
        <f t="shared" si="245"/>
        <v>#N/A</v>
      </c>
      <c r="AA1495" s="34" t="str">
        <f t="shared" si="246"/>
        <v>#N/A</v>
      </c>
      <c r="AB1495" s="41" t="str">
        <f t="shared" si="247"/>
        <v>#N/A</v>
      </c>
      <c r="AC1495" s="42" t="b">
        <v>0</v>
      </c>
      <c r="AD1495" s="87" t="str">
        <f t="shared" si="248"/>
        <v>EUR</v>
      </c>
      <c r="AE1495" s="88" t="s">
        <v>138</v>
      </c>
      <c r="AF1495" s="88" t="str">
        <f t="array" ref="AF1495">INDEX('Deal Info'!D:D, MATCH(A1495,'Deal Info'!A:A, 0))</f>
        <v>#N/A</v>
      </c>
      <c r="AG1495" s="89" t="str">
        <f t="array" ref="AG1495">INDEX('Deal Info'!G:G, MATCH(A1495,'Deal Info'!A:A, 0))</f>
        <v>#N/A</v>
      </c>
    </row>
    <row r="1496" hidden="1">
      <c r="A1496" s="23" t="b">
        <f t="array" ref="A1496">if(G1496='Room Info'!$B$1, INDEX('Room Info'!$A$2:$A3446, MATCH(B1496,'Room Info'!$B$2:$B3446, 0)),if(G1496='Room Info'!$C$1, INDEX('Room Info'!$A$2:$A3446, MATCH(B1496,'Room Info'!$C$2:$C3446, 0)),if(G1496='Room Info'!$D$1, INDEX('Room Info'!$A$2:$A3446, MATCH(B1496,'Room Info'!$D$2:$D3446, 0)),if(G1496='Room Info'!$E$1, INDEX('Room Info'!$A$2:$A3446, MATCH(B1496,'Room Info'!$E$2:$E3446, 0)),if(G1496='Room Info'!$F$1, INDEX('Room Info'!$A$2:$A3446, MATCH(B1496,'Room Info'!$F$2:$F3446, 0)),if(G1496='Room Info'!$H$1, INDEX('Room Info'!$A$2:$A3446, MATCH(B1496,'Room Info'!$H$2:$H3446, 0)),if(G1496='Room Info'!$G$1, INDEX('Room Info'!$A$2:$A3446, MATCH(B1496,'Room Info'!$G$2:$G3446, 0)))))))))</f>
        <v>0</v>
      </c>
      <c r="B1496" s="50" t="s">
        <v>226</v>
      </c>
      <c r="C1496" s="82">
        <v>44958.0</v>
      </c>
      <c r="D1496" s="82">
        <v>44985.0</v>
      </c>
      <c r="E1496" s="26">
        <v>44958.0</v>
      </c>
      <c r="F1496" s="27" t="s">
        <v>12</v>
      </c>
      <c r="G1496" s="50" t="s">
        <v>19</v>
      </c>
      <c r="H1496" s="86" t="s">
        <v>50</v>
      </c>
      <c r="I1496" s="28" t="s">
        <v>7</v>
      </c>
      <c r="J1496" s="44">
        <f t="shared" si="241"/>
        <v>10</v>
      </c>
      <c r="K1496" s="56">
        <v>269.0</v>
      </c>
      <c r="L1496" s="117"/>
      <c r="M1496" s="67"/>
      <c r="N1496" s="33">
        <f t="shared" si="155"/>
        <v>2690</v>
      </c>
      <c r="O1496" s="59">
        <v>2630.0</v>
      </c>
      <c r="P1496" s="34">
        <f t="shared" si="14"/>
        <v>9.776951673</v>
      </c>
      <c r="Q1496" s="60">
        <v>0.5</v>
      </c>
      <c r="R1496" s="36">
        <f t="shared" si="249"/>
        <v>94.15</v>
      </c>
      <c r="S1496" s="71"/>
      <c r="T1496" s="37">
        <f t="shared" si="242"/>
        <v>94.15</v>
      </c>
      <c r="U1496" s="62">
        <v>1.0617</v>
      </c>
      <c r="V1496" s="63"/>
      <c r="W1496" s="63"/>
      <c r="X1496" s="35" t="str">
        <f t="shared" si="243"/>
        <v>#N/A</v>
      </c>
      <c r="Y1496" s="35" t="str">
        <f t="shared" si="244"/>
        <v>#N/A</v>
      </c>
      <c r="Z1496" s="40" t="str">
        <f t="shared" si="245"/>
        <v>#N/A</v>
      </c>
      <c r="AA1496" s="34" t="str">
        <f t="shared" si="246"/>
        <v>#N/A</v>
      </c>
      <c r="AB1496" s="41" t="str">
        <f t="shared" si="247"/>
        <v>#N/A</v>
      </c>
      <c r="AC1496" s="42" t="b">
        <v>0</v>
      </c>
      <c r="AD1496" s="87" t="str">
        <f t="shared" si="248"/>
        <v>EUR</v>
      </c>
      <c r="AE1496" s="88" t="s">
        <v>138</v>
      </c>
      <c r="AF1496" s="88" t="str">
        <f t="array" ref="AF1496">INDEX('Deal Info'!D:D, MATCH(A1496,'Deal Info'!A:A, 0))</f>
        <v>#N/A</v>
      </c>
      <c r="AG1496" s="89" t="str">
        <f t="array" ref="AG1496">INDEX('Deal Info'!G:G, MATCH(A1496,'Deal Info'!A:A, 0))</f>
        <v>#N/A</v>
      </c>
    </row>
    <row r="1497" hidden="1">
      <c r="A1497" s="23" t="b">
        <f t="array" ref="A1497">if(G1497='Room Info'!$B$1, INDEX('Room Info'!$A$2:$A3446, MATCH(B1497,'Room Info'!$B$2:$B3446, 0)),if(G1497='Room Info'!$C$1, INDEX('Room Info'!$A$2:$A3446, MATCH(B1497,'Room Info'!$C$2:$C3446, 0)),if(G1497='Room Info'!$D$1, INDEX('Room Info'!$A$2:$A3446, MATCH(B1497,'Room Info'!$D$2:$D3446, 0)),if(G1497='Room Info'!$E$1, INDEX('Room Info'!$A$2:$A3446, MATCH(B1497,'Room Info'!$E$2:$E3446, 0)),if(G1497='Room Info'!$F$1, INDEX('Room Info'!$A$2:$A3446, MATCH(B1497,'Room Info'!$F$2:$F3446, 0)),if(G1497='Room Info'!$H$1, INDEX('Room Info'!$A$2:$A3446, MATCH(B1497,'Room Info'!$H$2:$H3446, 0)),if(G1497='Room Info'!$G$1, INDEX('Room Info'!$A$2:$A3446, MATCH(B1497,'Room Info'!$G$2:$G3446, 0)))))))))</f>
        <v>0</v>
      </c>
      <c r="B1497" s="50" t="s">
        <v>226</v>
      </c>
      <c r="C1497" s="82">
        <v>44958.0</v>
      </c>
      <c r="D1497" s="82">
        <v>44985.0</v>
      </c>
      <c r="E1497" s="26">
        <v>44958.0</v>
      </c>
      <c r="F1497" s="27" t="s">
        <v>12</v>
      </c>
      <c r="G1497" s="50" t="s">
        <v>19</v>
      </c>
      <c r="H1497" s="86" t="s">
        <v>61</v>
      </c>
      <c r="I1497" s="28" t="s">
        <v>7</v>
      </c>
      <c r="J1497" s="44">
        <f t="shared" si="241"/>
        <v>20</v>
      </c>
      <c r="K1497" s="56">
        <v>67.0</v>
      </c>
      <c r="L1497" s="117"/>
      <c r="M1497" s="67"/>
      <c r="N1497" s="33">
        <f t="shared" si="155"/>
        <v>1340</v>
      </c>
      <c r="O1497" s="59">
        <v>-6924.0</v>
      </c>
      <c r="P1497" s="34">
        <f t="shared" si="14"/>
        <v>-103.3432836</v>
      </c>
      <c r="Q1497" s="60">
        <v>0.5</v>
      </c>
      <c r="R1497" s="36">
        <f t="shared" si="249"/>
        <v>46.9</v>
      </c>
      <c r="S1497" s="71"/>
      <c r="T1497" s="37">
        <f t="shared" si="242"/>
        <v>46.9</v>
      </c>
      <c r="U1497" s="62">
        <v>1.0617</v>
      </c>
      <c r="V1497" s="63"/>
      <c r="W1497" s="63"/>
      <c r="X1497" s="35" t="str">
        <f t="shared" si="243"/>
        <v>#N/A</v>
      </c>
      <c r="Y1497" s="35" t="str">
        <f t="shared" si="244"/>
        <v>#N/A</v>
      </c>
      <c r="Z1497" s="40" t="str">
        <f t="shared" si="245"/>
        <v>#N/A</v>
      </c>
      <c r="AA1497" s="34" t="str">
        <f t="shared" si="246"/>
        <v>#N/A</v>
      </c>
      <c r="AB1497" s="41" t="str">
        <f t="shared" si="247"/>
        <v>#N/A</v>
      </c>
      <c r="AC1497" s="42" t="b">
        <v>0</v>
      </c>
      <c r="AD1497" s="87" t="str">
        <f t="shared" si="248"/>
        <v>EUR</v>
      </c>
      <c r="AE1497" s="88" t="s">
        <v>138</v>
      </c>
      <c r="AF1497" s="88" t="str">
        <f t="array" ref="AF1497">INDEX('Deal Info'!D:D, MATCH(A1497,'Deal Info'!A:A, 0))</f>
        <v>#N/A</v>
      </c>
      <c r="AG1497" s="89" t="str">
        <f t="array" ref="AG1497">INDEX('Deal Info'!G:G, MATCH(A1497,'Deal Info'!A:A, 0))</f>
        <v>#N/A</v>
      </c>
    </row>
    <row r="1498" hidden="1">
      <c r="A1498" s="23" t="b">
        <f t="array" ref="A1498">if(G1498='Room Info'!$B$1, INDEX('Room Info'!$A$2:$A3446, MATCH(B1498,'Room Info'!$B$2:$B3446, 0)),if(G1498='Room Info'!$C$1, INDEX('Room Info'!$A$2:$A3446, MATCH(B1498,'Room Info'!$C$2:$C3446, 0)),if(G1498='Room Info'!$D$1, INDEX('Room Info'!$A$2:$A3446, MATCH(B1498,'Room Info'!$D$2:$D3446, 0)),if(G1498='Room Info'!$E$1, INDEX('Room Info'!$A$2:$A3446, MATCH(B1498,'Room Info'!$E$2:$E3446, 0)),if(G1498='Room Info'!$F$1, INDEX('Room Info'!$A$2:$A3446, MATCH(B1498,'Room Info'!$F$2:$F3446, 0)),if(G1498='Room Info'!$H$1, INDEX('Room Info'!$A$2:$A3446, MATCH(B1498,'Room Info'!$H$2:$H3446, 0)),if(G1498='Room Info'!$G$1, INDEX('Room Info'!$A$2:$A3446, MATCH(B1498,'Room Info'!$G$2:$G3446, 0)))))))))</f>
        <v>0</v>
      </c>
      <c r="B1498" s="50" t="s">
        <v>185</v>
      </c>
      <c r="C1498" s="82">
        <v>44958.0</v>
      </c>
      <c r="D1498" s="82">
        <v>44985.0</v>
      </c>
      <c r="E1498" s="26">
        <v>44958.0</v>
      </c>
      <c r="F1498" s="27" t="s">
        <v>12</v>
      </c>
      <c r="G1498" s="50" t="s">
        <v>19</v>
      </c>
      <c r="H1498" s="86" t="s">
        <v>26</v>
      </c>
      <c r="I1498" s="28" t="s">
        <v>7</v>
      </c>
      <c r="J1498" s="44">
        <f t="shared" si="241"/>
        <v>1</v>
      </c>
      <c r="K1498" s="56">
        <v>1.0</v>
      </c>
      <c r="L1498" s="117">
        <f>2273.57-5.52-2000+100+400+400+380+1000+400-1273</f>
        <v>1675.05</v>
      </c>
      <c r="M1498" s="67"/>
      <c r="N1498" s="33">
        <f t="shared" si="155"/>
        <v>1</v>
      </c>
      <c r="O1498" s="70">
        <f>568*1</f>
        <v>568</v>
      </c>
      <c r="P1498" s="34">
        <f t="shared" si="14"/>
        <v>568</v>
      </c>
      <c r="Q1498" s="60">
        <v>0.5</v>
      </c>
      <c r="R1498" s="36">
        <f t="shared" si="249"/>
        <v>0.035</v>
      </c>
      <c r="S1498" s="71"/>
      <c r="T1498" s="37">
        <f t="shared" si="242"/>
        <v>1675.085</v>
      </c>
      <c r="U1498" s="62">
        <v>1.0617</v>
      </c>
      <c r="V1498" s="63">
        <v>19.86</v>
      </c>
      <c r="W1498" s="63">
        <v>148.4687425</v>
      </c>
      <c r="X1498" s="35" t="str">
        <f t="shared" si="243"/>
        <v>#N/A</v>
      </c>
      <c r="Y1498" s="35" t="str">
        <f t="shared" si="244"/>
        <v>#N/A</v>
      </c>
      <c r="Z1498" s="40" t="str">
        <f t="shared" si="245"/>
        <v>#N/A</v>
      </c>
      <c r="AA1498" s="34" t="str">
        <f t="shared" si="246"/>
        <v>#N/A</v>
      </c>
      <c r="AB1498" s="41" t="str">
        <f t="shared" si="247"/>
        <v>#N/A</v>
      </c>
      <c r="AC1498" s="42" t="b">
        <v>1</v>
      </c>
      <c r="AD1498" s="87" t="str">
        <f t="shared" si="248"/>
        <v>EUR</v>
      </c>
      <c r="AE1498" s="88" t="s">
        <v>138</v>
      </c>
      <c r="AF1498" s="88" t="str">
        <f t="array" ref="AF1498">INDEX('Deal Info'!D:D, MATCH(A1498,'Deal Info'!A:A, 0))</f>
        <v>#N/A</v>
      </c>
      <c r="AG1498" s="89" t="str">
        <f t="array" ref="AG1498">INDEX('Deal Info'!G:G, MATCH(A1498,'Deal Info'!A:A, 0))</f>
        <v>#N/A</v>
      </c>
    </row>
    <row r="1499" hidden="1">
      <c r="A1499" s="23" t="b">
        <f t="array" ref="A1499">if(G1499='Room Info'!$B$1, INDEX('Room Info'!$A$2:$A3446, MATCH(B1499,'Room Info'!$B$2:$B3446, 0)),if(G1499='Room Info'!$C$1, INDEX('Room Info'!$A$2:$A3446, MATCH(B1499,'Room Info'!$C$2:$C3446, 0)),if(G1499='Room Info'!$D$1, INDEX('Room Info'!$A$2:$A3446, MATCH(B1499,'Room Info'!$D$2:$D3446, 0)),if(G1499='Room Info'!$E$1, INDEX('Room Info'!$A$2:$A3446, MATCH(B1499,'Room Info'!$E$2:$E3446, 0)),if(G1499='Room Info'!$F$1, INDEX('Room Info'!$A$2:$A3446, MATCH(B1499,'Room Info'!$F$2:$F3446, 0)),if(G1499='Room Info'!$H$1, INDEX('Room Info'!$A$2:$A3446, MATCH(B1499,'Room Info'!$H$2:$H3446, 0)),if(G1499='Room Info'!$G$1, INDEX('Room Info'!$A$2:$A3446, MATCH(B1499,'Room Info'!$G$2:$G3446, 0)))))))))</f>
        <v>0</v>
      </c>
      <c r="B1499" s="50" t="s">
        <v>185</v>
      </c>
      <c r="C1499" s="82">
        <v>44958.0</v>
      </c>
      <c r="D1499" s="82">
        <v>44985.0</v>
      </c>
      <c r="E1499" s="26">
        <v>44958.0</v>
      </c>
      <c r="F1499" s="27" t="s">
        <v>12</v>
      </c>
      <c r="G1499" s="50" t="s">
        <v>19</v>
      </c>
      <c r="H1499" s="86" t="s">
        <v>39</v>
      </c>
      <c r="I1499" s="28" t="s">
        <v>7</v>
      </c>
      <c r="J1499" s="44">
        <f t="shared" si="241"/>
        <v>5</v>
      </c>
      <c r="K1499" s="56">
        <v>14.0</v>
      </c>
      <c r="L1499" s="117"/>
      <c r="M1499" s="67"/>
      <c r="N1499" s="33">
        <f t="shared" si="155"/>
        <v>70</v>
      </c>
      <c r="O1499" s="70">
        <f>42*14</f>
        <v>588</v>
      </c>
      <c r="P1499" s="34">
        <f t="shared" si="14"/>
        <v>42</v>
      </c>
      <c r="Q1499" s="60">
        <v>0.5</v>
      </c>
      <c r="R1499" s="36">
        <f t="shared" si="249"/>
        <v>2.45</v>
      </c>
      <c r="S1499" s="71"/>
      <c r="T1499" s="37">
        <f t="shared" si="242"/>
        <v>2.45</v>
      </c>
      <c r="U1499" s="62">
        <v>1.0617</v>
      </c>
      <c r="V1499" s="63">
        <v>19.86</v>
      </c>
      <c r="W1499" s="63">
        <v>148.4687425</v>
      </c>
      <c r="X1499" s="35" t="str">
        <f t="shared" si="243"/>
        <v>#N/A</v>
      </c>
      <c r="Y1499" s="35" t="str">
        <f t="shared" si="244"/>
        <v>#N/A</v>
      </c>
      <c r="Z1499" s="40" t="str">
        <f t="shared" si="245"/>
        <v>#N/A</v>
      </c>
      <c r="AA1499" s="34" t="str">
        <f t="shared" si="246"/>
        <v>#N/A</v>
      </c>
      <c r="AB1499" s="41" t="str">
        <f t="shared" si="247"/>
        <v>#N/A</v>
      </c>
      <c r="AC1499" s="42" t="b">
        <v>1</v>
      </c>
      <c r="AD1499" s="87" t="str">
        <f t="shared" si="248"/>
        <v>EUR</v>
      </c>
      <c r="AE1499" s="88" t="s">
        <v>138</v>
      </c>
      <c r="AF1499" s="88" t="str">
        <f t="array" ref="AF1499">INDEX('Deal Info'!D:D, MATCH(A1499,'Deal Info'!A:A, 0))</f>
        <v>#N/A</v>
      </c>
      <c r="AG1499" s="89" t="str">
        <f t="array" ref="AG1499">INDEX('Deal Info'!G:G, MATCH(A1499,'Deal Info'!A:A, 0))</f>
        <v>#N/A</v>
      </c>
    </row>
    <row r="1500" hidden="1">
      <c r="A1500" s="23" t="b">
        <f t="array" ref="A1500">if(G1500='Room Info'!$B$1, INDEX('Room Info'!$A$2:$A3446, MATCH(B1500,'Room Info'!$B$2:$B3446, 0)),if(G1500='Room Info'!$C$1, INDEX('Room Info'!$A$2:$A3446, MATCH(B1500,'Room Info'!$C$2:$C3446, 0)),if(G1500='Room Info'!$D$1, INDEX('Room Info'!$A$2:$A3446, MATCH(B1500,'Room Info'!$D$2:$D3446, 0)),if(G1500='Room Info'!$E$1, INDEX('Room Info'!$A$2:$A3446, MATCH(B1500,'Room Info'!$E$2:$E3446, 0)),if(G1500='Room Info'!$F$1, INDEX('Room Info'!$A$2:$A3446, MATCH(B1500,'Room Info'!$F$2:$F3446, 0)),if(G1500='Room Info'!$H$1, INDEX('Room Info'!$A$2:$A3446, MATCH(B1500,'Room Info'!$H$2:$H3446, 0)),if(G1500='Room Info'!$G$1, INDEX('Room Info'!$A$2:$A3446, MATCH(B1500,'Room Info'!$G$2:$G3446, 0)))))))))</f>
        <v>0</v>
      </c>
      <c r="B1500" s="50" t="s">
        <v>185</v>
      </c>
      <c r="C1500" s="82">
        <v>44958.0</v>
      </c>
      <c r="D1500" s="82">
        <v>44985.0</v>
      </c>
      <c r="E1500" s="26">
        <v>44958.0</v>
      </c>
      <c r="F1500" s="27" t="s">
        <v>12</v>
      </c>
      <c r="G1500" s="50" t="s">
        <v>19</v>
      </c>
      <c r="H1500" s="86" t="s">
        <v>50</v>
      </c>
      <c r="I1500" s="28" t="s">
        <v>7</v>
      </c>
      <c r="J1500" s="44">
        <f t="shared" si="241"/>
        <v>10</v>
      </c>
      <c r="K1500" s="56">
        <v>3.0</v>
      </c>
      <c r="L1500" s="117"/>
      <c r="M1500" s="67"/>
      <c r="N1500" s="33">
        <f t="shared" si="155"/>
        <v>30</v>
      </c>
      <c r="O1500" s="70">
        <f>236*3</f>
        <v>708</v>
      </c>
      <c r="P1500" s="34">
        <f t="shared" si="14"/>
        <v>236</v>
      </c>
      <c r="Q1500" s="60">
        <v>0.5</v>
      </c>
      <c r="R1500" s="36">
        <f t="shared" si="249"/>
        <v>1.05</v>
      </c>
      <c r="S1500" s="71"/>
      <c r="T1500" s="37">
        <f t="shared" si="242"/>
        <v>1.05</v>
      </c>
      <c r="U1500" s="62">
        <v>1.0617</v>
      </c>
      <c r="V1500" s="63">
        <v>19.86</v>
      </c>
      <c r="W1500" s="63">
        <v>148.4687425</v>
      </c>
      <c r="X1500" s="35" t="str">
        <f t="shared" si="243"/>
        <v>#N/A</v>
      </c>
      <c r="Y1500" s="35" t="str">
        <f t="shared" si="244"/>
        <v>#N/A</v>
      </c>
      <c r="Z1500" s="40" t="str">
        <f t="shared" si="245"/>
        <v>#N/A</v>
      </c>
      <c r="AA1500" s="34" t="str">
        <f t="shared" si="246"/>
        <v>#N/A</v>
      </c>
      <c r="AB1500" s="41" t="str">
        <f t="shared" si="247"/>
        <v>#N/A</v>
      </c>
      <c r="AC1500" s="42" t="b">
        <v>1</v>
      </c>
      <c r="AD1500" s="87" t="str">
        <f t="shared" si="248"/>
        <v>EUR</v>
      </c>
      <c r="AE1500" s="88" t="s">
        <v>138</v>
      </c>
      <c r="AF1500" s="88" t="str">
        <f t="array" ref="AF1500">INDEX('Deal Info'!D:D, MATCH(A1500,'Deal Info'!A:A, 0))</f>
        <v>#N/A</v>
      </c>
      <c r="AG1500" s="89" t="str">
        <f t="array" ref="AG1500">INDEX('Deal Info'!G:G, MATCH(A1500,'Deal Info'!A:A, 0))</f>
        <v>#N/A</v>
      </c>
    </row>
    <row r="1501" hidden="1">
      <c r="A1501" s="23" t="b">
        <f t="array" ref="A1501">if(G1501='Room Info'!$B$1, INDEX('Room Info'!$A$2:$A3446, MATCH(B1501,'Room Info'!$B$2:$B3446, 0)),if(G1501='Room Info'!$C$1, INDEX('Room Info'!$A$2:$A3446, MATCH(B1501,'Room Info'!$C$2:$C3446, 0)),if(G1501='Room Info'!$D$1, INDEX('Room Info'!$A$2:$A3446, MATCH(B1501,'Room Info'!$D$2:$D3446, 0)),if(G1501='Room Info'!$E$1, INDEX('Room Info'!$A$2:$A3446, MATCH(B1501,'Room Info'!$E$2:$E3446, 0)),if(G1501='Room Info'!$F$1, INDEX('Room Info'!$A$2:$A3446, MATCH(B1501,'Room Info'!$F$2:$F3446, 0)),if(G1501='Room Info'!$H$1, INDEX('Room Info'!$A$2:$A3446, MATCH(B1501,'Room Info'!$H$2:$H3446, 0)),if(G1501='Room Info'!$G$1, INDEX('Room Info'!$A$2:$A3446, MATCH(B1501,'Room Info'!$G$2:$G3446, 0)))))))))</f>
        <v>0</v>
      </c>
      <c r="B1501" s="50" t="s">
        <v>185</v>
      </c>
      <c r="C1501" s="82">
        <v>44958.0</v>
      </c>
      <c r="D1501" s="82">
        <v>44985.0</v>
      </c>
      <c r="E1501" s="26">
        <v>44958.0</v>
      </c>
      <c r="F1501" s="27" t="s">
        <v>12</v>
      </c>
      <c r="G1501" s="50" t="s">
        <v>19</v>
      </c>
      <c r="H1501" s="86" t="s">
        <v>61</v>
      </c>
      <c r="I1501" s="28" t="s">
        <v>7</v>
      </c>
      <c r="J1501" s="44">
        <f t="shared" si="241"/>
        <v>20</v>
      </c>
      <c r="K1501" s="56">
        <v>1814.0</v>
      </c>
      <c r="L1501" s="117"/>
      <c r="M1501" s="67"/>
      <c r="N1501" s="33">
        <f t="shared" si="155"/>
        <v>36280</v>
      </c>
      <c r="O1501" s="70">
        <f>53*1814</f>
        <v>96142</v>
      </c>
      <c r="P1501" s="34">
        <f t="shared" si="14"/>
        <v>53</v>
      </c>
      <c r="Q1501" s="60">
        <v>0.5</v>
      </c>
      <c r="R1501" s="36">
        <f t="shared" si="249"/>
        <v>1269.8</v>
      </c>
      <c r="S1501" s="71"/>
      <c r="T1501" s="37">
        <f t="shared" si="242"/>
        <v>1269.8</v>
      </c>
      <c r="U1501" s="62">
        <v>1.0617</v>
      </c>
      <c r="V1501" s="63">
        <v>19.86</v>
      </c>
      <c r="W1501" s="63">
        <v>148.4687425</v>
      </c>
      <c r="X1501" s="35" t="str">
        <f t="shared" si="243"/>
        <v>#N/A</v>
      </c>
      <c r="Y1501" s="35" t="str">
        <f t="shared" si="244"/>
        <v>#N/A</v>
      </c>
      <c r="Z1501" s="40" t="str">
        <f t="shared" si="245"/>
        <v>#N/A</v>
      </c>
      <c r="AA1501" s="34" t="str">
        <f t="shared" si="246"/>
        <v>#N/A</v>
      </c>
      <c r="AB1501" s="41" t="str">
        <f t="shared" si="247"/>
        <v>#N/A</v>
      </c>
      <c r="AC1501" s="42" t="b">
        <v>1</v>
      </c>
      <c r="AD1501" s="87" t="str">
        <f t="shared" si="248"/>
        <v>EUR</v>
      </c>
      <c r="AE1501" s="88" t="s">
        <v>138</v>
      </c>
      <c r="AF1501" s="88" t="str">
        <f t="array" ref="AF1501">INDEX('Deal Info'!D:D, MATCH(A1501,'Deal Info'!A:A, 0))</f>
        <v>#N/A</v>
      </c>
      <c r="AG1501" s="89" t="str">
        <f t="array" ref="AG1501">INDEX('Deal Info'!G:G, MATCH(A1501,'Deal Info'!A:A, 0))</f>
        <v>#N/A</v>
      </c>
    </row>
    <row r="1502" hidden="1">
      <c r="A1502" s="23" t="b">
        <f t="array" ref="A1502">if(G1502='Room Info'!$B$1, INDEX('Room Info'!$A$2:$A3446, MATCH(B1502,'Room Info'!$B$2:$B3446, 0)),if(G1502='Room Info'!$C$1, INDEX('Room Info'!$A$2:$A3446, MATCH(B1502,'Room Info'!$C$2:$C3446, 0)),if(G1502='Room Info'!$D$1, INDEX('Room Info'!$A$2:$A3446, MATCH(B1502,'Room Info'!$D$2:$D3446, 0)),if(G1502='Room Info'!$E$1, INDEX('Room Info'!$A$2:$A3446, MATCH(B1502,'Room Info'!$E$2:$E3446, 0)),if(G1502='Room Info'!$F$1, INDEX('Room Info'!$A$2:$A3446, MATCH(B1502,'Room Info'!$F$2:$F3446, 0)),if(G1502='Room Info'!$H$1, INDEX('Room Info'!$A$2:$A3446, MATCH(B1502,'Room Info'!$H$2:$H3446, 0)),if(G1502='Room Info'!$G$1, INDEX('Room Info'!$A$2:$A3446, MATCH(B1502,'Room Info'!$G$2:$G3446, 0)))))))))</f>
        <v>0</v>
      </c>
      <c r="B1502" s="101" t="s">
        <v>180</v>
      </c>
      <c r="C1502" s="82">
        <v>44958.0</v>
      </c>
      <c r="D1502" s="82">
        <v>44985.0</v>
      </c>
      <c r="E1502" s="26">
        <v>44958.0</v>
      </c>
      <c r="F1502" s="27" t="s">
        <v>12</v>
      </c>
      <c r="G1502" s="50" t="s">
        <v>19</v>
      </c>
      <c r="H1502" s="86" t="s">
        <v>39</v>
      </c>
      <c r="I1502" s="28" t="s">
        <v>7</v>
      </c>
      <c r="J1502" s="44">
        <f t="shared" si="241"/>
        <v>5</v>
      </c>
      <c r="K1502" s="56">
        <v>2.0</v>
      </c>
      <c r="L1502" s="132">
        <f>2523.56-2314.27+330-(R1502+R1503+R1504)+25</f>
        <v>-899.41</v>
      </c>
      <c r="M1502" s="67"/>
      <c r="N1502" s="33">
        <f t="shared" si="155"/>
        <v>10</v>
      </c>
      <c r="O1502" s="70">
        <f>84*2</f>
        <v>168</v>
      </c>
      <c r="P1502" s="34">
        <f t="shared" si="14"/>
        <v>84</v>
      </c>
      <c r="Q1502" s="60">
        <v>0.5</v>
      </c>
      <c r="R1502" s="36">
        <f t="shared" si="249"/>
        <v>0.35</v>
      </c>
      <c r="S1502" s="71"/>
      <c r="T1502" s="37">
        <f t="shared" si="242"/>
        <v>-899.06</v>
      </c>
      <c r="U1502" s="62">
        <v>1.062</v>
      </c>
      <c r="V1502" s="63">
        <v>11.71</v>
      </c>
      <c r="W1502" s="63">
        <v>48.19808417</v>
      </c>
      <c r="X1502" s="35" t="str">
        <f t="shared" si="243"/>
        <v>#N/A</v>
      </c>
      <c r="Y1502" s="35" t="str">
        <f t="shared" si="244"/>
        <v>#N/A</v>
      </c>
      <c r="Z1502" s="40" t="str">
        <f t="shared" si="245"/>
        <v>#N/A</v>
      </c>
      <c r="AA1502" s="34" t="str">
        <f t="shared" si="246"/>
        <v>#N/A</v>
      </c>
      <c r="AB1502" s="41" t="str">
        <f t="shared" si="247"/>
        <v>#N/A</v>
      </c>
      <c r="AC1502" s="42" t="b">
        <v>1</v>
      </c>
      <c r="AD1502" s="87" t="str">
        <f t="shared" si="248"/>
        <v>EUR</v>
      </c>
      <c r="AE1502" s="88" t="s">
        <v>138</v>
      </c>
      <c r="AF1502" s="88" t="str">
        <f t="array" ref="AF1502">INDEX('Deal Info'!D:D, MATCH(A1502,'Deal Info'!A:A, 0))</f>
        <v>#N/A</v>
      </c>
      <c r="AG1502" s="89" t="str">
        <f t="array" ref="AG1502">INDEX('Deal Info'!G:G, MATCH(A1502,'Deal Info'!A:A, 0))</f>
        <v>#N/A</v>
      </c>
    </row>
    <row r="1503" hidden="1">
      <c r="A1503" s="23" t="b">
        <f t="array" ref="A1503">if(G1503='Room Info'!$B$1, INDEX('Room Info'!$A$2:$A3446, MATCH(B1503,'Room Info'!$B$2:$B3446, 0)),if(G1503='Room Info'!$C$1, INDEX('Room Info'!$A$2:$A3446, MATCH(B1503,'Room Info'!$C$2:$C3446, 0)),if(G1503='Room Info'!$D$1, INDEX('Room Info'!$A$2:$A3446, MATCH(B1503,'Room Info'!$D$2:$D3446, 0)),if(G1503='Room Info'!$E$1, INDEX('Room Info'!$A$2:$A3446, MATCH(B1503,'Room Info'!$E$2:$E3446, 0)),if(G1503='Room Info'!$F$1, INDEX('Room Info'!$A$2:$A3446, MATCH(B1503,'Room Info'!$F$2:$F3446, 0)),if(G1503='Room Info'!$H$1, INDEX('Room Info'!$A$2:$A3446, MATCH(B1503,'Room Info'!$H$2:$H3446, 0)),if(G1503='Room Info'!$G$1, INDEX('Room Info'!$A$2:$A3446, MATCH(B1503,'Room Info'!$G$2:$G3446, 0)))))))))</f>
        <v>0</v>
      </c>
      <c r="B1503" s="101" t="s">
        <v>180</v>
      </c>
      <c r="C1503" s="82">
        <v>44958.0</v>
      </c>
      <c r="D1503" s="82">
        <v>44985.0</v>
      </c>
      <c r="E1503" s="26">
        <v>44958.0</v>
      </c>
      <c r="F1503" s="27" t="s">
        <v>12</v>
      </c>
      <c r="G1503" s="50" t="s">
        <v>19</v>
      </c>
      <c r="H1503" s="86" t="s">
        <v>50</v>
      </c>
      <c r="I1503" s="28" t="s">
        <v>7</v>
      </c>
      <c r="J1503" s="44">
        <f t="shared" si="241"/>
        <v>10</v>
      </c>
      <c r="K1503" s="56">
        <v>2959.0</v>
      </c>
      <c r="L1503" s="117"/>
      <c r="M1503" s="67"/>
      <c r="N1503" s="33">
        <f t="shared" si="155"/>
        <v>29590</v>
      </c>
      <c r="O1503" s="70">
        <f>47*2959</f>
        <v>139073</v>
      </c>
      <c r="P1503" s="34">
        <f t="shared" si="14"/>
        <v>47</v>
      </c>
      <c r="Q1503" s="60">
        <v>0.5</v>
      </c>
      <c r="R1503" s="36">
        <f t="shared" si="249"/>
        <v>1035.65</v>
      </c>
      <c r="S1503" s="71"/>
      <c r="T1503" s="37">
        <f t="shared" si="242"/>
        <v>1035.65</v>
      </c>
      <c r="U1503" s="62">
        <v>1.062</v>
      </c>
      <c r="V1503" s="63">
        <v>11.71</v>
      </c>
      <c r="W1503" s="63">
        <v>48.19808417</v>
      </c>
      <c r="X1503" s="35" t="str">
        <f t="shared" si="243"/>
        <v>#N/A</v>
      </c>
      <c r="Y1503" s="35" t="str">
        <f t="shared" si="244"/>
        <v>#N/A</v>
      </c>
      <c r="Z1503" s="40" t="str">
        <f t="shared" si="245"/>
        <v>#N/A</v>
      </c>
      <c r="AA1503" s="34" t="str">
        <f t="shared" si="246"/>
        <v>#N/A</v>
      </c>
      <c r="AB1503" s="41" t="str">
        <f t="shared" si="247"/>
        <v>#N/A</v>
      </c>
      <c r="AC1503" s="42" t="b">
        <v>1</v>
      </c>
      <c r="AD1503" s="87" t="str">
        <f t="shared" si="248"/>
        <v>EUR</v>
      </c>
      <c r="AE1503" s="88" t="s">
        <v>138</v>
      </c>
      <c r="AF1503" s="88" t="str">
        <f t="array" ref="AF1503">INDEX('Deal Info'!D:D, MATCH(A1503,'Deal Info'!A:A, 0))</f>
        <v>#N/A</v>
      </c>
      <c r="AG1503" s="89" t="str">
        <f t="array" ref="AG1503">INDEX('Deal Info'!G:G, MATCH(A1503,'Deal Info'!A:A, 0))</f>
        <v>#N/A</v>
      </c>
    </row>
    <row r="1504" hidden="1">
      <c r="A1504" s="23" t="b">
        <f t="array" ref="A1504">if(G1504='Room Info'!$B$1, INDEX('Room Info'!$A$2:$A3446, MATCH(B1504,'Room Info'!$B$2:$B3446, 0)),if(G1504='Room Info'!$C$1, INDEX('Room Info'!$A$2:$A3446, MATCH(B1504,'Room Info'!$C$2:$C3446, 0)),if(G1504='Room Info'!$D$1, INDEX('Room Info'!$A$2:$A3446, MATCH(B1504,'Room Info'!$D$2:$D3446, 0)),if(G1504='Room Info'!$E$1, INDEX('Room Info'!$A$2:$A3446, MATCH(B1504,'Room Info'!$E$2:$E3446, 0)),if(G1504='Room Info'!$F$1, INDEX('Room Info'!$A$2:$A3446, MATCH(B1504,'Room Info'!$F$2:$F3446, 0)),if(G1504='Room Info'!$H$1, INDEX('Room Info'!$A$2:$A3446, MATCH(B1504,'Room Info'!$H$2:$H3446, 0)),if(G1504='Room Info'!$G$1, INDEX('Room Info'!$A$2:$A3446, MATCH(B1504,'Room Info'!$G$2:$G3446, 0)))))))))</f>
        <v>0</v>
      </c>
      <c r="B1504" s="101" t="s">
        <v>180</v>
      </c>
      <c r="C1504" s="82">
        <v>44958.0</v>
      </c>
      <c r="D1504" s="82">
        <v>44985.0</v>
      </c>
      <c r="E1504" s="26">
        <v>44958.0</v>
      </c>
      <c r="F1504" s="27" t="s">
        <v>12</v>
      </c>
      <c r="G1504" s="50" t="s">
        <v>19</v>
      </c>
      <c r="H1504" s="86" t="s">
        <v>61</v>
      </c>
      <c r="I1504" s="28" t="s">
        <v>7</v>
      </c>
      <c r="J1504" s="44">
        <f t="shared" si="241"/>
        <v>20</v>
      </c>
      <c r="K1504" s="56">
        <v>611.0</v>
      </c>
      <c r="L1504" s="117"/>
      <c r="M1504" s="67"/>
      <c r="N1504" s="33">
        <f t="shared" si="155"/>
        <v>12220</v>
      </c>
      <c r="O1504" s="70">
        <f>-7*611</f>
        <v>-4277</v>
      </c>
      <c r="P1504" s="34">
        <f t="shared" si="14"/>
        <v>-7</v>
      </c>
      <c r="Q1504" s="60">
        <v>0.5</v>
      </c>
      <c r="R1504" s="36">
        <f t="shared" si="249"/>
        <v>427.7</v>
      </c>
      <c r="S1504" s="71"/>
      <c r="T1504" s="37">
        <f t="shared" si="242"/>
        <v>427.7</v>
      </c>
      <c r="U1504" s="62">
        <v>1.062</v>
      </c>
      <c r="V1504" s="63">
        <v>11.71</v>
      </c>
      <c r="W1504" s="63">
        <v>48.19808417</v>
      </c>
      <c r="X1504" s="35" t="str">
        <f t="shared" si="243"/>
        <v>#N/A</v>
      </c>
      <c r="Y1504" s="35" t="str">
        <f t="shared" si="244"/>
        <v>#N/A</v>
      </c>
      <c r="Z1504" s="40" t="str">
        <f t="shared" si="245"/>
        <v>#N/A</v>
      </c>
      <c r="AA1504" s="34" t="str">
        <f t="shared" si="246"/>
        <v>#N/A</v>
      </c>
      <c r="AB1504" s="41" t="str">
        <f t="shared" si="247"/>
        <v>#N/A</v>
      </c>
      <c r="AC1504" s="42" t="b">
        <v>1</v>
      </c>
      <c r="AD1504" s="87" t="str">
        <f t="shared" si="248"/>
        <v>EUR</v>
      </c>
      <c r="AE1504" s="88" t="s">
        <v>138</v>
      </c>
      <c r="AF1504" s="88" t="str">
        <f t="array" ref="AF1504">INDEX('Deal Info'!D:D, MATCH(A1504,'Deal Info'!A:A, 0))</f>
        <v>#N/A</v>
      </c>
      <c r="AG1504" s="89" t="str">
        <f t="array" ref="AG1504">INDEX('Deal Info'!G:G, MATCH(A1504,'Deal Info'!A:A, 0))</f>
        <v>#N/A</v>
      </c>
    </row>
    <row r="1505" hidden="1">
      <c r="A1505" s="23" t="b">
        <f t="array" ref="A1505">if(G1505='Room Info'!$B$1, INDEX('Room Info'!$A$2:$A3446, MATCH(B1505,'Room Info'!$B$2:$B3446, 0)),if(G1505='Room Info'!$C$1, INDEX('Room Info'!$A$2:$A3446, MATCH(B1505,'Room Info'!$C$2:$C3446, 0)),if(G1505='Room Info'!$D$1, INDEX('Room Info'!$A$2:$A3446, MATCH(B1505,'Room Info'!$D$2:$D3446, 0)),if(G1505='Room Info'!$E$1, INDEX('Room Info'!$A$2:$A3446, MATCH(B1505,'Room Info'!$E$2:$E3446, 0)),if(G1505='Room Info'!$F$1, INDEX('Room Info'!$A$2:$A3446, MATCH(B1505,'Room Info'!$F$2:$F3446, 0)),if(G1505='Room Info'!$H$1, INDEX('Room Info'!$A$2:$A3446, MATCH(B1505,'Room Info'!$H$2:$H3446, 0)),if(G1505='Room Info'!$G$1, INDEX('Room Info'!$A$2:$A3446, MATCH(B1505,'Room Info'!$G$2:$G3446, 0)))))))))</f>
        <v>0</v>
      </c>
      <c r="B1505" s="128" t="s">
        <v>212</v>
      </c>
      <c r="C1505" s="82">
        <v>44958.0</v>
      </c>
      <c r="D1505" s="82">
        <v>44985.0</v>
      </c>
      <c r="E1505" s="26">
        <v>44958.0</v>
      </c>
      <c r="F1505" s="27" t="s">
        <v>12</v>
      </c>
      <c r="G1505" s="50" t="s">
        <v>19</v>
      </c>
      <c r="H1505" s="86" t="s">
        <v>50</v>
      </c>
      <c r="I1505" s="28" t="s">
        <v>7</v>
      </c>
      <c r="J1505" s="44">
        <f t="shared" si="241"/>
        <v>10</v>
      </c>
      <c r="K1505" s="56">
        <v>8.0</v>
      </c>
      <c r="L1505" s="57">
        <v>1279.46</v>
      </c>
      <c r="M1505" s="67"/>
      <c r="N1505" s="33">
        <f t="shared" si="155"/>
        <v>80</v>
      </c>
      <c r="O1505" s="70">
        <f>-140*8</f>
        <v>-1120</v>
      </c>
      <c r="P1505" s="34">
        <f t="shared" si="14"/>
        <v>-140</v>
      </c>
      <c r="Q1505" s="60">
        <v>0.5</v>
      </c>
      <c r="R1505" s="36">
        <f t="shared" si="249"/>
        <v>2.8</v>
      </c>
      <c r="S1505" s="71"/>
      <c r="T1505" s="37">
        <f t="shared" si="242"/>
        <v>1282.26</v>
      </c>
      <c r="U1505" s="62">
        <v>1.062</v>
      </c>
      <c r="V1505" s="74">
        <v>27.338282078472957</v>
      </c>
      <c r="W1505" s="74">
        <v>85.22883747090769</v>
      </c>
      <c r="X1505" s="35" t="str">
        <f t="shared" si="243"/>
        <v>#N/A</v>
      </c>
      <c r="Y1505" s="35" t="str">
        <f t="shared" si="244"/>
        <v>#N/A</v>
      </c>
      <c r="Z1505" s="40" t="str">
        <f t="shared" si="245"/>
        <v>#N/A</v>
      </c>
      <c r="AA1505" s="34" t="str">
        <f t="shared" si="246"/>
        <v>#N/A</v>
      </c>
      <c r="AB1505" s="41" t="str">
        <f t="shared" si="247"/>
        <v>#N/A</v>
      </c>
      <c r="AC1505" s="42" t="b">
        <v>1</v>
      </c>
      <c r="AD1505" s="87" t="str">
        <f t="shared" si="248"/>
        <v>EUR</v>
      </c>
      <c r="AE1505" s="88" t="s">
        <v>138</v>
      </c>
      <c r="AF1505" s="88" t="str">
        <f t="array" ref="AF1505">INDEX('Deal Info'!D:D, MATCH(A1505,'Deal Info'!A:A, 0))</f>
        <v>#N/A</v>
      </c>
      <c r="AG1505" s="89" t="str">
        <f t="array" ref="AG1505">INDEX('Deal Info'!G:G, MATCH(A1505,'Deal Info'!A:A, 0))</f>
        <v>#N/A</v>
      </c>
    </row>
    <row r="1506" hidden="1">
      <c r="A1506" s="23" t="b">
        <f t="array" ref="A1506">if(G1506='Room Info'!$B$1, INDEX('Room Info'!$A$2:$A3446, MATCH(B1506,'Room Info'!$B$2:$B3446, 0)),if(G1506='Room Info'!$C$1, INDEX('Room Info'!$A$2:$A3446, MATCH(B1506,'Room Info'!$C$2:$C3446, 0)),if(G1506='Room Info'!$D$1, INDEX('Room Info'!$A$2:$A3446, MATCH(B1506,'Room Info'!$D$2:$D3446, 0)),if(G1506='Room Info'!$E$1, INDEX('Room Info'!$A$2:$A3446, MATCH(B1506,'Room Info'!$E$2:$E3446, 0)),if(G1506='Room Info'!$F$1, INDEX('Room Info'!$A$2:$A3446, MATCH(B1506,'Room Info'!$F$2:$F3446, 0)),if(G1506='Room Info'!$H$1, INDEX('Room Info'!$A$2:$A3446, MATCH(B1506,'Room Info'!$H$2:$H3446, 0)),if(G1506='Room Info'!$G$1, INDEX('Room Info'!$A$2:$A3446, MATCH(B1506,'Room Info'!$G$2:$G3446, 0)))))))))</f>
        <v>0</v>
      </c>
      <c r="B1506" s="128" t="s">
        <v>212</v>
      </c>
      <c r="C1506" s="82">
        <v>44958.0</v>
      </c>
      <c r="D1506" s="82">
        <v>44985.0</v>
      </c>
      <c r="E1506" s="26">
        <v>44958.0</v>
      </c>
      <c r="F1506" s="27" t="s">
        <v>12</v>
      </c>
      <c r="G1506" s="50" t="s">
        <v>19</v>
      </c>
      <c r="H1506" s="86" t="s">
        <v>61</v>
      </c>
      <c r="I1506" s="28" t="s">
        <v>7</v>
      </c>
      <c r="J1506" s="44">
        <f t="shared" si="241"/>
        <v>20</v>
      </c>
      <c r="K1506" s="56">
        <v>700.0</v>
      </c>
      <c r="L1506" s="117"/>
      <c r="M1506" s="67"/>
      <c r="N1506" s="33">
        <f t="shared" si="155"/>
        <v>14000</v>
      </c>
      <c r="O1506" s="70">
        <f>57*700</f>
        <v>39900</v>
      </c>
      <c r="P1506" s="34">
        <f t="shared" si="14"/>
        <v>57</v>
      </c>
      <c r="Q1506" s="60">
        <v>0.5</v>
      </c>
      <c r="R1506" s="36">
        <f t="shared" si="249"/>
        <v>490</v>
      </c>
      <c r="S1506" s="71"/>
      <c r="T1506" s="37">
        <f t="shared" si="242"/>
        <v>490</v>
      </c>
      <c r="U1506" s="62">
        <v>1.062</v>
      </c>
      <c r="V1506" s="74">
        <v>27.338282078472957</v>
      </c>
      <c r="W1506" s="74">
        <v>85.22883747090769</v>
      </c>
      <c r="X1506" s="35" t="str">
        <f t="shared" si="243"/>
        <v>#N/A</v>
      </c>
      <c r="Y1506" s="35" t="str">
        <f t="shared" si="244"/>
        <v>#N/A</v>
      </c>
      <c r="Z1506" s="40" t="str">
        <f t="shared" si="245"/>
        <v>#N/A</v>
      </c>
      <c r="AA1506" s="34" t="str">
        <f t="shared" si="246"/>
        <v>#N/A</v>
      </c>
      <c r="AB1506" s="41" t="str">
        <f t="shared" si="247"/>
        <v>#N/A</v>
      </c>
      <c r="AC1506" s="42" t="b">
        <v>1</v>
      </c>
      <c r="AD1506" s="87" t="str">
        <f t="shared" si="248"/>
        <v>EUR</v>
      </c>
      <c r="AE1506" s="88" t="s">
        <v>138</v>
      </c>
      <c r="AF1506" s="88" t="str">
        <f t="array" ref="AF1506">INDEX('Deal Info'!D:D, MATCH(A1506,'Deal Info'!A:A, 0))</f>
        <v>#N/A</v>
      </c>
      <c r="AG1506" s="89" t="str">
        <f t="array" ref="AG1506">INDEX('Deal Info'!G:G, MATCH(A1506,'Deal Info'!A:A, 0))</f>
        <v>#N/A</v>
      </c>
    </row>
    <row r="1507" hidden="1">
      <c r="A1507" s="23" t="b">
        <f t="array" ref="A1507">if(G1507='Room Info'!$B$1, INDEX('Room Info'!$A$2:$A3446, MATCH(B1507,'Room Info'!$B$2:$B3446, 0)),if(G1507='Room Info'!$C$1, INDEX('Room Info'!$A$2:$A3446, MATCH(B1507,'Room Info'!$C$2:$C3446, 0)),if(G1507='Room Info'!$D$1, INDEX('Room Info'!$A$2:$A3446, MATCH(B1507,'Room Info'!$D$2:$D3446, 0)),if(G1507='Room Info'!$E$1, INDEX('Room Info'!$A$2:$A3446, MATCH(B1507,'Room Info'!$E$2:$E3446, 0)),if(G1507='Room Info'!$F$1, INDEX('Room Info'!$A$2:$A3446, MATCH(B1507,'Room Info'!$F$2:$F3446, 0)),if(G1507='Room Info'!$H$1, INDEX('Room Info'!$A$2:$A3446, MATCH(B1507,'Room Info'!$H$2:$H3446, 0)),if(G1507='Room Info'!$G$1, INDEX('Room Info'!$A$2:$A3446, MATCH(B1507,'Room Info'!$G$2:$G3446, 0)))))))))</f>
        <v>0</v>
      </c>
      <c r="B1507" s="128" t="s">
        <v>212</v>
      </c>
      <c r="C1507" s="82">
        <v>44958.0</v>
      </c>
      <c r="D1507" s="82">
        <v>44985.0</v>
      </c>
      <c r="E1507" s="26">
        <v>44958.0</v>
      </c>
      <c r="F1507" s="27" t="s">
        <v>12</v>
      </c>
      <c r="G1507" s="50" t="s">
        <v>19</v>
      </c>
      <c r="H1507" s="86" t="s">
        <v>77</v>
      </c>
      <c r="I1507" s="28" t="s">
        <v>7</v>
      </c>
      <c r="J1507" s="44">
        <f t="shared" si="241"/>
        <v>50</v>
      </c>
      <c r="K1507" s="56">
        <v>233.0</v>
      </c>
      <c r="L1507" s="117"/>
      <c r="M1507" s="67"/>
      <c r="N1507" s="33">
        <f t="shared" si="155"/>
        <v>11650</v>
      </c>
      <c r="O1507" s="70">
        <f>112+233</f>
        <v>345</v>
      </c>
      <c r="P1507" s="34">
        <f t="shared" si="14"/>
        <v>1.480686695</v>
      </c>
      <c r="Q1507" s="60">
        <v>0.5</v>
      </c>
      <c r="R1507" s="36">
        <f t="shared" si="249"/>
        <v>407.75</v>
      </c>
      <c r="S1507" s="71"/>
      <c r="T1507" s="37">
        <f t="shared" si="242"/>
        <v>407.75</v>
      </c>
      <c r="U1507" s="62">
        <v>1.062</v>
      </c>
      <c r="V1507" s="74">
        <v>27.338282078472957</v>
      </c>
      <c r="W1507" s="74">
        <v>85.22883747090769</v>
      </c>
      <c r="X1507" s="35" t="str">
        <f t="shared" si="243"/>
        <v>#N/A</v>
      </c>
      <c r="Y1507" s="35" t="str">
        <f t="shared" si="244"/>
        <v>#N/A</v>
      </c>
      <c r="Z1507" s="40" t="str">
        <f t="shared" si="245"/>
        <v>#N/A</v>
      </c>
      <c r="AA1507" s="34" t="str">
        <f t="shared" si="246"/>
        <v>#N/A</v>
      </c>
      <c r="AB1507" s="41" t="str">
        <f t="shared" si="247"/>
        <v>#N/A</v>
      </c>
      <c r="AC1507" s="42" t="b">
        <v>1</v>
      </c>
      <c r="AD1507" s="87" t="str">
        <f t="shared" si="248"/>
        <v>EUR</v>
      </c>
      <c r="AE1507" s="88" t="s">
        <v>138</v>
      </c>
      <c r="AF1507" s="88" t="str">
        <f t="array" ref="AF1507">INDEX('Deal Info'!D:D, MATCH(A1507,'Deal Info'!A:A, 0))</f>
        <v>#N/A</v>
      </c>
      <c r="AG1507" s="89" t="str">
        <f t="array" ref="AG1507">INDEX('Deal Info'!G:G, MATCH(A1507,'Deal Info'!A:A, 0))</f>
        <v>#N/A</v>
      </c>
    </row>
    <row r="1508" hidden="1">
      <c r="A1508" s="23" t="str">
        <f t="array" ref="A1508">if(G1508='Room Info'!$B$1, INDEX('Room Info'!$A$2:$A3446, MATCH(B1508,'Room Info'!$B$2:$B3446, 0)),if(G1508='Room Info'!$C$1, INDEX('Room Info'!$A$2:$A3446, MATCH(B1508,'Room Info'!$C$2:$C3446, 0)),if(G1508='Room Info'!$D$1, INDEX('Room Info'!$A$2:$A3446, MATCH(B1508,'Room Info'!$D$2:$D3446, 0)),if(G1508='Room Info'!$E$1, INDEX('Room Info'!$A$2:$A3446, MATCH(B1508,'Room Info'!$E$2:$E3446, 0)),if(G1508='Room Info'!$F$1, INDEX('Room Info'!$A$2:$A3446, MATCH(B1508,'Room Info'!$F$2:$F3446, 0)),if(G1508='Room Info'!$H$1, INDEX('Room Info'!$A$2:$A3446, MATCH(B1508,'Room Info'!$H$2:$H3446, 0)),if(G1508='Room Info'!$G$1, INDEX('Room Info'!$A$2:$A3446, MATCH(B1508,'Room Info'!$G$2:$G3446, 0)))))))))</f>
        <v>TVREZ</v>
      </c>
      <c r="B1508" s="50" t="s">
        <v>227</v>
      </c>
      <c r="C1508" s="82">
        <v>44958.0</v>
      </c>
      <c r="D1508" s="82">
        <v>44985.0</v>
      </c>
      <c r="E1508" s="26">
        <v>44958.0</v>
      </c>
      <c r="F1508" s="50" t="s">
        <v>8</v>
      </c>
      <c r="G1508" s="23" t="s">
        <v>5</v>
      </c>
      <c r="H1508" s="54" t="s">
        <v>62</v>
      </c>
      <c r="I1508" s="28" t="s">
        <v>7</v>
      </c>
      <c r="J1508" s="44">
        <f t="shared" si="241"/>
        <v>25</v>
      </c>
      <c r="K1508" s="56">
        <v>3318.0</v>
      </c>
      <c r="L1508" s="57">
        <v>1625.0</v>
      </c>
      <c r="M1508" s="58">
        <v>3400.0</v>
      </c>
      <c r="N1508" s="33">
        <f t="shared" si="155"/>
        <v>82950</v>
      </c>
      <c r="O1508" s="59">
        <v>85333.0</v>
      </c>
      <c r="P1508" s="34">
        <f t="shared" si="14"/>
        <v>25.71820374</v>
      </c>
      <c r="Q1508" s="60"/>
      <c r="R1508" s="36">
        <f t="shared" si="249"/>
        <v>3400</v>
      </c>
      <c r="S1508" s="61">
        <v>-799.0</v>
      </c>
      <c r="T1508" s="37">
        <f t="shared" si="242"/>
        <v>2601</v>
      </c>
      <c r="U1508" s="62"/>
      <c r="V1508" s="74">
        <v>25.06013229104029</v>
      </c>
      <c r="W1508" s="74">
        <v>101.79515296940612</v>
      </c>
      <c r="X1508" s="35">
        <f t="shared" si="243"/>
        <v>0.17</v>
      </c>
      <c r="Y1508" s="35">
        <f t="shared" si="244"/>
        <v>0.1</v>
      </c>
      <c r="Z1508" s="40">
        <f t="shared" si="245"/>
        <v>1898.73</v>
      </c>
      <c r="AA1508" s="34">
        <f t="shared" si="246"/>
        <v>442.17</v>
      </c>
      <c r="AB1508" s="41">
        <f t="shared" si="247"/>
        <v>260.1</v>
      </c>
      <c r="AC1508" s="42" t="b">
        <v>1</v>
      </c>
      <c r="AD1508" s="87" t="str">
        <f t="shared" si="248"/>
        <v>USD</v>
      </c>
      <c r="AE1508" s="88" t="s">
        <v>138</v>
      </c>
      <c r="AF1508" s="88" t="str">
        <f t="array" ref="AF1508">INDEX('Deal Info'!D:D, MATCH(A1508,'Deal Info'!A:A, 0))</f>
        <v>DoEV</v>
      </c>
      <c r="AG1508" s="89" t="str">
        <f t="array" ref="AG1508">INDEX('Deal Info'!G:G, MATCH(A1508,'Deal Info'!A:A, 0))</f>
        <v>Fix10</v>
      </c>
    </row>
    <row r="1509" hidden="1">
      <c r="A1509" s="23" t="str">
        <f t="array" ref="A1509">if(G1509='Room Info'!$B$1, INDEX('Room Info'!$A$2:$A3446, MATCH(B1509,'Room Info'!$B$2:$B3446, 0)),if(G1509='Room Info'!$C$1, INDEX('Room Info'!$A$2:$A3446, MATCH(B1509,'Room Info'!$C$2:$C3446, 0)),if(G1509='Room Info'!$D$1, INDEX('Room Info'!$A$2:$A3446, MATCH(B1509,'Room Info'!$D$2:$D3446, 0)),if(G1509='Room Info'!$E$1, INDEX('Room Info'!$A$2:$A3446, MATCH(B1509,'Room Info'!$E$2:$E3446, 0)),if(G1509='Room Info'!$F$1, INDEX('Room Info'!$A$2:$A3446, MATCH(B1509,'Room Info'!$F$2:$F3446, 0)),if(G1509='Room Info'!$H$1, INDEX('Room Info'!$A$2:$A3446, MATCH(B1509,'Room Info'!$H$2:$H3446, 0)),if(G1509='Room Info'!$G$1, INDEX('Room Info'!$A$2:$A3446, MATCH(B1509,'Room Info'!$G$2:$G3446, 0)))))))))</f>
        <v>TVREZ</v>
      </c>
      <c r="B1509" s="50" t="s">
        <v>227</v>
      </c>
      <c r="C1509" s="82">
        <v>44958.0</v>
      </c>
      <c r="D1509" s="82">
        <v>44985.0</v>
      </c>
      <c r="E1509" s="26">
        <v>44958.0</v>
      </c>
      <c r="F1509" s="27" t="s">
        <v>12</v>
      </c>
      <c r="G1509" s="23" t="s">
        <v>5</v>
      </c>
      <c r="H1509" s="54" t="s">
        <v>74</v>
      </c>
      <c r="I1509" s="28" t="s">
        <v>7</v>
      </c>
      <c r="J1509" s="44">
        <f t="shared" si="241"/>
        <v>50</v>
      </c>
      <c r="K1509" s="56">
        <v>8.0</v>
      </c>
      <c r="L1509" s="57">
        <v>-50.0</v>
      </c>
      <c r="M1509" s="67"/>
      <c r="N1509" s="33">
        <f t="shared" si="155"/>
        <v>400</v>
      </c>
      <c r="O1509" s="59">
        <v>-50.0</v>
      </c>
      <c r="P1509" s="34">
        <f t="shared" si="14"/>
        <v>-6.25</v>
      </c>
      <c r="Q1509" s="60"/>
      <c r="R1509" s="36">
        <f t="shared" si="249"/>
        <v>0</v>
      </c>
      <c r="S1509" s="71"/>
      <c r="T1509" s="37">
        <f t="shared" si="242"/>
        <v>-50</v>
      </c>
      <c r="U1509" s="62"/>
      <c r="V1509" s="74">
        <v>25.06013229104029</v>
      </c>
      <c r="W1509" s="74">
        <v>101.79515296940612</v>
      </c>
      <c r="X1509" s="35">
        <f t="shared" si="243"/>
        <v>0.17</v>
      </c>
      <c r="Y1509" s="35">
        <f t="shared" si="244"/>
        <v>0.1</v>
      </c>
      <c r="Z1509" s="40">
        <f t="shared" si="245"/>
        <v>-36.5</v>
      </c>
      <c r="AA1509" s="34">
        <f t="shared" si="246"/>
        <v>-8.5</v>
      </c>
      <c r="AB1509" s="41">
        <f t="shared" si="247"/>
        <v>-5</v>
      </c>
      <c r="AC1509" s="42" t="b">
        <v>1</v>
      </c>
      <c r="AD1509" s="87" t="str">
        <f t="shared" si="248"/>
        <v>USD</v>
      </c>
      <c r="AE1509" s="88" t="s">
        <v>138</v>
      </c>
      <c r="AF1509" s="88" t="str">
        <f t="array" ref="AF1509">INDEX('Deal Info'!D:D, MATCH(A1509,'Deal Info'!A:A, 0))</f>
        <v>DoEV</v>
      </c>
      <c r="AG1509" s="89" t="str">
        <f t="array" ref="AG1509">INDEX('Deal Info'!G:G, MATCH(A1509,'Deal Info'!A:A, 0))</f>
        <v>Fix10</v>
      </c>
    </row>
    <row r="1510" hidden="1">
      <c r="A1510" s="23" t="str">
        <f t="array" ref="A1510">if(G1510='Room Info'!$B$1, INDEX('Room Info'!$A$2:$A3446, MATCH(B1510,'Room Info'!$B$2:$B3446, 0)),if(G1510='Room Info'!$C$1, INDEX('Room Info'!$A$2:$A3446, MATCH(B1510,'Room Info'!$C$2:$C3446, 0)),if(G1510='Room Info'!$D$1, INDEX('Room Info'!$A$2:$A3446, MATCH(B1510,'Room Info'!$D$2:$D3446, 0)),if(G1510='Room Info'!$E$1, INDEX('Room Info'!$A$2:$A3446, MATCH(B1510,'Room Info'!$E$2:$E3446, 0)),if(G1510='Room Info'!$F$1, INDEX('Room Info'!$A$2:$A3446, MATCH(B1510,'Room Info'!$F$2:$F3446, 0)),if(G1510='Room Info'!$H$1, INDEX('Room Info'!$A$2:$A3446, MATCH(B1510,'Room Info'!$H$2:$H3446, 0)),if(G1510='Room Info'!$G$1, INDEX('Room Info'!$A$2:$A3446, MATCH(B1510,'Room Info'!$G$2:$G3446, 0)))))))))</f>
        <v>DepositBeast</v>
      </c>
      <c r="B1510" s="59" t="s">
        <v>228</v>
      </c>
      <c r="C1510" s="82">
        <v>44958.0</v>
      </c>
      <c r="D1510" s="82">
        <v>44985.0</v>
      </c>
      <c r="E1510" s="26">
        <v>44958.0</v>
      </c>
      <c r="F1510" s="50" t="s">
        <v>8</v>
      </c>
      <c r="G1510" s="23" t="s">
        <v>5</v>
      </c>
      <c r="H1510" s="54" t="s">
        <v>62</v>
      </c>
      <c r="I1510" s="28" t="s">
        <v>7</v>
      </c>
      <c r="J1510" s="44">
        <f t="shared" si="241"/>
        <v>25</v>
      </c>
      <c r="K1510" s="56">
        <v>3028.0</v>
      </c>
      <c r="L1510" s="57">
        <v>-50.0</v>
      </c>
      <c r="M1510" s="58">
        <v>3452.0</v>
      </c>
      <c r="N1510" s="33">
        <f t="shared" si="155"/>
        <v>75700</v>
      </c>
      <c r="O1510" s="70">
        <f>3028*25</f>
        <v>75700</v>
      </c>
      <c r="P1510" s="34">
        <f t="shared" si="14"/>
        <v>25</v>
      </c>
      <c r="Q1510" s="60"/>
      <c r="R1510" s="36">
        <f t="shared" si="249"/>
        <v>3452</v>
      </c>
      <c r="S1510" s="61">
        <f>-1336</f>
        <v>-1336</v>
      </c>
      <c r="T1510" s="37">
        <f t="shared" si="242"/>
        <v>2116</v>
      </c>
      <c r="U1510" s="62"/>
      <c r="V1510" s="74">
        <v>26.84250764525994</v>
      </c>
      <c r="W1510" s="74">
        <v>56.85012816861293</v>
      </c>
      <c r="X1510" s="35">
        <f t="shared" si="243"/>
        <v>0.23</v>
      </c>
      <c r="Y1510" s="35">
        <f t="shared" si="244"/>
        <v>0</v>
      </c>
      <c r="Z1510" s="40">
        <f t="shared" si="245"/>
        <v>1629.32</v>
      </c>
      <c r="AA1510" s="34">
        <f t="shared" si="246"/>
        <v>486.68</v>
      </c>
      <c r="AB1510" s="41">
        <f t="shared" si="247"/>
        <v>0</v>
      </c>
      <c r="AC1510" s="42" t="b">
        <v>1</v>
      </c>
      <c r="AD1510" s="87" t="str">
        <f t="shared" si="248"/>
        <v>USD</v>
      </c>
      <c r="AE1510" s="88" t="s">
        <v>138</v>
      </c>
      <c r="AF1510" s="88" t="str">
        <f t="array" ref="AF1510">INDEX('Deal Info'!D:D, MATCH(A1510,'Deal Info'!A:A, 0))</f>
        <v>DoEV</v>
      </c>
      <c r="AG1510" s="89" t="str">
        <f t="array" ref="AG1510">INDEX('Deal Info'!G:G, MATCH(A1510,'Deal Info'!A:A, 0))</f>
        <v>None</v>
      </c>
    </row>
    <row r="1511" hidden="1">
      <c r="A1511" s="23" t="str">
        <f t="array" ref="A1511">if(G1511='Room Info'!$B$1, INDEX('Room Info'!$A$2:$A3446, MATCH(B1511,'Room Info'!$B$2:$B3446, 0)),if(G1511='Room Info'!$C$1, INDEX('Room Info'!$A$2:$A3446, MATCH(B1511,'Room Info'!$C$2:$C3446, 0)),if(G1511='Room Info'!$D$1, INDEX('Room Info'!$A$2:$A3446, MATCH(B1511,'Room Info'!$D$2:$D3446, 0)),if(G1511='Room Info'!$E$1, INDEX('Room Info'!$A$2:$A3446, MATCH(B1511,'Room Info'!$E$2:$E3446, 0)),if(G1511='Room Info'!$F$1, INDEX('Room Info'!$A$2:$A3446, MATCH(B1511,'Room Info'!$F$2:$F3446, 0)),if(G1511='Room Info'!$H$1, INDEX('Room Info'!$A$2:$A3446, MATCH(B1511,'Room Info'!$H$2:$H3446, 0)),if(G1511='Room Info'!$G$1, INDEX('Room Info'!$A$2:$A3446, MATCH(B1511,'Room Info'!$G$2:$G3446, 0)))))))))</f>
        <v>DepositBeast</v>
      </c>
      <c r="B1511" s="59" t="s">
        <v>228</v>
      </c>
      <c r="C1511" s="82">
        <v>44958.0</v>
      </c>
      <c r="D1511" s="82">
        <v>44985.0</v>
      </c>
      <c r="E1511" s="26">
        <v>44958.0</v>
      </c>
      <c r="F1511" s="27" t="s">
        <v>12</v>
      </c>
      <c r="G1511" s="23" t="s">
        <v>5</v>
      </c>
      <c r="H1511" s="54" t="s">
        <v>63</v>
      </c>
      <c r="I1511" s="54" t="s">
        <v>11</v>
      </c>
      <c r="J1511" s="44">
        <f t="shared" si="241"/>
        <v>25</v>
      </c>
      <c r="K1511" s="56">
        <v>1.0</v>
      </c>
      <c r="L1511" s="111">
        <v>-25.0</v>
      </c>
      <c r="M1511" s="67"/>
      <c r="N1511" s="33">
        <f t="shared" si="155"/>
        <v>25</v>
      </c>
      <c r="O1511" s="133"/>
      <c r="P1511" s="34">
        <f t="shared" si="14"/>
        <v>0</v>
      </c>
      <c r="Q1511" s="60"/>
      <c r="R1511" s="36">
        <f t="shared" si="249"/>
        <v>0</v>
      </c>
      <c r="S1511" s="122"/>
      <c r="T1511" s="37">
        <f t="shared" si="242"/>
        <v>-25</v>
      </c>
      <c r="U1511" s="62"/>
      <c r="V1511" s="74">
        <v>26.84250764525994</v>
      </c>
      <c r="W1511" s="74">
        <v>56.85012816861293</v>
      </c>
      <c r="X1511" s="35">
        <f t="shared" si="243"/>
        <v>0.23</v>
      </c>
      <c r="Y1511" s="35">
        <f t="shared" si="244"/>
        <v>0</v>
      </c>
      <c r="Z1511" s="40">
        <f t="shared" si="245"/>
        <v>-19.25</v>
      </c>
      <c r="AA1511" s="34">
        <f t="shared" si="246"/>
        <v>-5.75</v>
      </c>
      <c r="AB1511" s="41">
        <f t="shared" si="247"/>
        <v>0</v>
      </c>
      <c r="AC1511" s="42" t="b">
        <v>1</v>
      </c>
      <c r="AD1511" s="87" t="str">
        <f t="shared" si="248"/>
        <v>USD</v>
      </c>
      <c r="AE1511" s="88" t="s">
        <v>138</v>
      </c>
      <c r="AF1511" s="88" t="str">
        <f t="array" ref="AF1511">INDEX('Deal Info'!D:D, MATCH(A1511,'Deal Info'!A:A, 0))</f>
        <v>DoEV</v>
      </c>
      <c r="AG1511" s="89" t="str">
        <f t="array" ref="AG1511">INDEX('Deal Info'!G:G, MATCH(A1511,'Deal Info'!A:A, 0))</f>
        <v>None</v>
      </c>
    </row>
    <row r="1512" hidden="1">
      <c r="A1512" s="23" t="str">
        <f t="array" ref="A1512">if(G1512='Room Info'!$B$1, INDEX('Room Info'!$A$2:$A3446, MATCH(B1512,'Room Info'!$B$2:$B3446, 0)),if(G1512='Room Info'!$C$1, INDEX('Room Info'!$A$2:$A3446, MATCH(B1512,'Room Info'!$C$2:$C3446, 0)),if(G1512='Room Info'!$D$1, INDEX('Room Info'!$A$2:$A3446, MATCH(B1512,'Room Info'!$D$2:$D3446, 0)),if(G1512='Room Info'!$E$1, INDEX('Room Info'!$A$2:$A3446, MATCH(B1512,'Room Info'!$E$2:$E3446, 0)),if(G1512='Room Info'!$F$1, INDEX('Room Info'!$A$2:$A3446, MATCH(B1512,'Room Info'!$F$2:$F3446, 0)),if(G1512='Room Info'!$H$1, INDEX('Room Info'!$A$2:$A3446, MATCH(B1512,'Room Info'!$H$2:$H3446, 0)),if(G1512='Room Info'!$G$1, INDEX('Room Info'!$A$2:$A3446, MATCH(B1512,'Room Info'!$G$2:$G3446, 0)))))))))</f>
        <v>DepositBeast</v>
      </c>
      <c r="B1512" s="59" t="s">
        <v>228</v>
      </c>
      <c r="C1512" s="82">
        <v>44980.0</v>
      </c>
      <c r="D1512" s="82">
        <v>44985.0</v>
      </c>
      <c r="E1512" s="26">
        <v>44958.0</v>
      </c>
      <c r="F1512" s="50" t="s">
        <v>8</v>
      </c>
      <c r="G1512" s="23" t="s">
        <v>5</v>
      </c>
      <c r="H1512" s="54" t="s">
        <v>74</v>
      </c>
      <c r="I1512" s="28" t="s">
        <v>7</v>
      </c>
      <c r="J1512" s="44">
        <f t="shared" si="241"/>
        <v>50</v>
      </c>
      <c r="K1512" s="56">
        <v>238.0</v>
      </c>
      <c r="L1512" s="111">
        <v>3350.0</v>
      </c>
      <c r="M1512" s="67"/>
      <c r="N1512" s="33">
        <f t="shared" si="155"/>
        <v>11900</v>
      </c>
      <c r="O1512" s="133">
        <f>5*241</f>
        <v>1205</v>
      </c>
      <c r="P1512" s="34">
        <f t="shared" si="14"/>
        <v>5.06302521</v>
      </c>
      <c r="Q1512" s="60"/>
      <c r="R1512" s="36">
        <f t="shared" si="249"/>
        <v>0</v>
      </c>
      <c r="S1512" s="113">
        <v>-415.0</v>
      </c>
      <c r="T1512" s="37">
        <f t="shared" si="242"/>
        <v>-415</v>
      </c>
      <c r="U1512" s="62"/>
      <c r="V1512" s="74">
        <v>26.84250764525994</v>
      </c>
      <c r="W1512" s="74">
        <v>56.85012816861293</v>
      </c>
      <c r="X1512" s="35">
        <f t="shared" si="243"/>
        <v>0.23</v>
      </c>
      <c r="Y1512" s="35">
        <f t="shared" si="244"/>
        <v>0</v>
      </c>
      <c r="Z1512" s="40">
        <f t="shared" si="245"/>
        <v>-319.55</v>
      </c>
      <c r="AA1512" s="34">
        <f t="shared" si="246"/>
        <v>-95.45</v>
      </c>
      <c r="AB1512" s="41">
        <f t="shared" si="247"/>
        <v>0</v>
      </c>
      <c r="AC1512" s="42" t="b">
        <v>1</v>
      </c>
      <c r="AD1512" s="87" t="str">
        <f t="shared" si="248"/>
        <v>USD</v>
      </c>
      <c r="AE1512" s="88" t="s">
        <v>138</v>
      </c>
      <c r="AF1512" s="88" t="str">
        <f t="array" ref="AF1512">INDEX('Deal Info'!D:D, MATCH(A1512,'Deal Info'!A:A, 0))</f>
        <v>DoEV</v>
      </c>
      <c r="AG1512" s="89" t="str">
        <f t="array" ref="AG1512">INDEX('Deal Info'!G:G, MATCH(A1512,'Deal Info'!A:A, 0))</f>
        <v>None</v>
      </c>
    </row>
    <row r="1513" hidden="1">
      <c r="A1513" s="23" t="str">
        <f t="array" ref="A1513">if(G1513='Room Info'!$B$1, INDEX('Room Info'!$A$2:$A3446, MATCH(B1513,'Room Info'!$B$2:$B3446, 0)),if(G1513='Room Info'!$C$1, INDEX('Room Info'!$A$2:$A3446, MATCH(B1513,'Room Info'!$C$2:$C3446, 0)),if(G1513='Room Info'!$D$1, INDEX('Room Info'!$A$2:$A3446, MATCH(B1513,'Room Info'!$D$2:$D3446, 0)),if(G1513='Room Info'!$E$1, INDEX('Room Info'!$A$2:$A3446, MATCH(B1513,'Room Info'!$E$2:$E3446, 0)),if(G1513='Room Info'!$F$1, INDEX('Room Info'!$A$2:$A3446, MATCH(B1513,'Room Info'!$F$2:$F3446, 0)),if(G1513='Room Info'!$H$1, INDEX('Room Info'!$A$2:$A3446, MATCH(B1513,'Room Info'!$H$2:$H3446, 0)),if(G1513='Room Info'!$G$1, INDEX('Room Info'!$A$2:$A3446, MATCH(B1513,'Room Info'!$G$2:$G3446, 0)))))))))</f>
        <v>DepositBeast</v>
      </c>
      <c r="B1513" s="59" t="s">
        <v>228</v>
      </c>
      <c r="C1513" s="82">
        <v>44958.0</v>
      </c>
      <c r="D1513" s="82">
        <v>44980.0</v>
      </c>
      <c r="E1513" s="26">
        <v>44958.0</v>
      </c>
      <c r="F1513" s="27" t="s">
        <v>12</v>
      </c>
      <c r="G1513" s="23" t="s">
        <v>5</v>
      </c>
      <c r="H1513" s="54" t="s">
        <v>74</v>
      </c>
      <c r="I1513" s="28" t="s">
        <v>7</v>
      </c>
      <c r="J1513" s="44">
        <f t="shared" si="241"/>
        <v>50</v>
      </c>
      <c r="K1513" s="56">
        <f>241-238</f>
        <v>3</v>
      </c>
      <c r="L1513" s="111">
        <v>-150.0</v>
      </c>
      <c r="M1513" s="67"/>
      <c r="N1513" s="33">
        <f t="shared" si="155"/>
        <v>150</v>
      </c>
      <c r="O1513" s="133"/>
      <c r="P1513" s="34">
        <f t="shared" si="14"/>
        <v>0</v>
      </c>
      <c r="Q1513" s="60"/>
      <c r="R1513" s="36">
        <f t="shared" si="249"/>
        <v>0</v>
      </c>
      <c r="S1513" s="122"/>
      <c r="T1513" s="37">
        <f t="shared" si="242"/>
        <v>-150</v>
      </c>
      <c r="U1513" s="62"/>
      <c r="V1513" s="74">
        <v>26.84250764525994</v>
      </c>
      <c r="W1513" s="74">
        <v>56.85012816861293</v>
      </c>
      <c r="X1513" s="35">
        <f t="shared" si="243"/>
        <v>0.23</v>
      </c>
      <c r="Y1513" s="35">
        <f t="shared" si="244"/>
        <v>0</v>
      </c>
      <c r="Z1513" s="40">
        <f t="shared" si="245"/>
        <v>-115.5</v>
      </c>
      <c r="AA1513" s="34">
        <f t="shared" si="246"/>
        <v>-34.5</v>
      </c>
      <c r="AB1513" s="41">
        <f t="shared" si="247"/>
        <v>0</v>
      </c>
      <c r="AC1513" s="42" t="b">
        <v>1</v>
      </c>
      <c r="AD1513" s="87" t="str">
        <f t="shared" si="248"/>
        <v>USD</v>
      </c>
      <c r="AE1513" s="88" t="s">
        <v>138</v>
      </c>
      <c r="AF1513" s="88" t="str">
        <f t="array" ref="AF1513">INDEX('Deal Info'!D:D, MATCH(A1513,'Deal Info'!A:A, 0))</f>
        <v>DoEV</v>
      </c>
      <c r="AG1513" s="89" t="str">
        <f t="array" ref="AG1513">INDEX('Deal Info'!G:G, MATCH(A1513,'Deal Info'!A:A, 0))</f>
        <v>None</v>
      </c>
    </row>
    <row r="1514" hidden="1">
      <c r="A1514" s="23" t="str">
        <f t="array" ref="A1514">if(G1514='Room Info'!$B$1, INDEX('Room Info'!$A$2:$A3446, MATCH(B1514,'Room Info'!$B$2:$B3446, 0)),if(G1514='Room Info'!$C$1, INDEX('Room Info'!$A$2:$A3446, MATCH(B1514,'Room Info'!$C$2:$C3446, 0)),if(G1514='Room Info'!$D$1, INDEX('Room Info'!$A$2:$A3446, MATCH(B1514,'Room Info'!$D$2:$D3446, 0)),if(G1514='Room Info'!$E$1, INDEX('Room Info'!$A$2:$A3446, MATCH(B1514,'Room Info'!$E$2:$E3446, 0)),if(G1514='Room Info'!$F$1, INDEX('Room Info'!$A$2:$A3446, MATCH(B1514,'Room Info'!$F$2:$F3446, 0)),if(G1514='Room Info'!$H$1, INDEX('Room Info'!$A$2:$A3446, MATCH(B1514,'Room Info'!$H$2:$H3446, 0)),if(G1514='Room Info'!$G$1, INDEX('Room Info'!$A$2:$A3446, MATCH(B1514,'Room Info'!$G$2:$G3446, 0)))))))))</f>
        <v>benyya</v>
      </c>
      <c r="B1514" s="59" t="s">
        <v>177</v>
      </c>
      <c r="C1514" s="51">
        <v>44958.0</v>
      </c>
      <c r="D1514" s="51">
        <v>44985.0</v>
      </c>
      <c r="E1514" s="85">
        <v>44958.0</v>
      </c>
      <c r="F1514" s="50" t="s">
        <v>8</v>
      </c>
      <c r="G1514" s="23" t="s">
        <v>5</v>
      </c>
      <c r="H1514" s="54" t="s">
        <v>75</v>
      </c>
      <c r="I1514" s="54" t="s">
        <v>11</v>
      </c>
      <c r="J1514" s="44">
        <f t="shared" si="241"/>
        <v>50</v>
      </c>
      <c r="K1514" s="56">
        <v>3410.0</v>
      </c>
      <c r="L1514" s="111">
        <v>-3550.0</v>
      </c>
      <c r="M1514" s="58">
        <v>33900.0</v>
      </c>
      <c r="N1514" s="33">
        <f t="shared" si="155"/>
        <v>170500</v>
      </c>
      <c r="O1514" s="112">
        <v>33454.0</v>
      </c>
      <c r="P1514" s="34">
        <f t="shared" si="14"/>
        <v>9.810557185</v>
      </c>
      <c r="Q1514" s="60"/>
      <c r="R1514" s="36">
        <f t="shared" si="249"/>
        <v>33900</v>
      </c>
      <c r="S1514" s="113">
        <v>-4432.0</v>
      </c>
      <c r="T1514" s="37">
        <f t="shared" si="242"/>
        <v>29468</v>
      </c>
      <c r="U1514" s="62"/>
      <c r="V1514" s="63">
        <v>147.51</v>
      </c>
      <c r="W1514" s="63">
        <v>85.0</v>
      </c>
      <c r="X1514" s="35">
        <f t="shared" si="243"/>
        <v>0.1875</v>
      </c>
      <c r="Y1514" s="35">
        <f t="shared" si="244"/>
        <v>0.0625</v>
      </c>
      <c r="Z1514" s="40">
        <f t="shared" si="245"/>
        <v>22101</v>
      </c>
      <c r="AA1514" s="34">
        <f t="shared" si="246"/>
        <v>5525.25</v>
      </c>
      <c r="AB1514" s="41">
        <f t="shared" si="247"/>
        <v>1841.75</v>
      </c>
      <c r="AC1514" s="42" t="b">
        <v>1</v>
      </c>
      <c r="AD1514" s="87" t="str">
        <f t="shared" si="248"/>
        <v>USD</v>
      </c>
      <c r="AE1514" s="88" t="s">
        <v>138</v>
      </c>
      <c r="AF1514" s="88" t="s">
        <v>178</v>
      </c>
      <c r="AG1514" s="89" t="s">
        <v>179</v>
      </c>
    </row>
    <row r="1515" hidden="1">
      <c r="A1515" s="23" t="str">
        <f t="array" ref="A1515">if(G1515='Room Info'!$B$1, INDEX('Room Info'!$A$2:$A3446, MATCH(B1515,'Room Info'!$B$2:$B3446, 0)),if(G1515='Room Info'!$C$1, INDEX('Room Info'!$A$2:$A3446, MATCH(B1515,'Room Info'!$C$2:$C3446, 0)),if(G1515='Room Info'!$D$1, INDEX('Room Info'!$A$2:$A3446, MATCH(B1515,'Room Info'!$D$2:$D3446, 0)),if(G1515='Room Info'!$E$1, INDEX('Room Info'!$A$2:$A3446, MATCH(B1515,'Room Info'!$E$2:$E3446, 0)),if(G1515='Room Info'!$F$1, INDEX('Room Info'!$A$2:$A3446, MATCH(B1515,'Room Info'!$F$2:$F3446, 0)),if(G1515='Room Info'!$H$1, INDEX('Room Info'!$A$2:$A3446, MATCH(B1515,'Room Info'!$H$2:$H3446, 0)),if(G1515='Room Info'!$G$1, INDEX('Room Info'!$A$2:$A3446, MATCH(B1515,'Room Info'!$G$2:$G3446, 0)))))))))</f>
        <v>benyya</v>
      </c>
      <c r="B1515" s="59" t="s">
        <v>177</v>
      </c>
      <c r="C1515" s="51">
        <v>44958.0</v>
      </c>
      <c r="D1515" s="51">
        <v>44985.0</v>
      </c>
      <c r="E1515" s="85">
        <v>44958.0</v>
      </c>
      <c r="F1515" s="50" t="s">
        <v>8</v>
      </c>
      <c r="G1515" s="23" t="s">
        <v>5</v>
      </c>
      <c r="H1515" s="54" t="s">
        <v>85</v>
      </c>
      <c r="I1515" s="28" t="s">
        <v>7</v>
      </c>
      <c r="J1515" s="44">
        <f t="shared" si="241"/>
        <v>100</v>
      </c>
      <c r="K1515" s="56">
        <v>4.0</v>
      </c>
      <c r="L1515" s="111">
        <v>100.0</v>
      </c>
      <c r="M1515" s="67"/>
      <c r="N1515" s="33">
        <f t="shared" si="155"/>
        <v>400</v>
      </c>
      <c r="O1515" s="112">
        <v>1143.0</v>
      </c>
      <c r="P1515" s="34">
        <f t="shared" si="14"/>
        <v>285.75</v>
      </c>
      <c r="Q1515" s="60"/>
      <c r="R1515" s="36">
        <f t="shared" si="249"/>
        <v>0</v>
      </c>
      <c r="S1515" s="113">
        <v>196.0</v>
      </c>
      <c r="T1515" s="37">
        <f t="shared" si="242"/>
        <v>196</v>
      </c>
      <c r="U1515" s="62"/>
      <c r="V1515" s="63">
        <v>147.51</v>
      </c>
      <c r="W1515" s="63">
        <v>85.0</v>
      </c>
      <c r="X1515" s="35">
        <f t="shared" si="243"/>
        <v>0.1875</v>
      </c>
      <c r="Y1515" s="35">
        <f t="shared" si="244"/>
        <v>0.0625</v>
      </c>
      <c r="Z1515" s="40">
        <f t="shared" si="245"/>
        <v>147</v>
      </c>
      <c r="AA1515" s="34">
        <f t="shared" si="246"/>
        <v>36.75</v>
      </c>
      <c r="AB1515" s="41">
        <f t="shared" si="247"/>
        <v>12.25</v>
      </c>
      <c r="AC1515" s="42" t="b">
        <v>1</v>
      </c>
      <c r="AD1515" s="87" t="str">
        <f t="shared" si="248"/>
        <v>USD</v>
      </c>
      <c r="AE1515" s="88" t="s">
        <v>138</v>
      </c>
      <c r="AF1515" s="88" t="s">
        <v>178</v>
      </c>
      <c r="AG1515" s="89" t="s">
        <v>179</v>
      </c>
    </row>
    <row r="1516" hidden="1">
      <c r="A1516" s="23" t="str">
        <f t="array" ref="A1516">if(G1516='Room Info'!$B$1, INDEX('Room Info'!$A$2:$A3446, MATCH(B1516,'Room Info'!$B$2:$B3446, 0)),if(G1516='Room Info'!$C$1, INDEX('Room Info'!$A$2:$A3446, MATCH(B1516,'Room Info'!$C$2:$C3446, 0)),if(G1516='Room Info'!$D$1, INDEX('Room Info'!$A$2:$A3446, MATCH(B1516,'Room Info'!$D$2:$D3446, 0)),if(G1516='Room Info'!$E$1, INDEX('Room Info'!$A$2:$A3446, MATCH(B1516,'Room Info'!$E$2:$E3446, 0)),if(G1516='Room Info'!$F$1, INDEX('Room Info'!$A$2:$A3446, MATCH(B1516,'Room Info'!$F$2:$F3446, 0)),if(G1516='Room Info'!$H$1, INDEX('Room Info'!$A$2:$A3446, MATCH(B1516,'Room Info'!$H$2:$H3446, 0)),if(G1516='Room Info'!$G$1, INDEX('Room Info'!$A$2:$A3446, MATCH(B1516,'Room Info'!$G$2:$G3446, 0)))))))))</f>
        <v>benyya</v>
      </c>
      <c r="B1516" s="59" t="s">
        <v>177</v>
      </c>
      <c r="C1516" s="51">
        <v>44958.0</v>
      </c>
      <c r="D1516" s="51">
        <v>44985.0</v>
      </c>
      <c r="E1516" s="85">
        <v>44958.0</v>
      </c>
      <c r="F1516" s="50" t="s">
        <v>8</v>
      </c>
      <c r="G1516" s="23" t="s">
        <v>5</v>
      </c>
      <c r="H1516" s="54" t="s">
        <v>86</v>
      </c>
      <c r="I1516" s="54" t="s">
        <v>11</v>
      </c>
      <c r="J1516" s="44">
        <f t="shared" si="241"/>
        <v>100</v>
      </c>
      <c r="K1516" s="56">
        <v>4093.0</v>
      </c>
      <c r="L1516" s="111">
        <v>-14800.0</v>
      </c>
      <c r="M1516" s="67"/>
      <c r="N1516" s="33">
        <f t="shared" si="155"/>
        <v>409300</v>
      </c>
      <c r="O1516" s="112">
        <v>23592.0</v>
      </c>
      <c r="P1516" s="34">
        <f t="shared" si="14"/>
        <v>5.763987295</v>
      </c>
      <c r="Q1516" s="60"/>
      <c r="R1516" s="36">
        <f t="shared" si="249"/>
        <v>0</v>
      </c>
      <c r="S1516" s="113">
        <v>-11585.0</v>
      </c>
      <c r="T1516" s="37">
        <f t="shared" si="242"/>
        <v>-11585</v>
      </c>
      <c r="U1516" s="62"/>
      <c r="V1516" s="63">
        <v>147.51</v>
      </c>
      <c r="W1516" s="63">
        <v>85.0</v>
      </c>
      <c r="X1516" s="35">
        <f t="shared" si="243"/>
        <v>0.1875</v>
      </c>
      <c r="Y1516" s="35">
        <f t="shared" si="244"/>
        <v>0.0625</v>
      </c>
      <c r="Z1516" s="40">
        <f t="shared" si="245"/>
        <v>-8688.75</v>
      </c>
      <c r="AA1516" s="34">
        <f t="shared" si="246"/>
        <v>-2172.1875</v>
      </c>
      <c r="AB1516" s="41">
        <f t="shared" si="247"/>
        <v>-724.0625</v>
      </c>
      <c r="AC1516" s="42" t="b">
        <v>1</v>
      </c>
      <c r="AD1516" s="87" t="str">
        <f t="shared" si="248"/>
        <v>USD</v>
      </c>
      <c r="AE1516" s="88" t="s">
        <v>138</v>
      </c>
      <c r="AF1516" s="88" t="s">
        <v>178</v>
      </c>
      <c r="AG1516" s="89" t="s">
        <v>179</v>
      </c>
    </row>
    <row r="1517" hidden="1">
      <c r="A1517" s="23" t="str">
        <f t="array" ref="A1517">if(G1517='Room Info'!$B$1, INDEX('Room Info'!$A$2:$A3446, MATCH(B1517,'Room Info'!$B$2:$B3446, 0)),if(G1517='Room Info'!$C$1, INDEX('Room Info'!$A$2:$A3446, MATCH(B1517,'Room Info'!$C$2:$C3446, 0)),if(G1517='Room Info'!$D$1, INDEX('Room Info'!$A$2:$A3446, MATCH(B1517,'Room Info'!$D$2:$D3446, 0)),if(G1517='Room Info'!$E$1, INDEX('Room Info'!$A$2:$A3446, MATCH(B1517,'Room Info'!$E$2:$E3446, 0)),if(G1517='Room Info'!$F$1, INDEX('Room Info'!$A$2:$A3446, MATCH(B1517,'Room Info'!$F$2:$F3446, 0)),if(G1517='Room Info'!$H$1, INDEX('Room Info'!$A$2:$A3446, MATCH(B1517,'Room Info'!$H$2:$H3446, 0)),if(G1517='Room Info'!$G$1, INDEX('Room Info'!$A$2:$A3446, MATCH(B1517,'Room Info'!$G$2:$G3446, 0)))))))))</f>
        <v>benyya</v>
      </c>
      <c r="B1517" s="59" t="s">
        <v>177</v>
      </c>
      <c r="C1517" s="51">
        <v>44958.0</v>
      </c>
      <c r="D1517" s="51">
        <v>44985.0</v>
      </c>
      <c r="E1517" s="85">
        <v>44958.0</v>
      </c>
      <c r="F1517" s="50" t="s">
        <v>8</v>
      </c>
      <c r="G1517" s="23" t="s">
        <v>5</v>
      </c>
      <c r="H1517" s="54" t="s">
        <v>96</v>
      </c>
      <c r="I1517" s="28" t="s">
        <v>7</v>
      </c>
      <c r="J1517" s="44">
        <f t="shared" si="241"/>
        <v>250</v>
      </c>
      <c r="K1517" s="56">
        <v>537.0</v>
      </c>
      <c r="L1517" s="111">
        <v>-15250.0</v>
      </c>
      <c r="M1517" s="67"/>
      <c r="N1517" s="33">
        <f t="shared" si="155"/>
        <v>134250</v>
      </c>
      <c r="O1517" s="112">
        <v>10562.0</v>
      </c>
      <c r="P1517" s="34">
        <f t="shared" si="14"/>
        <v>19.66852886</v>
      </c>
      <c r="Q1517" s="60"/>
      <c r="R1517" s="36">
        <f t="shared" si="249"/>
        <v>0</v>
      </c>
      <c r="S1517" s="113">
        <v>-934.0</v>
      </c>
      <c r="T1517" s="37">
        <f t="shared" si="242"/>
        <v>-934</v>
      </c>
      <c r="U1517" s="62"/>
      <c r="V1517" s="63">
        <v>147.51</v>
      </c>
      <c r="W1517" s="63">
        <v>85.0</v>
      </c>
      <c r="X1517" s="35">
        <f t="shared" si="243"/>
        <v>0.1875</v>
      </c>
      <c r="Y1517" s="35">
        <f t="shared" si="244"/>
        <v>0.0625</v>
      </c>
      <c r="Z1517" s="40">
        <f t="shared" si="245"/>
        <v>-700.5</v>
      </c>
      <c r="AA1517" s="34">
        <f t="shared" si="246"/>
        <v>-175.125</v>
      </c>
      <c r="AB1517" s="41">
        <f t="shared" si="247"/>
        <v>-58.375</v>
      </c>
      <c r="AC1517" s="42" t="b">
        <v>1</v>
      </c>
      <c r="AD1517" s="87" t="str">
        <f t="shared" si="248"/>
        <v>USD</v>
      </c>
      <c r="AE1517" s="88" t="s">
        <v>138</v>
      </c>
      <c r="AF1517" s="88" t="s">
        <v>178</v>
      </c>
      <c r="AG1517" s="89" t="s">
        <v>179</v>
      </c>
    </row>
    <row r="1518" hidden="1">
      <c r="A1518" s="23" t="str">
        <f t="array" ref="A1518">if(G1518='Room Info'!$B$1, INDEX('Room Info'!$A$2:$A3446, MATCH(B1518,'Room Info'!$B$2:$B3446, 0)),if(G1518='Room Info'!$C$1, INDEX('Room Info'!$A$2:$A3446, MATCH(B1518,'Room Info'!$C$2:$C3446, 0)),if(G1518='Room Info'!$D$1, INDEX('Room Info'!$A$2:$A3446, MATCH(B1518,'Room Info'!$D$2:$D3446, 0)),if(G1518='Room Info'!$E$1, INDEX('Room Info'!$A$2:$A3446, MATCH(B1518,'Room Info'!$E$2:$E3446, 0)),if(G1518='Room Info'!$F$1, INDEX('Room Info'!$A$2:$A3446, MATCH(B1518,'Room Info'!$F$2:$F3446, 0)),if(G1518='Room Info'!$H$1, INDEX('Room Info'!$A$2:$A3446, MATCH(B1518,'Room Info'!$H$2:$H3446, 0)),if(G1518='Room Info'!$G$1, INDEX('Room Info'!$A$2:$A3446, MATCH(B1518,'Room Info'!$G$2:$G3446, 0)))))))))</f>
        <v>benyya</v>
      </c>
      <c r="B1518" s="59" t="s">
        <v>177</v>
      </c>
      <c r="C1518" s="51">
        <v>44958.0</v>
      </c>
      <c r="D1518" s="51">
        <v>44985.0</v>
      </c>
      <c r="E1518" s="85">
        <v>44958.0</v>
      </c>
      <c r="F1518" s="50" t="s">
        <v>8</v>
      </c>
      <c r="G1518" s="23" t="s">
        <v>5</v>
      </c>
      <c r="H1518" s="54" t="s">
        <v>97</v>
      </c>
      <c r="I1518" s="54" t="s">
        <v>11</v>
      </c>
      <c r="J1518" s="44">
        <f t="shared" si="241"/>
        <v>250</v>
      </c>
      <c r="K1518" s="56">
        <v>698.0</v>
      </c>
      <c r="L1518" s="111">
        <v>4250.0</v>
      </c>
      <c r="M1518" s="67"/>
      <c r="N1518" s="33">
        <f t="shared" si="155"/>
        <v>174500</v>
      </c>
      <c r="O1518" s="112">
        <v>7603.0</v>
      </c>
      <c r="P1518" s="34">
        <f t="shared" si="14"/>
        <v>10.89255014</v>
      </c>
      <c r="Q1518" s="60"/>
      <c r="R1518" s="36">
        <f t="shared" si="249"/>
        <v>0</v>
      </c>
      <c r="S1518" s="113">
        <v>-1709.0</v>
      </c>
      <c r="T1518" s="37">
        <f t="shared" si="242"/>
        <v>-1709</v>
      </c>
      <c r="U1518" s="62"/>
      <c r="V1518" s="63">
        <v>147.51</v>
      </c>
      <c r="W1518" s="63">
        <v>85.0</v>
      </c>
      <c r="X1518" s="35">
        <f t="shared" si="243"/>
        <v>0.1875</v>
      </c>
      <c r="Y1518" s="35">
        <f t="shared" si="244"/>
        <v>0.0625</v>
      </c>
      <c r="Z1518" s="40">
        <f t="shared" si="245"/>
        <v>-1281.75</v>
      </c>
      <c r="AA1518" s="34">
        <f t="shared" si="246"/>
        <v>-320.4375</v>
      </c>
      <c r="AB1518" s="41">
        <f t="shared" si="247"/>
        <v>-106.8125</v>
      </c>
      <c r="AC1518" s="42" t="b">
        <v>1</v>
      </c>
      <c r="AD1518" s="87" t="str">
        <f t="shared" si="248"/>
        <v>USD</v>
      </c>
      <c r="AE1518" s="88" t="s">
        <v>138</v>
      </c>
      <c r="AF1518" s="88" t="s">
        <v>178</v>
      </c>
      <c r="AG1518" s="89" t="s">
        <v>179</v>
      </c>
    </row>
    <row r="1519" hidden="1">
      <c r="A1519" s="23" t="str">
        <f t="array" ref="A1519">if(G1519='Room Info'!$B$1, INDEX('Room Info'!$A$2:$A3446, MATCH(B1519,'Room Info'!$B$2:$B3446, 0)),if(G1519='Room Info'!$C$1, INDEX('Room Info'!$A$2:$A3446, MATCH(B1519,'Room Info'!$C$2:$C3446, 0)),if(G1519='Room Info'!$D$1, INDEX('Room Info'!$A$2:$A3446, MATCH(B1519,'Room Info'!$D$2:$D3446, 0)),if(G1519='Room Info'!$E$1, INDEX('Room Info'!$A$2:$A3446, MATCH(B1519,'Room Info'!$E$2:$E3446, 0)),if(G1519='Room Info'!$F$1, INDEX('Room Info'!$A$2:$A3446, MATCH(B1519,'Room Info'!$F$2:$F3446, 0)),if(G1519='Room Info'!$H$1, INDEX('Room Info'!$A$2:$A3446, MATCH(B1519,'Room Info'!$H$2:$H3446, 0)),if(G1519='Room Info'!$G$1, INDEX('Room Info'!$A$2:$A3446, MATCH(B1519,'Room Info'!$G$2:$G3446, 0)))))))))</f>
        <v>benyya</v>
      </c>
      <c r="B1519" s="59" t="s">
        <v>177</v>
      </c>
      <c r="C1519" s="51">
        <v>44958.0</v>
      </c>
      <c r="D1519" s="51">
        <v>44985.0</v>
      </c>
      <c r="E1519" s="85">
        <v>44958.0</v>
      </c>
      <c r="F1519" s="50" t="s">
        <v>8</v>
      </c>
      <c r="G1519" s="23" t="s">
        <v>5</v>
      </c>
      <c r="H1519" s="54" t="s">
        <v>101</v>
      </c>
      <c r="I1519" s="28" t="s">
        <v>7</v>
      </c>
      <c r="J1519" s="44">
        <f t="shared" si="241"/>
        <v>500</v>
      </c>
      <c r="K1519" s="56">
        <v>64.0</v>
      </c>
      <c r="L1519" s="57">
        <v>4500.0</v>
      </c>
      <c r="M1519" s="67"/>
      <c r="N1519" s="33">
        <f t="shared" si="155"/>
        <v>32000</v>
      </c>
      <c r="O1519" s="59">
        <v>2953.0</v>
      </c>
      <c r="P1519" s="34">
        <f t="shared" si="14"/>
        <v>46.140625</v>
      </c>
      <c r="Q1519" s="60"/>
      <c r="R1519" s="36">
        <f t="shared" si="249"/>
        <v>0</v>
      </c>
      <c r="S1519" s="61">
        <v>1397.0</v>
      </c>
      <c r="T1519" s="37">
        <f t="shared" si="242"/>
        <v>1397</v>
      </c>
      <c r="U1519" s="62"/>
      <c r="V1519" s="63">
        <v>147.51</v>
      </c>
      <c r="W1519" s="63">
        <v>85.0</v>
      </c>
      <c r="X1519" s="35">
        <f t="shared" si="243"/>
        <v>0.1875</v>
      </c>
      <c r="Y1519" s="35">
        <f t="shared" si="244"/>
        <v>0.0625</v>
      </c>
      <c r="Z1519" s="40">
        <f t="shared" si="245"/>
        <v>1047.75</v>
      </c>
      <c r="AA1519" s="34">
        <f t="shared" si="246"/>
        <v>261.9375</v>
      </c>
      <c r="AB1519" s="41">
        <f t="shared" si="247"/>
        <v>87.3125</v>
      </c>
      <c r="AC1519" s="42" t="b">
        <v>1</v>
      </c>
      <c r="AD1519" s="87" t="str">
        <f t="shared" si="248"/>
        <v>USD</v>
      </c>
      <c r="AE1519" s="88" t="s">
        <v>138</v>
      </c>
      <c r="AF1519" s="88" t="s">
        <v>178</v>
      </c>
      <c r="AG1519" s="89" t="s">
        <v>179</v>
      </c>
    </row>
    <row r="1520" hidden="1">
      <c r="A1520" s="23" t="str">
        <f t="array" ref="A1520">if(G1520='Room Info'!$B$1, INDEX('Room Info'!$A$2:$A3446, MATCH(B1520,'Room Info'!$B$2:$B3446, 0)),if(G1520='Room Info'!$C$1, INDEX('Room Info'!$A$2:$A3446, MATCH(B1520,'Room Info'!$C$2:$C3446, 0)),if(G1520='Room Info'!$D$1, INDEX('Room Info'!$A$2:$A3446, MATCH(B1520,'Room Info'!$D$2:$D3446, 0)),if(G1520='Room Info'!$E$1, INDEX('Room Info'!$A$2:$A3446, MATCH(B1520,'Room Info'!$E$2:$E3446, 0)),if(G1520='Room Info'!$F$1, INDEX('Room Info'!$A$2:$A3446, MATCH(B1520,'Room Info'!$F$2:$F3446, 0)),if(G1520='Room Info'!$H$1, INDEX('Room Info'!$A$2:$A3446, MATCH(B1520,'Room Info'!$H$2:$H3446, 0)),if(G1520='Room Info'!$G$1, INDEX('Room Info'!$A$2:$A3446, MATCH(B1520,'Room Info'!$G$2:$G3446, 0)))))))))</f>
        <v>benyya</v>
      </c>
      <c r="B1520" s="59" t="s">
        <v>177</v>
      </c>
      <c r="C1520" s="51">
        <v>44958.0</v>
      </c>
      <c r="D1520" s="51">
        <v>44985.0</v>
      </c>
      <c r="E1520" s="85">
        <v>44958.0</v>
      </c>
      <c r="F1520" s="50" t="s">
        <v>8</v>
      </c>
      <c r="G1520" s="23" t="s">
        <v>5</v>
      </c>
      <c r="H1520" s="54" t="s">
        <v>102</v>
      </c>
      <c r="I1520" s="54" t="s">
        <v>11</v>
      </c>
      <c r="J1520" s="44">
        <f t="shared" si="241"/>
        <v>500</v>
      </c>
      <c r="K1520" s="56">
        <v>90.0</v>
      </c>
      <c r="L1520" s="57">
        <v>-4500.0</v>
      </c>
      <c r="M1520" s="67"/>
      <c r="N1520" s="33">
        <f t="shared" si="155"/>
        <v>45000</v>
      </c>
      <c r="O1520" s="59">
        <v>860.0</v>
      </c>
      <c r="P1520" s="34">
        <f t="shared" si="14"/>
        <v>9.555555556</v>
      </c>
      <c r="Q1520" s="60"/>
      <c r="R1520" s="36">
        <f t="shared" si="249"/>
        <v>0</v>
      </c>
      <c r="S1520" s="61">
        <v>-592.0</v>
      </c>
      <c r="T1520" s="37">
        <f t="shared" si="242"/>
        <v>-592</v>
      </c>
      <c r="U1520" s="62"/>
      <c r="V1520" s="63">
        <v>147.51</v>
      </c>
      <c r="W1520" s="63">
        <v>85.0</v>
      </c>
      <c r="X1520" s="35">
        <f t="shared" si="243"/>
        <v>0.1875</v>
      </c>
      <c r="Y1520" s="35">
        <f t="shared" si="244"/>
        <v>0.0625</v>
      </c>
      <c r="Z1520" s="40">
        <f t="shared" si="245"/>
        <v>-444</v>
      </c>
      <c r="AA1520" s="34">
        <f t="shared" si="246"/>
        <v>-111</v>
      </c>
      <c r="AB1520" s="41">
        <f t="shared" si="247"/>
        <v>-37</v>
      </c>
      <c r="AC1520" s="42" t="b">
        <v>1</v>
      </c>
      <c r="AD1520" s="87" t="str">
        <f t="shared" si="248"/>
        <v>USD</v>
      </c>
      <c r="AE1520" s="88" t="s">
        <v>138</v>
      </c>
      <c r="AF1520" s="88" t="s">
        <v>178</v>
      </c>
      <c r="AG1520" s="89" t="s">
        <v>179</v>
      </c>
    </row>
    <row r="1521" hidden="1">
      <c r="A1521" s="23" t="str">
        <f t="array" ref="A1521">if(G1521='Room Info'!$B$1, INDEX('Room Info'!$A$2:$A3446, MATCH(B1521,'Room Info'!$B$2:$B3446, 0)),if(G1521='Room Info'!$C$1, INDEX('Room Info'!$A$2:$A3446, MATCH(B1521,'Room Info'!$C$2:$C3446, 0)),if(G1521='Room Info'!$D$1, INDEX('Room Info'!$A$2:$A3446, MATCH(B1521,'Room Info'!$D$2:$D3446, 0)),if(G1521='Room Info'!$E$1, INDEX('Room Info'!$A$2:$A3446, MATCH(B1521,'Room Info'!$E$2:$E3446, 0)),if(G1521='Room Info'!$F$1, INDEX('Room Info'!$A$2:$A3446, MATCH(B1521,'Room Info'!$F$2:$F3446, 0)),if(G1521='Room Info'!$H$1, INDEX('Room Info'!$A$2:$A3446, MATCH(B1521,'Room Info'!$H$2:$H3446, 0)),if(G1521='Room Info'!$G$1, INDEX('Room Info'!$A$2:$A3446, MATCH(B1521,'Room Info'!$G$2:$G3446, 0)))))))))</f>
        <v>benyya</v>
      </c>
      <c r="B1521" s="59" t="s">
        <v>177</v>
      </c>
      <c r="C1521" s="51">
        <v>44958.0</v>
      </c>
      <c r="D1521" s="51">
        <v>44985.0</v>
      </c>
      <c r="E1521" s="85">
        <v>44958.0</v>
      </c>
      <c r="F1521" s="50" t="s">
        <v>8</v>
      </c>
      <c r="G1521" s="130" t="s">
        <v>13</v>
      </c>
      <c r="H1521" s="54" t="s">
        <v>85</v>
      </c>
      <c r="I1521" s="54" t="s">
        <v>18</v>
      </c>
      <c r="J1521" s="44">
        <f t="shared" si="241"/>
        <v>100</v>
      </c>
      <c r="K1521" s="56">
        <v>3366.0</v>
      </c>
      <c r="L1521" s="57">
        <v>-20000.0</v>
      </c>
      <c r="M1521" s="67">
        <f>13478+2250</f>
        <v>15728</v>
      </c>
      <c r="N1521" s="33">
        <f t="shared" si="155"/>
        <v>336600</v>
      </c>
      <c r="O1521" s="70"/>
      <c r="P1521" s="34">
        <f t="shared" si="14"/>
        <v>0</v>
      </c>
      <c r="Q1521" s="60"/>
      <c r="R1521" s="36">
        <f t="shared" si="249"/>
        <v>15728</v>
      </c>
      <c r="S1521" s="61">
        <v>-15532.0</v>
      </c>
      <c r="T1521" s="37">
        <f t="shared" si="242"/>
        <v>196</v>
      </c>
      <c r="U1521" s="62"/>
      <c r="V1521" s="63">
        <v>147.51</v>
      </c>
      <c r="W1521" s="63">
        <v>85.0</v>
      </c>
      <c r="X1521" s="35">
        <f t="shared" si="243"/>
        <v>0.1875</v>
      </c>
      <c r="Y1521" s="35">
        <f t="shared" si="244"/>
        <v>0.0625</v>
      </c>
      <c r="Z1521" s="40">
        <f t="shared" si="245"/>
        <v>147</v>
      </c>
      <c r="AA1521" s="34">
        <f t="shared" si="246"/>
        <v>36.75</v>
      </c>
      <c r="AB1521" s="41">
        <f t="shared" si="247"/>
        <v>12.25</v>
      </c>
      <c r="AC1521" s="42" t="b">
        <v>1</v>
      </c>
      <c r="AD1521" s="87" t="str">
        <f t="shared" si="248"/>
        <v>USD</v>
      </c>
      <c r="AE1521" s="88" t="s">
        <v>138</v>
      </c>
      <c r="AF1521" s="88" t="s">
        <v>178</v>
      </c>
      <c r="AG1521" s="89" t="s">
        <v>179</v>
      </c>
    </row>
    <row r="1522" hidden="1">
      <c r="A1522" s="23" t="str">
        <f t="array" ref="A1522">if(G1522='Room Info'!$B$1, INDEX('Room Info'!$A$2:$A3446, MATCH(B1522,'Room Info'!$B$2:$B3446, 0)),if(G1522='Room Info'!$C$1, INDEX('Room Info'!$A$2:$A3446, MATCH(B1522,'Room Info'!$C$2:$C3446, 0)),if(G1522='Room Info'!$D$1, INDEX('Room Info'!$A$2:$A3446, MATCH(B1522,'Room Info'!$D$2:$D3446, 0)),if(G1522='Room Info'!$E$1, INDEX('Room Info'!$A$2:$A3446, MATCH(B1522,'Room Info'!$E$2:$E3446, 0)),if(G1522='Room Info'!$F$1, INDEX('Room Info'!$A$2:$A3446, MATCH(B1522,'Room Info'!$F$2:$F3446, 0)),if(G1522='Room Info'!$H$1, INDEX('Room Info'!$A$2:$A3446, MATCH(B1522,'Room Info'!$H$2:$H3446, 0)),if(G1522='Room Info'!$G$1, INDEX('Room Info'!$A$2:$A3446, MATCH(B1522,'Room Info'!$G$2:$G3446, 0)))))))))</f>
        <v>fraum@rta</v>
      </c>
      <c r="B1522" s="101" t="s">
        <v>181</v>
      </c>
      <c r="C1522" s="51">
        <v>44958.0</v>
      </c>
      <c r="D1522" s="51">
        <v>44985.0</v>
      </c>
      <c r="E1522" s="85">
        <v>44958.0</v>
      </c>
      <c r="F1522" s="27" t="s">
        <v>12</v>
      </c>
      <c r="G1522" s="130" t="s">
        <v>13</v>
      </c>
      <c r="H1522" s="54" t="s">
        <v>85</v>
      </c>
      <c r="I1522" s="54" t="s">
        <v>18</v>
      </c>
      <c r="J1522" s="44">
        <f t="shared" si="241"/>
        <v>100</v>
      </c>
      <c r="K1522" s="56">
        <v>2553.0</v>
      </c>
      <c r="L1522" s="57">
        <v>-22700.0</v>
      </c>
      <c r="M1522" s="67">
        <f>16984.24+1600-120</f>
        <v>18464.24</v>
      </c>
      <c r="N1522" s="33">
        <f t="shared" si="155"/>
        <v>255300</v>
      </c>
      <c r="O1522" s="59">
        <v>39183.0</v>
      </c>
      <c r="P1522" s="34">
        <f t="shared" si="14"/>
        <v>15.34782609</v>
      </c>
      <c r="Q1522" s="60"/>
      <c r="R1522" s="36">
        <f t="shared" si="249"/>
        <v>18464.24</v>
      </c>
      <c r="S1522" s="71"/>
      <c r="T1522" s="37">
        <f t="shared" si="242"/>
        <v>-4235.76</v>
      </c>
      <c r="U1522" s="62">
        <v>1.0</v>
      </c>
      <c r="V1522" s="63"/>
      <c r="W1522" s="63"/>
      <c r="X1522" s="35">
        <f t="shared" si="243"/>
        <v>0.15</v>
      </c>
      <c r="Y1522" s="35">
        <f t="shared" si="244"/>
        <v>0</v>
      </c>
      <c r="Z1522" s="40">
        <f t="shared" si="245"/>
        <v>-3600.396</v>
      </c>
      <c r="AA1522" s="34">
        <f t="shared" si="246"/>
        <v>-635.364</v>
      </c>
      <c r="AB1522" s="41">
        <f t="shared" si="247"/>
        <v>0</v>
      </c>
      <c r="AC1522" s="42" t="b">
        <v>0</v>
      </c>
      <c r="AD1522" s="87" t="str">
        <f t="shared" si="248"/>
        <v>USD</v>
      </c>
      <c r="AE1522" s="88" t="s">
        <v>138</v>
      </c>
      <c r="AF1522" s="88" t="str">
        <f t="array" ref="AF1522">INDEX('Deal Info'!D:D, MATCH(A1522,'Deal Info'!A:A, 0))</f>
        <v>Fix15</v>
      </c>
      <c r="AG1522" s="89" t="str">
        <f t="array" ref="AG1522">INDEX('Deal Info'!G:G, MATCH(A1522,'Deal Info'!A:A, 0))</f>
        <v>None</v>
      </c>
    </row>
    <row r="1523" hidden="1">
      <c r="A1523" s="23" t="str">
        <f t="array" ref="A1523">if(G1523='Room Info'!$B$1, INDEX('Room Info'!$A$2:$A3446, MATCH(B1523,'Room Info'!$B$2:$B3446, 0)),if(G1523='Room Info'!$C$1, INDEX('Room Info'!$A$2:$A3446, MATCH(B1523,'Room Info'!$C$2:$C3446, 0)),if(G1523='Room Info'!$D$1, INDEX('Room Info'!$A$2:$A3446, MATCH(B1523,'Room Info'!$D$2:$D3446, 0)),if(G1523='Room Info'!$E$1, INDEX('Room Info'!$A$2:$A3446, MATCH(B1523,'Room Info'!$E$2:$E3446, 0)),if(G1523='Room Info'!$F$1, INDEX('Room Info'!$A$2:$A3446, MATCH(B1523,'Room Info'!$F$2:$F3446, 0)),if(G1523='Room Info'!$H$1, INDEX('Room Info'!$A$2:$A3446, MATCH(B1523,'Room Info'!$H$2:$H3446, 0)),if(G1523='Room Info'!$G$1, INDEX('Room Info'!$A$2:$A3446, MATCH(B1523,'Room Info'!$G$2:$G3446, 0)))))))))</f>
        <v>fraum@rta</v>
      </c>
      <c r="B1523" s="101" t="s">
        <v>181</v>
      </c>
      <c r="C1523" s="51">
        <v>44958.0</v>
      </c>
      <c r="D1523" s="51">
        <v>44985.0</v>
      </c>
      <c r="E1523" s="85">
        <v>44958.0</v>
      </c>
      <c r="F1523" s="50" t="s">
        <v>8</v>
      </c>
      <c r="G1523" s="130" t="s">
        <v>13</v>
      </c>
      <c r="H1523" s="54" t="s">
        <v>74</v>
      </c>
      <c r="I1523" s="54" t="s">
        <v>18</v>
      </c>
      <c r="J1523" s="44">
        <f t="shared" si="241"/>
        <v>50</v>
      </c>
      <c r="K1523" s="56">
        <v>1675.0</v>
      </c>
      <c r="L1523" s="57">
        <v>-1300.0</v>
      </c>
      <c r="M1523" s="67"/>
      <c r="N1523" s="33">
        <f t="shared" si="155"/>
        <v>83750</v>
      </c>
      <c r="O1523" s="59">
        <v>13444.0</v>
      </c>
      <c r="P1523" s="34">
        <f t="shared" si="14"/>
        <v>8.026268657</v>
      </c>
      <c r="Q1523" s="60"/>
      <c r="R1523" s="36">
        <f t="shared" si="249"/>
        <v>0</v>
      </c>
      <c r="S1523" s="61">
        <v>-3763.0</v>
      </c>
      <c r="T1523" s="37">
        <f t="shared" si="242"/>
        <v>-3763</v>
      </c>
      <c r="U1523" s="62">
        <v>1.0</v>
      </c>
      <c r="V1523" s="63"/>
      <c r="W1523" s="63"/>
      <c r="X1523" s="35">
        <f t="shared" si="243"/>
        <v>0.15</v>
      </c>
      <c r="Y1523" s="35">
        <f t="shared" si="244"/>
        <v>0</v>
      </c>
      <c r="Z1523" s="40">
        <f t="shared" si="245"/>
        <v>-3198.55</v>
      </c>
      <c r="AA1523" s="34">
        <f t="shared" si="246"/>
        <v>-564.45</v>
      </c>
      <c r="AB1523" s="41">
        <f t="shared" si="247"/>
        <v>0</v>
      </c>
      <c r="AC1523" s="42" t="b">
        <v>0</v>
      </c>
      <c r="AD1523" s="87" t="str">
        <f t="shared" si="248"/>
        <v>USD</v>
      </c>
      <c r="AE1523" s="88" t="s">
        <v>138</v>
      </c>
      <c r="AF1523" s="88" t="str">
        <f t="array" ref="AF1523">INDEX('Deal Info'!D:D, MATCH(A1523,'Deal Info'!A:A, 0))</f>
        <v>Fix15</v>
      </c>
      <c r="AG1523" s="89" t="str">
        <f t="array" ref="AG1523">INDEX('Deal Info'!G:G, MATCH(A1523,'Deal Info'!A:A, 0))</f>
        <v>None</v>
      </c>
    </row>
    <row r="1524" hidden="1">
      <c r="A1524" s="23" t="str">
        <f t="array" ref="A1524">if(G1524='Room Info'!$B$1, INDEX('Room Info'!$A$2:$A3446, MATCH(B1524,'Room Info'!$B$2:$B3446, 0)),if(G1524='Room Info'!$C$1, INDEX('Room Info'!$A$2:$A3446, MATCH(B1524,'Room Info'!$C$2:$C3446, 0)),if(G1524='Room Info'!$D$1, INDEX('Room Info'!$A$2:$A3446, MATCH(B1524,'Room Info'!$D$2:$D3446, 0)),if(G1524='Room Info'!$E$1, INDEX('Room Info'!$A$2:$A3446, MATCH(B1524,'Room Info'!$E$2:$E3446, 0)),if(G1524='Room Info'!$F$1, INDEX('Room Info'!$A$2:$A3446, MATCH(B1524,'Room Info'!$F$2:$F3446, 0)),if(G1524='Room Info'!$H$1, INDEX('Room Info'!$A$2:$A3446, MATCH(B1524,'Room Info'!$H$2:$H3446, 0)),if(G1524='Room Info'!$G$1, INDEX('Room Info'!$A$2:$A3446, MATCH(B1524,'Room Info'!$G$2:$G3446, 0)))))))))</f>
        <v>Freedoom</v>
      </c>
      <c r="B1524" s="50" t="s">
        <v>225</v>
      </c>
      <c r="C1524" s="82">
        <v>44958.0</v>
      </c>
      <c r="D1524" s="82">
        <v>44985.0</v>
      </c>
      <c r="E1524" s="26">
        <v>44958.0</v>
      </c>
      <c r="F1524" s="27" t="s">
        <v>12</v>
      </c>
      <c r="G1524" s="23" t="s">
        <v>5</v>
      </c>
      <c r="H1524" s="96" t="s">
        <v>28</v>
      </c>
      <c r="I1524" s="28" t="s">
        <v>7</v>
      </c>
      <c r="J1524" s="44">
        <f t="shared" si="241"/>
        <v>2</v>
      </c>
      <c r="K1524" s="129">
        <v>288.0</v>
      </c>
      <c r="L1524" s="57">
        <v>-50.0</v>
      </c>
      <c r="M1524" s="67"/>
      <c r="N1524" s="33">
        <f t="shared" si="155"/>
        <v>576</v>
      </c>
      <c r="O1524" s="70">
        <f>64*288</f>
        <v>18432</v>
      </c>
      <c r="P1524" s="34">
        <f t="shared" si="14"/>
        <v>64</v>
      </c>
      <c r="Q1524" s="60"/>
      <c r="R1524" s="36">
        <f t="shared" ref="R1524:R1526" si="250">M1524+Q1524</f>
        <v>0</v>
      </c>
      <c r="S1524" s="71"/>
      <c r="T1524" s="37">
        <f t="shared" si="242"/>
        <v>-50</v>
      </c>
      <c r="U1524" s="62"/>
      <c r="V1524" s="63"/>
      <c r="W1524" s="63"/>
      <c r="X1524" s="35">
        <f t="shared" si="243"/>
        <v>0.35</v>
      </c>
      <c r="Y1524" s="35">
        <f t="shared" si="244"/>
        <v>0</v>
      </c>
      <c r="Z1524" s="40">
        <f t="shared" si="245"/>
        <v>-32.5</v>
      </c>
      <c r="AA1524" s="34">
        <f t="shared" si="246"/>
        <v>-17.5</v>
      </c>
      <c r="AB1524" s="41">
        <f t="shared" si="247"/>
        <v>0</v>
      </c>
      <c r="AC1524" s="42" t="b">
        <v>0</v>
      </c>
      <c r="AD1524" s="87" t="str">
        <f t="shared" si="248"/>
        <v>USD</v>
      </c>
      <c r="AE1524" s="88" t="s">
        <v>138</v>
      </c>
      <c r="AF1524" s="88" t="str">
        <f t="array" ref="AF1524">INDEX('Deal Info'!D:D, MATCH(A1524,'Deal Info'!A:A, 0))</f>
        <v>DoEVold</v>
      </c>
      <c r="AG1524" s="89" t="str">
        <f t="array" ref="AG1524">INDEX('Deal Info'!G:G, MATCH(A1524,'Deal Info'!A:A, 0))</f>
        <v>None</v>
      </c>
    </row>
    <row r="1525" hidden="1">
      <c r="A1525" s="23" t="str">
        <f t="array" ref="A1525">if(G1525='Room Info'!$B$1, INDEX('Room Info'!$A$2:$A3446, MATCH(B1525,'Room Info'!$B$2:$B3446, 0)),if(G1525='Room Info'!$C$1, INDEX('Room Info'!$A$2:$A3446, MATCH(B1525,'Room Info'!$C$2:$C3446, 0)),if(G1525='Room Info'!$D$1, INDEX('Room Info'!$A$2:$A3446, MATCH(B1525,'Room Info'!$D$2:$D3446, 0)),if(G1525='Room Info'!$E$1, INDEX('Room Info'!$A$2:$A3446, MATCH(B1525,'Room Info'!$E$2:$E3446, 0)),if(G1525='Room Info'!$F$1, INDEX('Room Info'!$A$2:$A3446, MATCH(B1525,'Room Info'!$F$2:$F3446, 0)),if(G1525='Room Info'!$H$1, INDEX('Room Info'!$A$2:$A3446, MATCH(B1525,'Room Info'!$H$2:$H3446, 0)),if(G1525='Room Info'!$G$1, INDEX('Room Info'!$A$2:$A3446, MATCH(B1525,'Room Info'!$G$2:$G3446, 0)))))))))</f>
        <v>Freedoom</v>
      </c>
      <c r="B1525" s="50" t="s">
        <v>225</v>
      </c>
      <c r="C1525" s="82">
        <v>44958.0</v>
      </c>
      <c r="D1525" s="82">
        <v>44985.0</v>
      </c>
      <c r="E1525" s="26">
        <v>44958.0</v>
      </c>
      <c r="F1525" s="27" t="s">
        <v>12</v>
      </c>
      <c r="G1525" s="23" t="s">
        <v>5</v>
      </c>
      <c r="H1525" s="96" t="s">
        <v>35</v>
      </c>
      <c r="I1525" s="28" t="s">
        <v>7</v>
      </c>
      <c r="J1525" s="44">
        <f t="shared" si="241"/>
        <v>5</v>
      </c>
      <c r="K1525" s="129">
        <v>42.0</v>
      </c>
      <c r="L1525" s="57">
        <v>0.0</v>
      </c>
      <c r="M1525" s="67"/>
      <c r="N1525" s="33">
        <f t="shared" si="155"/>
        <v>210</v>
      </c>
      <c r="O1525" s="59">
        <v>-974.0</v>
      </c>
      <c r="P1525" s="34">
        <f t="shared" si="14"/>
        <v>-23.19047619</v>
      </c>
      <c r="Q1525" s="60"/>
      <c r="R1525" s="36">
        <f t="shared" si="250"/>
        <v>0</v>
      </c>
      <c r="S1525" s="71"/>
      <c r="T1525" s="37">
        <f t="shared" si="242"/>
        <v>0</v>
      </c>
      <c r="U1525" s="62"/>
      <c r="V1525" s="63"/>
      <c r="W1525" s="63"/>
      <c r="X1525" s="35">
        <f t="shared" si="243"/>
        <v>0.35</v>
      </c>
      <c r="Y1525" s="35">
        <f t="shared" si="244"/>
        <v>0</v>
      </c>
      <c r="Z1525" s="40">
        <f t="shared" si="245"/>
        <v>0</v>
      </c>
      <c r="AA1525" s="34">
        <f t="shared" si="246"/>
        <v>0</v>
      </c>
      <c r="AB1525" s="41">
        <f t="shared" si="247"/>
        <v>0</v>
      </c>
      <c r="AC1525" s="42" t="b">
        <v>0</v>
      </c>
      <c r="AD1525" s="87" t="str">
        <f t="shared" si="248"/>
        <v>USD</v>
      </c>
      <c r="AE1525" s="88" t="s">
        <v>138</v>
      </c>
      <c r="AF1525" s="88" t="str">
        <f t="array" ref="AF1525">INDEX('Deal Info'!D:D, MATCH(A1525,'Deal Info'!A:A, 0))</f>
        <v>DoEVold</v>
      </c>
      <c r="AG1525" s="89" t="str">
        <f t="array" ref="AG1525">INDEX('Deal Info'!G:G, MATCH(A1525,'Deal Info'!A:A, 0))</f>
        <v>None</v>
      </c>
    </row>
    <row r="1526" hidden="1">
      <c r="A1526" s="23" t="str">
        <f t="array" ref="A1526">if(G1526='Room Info'!$B$1, INDEX('Room Info'!$A$2:$A3446, MATCH(B1526,'Room Info'!$B$2:$B3446, 0)),if(G1526='Room Info'!$C$1, INDEX('Room Info'!$A$2:$A3446, MATCH(B1526,'Room Info'!$C$2:$C3446, 0)),if(G1526='Room Info'!$D$1, INDEX('Room Info'!$A$2:$A3446, MATCH(B1526,'Room Info'!$D$2:$D3446, 0)),if(G1526='Room Info'!$E$1, INDEX('Room Info'!$A$2:$A3446, MATCH(B1526,'Room Info'!$E$2:$E3446, 0)),if(G1526='Room Info'!$F$1, INDEX('Room Info'!$A$2:$A3446, MATCH(B1526,'Room Info'!$F$2:$F3446, 0)),if(G1526='Room Info'!$H$1, INDEX('Room Info'!$A$2:$A3446, MATCH(B1526,'Room Info'!$H$2:$H3446, 0)),if(G1526='Room Info'!$G$1, INDEX('Room Info'!$A$2:$A3446, MATCH(B1526,'Room Info'!$G$2:$G3446, 0)))))))))</f>
        <v>Freedoom</v>
      </c>
      <c r="B1526" s="50" t="s">
        <v>225</v>
      </c>
      <c r="C1526" s="82">
        <v>44958.0</v>
      </c>
      <c r="D1526" s="82">
        <v>44985.0</v>
      </c>
      <c r="E1526" s="26">
        <v>44958.0</v>
      </c>
      <c r="F1526" s="27" t="s">
        <v>12</v>
      </c>
      <c r="G1526" s="23" t="s">
        <v>5</v>
      </c>
      <c r="H1526" s="96" t="s">
        <v>45</v>
      </c>
      <c r="I1526" s="28" t="s">
        <v>7</v>
      </c>
      <c r="J1526" s="44">
        <f t="shared" si="241"/>
        <v>10</v>
      </c>
      <c r="K1526" s="134">
        <v>116.0</v>
      </c>
      <c r="L1526" s="77">
        <v>-130.0</v>
      </c>
      <c r="M1526" s="84"/>
      <c r="N1526" s="33">
        <f t="shared" si="155"/>
        <v>1160</v>
      </c>
      <c r="O1526" s="50">
        <v>-1541.0</v>
      </c>
      <c r="P1526" s="34">
        <f t="shared" si="14"/>
        <v>-13.28448276</v>
      </c>
      <c r="Q1526" s="60"/>
      <c r="R1526" s="36">
        <f t="shared" si="250"/>
        <v>0</v>
      </c>
      <c r="S1526" s="102"/>
      <c r="T1526" s="37">
        <f t="shared" si="242"/>
        <v>-130</v>
      </c>
      <c r="U1526" s="62"/>
      <c r="V1526" s="63"/>
      <c r="W1526" s="63"/>
      <c r="X1526" s="35">
        <f t="shared" si="243"/>
        <v>0.35</v>
      </c>
      <c r="Y1526" s="35">
        <f t="shared" si="244"/>
        <v>0</v>
      </c>
      <c r="Z1526" s="40">
        <f t="shared" si="245"/>
        <v>-84.5</v>
      </c>
      <c r="AA1526" s="34">
        <f t="shared" si="246"/>
        <v>-45.5</v>
      </c>
      <c r="AB1526" s="41">
        <f t="shared" si="247"/>
        <v>0</v>
      </c>
      <c r="AC1526" s="42" t="b">
        <v>0</v>
      </c>
      <c r="AD1526" s="87" t="str">
        <f t="shared" si="248"/>
        <v>USD</v>
      </c>
      <c r="AE1526" s="88" t="s">
        <v>138</v>
      </c>
      <c r="AF1526" s="88" t="str">
        <f t="array" ref="AF1526">INDEX('Deal Info'!D:D, MATCH(A1526,'Deal Info'!A:A, 0))</f>
        <v>DoEVold</v>
      </c>
      <c r="AG1526" s="89" t="str">
        <f t="array" ref="AG1526">INDEX('Deal Info'!G:G, MATCH(A1526,'Deal Info'!A:A, 0))</f>
        <v>None</v>
      </c>
    </row>
    <row r="1527" hidden="1">
      <c r="A1527" s="23" t="str">
        <f t="array" ref="A1527">if(G1527='Room Info'!$B$1, INDEX('Room Info'!$A$2:$A3446, MATCH(B1527,'Room Info'!$B$2:$B3446, 0)),if(G1527='Room Info'!$C$1, INDEX('Room Info'!$A$2:$A3446, MATCH(B1527,'Room Info'!$C$2:$C3446, 0)),if(G1527='Room Info'!$D$1, INDEX('Room Info'!$A$2:$A3446, MATCH(B1527,'Room Info'!$D$2:$D3446, 0)),if(G1527='Room Info'!$E$1, INDEX('Room Info'!$A$2:$A3446, MATCH(B1527,'Room Info'!$E$2:$E3446, 0)),if(G1527='Room Info'!$F$1, INDEX('Room Info'!$A$2:$A3446, MATCH(B1527,'Room Info'!$F$2:$F3446, 0)),if(G1527='Room Info'!$H$1, INDEX('Room Info'!$A$2:$A3446, MATCH(B1527,'Room Info'!$H$2:$H3446, 0)),if(G1527='Room Info'!$G$1, INDEX('Room Info'!$A$2:$A3446, MATCH(B1527,'Room Info'!$G$2:$G3446, 0)))))))))</f>
        <v>OneTaper</v>
      </c>
      <c r="B1527" s="101" t="s">
        <v>206</v>
      </c>
      <c r="C1527" s="51">
        <v>44960.0</v>
      </c>
      <c r="D1527" s="51">
        <v>44985.0</v>
      </c>
      <c r="E1527" s="85">
        <v>44958.0</v>
      </c>
      <c r="F1527" s="50" t="s">
        <v>8</v>
      </c>
      <c r="G1527" s="130" t="s">
        <v>13</v>
      </c>
      <c r="H1527" s="54" t="s">
        <v>74</v>
      </c>
      <c r="I1527" s="54" t="s">
        <v>18</v>
      </c>
      <c r="J1527" s="44">
        <f t="shared" si="241"/>
        <v>50</v>
      </c>
      <c r="K1527" s="56">
        <v>5864.0</v>
      </c>
      <c r="L1527" s="57">
        <v>-11750.0</v>
      </c>
      <c r="M1527" s="67">
        <f>14051.99+2100</f>
        <v>16151.99</v>
      </c>
      <c r="N1527" s="33">
        <f t="shared" si="155"/>
        <v>293200</v>
      </c>
      <c r="O1527" s="59">
        <v>46077.0</v>
      </c>
      <c r="P1527" s="34">
        <f t="shared" si="14"/>
        <v>7.85760573</v>
      </c>
      <c r="Q1527" s="60"/>
      <c r="R1527" s="36">
        <f t="shared" ref="R1527:R1545" si="251">M1527+Q1527*J1527*K1527*0.07</f>
        <v>16151.99</v>
      </c>
      <c r="S1527" s="61">
        <v>-12827.0</v>
      </c>
      <c r="T1527" s="37">
        <f t="shared" si="242"/>
        <v>3324.99</v>
      </c>
      <c r="U1527" s="62"/>
      <c r="V1527" s="63">
        <v>50.0</v>
      </c>
      <c r="W1527" s="63">
        <v>24.4998</v>
      </c>
      <c r="X1527" s="35">
        <f t="shared" si="243"/>
        <v>0.3</v>
      </c>
      <c r="Y1527" s="35">
        <f t="shared" si="244"/>
        <v>0</v>
      </c>
      <c r="Z1527" s="40">
        <f t="shared" si="245"/>
        <v>2327.493</v>
      </c>
      <c r="AA1527" s="34">
        <f t="shared" si="246"/>
        <v>997.497</v>
      </c>
      <c r="AB1527" s="41">
        <f t="shared" si="247"/>
        <v>0</v>
      </c>
      <c r="AC1527" s="42" t="b">
        <v>1</v>
      </c>
      <c r="AD1527" s="87" t="str">
        <f t="shared" si="248"/>
        <v>USD</v>
      </c>
      <c r="AE1527" s="88" t="s">
        <v>138</v>
      </c>
      <c r="AF1527" s="88" t="str">
        <f t="array" ref="AF1527">INDEX('Deal Info'!D:D, MATCH(A1527,'Deal Info'!A:A, 0))</f>
        <v>DoEV</v>
      </c>
      <c r="AG1527" s="89" t="str">
        <f t="array" ref="AG1527">INDEX('Deal Info'!G:G, MATCH(A1527,'Deal Info'!A:A, 0))</f>
        <v>None</v>
      </c>
    </row>
    <row r="1528" hidden="1">
      <c r="A1528" s="23" t="str">
        <f t="array" ref="A1528">if(G1528='Room Info'!$B$1, INDEX('Room Info'!$A$2:$A3446, MATCH(B1528,'Room Info'!$B$2:$B3446, 0)),if(G1528='Room Info'!$C$1, INDEX('Room Info'!$A$2:$A3446, MATCH(B1528,'Room Info'!$C$2:$C3446, 0)),if(G1528='Room Info'!$D$1, INDEX('Room Info'!$A$2:$A3446, MATCH(B1528,'Room Info'!$D$2:$D3446, 0)),if(G1528='Room Info'!$E$1, INDEX('Room Info'!$A$2:$A3446, MATCH(B1528,'Room Info'!$E$2:$E3446, 0)),if(G1528='Room Info'!$F$1, INDEX('Room Info'!$A$2:$A3446, MATCH(B1528,'Room Info'!$F$2:$F3446, 0)),if(G1528='Room Info'!$H$1, INDEX('Room Info'!$A$2:$A3446, MATCH(B1528,'Room Info'!$H$2:$H3446, 0)),if(G1528='Room Info'!$G$1, INDEX('Room Info'!$A$2:$A3446, MATCH(B1528,'Room Info'!$G$2:$G3446, 0)))))))))</f>
        <v>OneTaper</v>
      </c>
      <c r="B1528" s="101" t="s">
        <v>206</v>
      </c>
      <c r="C1528" s="51">
        <v>44958.0</v>
      </c>
      <c r="D1528" s="51">
        <v>44960.0</v>
      </c>
      <c r="E1528" s="85">
        <v>44958.0</v>
      </c>
      <c r="F1528" s="27" t="s">
        <v>12</v>
      </c>
      <c r="G1528" s="130" t="s">
        <v>13</v>
      </c>
      <c r="H1528" s="54" t="s">
        <v>74</v>
      </c>
      <c r="I1528" s="54" t="s">
        <v>18</v>
      </c>
      <c r="J1528" s="44">
        <f t="shared" si="241"/>
        <v>50</v>
      </c>
      <c r="K1528" s="56">
        <v>1059.0</v>
      </c>
      <c r="L1528" s="57">
        <v>-2100.0</v>
      </c>
      <c r="M1528" s="67"/>
      <c r="N1528" s="33">
        <f t="shared" si="155"/>
        <v>52950</v>
      </c>
      <c r="O1528" s="59">
        <v>5457.0</v>
      </c>
      <c r="P1528" s="34">
        <f t="shared" si="14"/>
        <v>5.152974504</v>
      </c>
      <c r="Q1528" s="60"/>
      <c r="R1528" s="36">
        <f t="shared" si="251"/>
        <v>0</v>
      </c>
      <c r="S1528" s="61"/>
      <c r="T1528" s="37">
        <f t="shared" si="242"/>
        <v>-2100</v>
      </c>
      <c r="U1528" s="62"/>
      <c r="V1528" s="63">
        <v>50.0</v>
      </c>
      <c r="W1528" s="63">
        <v>24.4998</v>
      </c>
      <c r="X1528" s="35">
        <f t="shared" si="243"/>
        <v>0.3</v>
      </c>
      <c r="Y1528" s="35">
        <f t="shared" si="244"/>
        <v>0</v>
      </c>
      <c r="Z1528" s="40">
        <f t="shared" si="245"/>
        <v>-1470</v>
      </c>
      <c r="AA1528" s="34">
        <f t="shared" si="246"/>
        <v>-630</v>
      </c>
      <c r="AB1528" s="41">
        <f t="shared" si="247"/>
        <v>0</v>
      </c>
      <c r="AC1528" s="42" t="b">
        <v>1</v>
      </c>
      <c r="AD1528" s="87" t="str">
        <f t="shared" si="248"/>
        <v>USD</v>
      </c>
      <c r="AE1528" s="88" t="s">
        <v>138</v>
      </c>
      <c r="AF1528" s="88" t="str">
        <f t="array" ref="AF1528">INDEX('Deal Info'!D:D, MATCH(A1528,'Deal Info'!A:A, 0))</f>
        <v>DoEV</v>
      </c>
      <c r="AG1528" s="89" t="str">
        <f t="array" ref="AG1528">INDEX('Deal Info'!G:G, MATCH(A1528,'Deal Info'!A:A, 0))</f>
        <v>None</v>
      </c>
    </row>
    <row r="1529" hidden="1">
      <c r="A1529" s="23" t="str">
        <f t="array" ref="A1529">if(G1529='Room Info'!$B$1, INDEX('Room Info'!$A$2:$A3446, MATCH(B1529,'Room Info'!$B$2:$B3446, 0)),if(G1529='Room Info'!$C$1, INDEX('Room Info'!$A$2:$A3446, MATCH(B1529,'Room Info'!$C$2:$C3446, 0)),if(G1529='Room Info'!$D$1, INDEX('Room Info'!$A$2:$A3446, MATCH(B1529,'Room Info'!$D$2:$D3446, 0)),if(G1529='Room Info'!$E$1, INDEX('Room Info'!$A$2:$A3446, MATCH(B1529,'Room Info'!$E$2:$E3446, 0)),if(G1529='Room Info'!$F$1, INDEX('Room Info'!$A$2:$A3446, MATCH(B1529,'Room Info'!$F$2:$F3446, 0)),if(G1529='Room Info'!$H$1, INDEX('Room Info'!$A$2:$A3446, MATCH(B1529,'Room Info'!$H$2:$H3446, 0)),if(G1529='Room Info'!$G$1, INDEX('Room Info'!$A$2:$A3446, MATCH(B1529,'Room Info'!$G$2:$G3446, 0)))))))))</f>
        <v>kttweek1</v>
      </c>
      <c r="B1529" s="50" t="s">
        <v>197</v>
      </c>
      <c r="C1529" s="51">
        <v>44958.0</v>
      </c>
      <c r="D1529" s="51">
        <v>44985.0</v>
      </c>
      <c r="E1529" s="85">
        <v>44958.0</v>
      </c>
      <c r="F1529" s="27" t="s">
        <v>12</v>
      </c>
      <c r="G1529" s="23" t="s">
        <v>5</v>
      </c>
      <c r="H1529" s="54" t="s">
        <v>23</v>
      </c>
      <c r="I1529" s="54" t="s">
        <v>11</v>
      </c>
      <c r="J1529" s="44">
        <f t="shared" si="241"/>
        <v>1</v>
      </c>
      <c r="K1529" s="56">
        <v>4.0</v>
      </c>
      <c r="L1529" s="57">
        <v>1.0</v>
      </c>
      <c r="M1529" s="58">
        <v>3799.0</v>
      </c>
      <c r="N1529" s="33">
        <f t="shared" si="155"/>
        <v>4</v>
      </c>
      <c r="O1529" s="70"/>
      <c r="P1529" s="34">
        <f t="shared" si="14"/>
        <v>0</v>
      </c>
      <c r="Q1529" s="60"/>
      <c r="R1529" s="36">
        <f t="shared" si="251"/>
        <v>3799</v>
      </c>
      <c r="S1529" s="71"/>
      <c r="T1529" s="37">
        <f t="shared" si="242"/>
        <v>3800</v>
      </c>
      <c r="U1529" s="62"/>
      <c r="V1529" s="74">
        <v>23.3980490874764</v>
      </c>
      <c r="W1529" s="74">
        <v>152.14943718984924</v>
      </c>
      <c r="X1529" s="35">
        <f t="shared" si="243"/>
        <v>0.17</v>
      </c>
      <c r="Y1529" s="35">
        <f t="shared" si="244"/>
        <v>0</v>
      </c>
      <c r="Z1529" s="40">
        <f t="shared" si="245"/>
        <v>3154</v>
      </c>
      <c r="AA1529" s="34">
        <f t="shared" si="246"/>
        <v>646</v>
      </c>
      <c r="AB1529" s="41">
        <f t="shared" si="247"/>
        <v>0</v>
      </c>
      <c r="AC1529" s="42" t="b">
        <v>1</v>
      </c>
      <c r="AD1529" s="87" t="str">
        <f t="shared" si="248"/>
        <v>USD</v>
      </c>
      <c r="AE1529" s="88" t="s">
        <v>138</v>
      </c>
      <c r="AF1529" s="88" t="str">
        <f t="array" ref="AF1529">INDEX('Deal Info'!D:D, MATCH(A1529,'Deal Info'!A:A, 0))</f>
        <v>DoEVold</v>
      </c>
      <c r="AG1529" s="89" t="str">
        <f t="array" ref="AG1529">INDEX('Deal Info'!G:G, MATCH(A1529,'Deal Info'!A:A, 0))</f>
        <v>None</v>
      </c>
    </row>
    <row r="1530" hidden="1">
      <c r="A1530" s="23" t="str">
        <f t="array" ref="A1530">if(G1530='Room Info'!$B$1, INDEX('Room Info'!$A$2:$A3446, MATCH(B1530,'Room Info'!$B$2:$B3446, 0)),if(G1530='Room Info'!$C$1, INDEX('Room Info'!$A$2:$A3446, MATCH(B1530,'Room Info'!$C$2:$C3446, 0)),if(G1530='Room Info'!$D$1, INDEX('Room Info'!$A$2:$A3446, MATCH(B1530,'Room Info'!$D$2:$D3446, 0)),if(G1530='Room Info'!$E$1, INDEX('Room Info'!$A$2:$A3446, MATCH(B1530,'Room Info'!$E$2:$E3446, 0)),if(G1530='Room Info'!$F$1, INDEX('Room Info'!$A$2:$A3446, MATCH(B1530,'Room Info'!$F$2:$F3446, 0)),if(G1530='Room Info'!$H$1, INDEX('Room Info'!$A$2:$A3446, MATCH(B1530,'Room Info'!$H$2:$H3446, 0)),if(G1530='Room Info'!$G$1, INDEX('Room Info'!$A$2:$A3446, MATCH(B1530,'Room Info'!$G$2:$G3446, 0)))))))))</f>
        <v>kttweek1</v>
      </c>
      <c r="B1530" s="50" t="s">
        <v>197</v>
      </c>
      <c r="C1530" s="51">
        <v>44958.0</v>
      </c>
      <c r="D1530" s="51">
        <v>44985.0</v>
      </c>
      <c r="E1530" s="85">
        <v>44958.0</v>
      </c>
      <c r="F1530" s="27" t="s">
        <v>12</v>
      </c>
      <c r="G1530" s="23" t="s">
        <v>5</v>
      </c>
      <c r="H1530" s="59" t="s">
        <v>29</v>
      </c>
      <c r="I1530" s="54" t="s">
        <v>11</v>
      </c>
      <c r="J1530" s="44">
        <f t="shared" si="241"/>
        <v>2</v>
      </c>
      <c r="K1530" s="56">
        <v>5.0</v>
      </c>
      <c r="L1530" s="57">
        <v>2.0</v>
      </c>
      <c r="M1530" s="67"/>
      <c r="N1530" s="33">
        <f t="shared" si="155"/>
        <v>10</v>
      </c>
      <c r="O1530" s="70"/>
      <c r="P1530" s="34">
        <f t="shared" si="14"/>
        <v>0</v>
      </c>
      <c r="Q1530" s="60"/>
      <c r="R1530" s="36">
        <f t="shared" si="251"/>
        <v>0</v>
      </c>
      <c r="S1530" s="71"/>
      <c r="T1530" s="37">
        <f t="shared" si="242"/>
        <v>2</v>
      </c>
      <c r="U1530" s="62"/>
      <c r="V1530" s="74">
        <v>23.3980490874764</v>
      </c>
      <c r="W1530" s="74">
        <v>152.14943718984924</v>
      </c>
      <c r="X1530" s="35">
        <f t="shared" si="243"/>
        <v>0.17</v>
      </c>
      <c r="Y1530" s="35">
        <f t="shared" si="244"/>
        <v>0</v>
      </c>
      <c r="Z1530" s="40">
        <f t="shared" si="245"/>
        <v>1.66</v>
      </c>
      <c r="AA1530" s="34">
        <f t="shared" si="246"/>
        <v>0.34</v>
      </c>
      <c r="AB1530" s="41">
        <f t="shared" si="247"/>
        <v>0</v>
      </c>
      <c r="AC1530" s="42" t="b">
        <v>1</v>
      </c>
      <c r="AD1530" s="87" t="str">
        <f t="shared" si="248"/>
        <v>USD</v>
      </c>
      <c r="AE1530" s="88" t="s">
        <v>138</v>
      </c>
      <c r="AF1530" s="88" t="str">
        <f t="array" ref="AF1530">INDEX('Deal Info'!D:D, MATCH(A1530,'Deal Info'!A:A, 0))</f>
        <v>DoEVold</v>
      </c>
      <c r="AG1530" s="89" t="str">
        <f t="array" ref="AG1530">INDEX('Deal Info'!G:G, MATCH(A1530,'Deal Info'!A:A, 0))</f>
        <v>None</v>
      </c>
    </row>
    <row r="1531" hidden="1">
      <c r="A1531" s="23" t="str">
        <f t="array" ref="A1531">if(G1531='Room Info'!$B$1, INDEX('Room Info'!$A$2:$A3446, MATCH(B1531,'Room Info'!$B$2:$B3446, 0)),if(G1531='Room Info'!$C$1, INDEX('Room Info'!$A$2:$A3446, MATCH(B1531,'Room Info'!$C$2:$C3446, 0)),if(G1531='Room Info'!$D$1, INDEX('Room Info'!$A$2:$A3446, MATCH(B1531,'Room Info'!$D$2:$D3446, 0)),if(G1531='Room Info'!$E$1, INDEX('Room Info'!$A$2:$A3446, MATCH(B1531,'Room Info'!$E$2:$E3446, 0)),if(G1531='Room Info'!$F$1, INDEX('Room Info'!$A$2:$A3446, MATCH(B1531,'Room Info'!$F$2:$F3446, 0)),if(G1531='Room Info'!$H$1, INDEX('Room Info'!$A$2:$A3446, MATCH(B1531,'Room Info'!$H$2:$H3446, 0)),if(G1531='Room Info'!$G$1, INDEX('Room Info'!$A$2:$A3446, MATCH(B1531,'Room Info'!$G$2:$G3446, 0)))))))))</f>
        <v>kttweek1</v>
      </c>
      <c r="B1531" s="50" t="s">
        <v>197</v>
      </c>
      <c r="C1531" s="51">
        <v>44958.0</v>
      </c>
      <c r="D1531" s="51">
        <v>44985.0</v>
      </c>
      <c r="E1531" s="85">
        <v>44958.0</v>
      </c>
      <c r="F1531" s="27" t="s">
        <v>12</v>
      </c>
      <c r="G1531" s="23" t="s">
        <v>5</v>
      </c>
      <c r="H1531" s="54" t="s">
        <v>36</v>
      </c>
      <c r="I1531" s="54" t="s">
        <v>11</v>
      </c>
      <c r="J1531" s="44">
        <f t="shared" si="241"/>
        <v>5</v>
      </c>
      <c r="K1531" s="80">
        <v>16.0</v>
      </c>
      <c r="L1531" s="77">
        <v>-55.0</v>
      </c>
      <c r="M1531" s="67"/>
      <c r="N1531" s="33">
        <f t="shared" si="155"/>
        <v>80</v>
      </c>
      <c r="O1531" s="101"/>
      <c r="P1531" s="34">
        <f t="shared" si="14"/>
        <v>0</v>
      </c>
      <c r="Q1531" s="60"/>
      <c r="R1531" s="36">
        <f t="shared" si="251"/>
        <v>0</v>
      </c>
      <c r="S1531" s="102"/>
      <c r="T1531" s="37">
        <f t="shared" si="242"/>
        <v>-55</v>
      </c>
      <c r="U1531" s="62"/>
      <c r="V1531" s="74">
        <v>23.3980490874764</v>
      </c>
      <c r="W1531" s="74">
        <v>152.14943718984924</v>
      </c>
      <c r="X1531" s="35">
        <f t="shared" si="243"/>
        <v>0.17</v>
      </c>
      <c r="Y1531" s="35">
        <f t="shared" si="244"/>
        <v>0</v>
      </c>
      <c r="Z1531" s="40">
        <f t="shared" si="245"/>
        <v>-45.65</v>
      </c>
      <c r="AA1531" s="34">
        <f t="shared" si="246"/>
        <v>-9.35</v>
      </c>
      <c r="AB1531" s="41">
        <f t="shared" si="247"/>
        <v>0</v>
      </c>
      <c r="AC1531" s="42" t="b">
        <v>1</v>
      </c>
      <c r="AD1531" s="87" t="str">
        <f t="shared" si="248"/>
        <v>USD</v>
      </c>
      <c r="AE1531" s="88" t="s">
        <v>138</v>
      </c>
      <c r="AF1531" s="88" t="str">
        <f t="array" ref="AF1531">INDEX('Deal Info'!D:D, MATCH(A1531,'Deal Info'!A:A, 0))</f>
        <v>DoEVold</v>
      </c>
      <c r="AG1531" s="89" t="str">
        <f t="array" ref="AG1531">INDEX('Deal Info'!G:G, MATCH(A1531,'Deal Info'!A:A, 0))</f>
        <v>None</v>
      </c>
    </row>
    <row r="1532" hidden="1">
      <c r="A1532" s="23" t="str">
        <f t="array" ref="A1532">if(G1532='Room Info'!$B$1, INDEX('Room Info'!$A$2:$A3446, MATCH(B1532,'Room Info'!$B$2:$B3446, 0)),if(G1532='Room Info'!$C$1, INDEX('Room Info'!$A$2:$A3446, MATCH(B1532,'Room Info'!$C$2:$C3446, 0)),if(G1532='Room Info'!$D$1, INDEX('Room Info'!$A$2:$A3446, MATCH(B1532,'Room Info'!$D$2:$D3446, 0)),if(G1532='Room Info'!$E$1, INDEX('Room Info'!$A$2:$A3446, MATCH(B1532,'Room Info'!$E$2:$E3446, 0)),if(G1532='Room Info'!$F$1, INDEX('Room Info'!$A$2:$A3446, MATCH(B1532,'Room Info'!$F$2:$F3446, 0)),if(G1532='Room Info'!$H$1, INDEX('Room Info'!$A$2:$A3446, MATCH(B1532,'Room Info'!$H$2:$H3446, 0)),if(G1532='Room Info'!$G$1, INDEX('Room Info'!$A$2:$A3446, MATCH(B1532,'Room Info'!$G$2:$G3446, 0)))))))))</f>
        <v>kttweek1</v>
      </c>
      <c r="B1532" s="50" t="s">
        <v>197</v>
      </c>
      <c r="C1532" s="51">
        <v>44958.0</v>
      </c>
      <c r="D1532" s="51">
        <v>44985.0</v>
      </c>
      <c r="E1532" s="85">
        <v>44958.0</v>
      </c>
      <c r="F1532" s="50" t="s">
        <v>8</v>
      </c>
      <c r="G1532" s="23" t="s">
        <v>5</v>
      </c>
      <c r="H1532" s="54" t="s">
        <v>45</v>
      </c>
      <c r="I1532" s="54" t="s">
        <v>7</v>
      </c>
      <c r="J1532" s="44">
        <f t="shared" si="241"/>
        <v>10</v>
      </c>
      <c r="K1532" s="80">
        <v>304.0</v>
      </c>
      <c r="L1532" s="77">
        <v>210.0</v>
      </c>
      <c r="M1532" s="67"/>
      <c r="N1532" s="33">
        <f t="shared" si="155"/>
        <v>3040</v>
      </c>
      <c r="O1532" s="50">
        <v>15792.0</v>
      </c>
      <c r="P1532" s="34">
        <f t="shared" si="14"/>
        <v>51.94736842</v>
      </c>
      <c r="Q1532" s="60"/>
      <c r="R1532" s="36">
        <f t="shared" si="251"/>
        <v>0</v>
      </c>
      <c r="S1532" s="78">
        <v>88.0</v>
      </c>
      <c r="T1532" s="37">
        <f t="shared" si="242"/>
        <v>88</v>
      </c>
      <c r="U1532" s="62"/>
      <c r="V1532" s="74">
        <v>23.3980490874764</v>
      </c>
      <c r="W1532" s="74">
        <v>152.14943718984924</v>
      </c>
      <c r="X1532" s="35">
        <f t="shared" si="243"/>
        <v>0.17</v>
      </c>
      <c r="Y1532" s="35">
        <f t="shared" si="244"/>
        <v>0</v>
      </c>
      <c r="Z1532" s="40">
        <f t="shared" si="245"/>
        <v>73.04</v>
      </c>
      <c r="AA1532" s="34">
        <f t="shared" si="246"/>
        <v>14.96</v>
      </c>
      <c r="AB1532" s="41">
        <f t="shared" si="247"/>
        <v>0</v>
      </c>
      <c r="AC1532" s="42" t="b">
        <v>1</v>
      </c>
      <c r="AD1532" s="87" t="str">
        <f t="shared" si="248"/>
        <v>USD</v>
      </c>
      <c r="AE1532" s="88" t="s">
        <v>138</v>
      </c>
      <c r="AF1532" s="88" t="str">
        <f t="array" ref="AF1532">INDEX('Deal Info'!D:D, MATCH(A1532,'Deal Info'!A:A, 0))</f>
        <v>DoEVold</v>
      </c>
      <c r="AG1532" s="89" t="str">
        <f t="array" ref="AG1532">INDEX('Deal Info'!G:G, MATCH(A1532,'Deal Info'!A:A, 0))</f>
        <v>None</v>
      </c>
    </row>
    <row r="1533" hidden="1">
      <c r="A1533" s="23" t="str">
        <f t="array" ref="A1533">if(G1533='Room Info'!$B$1, INDEX('Room Info'!$A$2:$A3446, MATCH(B1533,'Room Info'!$B$2:$B3446, 0)),if(G1533='Room Info'!$C$1, INDEX('Room Info'!$A$2:$A3446, MATCH(B1533,'Room Info'!$C$2:$C3446, 0)),if(G1533='Room Info'!$D$1, INDEX('Room Info'!$A$2:$A3446, MATCH(B1533,'Room Info'!$D$2:$D3446, 0)),if(G1533='Room Info'!$E$1, INDEX('Room Info'!$A$2:$A3446, MATCH(B1533,'Room Info'!$E$2:$E3446, 0)),if(G1533='Room Info'!$F$1, INDEX('Room Info'!$A$2:$A3446, MATCH(B1533,'Room Info'!$F$2:$F3446, 0)),if(G1533='Room Info'!$H$1, INDEX('Room Info'!$A$2:$A3446, MATCH(B1533,'Room Info'!$H$2:$H3446, 0)),if(G1533='Room Info'!$G$1, INDEX('Room Info'!$A$2:$A3446, MATCH(B1533,'Room Info'!$G$2:$G3446, 0)))))))))</f>
        <v>kttweek1</v>
      </c>
      <c r="B1533" s="50" t="s">
        <v>197</v>
      </c>
      <c r="C1533" s="51">
        <v>44958.0</v>
      </c>
      <c r="D1533" s="51">
        <v>44985.0</v>
      </c>
      <c r="E1533" s="85">
        <v>44958.0</v>
      </c>
      <c r="F1533" s="50" t="s">
        <v>8</v>
      </c>
      <c r="G1533" s="23" t="s">
        <v>5</v>
      </c>
      <c r="H1533" s="54" t="s">
        <v>48</v>
      </c>
      <c r="I1533" s="54" t="s">
        <v>11</v>
      </c>
      <c r="J1533" s="44">
        <f t="shared" si="241"/>
        <v>10</v>
      </c>
      <c r="K1533" s="80">
        <v>60.0</v>
      </c>
      <c r="L1533" s="77">
        <v>80.0</v>
      </c>
      <c r="M1533" s="67"/>
      <c r="N1533" s="33">
        <f t="shared" si="155"/>
        <v>600</v>
      </c>
      <c r="O1533" s="50">
        <v>1596.0</v>
      </c>
      <c r="P1533" s="34">
        <f t="shared" si="14"/>
        <v>26.6</v>
      </c>
      <c r="Q1533" s="60"/>
      <c r="R1533" s="36">
        <f t="shared" si="251"/>
        <v>0</v>
      </c>
      <c r="S1533" s="78">
        <v>9.0</v>
      </c>
      <c r="T1533" s="37">
        <f t="shared" si="242"/>
        <v>9</v>
      </c>
      <c r="U1533" s="62"/>
      <c r="V1533" s="74">
        <v>23.3980490874764</v>
      </c>
      <c r="W1533" s="74">
        <v>152.14943718984924</v>
      </c>
      <c r="X1533" s="35">
        <f t="shared" si="243"/>
        <v>0.17</v>
      </c>
      <c r="Y1533" s="35">
        <f t="shared" si="244"/>
        <v>0</v>
      </c>
      <c r="Z1533" s="40">
        <f t="shared" si="245"/>
        <v>7.47</v>
      </c>
      <c r="AA1533" s="34">
        <f t="shared" si="246"/>
        <v>1.53</v>
      </c>
      <c r="AB1533" s="41">
        <f t="shared" si="247"/>
        <v>0</v>
      </c>
      <c r="AC1533" s="42" t="b">
        <v>1</v>
      </c>
      <c r="AD1533" s="87" t="str">
        <f t="shared" si="248"/>
        <v>USD</v>
      </c>
      <c r="AE1533" s="88" t="s">
        <v>138</v>
      </c>
      <c r="AF1533" s="88" t="str">
        <f t="array" ref="AF1533">INDEX('Deal Info'!D:D, MATCH(A1533,'Deal Info'!A:A, 0))</f>
        <v>DoEVold</v>
      </c>
      <c r="AG1533" s="89" t="str">
        <f t="array" ref="AG1533">INDEX('Deal Info'!G:G, MATCH(A1533,'Deal Info'!A:A, 0))</f>
        <v>None</v>
      </c>
    </row>
    <row r="1534" hidden="1">
      <c r="A1534" s="23" t="str">
        <f t="array" ref="A1534">if(G1534='Room Info'!$B$1, INDEX('Room Info'!$A$2:$A3446, MATCH(B1534,'Room Info'!$B$2:$B3446, 0)),if(G1534='Room Info'!$C$1, INDEX('Room Info'!$A$2:$A3446, MATCH(B1534,'Room Info'!$C$2:$C3446, 0)),if(G1534='Room Info'!$D$1, INDEX('Room Info'!$A$2:$A3446, MATCH(B1534,'Room Info'!$D$2:$D3446, 0)),if(G1534='Room Info'!$E$1, INDEX('Room Info'!$A$2:$A3446, MATCH(B1534,'Room Info'!$E$2:$E3446, 0)),if(G1534='Room Info'!$F$1, INDEX('Room Info'!$A$2:$A3446, MATCH(B1534,'Room Info'!$F$2:$F3446, 0)),if(G1534='Room Info'!$H$1, INDEX('Room Info'!$A$2:$A3446, MATCH(B1534,'Room Info'!$H$2:$H3446, 0)),if(G1534='Room Info'!$G$1, INDEX('Room Info'!$A$2:$A3446, MATCH(B1534,'Room Info'!$G$2:$G3446, 0)))))))))</f>
        <v>kttweek1</v>
      </c>
      <c r="B1534" s="50" t="s">
        <v>197</v>
      </c>
      <c r="C1534" s="51">
        <v>44958.0</v>
      </c>
      <c r="D1534" s="51">
        <v>44985.0</v>
      </c>
      <c r="E1534" s="85">
        <v>44958.0</v>
      </c>
      <c r="F1534" s="50" t="s">
        <v>8</v>
      </c>
      <c r="G1534" s="23" t="s">
        <v>5</v>
      </c>
      <c r="H1534" s="54" t="s">
        <v>62</v>
      </c>
      <c r="I1534" s="54" t="s">
        <v>7</v>
      </c>
      <c r="J1534" s="44">
        <f t="shared" si="241"/>
        <v>25</v>
      </c>
      <c r="K1534" s="80">
        <v>2389.0</v>
      </c>
      <c r="L1534" s="77">
        <v>1500.0</v>
      </c>
      <c r="M1534" s="67"/>
      <c r="N1534" s="33">
        <f t="shared" si="155"/>
        <v>59725</v>
      </c>
      <c r="O1534" s="50">
        <v>67717.0</v>
      </c>
      <c r="P1534" s="34">
        <f t="shared" si="14"/>
        <v>28.34533278</v>
      </c>
      <c r="Q1534" s="60"/>
      <c r="R1534" s="36">
        <f t="shared" si="251"/>
        <v>0</v>
      </c>
      <c r="S1534" s="78">
        <v>-222.0</v>
      </c>
      <c r="T1534" s="37">
        <f t="shared" si="242"/>
        <v>-222</v>
      </c>
      <c r="U1534" s="62"/>
      <c r="V1534" s="74">
        <v>23.3980490874764</v>
      </c>
      <c r="W1534" s="74">
        <v>152.14943718984924</v>
      </c>
      <c r="X1534" s="35">
        <f t="shared" si="243"/>
        <v>0.17</v>
      </c>
      <c r="Y1534" s="35">
        <f t="shared" si="244"/>
        <v>0</v>
      </c>
      <c r="Z1534" s="40">
        <f t="shared" si="245"/>
        <v>-184.26</v>
      </c>
      <c r="AA1534" s="34">
        <f t="shared" si="246"/>
        <v>-37.74</v>
      </c>
      <c r="AB1534" s="41">
        <f t="shared" si="247"/>
        <v>0</v>
      </c>
      <c r="AC1534" s="42" t="b">
        <v>1</v>
      </c>
      <c r="AD1534" s="87" t="str">
        <f t="shared" si="248"/>
        <v>USD</v>
      </c>
      <c r="AE1534" s="88" t="s">
        <v>138</v>
      </c>
      <c r="AF1534" s="88" t="str">
        <f t="array" ref="AF1534">INDEX('Deal Info'!D:D, MATCH(A1534,'Deal Info'!A:A, 0))</f>
        <v>DoEVold</v>
      </c>
      <c r="AG1534" s="89" t="str">
        <f t="array" ref="AG1534">INDEX('Deal Info'!G:G, MATCH(A1534,'Deal Info'!A:A, 0))</f>
        <v>None</v>
      </c>
    </row>
    <row r="1535" hidden="1">
      <c r="A1535" s="23" t="str">
        <f t="array" ref="A1535">if(G1535='Room Info'!$B$1, INDEX('Room Info'!$A$2:$A3446, MATCH(B1535,'Room Info'!$B$2:$B3446, 0)),if(G1535='Room Info'!$C$1, INDEX('Room Info'!$A$2:$A3446, MATCH(B1535,'Room Info'!$C$2:$C3446, 0)),if(G1535='Room Info'!$D$1, INDEX('Room Info'!$A$2:$A3446, MATCH(B1535,'Room Info'!$D$2:$D3446, 0)),if(G1535='Room Info'!$E$1, INDEX('Room Info'!$A$2:$A3446, MATCH(B1535,'Room Info'!$E$2:$E3446, 0)),if(G1535='Room Info'!$F$1, INDEX('Room Info'!$A$2:$A3446, MATCH(B1535,'Room Info'!$F$2:$F3446, 0)),if(G1535='Room Info'!$H$1, INDEX('Room Info'!$A$2:$A3446, MATCH(B1535,'Room Info'!$H$2:$H3446, 0)),if(G1535='Room Info'!$G$1, INDEX('Room Info'!$A$2:$A3446, MATCH(B1535,'Room Info'!$G$2:$G3446, 0)))))))))</f>
        <v>kttweek1</v>
      </c>
      <c r="B1535" s="50" t="s">
        <v>197</v>
      </c>
      <c r="C1535" s="51">
        <v>44958.0</v>
      </c>
      <c r="D1535" s="51">
        <v>44985.0</v>
      </c>
      <c r="E1535" s="85">
        <v>44958.0</v>
      </c>
      <c r="F1535" s="50" t="s">
        <v>8</v>
      </c>
      <c r="G1535" s="23" t="s">
        <v>5</v>
      </c>
      <c r="H1535" s="54" t="s">
        <v>63</v>
      </c>
      <c r="I1535" s="54" t="s">
        <v>11</v>
      </c>
      <c r="J1535" s="44">
        <f t="shared" si="241"/>
        <v>25</v>
      </c>
      <c r="K1535" s="80">
        <v>364.0</v>
      </c>
      <c r="L1535" s="77">
        <v>-175.0</v>
      </c>
      <c r="M1535" s="67"/>
      <c r="N1535" s="33">
        <f t="shared" si="155"/>
        <v>9100</v>
      </c>
      <c r="O1535" s="50">
        <v>1720.0</v>
      </c>
      <c r="P1535" s="34">
        <f t="shared" si="14"/>
        <v>4.725274725</v>
      </c>
      <c r="Q1535" s="60"/>
      <c r="R1535" s="36">
        <f t="shared" si="251"/>
        <v>0</v>
      </c>
      <c r="S1535" s="78">
        <v>-380.0</v>
      </c>
      <c r="T1535" s="37">
        <f t="shared" si="242"/>
        <v>-380</v>
      </c>
      <c r="U1535" s="62"/>
      <c r="V1535" s="74">
        <v>23.3980490874764</v>
      </c>
      <c r="W1535" s="74">
        <v>152.14943718984924</v>
      </c>
      <c r="X1535" s="35">
        <f t="shared" si="243"/>
        <v>0.17</v>
      </c>
      <c r="Y1535" s="35">
        <f t="shared" si="244"/>
        <v>0</v>
      </c>
      <c r="Z1535" s="40">
        <f t="shared" si="245"/>
        <v>-315.4</v>
      </c>
      <c r="AA1535" s="34">
        <f t="shared" si="246"/>
        <v>-64.6</v>
      </c>
      <c r="AB1535" s="41">
        <f t="shared" si="247"/>
        <v>0</v>
      </c>
      <c r="AC1535" s="42" t="b">
        <v>1</v>
      </c>
      <c r="AD1535" s="87" t="str">
        <f t="shared" si="248"/>
        <v>USD</v>
      </c>
      <c r="AE1535" s="88" t="s">
        <v>138</v>
      </c>
      <c r="AF1535" s="88" t="str">
        <f t="array" ref="AF1535">INDEX('Deal Info'!D:D, MATCH(A1535,'Deal Info'!A:A, 0))</f>
        <v>DoEVold</v>
      </c>
      <c r="AG1535" s="89" t="str">
        <f t="array" ref="AG1535">INDEX('Deal Info'!G:G, MATCH(A1535,'Deal Info'!A:A, 0))</f>
        <v>None</v>
      </c>
    </row>
    <row r="1536" hidden="1">
      <c r="A1536" s="23" t="str">
        <f t="array" ref="A1536">if(G1536='Room Info'!$B$1, INDEX('Room Info'!$A$2:$A3446, MATCH(B1536,'Room Info'!$B$2:$B3446, 0)),if(G1536='Room Info'!$C$1, INDEX('Room Info'!$A$2:$A3446, MATCH(B1536,'Room Info'!$C$2:$C3446, 0)),if(G1536='Room Info'!$D$1, INDEX('Room Info'!$A$2:$A3446, MATCH(B1536,'Room Info'!$D$2:$D3446, 0)),if(G1536='Room Info'!$E$1, INDEX('Room Info'!$A$2:$A3446, MATCH(B1536,'Room Info'!$E$2:$E3446, 0)),if(G1536='Room Info'!$F$1, INDEX('Room Info'!$A$2:$A3446, MATCH(B1536,'Room Info'!$F$2:$F3446, 0)),if(G1536='Room Info'!$H$1, INDEX('Room Info'!$A$2:$A3446, MATCH(B1536,'Room Info'!$H$2:$H3446, 0)),if(G1536='Room Info'!$G$1, INDEX('Room Info'!$A$2:$A3446, MATCH(B1536,'Room Info'!$G$2:$G3446, 0)))))))))</f>
        <v>kttweek1</v>
      </c>
      <c r="B1536" s="50" t="s">
        <v>197</v>
      </c>
      <c r="C1536" s="51">
        <v>44958.0</v>
      </c>
      <c r="D1536" s="51">
        <v>44985.0</v>
      </c>
      <c r="E1536" s="85">
        <v>44958.0</v>
      </c>
      <c r="F1536" s="50" t="s">
        <v>8</v>
      </c>
      <c r="G1536" s="23" t="s">
        <v>5</v>
      </c>
      <c r="H1536" s="54" t="s">
        <v>74</v>
      </c>
      <c r="I1536" s="54" t="s">
        <v>7</v>
      </c>
      <c r="J1536" s="44">
        <f t="shared" si="241"/>
        <v>50</v>
      </c>
      <c r="K1536" s="56">
        <v>36.0</v>
      </c>
      <c r="L1536" s="57">
        <v>750.0</v>
      </c>
      <c r="M1536" s="58"/>
      <c r="N1536" s="33">
        <f t="shared" si="155"/>
        <v>1800</v>
      </c>
      <c r="O1536" s="59">
        <v>4526.0</v>
      </c>
      <c r="P1536" s="34">
        <f t="shared" si="14"/>
        <v>125.7222222</v>
      </c>
      <c r="Q1536" s="60"/>
      <c r="R1536" s="36">
        <f t="shared" si="251"/>
        <v>0</v>
      </c>
      <c r="S1536" s="61">
        <v>318.0</v>
      </c>
      <c r="T1536" s="37">
        <f t="shared" si="242"/>
        <v>318</v>
      </c>
      <c r="U1536" s="62"/>
      <c r="V1536" s="74">
        <v>23.3980490874764</v>
      </c>
      <c r="W1536" s="74">
        <v>152.14943718984924</v>
      </c>
      <c r="X1536" s="35">
        <f t="shared" si="243"/>
        <v>0.17</v>
      </c>
      <c r="Y1536" s="35">
        <f t="shared" si="244"/>
        <v>0</v>
      </c>
      <c r="Z1536" s="40">
        <f t="shared" si="245"/>
        <v>263.94</v>
      </c>
      <c r="AA1536" s="34">
        <f t="shared" si="246"/>
        <v>54.06</v>
      </c>
      <c r="AB1536" s="41">
        <f t="shared" si="247"/>
        <v>0</v>
      </c>
      <c r="AC1536" s="42" t="b">
        <v>1</v>
      </c>
      <c r="AD1536" s="87" t="str">
        <f t="shared" si="248"/>
        <v>USD</v>
      </c>
      <c r="AE1536" s="88" t="s">
        <v>138</v>
      </c>
      <c r="AF1536" s="88" t="str">
        <f t="array" ref="AF1536">INDEX('Deal Info'!D:D, MATCH(A1536,'Deal Info'!A:A, 0))</f>
        <v>DoEVold</v>
      </c>
      <c r="AG1536" s="89" t="str">
        <f t="array" ref="AG1536">INDEX('Deal Info'!G:G, MATCH(A1536,'Deal Info'!A:A, 0))</f>
        <v>None</v>
      </c>
    </row>
    <row r="1537" hidden="1">
      <c r="A1537" s="23" t="str">
        <f t="array" ref="A1537">if(G1537='Room Info'!$B$1, INDEX('Room Info'!$A$2:$A3446, MATCH(B1537,'Room Info'!$B$2:$B3446, 0)),if(G1537='Room Info'!$C$1, INDEX('Room Info'!$A$2:$A3446, MATCH(B1537,'Room Info'!$C$2:$C3446, 0)),if(G1537='Room Info'!$D$1, INDEX('Room Info'!$A$2:$A3446, MATCH(B1537,'Room Info'!$D$2:$D3446, 0)),if(G1537='Room Info'!$E$1, INDEX('Room Info'!$A$2:$A3446, MATCH(B1537,'Room Info'!$E$2:$E3446, 0)),if(G1537='Room Info'!$F$1, INDEX('Room Info'!$A$2:$A3446, MATCH(B1537,'Room Info'!$F$2:$F3446, 0)),if(G1537='Room Info'!$H$1, INDEX('Room Info'!$A$2:$A3446, MATCH(B1537,'Room Info'!$H$2:$H3446, 0)),if(G1537='Room Info'!$G$1, INDEX('Room Info'!$A$2:$A3446, MATCH(B1537,'Room Info'!$G$2:$G3446, 0)))))))))</f>
        <v>Berebka</v>
      </c>
      <c r="B1537" s="50" t="s">
        <v>229</v>
      </c>
      <c r="C1537" s="51">
        <v>44958.0</v>
      </c>
      <c r="D1537" s="51">
        <v>44985.0</v>
      </c>
      <c r="E1537" s="85">
        <v>44958.0</v>
      </c>
      <c r="F1537" s="50" t="s">
        <v>8</v>
      </c>
      <c r="G1537" s="23" t="s">
        <v>5</v>
      </c>
      <c r="H1537" s="54" t="s">
        <v>35</v>
      </c>
      <c r="I1537" s="54" t="s">
        <v>7</v>
      </c>
      <c r="J1537" s="44">
        <f t="shared" si="241"/>
        <v>5</v>
      </c>
      <c r="K1537" s="56">
        <v>2.0</v>
      </c>
      <c r="L1537" s="57">
        <v>5.0</v>
      </c>
      <c r="M1537" s="58">
        <v>2405.0</v>
      </c>
      <c r="N1537" s="33">
        <f t="shared" si="155"/>
        <v>10</v>
      </c>
      <c r="O1537" s="59">
        <v>-20.0</v>
      </c>
      <c r="P1537" s="34">
        <f t="shared" si="14"/>
        <v>-10</v>
      </c>
      <c r="Q1537" s="60"/>
      <c r="R1537" s="36">
        <f t="shared" si="251"/>
        <v>2405</v>
      </c>
      <c r="S1537" s="61">
        <v>-1.0</v>
      </c>
      <c r="T1537" s="37">
        <f t="shared" si="242"/>
        <v>2404</v>
      </c>
      <c r="U1537" s="62"/>
      <c r="V1537" s="63">
        <v>18.89</v>
      </c>
      <c r="W1537" s="63">
        <v>110.0956935</v>
      </c>
      <c r="X1537" s="35">
        <f t="shared" si="243"/>
        <v>0.17</v>
      </c>
      <c r="Y1537" s="35">
        <f t="shared" si="244"/>
        <v>0</v>
      </c>
      <c r="Z1537" s="40">
        <f t="shared" si="245"/>
        <v>1995.32</v>
      </c>
      <c r="AA1537" s="34">
        <f t="shared" si="246"/>
        <v>408.68</v>
      </c>
      <c r="AB1537" s="41">
        <f t="shared" si="247"/>
        <v>0</v>
      </c>
      <c r="AC1537" s="42" t="b">
        <v>1</v>
      </c>
      <c r="AD1537" s="87" t="str">
        <f t="shared" si="248"/>
        <v>USD</v>
      </c>
      <c r="AE1537" s="88" t="s">
        <v>138</v>
      </c>
      <c r="AF1537" s="88" t="str">
        <f t="array" ref="AF1537">INDEX('Deal Info'!D:D, MATCH(A1537,'Deal Info'!A:A, 0))</f>
        <v>DoEV</v>
      </c>
      <c r="AG1537" s="89" t="str">
        <f t="array" ref="AG1537">INDEX('Deal Info'!G:G, MATCH(A1537,'Deal Info'!A:A, 0))</f>
        <v>None</v>
      </c>
    </row>
    <row r="1538" hidden="1">
      <c r="A1538" s="23" t="str">
        <f t="array" ref="A1538">if(G1538='Room Info'!$B$1, INDEX('Room Info'!$A$2:$A3446, MATCH(B1538,'Room Info'!$B$2:$B3446, 0)),if(G1538='Room Info'!$C$1, INDEX('Room Info'!$A$2:$A3446, MATCH(B1538,'Room Info'!$C$2:$C3446, 0)),if(G1538='Room Info'!$D$1, INDEX('Room Info'!$A$2:$A3446, MATCH(B1538,'Room Info'!$D$2:$D3446, 0)),if(G1538='Room Info'!$E$1, INDEX('Room Info'!$A$2:$A3446, MATCH(B1538,'Room Info'!$E$2:$E3446, 0)),if(G1538='Room Info'!$F$1, INDEX('Room Info'!$A$2:$A3446, MATCH(B1538,'Room Info'!$F$2:$F3446, 0)),if(G1538='Room Info'!$H$1, INDEX('Room Info'!$A$2:$A3446, MATCH(B1538,'Room Info'!$H$2:$H3446, 0)),if(G1538='Room Info'!$G$1, INDEX('Room Info'!$A$2:$A3446, MATCH(B1538,'Room Info'!$G$2:$G3446, 0)))))))))</f>
        <v>Berebka</v>
      </c>
      <c r="B1538" s="50" t="s">
        <v>229</v>
      </c>
      <c r="C1538" s="51">
        <v>44958.0</v>
      </c>
      <c r="D1538" s="51">
        <v>44985.0</v>
      </c>
      <c r="E1538" s="85">
        <v>44958.0</v>
      </c>
      <c r="F1538" s="50" t="s">
        <v>8</v>
      </c>
      <c r="G1538" s="23" t="s">
        <v>5</v>
      </c>
      <c r="H1538" s="54" t="s">
        <v>62</v>
      </c>
      <c r="I1538" s="54" t="s">
        <v>7</v>
      </c>
      <c r="J1538" s="44">
        <f t="shared" si="241"/>
        <v>25</v>
      </c>
      <c r="K1538" s="56">
        <v>2159.0</v>
      </c>
      <c r="L1538" s="57">
        <v>-1975.0</v>
      </c>
      <c r="M1538" s="67"/>
      <c r="N1538" s="33">
        <f t="shared" si="155"/>
        <v>53975</v>
      </c>
      <c r="O1538" s="59">
        <v>39131.0</v>
      </c>
      <c r="P1538" s="34">
        <f t="shared" si="14"/>
        <v>18.12459472</v>
      </c>
      <c r="Q1538" s="60"/>
      <c r="R1538" s="36">
        <f t="shared" si="251"/>
        <v>0</v>
      </c>
      <c r="S1538" s="61">
        <v>-1225.0</v>
      </c>
      <c r="T1538" s="37">
        <f t="shared" si="242"/>
        <v>-1225</v>
      </c>
      <c r="U1538" s="62"/>
      <c r="V1538" s="63">
        <v>18.89</v>
      </c>
      <c r="W1538" s="63">
        <v>110.0956935</v>
      </c>
      <c r="X1538" s="35">
        <f t="shared" si="243"/>
        <v>0.17</v>
      </c>
      <c r="Y1538" s="35">
        <f t="shared" si="244"/>
        <v>0</v>
      </c>
      <c r="Z1538" s="40">
        <f t="shared" si="245"/>
        <v>-1016.75</v>
      </c>
      <c r="AA1538" s="34">
        <f t="shared" si="246"/>
        <v>-208.25</v>
      </c>
      <c r="AB1538" s="41">
        <f t="shared" si="247"/>
        <v>0</v>
      </c>
      <c r="AC1538" s="42" t="b">
        <v>1</v>
      </c>
      <c r="AD1538" s="87" t="str">
        <f t="shared" si="248"/>
        <v>USD</v>
      </c>
      <c r="AE1538" s="88" t="s">
        <v>138</v>
      </c>
      <c r="AF1538" s="88" t="str">
        <f t="array" ref="AF1538">INDEX('Deal Info'!D:D, MATCH(A1538,'Deal Info'!A:A, 0))</f>
        <v>DoEV</v>
      </c>
      <c r="AG1538" s="89" t="str">
        <f t="array" ref="AG1538">INDEX('Deal Info'!G:G, MATCH(A1538,'Deal Info'!A:A, 0))</f>
        <v>None</v>
      </c>
    </row>
    <row r="1539" hidden="1">
      <c r="A1539" s="23" t="str">
        <f t="array" ref="A1539">if(G1539='Room Info'!$B$1, INDEX('Room Info'!$A$2:$A3446, MATCH(B1539,'Room Info'!$B$2:$B3446, 0)),if(G1539='Room Info'!$C$1, INDEX('Room Info'!$A$2:$A3446, MATCH(B1539,'Room Info'!$C$2:$C3446, 0)),if(G1539='Room Info'!$D$1, INDEX('Room Info'!$A$2:$A3446, MATCH(B1539,'Room Info'!$D$2:$D3446, 0)),if(G1539='Room Info'!$E$1, INDEX('Room Info'!$A$2:$A3446, MATCH(B1539,'Room Info'!$E$2:$E3446, 0)),if(G1539='Room Info'!$F$1, INDEX('Room Info'!$A$2:$A3446, MATCH(B1539,'Room Info'!$F$2:$F3446, 0)),if(G1539='Room Info'!$H$1, INDEX('Room Info'!$A$2:$A3446, MATCH(B1539,'Room Info'!$H$2:$H3446, 0)),if(G1539='Room Info'!$G$1, INDEX('Room Info'!$A$2:$A3446, MATCH(B1539,'Room Info'!$G$2:$G3446, 0)))))))))</f>
        <v>Berebka</v>
      </c>
      <c r="B1539" s="50" t="s">
        <v>229</v>
      </c>
      <c r="C1539" s="51">
        <v>44958.0</v>
      </c>
      <c r="D1539" s="51">
        <v>44985.0</v>
      </c>
      <c r="E1539" s="85">
        <v>44958.0</v>
      </c>
      <c r="F1539" s="50" t="s">
        <v>8</v>
      </c>
      <c r="G1539" s="23" t="s">
        <v>5</v>
      </c>
      <c r="H1539" s="54" t="s">
        <v>74</v>
      </c>
      <c r="I1539" s="54" t="s">
        <v>7</v>
      </c>
      <c r="J1539" s="44">
        <f t="shared" si="241"/>
        <v>50</v>
      </c>
      <c r="K1539" s="80">
        <v>4.0</v>
      </c>
      <c r="L1539" s="77">
        <v>50.0</v>
      </c>
      <c r="M1539" s="84"/>
      <c r="N1539" s="33">
        <f t="shared" si="155"/>
        <v>200</v>
      </c>
      <c r="O1539" s="50">
        <v>560.0</v>
      </c>
      <c r="P1539" s="34">
        <f t="shared" si="14"/>
        <v>140</v>
      </c>
      <c r="Q1539" s="60"/>
      <c r="R1539" s="36">
        <f t="shared" si="251"/>
        <v>0</v>
      </c>
      <c r="S1539" s="78">
        <v>41.0</v>
      </c>
      <c r="T1539" s="37">
        <f t="shared" si="242"/>
        <v>41</v>
      </c>
      <c r="U1539" s="62"/>
      <c r="V1539" s="63">
        <v>18.89</v>
      </c>
      <c r="W1539" s="63">
        <v>110.0956935</v>
      </c>
      <c r="X1539" s="35">
        <f t="shared" si="243"/>
        <v>0.17</v>
      </c>
      <c r="Y1539" s="35">
        <f t="shared" si="244"/>
        <v>0</v>
      </c>
      <c r="Z1539" s="40">
        <f t="shared" si="245"/>
        <v>34.03</v>
      </c>
      <c r="AA1539" s="34">
        <f t="shared" si="246"/>
        <v>6.97</v>
      </c>
      <c r="AB1539" s="41">
        <f t="shared" si="247"/>
        <v>0</v>
      </c>
      <c r="AC1539" s="42" t="b">
        <v>1</v>
      </c>
      <c r="AD1539" s="87" t="str">
        <f t="shared" si="248"/>
        <v>USD</v>
      </c>
      <c r="AE1539" s="88" t="s">
        <v>138</v>
      </c>
      <c r="AF1539" s="88" t="str">
        <f t="array" ref="AF1539">INDEX('Deal Info'!D:D, MATCH(A1539,'Deal Info'!A:A, 0))</f>
        <v>DoEV</v>
      </c>
      <c r="AG1539" s="89" t="str">
        <f t="array" ref="AG1539">INDEX('Deal Info'!G:G, MATCH(A1539,'Deal Info'!A:A, 0))</f>
        <v>None</v>
      </c>
    </row>
    <row r="1540" hidden="1">
      <c r="A1540" s="23" t="b">
        <f t="array" ref="A1540">if(G1540='Room Info'!$B$1, INDEX('Room Info'!$A$2:$A3446, MATCH(B1540,'Room Info'!$B$2:$B3446, 0)),if(G1540='Room Info'!$C$1, INDEX('Room Info'!$A$2:$A3446, MATCH(B1540,'Room Info'!$C$2:$C3446, 0)),if(G1540='Room Info'!$D$1, INDEX('Room Info'!$A$2:$A3446, MATCH(B1540,'Room Info'!$D$2:$D3446, 0)),if(G1540='Room Info'!$E$1, INDEX('Room Info'!$A$2:$A3446, MATCH(B1540,'Room Info'!$E$2:$E3446, 0)),if(G1540='Room Info'!$F$1, INDEX('Room Info'!$A$2:$A3446, MATCH(B1540,'Room Info'!$F$2:$F3446, 0)),if(G1540='Room Info'!$H$1, INDEX('Room Info'!$A$2:$A3446, MATCH(B1540,'Room Info'!$H$2:$H3446, 0)),if(G1540='Room Info'!$G$1, INDEX('Room Info'!$A$2:$A3446, MATCH(B1540,'Room Info'!$G$2:$G3446, 0)))))))))</f>
        <v>0</v>
      </c>
      <c r="B1540" s="50" t="s">
        <v>230</v>
      </c>
      <c r="C1540" s="51">
        <v>44958.0</v>
      </c>
      <c r="D1540" s="51">
        <v>44985.0</v>
      </c>
      <c r="E1540" s="85">
        <v>44958.0</v>
      </c>
      <c r="F1540" s="50" t="s">
        <v>8</v>
      </c>
      <c r="G1540" s="50" t="s">
        <v>19</v>
      </c>
      <c r="H1540" s="86" t="s">
        <v>39</v>
      </c>
      <c r="I1540" s="54" t="s">
        <v>7</v>
      </c>
      <c r="J1540" s="44">
        <f t="shared" si="241"/>
        <v>5</v>
      </c>
      <c r="K1540" s="80">
        <v>4.0</v>
      </c>
      <c r="L1540" s="77">
        <v>-10.0</v>
      </c>
      <c r="M1540" s="84"/>
      <c r="N1540" s="33">
        <f t="shared" si="155"/>
        <v>20</v>
      </c>
      <c r="O1540" s="50">
        <v>-372.0</v>
      </c>
      <c r="P1540" s="34">
        <f t="shared" si="14"/>
        <v>-93</v>
      </c>
      <c r="Q1540" s="60">
        <v>0.5</v>
      </c>
      <c r="R1540" s="36">
        <f t="shared" si="251"/>
        <v>0.7</v>
      </c>
      <c r="S1540" s="78">
        <f>-5*U1540</f>
        <v>-5.3085</v>
      </c>
      <c r="T1540" s="37">
        <f t="shared" si="242"/>
        <v>-4.6085</v>
      </c>
      <c r="U1540" s="62">
        <v>1.0617</v>
      </c>
      <c r="V1540" s="63">
        <v>18.89</v>
      </c>
      <c r="W1540" s="63">
        <v>110.0956935</v>
      </c>
      <c r="X1540" s="35" t="str">
        <f t="shared" si="243"/>
        <v>#N/A</v>
      </c>
      <c r="Y1540" s="35" t="str">
        <f t="shared" si="244"/>
        <v>#N/A</v>
      </c>
      <c r="Z1540" s="40" t="str">
        <f t="shared" si="245"/>
        <v>#N/A</v>
      </c>
      <c r="AA1540" s="34" t="str">
        <f t="shared" si="246"/>
        <v>#N/A</v>
      </c>
      <c r="AB1540" s="41" t="str">
        <f t="shared" si="247"/>
        <v>#N/A</v>
      </c>
      <c r="AC1540" s="42" t="b">
        <v>1</v>
      </c>
      <c r="AD1540" s="87" t="str">
        <f t="shared" si="248"/>
        <v>EUR</v>
      </c>
      <c r="AE1540" s="88" t="s">
        <v>138</v>
      </c>
      <c r="AF1540" s="88" t="str">
        <f t="array" ref="AF1540">INDEX('Deal Info'!D:D, MATCH(A1540,'Deal Info'!A:A, 0))</f>
        <v>#N/A</v>
      </c>
      <c r="AG1540" s="89" t="str">
        <f t="array" ref="AG1540">INDEX('Deal Info'!G:G, MATCH(A1540,'Deal Info'!A:A, 0))</f>
        <v>#N/A</v>
      </c>
    </row>
    <row r="1541" hidden="1">
      <c r="A1541" s="23" t="b">
        <f t="array" ref="A1541">if(G1541='Room Info'!$B$1, INDEX('Room Info'!$A$2:$A3446, MATCH(B1541,'Room Info'!$B$2:$B3446, 0)),if(G1541='Room Info'!$C$1, INDEX('Room Info'!$A$2:$A3446, MATCH(B1541,'Room Info'!$C$2:$C3446, 0)),if(G1541='Room Info'!$D$1, INDEX('Room Info'!$A$2:$A3446, MATCH(B1541,'Room Info'!$D$2:$D3446, 0)),if(G1541='Room Info'!$E$1, INDEX('Room Info'!$A$2:$A3446, MATCH(B1541,'Room Info'!$E$2:$E3446, 0)),if(G1541='Room Info'!$F$1, INDEX('Room Info'!$A$2:$A3446, MATCH(B1541,'Room Info'!$F$2:$F3446, 0)),if(G1541='Room Info'!$H$1, INDEX('Room Info'!$A$2:$A3446, MATCH(B1541,'Room Info'!$H$2:$H3446, 0)),if(G1541='Room Info'!$G$1, INDEX('Room Info'!$A$2:$A3446, MATCH(B1541,'Room Info'!$G$2:$G3446, 0)))))))))</f>
        <v>0</v>
      </c>
      <c r="B1541" s="50" t="s">
        <v>230</v>
      </c>
      <c r="C1541" s="51">
        <v>44958.0</v>
      </c>
      <c r="D1541" s="51">
        <v>44985.0</v>
      </c>
      <c r="E1541" s="85">
        <v>44958.0</v>
      </c>
      <c r="F1541" s="50" t="s">
        <v>8</v>
      </c>
      <c r="G1541" s="50" t="s">
        <v>19</v>
      </c>
      <c r="H1541" s="86" t="s">
        <v>50</v>
      </c>
      <c r="I1541" s="54" t="s">
        <v>7</v>
      </c>
      <c r="J1541" s="44">
        <f t="shared" si="241"/>
        <v>10</v>
      </c>
      <c r="K1541" s="80">
        <v>800.0</v>
      </c>
      <c r="L1541" s="77">
        <v>-140.0</v>
      </c>
      <c r="M1541" s="84"/>
      <c r="N1541" s="33">
        <f t="shared" si="155"/>
        <v>8000</v>
      </c>
      <c r="O1541" s="50">
        <v>28628.0</v>
      </c>
      <c r="P1541" s="34">
        <f t="shared" si="14"/>
        <v>35.785</v>
      </c>
      <c r="Q1541" s="60">
        <v>0.5</v>
      </c>
      <c r="R1541" s="36">
        <f t="shared" si="251"/>
        <v>280</v>
      </c>
      <c r="S1541" s="78">
        <f>-9*U1541</f>
        <v>-9.5553</v>
      </c>
      <c r="T1541" s="37">
        <f t="shared" si="242"/>
        <v>270.4447</v>
      </c>
      <c r="U1541" s="62">
        <v>1.0617</v>
      </c>
      <c r="V1541" s="63">
        <v>18.89</v>
      </c>
      <c r="W1541" s="63">
        <v>110.0956935</v>
      </c>
      <c r="X1541" s="35" t="str">
        <f t="shared" si="243"/>
        <v>#N/A</v>
      </c>
      <c r="Y1541" s="35" t="str">
        <f t="shared" si="244"/>
        <v>#N/A</v>
      </c>
      <c r="Z1541" s="40" t="str">
        <f t="shared" si="245"/>
        <v>#N/A</v>
      </c>
      <c r="AA1541" s="34" t="str">
        <f t="shared" si="246"/>
        <v>#N/A</v>
      </c>
      <c r="AB1541" s="41" t="str">
        <f t="shared" si="247"/>
        <v>#N/A</v>
      </c>
      <c r="AC1541" s="42" t="b">
        <v>1</v>
      </c>
      <c r="AD1541" s="87" t="str">
        <f t="shared" si="248"/>
        <v>EUR</v>
      </c>
      <c r="AE1541" s="88" t="s">
        <v>138</v>
      </c>
      <c r="AF1541" s="88" t="str">
        <f t="array" ref="AF1541">INDEX('Deal Info'!D:D, MATCH(A1541,'Deal Info'!A:A, 0))</f>
        <v>#N/A</v>
      </c>
      <c r="AG1541" s="89" t="str">
        <f t="array" ref="AG1541">INDEX('Deal Info'!G:G, MATCH(A1541,'Deal Info'!A:A, 0))</f>
        <v>#N/A</v>
      </c>
    </row>
    <row r="1542" hidden="1">
      <c r="A1542" s="23" t="str">
        <f t="array" ref="A1542">if(G1542='Room Info'!$B$1, INDEX('Room Info'!$A$2:$A3446, MATCH(B1542,'Room Info'!$B$2:$B3446, 0)),if(G1542='Room Info'!$C$1, INDEX('Room Info'!$A$2:$A3446, MATCH(B1542,'Room Info'!$C$2:$C3446, 0)),if(G1542='Room Info'!$D$1, INDEX('Room Info'!$A$2:$A3446, MATCH(B1542,'Room Info'!$D$2:$D3446, 0)),if(G1542='Room Info'!$E$1, INDEX('Room Info'!$A$2:$A3446, MATCH(B1542,'Room Info'!$E$2:$E3446, 0)),if(G1542='Room Info'!$F$1, INDEX('Room Info'!$A$2:$A3446, MATCH(B1542,'Room Info'!$F$2:$F3446, 0)),if(G1542='Room Info'!$H$1, INDEX('Room Info'!$A$2:$A3446, MATCH(B1542,'Room Info'!$H$2:$H3446, 0)),if(G1542='Room Info'!$G$1, INDEX('Room Info'!$A$2:$A3446, MATCH(B1542,'Room Info'!$G$2:$G3446, 0)))))))))</f>
        <v>Berebka</v>
      </c>
      <c r="B1542" s="135" t="s">
        <v>183</v>
      </c>
      <c r="C1542" s="51">
        <v>44958.0</v>
      </c>
      <c r="D1542" s="51">
        <v>44985.0</v>
      </c>
      <c r="E1542" s="85">
        <v>44958.0</v>
      </c>
      <c r="F1542" s="50" t="s">
        <v>8</v>
      </c>
      <c r="G1542" s="50" t="s">
        <v>16</v>
      </c>
      <c r="H1542" s="54" t="s">
        <v>45</v>
      </c>
      <c r="I1542" s="54" t="s">
        <v>7</v>
      </c>
      <c r="J1542" s="44">
        <f t="shared" si="241"/>
        <v>10</v>
      </c>
      <c r="K1542" s="80">
        <v>688.0</v>
      </c>
      <c r="L1542" s="77">
        <v>300.0</v>
      </c>
      <c r="M1542" s="81">
        <v>289.0</v>
      </c>
      <c r="N1542" s="33">
        <f t="shared" si="155"/>
        <v>6880</v>
      </c>
      <c r="O1542" s="50">
        <v>36995.0</v>
      </c>
      <c r="P1542" s="34">
        <f t="shared" si="14"/>
        <v>53.77180233</v>
      </c>
      <c r="Q1542" s="60"/>
      <c r="R1542" s="36">
        <f t="shared" si="251"/>
        <v>289</v>
      </c>
      <c r="S1542" s="78">
        <v>305.0</v>
      </c>
      <c r="T1542" s="37">
        <f t="shared" si="242"/>
        <v>594</v>
      </c>
      <c r="U1542" s="62"/>
      <c r="V1542" s="63">
        <v>18.89</v>
      </c>
      <c r="W1542" s="63">
        <v>110.0956935</v>
      </c>
      <c r="X1542" s="35">
        <f t="shared" si="243"/>
        <v>0.17</v>
      </c>
      <c r="Y1542" s="35">
        <f t="shared" si="244"/>
        <v>0</v>
      </c>
      <c r="Z1542" s="40">
        <f t="shared" si="245"/>
        <v>493.02</v>
      </c>
      <c r="AA1542" s="34">
        <f t="shared" si="246"/>
        <v>100.98</v>
      </c>
      <c r="AB1542" s="41">
        <f t="shared" si="247"/>
        <v>0</v>
      </c>
      <c r="AC1542" s="42" t="b">
        <v>1</v>
      </c>
      <c r="AD1542" s="87" t="str">
        <f t="shared" si="248"/>
        <v>USD</v>
      </c>
      <c r="AE1542" s="88" t="s">
        <v>138</v>
      </c>
      <c r="AF1542" s="88" t="str">
        <f t="array" ref="AF1542">INDEX('Deal Info'!D:D, MATCH(A1542,'Deal Info'!A:A, 0))</f>
        <v>DoEV</v>
      </c>
      <c r="AG1542" s="89" t="str">
        <f t="array" ref="AG1542">INDEX('Deal Info'!G:G, MATCH(A1542,'Deal Info'!A:A, 0))</f>
        <v>None</v>
      </c>
    </row>
    <row r="1543" hidden="1">
      <c r="A1543" s="23" t="str">
        <f t="array" ref="A1543">if(G1543='Room Info'!$B$1, INDEX('Room Info'!$A$2:$A3446, MATCH(B1543,'Room Info'!$B$2:$B3446, 0)),if(G1543='Room Info'!$C$1, INDEX('Room Info'!$A$2:$A3446, MATCH(B1543,'Room Info'!$C$2:$C3446, 0)),if(G1543='Room Info'!$D$1, INDEX('Room Info'!$A$2:$A3446, MATCH(B1543,'Room Info'!$D$2:$D3446, 0)),if(G1543='Room Info'!$E$1, INDEX('Room Info'!$A$2:$A3446, MATCH(B1543,'Room Info'!$E$2:$E3446, 0)),if(G1543='Room Info'!$F$1, INDEX('Room Info'!$A$2:$A3446, MATCH(B1543,'Room Info'!$F$2:$F3446, 0)),if(G1543='Room Info'!$H$1, INDEX('Room Info'!$A$2:$A3446, MATCH(B1543,'Room Info'!$H$2:$H3446, 0)),if(G1543='Room Info'!$G$1, INDEX('Room Info'!$A$2:$A3446, MATCH(B1543,'Room Info'!$G$2:$G3446, 0)))))))))</f>
        <v>VermillionPoker</v>
      </c>
      <c r="B1543" s="50" t="s">
        <v>231</v>
      </c>
      <c r="C1543" s="51">
        <v>44958.0</v>
      </c>
      <c r="D1543" s="51">
        <v>44985.0</v>
      </c>
      <c r="E1543" s="85">
        <v>44958.0</v>
      </c>
      <c r="F1543" s="50" t="s">
        <v>8</v>
      </c>
      <c r="G1543" s="23" t="s">
        <v>5</v>
      </c>
      <c r="H1543" s="54" t="s">
        <v>45</v>
      </c>
      <c r="I1543" s="54" t="s">
        <v>7</v>
      </c>
      <c r="J1543" s="44">
        <f t="shared" si="241"/>
        <v>10</v>
      </c>
      <c r="K1543" s="56">
        <v>2140.0</v>
      </c>
      <c r="L1543" s="57">
        <v>480.0</v>
      </c>
      <c r="M1543" s="58">
        <v>1170.0</v>
      </c>
      <c r="N1543" s="33">
        <f t="shared" si="155"/>
        <v>21400</v>
      </c>
      <c r="O1543" s="59">
        <v>54866.0</v>
      </c>
      <c r="P1543" s="34">
        <f t="shared" si="14"/>
        <v>25.63831776</v>
      </c>
      <c r="Q1543" s="60"/>
      <c r="R1543" s="36">
        <f t="shared" si="251"/>
        <v>1170</v>
      </c>
      <c r="S1543" s="61">
        <v>-413.0</v>
      </c>
      <c r="T1543" s="37">
        <f t="shared" si="242"/>
        <v>757</v>
      </c>
      <c r="U1543" s="62"/>
      <c r="V1543" s="63">
        <v>10.0</v>
      </c>
      <c r="W1543" s="63">
        <v>75.7</v>
      </c>
      <c r="X1543" s="35">
        <f t="shared" si="243"/>
        <v>0.23</v>
      </c>
      <c r="Y1543" s="35">
        <f t="shared" si="244"/>
        <v>0</v>
      </c>
      <c r="Z1543" s="40">
        <f t="shared" si="245"/>
        <v>582.89</v>
      </c>
      <c r="AA1543" s="34">
        <f t="shared" si="246"/>
        <v>174.11</v>
      </c>
      <c r="AB1543" s="41">
        <f t="shared" si="247"/>
        <v>0</v>
      </c>
      <c r="AC1543" s="42" t="b">
        <v>1</v>
      </c>
      <c r="AD1543" s="87" t="str">
        <f t="shared" si="248"/>
        <v>USD</v>
      </c>
      <c r="AE1543" s="88" t="s">
        <v>138</v>
      </c>
      <c r="AF1543" s="88" t="str">
        <f t="array" ref="AF1543">INDEX('Deal Info'!D:D, MATCH(A1543,'Deal Info'!A:A, 0))</f>
        <v>DoEV</v>
      </c>
      <c r="AG1543" s="89" t="str">
        <f t="array" ref="AG1543">INDEX('Deal Info'!G:G, MATCH(A1543,'Deal Info'!A:A, 0))</f>
        <v>None</v>
      </c>
    </row>
    <row r="1544" hidden="1">
      <c r="A1544" s="23" t="str">
        <f t="array" ref="A1544">if(G1544='Room Info'!$B$1, INDEX('Room Info'!$A$2:$A3446, MATCH(B1544,'Room Info'!$B$2:$B3446, 0)),if(G1544='Room Info'!$C$1, INDEX('Room Info'!$A$2:$A3446, MATCH(B1544,'Room Info'!$C$2:$C3446, 0)),if(G1544='Room Info'!$D$1, INDEX('Room Info'!$A$2:$A3446, MATCH(B1544,'Room Info'!$D$2:$D3446, 0)),if(G1544='Room Info'!$E$1, INDEX('Room Info'!$A$2:$A3446, MATCH(B1544,'Room Info'!$E$2:$E3446, 0)),if(G1544='Room Info'!$F$1, INDEX('Room Info'!$A$2:$A3446, MATCH(B1544,'Room Info'!$F$2:$F3446, 0)),if(G1544='Room Info'!$H$1, INDEX('Room Info'!$A$2:$A3446, MATCH(B1544,'Room Info'!$H$2:$H3446, 0)),if(G1544='Room Info'!$G$1, INDEX('Room Info'!$A$2:$A3446, MATCH(B1544,'Room Info'!$G$2:$G3446, 0)))))))))</f>
        <v>mdzr</v>
      </c>
      <c r="B1544" s="101" t="s">
        <v>232</v>
      </c>
      <c r="C1544" s="51">
        <v>44958.0</v>
      </c>
      <c r="D1544" s="51">
        <v>44985.0</v>
      </c>
      <c r="E1544" s="85">
        <v>44958.0</v>
      </c>
      <c r="F1544" s="50" t="s">
        <v>8</v>
      </c>
      <c r="G1544" s="130" t="s">
        <v>13</v>
      </c>
      <c r="H1544" s="54" t="s">
        <v>59</v>
      </c>
      <c r="I1544" s="54" t="s">
        <v>18</v>
      </c>
      <c r="J1544" s="44">
        <f t="shared" si="241"/>
        <v>20</v>
      </c>
      <c r="K1544" s="56">
        <v>5867.0</v>
      </c>
      <c r="L1544" s="57">
        <v>-5340.0</v>
      </c>
      <c r="M1544" s="67">
        <f>4913.46+855</f>
        <v>5768.46</v>
      </c>
      <c r="N1544" s="33">
        <f t="shared" si="155"/>
        <v>117340</v>
      </c>
      <c r="O1544" s="70"/>
      <c r="P1544" s="34">
        <f t="shared" si="14"/>
        <v>0</v>
      </c>
      <c r="Q1544" s="60"/>
      <c r="R1544" s="36">
        <f t="shared" si="251"/>
        <v>5768.46</v>
      </c>
      <c r="S1544" s="61">
        <v>-2960.0</v>
      </c>
      <c r="T1544" s="37">
        <f t="shared" si="242"/>
        <v>2808.46</v>
      </c>
      <c r="U1544" s="62"/>
      <c r="V1544" s="74">
        <v>20.820623342175065</v>
      </c>
      <c r="W1544" s="74">
        <v>70.62516697189267</v>
      </c>
      <c r="X1544" s="35">
        <f t="shared" si="243"/>
        <v>0.23</v>
      </c>
      <c r="Y1544" s="35">
        <f t="shared" si="244"/>
        <v>0</v>
      </c>
      <c r="Z1544" s="40">
        <f t="shared" si="245"/>
        <v>2162.5142</v>
      </c>
      <c r="AA1544" s="34">
        <f t="shared" si="246"/>
        <v>645.9458</v>
      </c>
      <c r="AB1544" s="41">
        <f t="shared" si="247"/>
        <v>0</v>
      </c>
      <c r="AC1544" s="42" t="b">
        <v>1</v>
      </c>
      <c r="AD1544" s="87" t="str">
        <f t="shared" si="248"/>
        <v>USD</v>
      </c>
      <c r="AE1544" s="88" t="s">
        <v>138</v>
      </c>
      <c r="AF1544" s="88" t="str">
        <f t="array" ref="AF1544">INDEX('Deal Info'!D:D, MATCH(A1544,'Deal Info'!A:A, 0))</f>
        <v>DoEV</v>
      </c>
      <c r="AG1544" s="89" t="str">
        <f t="array" ref="AG1544">INDEX('Deal Info'!G:G, MATCH(A1544,'Deal Info'!A:A, 0))</f>
        <v>None</v>
      </c>
    </row>
    <row r="1545" hidden="1">
      <c r="A1545" s="23" t="str">
        <f t="array" ref="A1545">if(G1545='Room Info'!$B$1, INDEX('Room Info'!$A$2:$A3446, MATCH(B1545,'Room Info'!$B$2:$B3446, 0)),if(G1545='Room Info'!$C$1, INDEX('Room Info'!$A$2:$A3446, MATCH(B1545,'Room Info'!$C$2:$C3446, 0)),if(G1545='Room Info'!$D$1, INDEX('Room Info'!$A$2:$A3446, MATCH(B1545,'Room Info'!$D$2:$D3446, 0)),if(G1545='Room Info'!$E$1, INDEX('Room Info'!$A$2:$A3446, MATCH(B1545,'Room Info'!$E$2:$E3446, 0)),if(G1545='Room Info'!$F$1, INDEX('Room Info'!$A$2:$A3446, MATCH(B1545,'Room Info'!$F$2:$F3446, 0)),if(G1545='Room Info'!$H$1, INDEX('Room Info'!$A$2:$A3446, MATCH(B1545,'Room Info'!$H$2:$H3446, 0)),if(G1545='Room Info'!$G$1, INDEX('Room Info'!$A$2:$A3446, MATCH(B1545,'Room Info'!$G$2:$G3446, 0)))))))))</f>
        <v>mdzr</v>
      </c>
      <c r="B1545" s="101" t="s">
        <v>232</v>
      </c>
      <c r="C1545" s="51">
        <v>44958.0</v>
      </c>
      <c r="D1545" s="51">
        <v>44985.0</v>
      </c>
      <c r="E1545" s="85">
        <v>44958.0</v>
      </c>
      <c r="F1545" s="50" t="s">
        <v>8</v>
      </c>
      <c r="G1545" s="130" t="s">
        <v>13</v>
      </c>
      <c r="H1545" s="54" t="s">
        <v>74</v>
      </c>
      <c r="I1545" s="54" t="s">
        <v>18</v>
      </c>
      <c r="J1545" s="44">
        <f t="shared" si="241"/>
        <v>50</v>
      </c>
      <c r="K1545" s="56">
        <v>165.0</v>
      </c>
      <c r="L1545" s="57">
        <v>-1200.0</v>
      </c>
      <c r="M1545" s="67"/>
      <c r="N1545" s="33">
        <f t="shared" si="155"/>
        <v>8250</v>
      </c>
      <c r="O1545" s="70"/>
      <c r="P1545" s="34">
        <f t="shared" si="14"/>
        <v>0</v>
      </c>
      <c r="Q1545" s="60"/>
      <c r="R1545" s="36">
        <f t="shared" si="251"/>
        <v>0</v>
      </c>
      <c r="S1545" s="61">
        <v>-1338.0</v>
      </c>
      <c r="T1545" s="37">
        <f t="shared" si="242"/>
        <v>-1338</v>
      </c>
      <c r="U1545" s="62"/>
      <c r="V1545" s="74">
        <v>20.820623342175065</v>
      </c>
      <c r="W1545" s="74">
        <v>70.62516697189267</v>
      </c>
      <c r="X1545" s="35">
        <f t="shared" si="243"/>
        <v>0.23</v>
      </c>
      <c r="Y1545" s="35">
        <f t="shared" si="244"/>
        <v>0</v>
      </c>
      <c r="Z1545" s="40">
        <f t="shared" si="245"/>
        <v>-1030.26</v>
      </c>
      <c r="AA1545" s="34">
        <f t="shared" si="246"/>
        <v>-307.74</v>
      </c>
      <c r="AB1545" s="41">
        <f t="shared" si="247"/>
        <v>0</v>
      </c>
      <c r="AC1545" s="42" t="b">
        <v>1</v>
      </c>
      <c r="AD1545" s="87" t="str">
        <f t="shared" si="248"/>
        <v>USD</v>
      </c>
      <c r="AE1545" s="88" t="s">
        <v>138</v>
      </c>
      <c r="AF1545" s="88" t="str">
        <f t="array" ref="AF1545">INDEX('Deal Info'!D:D, MATCH(A1545,'Deal Info'!A:A, 0))</f>
        <v>DoEV</v>
      </c>
      <c r="AG1545" s="89" t="str">
        <f t="array" ref="AG1545">INDEX('Deal Info'!G:G, MATCH(A1545,'Deal Info'!A:A, 0))</f>
        <v>None</v>
      </c>
    </row>
    <row r="1546" ht="18.0" hidden="1" customHeight="1">
      <c r="A1546" s="23" t="str">
        <f t="array" ref="A1546">if(G1546='Room Info'!$B$1, INDEX('Room Info'!$A$2:$A3446, MATCH(B1546,'Room Info'!$B$2:$B3446, 0)),if(G1546='Room Info'!$C$1, INDEX('Room Info'!$A$2:$A3446, MATCH(B1546,'Room Info'!$C$2:$C3446, 0)),if(G1546='Room Info'!$D$1, INDEX('Room Info'!$A$2:$A3446, MATCH(B1546,'Room Info'!$D$2:$D3446, 0)),if(G1546='Room Info'!$E$1, INDEX('Room Info'!$A$2:$A3446, MATCH(B1546,'Room Info'!$E$2:$E3446, 0)),if(G1546='Room Info'!$F$1, INDEX('Room Info'!$A$2:$A3446, MATCH(B1546,'Room Info'!$F$2:$F3446, 0)),if(G1546='Room Info'!$H$1, INDEX('Room Info'!$A$2:$A3446, MATCH(B1546,'Room Info'!$H$2:$H3446, 0)),if(G1546='Room Info'!$G$1, INDEX('Room Info'!$A$2:$A3446, MATCH(B1546,'Room Info'!$G$2:$G3446, 0)))))))))</f>
        <v>vezuxa</v>
      </c>
      <c r="B1546" s="50" t="s">
        <v>174</v>
      </c>
      <c r="C1546" s="51">
        <v>44774.0</v>
      </c>
      <c r="D1546" s="51">
        <v>44804.0</v>
      </c>
      <c r="E1546" s="52">
        <v>44774.0</v>
      </c>
      <c r="F1546" s="53" t="s">
        <v>12</v>
      </c>
      <c r="G1546" s="50" t="s">
        <v>9</v>
      </c>
      <c r="H1546" s="54" t="s">
        <v>52</v>
      </c>
      <c r="I1546" s="54" t="s">
        <v>7</v>
      </c>
      <c r="J1546" s="55">
        <v>10.0</v>
      </c>
      <c r="K1546" s="56">
        <v>5.0</v>
      </c>
      <c r="L1546" s="57">
        <v>-10.0</v>
      </c>
      <c r="M1546" s="58">
        <v>0.0</v>
      </c>
      <c r="N1546" s="33">
        <f t="shared" si="155"/>
        <v>50</v>
      </c>
      <c r="O1546" s="59">
        <v>-1532.0</v>
      </c>
      <c r="P1546" s="34">
        <f t="shared" si="14"/>
        <v>-306.4</v>
      </c>
      <c r="Q1546" s="60"/>
      <c r="R1546" s="36">
        <f t="shared" ref="R1546:R1548" si="252">M1546+Q1546</f>
        <v>0</v>
      </c>
      <c r="S1546" s="71"/>
      <c r="T1546" s="37">
        <f t="shared" ref="T1546:T1548" si="253">R1546+S1546+if(F1546="Without EV deal",L1546,0)</f>
        <v>-10</v>
      </c>
      <c r="U1546" s="62">
        <v>1.0</v>
      </c>
      <c r="V1546" s="63"/>
      <c r="W1546" s="63"/>
      <c r="X1546" s="83">
        <v>0.17</v>
      </c>
      <c r="Y1546" s="35">
        <f>if(AG1546="None",0,if(AG1546="Fix5",0.05, if(AG1546="Fix6.25",0.0625,if(AG1546="Fix3.75",0.0375,if(AG1546="Fix10",0.1,if(AG1546="Fix3",0.03,0))))))</f>
        <v>0</v>
      </c>
      <c r="Z1546" s="40">
        <f t="shared" ref="Z1546:Z1548" si="254">T1546-AA1546-AB1546</f>
        <v>-8.3</v>
      </c>
      <c r="AA1546" s="34">
        <f t="shared" ref="AA1546:AA1548" si="255">if(AD1546="EUR",((T1546-R1546)*X1546)*U1546+(R1546*X1546),(T1546*X1546))</f>
        <v>-1.7</v>
      </c>
      <c r="AB1546" s="41">
        <f t="shared" ref="AB1546:AB1548" si="256">if(AD1546="EUR",((T1546-R1546)*Y1546)*U1546+(R1546*Y1546),(T1546*Y1546))</f>
        <v>0</v>
      </c>
      <c r="AC1546" s="42" t="b">
        <v>1</v>
      </c>
      <c r="AD1546" s="66" t="s">
        <v>140</v>
      </c>
      <c r="AE1546" s="66"/>
      <c r="AF1546" s="42" t="str">
        <f t="array" ref="AF1546">INDEX('Deal Info'!D:D, MATCH(A1546,'Deal Info'!A:A, 0))</f>
        <v>DoEV</v>
      </c>
      <c r="AG1546" s="43" t="str">
        <f t="array" ref="AG1546">INDEX('Deal Info'!G:G, MATCH(A1546,'Deal Info'!A:A, 0))</f>
        <v>None</v>
      </c>
    </row>
    <row r="1547" hidden="1">
      <c r="A1547" s="23" t="str">
        <f t="array" ref="A1547">if(G1547='Room Info'!$B$1, INDEX('Room Info'!$A$2:$A3446, MATCH(B1547,'Room Info'!$B$2:$B3446, 0)),if(G1547='Room Info'!$C$1, INDEX('Room Info'!$A$2:$A3446, MATCH(B1547,'Room Info'!$C$2:$C3446, 0)),if(G1547='Room Info'!$D$1, INDEX('Room Info'!$A$2:$A3446, MATCH(B1547,'Room Info'!$D$2:$D3446, 0)),if(G1547='Room Info'!$E$1, INDEX('Room Info'!$A$2:$A3446, MATCH(B1547,'Room Info'!$E$2:$E3446, 0)),if(G1547='Room Info'!$F$1, INDEX('Room Info'!$A$2:$A3446, MATCH(B1547,'Room Info'!$F$2:$F3446, 0)),if(G1547='Room Info'!$H$1, INDEX('Room Info'!$A$2:$A3446, MATCH(B1547,'Room Info'!$H$2:$H3446, 0)),if(G1547='Room Info'!$G$1, INDEX('Room Info'!$A$2:$A3446, MATCH(B1547,'Room Info'!$G$2:$G3446, 0)))))))))</f>
        <v>eternity1</v>
      </c>
      <c r="B1547" s="50" t="s">
        <v>200</v>
      </c>
      <c r="C1547" s="51">
        <v>44859.0</v>
      </c>
      <c r="D1547" s="51">
        <v>44885.0</v>
      </c>
      <c r="E1547" s="52">
        <v>44866.0</v>
      </c>
      <c r="F1547" s="53" t="s">
        <v>4</v>
      </c>
      <c r="G1547" s="50" t="s">
        <v>9</v>
      </c>
      <c r="H1547" s="54" t="s">
        <v>50</v>
      </c>
      <c r="I1547" s="54" t="s">
        <v>21</v>
      </c>
      <c r="J1547" s="75">
        <v>10.0</v>
      </c>
      <c r="K1547" s="76">
        <v>2911.0</v>
      </c>
      <c r="L1547" s="57">
        <v>1090.0</v>
      </c>
      <c r="M1547" s="58">
        <v>209.0</v>
      </c>
      <c r="N1547" s="33">
        <f t="shared" si="155"/>
        <v>29110</v>
      </c>
      <c r="O1547" s="59">
        <v>177571.0</v>
      </c>
      <c r="P1547" s="34">
        <f t="shared" si="14"/>
        <v>61</v>
      </c>
      <c r="Q1547" s="60"/>
      <c r="R1547" s="36">
        <f t="shared" si="252"/>
        <v>209</v>
      </c>
      <c r="S1547" s="61">
        <v>678.0</v>
      </c>
      <c r="T1547" s="37">
        <f t="shared" si="253"/>
        <v>887</v>
      </c>
      <c r="U1547" s="62">
        <v>1.0</v>
      </c>
      <c r="V1547" s="74">
        <v>10.0</v>
      </c>
      <c r="W1547" s="74">
        <v>88.7</v>
      </c>
      <c r="X1547" s="83">
        <v>0.17</v>
      </c>
      <c r="Y1547" s="35">
        <f t="shared" ref="Y1547:Y1548" si="257">if(AG1547="None",0,if(AG1547="Fix5",0.05,if(AG1547="Fix3.75",0.0375,if(AG1547="Fix10",0.1,if(AG1547="Fix3",0.03,0)))))</f>
        <v>0</v>
      </c>
      <c r="Z1547" s="40">
        <f t="shared" si="254"/>
        <v>736.21</v>
      </c>
      <c r="AA1547" s="34">
        <f t="shared" si="255"/>
        <v>150.79</v>
      </c>
      <c r="AB1547" s="41">
        <f t="shared" si="256"/>
        <v>0</v>
      </c>
      <c r="AC1547" s="42" t="b">
        <v>1</v>
      </c>
      <c r="AD1547" s="66" t="s">
        <v>140</v>
      </c>
      <c r="AE1547" s="66"/>
      <c r="AF1547" s="42" t="str">
        <f t="array" ref="AF1547">INDEX('Deal Info'!D:D, MATCH(A1547,'Deal Info'!A:A, 0))</f>
        <v>DoEV</v>
      </c>
      <c r="AG1547" s="43" t="str">
        <f t="array" ref="AG1547">INDEX('Deal Info'!G:G, MATCH(A1547,'Deal Info'!A:A, 0))</f>
        <v>None</v>
      </c>
    </row>
    <row r="1548" hidden="1">
      <c r="A1548" s="23" t="str">
        <f t="array" ref="A1548">if(G1548='Room Info'!$B$1, INDEX('Room Info'!$A$2:$A3446, MATCH(B1548,'Room Info'!$B$2:$B3446, 0)),if(G1548='Room Info'!$C$1, INDEX('Room Info'!$A$2:$A3446, MATCH(B1548,'Room Info'!$C$2:$C3446, 0)),if(G1548='Room Info'!$D$1, INDEX('Room Info'!$A$2:$A3446, MATCH(B1548,'Room Info'!$D$2:$D3446, 0)),if(G1548='Room Info'!$E$1, INDEX('Room Info'!$A$2:$A3446, MATCH(B1548,'Room Info'!$E$2:$E3446, 0)),if(G1548='Room Info'!$F$1, INDEX('Room Info'!$A$2:$A3446, MATCH(B1548,'Room Info'!$F$2:$F3446, 0)),if(G1548='Room Info'!$H$1, INDEX('Room Info'!$A$2:$A3446, MATCH(B1548,'Room Info'!$H$2:$H3446, 0)),if(G1548='Room Info'!$G$1, INDEX('Room Info'!$A$2:$A3446, MATCH(B1548,'Room Info'!$G$2:$G3446, 0)))))))))</f>
        <v>eternity1</v>
      </c>
      <c r="B1548" s="50" t="s">
        <v>200</v>
      </c>
      <c r="C1548" s="51">
        <v>44886.0</v>
      </c>
      <c r="D1548" s="51">
        <v>44915.0</v>
      </c>
      <c r="E1548" s="52">
        <v>44896.0</v>
      </c>
      <c r="F1548" s="53" t="s">
        <v>4</v>
      </c>
      <c r="G1548" s="50" t="s">
        <v>9</v>
      </c>
      <c r="H1548" s="54" t="s">
        <v>50</v>
      </c>
      <c r="I1548" s="54" t="s">
        <v>21</v>
      </c>
      <c r="J1548" s="75">
        <v>10.0</v>
      </c>
      <c r="K1548" s="76">
        <v>4359.0</v>
      </c>
      <c r="L1548" s="57">
        <v>1836.0</v>
      </c>
      <c r="M1548" s="58">
        <v>990.0</v>
      </c>
      <c r="N1548" s="33">
        <f t="shared" si="155"/>
        <v>43590</v>
      </c>
      <c r="O1548" s="59">
        <v>239745.0</v>
      </c>
      <c r="P1548" s="34">
        <f t="shared" si="14"/>
        <v>55</v>
      </c>
      <c r="Q1548" s="60"/>
      <c r="R1548" s="36">
        <f t="shared" si="252"/>
        <v>990</v>
      </c>
      <c r="S1548" s="61">
        <v>615.0</v>
      </c>
      <c r="T1548" s="37">
        <f t="shared" si="253"/>
        <v>1605</v>
      </c>
      <c r="U1548" s="62">
        <v>1.0</v>
      </c>
      <c r="V1548" s="74">
        <v>10.0</v>
      </c>
      <c r="W1548" s="74">
        <v>160.5</v>
      </c>
      <c r="X1548" s="83">
        <v>0.17</v>
      </c>
      <c r="Y1548" s="35">
        <f t="shared" si="257"/>
        <v>0</v>
      </c>
      <c r="Z1548" s="40">
        <f t="shared" si="254"/>
        <v>1332.15</v>
      </c>
      <c r="AA1548" s="34">
        <f t="shared" si="255"/>
        <v>272.85</v>
      </c>
      <c r="AB1548" s="41">
        <f t="shared" si="256"/>
        <v>0</v>
      </c>
      <c r="AC1548" s="42" t="b">
        <v>1</v>
      </c>
      <c r="AD1548" s="66" t="s">
        <v>140</v>
      </c>
      <c r="AE1548" s="66"/>
      <c r="AF1548" s="42" t="str">
        <f t="array" ref="AF1548">INDEX('Deal Info'!D:D, MATCH(A1548,'Deal Info'!A:A, 0))</f>
        <v>DoEV</v>
      </c>
      <c r="AG1548" s="43" t="str">
        <f t="array" ref="AG1548">INDEX('Deal Info'!G:G, MATCH(A1548,'Deal Info'!A:A, 0))</f>
        <v>None</v>
      </c>
    </row>
    <row r="1549" hidden="1">
      <c r="A1549" s="23" t="s">
        <v>171</v>
      </c>
      <c r="B1549" s="101" t="s">
        <v>171</v>
      </c>
      <c r="C1549" s="115">
        <v>44958.0</v>
      </c>
      <c r="D1549" s="115">
        <v>44985.0</v>
      </c>
      <c r="E1549" s="85">
        <v>44958.0</v>
      </c>
      <c r="F1549" s="135" t="s">
        <v>8</v>
      </c>
      <c r="G1549" s="135" t="s">
        <v>19</v>
      </c>
      <c r="H1549" s="96" t="s">
        <v>50</v>
      </c>
      <c r="I1549" s="105" t="s">
        <v>7</v>
      </c>
      <c r="J1549" s="44">
        <f t="shared" ref="J1549:J1551" si="258">iferror(if(H1549="$0.25",0.25, 
if(H1549="$0.25 Flash",0.25, 
if(H1549 = "$1", 1, 
if(H1549 = "$1 Flash", 1, 
if(H1549 = "$2", 2, 
if( H1549 = "$2 Flash" , 2, 
if( H1549= "$3", 3, 
if( H1549= "$3 Ultra", 3, 
if( H1549= "$5", 5, 
if( H1549= "$5 (1M)", 5, 
if( H1549= "$5 (1M) Flash", 5, 
if( H1549= "$5 Flash", 5, 
if( H1549= "$5 Flash (1M)", 5,
if( H1549= "$10", 10,
if( H1549= "$10 (1M)", 10,
if( H1549= "$10 (1M) (old)", 10,
if( H1549= "$10 Flash", 10,
if( H1549= "$10 Ultra", 10,
if( H1549= "$20", 20,
if( H1549= "$20 Ultra", 20,
if( H1549= "$25", 25,
if( H1549= "$25 Flash", 25,
if( H1549= "$50", 50,
if( H1549= "$50 Flash", 50,
if( H1549= "$50 Ultra", 50,
if( H1549= "$100", 100,
if( H1549= "$100 Flash", 100,
if( H1549= "$100 HUHT", 100,
if( H1549= "$100 Ultra", 100,
if( H1549= "$200", 200,
if( H1549= "$200 HUHT", 200,
if( H1549= "$250", 250,
if( H1549= "$250 Flash", 250,
if( H1549= "$300 HUHT", 300,
if( H1549= "$500", 500,
if( H1549= "$500 Flash", 500,
if( H1549 = "$500 HUHT",500,
if( H1549= "$1000", 1000,
if( H1549= "€0.25 Flash", 0.25,
if( H1549="€0.25(nitro) new",0.25,
if( H1549= "€1", 1,
if( H1549= "€2", 2,
if( H1549= "€5", 5,
if( H1549= "€5 (1M)", 5,
if( H1549= "€5 (bf 01.08)", 5,
if( H1549= "€5 (bf 05.05)", 5,
if( H1549= "€5 Nitro", 5,
if( H1549= "€5(wx) new", 5,
if( H1549= "€10", 10,
if( H1549= "€10 (1M)", 10,
if( H1549= "€10 (bf 01.08)", 10,
if( H1549= "€10 (bf 05.05)", 10,
if( H1549= "€10 (MP)", 10,
if( H1549= "€10 (old)", 10,
if( H1549= "€10 Nitro (bf 05.05)", 10,
if( H1549= "€10 Nitro (old)", 10,
if( H1549= "€10(wx) new", 10,
if( H1549= "€20", 20,
if( H1549= "€25", 25, 
if( H1549= "€25 (bf 01.08)", 25, 
if( H1549= "€25 (bf 05.05)", 25, 
if( H1549= "€25 (MP)", 25, 
if( H1549= "€25 (old)", 25,
if( H1549= "€25 Nitro", 25,
if( H1549= "€25 Nitro (bf 01.08)", 25,
if( H1549= "€25 Nitro (bf 05.05)", 25,
if( H1549= "€25(nitro) new", 25,
if( H1549= "€25(wx) new", 25,
if( H1549= "€50", 50,
if( H1549= "€50 (bf 01.08)", 50,
if( H1549= "€50 (bf 05.05)", 50,
if( H1549= "€50 (old)", 50,
if( H1549= "€50 Nitro", 50,
if( H1549= "€50 Nitro (bf 01.08)", 50,
if( H1549= "€50 Nitro (bf 05.05)", 50,
if( H1549= "€50(wx) new", 50,
if( H1549= "€100", 100,
if( H1549= "€100 (old)", 100,
if( H1549= "€100 Nitro", 100,
if( H1549= "€100 Nitro (old)", 100,
if( H1549= "€200", 200,
if( H1549= "€250", 250,
if( H1549= "€250 Nitro", 250,
if( H1549= "€500", 500,
if( H1549= "€500 Nitro", 500,
if( H1549= "1000 rub", 1000,
if( H1549= "2500 rub", 2500,
if( H1549= "5000 rub", 5000,"")))))))))))))))))))))))))))))))))))))))))))))))))))))))))))))))))))))))))))))))))))))))))</f>
        <v>10</v>
      </c>
      <c r="K1549" s="56">
        <v>5.0</v>
      </c>
      <c r="L1549" s="57">
        <v>20.0</v>
      </c>
      <c r="M1549" s="67"/>
      <c r="N1549" s="33">
        <v>0.0</v>
      </c>
      <c r="O1549" s="59">
        <v>708.0</v>
      </c>
      <c r="P1549" s="34">
        <f t="shared" si="14"/>
        <v>141.6</v>
      </c>
      <c r="Q1549" s="60">
        <v>0.5</v>
      </c>
      <c r="R1549" s="36">
        <f t="shared" ref="R1549:R1551" si="259">M1549+Q1549*J1549*K1549*0.07</f>
        <v>1.75</v>
      </c>
      <c r="S1549" s="61">
        <v>10.0</v>
      </c>
      <c r="T1549" s="37">
        <f t="shared" ref="T1549:T1551" si="260">IF(AND(AD1549="EUR", F1549="Without EV deal"), R1549 + L1549, 
IF(AND(AD1549="USD", F1549="Without EV deal"), R1549 + L1549, 
IF(AND(AD1549="EUR", F1549="Steel Phoenix"), R1549 + S1549/U1549, 
R1549 + S1549)))</f>
        <v>11.75</v>
      </c>
      <c r="U1549" s="62">
        <v>1.0617</v>
      </c>
      <c r="V1549" s="63">
        <v>12.92317708</v>
      </c>
      <c r="W1549" s="63">
        <v>568.1497632</v>
      </c>
      <c r="X1549" s="35">
        <f t="shared" ref="X1549:X1551" si="261">IF(AF1549="DoEV",IF(AND(V1549&lt;20,W1549&lt;55),0.3,0)+IF(AND(V1549&lt;20,W1549&gt;=55,W1549&lt;105),0.23,0)+IF(AND(V1549&lt;20,W1549&gt;=105),0.17,0)+IF(AND(V1549&gt;=20,V1549&lt;40,W1549&lt;45),0.3,0)+IF(AND(V1549&gt;=20,V1549&lt;40,W1549&gt;=45,W1549&lt;95),0.23,0)+IF(AND(V1549&gt;=20,V1549&lt;40,W1549&gt;=95),0.17,0)+IF(AND(V1549&gt;=40,V1549&lt;75,W1549&lt;35),0.3,0)+IF(AND(V1549&gt;=40,V1549&lt;75,W1549&gt;=35,W1549&lt;75),0.23,0)+IF(AND(V1549&gt;=40,V1549&lt;75,W1549&gt;=75,W1549&lt;120),0.17,0)+IF(AND(V1549&gt;=40,V1549&lt;75,W1549&gt;=120),0.12,0)+IF(AND(V1549&gt;=75,V1549&lt;175,W1549&lt;35),0.3,0)+IF(AND(V1549&gt;=75,V1549&lt;=175,W1549&gt;=35,W1549&lt;65),0.23,0)+IF(AND(V1549&gt;=75,V1549&lt;=175,W1549&gt;=65,W1549&lt;110),0.17,0)+IF(AND(V1549&gt;=75,V1549&lt;=175,W1549&gt;=110),0.12,0)+IF(AND(V1549&gt;175,W1549&lt;25),0.3,0)+IF(AND(V1549&gt;175,W1549&gt;=25,W1549&lt;55),0.23,0)+IF(AND(V1549&gt;175,W1549&gt;=55,W1549&lt;95),0.17,0)+IF(AND(V1549&gt;175,W1549&gt;=95),0.12,0),
IF(AF1549="Fix15",0.15,
IF(AF1549="Fix5",0.05,
if(AF1549="Fix18.75",0.1875,
IF(AF1549="Fix11.25",0.1125,
IF(AF1549="Fix10",0.1,
IF(AF1549="Fix9",0.09,
IF(AF1549="Fix12",0.12,
IF(AF1549="Fix19",0.19,
IF(AF1549="DoEV2017",IF(AND(W1549&lt;74),0.2,0)+IF(AND(W1549&gt;=74),0.17,0),
IF(AF1549="SF",IF(AND(V1549&lt;20,W1549&lt;89),0.3,0)+IF(AND(V1549&lt;20,W1549&gt;=89),0.25,0)+IF(AND(V1549&gt;=20,V1549&lt;40,W1549&lt;74),0.3,0)+IF(AND(V1549&gt;=20,V1549&lt;40,W1549&gt;=75),0.22,0)+IF(AND(V1549&gt;=40,V1549&lt;75,W1549&lt;75),0.26,0)+IF(AND(V1549&gt;=40,V1549&lt;75,W1549&gt;=75),0.22,0)+IF(V1549&gt;=75,0.22,0),
IF(AF1549="DoEVold",IF(AND(V1549&lt;40,W1549&lt;35),0.35,0)+IF(AND(V1549&lt;40,W1549&gt;=35,W1549&lt;75),0.25,0)+IF(AND(V1549&lt;40,W1549&gt;=75),0.17,0)+IF(AND(V1549&gt;=40,V1549&lt;75,W1549&lt;25),0.35,0)+IF(AND(V1549&gt;=40,V1549&lt;75,W1549&gt;=25,W1549&lt;65),0.25,0)+IF(AND(V1549&gt;=40,V1549&lt;75,W1549&gt;=65,W1549&lt;100),0.17,0)+IF(AND(V1549&gt;=40,V1549&lt;75,W1549&gt;=100),0.1,0)+IF(AND(V1549&gt;=75,W1549&lt;25),0.35,0)+IF(AND(V1549&gt;=75,W1549&gt;=25,W1549&lt;60),0.25,0)+IF(AND(V1549&gt;=75,W1549&gt;=60,W1549&lt;95),0.17,0)+IF(AND(V1549&gt;=75,W1549&gt;=95),0.1,0),
IF(AF1549="DoEVold15",IF(AND(V1549&lt;=40,W1549&lt;35),0.35,0)+IF(AND(V1549&lt;=40,W1549&gt;=35,W1549&lt;75),0.25,0)+IF(AND(V1549&lt;=40,W1549&gt;=75,W1549&lt;120),0.17,0)+IF(AND(V1549&lt;=40,W1549&gt;=120),0.15,0)+IF(AND(V1549&gt;40,V1549&lt;75,W1549&lt;25),0.35,0)+IF(AND(V1549&gt;=40,V1549&lt;75,W1549&gt;=25,W1549&lt;65),0.25,0)+IF(AND(V1549&gt;=40,V1549&lt;75,W1549&gt;=65,W1549&lt;100),0.17,0)+IF(AND(V1549&gt;=40,V1549&lt;75,W1549&gt;=100),0.1,0)+IF(AND(V1549&gt;=75,W1549&lt;25),0.35,0)+IF(AND(V1549&gt;=75,W1549&gt;=25,W1549&lt;60),0.25,0)+IF(AND(V1549&gt;=75,W1549&gt;=60,W1549&lt;95),0.17,0)+IF(AND(V1549&gt;=75,W1549&gt;=95),0.1,0),
IF(AF1549="DoEVba",IF(AND(V1549&lt;20,W1549&lt;105),0.2,0)+IF(AND(V1549&lt;20,W1549&gt;=105),0.15,0)+IF(AND(V1549&gt;=20,V1549&lt;40,W1549&lt;95),0.2,0)+IF(AND(V1549&gt;=20,V1549&lt;40,W1549&gt;=95,W1549&lt;150),0.15,0)+IF(AND(V1549&gt;=20,V1549&lt;40,W1549&gt;=150),0.12,0)+IF(AND(V1549&gt;=40,V1549&lt;75,W1549&lt;75),0.2,0)+IF(AND(V1549&gt;=40,V1549&lt;75,W1549&gt;=75,W1549&lt;120),0.15,0)+IF(AND(V1549&gt;=40,V1549&lt;75,W1549&gt;=120),0.12,0)+IF(AND(V1549&gt;=75,V1549&lt;175,W1549&lt;65),0.2,0)+IF(AND(V1549&gt;=75,V1549&lt;175,W1549&gt;=65,W1549&lt;110),0.15,0)+IF(AND(V1549&gt;=75,V1549&lt;175,W1549&gt;=110),0.12,0)+IF(AND(V1549&gt;=175,W1549&lt;55),0.2,0)+IF(AND(V1549&gt;=175,W1549&gt;=55,W1549&lt;95),0.15,0)+IF(AND(V1549&gt;=175,W1549&gt;=95),0.12,0),
IF(AF1549="DoEVku",IF(AND(V1549&lt;20,W1549&lt;55),0.23,0)+IF(AND(V1549&lt;20,W1549&gt;=55,W1549&lt;105),0.2,0)+IF(AND(V1549&lt;20,W1549&gt;=105),0.17,0)+IF(AND(V1549&gt;=20,V1549&lt;40,W1549&lt;45),0.23,0)+IF(AND(V1549&gt;=20,V1549&lt;40,W1549&gt;=45,W1549&lt;95),0.2,0)+IF(AND(V1549&gt;=20,V1549&lt;40,W1549&gt;=95,W1549&lt;=150),0.17,0)+IF(AND(V1549&gt;=20,V1549&lt;40,W1549&gt;=150),0.12,0)+IF(AND(V1549&gt;=40,V1549&lt;75,W1549&lt;35),0.23,0)+IF(AND(V1549&gt;=40,V1549&lt;75,W1549&gt;=35,W1549&lt;75),0.2,0)+IF(AND(V1549&gt;=40,V1549&lt;75,W1549&gt;=75,W1549&lt;120),0.17,0)+IF(AND(V1549&gt;=40,V1549&lt;75,W1549&gt;=120),0.12,0)+IF(AND(V1549&gt;=75,V1549&lt;175,W1549&lt;35),0.23,0)+IF(AND(V1549&gt;=75,V1549&lt;=175,W1549&gt;=35,W1549&lt;65),0.2,0)+IF(AND(V1549&gt;=75,V1549&lt;=175,W1549&gt;=65,W1549&lt;110),0.17,0)+IF(AND(V1549&gt;=75,V1549&lt;=175,W1549&gt;=110),0.12,0)+IF(AND(V1549&gt;175,W1549&lt;25),0.23,0)+IF(AND(V1549&gt;175,W1549&gt;=25,W1549&lt;55),0.2,0)+IF(AND(V1549&gt;175,W1549&gt;=55,W1549&lt;95),0.17,0)+IF(AND(V1549&gt;175,W1549&gt;=95),0.12,0),
IF(AF1549="DoEVs1",IF(AND(V1549&lt;20,W1549&lt;55),0.3,0)+IF(AND(V1549&lt;20,W1549&gt;=55,W1549&lt;105),0.23,0)+IF(AND(V1549&lt;20,W1549&gt;=105),0.17,0)+IF(AND(V1549&gt;=20,V1549&lt;40,W1549&lt;45),0.3,0)+IF(AND(V1549&gt;=20,V1549&lt;40,W1549&gt;=45,W1549&lt;95),0.23,0)+IF(AND(V1549&gt;=20,V1549&lt;40,W1549&gt;=95,W1549&lt;=150),0.17,0)+IF(AND(V1549&gt;=20,V1549&lt;40,W1549&gt;=150),0.12,0)+IF(AND(V1549&gt;=40,V1549&lt;75,W1549&lt;35),0.3,0)+IF(AND(V1549&gt;=40,V1549&lt;75,W1549&gt;=35,W1549&lt;75),0.23,0)+IF(AND(V1549&gt;=40,V1549&lt;75,W1549&gt;=75,W1549&lt;120),0.17,0)+IF(AND(V1549&gt;=40,V1549&lt;75,W1549&gt;=120),0.12,0)+IF(AND(V1549&gt;=75,V1549&lt;175,W1549&lt;35),0.3,0)+IF(AND(V1549&gt;=75,V1549&lt;=175,W1549&gt;=35,W1549&lt;65),0.23,0)+IF(AND(V1549&gt;=75,V1549&lt;=175,W1549&gt;=65,W1549&lt;110),0.17,0)+IF(AND(V1549&gt;=75,V1549&lt;=175,W1549&gt;=110),0.12,0)+IF(AND(V1549&gt;175,W1549&lt;25),0.3,0)+IF(AND(V1549&gt;175,W1549&gt;=25,W1549&lt;55),0.23,0)+IF(AND(V1549&gt;175,W1549&gt;=55,W1549&lt;95),0.17,0)+IF(AND(V1549&gt;175,W1549&gt;=95),0.12,0),
IF(AF1549="DoEVsu",IF(AND(V1549&lt;20,W1549&lt;55),0.3,0)+IF(AND(V1549&lt;20,W1549&gt;=55,W1549&lt;105),0.23,0)+IF(AND(V1549&lt;20,W1549&gt;=105),0.17,0)+IF(AND(V1549&gt;=20,V1549&lt;40,W1549&lt;45),0.3,0)+IF(AND(V1549&gt;=20,V1549&lt;40,W1549&gt;=45,W1549&lt;95),0.23,0)+IF(AND(V1549&gt;=20,V1549&lt;40,W1549&gt;=95,W1549&lt;=250),0.17,0)+IF(AND(V1549&gt;=20,V1549&lt;40,W1549&gt;=250),0.12,0)+IF(AND(V1549&gt;=40,V1549&lt;75,W1549&lt;35),0.3,0)+IF(AND(V1549&gt;=40,V1549&lt;75,W1549&gt;=35,W1549&lt;75),0.23,0)+IF(AND(V1549&gt;=40,V1549&lt;75,W1549&gt;=75,W1549&lt;120),0.17,0)+IF(AND(V1549&gt;=40,V1549&lt;75,W1549&gt;=120),0.12,0)+IF(AND(V1549&gt;=75,V1549&lt;175,W1549&lt;35),0.3,0)+IF(AND(V1549&gt;=75,V1549&lt;=175,W1549&gt;=35,W1549&lt;65),0.23,0)+IF(AND(V1549&gt;=75,V1549&lt;=175,W1549&gt;=65,W1549&lt;110),0.17,0)+IF(AND(V1549&gt;=75,V1549&lt;=175,W1549&gt;=110),0.12,0)+IF(AND(V1549&gt;175,W1549&lt;25),0.3,0)+IF(AND(V1549&gt;175,W1549&gt;=25,W1549&lt;55),0.23,0)+IF(AND(V1549&gt;175,W1549&gt;=55,W1549&lt;95),0.17,0)+IF(AND(V1549&gt;175,W1549&gt;=95),0.12,0),
IF(AF1549="DoEVni",IF(AND(V1549&lt;20,W1549&lt;55),0.3,0)+IF(AND(V1549&lt;20,W1549&gt;=55,W1549&lt;105),0.23,0)+IF(AND(V1549&lt;20,W1549&gt;=105),0.17,0)+IF(AND(V1549&gt;=20,V1549&lt;40,W1549&lt;45),0.3,0)+IF(AND(V1549&gt;=20,V1549&lt;40,W1549&gt;=45,W1549&lt;95),0.23,0)+IF(AND(V1549&gt;=20,V1549&lt;40,W1549&gt;=95,W1549&lt;=200),0.17,0)+IF(AND(V1549&gt;=20,V1549&lt;40,W1549&gt;=200),0.12,0)+IF(AND(V1549&gt;=40,V1549&lt;75,W1549&lt;35),0.3,0)+IF(AND(V1549&gt;=40,V1549&lt;75,W1549&gt;=35,W1549&lt;75),0.23,0)+IF(AND(V1549&gt;=40,V1549&lt;75,W1549&gt;=75,W1549&lt;120),0.17,0)+IF(AND(V1549&gt;=40,V1549&lt;75,W1549&gt;=120),0.12,0)+IF(AND(V1549&gt;=75,V1549&lt;175,W1549&lt;35),0.3,0)+IF(AND(V1549&gt;=75,V1549&lt;=175,W1549&gt;=35,W1549&lt;65),0.23,0)+IF(AND(V1549&gt;=75,V1549&lt;=175,W1549&gt;=65,W1549&lt;110),0.17,0)+IF(AND(V1549&gt;=75,V1549&lt;=175,W1549&gt;=110),0.12,0)+IF(AND(V1549&gt;175,W1549&lt;25),0.3,0)+IF(AND(V1549&gt;175,W1549&gt;=25,W1549&lt;55),0.23,0)+IF(AND(V1549&gt;175,W1549&gt;=55,W1549&lt;95),0.17,0)+IF(AND(V1549&gt;175,W1549&gt;=95),0.12,0),
IF(AF1549="DoEVLo",IF(AND(V1549&lt;20,W1549&lt;55),0.25,0)+IF(AND(V1549&lt;20,W1549&gt;=55,W1549&lt;105),0.2,0)+IF(AND(V1549&lt;20,W1549&gt;=105),0.15,0)+IF(AND(V1549&gt;=20,V1549&lt;40,W1549&lt;45),0.25,0)+IF(AND(V1549&gt;=20,V1549&lt;40,W1549&gt;=45,W1549&lt;95),0.2,0)+IF(AND(V1549&gt;=20,V1549&lt;40,W1549&gt;=95),0.15,0)+IF(AND(V1549&gt;=40,V1549&lt;75,W1549&lt;35),0.25,0)+IF(AND(V1549&gt;=40,V1549&lt;75,W1549&gt;=35,W1549&lt;75),0.2,0)+IF(AND(V1549&gt;=40,V1549&lt;75,W1549&gt;=75,W1549&lt;120),0.15,0)+IF(AND(V1549&gt;=40,V1549&lt;75,W1549&gt;=120),0.1,0)+IF(AND(V1549&gt;=75,V1549&lt;175,W1549&lt;35),0.25,0)+IF(AND(V1549&gt;=75,V1549&lt;=175,W1549&gt;=35,W1549&lt;65),0.2,0)+IF(AND(V1549&gt;=75,V1549&lt;=175,W1549&gt;=65,W1549&lt;110),0.15,0)+IF(AND(V1549&gt;=75,V1549&lt;=175,W1549&gt;=110),0.1,0)+IF(AND(V1549&gt;175,W1549&lt;25),0.25,0)+IF(AND(V1549&gt;175,W1549&gt;=25,W1549&lt;55),0.2,0)+IF(AND(V1549&gt;175,W1549&gt;=55,W1549&lt;95),0.15,0)+IF(AND(V1549&gt;175,W1549&gt;=95),0.1,0))))))))))))))))))))</f>
        <v>0.17</v>
      </c>
      <c r="Y1549" s="35">
        <f t="shared" ref="Y1549:Y1551" si="262">if(AG1549="None",0,if(AG1549="Fix5",0.05, if(AG1549="Fix6.25",0.0625,if(AG1549="Fix3.75",0.0375, if(AG1549="Fix11",0.11, if(AG1549="Fix10",0.1,if(AG1549="Fix3",0.03,0)))))))</f>
        <v>0.1</v>
      </c>
      <c r="Z1549" s="40">
        <f t="shared" ref="Z1549:Z1551" si="263">if(and(AD1549="EUR", AE1549 = "USD"), T1549*U1549-AA1549-AB1549, T1549-AA1549-AB1549)</f>
        <v>8.5775</v>
      </c>
      <c r="AA1549" s="34">
        <f t="shared" ref="AA1549:AA1551" si="264">IF(AND(AD1549="EUR", F1549="Without EV deal", AE1549="USD"), (T1549*X1549)*U1549, 
IF(AND(AD1549="EUR", F1549="Without EV deal", AE1549="EUR"), (T1549*X1549), 
IF(AND(AD1549="EUR",AE1549="USD"), (T1549*X1549)*U1549, 
T1549*X1549)))</f>
        <v>1.9975</v>
      </c>
      <c r="AB1549" s="41">
        <f t="shared" ref="AB1549:AB1551" si="265">IF(AND(AD1549="EUR", F1549="Without EV deal", AE1549="USD"), (T1549*Y1549)*U1549, 
IF(AND(AD1549="EUR", F1549="Without EV deal", AE1549="EUR"), (T1549*Y1549), 
IF(AND(AD1549="EUR",AE1549="USD"), (T1549*Y1549)*U1549, 
T1549*Y1549)))</f>
        <v>1.175</v>
      </c>
      <c r="AC1549" s="42" t="b">
        <v>1</v>
      </c>
      <c r="AD1549" s="87" t="str">
        <f t="shared" ref="AD1549:AD1551" si="266">IF(OR(H1549="€0.25 Flash",
H1549="€0.25(nitro) new",
H1549="€1",
H1549="€2",
H1549="€2 (bf 01.08)",
H1549="€5",
H1549="€5 (1M)",
H1549="€5 (bf 01.08)",
H1549="€5 (bf 05.05)",
H1549="€5 Nitro",
H1549="€5(wx) new",
H1549="€10",
H1549="€10 (1M)",
H1549="€10 (bf 01.08)",
H1549="€10 (bf 05.05)",
H1549="€10 (MP)",
H1549="€10 (old)",
H1549="€10 Nitro (bf 05.05)",
H1549="€10 Nitro (old)",
H1549="€10(wx) new",
H1549="€20",
H1549="€25",
H1549="€25 (bf 01.08)",
H1549="€25 (bf 05.05)",
H1549="€25 (MP)",
H1549="€25 (old)",
H1549="€25 Nitro",
H1549="€25 Nitro (bf 01.08)",
H1549="€25 Nitro (bf 05.05)",
H1549="€25(nitro) new",
H1549="€25(wx) new",
H1549="€50",
H1549="€50 (bf 01.08)",
H1549="€50 (bf 05.05)",
H1549="€50 (old)",
H1549="€50 Nitro",
H1549="€50 Nitro (bf 01.08)",
H1549="€50 Nitro (bf 05.05)",
H1549="€50(wx) new",
H1549="€100",
H1549="€100 (old)",
H1549="€100 Nitro",
H1549="€100 Nitro (old)",
H1549="€200",
H1549="€250",
H1549="€250 Nitro",
H1549="€500",
H1549="€500 Nitro"),"EUR", "USD")
</f>
        <v>EUR</v>
      </c>
      <c r="AE1549" s="87" t="s">
        <v>140</v>
      </c>
      <c r="AF1549" s="88" t="str">
        <f t="array" ref="AF1549">INDEX('Deal Info'!D:D, MATCH(A1549,'Deal Info'!A:A, 0))</f>
        <v>DoEV</v>
      </c>
      <c r="AG1549" s="89" t="str">
        <f t="array" ref="AG1549">INDEX('Deal Info'!G:G, MATCH(A1549,'Deal Info'!A:A, 0))</f>
        <v>Fix10</v>
      </c>
    </row>
    <row r="1550" hidden="1">
      <c r="A1550" s="23" t="s">
        <v>171</v>
      </c>
      <c r="B1550" s="101" t="s">
        <v>171</v>
      </c>
      <c r="C1550" s="115">
        <v>44958.0</v>
      </c>
      <c r="D1550" s="115">
        <v>44985.0</v>
      </c>
      <c r="E1550" s="85">
        <v>44958.0</v>
      </c>
      <c r="F1550" s="27" t="s">
        <v>8</v>
      </c>
      <c r="G1550" s="23" t="s">
        <v>19</v>
      </c>
      <c r="H1550" s="54" t="s">
        <v>61</v>
      </c>
      <c r="I1550" s="105" t="s">
        <v>7</v>
      </c>
      <c r="J1550" s="44">
        <f t="shared" si="258"/>
        <v>20</v>
      </c>
      <c r="K1550" s="56">
        <v>224.0</v>
      </c>
      <c r="L1550" s="57">
        <v>-80.0</v>
      </c>
      <c r="M1550" s="67"/>
      <c r="N1550" s="33">
        <v>0.0</v>
      </c>
      <c r="O1550" s="59">
        <v>11246.0</v>
      </c>
      <c r="P1550" s="34">
        <f t="shared" si="14"/>
        <v>50.20535714</v>
      </c>
      <c r="Q1550" s="60">
        <v>0.5</v>
      </c>
      <c r="R1550" s="36">
        <f t="shared" si="259"/>
        <v>156.8</v>
      </c>
      <c r="S1550" s="61">
        <v>113.0</v>
      </c>
      <c r="T1550" s="37">
        <f t="shared" si="260"/>
        <v>269.8</v>
      </c>
      <c r="U1550" s="62">
        <v>1.0617</v>
      </c>
      <c r="V1550" s="63">
        <v>12.92317708</v>
      </c>
      <c r="W1550" s="63">
        <v>568.1497632</v>
      </c>
      <c r="X1550" s="35">
        <f t="shared" si="261"/>
        <v>0.17</v>
      </c>
      <c r="Y1550" s="35">
        <f t="shared" si="262"/>
        <v>0.1</v>
      </c>
      <c r="Z1550" s="40">
        <f t="shared" si="263"/>
        <v>196.954</v>
      </c>
      <c r="AA1550" s="34">
        <f t="shared" si="264"/>
        <v>45.866</v>
      </c>
      <c r="AB1550" s="41">
        <f t="shared" si="265"/>
        <v>26.98</v>
      </c>
      <c r="AC1550" s="42" t="b">
        <v>1</v>
      </c>
      <c r="AD1550" s="87" t="str">
        <f t="shared" si="266"/>
        <v>EUR</v>
      </c>
      <c r="AE1550" s="88" t="s">
        <v>140</v>
      </c>
      <c r="AF1550" s="88" t="str">
        <f t="array" ref="AF1550">INDEX('Deal Info'!D:D, MATCH(A1550,'Deal Info'!A:A, 0))</f>
        <v>DoEV</v>
      </c>
      <c r="AG1550" s="89" t="str">
        <f t="array" ref="AG1550">INDEX('Deal Info'!G:G, MATCH(A1550,'Deal Info'!A:A, 0))</f>
        <v>Fix10</v>
      </c>
    </row>
    <row r="1551" hidden="1">
      <c r="A1551" s="23" t="s">
        <v>171</v>
      </c>
      <c r="B1551" s="101" t="s">
        <v>171</v>
      </c>
      <c r="C1551" s="115">
        <v>44958.0</v>
      </c>
      <c r="D1551" s="115">
        <v>44985.0</v>
      </c>
      <c r="E1551" s="85">
        <v>44958.0</v>
      </c>
      <c r="F1551" s="101" t="s">
        <v>8</v>
      </c>
      <c r="G1551" s="70" t="s">
        <v>19</v>
      </c>
      <c r="H1551" s="54" t="s">
        <v>77</v>
      </c>
      <c r="I1551" s="105" t="s">
        <v>7</v>
      </c>
      <c r="J1551" s="44">
        <f t="shared" si="258"/>
        <v>50</v>
      </c>
      <c r="K1551" s="56">
        <v>526.0</v>
      </c>
      <c r="L1551" s="57">
        <v>2800.0</v>
      </c>
      <c r="M1551" s="67"/>
      <c r="N1551" s="33">
        <v>0.0</v>
      </c>
      <c r="O1551" s="59">
        <v>37116.0</v>
      </c>
      <c r="P1551" s="34">
        <f t="shared" si="14"/>
        <v>70.56273764</v>
      </c>
      <c r="Q1551" s="60">
        <v>0.5</v>
      </c>
      <c r="R1551" s="36">
        <f t="shared" si="259"/>
        <v>920.5</v>
      </c>
      <c r="S1551" s="61">
        <v>1652.0</v>
      </c>
      <c r="T1551" s="37">
        <f t="shared" si="260"/>
        <v>2572.5</v>
      </c>
      <c r="U1551" s="62">
        <v>1.0617</v>
      </c>
      <c r="V1551" s="63">
        <v>12.92317708</v>
      </c>
      <c r="W1551" s="63">
        <v>568.1497632</v>
      </c>
      <c r="X1551" s="35">
        <f t="shared" si="261"/>
        <v>0.17</v>
      </c>
      <c r="Y1551" s="35">
        <f t="shared" si="262"/>
        <v>0.1</v>
      </c>
      <c r="Z1551" s="40">
        <f t="shared" si="263"/>
        <v>1877.925</v>
      </c>
      <c r="AA1551" s="34">
        <f t="shared" si="264"/>
        <v>437.325</v>
      </c>
      <c r="AB1551" s="41">
        <f t="shared" si="265"/>
        <v>257.25</v>
      </c>
      <c r="AC1551" s="42" t="b">
        <v>1</v>
      </c>
      <c r="AD1551" s="87" t="str">
        <f t="shared" si="266"/>
        <v>EUR</v>
      </c>
      <c r="AE1551" s="87" t="s">
        <v>140</v>
      </c>
      <c r="AF1551" s="88" t="str">
        <f t="array" ref="AF1551">INDEX('Deal Info'!D:D, MATCH(A1551,'Deal Info'!A:A, 0))</f>
        <v>DoEV</v>
      </c>
      <c r="AG1551" s="89" t="str">
        <f t="array" ref="AG1551">INDEX('Deal Info'!G:G, MATCH(A1551,'Deal Info'!A:A, 0))</f>
        <v>Fix10</v>
      </c>
    </row>
    <row r="1552" hidden="1">
      <c r="A1552" s="23" t="str">
        <f t="array" ref="A1552">if(G1552='Room Info'!$B$1, INDEX('Room Info'!$A$2:$A3446, MATCH(B1552,'Room Info'!$B$2:$B3446, 0)),if(G1552='Room Info'!$C$1, INDEX('Room Info'!$A$2:$A3446, MATCH(B1552,'Room Info'!$C$2:$C3446, 0)),if(G1552='Room Info'!$D$1, INDEX('Room Info'!$A$2:$A3446, MATCH(B1552,'Room Info'!$D$2:$D3446, 0)),if(G1552='Room Info'!$E$1, INDEX('Room Info'!$A$2:$A3446, MATCH(B1552,'Room Info'!$E$2:$E3446, 0)),if(G1552='Room Info'!$F$1, INDEX('Room Info'!$A$2:$A3446, MATCH(B1552,'Room Info'!$F$2:$F3446, 0)),if(G1552='Room Info'!$H$1, INDEX('Room Info'!$A$2:$A3446, MATCH(B1552,'Room Info'!$H$2:$H3446, 0)),if(G1552='Room Info'!$G$1, INDEX('Room Info'!$A$2:$A3446, MATCH(B1552,'Room Info'!$G$2:$G3446, 0)))))))))</f>
        <v>eternity1</v>
      </c>
      <c r="B1552" s="50" t="s">
        <v>200</v>
      </c>
      <c r="C1552" s="51">
        <v>44916.0</v>
      </c>
      <c r="D1552" s="51">
        <v>44946.0</v>
      </c>
      <c r="E1552" s="52">
        <v>44927.0</v>
      </c>
      <c r="F1552" s="53" t="s">
        <v>4</v>
      </c>
      <c r="G1552" s="50" t="s">
        <v>9</v>
      </c>
      <c r="H1552" s="54" t="s">
        <v>50</v>
      </c>
      <c r="I1552" s="54" t="s">
        <v>21</v>
      </c>
      <c r="J1552" s="75">
        <v>10.0</v>
      </c>
      <c r="K1552" s="76">
        <v>3726.0</v>
      </c>
      <c r="L1552" s="57">
        <v>-369.0</v>
      </c>
      <c r="M1552" s="58">
        <v>1150.0</v>
      </c>
      <c r="N1552" s="33">
        <f>K1552*J1552</f>
        <v>37260</v>
      </c>
      <c r="O1552" s="59">
        <v>182574.0</v>
      </c>
      <c r="P1552" s="34">
        <f t="shared" si="14"/>
        <v>49</v>
      </c>
      <c r="Q1552" s="60"/>
      <c r="R1552" s="36">
        <f>M1552+Q1552</f>
        <v>1150</v>
      </c>
      <c r="S1552" s="61">
        <v>107.0</v>
      </c>
      <c r="T1552" s="37">
        <f>R1552+S1552+if(F1552="Without EV deal",L1552,0)</f>
        <v>1257</v>
      </c>
      <c r="U1552" s="62">
        <v>1.0</v>
      </c>
      <c r="V1552" s="63">
        <v>13.0</v>
      </c>
      <c r="W1552" s="63">
        <v>38.0</v>
      </c>
      <c r="X1552" s="35">
        <f>IF(AF1552="DoEV",IF(AND(V1552&lt;20,W1552&lt;55),0.3,0)+IF(AND(V1552&lt;20,W1552&gt;=55,W1552&lt;105),0.23,0)+IF(AND(V1552&lt;20,W1552&gt;=105),0.17,0)+IF(AND(V1552&gt;=20,V1552&lt;40,W1552&lt;45),0.3,0)+IF(AND(V1552&gt;=20,V1552&lt;40,W1552&gt;=45,W1552&lt;95),0.23,0)+IF(AND(V1552&gt;=20,V1552&lt;40,W1552&gt;=95),0.17,0)+IF(AND(V1552&gt;=40,V1552&lt;75,W1552&lt;35),0.3,0)+IF(AND(V1552&gt;=40,V1552&lt;75,W1552&gt;=35,W1552&lt;75),0.23,0)+IF(AND(V1552&gt;=40,V1552&lt;75,W1552&gt;=75,W1552&lt;120),0.17,0)+IF(AND(V1552&gt;=40,V1552&lt;75,W1552&gt;=120),0.12,0)+IF(AND(V1552&gt;=75,V1552&lt;175,W1552&lt;35),0.3,0)+IF(AND(V1552&gt;=75,V1552&lt;=175,W1552&gt;=35,W1552&lt;65),0.23,0)+IF(AND(V1552&gt;=75,V1552&lt;=175,W1552&gt;=65,W1552&lt;110),0.17,0)+IF(AND(V1552&gt;=75,V1552&lt;=175,W1552&gt;=110),0.12,0)+IF(AND(V1552&gt;175,W1552&lt;25),0.3,0)+IF(AND(V1552&gt;175,W1552&gt;=25,W1552&lt;55),0.23,0)+IF(AND(V1552&gt;175,W1552&gt;=55,W1552&lt;95),0.17,0)+IF(AND(V1552&gt;175,W1552&gt;=95),0.12,0),
IF(AF1552="Fix15",0.15,
IF(AF1552="Fix11.25",0.1125,
IF(AF1552="Fix10",0.1,
IF(AF1552="Fix9",0.09,
IF(AF1552="DoEV2017",IF(AND(W1552&lt;74),0.2,0)+IF(AND(W1552&gt;=74),0.17,0),
IF(AF1552="SF",IF(AND(V1552&lt;20,W1552&lt;89),0.3,0)+IF(AND(V1552&lt;20,W1552&gt;=89),0.25,0)+IF(AND(V1552&gt;=20,V1552&lt;40,W1552&lt;74),0.3,0)+IF(AND(V1552&gt;=20,V1552&lt;40,W1552&gt;=75),0.22,0)+IF(AND(V1552&gt;=40,V1552&lt;75,W1552&lt;75),0.26,0)+IF(AND(V1552&gt;=40,V1552&lt;75,W1552&gt;=75),0.22,0)+IF(V1552&gt;=75,0.22,0),
IF(AF1552="DoEVold",IF(AND(V1552&lt;40,W1552&lt;35),0.35,0)+IF(AND(V1552&lt;40,W1552&gt;=35,W1552&lt;75),0.25,0)+IF(AND(V1552&lt;40,W1552&gt;=75),0.17,0)+IF(AND(V1552&gt;=40,V1552&lt;75,W1552&lt;25),0.35,0)+IF(AND(V1552&gt;=40,V1552&lt;75,W1552&gt;=25,W1552&lt;65),0.25,0)+IF(AND(V1552&gt;=40,V1552&lt;75,W1552&gt;=65,W1552&lt;100),0.17,0)+IF(AND(V1552&gt;=40,V1552&lt;75,W1552&gt;=100),0.1,0)+IF(AND(V1552&gt;=75,W1552&lt;25),0.35,0)+IF(AND(V1552&gt;=75,W1552&gt;=25,W1552&lt;60),0.25,0)+IF(AND(V1552&gt;=75,W1552&gt;=60,W1552&lt;95),0.17,0)+IF(AND(V1552&gt;=75,W1552&gt;=95),0.1,0),
IF(AF1552="DoEVold15",IF(AND(V1552&lt;=40,W1552&lt;35),0.35,0)+IF(AND(V1552&lt;=40,W1552&gt;=35,W1552&lt;75),0.25,0)+IF(AND(V1552&lt;=40,W1552&gt;=75,W1552&lt;120),0.17,0)+IF(AND(V1552&lt;=40,W1552&gt;=120),0.15,0)+IF(AND(V1552&gt;40,V1552&lt;75,W1552&lt;25),0.35,0)+IF(AND(V1552&gt;=40,V1552&lt;75,W1552&gt;=25,W1552&lt;65),0.25,0)+IF(AND(V1552&gt;=40,V1552&lt;75,W1552&gt;=65,W1552&lt;100),0.17,0)+IF(AND(V1552&gt;=40,V1552&lt;75,W1552&gt;=100),0.1,0)+IF(AND(V1552&gt;=75,W1552&lt;25),0.35,0)+IF(AND(V1552&gt;=75,W1552&gt;=25,W1552&lt;60),0.25,0)+IF(AND(V1552&gt;=75,W1552&gt;=60,W1552&lt;95),0.17,0)+IF(AND(V1552&gt;=75,W1552&gt;=95),0.1,0),
IF(AF1552="DoEVba",IF(AND(V1552&lt;20,W1552&lt;105),0.2,0)+IF(AND(V1552&lt;20,W1552&gt;=105),0.15,0)+IF(AND(V1552&gt;=20,V1552&lt;40,W1552&lt;95),0.2,0)+IF(AND(V1552&gt;=20,V1552&lt;40,W1552&gt;=95,W1552&lt;150),0.15,0)+IF(AND(V1552&gt;=20,V1552&lt;40,W1552&gt;=150),0.12,0)+IF(AND(V1552&gt;=40,V1552&lt;75,W1552&lt;75),0.2,0)+IF(AND(V1552&gt;=40,V1552&lt;75,W1552&gt;=75,W1552&lt;120),0.15,0)+IF(AND(V1552&gt;=40,V1552&lt;75,W1552&gt;=120),0.12,0)+IF(AND(V1552&gt;=75,V1552&lt;175,W1552&lt;65),0.2,0)+IF(AND(V1552&gt;=75,V1552&lt;175,W1552&gt;=65,W1552&lt;110),0.15,0)+IF(AND(V1552&gt;=75,V1552&lt;175,W1552&gt;=110),0.12,0)+IF(AND(V1552&gt;=175,W1552&lt;55),0.2,0)+IF(AND(V1552&gt;=175,W1552&gt;=55,W1552&lt;95),0.15,0)+IF(AND(V1552&gt;=175,W1552&gt;=95),0.12,0),
IF(AF1552="DoEVku",IF(AND(V1552&lt;20,W1552&lt;55),0.23,0)+IF(AND(V1552&lt;20,W1552&gt;=55,W1552&lt;105),0.2,0)+IF(AND(V1552&lt;20,W1552&gt;=105),0.17,0)+IF(AND(V1552&gt;=20,V1552&lt;40,W1552&lt;45),0.23,0)+IF(AND(V1552&gt;=20,V1552&lt;40,W1552&gt;=45,W1552&lt;95),0.2,0)+IF(AND(V1552&gt;=20,V1552&lt;40,W1552&gt;=95,W1552&lt;=150),0.17,0)+IF(AND(V1552&gt;=20,V1552&lt;40,W1552&gt;=150),0.12,0)+IF(AND(V1552&gt;=40,V1552&lt;75,W1552&lt;35),0.23,0)+IF(AND(V1552&gt;=40,V1552&lt;75,W1552&gt;=35,W1552&lt;75),0.2,0)+IF(AND(V1552&gt;=40,V1552&lt;75,W1552&gt;=75,W1552&lt;120),0.17,0)+IF(AND(V1552&gt;=40,V1552&lt;75,W1552&gt;=120),0.12,0)+IF(AND(V1552&gt;=75,V1552&lt;175,W1552&lt;35),0.23,0)+IF(AND(V1552&gt;=75,V1552&lt;=175,W1552&gt;=35,W1552&lt;65),0.2,0)+IF(AND(V1552&gt;=75,V1552&lt;=175,W1552&gt;=65,W1552&lt;110),0.17,0)+IF(AND(V1552&gt;=75,V1552&lt;=175,W1552&gt;=110),0.12,0)+IF(AND(V1552&gt;175,W1552&lt;25),0.23,0)+IF(AND(V1552&gt;175,W1552&gt;=25,W1552&lt;55),0.2,0)+IF(AND(V1552&gt;175,W1552&gt;=55,W1552&lt;95),0.17,0)+IF(AND(V1552&gt;175,W1552&gt;=95),0.12,0),
IF(AF1552="DoEVs1",IF(AND(V1552&lt;20,W1552&lt;55),0.3,0)+IF(AND(V1552&lt;20,W1552&gt;=55,W1552&lt;105),0.23,0)+IF(AND(V1552&lt;20,W1552&gt;=105),0.17,0)+IF(AND(V1552&gt;=20,V1552&lt;40,W1552&lt;45),0.3,0)+IF(AND(V1552&gt;=20,V1552&lt;40,W1552&gt;=45,W1552&lt;95),0.23,0)+IF(AND(V1552&gt;=20,V1552&lt;40,W1552&gt;=95,W1552&lt;=150),0.17,0)+IF(AND(V1552&gt;=20,V1552&lt;40,W1552&gt;=150),0.12,0)+IF(AND(V1552&gt;=40,V1552&lt;75,W1552&lt;35),0.3,0)+IF(AND(V1552&gt;=40,V1552&lt;75,W1552&gt;=35,W1552&lt;75),0.23,0)+IF(AND(V1552&gt;=40,V1552&lt;75,W1552&gt;=75,W1552&lt;120),0.17,0)+IF(AND(V1552&gt;=40,V1552&lt;75,W1552&gt;=120),0.12,0)+IF(AND(V1552&gt;=75,V1552&lt;175,W1552&lt;35),0.3,0)+IF(AND(V1552&gt;=75,V1552&lt;=175,W1552&gt;=35,W1552&lt;65),0.23,0)+IF(AND(V1552&gt;=75,V1552&lt;=175,W1552&gt;=65,W1552&lt;110),0.17,0)+IF(AND(V1552&gt;=75,V1552&lt;=175,W1552&gt;=110),0.12,0)+IF(AND(V1552&gt;175,W1552&lt;25),0.3,0)+IF(AND(V1552&gt;175,W1552&gt;=25,W1552&lt;55),0.23,0)+IF(AND(V1552&gt;175,W1552&gt;=55,W1552&lt;95),0.17,0)+IF(AND(V1552&gt;175,W1552&gt;=95),0.12,0),
IF(AF1552="DoEVsu",IF(AND(V1552&lt;20,W1552&lt;55),0.3,0)+IF(AND(V1552&lt;20,W1552&gt;=55,W1552&lt;105),0.23,0)+IF(AND(V1552&lt;20,W1552&gt;=105),0.17,0)+IF(AND(V1552&gt;=20,V1552&lt;40,W1552&lt;45),0.3,0)+IF(AND(V1552&gt;=20,V1552&lt;40,W1552&gt;=45,W1552&lt;95),0.23,0)+IF(AND(V1552&gt;=20,V1552&lt;40,W1552&gt;=95,W1552&lt;=250),0.17,0)+IF(AND(V1552&gt;=20,V1552&lt;40,W1552&gt;=250),0.12,0)+IF(AND(V1552&gt;=40,V1552&lt;75,W1552&lt;35),0.3,0)+IF(AND(V1552&gt;=40,V1552&lt;75,W1552&gt;=35,W1552&lt;75),0.23,0)+IF(AND(V1552&gt;=40,V1552&lt;75,W1552&gt;=75,W1552&lt;120),0.17,0)+IF(AND(V1552&gt;=40,V1552&lt;75,W1552&gt;=120),0.12,0)+IF(AND(V1552&gt;=75,V1552&lt;175,W1552&lt;35),0.3,0)+IF(AND(V1552&gt;=75,V1552&lt;=175,W1552&gt;=35,W1552&lt;65),0.23,0)+IF(AND(V1552&gt;=75,V1552&lt;=175,W1552&gt;=65,W1552&lt;110),0.17,0)+IF(AND(V1552&gt;=75,V1552&lt;=175,W1552&gt;=110),0.12,0)+IF(AND(V1552&gt;175,W1552&lt;25),0.3,0)+IF(AND(V1552&gt;175,W1552&gt;=25,W1552&lt;55),0.23,0)+IF(AND(V1552&gt;175,W1552&gt;=55,W1552&lt;95),0.17,0)+IF(AND(V1552&gt;175,W1552&gt;=95),0.12,0),
IF(AF1552="DoEVni",IF(AND(V1552&lt;20,W1552&lt;55),0.3,0)+IF(AND(V1552&lt;20,W1552&gt;=55,W1552&lt;105),0.23,0)+IF(AND(V1552&lt;20,W1552&gt;=105),0.17,0)+IF(AND(V1552&gt;=20,V1552&lt;40,W1552&lt;45),0.3,0)+IF(AND(V1552&gt;=20,V1552&lt;40,W1552&gt;=45,W1552&lt;95),0.23,0)+IF(AND(V1552&gt;=20,V1552&lt;40,W1552&gt;=95,W1552&lt;=200),0.17,0)+IF(AND(V1552&gt;=20,V1552&lt;40,W1552&gt;=200),0.12,0)+IF(AND(V1552&gt;=40,V1552&lt;75,W1552&lt;35),0.3,0)+IF(AND(V1552&gt;=40,V1552&lt;75,W1552&gt;=35,W1552&lt;75),0.23,0)+IF(AND(V1552&gt;=40,V1552&lt;75,W1552&gt;=75,W1552&lt;120),0.17,0)+IF(AND(V1552&gt;=40,V1552&lt;75,W1552&gt;=120),0.12,0)+IF(AND(V1552&gt;=75,V1552&lt;175,W1552&lt;35),0.3,0)+IF(AND(V1552&gt;=75,V1552&lt;=175,W1552&gt;=35,W1552&lt;65),0.23,0)+IF(AND(V1552&gt;=75,V1552&lt;=175,W1552&gt;=65,W1552&lt;110),0.17,0)+IF(AND(V1552&gt;=75,V1552&lt;=175,W1552&gt;=110),0.12,0)+IF(AND(V1552&gt;175,W1552&lt;25),0.3,0)+IF(AND(V1552&gt;175,W1552&gt;=25,W1552&lt;55),0.23,0)+IF(AND(V1552&gt;175,W1552&gt;=55,W1552&lt;95),0.17,0)+IF(AND(V1552&gt;175,W1552&gt;=95),0.12,0),
IF(AF1552="DoEVLo",IF(AND(V1552&lt;20,W1552&lt;55),0.25,0)+IF(AND(V1552&lt;20,W1552&gt;=55,W1552&lt;105),0.2,0)+IF(AND(V1552&lt;20,W1552&gt;=105),0.15,0)+IF(AND(V1552&gt;=20,V1552&lt;40,W1552&lt;45),0.25,0)+IF(AND(V1552&gt;=20,V1552&lt;40,W1552&gt;=45,W1552&lt;95),0.2,0)+IF(AND(V1552&gt;=20,V1552&lt;40,W1552&gt;=95),0.15,0)+IF(AND(V1552&gt;=40,V1552&lt;75,W1552&lt;35),0.25,0)+IF(AND(V1552&gt;=40,V1552&lt;75,W1552&gt;=35,W1552&lt;75),0.2,0)+IF(AND(V1552&gt;=40,V1552&lt;75,W1552&gt;=75,W1552&lt;120),0.15,0)+IF(AND(V1552&gt;=40,V1552&lt;75,W1552&gt;=120),0.1,0)+IF(AND(V1552&gt;=75,V1552&lt;175,W1552&lt;35),0.25,0)+IF(AND(V1552&gt;=75,V1552&lt;=175,W1552&gt;=35,W1552&lt;65),0.2,0)+IF(AND(V1552&gt;=75,V1552&lt;=175,W1552&gt;=65,W1552&lt;110),0.15,0)+IF(AND(V1552&gt;=75,V1552&lt;=175,W1552&gt;=110),0.1,0)+IF(AND(V1552&gt;175,W1552&lt;25),0.25,0)+IF(AND(V1552&gt;175,W1552&gt;=25,W1552&lt;55),0.2,0)+IF(AND(V1552&gt;175,W1552&gt;=55,W1552&lt;95),0.15,0)+IF(AND(V1552&gt;175,W1552&gt;=95),0.1,0))))))))))))))))</f>
        <v>0.3</v>
      </c>
      <c r="Y1552" s="35">
        <f>if(AG1552="None",0,if(AG1552="Fix5",0.05,if(AG1552="Fix3.75",0.0375,if(AG1552="Fix10",0.1,if(AG1552="Fix3",0.03,0)))))</f>
        <v>0</v>
      </c>
      <c r="Z1552" s="40">
        <f>IF(AND(AD1552="EUR", F1552="Without EV deal"), (T1552*U1552)-AA1552-AB1552, IF(AD1552="EUR", (R1552*U1552+S1552)-AA1552-AB1552,T1552-AA1552-AB1552))</f>
        <v>879.9</v>
      </c>
      <c r="AA1552" s="34">
        <f>IF(AND(AD1552="EUR", F1552="Without EV deal"), (T1552*X1552)*U1552, IF(AD1552="EUR", (R1552*U1552+S1552)*X1552, T1552*X1552))
</f>
        <v>377.1</v>
      </c>
      <c r="AB1552" s="41">
        <f>if(AD1552="EUR",((T1552-R1552)*Y1552)*U1552+(R1552*Y1552),(T1552*Y1552))</f>
        <v>0</v>
      </c>
      <c r="AC1552" s="42" t="b">
        <v>1</v>
      </c>
      <c r="AD1552" s="66" t="s">
        <v>140</v>
      </c>
      <c r="AE1552" s="66"/>
      <c r="AF1552" s="42" t="str">
        <f t="array" ref="AF1552">INDEX('Deal Info'!D:D, MATCH(A1552,'Deal Info'!A:A, 0))</f>
        <v>DoEV</v>
      </c>
      <c r="AG1552" s="43" t="str">
        <f t="array" ref="AG1552">INDEX('Deal Info'!G:G, MATCH(A1552,'Deal Info'!A:A, 0))</f>
        <v>None</v>
      </c>
    </row>
    <row r="1553" hidden="1">
      <c r="A1553" s="23" t="s">
        <v>233</v>
      </c>
      <c r="B1553" s="101" t="s">
        <v>233</v>
      </c>
      <c r="C1553" s="115">
        <v>44958.0</v>
      </c>
      <c r="D1553" s="115">
        <v>44985.0</v>
      </c>
      <c r="E1553" s="85">
        <v>44958.0</v>
      </c>
      <c r="F1553" s="101" t="s">
        <v>12</v>
      </c>
      <c r="G1553" s="70" t="s">
        <v>5</v>
      </c>
      <c r="H1553" s="105" t="s">
        <v>62</v>
      </c>
      <c r="I1553" s="105" t="s">
        <v>7</v>
      </c>
      <c r="J1553" s="44">
        <f t="shared" ref="J1553:J1556" si="267">iferror(if(H1553="$0.25",0.25, 
if(H1553="$0.25 Flash",0.25, 
if(H1553 = "$1", 1, 
if(H1553 = "$1 Flash", 1, 
if(H1553 = "$2", 2, 
if( H1553 = "$2 Flash" , 2, 
if( H1553= "$3", 3, 
if( H1553= "$3 Ultra", 3, 
if( H1553= "$5", 5, 
if( H1553= "$5 (1M)", 5, 
if( H1553= "$5 (1M) Flash", 5, 
if( H1553= "$5 Flash", 5, 
if( H1553= "$5 Flash (1M)", 5,
if( H1553= "$10", 10,
if( H1553= "$10 (1M)", 10,
if( H1553= "$10 (1M) (old)", 10,
if( H1553= "$10 Flash", 10,
if( H1553= "$10 Ultra", 10,
if( H1553= "$20", 20,
if( H1553= "$20 Ultra", 20,
if( H1553= "$25", 25,
if( H1553= "$25 Flash", 25,
if( H1553= "$50", 50,
if( H1553= "$50 Flash", 50,
if( H1553= "$50 Ultra", 50,
if( H1553= "$100", 100,
if( H1553= "$100 Flash", 100,
if( H1553= "$100 HUHT", 100,
if( H1553= "$100 Ultra", 100,
if( H1553= "$200", 200,
if( H1553= "$200 HUHT", 200,
if( H1553= "$250", 250,
if( H1553= "$250 Flash", 250,
if( H1553= "$300 HUHT", 300,
if( H1553= "$500", 500,
if( H1553= "$500 Flash", 500,
if( H1553 = "$500 HUHT",500,
if( H1553= "$1000", 1000,
if( H1553= "€0.25 Flash", 0.25,
if( H1553="€0.25(nitro) new",0.25,
if( H1553= "€1", 1,
if( H1553= "€2", 2,
if( H1553= "€5", 5,
if( H1553= "€5 (1M)", 5,
if( H1553= "€5 (bf 01.08)", 5,
if( H1553= "€5 (bf 05.05)", 5,
if( H1553= "€5 Nitro", 5,
if( H1553= "€5(wx) new", 5,
if( H1553= "€10", 10,
if( H1553= "€10 (1M)", 10,
if( H1553= "€10 (bf 01.08)", 10,
if( H1553= "€10 (bf 05.05)", 10,
if( H1553= "€10 (MP)", 10,
if( H1553= "€10 (old)", 10,
if( H1553= "€10 Nitro (bf 05.05)", 10,
if( H1553= "€10 Nitro (old)", 10,
if( H1553= "€10(wx) new", 10,
if( H1553= "€20", 20,
if( H1553= "€25", 25, 
if( H1553= "€25 (bf 01.08)", 25, 
if( H1553= "€25 (bf 05.05)", 25, 
if( H1553= "€25 (MP)", 25, 
if( H1553= "€25 (old)", 25,
if( H1553= "€25 Nitro", 25,
if( H1553= "€25 Nitro (bf 01.08)", 25,
if( H1553= "€25 Nitro (bf 05.05)", 25,
if( H1553= "€25(nitro) new", 25,
if( H1553= "€25(wx) new", 25,
if( H1553= "€50", 50,
if( H1553= "€50 (bf 01.08)", 50,
if( H1553= "€50 (bf 05.05)", 50,
if( H1553= "€50 (old)", 50,
if( H1553= "€50 Nitro", 50,
if( H1553= "€50 Nitro (bf 01.08)", 50,
if( H1553= "€50 Nitro (bf 05.05)", 50,
if( H1553= "€50(wx) new", 50,
if( H1553= "€100", 100,
if( H1553= "€100 (old)", 100,
if( H1553= "€100 Nitro", 100,
if( H1553= "€100 Nitro (old)", 100,
if( H1553= "€200", 200,
if( H1553= "€250", 250,
if( H1553= "€250 Nitro", 250,
if( H1553= "€500", 500,
if( H1553= "€500 Nitro", 500,
if( H1553= "1000 rub", 1000,
if( H1553= "2500 rub", 2500,
if( H1553= "5000 rub", 5000,"")))))))))))))))))))))))))))))))))))))))))))))))))))))))))))))))))))))))))))))))))))))))))</f>
        <v>25</v>
      </c>
      <c r="K1553" s="116">
        <v>2.0</v>
      </c>
      <c r="L1553" s="117">
        <v>0.0</v>
      </c>
      <c r="M1553" s="67">
        <v>150.0</v>
      </c>
      <c r="N1553" s="33">
        <v>50.0</v>
      </c>
      <c r="O1553" s="70"/>
      <c r="P1553" s="34">
        <v>0.0</v>
      </c>
      <c r="Q1553" s="60"/>
      <c r="R1553" s="36">
        <f t="shared" ref="R1553:R1556" si="268">M1553+Q1553*J1553*K1553*0.07</f>
        <v>150</v>
      </c>
      <c r="S1553" s="71"/>
      <c r="T1553" s="37">
        <f t="shared" ref="T1553:T1556" si="269">IF(AND(AD1553="EUR", F1553="Without EV deal"), R1553 + L1553, 
IF(AND(AD1553="USD", F1553="Without EV deal"), R1553 + L1553, 
IF(AND(AD1553="EUR", F1553="Steel Phoenix"), R1553 + S1553/U1553, 
R1553 + S1553)))</f>
        <v>150</v>
      </c>
      <c r="U1553" s="62">
        <v>1.062</v>
      </c>
      <c r="V1553" s="74">
        <v>27.338282078472957</v>
      </c>
      <c r="W1553" s="74">
        <v>85.22883747090769</v>
      </c>
      <c r="X1553" s="35">
        <f t="shared" ref="X1553:X1556" si="270">IF(AF1553="DoEV",IF(AND(V1553&lt;20,W1553&lt;55),0.3,0)+IF(AND(V1553&lt;20,W1553&gt;=55,W1553&lt;105),0.23,0)+IF(AND(V1553&lt;20,W1553&gt;=105),0.17,0)+IF(AND(V1553&gt;=20,V1553&lt;40,W1553&lt;45),0.3,0)+IF(AND(V1553&gt;=20,V1553&lt;40,W1553&gt;=45,W1553&lt;95),0.23,0)+IF(AND(V1553&gt;=20,V1553&lt;40,W1553&gt;=95),0.17,0)+IF(AND(V1553&gt;=40,V1553&lt;75,W1553&lt;35),0.3,0)+IF(AND(V1553&gt;=40,V1553&lt;75,W1553&gt;=35,W1553&lt;75),0.23,0)+IF(AND(V1553&gt;=40,V1553&lt;75,W1553&gt;=75,W1553&lt;120),0.17,0)+IF(AND(V1553&gt;=40,V1553&lt;75,W1553&gt;=120),0.12,0)+IF(AND(V1553&gt;=75,V1553&lt;175,W1553&lt;35),0.3,0)+IF(AND(V1553&gt;=75,V1553&lt;=175,W1553&gt;=35,W1553&lt;65),0.23,0)+IF(AND(V1553&gt;=75,V1553&lt;=175,W1553&gt;=65,W1553&lt;110),0.17,0)+IF(AND(V1553&gt;=75,V1553&lt;=175,W1553&gt;=110),0.12,0)+IF(AND(V1553&gt;175,W1553&lt;25),0.3,0)+IF(AND(V1553&gt;175,W1553&gt;=25,W1553&lt;55),0.23,0)+IF(AND(V1553&gt;175,W1553&gt;=55,W1553&lt;95),0.17,0)+IF(AND(V1553&gt;175,W1553&gt;=95),0.12,0),
IF(AF1553="Fix15",0.15,
IF(AF1553="Fix5",0.05,
if(AF1553="Fix18.75",0.1875,
IF(AF1553="Fix11.25",0.1125,
IF(AF1553="Fix10",0.1,
IF(AF1553="Fix9",0.09,
IF(AF1553="Fix12",0.12,
IF(AF1553="Fix19",0.19,
IF(AF1553="DoEV2017",IF(AND(W1553&lt;74),0.2,0)+IF(AND(W1553&gt;=74),0.17,0),
IF(AF1553="SF",IF(AND(V1553&lt;20,W1553&lt;89),0.3,0)+IF(AND(V1553&lt;20,W1553&gt;=89),0.25,0)+IF(AND(V1553&gt;=20,V1553&lt;40,W1553&lt;74),0.3,0)+IF(AND(V1553&gt;=20,V1553&lt;40,W1553&gt;=75),0.22,0)+IF(AND(V1553&gt;=40,V1553&lt;75,W1553&lt;75),0.26,0)+IF(AND(V1553&gt;=40,V1553&lt;75,W1553&gt;=75),0.22,0)+IF(V1553&gt;=75,0.22,0),
IF(AF1553="DoEVold",IF(AND(V1553&lt;40,W1553&lt;35),0.35,0)+IF(AND(V1553&lt;40,W1553&gt;=35,W1553&lt;75),0.25,0)+IF(AND(V1553&lt;40,W1553&gt;=75),0.17,0)+IF(AND(V1553&gt;=40,V1553&lt;75,W1553&lt;25),0.35,0)+IF(AND(V1553&gt;=40,V1553&lt;75,W1553&gt;=25,W1553&lt;65),0.25,0)+IF(AND(V1553&gt;=40,V1553&lt;75,W1553&gt;=65,W1553&lt;100),0.17,0)+IF(AND(V1553&gt;=40,V1553&lt;75,W1553&gt;=100),0.1,0)+IF(AND(V1553&gt;=75,W1553&lt;25),0.35,0)+IF(AND(V1553&gt;=75,W1553&gt;=25,W1553&lt;60),0.25,0)+IF(AND(V1553&gt;=75,W1553&gt;=60,W1553&lt;95),0.17,0)+IF(AND(V1553&gt;=75,W1553&gt;=95),0.1,0),
IF(AF1553="DoEVold15",IF(AND(V1553&lt;=40,W1553&lt;35),0.35,0)+IF(AND(V1553&lt;=40,W1553&gt;=35,W1553&lt;75),0.25,0)+IF(AND(V1553&lt;=40,W1553&gt;=75,W1553&lt;120),0.17,0)+IF(AND(V1553&lt;=40,W1553&gt;=120),0.15,0)+IF(AND(V1553&gt;40,V1553&lt;75,W1553&lt;25),0.35,0)+IF(AND(V1553&gt;=40,V1553&lt;75,W1553&gt;=25,W1553&lt;65),0.25,0)+IF(AND(V1553&gt;=40,V1553&lt;75,W1553&gt;=65,W1553&lt;100),0.17,0)+IF(AND(V1553&gt;=40,V1553&lt;75,W1553&gt;=100),0.1,0)+IF(AND(V1553&gt;=75,W1553&lt;25),0.35,0)+IF(AND(V1553&gt;=75,W1553&gt;=25,W1553&lt;60),0.25,0)+IF(AND(V1553&gt;=75,W1553&gt;=60,W1553&lt;95),0.17,0)+IF(AND(V1553&gt;=75,W1553&gt;=95),0.1,0),
IF(AF1553="DoEVba",IF(AND(V1553&lt;20,W1553&lt;105),0.2,0)+IF(AND(V1553&lt;20,W1553&gt;=105),0.15,0)+IF(AND(V1553&gt;=20,V1553&lt;40,W1553&lt;95),0.2,0)+IF(AND(V1553&gt;=20,V1553&lt;40,W1553&gt;=95,W1553&lt;150),0.15,0)+IF(AND(V1553&gt;=20,V1553&lt;40,W1553&gt;=150),0.12,0)+IF(AND(V1553&gt;=40,V1553&lt;75,W1553&lt;75),0.2,0)+IF(AND(V1553&gt;=40,V1553&lt;75,W1553&gt;=75,W1553&lt;120),0.15,0)+IF(AND(V1553&gt;=40,V1553&lt;75,W1553&gt;=120),0.12,0)+IF(AND(V1553&gt;=75,V1553&lt;175,W1553&lt;65),0.2,0)+IF(AND(V1553&gt;=75,V1553&lt;175,W1553&gt;=65,W1553&lt;110),0.15,0)+IF(AND(V1553&gt;=75,V1553&lt;175,W1553&gt;=110),0.12,0)+IF(AND(V1553&gt;=175,W1553&lt;55),0.2,0)+IF(AND(V1553&gt;=175,W1553&gt;=55,W1553&lt;95),0.15,0)+IF(AND(V1553&gt;=175,W1553&gt;=95),0.12,0),
IF(AF1553="DoEVku",IF(AND(V1553&lt;20,W1553&lt;55),0.23,0)+IF(AND(V1553&lt;20,W1553&gt;=55,W1553&lt;105),0.2,0)+IF(AND(V1553&lt;20,W1553&gt;=105),0.17,0)+IF(AND(V1553&gt;=20,V1553&lt;40,W1553&lt;45),0.23,0)+IF(AND(V1553&gt;=20,V1553&lt;40,W1553&gt;=45,W1553&lt;95),0.2,0)+IF(AND(V1553&gt;=20,V1553&lt;40,W1553&gt;=95,W1553&lt;=150),0.17,0)+IF(AND(V1553&gt;=20,V1553&lt;40,W1553&gt;=150),0.12,0)+IF(AND(V1553&gt;=40,V1553&lt;75,W1553&lt;35),0.23,0)+IF(AND(V1553&gt;=40,V1553&lt;75,W1553&gt;=35,W1553&lt;75),0.2,0)+IF(AND(V1553&gt;=40,V1553&lt;75,W1553&gt;=75,W1553&lt;120),0.17,0)+IF(AND(V1553&gt;=40,V1553&lt;75,W1553&gt;=120),0.12,0)+IF(AND(V1553&gt;=75,V1553&lt;175,W1553&lt;35),0.23,0)+IF(AND(V1553&gt;=75,V1553&lt;=175,W1553&gt;=35,W1553&lt;65),0.2,0)+IF(AND(V1553&gt;=75,V1553&lt;=175,W1553&gt;=65,W1553&lt;110),0.17,0)+IF(AND(V1553&gt;=75,V1553&lt;=175,W1553&gt;=110),0.12,0)+IF(AND(V1553&gt;175,W1553&lt;25),0.23,0)+IF(AND(V1553&gt;175,W1553&gt;=25,W1553&lt;55),0.2,0)+IF(AND(V1553&gt;175,W1553&gt;=55,W1553&lt;95),0.17,0)+IF(AND(V1553&gt;175,W1553&gt;=95),0.12,0),
IF(AF1553="DoEVs1",IF(AND(V1553&lt;20,W1553&lt;55),0.3,0)+IF(AND(V1553&lt;20,W1553&gt;=55,W1553&lt;105),0.23,0)+IF(AND(V1553&lt;20,W1553&gt;=105),0.17,0)+IF(AND(V1553&gt;=20,V1553&lt;40,W1553&lt;45),0.3,0)+IF(AND(V1553&gt;=20,V1553&lt;40,W1553&gt;=45,W1553&lt;95),0.23,0)+IF(AND(V1553&gt;=20,V1553&lt;40,W1553&gt;=95,W1553&lt;=150),0.17,0)+IF(AND(V1553&gt;=20,V1553&lt;40,W1553&gt;=150),0.12,0)+IF(AND(V1553&gt;=40,V1553&lt;75,W1553&lt;35),0.3,0)+IF(AND(V1553&gt;=40,V1553&lt;75,W1553&gt;=35,W1553&lt;75),0.23,0)+IF(AND(V1553&gt;=40,V1553&lt;75,W1553&gt;=75,W1553&lt;120),0.17,0)+IF(AND(V1553&gt;=40,V1553&lt;75,W1553&gt;=120),0.12,0)+IF(AND(V1553&gt;=75,V1553&lt;175,W1553&lt;35),0.3,0)+IF(AND(V1553&gt;=75,V1553&lt;=175,W1553&gt;=35,W1553&lt;65),0.23,0)+IF(AND(V1553&gt;=75,V1553&lt;=175,W1553&gt;=65,W1553&lt;110),0.17,0)+IF(AND(V1553&gt;=75,V1553&lt;=175,W1553&gt;=110),0.12,0)+IF(AND(V1553&gt;175,W1553&lt;25),0.3,0)+IF(AND(V1553&gt;175,W1553&gt;=25,W1553&lt;55),0.23,0)+IF(AND(V1553&gt;175,W1553&gt;=55,W1553&lt;95),0.17,0)+IF(AND(V1553&gt;175,W1553&gt;=95),0.12,0),
IF(AF1553="DoEVsu",IF(AND(V1553&lt;20,W1553&lt;55),0.3,0)+IF(AND(V1553&lt;20,W1553&gt;=55,W1553&lt;105),0.23,0)+IF(AND(V1553&lt;20,W1553&gt;=105),0.17,0)+IF(AND(V1553&gt;=20,V1553&lt;40,W1553&lt;45),0.3,0)+IF(AND(V1553&gt;=20,V1553&lt;40,W1553&gt;=45,W1553&lt;95),0.23,0)+IF(AND(V1553&gt;=20,V1553&lt;40,W1553&gt;=95,W1553&lt;=250),0.17,0)+IF(AND(V1553&gt;=20,V1553&lt;40,W1553&gt;=250),0.12,0)+IF(AND(V1553&gt;=40,V1553&lt;75,W1553&lt;35),0.3,0)+IF(AND(V1553&gt;=40,V1553&lt;75,W1553&gt;=35,W1553&lt;75),0.23,0)+IF(AND(V1553&gt;=40,V1553&lt;75,W1553&gt;=75,W1553&lt;120),0.17,0)+IF(AND(V1553&gt;=40,V1553&lt;75,W1553&gt;=120),0.12,0)+IF(AND(V1553&gt;=75,V1553&lt;175,W1553&lt;35),0.3,0)+IF(AND(V1553&gt;=75,V1553&lt;=175,W1553&gt;=35,W1553&lt;65),0.23,0)+IF(AND(V1553&gt;=75,V1553&lt;=175,W1553&gt;=65,W1553&lt;110),0.17,0)+IF(AND(V1553&gt;=75,V1553&lt;=175,W1553&gt;=110),0.12,0)+IF(AND(V1553&gt;175,W1553&lt;25),0.3,0)+IF(AND(V1553&gt;175,W1553&gt;=25,W1553&lt;55),0.23,0)+IF(AND(V1553&gt;175,W1553&gt;=55,W1553&lt;95),0.17,0)+IF(AND(V1553&gt;175,W1553&gt;=95),0.12,0),
IF(AF1553="DoEVni",IF(AND(V1553&lt;20,W1553&lt;55),0.3,0)+IF(AND(V1553&lt;20,W1553&gt;=55,W1553&lt;105),0.23,0)+IF(AND(V1553&lt;20,W1553&gt;=105),0.17,0)+IF(AND(V1553&gt;=20,V1553&lt;40,W1553&lt;45),0.3,0)+IF(AND(V1553&gt;=20,V1553&lt;40,W1553&gt;=45,W1553&lt;95),0.23,0)+IF(AND(V1553&gt;=20,V1553&lt;40,W1553&gt;=95,W1553&lt;=200),0.17,0)+IF(AND(V1553&gt;=20,V1553&lt;40,W1553&gt;=200),0.12,0)+IF(AND(V1553&gt;=40,V1553&lt;75,W1553&lt;35),0.3,0)+IF(AND(V1553&gt;=40,V1553&lt;75,W1553&gt;=35,W1553&lt;75),0.23,0)+IF(AND(V1553&gt;=40,V1553&lt;75,W1553&gt;=75,W1553&lt;120),0.17,0)+IF(AND(V1553&gt;=40,V1553&lt;75,W1553&gt;=120),0.12,0)+IF(AND(V1553&gt;=75,V1553&lt;175,W1553&lt;35),0.3,0)+IF(AND(V1553&gt;=75,V1553&lt;=175,W1553&gt;=35,W1553&lt;65),0.23,0)+IF(AND(V1553&gt;=75,V1553&lt;=175,W1553&gt;=65,W1553&lt;110),0.17,0)+IF(AND(V1553&gt;=75,V1553&lt;=175,W1553&gt;=110),0.12,0)+IF(AND(V1553&gt;175,W1553&lt;25),0.3,0)+IF(AND(V1553&gt;175,W1553&gt;=25,W1553&lt;55),0.23,0)+IF(AND(V1553&gt;175,W1553&gt;=55,W1553&lt;95),0.17,0)+IF(AND(V1553&gt;175,W1553&gt;=95),0.12,0),
IF(AF1553="DoEVLo",IF(AND(V1553&lt;20,W1553&lt;55),0.25,0)+IF(AND(V1553&lt;20,W1553&gt;=55,W1553&lt;105),0.2,0)+IF(AND(V1553&lt;20,W1553&gt;=105),0.15,0)+IF(AND(V1553&gt;=20,V1553&lt;40,W1553&lt;45),0.25,0)+IF(AND(V1553&gt;=20,V1553&lt;40,W1553&gt;=45,W1553&lt;95),0.2,0)+IF(AND(V1553&gt;=20,V1553&lt;40,W1553&gt;=95),0.15,0)+IF(AND(V1553&gt;=40,V1553&lt;75,W1553&lt;35),0.25,0)+IF(AND(V1553&gt;=40,V1553&lt;75,W1553&gt;=35,W1553&lt;75),0.2,0)+IF(AND(V1553&gt;=40,V1553&lt;75,W1553&gt;=75,W1553&lt;120),0.15,0)+IF(AND(V1553&gt;=40,V1553&lt;75,W1553&gt;=120),0.1,0)+IF(AND(V1553&gt;=75,V1553&lt;175,W1553&lt;35),0.25,0)+IF(AND(V1553&gt;=75,V1553&lt;=175,W1553&gt;=35,W1553&lt;65),0.2,0)+IF(AND(V1553&gt;=75,V1553&lt;=175,W1553&gt;=65,W1553&lt;110),0.15,0)+IF(AND(V1553&gt;=75,V1553&lt;=175,W1553&gt;=110),0.1,0)+IF(AND(V1553&gt;175,W1553&lt;25),0.25,0)+IF(AND(V1553&gt;175,W1553&gt;=25,W1553&lt;55),0.2,0)+IF(AND(V1553&gt;175,W1553&gt;=55,W1553&lt;95),0.15,0)+IF(AND(V1553&gt;175,W1553&gt;=95),0.1,0))))))))))))))))))))</f>
        <v>0.23</v>
      </c>
      <c r="Y1553" s="35">
        <f t="shared" ref="Y1553:Y1556" si="271">if(AG1553="None",0,if(AG1553="Fix5",0.05, if(AG1553="Fix6.25",0.0625,if(AG1553="Fix3.75",0.0375, if(AG1553="Fix11",0.11, if(AG1553="Fix10",0.1,if(AG1553="Fix3",0.03,0)))))))</f>
        <v>0</v>
      </c>
      <c r="Z1553" s="40">
        <f t="shared" ref="Z1553:Z1556" si="272">if(and(AD1553="EUR", AE1553 = "USD"), T1553*U1553-AA1553-AB1553, T1553-AA1553-AB1553)</f>
        <v>115.5</v>
      </c>
      <c r="AA1553" s="34">
        <f t="shared" ref="AA1553:AA1556" si="273">IF(AND(AD1553="EUR", F1553="Without EV deal", AE1553="USD"), (T1553*X1553)*U1553, 
IF(AND(AD1553="EUR", F1553="Without EV deal", AE1553="EUR"), (T1553*X1553), 
IF(AND(AD1553="EUR",AE1553="USD"), (T1553*X1553)*U1553, 
T1553*X1553)))</f>
        <v>34.5</v>
      </c>
      <c r="AB1553" s="41">
        <f t="shared" ref="AB1553:AB1556" si="274">IF(AND(AD1553="EUR", F1553="Without EV deal", AE1553="USD"), (T1553*Y1553)*U1553, 
IF(AND(AD1553="EUR", F1553="Without EV deal", AE1553="EUR"), (T1553*Y1553), 
IF(AND(AD1553="EUR",AE1553="USD"), (T1553*Y1553)*U1553, 
T1553*Y1553)))</f>
        <v>0</v>
      </c>
      <c r="AC1553" s="42" t="b">
        <v>1</v>
      </c>
      <c r="AD1553" s="87" t="str">
        <f t="shared" ref="AD1553:AD1556" si="275">IF(OR(H1553="€0.25 Flash",
H1553="€0.25(nitro) new",
H1553="€1",
H1553="€2",
H1553="€2 (bf 01.08)",
H1553="€5",
H1553="€5 (1M)",
H1553="€5 (bf 01.08)",
H1553="€5 (bf 05.05)",
H1553="€5 Nitro",
H1553="€5(wx) new",
H1553="€10",
H1553="€10 (1M)",
H1553="€10 (bf 01.08)",
H1553="€10 (bf 05.05)",
H1553="€10 (MP)",
H1553="€10 (old)",
H1553="€10 Nitro (bf 05.05)",
H1553="€10 Nitro (old)",
H1553="€10(wx) new",
H1553="€20",
H1553="€25",
H1553="€25 (bf 01.08)",
H1553="€25 (bf 05.05)",
H1553="€25 (MP)",
H1553="€25 (old)",
H1553="€25 Nitro",
H1553="€25 Nitro (bf 01.08)",
H1553="€25 Nitro (bf 05.05)",
H1553="€25(nitro) new",
H1553="€25(wx) new",
H1553="€50",
H1553="€50 (bf 01.08)",
H1553="€50 (bf 05.05)",
H1553="€50 (old)",
H1553="€50 Nitro",
H1553="€50 Nitro (bf 01.08)",
H1553="€50 Nitro (bf 05.05)",
H1553="€50(wx) new",
H1553="€100",
H1553="€100 (old)",
H1553="€100 Nitro",
H1553="€100 Nitro (old)",
H1553="€200",
H1553="€250",
H1553="€250 Nitro",
H1553="€500",
H1553="€500 Nitro"),"EUR", "USD")
</f>
        <v>USD</v>
      </c>
      <c r="AE1553" s="87"/>
      <c r="AF1553" s="88" t="str">
        <f t="array" ref="AF1553">INDEX('Deal Info'!D:D, MATCH(A1553,'Deal Info'!A:A, 0))</f>
        <v>DoEV</v>
      </c>
      <c r="AG1553" s="89" t="str">
        <f t="array" ref="AG1553">INDEX('Deal Info'!G:G, MATCH(A1553,'Deal Info'!A:A, 0))</f>
        <v>None</v>
      </c>
    </row>
    <row r="1554" hidden="1">
      <c r="A1554" s="23" t="b">
        <f t="array" ref="A1554">if(G1554='Room Info'!$B$1, INDEX('Room Info'!$A$2:$A3446, MATCH(B1554,'Room Info'!$B$2:$B3446, 0)),if(G1554='Room Info'!$C$1, INDEX('Room Info'!$A$2:$A3446, MATCH(B1554,'Room Info'!$C$2:$C3446, 0)),if(G1554='Room Info'!$D$1, INDEX('Room Info'!$A$2:$A3446, MATCH(B1554,'Room Info'!$D$2:$D3446, 0)),if(G1554='Room Info'!$E$1, INDEX('Room Info'!$A$2:$A3446, MATCH(B1554,'Room Info'!$E$2:$E3446, 0)),if(G1554='Room Info'!$F$1, INDEX('Room Info'!$A$2:$A3446, MATCH(B1554,'Room Info'!$F$2:$F3446, 0)),if(G1554='Room Info'!$H$1, INDEX('Room Info'!$A$2:$A3446, MATCH(B1554,'Room Info'!$H$2:$H3446, 0)),if(G1554='Room Info'!$G$1, INDEX('Room Info'!$A$2:$A3446, MATCH(B1554,'Room Info'!$G$2:$G3446, 0)))))))))</f>
        <v>0</v>
      </c>
      <c r="B1554" s="101" t="s">
        <v>234</v>
      </c>
      <c r="C1554" s="51">
        <v>44975.0</v>
      </c>
      <c r="D1554" s="115">
        <v>44985.0</v>
      </c>
      <c r="E1554" s="85">
        <v>44958.0</v>
      </c>
      <c r="F1554" s="101" t="s">
        <v>8</v>
      </c>
      <c r="G1554" s="135" t="s">
        <v>19</v>
      </c>
      <c r="H1554" s="54" t="s">
        <v>61</v>
      </c>
      <c r="I1554" s="105" t="s">
        <v>7</v>
      </c>
      <c r="J1554" s="44">
        <f t="shared" si="267"/>
        <v>20</v>
      </c>
      <c r="K1554" s="56">
        <v>8.0</v>
      </c>
      <c r="L1554" s="117"/>
      <c r="M1554" s="67"/>
      <c r="N1554" s="33">
        <f t="shared" ref="N1554:N2445" si="276">K1554*J1554</f>
        <v>160</v>
      </c>
      <c r="O1554" s="70"/>
      <c r="P1554" s="34">
        <f t="shared" ref="P1554:P2445" si="277">iferror(O1554/K1554)</f>
        <v>0</v>
      </c>
      <c r="Q1554" s="107">
        <v>0.47</v>
      </c>
      <c r="R1554" s="36">
        <f t="shared" si="268"/>
        <v>5.264</v>
      </c>
      <c r="S1554" s="113">
        <f>-6*0.83</f>
        <v>-4.98</v>
      </c>
      <c r="T1554" s="37">
        <f t="shared" si="269"/>
        <v>0.284</v>
      </c>
      <c r="U1554" s="62">
        <v>1.062</v>
      </c>
      <c r="V1554" s="63"/>
      <c r="W1554" s="63"/>
      <c r="X1554" s="35" t="str">
        <f t="shared" si="270"/>
        <v>#N/A</v>
      </c>
      <c r="Y1554" s="35" t="str">
        <f t="shared" si="271"/>
        <v>#N/A</v>
      </c>
      <c r="Z1554" s="40" t="str">
        <f t="shared" si="272"/>
        <v>#N/A</v>
      </c>
      <c r="AA1554" s="34" t="str">
        <f t="shared" si="273"/>
        <v>#N/A</v>
      </c>
      <c r="AB1554" s="41" t="str">
        <f t="shared" si="274"/>
        <v>#N/A</v>
      </c>
      <c r="AC1554" s="42" t="b">
        <v>0</v>
      </c>
      <c r="AD1554" s="87" t="str">
        <f t="shared" si="275"/>
        <v>EUR</v>
      </c>
      <c r="AE1554" s="88" t="s">
        <v>138</v>
      </c>
      <c r="AF1554" s="88" t="str">
        <f t="array" ref="AF1554">INDEX('Deal Info'!D:D, MATCH(A1554,'Deal Info'!A:A, 0))</f>
        <v>#N/A</v>
      </c>
      <c r="AG1554" s="89" t="str">
        <f t="array" ref="AG1554">INDEX('Deal Info'!G:G, MATCH(A1554,'Deal Info'!A:A, 0))</f>
        <v>#N/A</v>
      </c>
    </row>
    <row r="1555" hidden="1">
      <c r="A1555" s="23" t="b">
        <f t="array" ref="A1555">if(G1555='Room Info'!$B$1, INDEX('Room Info'!$A$2:$A3446, MATCH(B1555,'Room Info'!$B$2:$B3446, 0)),if(G1555='Room Info'!$C$1, INDEX('Room Info'!$A$2:$A3446, MATCH(B1555,'Room Info'!$C$2:$C3446, 0)),if(G1555='Room Info'!$D$1, INDEX('Room Info'!$A$2:$A3446, MATCH(B1555,'Room Info'!$D$2:$D3446, 0)),if(G1555='Room Info'!$E$1, INDEX('Room Info'!$A$2:$A3446, MATCH(B1555,'Room Info'!$E$2:$E3446, 0)),if(G1555='Room Info'!$F$1, INDEX('Room Info'!$A$2:$A3446, MATCH(B1555,'Room Info'!$F$2:$F3446, 0)),if(G1555='Room Info'!$H$1, INDEX('Room Info'!$A$2:$A3446, MATCH(B1555,'Room Info'!$H$2:$H3446, 0)),if(G1555='Room Info'!$G$1, INDEX('Room Info'!$A$2:$A3446, MATCH(B1555,'Room Info'!$G$2:$G3446, 0)))))))))</f>
        <v>0</v>
      </c>
      <c r="B1555" s="101" t="s">
        <v>234</v>
      </c>
      <c r="C1555" s="51">
        <v>44975.0</v>
      </c>
      <c r="D1555" s="115">
        <v>44985.0</v>
      </c>
      <c r="E1555" s="85">
        <v>44958.0</v>
      </c>
      <c r="F1555" s="101" t="s">
        <v>8</v>
      </c>
      <c r="G1555" s="23" t="s">
        <v>19</v>
      </c>
      <c r="H1555" s="54" t="s">
        <v>77</v>
      </c>
      <c r="I1555" s="105" t="s">
        <v>7</v>
      </c>
      <c r="J1555" s="44">
        <f t="shared" si="267"/>
        <v>50</v>
      </c>
      <c r="K1555" s="56">
        <v>186.0</v>
      </c>
      <c r="L1555" s="117"/>
      <c r="M1555" s="67"/>
      <c r="N1555" s="33">
        <f t="shared" si="276"/>
        <v>9300</v>
      </c>
      <c r="O1555" s="70"/>
      <c r="P1555" s="34">
        <f t="shared" si="277"/>
        <v>0</v>
      </c>
      <c r="Q1555" s="107">
        <v>0.47</v>
      </c>
      <c r="R1555" s="36">
        <f t="shared" si="268"/>
        <v>305.97</v>
      </c>
      <c r="S1555" s="113">
        <f>-612*0.83</f>
        <v>-507.96</v>
      </c>
      <c r="T1555" s="37">
        <f t="shared" si="269"/>
        <v>-201.99</v>
      </c>
      <c r="U1555" s="62">
        <v>1.062</v>
      </c>
      <c r="V1555" s="63"/>
      <c r="W1555" s="63"/>
      <c r="X1555" s="35" t="str">
        <f t="shared" si="270"/>
        <v>#N/A</v>
      </c>
      <c r="Y1555" s="35" t="str">
        <f t="shared" si="271"/>
        <v>#N/A</v>
      </c>
      <c r="Z1555" s="40" t="str">
        <f t="shared" si="272"/>
        <v>#N/A</v>
      </c>
      <c r="AA1555" s="34" t="str">
        <f t="shared" si="273"/>
        <v>#N/A</v>
      </c>
      <c r="AB1555" s="41" t="str">
        <f t="shared" si="274"/>
        <v>#N/A</v>
      </c>
      <c r="AC1555" s="42" t="b">
        <v>0</v>
      </c>
      <c r="AD1555" s="87" t="str">
        <f t="shared" si="275"/>
        <v>EUR</v>
      </c>
      <c r="AE1555" s="88" t="s">
        <v>138</v>
      </c>
      <c r="AF1555" s="88" t="str">
        <f t="array" ref="AF1555">INDEX('Deal Info'!D:D, MATCH(A1555,'Deal Info'!A:A, 0))</f>
        <v>#N/A</v>
      </c>
      <c r="AG1555" s="89" t="str">
        <f t="array" ref="AG1555">INDEX('Deal Info'!G:G, MATCH(A1555,'Deal Info'!A:A, 0))</f>
        <v>#N/A</v>
      </c>
    </row>
    <row r="1556" hidden="1">
      <c r="A1556" s="23" t="b">
        <f t="array" ref="A1556">if(G1556='Room Info'!$B$1, INDEX('Room Info'!$A$2:$A3446, MATCH(B1556,'Room Info'!$B$2:$B3446, 0)),if(G1556='Room Info'!$C$1, INDEX('Room Info'!$A$2:$A3446, MATCH(B1556,'Room Info'!$C$2:$C3446, 0)),if(G1556='Room Info'!$D$1, INDEX('Room Info'!$A$2:$A3446, MATCH(B1556,'Room Info'!$D$2:$D3446, 0)),if(G1556='Room Info'!$E$1, INDEX('Room Info'!$A$2:$A3446, MATCH(B1556,'Room Info'!$E$2:$E3446, 0)),if(G1556='Room Info'!$F$1, INDEX('Room Info'!$A$2:$A3446, MATCH(B1556,'Room Info'!$F$2:$F3446, 0)),if(G1556='Room Info'!$H$1, INDEX('Room Info'!$A$2:$A3446, MATCH(B1556,'Room Info'!$H$2:$H3446, 0)),if(G1556='Room Info'!$G$1, INDEX('Room Info'!$A$2:$A3446, MATCH(B1556,'Room Info'!$G$2:$G3446, 0)))))))))</f>
        <v>0</v>
      </c>
      <c r="B1556" s="101" t="s">
        <v>234</v>
      </c>
      <c r="C1556" s="51">
        <v>44975.0</v>
      </c>
      <c r="D1556" s="115">
        <v>44985.0</v>
      </c>
      <c r="E1556" s="85">
        <v>44958.0</v>
      </c>
      <c r="F1556" s="101" t="s">
        <v>8</v>
      </c>
      <c r="G1556" s="70" t="s">
        <v>19</v>
      </c>
      <c r="H1556" s="54" t="s">
        <v>89</v>
      </c>
      <c r="I1556" s="105" t="s">
        <v>7</v>
      </c>
      <c r="J1556" s="44">
        <f t="shared" si="267"/>
        <v>100</v>
      </c>
      <c r="K1556" s="56">
        <v>528.0</v>
      </c>
      <c r="L1556" s="117"/>
      <c r="M1556" s="67"/>
      <c r="N1556" s="33">
        <f t="shared" si="276"/>
        <v>52800</v>
      </c>
      <c r="O1556" s="70"/>
      <c r="P1556" s="34">
        <f t="shared" si="277"/>
        <v>0</v>
      </c>
      <c r="Q1556" s="107">
        <v>0.47</v>
      </c>
      <c r="R1556" s="36">
        <f t="shared" si="268"/>
        <v>1737.12</v>
      </c>
      <c r="S1556" s="113">
        <f>-5226*0.83</f>
        <v>-4337.58</v>
      </c>
      <c r="T1556" s="37">
        <f t="shared" si="269"/>
        <v>-2600.46</v>
      </c>
      <c r="U1556" s="62">
        <v>1.062</v>
      </c>
      <c r="V1556" s="63"/>
      <c r="W1556" s="63"/>
      <c r="X1556" s="35" t="str">
        <f t="shared" si="270"/>
        <v>#N/A</v>
      </c>
      <c r="Y1556" s="35" t="str">
        <f t="shared" si="271"/>
        <v>#N/A</v>
      </c>
      <c r="Z1556" s="40" t="str">
        <f t="shared" si="272"/>
        <v>#N/A</v>
      </c>
      <c r="AA1556" s="34" t="str">
        <f t="shared" si="273"/>
        <v>#N/A</v>
      </c>
      <c r="AB1556" s="41" t="str">
        <f t="shared" si="274"/>
        <v>#N/A</v>
      </c>
      <c r="AC1556" s="42" t="b">
        <v>0</v>
      </c>
      <c r="AD1556" s="87" t="str">
        <f t="shared" si="275"/>
        <v>EUR</v>
      </c>
      <c r="AE1556" s="88" t="s">
        <v>138</v>
      </c>
      <c r="AF1556" s="88" t="str">
        <f t="array" ref="AF1556">INDEX('Deal Info'!D:D, MATCH(A1556,'Deal Info'!A:A, 0))</f>
        <v>#N/A</v>
      </c>
      <c r="AG1556" s="89" t="str">
        <f t="array" ref="AG1556">INDEX('Deal Info'!G:G, MATCH(A1556,'Deal Info'!A:A, 0))</f>
        <v>#N/A</v>
      </c>
    </row>
    <row r="1557" hidden="1">
      <c r="A1557" s="23" t="str">
        <f t="array" ref="A1557">if(G1557='Room Info'!$B$1, INDEX('Room Info'!$A$2:$A3446, MATCH(B1557,'Room Info'!$B$2:$B3446, 0)),if(G1557='Room Info'!$C$1, INDEX('Room Info'!$A$2:$A3446, MATCH(B1557,'Room Info'!$C$2:$C3446, 0)),if(G1557='Room Info'!$D$1, INDEX('Room Info'!$A$2:$A3446, MATCH(B1557,'Room Info'!$D$2:$D3446, 0)),if(G1557='Room Info'!$E$1, INDEX('Room Info'!$A$2:$A3446, MATCH(B1557,'Room Info'!$E$2:$E3446, 0)),if(G1557='Room Info'!$F$1, INDEX('Room Info'!$A$2:$A3446, MATCH(B1557,'Room Info'!$F$2:$F3446, 0)),if(G1557='Room Info'!$H$1, INDEX('Room Info'!$A$2:$A3446, MATCH(B1557,'Room Info'!$H$2:$H3446, 0)),if(G1557='Room Info'!$G$1, INDEX('Room Info'!$A$2:$A3446, MATCH(B1557,'Room Info'!$G$2:$G3446, 0)))))))))</f>
        <v>Mackevgen</v>
      </c>
      <c r="B1557" s="50" t="s">
        <v>172</v>
      </c>
      <c r="C1557" s="51">
        <v>44835.0</v>
      </c>
      <c r="D1557" s="51">
        <v>44865.0</v>
      </c>
      <c r="E1557" s="52">
        <v>44835.0</v>
      </c>
      <c r="F1557" s="53" t="s">
        <v>8</v>
      </c>
      <c r="G1557" s="59" t="s">
        <v>9</v>
      </c>
      <c r="H1557" s="54" t="s">
        <v>50</v>
      </c>
      <c r="I1557" s="54" t="s">
        <v>21</v>
      </c>
      <c r="J1557" s="55">
        <v>10.0</v>
      </c>
      <c r="K1557" s="56">
        <v>2.0</v>
      </c>
      <c r="L1557" s="57">
        <v>0.0</v>
      </c>
      <c r="M1557" s="58">
        <v>66.0</v>
      </c>
      <c r="N1557" s="33">
        <f t="shared" si="276"/>
        <v>20</v>
      </c>
      <c r="O1557" s="59">
        <v>649.0</v>
      </c>
      <c r="P1557" s="34">
        <f t="shared" si="277"/>
        <v>324.5</v>
      </c>
      <c r="Q1557" s="60"/>
      <c r="R1557" s="36">
        <f t="shared" ref="R1557:R1558" si="278">M1557+Q1557</f>
        <v>66</v>
      </c>
      <c r="S1557" s="61">
        <v>10.0</v>
      </c>
      <c r="T1557" s="37">
        <f t="shared" ref="T1557:T1558" si="279">R1557+S1557+if(F1557="Without EV deal",L1557,0)</f>
        <v>76</v>
      </c>
      <c r="U1557" s="62">
        <v>1.0</v>
      </c>
      <c r="V1557" s="63"/>
      <c r="W1557" s="63"/>
      <c r="X1557" s="83">
        <v>0.23</v>
      </c>
      <c r="Y1557" s="35">
        <f t="shared" ref="Y1557:Y1558" si="280">if(AG1557="None",0,if(AG1557="Fix5",0.05, if(AG1557="Fix6.25",0.0625,if(AG1557="Fix3.75",0.0375,if(AG1557="Fix10",0.1,if(AG1557="Fix3",0.03,0))))))</f>
        <v>0.1</v>
      </c>
      <c r="Z1557" s="40">
        <f t="shared" ref="Z1557:Z1558" si="281">T1557-AA1557-AB1557</f>
        <v>51.4</v>
      </c>
      <c r="AA1557" s="65">
        <v>17.0</v>
      </c>
      <c r="AB1557" s="41">
        <f t="shared" ref="AB1557:AB1558" si="282">if(AD1557="EUR",((T1557-R1557)*Y1557)*U1557+(R1557*Y1557),(T1557*Y1557))</f>
        <v>7.6</v>
      </c>
      <c r="AC1557" s="42" t="b">
        <v>1</v>
      </c>
      <c r="AD1557" s="42" t="s">
        <v>138</v>
      </c>
      <c r="AE1557" s="42" t="s">
        <v>138</v>
      </c>
      <c r="AF1557" s="42" t="str">
        <f t="array" ref="AF1557">INDEX('Deal Info'!D:D, MATCH(A1557,'Deal Info'!A:A, 0))</f>
        <v>DoEV</v>
      </c>
      <c r="AG1557" s="43" t="str">
        <f t="array" ref="AG1557">INDEX('Deal Info'!G:G, MATCH(A1557,'Deal Info'!A:A, 0))</f>
        <v>Fix10</v>
      </c>
    </row>
    <row r="1558" hidden="1">
      <c r="A1558" s="23" t="str">
        <f t="array" ref="A1558">if(G1558='Room Info'!$B$1, INDEX('Room Info'!$A$2:$A3446, MATCH(B1558,'Room Info'!$B$2:$B3446, 0)),if(G1558='Room Info'!$C$1, INDEX('Room Info'!$A$2:$A3446, MATCH(B1558,'Room Info'!$C$2:$C3446, 0)),if(G1558='Room Info'!$D$1, INDEX('Room Info'!$A$2:$A3446, MATCH(B1558,'Room Info'!$D$2:$D3446, 0)),if(G1558='Room Info'!$E$1, INDEX('Room Info'!$A$2:$A3446, MATCH(B1558,'Room Info'!$E$2:$E3446, 0)),if(G1558='Room Info'!$F$1, INDEX('Room Info'!$A$2:$A3446, MATCH(B1558,'Room Info'!$F$2:$F3446, 0)),if(G1558='Room Info'!$H$1, INDEX('Room Info'!$A$2:$A3446, MATCH(B1558,'Room Info'!$H$2:$H3446, 0)),if(G1558='Room Info'!$G$1, INDEX('Room Info'!$A$2:$A3446, MATCH(B1558,'Room Info'!$G$2:$G3446, 0)))))))))</f>
        <v>Mackevgen</v>
      </c>
      <c r="B1558" s="50" t="s">
        <v>172</v>
      </c>
      <c r="C1558" s="51">
        <v>44866.0</v>
      </c>
      <c r="D1558" s="51">
        <v>44883.0</v>
      </c>
      <c r="E1558" s="52">
        <v>44866.0</v>
      </c>
      <c r="F1558" s="53" t="s">
        <v>8</v>
      </c>
      <c r="G1558" s="59" t="s">
        <v>9</v>
      </c>
      <c r="H1558" s="54" t="s">
        <v>50</v>
      </c>
      <c r="I1558" s="54" t="s">
        <v>21</v>
      </c>
      <c r="J1558" s="55">
        <v>10.0</v>
      </c>
      <c r="K1558" s="56">
        <v>350.0</v>
      </c>
      <c r="L1558" s="57">
        <v>130.0</v>
      </c>
      <c r="M1558" s="58">
        <v>3816.0</v>
      </c>
      <c r="N1558" s="33">
        <f t="shared" si="276"/>
        <v>3500</v>
      </c>
      <c r="O1558" s="59">
        <v>35872.0</v>
      </c>
      <c r="P1558" s="34">
        <f t="shared" si="277"/>
        <v>102.4914286</v>
      </c>
      <c r="Q1558" s="60"/>
      <c r="R1558" s="36">
        <f t="shared" si="278"/>
        <v>3816</v>
      </c>
      <c r="S1558" s="61">
        <v>338.0</v>
      </c>
      <c r="T1558" s="37">
        <f t="shared" si="279"/>
        <v>4154</v>
      </c>
      <c r="U1558" s="62">
        <v>1.0</v>
      </c>
      <c r="V1558" s="63"/>
      <c r="W1558" s="63"/>
      <c r="X1558" s="83">
        <v>0.17</v>
      </c>
      <c r="Y1558" s="35">
        <f t="shared" si="280"/>
        <v>0.1</v>
      </c>
      <c r="Z1558" s="40">
        <f t="shared" si="281"/>
        <v>3032.6</v>
      </c>
      <c r="AA1558" s="65">
        <v>706.0</v>
      </c>
      <c r="AB1558" s="41">
        <f t="shared" si="282"/>
        <v>415.4</v>
      </c>
      <c r="AC1558" s="42" t="b">
        <v>1</v>
      </c>
      <c r="AD1558" s="42" t="s">
        <v>138</v>
      </c>
      <c r="AE1558" s="42" t="s">
        <v>138</v>
      </c>
      <c r="AF1558" s="42" t="str">
        <f t="array" ref="AF1558">INDEX('Deal Info'!D:D, MATCH(A1558,'Deal Info'!A:A, 0))</f>
        <v>DoEV</v>
      </c>
      <c r="AG1558" s="43" t="str">
        <f t="array" ref="AG1558">INDEX('Deal Info'!G:G, MATCH(A1558,'Deal Info'!A:A, 0))</f>
        <v>Fix10</v>
      </c>
    </row>
    <row r="1559" hidden="1">
      <c r="A1559" s="136" t="s">
        <v>210</v>
      </c>
      <c r="B1559" s="50" t="s">
        <v>210</v>
      </c>
      <c r="C1559" s="115">
        <v>44958.0</v>
      </c>
      <c r="D1559" s="115">
        <v>44985.0</v>
      </c>
      <c r="E1559" s="85">
        <v>44958.0</v>
      </c>
      <c r="F1559" s="53" t="s">
        <v>4</v>
      </c>
      <c r="G1559" s="70"/>
      <c r="H1559" s="5"/>
      <c r="I1559" s="114"/>
      <c r="J1559" s="44" t="str">
        <f>iferror(if(H1559="$0.25",0.25, 
if(H1559="$0.25 Flash",0.25, 
if(H1559 = "$1", 1, 
if(H1559 = "$1 Flash", 1, 
if(H1559 = "$2", 2, 
if( H1559 = "$2 Flash" , 2, 
if( H1559= "$3", 3, 
if( H1559= "$3 Ultra", 3, 
if( H1559= "$5", 5, 
if( H1559= "$5 (1M)", 5, 
if( H1559= "$5 (1M) Flash", 5, 
if( H1559= "$5 Flash", 5, 
if( H1559= "$5 Flash (1M)", 5,
if( H1559= "$10", 10,
if( H1559= "$10 (1M)", 10,
if( H1559= "$10 (1M) (old)", 10,
if( H1559= "$10 Flash", 10,
if( H1559= "$10 Ultra", 10,
if( H1559= "$20", 20,
if( H1559= "$20 Ultra", 20,
if( H1559= "$25", 25,
if( H1559= "$25 Flash", 25,
if( H1559= "$50", 50,
if( H1559= "$50 Flash", 50,
if( H1559= "$50 Ultra", 50,
if( H1559= "$100", 100,
if( H1559= "$100 Flash", 100,
if( H1559= "$100 HUHT", 100,
if( H1559= "$100 Ultra", 100,
if( H1559= "$200", 200,
if( H1559= "$200 HUHT", 200,
if( H1559= "$250", 250,
if( H1559= "$250 Flash", 250,
if( H1559= "$300 HUHT", 300,
if( H1559= "$500", 500,
if( H1559= "$500 Flash", 500,
if( H1559 = "$500 HUHT",500,
if( H1559= "$1000", 1000,
if( H1559= "€0.25 Flash", 0.25,
if( H1559="€0.25(nitro) new",0.25,
if( H1559= "€1", 1,
if( H1559= "€2", 2,
if( H1559= "€5", 5,
if( H1559= "€5 (1M)", 5,
if( H1559= "€5 (bf 01.08)", 5,
if( H1559= "€5 (bf 05.05)", 5,
if( H1559= "€5 Nitro", 5,
if( H1559= "€5(wx) new", 5,
if( H1559= "€10", 10,
if( H1559= "€10 (1M)", 10,
if( H1559= "€10 (bf 01.08)", 10,
if( H1559= "€10 (bf 05.05)", 10,
if( H1559= "€10 (MP)", 10,
if( H1559= "€10 (old)", 10,
if( H1559= "€10 Nitro (bf 05.05)", 10,
if( H1559= "€10 Nitro (old)", 10,
if( H1559= "€10(wx) new", 10,
if( H1559= "€20", 20,
if( H1559= "€25", 25, 
if( H1559= "€25 (bf 01.08)", 25, 
if( H1559= "€25 (bf 05.05)", 25, 
if( H1559= "€25 (MP)", 25, 
if( H1559= "€25 (old)", 25,
if( H1559= "€25 Nitro", 25,
if( H1559= "€25 Nitro (bf 01.08)", 25,
if( H1559= "€25 Nitro (bf 05.05)", 25,
if( H1559= "€25(nitro) new", 25,
if( H1559= "€25(wx) new", 25,
if( H1559= "€50", 50,
if( H1559= "€50 (bf 01.08)", 50,
if( H1559= "€50 (bf 05.05)", 50,
if( H1559= "€50 (old)", 50,
if( H1559= "€50 Nitro", 50,
if( H1559= "€50 Nitro (bf 01.08)", 50,
if( H1559= "€50 Nitro (bf 05.05)", 50,
if( H1559= "€50(wx) new", 50,
if( H1559= "€100", 100,
if( H1559= "€100 (old)", 100,
if( H1559= "€100 Nitro", 100,
if( H1559= "€100 Nitro (old)", 100,
if( H1559= "€200", 200,
if( H1559= "€250", 250,
if( H1559= "€250 Nitro", 250,
if( H1559= "€500", 500,
if( H1559= "€500 Nitro", 500,
if( H1559= "1000 rub", 1000,
if( H1559= "2500 rub", 2500,
if( H1559= "5000 rub", 5000,"")))))))))))))))))))))))))))))))))))))))))))))))))))))))))))))))))))))))))))))))))))))))))</f>
        <v/>
      </c>
      <c r="K1559" s="116"/>
      <c r="L1559" s="117"/>
      <c r="M1559" s="67"/>
      <c r="N1559" s="33">
        <f t="shared" si="276"/>
        <v>0</v>
      </c>
      <c r="O1559" s="70"/>
      <c r="P1559" s="34" t="str">
        <f t="shared" si="277"/>
        <v/>
      </c>
      <c r="Q1559" s="60"/>
      <c r="R1559" s="36">
        <f t="shared" ref="R1559:R1601" si="283">M1559+Q1559*J1559*K1559*0.07</f>
        <v>0</v>
      </c>
      <c r="S1559" s="71"/>
      <c r="T1559" s="37">
        <f t="shared" ref="T1559:T1601" si="284">IF(AND(AD1559="EUR", F1559="Without EV deal"), R1559 + L1559, 
IF(AND(AD1559="USD", F1559="Without EV deal"), R1559 + L1559, 
IF(AND(AD1559="EUR", F1559="Steel Phoenix"), R1559 + S1559/U1559, 
R1559 + S1559)))</f>
        <v>0</v>
      </c>
      <c r="U1559" s="62">
        <v>1.0617</v>
      </c>
      <c r="V1559" s="63"/>
      <c r="W1559" s="63"/>
      <c r="X1559" s="35">
        <f t="shared" ref="X1559:X1601" si="285">IF(AF1559="DoEV",IF(AND(V1559&lt;20,W1559&lt;55),0.3,0)+IF(AND(V1559&lt;20,W1559&gt;=55,W1559&lt;105),0.23,0)+IF(AND(V1559&lt;20,W1559&gt;=105),0.17,0)+IF(AND(V1559&gt;=20,V1559&lt;40,W1559&lt;45),0.3,0)+IF(AND(V1559&gt;=20,V1559&lt;40,W1559&gt;=45,W1559&lt;95),0.23,0)+IF(AND(V1559&gt;=20,V1559&lt;40,W1559&gt;=95),0.17,0)+IF(AND(V1559&gt;=40,V1559&lt;75,W1559&lt;35),0.3,0)+IF(AND(V1559&gt;=40,V1559&lt;75,W1559&gt;=35,W1559&lt;75),0.23,0)+IF(AND(V1559&gt;=40,V1559&lt;75,W1559&gt;=75,W1559&lt;120),0.17,0)+IF(AND(V1559&gt;=40,V1559&lt;75,W1559&gt;=120),0.12,0)+IF(AND(V1559&gt;=75,V1559&lt;175,W1559&lt;35),0.3,0)+IF(AND(V1559&gt;=75,V1559&lt;=175,W1559&gt;=35,W1559&lt;65),0.23,0)+IF(AND(V1559&gt;=75,V1559&lt;=175,W1559&gt;=65,W1559&lt;110),0.17,0)+IF(AND(V1559&gt;=75,V1559&lt;=175,W1559&gt;=110),0.12,0)+IF(AND(V1559&gt;175,W1559&lt;25),0.3,0)+IF(AND(V1559&gt;175,W1559&gt;=25,W1559&lt;55),0.23,0)+IF(AND(V1559&gt;175,W1559&gt;=55,W1559&lt;95),0.17,0)+IF(AND(V1559&gt;175,W1559&gt;=95),0.12,0),
IF(AF1559="Fix15",0.15,
IF(AF1559="Fix5",0.05,
if(AF1559="Fix18.75",0.1875,
IF(AF1559="Fix11.25",0.1125,
IF(AF1559="Fix10",0.1,
IF(AF1559="Fix9",0.09,
IF(AF1559="Fix12",0.12,
IF(AF1559="Fix19",0.19,
IF(AF1559="DoEV2017",IF(AND(W1559&lt;74),0.2,0)+IF(AND(W1559&gt;=74),0.17,0),
IF(AF1559="SF",IF(AND(V1559&lt;20,W1559&lt;89),0.3,0)+IF(AND(V1559&lt;20,W1559&gt;=89),0.25,0)+IF(AND(V1559&gt;=20,V1559&lt;40,W1559&lt;74),0.3,0)+IF(AND(V1559&gt;=20,V1559&lt;40,W1559&gt;=75),0.22,0)+IF(AND(V1559&gt;=40,V1559&lt;75,W1559&lt;75),0.26,0)+IF(AND(V1559&gt;=40,V1559&lt;75,W1559&gt;=75),0.22,0)+IF(V1559&gt;=75,0.22,0),
IF(AF1559="DoEVold",IF(AND(V1559&lt;40,W1559&lt;35),0.35,0)+IF(AND(V1559&lt;40,W1559&gt;=35,W1559&lt;75),0.25,0)+IF(AND(V1559&lt;40,W1559&gt;=75),0.17,0)+IF(AND(V1559&gt;=40,V1559&lt;75,W1559&lt;25),0.35,0)+IF(AND(V1559&gt;=40,V1559&lt;75,W1559&gt;=25,W1559&lt;65),0.25,0)+IF(AND(V1559&gt;=40,V1559&lt;75,W1559&gt;=65,W1559&lt;100),0.17,0)+IF(AND(V1559&gt;=40,V1559&lt;75,W1559&gt;=100),0.1,0)+IF(AND(V1559&gt;=75,W1559&lt;25),0.35,0)+IF(AND(V1559&gt;=75,W1559&gt;=25,W1559&lt;60),0.25,0)+IF(AND(V1559&gt;=75,W1559&gt;=60,W1559&lt;95),0.17,0)+IF(AND(V1559&gt;=75,W1559&gt;=95),0.1,0),
IF(AF1559="DoEVold15",IF(AND(V1559&lt;=40,W1559&lt;35),0.35,0)+IF(AND(V1559&lt;=40,W1559&gt;=35,W1559&lt;75),0.25,0)+IF(AND(V1559&lt;=40,W1559&gt;=75,W1559&lt;120),0.17,0)+IF(AND(V1559&lt;=40,W1559&gt;=120),0.15,0)+IF(AND(V1559&gt;40,V1559&lt;75,W1559&lt;25),0.35,0)+IF(AND(V1559&gt;=40,V1559&lt;75,W1559&gt;=25,W1559&lt;65),0.25,0)+IF(AND(V1559&gt;=40,V1559&lt;75,W1559&gt;=65,W1559&lt;100),0.17,0)+IF(AND(V1559&gt;=40,V1559&lt;75,W1559&gt;=100),0.1,0)+IF(AND(V1559&gt;=75,W1559&lt;25),0.35,0)+IF(AND(V1559&gt;=75,W1559&gt;=25,W1559&lt;60),0.25,0)+IF(AND(V1559&gt;=75,W1559&gt;=60,W1559&lt;95),0.17,0)+IF(AND(V1559&gt;=75,W1559&gt;=95),0.1,0),
IF(AF1559="DoEVba",IF(AND(V1559&lt;20,W1559&lt;105),0.2,0)+IF(AND(V1559&lt;20,W1559&gt;=105),0.15,0)+IF(AND(V1559&gt;=20,V1559&lt;40,W1559&lt;95),0.2,0)+IF(AND(V1559&gt;=20,V1559&lt;40,W1559&gt;=95,W1559&lt;150),0.15,0)+IF(AND(V1559&gt;=20,V1559&lt;40,W1559&gt;=150),0.12,0)+IF(AND(V1559&gt;=40,V1559&lt;75,W1559&lt;75),0.2,0)+IF(AND(V1559&gt;=40,V1559&lt;75,W1559&gt;=75,W1559&lt;120),0.15,0)+IF(AND(V1559&gt;=40,V1559&lt;75,W1559&gt;=120),0.12,0)+IF(AND(V1559&gt;=75,V1559&lt;175,W1559&lt;65),0.2,0)+IF(AND(V1559&gt;=75,V1559&lt;175,W1559&gt;=65,W1559&lt;110),0.15,0)+IF(AND(V1559&gt;=75,V1559&lt;175,W1559&gt;=110),0.12,0)+IF(AND(V1559&gt;=175,W1559&lt;55),0.2,0)+IF(AND(V1559&gt;=175,W1559&gt;=55,W1559&lt;95),0.15,0)+IF(AND(V1559&gt;=175,W1559&gt;=95),0.12,0),
IF(AF1559="DoEVku",IF(AND(V1559&lt;20,W1559&lt;55),0.23,0)+IF(AND(V1559&lt;20,W1559&gt;=55,W1559&lt;105),0.2,0)+IF(AND(V1559&lt;20,W1559&gt;=105),0.17,0)+IF(AND(V1559&gt;=20,V1559&lt;40,W1559&lt;45),0.23,0)+IF(AND(V1559&gt;=20,V1559&lt;40,W1559&gt;=45,W1559&lt;95),0.2,0)+IF(AND(V1559&gt;=20,V1559&lt;40,W1559&gt;=95,W1559&lt;=150),0.17,0)+IF(AND(V1559&gt;=20,V1559&lt;40,W1559&gt;=150),0.12,0)+IF(AND(V1559&gt;=40,V1559&lt;75,W1559&lt;35),0.23,0)+IF(AND(V1559&gt;=40,V1559&lt;75,W1559&gt;=35,W1559&lt;75),0.2,0)+IF(AND(V1559&gt;=40,V1559&lt;75,W1559&gt;=75,W1559&lt;120),0.17,0)+IF(AND(V1559&gt;=40,V1559&lt;75,W1559&gt;=120),0.12,0)+IF(AND(V1559&gt;=75,V1559&lt;175,W1559&lt;35),0.23,0)+IF(AND(V1559&gt;=75,V1559&lt;=175,W1559&gt;=35,W1559&lt;65),0.2,0)+IF(AND(V1559&gt;=75,V1559&lt;=175,W1559&gt;=65,W1559&lt;110),0.17,0)+IF(AND(V1559&gt;=75,V1559&lt;=175,W1559&gt;=110),0.12,0)+IF(AND(V1559&gt;175,W1559&lt;25),0.23,0)+IF(AND(V1559&gt;175,W1559&gt;=25,W1559&lt;55),0.2,0)+IF(AND(V1559&gt;175,W1559&gt;=55,W1559&lt;95),0.17,0)+IF(AND(V1559&gt;175,W1559&gt;=95),0.12,0),
IF(AF1559="DoEVs1",IF(AND(V1559&lt;20,W1559&lt;55),0.3,0)+IF(AND(V1559&lt;20,W1559&gt;=55,W1559&lt;105),0.23,0)+IF(AND(V1559&lt;20,W1559&gt;=105),0.17,0)+IF(AND(V1559&gt;=20,V1559&lt;40,W1559&lt;45),0.3,0)+IF(AND(V1559&gt;=20,V1559&lt;40,W1559&gt;=45,W1559&lt;95),0.23,0)+IF(AND(V1559&gt;=20,V1559&lt;40,W1559&gt;=95,W1559&lt;=150),0.17,0)+IF(AND(V1559&gt;=20,V1559&lt;40,W1559&gt;=150),0.12,0)+IF(AND(V1559&gt;=40,V1559&lt;75,W1559&lt;35),0.3,0)+IF(AND(V1559&gt;=40,V1559&lt;75,W1559&gt;=35,W1559&lt;75),0.23,0)+IF(AND(V1559&gt;=40,V1559&lt;75,W1559&gt;=75,W1559&lt;120),0.17,0)+IF(AND(V1559&gt;=40,V1559&lt;75,W1559&gt;=120),0.12,0)+IF(AND(V1559&gt;=75,V1559&lt;175,W1559&lt;35),0.3,0)+IF(AND(V1559&gt;=75,V1559&lt;=175,W1559&gt;=35,W1559&lt;65),0.23,0)+IF(AND(V1559&gt;=75,V1559&lt;=175,W1559&gt;=65,W1559&lt;110),0.17,0)+IF(AND(V1559&gt;=75,V1559&lt;=175,W1559&gt;=110),0.12,0)+IF(AND(V1559&gt;175,W1559&lt;25),0.3,0)+IF(AND(V1559&gt;175,W1559&gt;=25,W1559&lt;55),0.23,0)+IF(AND(V1559&gt;175,W1559&gt;=55,W1559&lt;95),0.17,0)+IF(AND(V1559&gt;175,W1559&gt;=95),0.12,0),
IF(AF1559="DoEVsu",IF(AND(V1559&lt;20,W1559&lt;55),0.3,0)+IF(AND(V1559&lt;20,W1559&gt;=55,W1559&lt;105),0.23,0)+IF(AND(V1559&lt;20,W1559&gt;=105),0.17,0)+IF(AND(V1559&gt;=20,V1559&lt;40,W1559&lt;45),0.3,0)+IF(AND(V1559&gt;=20,V1559&lt;40,W1559&gt;=45,W1559&lt;95),0.23,0)+IF(AND(V1559&gt;=20,V1559&lt;40,W1559&gt;=95,W1559&lt;=250),0.17,0)+IF(AND(V1559&gt;=20,V1559&lt;40,W1559&gt;=250),0.12,0)+IF(AND(V1559&gt;=40,V1559&lt;75,W1559&lt;35),0.3,0)+IF(AND(V1559&gt;=40,V1559&lt;75,W1559&gt;=35,W1559&lt;75),0.23,0)+IF(AND(V1559&gt;=40,V1559&lt;75,W1559&gt;=75,W1559&lt;120),0.17,0)+IF(AND(V1559&gt;=40,V1559&lt;75,W1559&gt;=120),0.12,0)+IF(AND(V1559&gt;=75,V1559&lt;175,W1559&lt;35),0.3,0)+IF(AND(V1559&gt;=75,V1559&lt;=175,W1559&gt;=35,W1559&lt;65),0.23,0)+IF(AND(V1559&gt;=75,V1559&lt;=175,W1559&gt;=65,W1559&lt;110),0.17,0)+IF(AND(V1559&gt;=75,V1559&lt;=175,W1559&gt;=110),0.12,0)+IF(AND(V1559&gt;175,W1559&lt;25),0.3,0)+IF(AND(V1559&gt;175,W1559&gt;=25,W1559&lt;55),0.23,0)+IF(AND(V1559&gt;175,W1559&gt;=55,W1559&lt;95),0.17,0)+IF(AND(V1559&gt;175,W1559&gt;=95),0.12,0),
IF(AF1559="DoEVni",IF(AND(V1559&lt;20,W1559&lt;55),0.3,0)+IF(AND(V1559&lt;20,W1559&gt;=55,W1559&lt;105),0.23,0)+IF(AND(V1559&lt;20,W1559&gt;=105),0.17,0)+IF(AND(V1559&gt;=20,V1559&lt;40,W1559&lt;45),0.3,0)+IF(AND(V1559&gt;=20,V1559&lt;40,W1559&gt;=45,W1559&lt;95),0.23,0)+IF(AND(V1559&gt;=20,V1559&lt;40,W1559&gt;=95,W1559&lt;=200),0.17,0)+IF(AND(V1559&gt;=20,V1559&lt;40,W1559&gt;=200),0.12,0)+IF(AND(V1559&gt;=40,V1559&lt;75,W1559&lt;35),0.3,0)+IF(AND(V1559&gt;=40,V1559&lt;75,W1559&gt;=35,W1559&lt;75),0.23,0)+IF(AND(V1559&gt;=40,V1559&lt;75,W1559&gt;=75,W1559&lt;120),0.17,0)+IF(AND(V1559&gt;=40,V1559&lt;75,W1559&gt;=120),0.12,0)+IF(AND(V1559&gt;=75,V1559&lt;175,W1559&lt;35),0.3,0)+IF(AND(V1559&gt;=75,V1559&lt;=175,W1559&gt;=35,W1559&lt;65),0.23,0)+IF(AND(V1559&gt;=75,V1559&lt;=175,W1559&gt;=65,W1559&lt;110),0.17,0)+IF(AND(V1559&gt;=75,V1559&lt;=175,W1559&gt;=110),0.12,0)+IF(AND(V1559&gt;175,W1559&lt;25),0.3,0)+IF(AND(V1559&gt;175,W1559&gt;=25,W1559&lt;55),0.23,0)+IF(AND(V1559&gt;175,W1559&gt;=55,W1559&lt;95),0.17,0)+IF(AND(V1559&gt;175,W1559&gt;=95),0.12,0),
IF(AF1559="DoEVLo",IF(AND(V1559&lt;20,W1559&lt;55),0.25,0)+IF(AND(V1559&lt;20,W1559&gt;=55,W1559&lt;105),0.2,0)+IF(AND(V1559&lt;20,W1559&gt;=105),0.15,0)+IF(AND(V1559&gt;=20,V1559&lt;40,W1559&lt;45),0.25,0)+IF(AND(V1559&gt;=20,V1559&lt;40,W1559&gt;=45,W1559&lt;95),0.2,0)+IF(AND(V1559&gt;=20,V1559&lt;40,W1559&gt;=95),0.15,0)+IF(AND(V1559&gt;=40,V1559&lt;75,W1559&lt;35),0.25,0)+IF(AND(V1559&gt;=40,V1559&lt;75,W1559&gt;=35,W1559&lt;75),0.2,0)+IF(AND(V1559&gt;=40,V1559&lt;75,W1559&gt;=75,W1559&lt;120),0.15,0)+IF(AND(V1559&gt;=40,V1559&lt;75,W1559&gt;=120),0.1,0)+IF(AND(V1559&gt;=75,V1559&lt;175,W1559&lt;35),0.25,0)+IF(AND(V1559&gt;=75,V1559&lt;=175,W1559&gt;=35,W1559&lt;65),0.2,0)+IF(AND(V1559&gt;=75,V1559&lt;=175,W1559&gt;=65,W1559&lt;110),0.15,0)+IF(AND(V1559&gt;=75,V1559&lt;=175,W1559&gt;=110),0.1,0)+IF(AND(V1559&gt;175,W1559&lt;25),0.25,0)+IF(AND(V1559&gt;175,W1559&gt;=25,W1559&lt;55),0.2,0)+IF(AND(V1559&gt;175,W1559&gt;=55,W1559&lt;95),0.15,0)+IF(AND(V1559&gt;175,W1559&gt;=95),0.1,0))))))))))))))))))))</f>
        <v>0.3</v>
      </c>
      <c r="Y1559" s="35">
        <f t="shared" ref="Y1559:Y1601" si="286">if(AG1559="None",0,if(AG1559="Fix5",0.05, if(AG1559="Fix6.25",0.0625,if(AG1559="Fix3.75",0.0375, if(AG1559="Fix11",0.11, if(AG1559="Fix10",0.1,if(AG1559="Fix3",0.03,0)))))))</f>
        <v>0</v>
      </c>
      <c r="Z1559" s="64">
        <v>0.0</v>
      </c>
      <c r="AA1559" s="65">
        <v>-164.2</v>
      </c>
      <c r="AB1559" s="41">
        <f>IF(AND(AD1559="EUR", F1559="Without EV deal"), (T1559*Y1559)*U1559, IF(AD1559="EUR", ((R1559*Y1559)/U1559+S1559*Y1559), T1559*Y1559)
)</f>
        <v>0</v>
      </c>
      <c r="AC1559" s="66" t="b">
        <v>1</v>
      </c>
      <c r="AD1559" s="87" t="str">
        <f t="shared" ref="AD1559:AD1601" si="287">IF(OR(H1559="€0.25 Flash",
H1559="€0.25(nitro) new",
H1559="€1",
H1559="€2",
H1559="€2 (bf 01.08)",
H1559="€5",
H1559="€5 (1M)",
H1559="€5 (bf 01.08)",
H1559="€5 (bf 05.05)",
H1559="€5 Nitro",
H1559="€5(wx) new",
H1559="€10",
H1559="€10 (1M)",
H1559="€10 (bf 01.08)",
H1559="€10 (bf 05.05)",
H1559="€10 (MP)",
H1559="€10 (old)",
H1559="€10 Nitro (bf 05.05)",
H1559="€10 Nitro (old)",
H1559="€10(wx) new",
H1559="€20",
H1559="€25",
H1559="€25 (bf 01.08)",
H1559="€25 (bf 05.05)",
H1559="€25 (MP)",
H1559="€25 (old)",
H1559="€25 Nitro",
H1559="€25 Nitro (bf 01.08)",
H1559="€25 Nitro (bf 05.05)",
H1559="€25(nitro) new",
H1559="€25(wx) new",
H1559="€50",
H1559="€50 (bf 01.08)",
H1559="€50 (bf 05.05)",
H1559="€50 (old)",
H1559="€50 Nitro",
H1559="€50 Nitro (bf 01.08)",
H1559="€50 Nitro (bf 05.05)",
H1559="€50(wx) new",
H1559="€100",
H1559="€100 (old)",
H1559="€100 Nitro",
H1559="€100 Nitro (old)",
H1559="€200",
H1559="€250",
H1559="€250 Nitro",
H1559="€500",
H1559="€500 Nitro"),"EUR", "USD")
</f>
        <v>USD</v>
      </c>
      <c r="AE1559" s="88" t="s">
        <v>138</v>
      </c>
      <c r="AF1559" s="88" t="str">
        <f t="array" ref="AF1559">INDEX('Deal Info'!D:D, MATCH(A1559,'Deal Info'!A:A, 0))</f>
        <v>DoEV</v>
      </c>
      <c r="AG1559" s="89" t="str">
        <f t="array" ref="AG1559">INDEX('Deal Info'!G:G, MATCH(A1559,'Deal Info'!A:A, 0))</f>
        <v>None</v>
      </c>
    </row>
    <row r="1560" hidden="1">
      <c r="A1560" s="23" t="str">
        <f t="array" ref="A1560">if(G1560='Room Info'!$B$1, INDEX('Room Info'!$A$2:$A3446, MATCH(B1560,'Room Info'!$B$2:$B3446, 0)),if(G1560='Room Info'!$C$1, INDEX('Room Info'!$A$2:$A3446, MATCH(B1560,'Room Info'!$C$2:$C3446, 0)),if(G1560='Room Info'!$D$1, INDEX('Room Info'!$A$2:$A3446, MATCH(B1560,'Room Info'!$D$2:$D3446, 0)),if(G1560='Room Info'!$E$1, INDEX('Room Info'!$A$2:$A3446, MATCH(B1560,'Room Info'!$E$2:$E3446, 0)),if(G1560='Room Info'!$F$1, INDEX('Room Info'!$A$2:$A3446, MATCH(B1560,'Room Info'!$F$2:$F3446, 0)),if(G1560='Room Info'!$H$1, INDEX('Room Info'!$A$2:$A3446, MATCH(B1560,'Room Info'!$H$2:$H3446, 0)),if(G1560='Room Info'!$G$1, INDEX('Room Info'!$A$2:$A3446, MATCH(B1560,'Room Info'!$G$2:$G3446, 0)))))))))</f>
        <v>guilexperi</v>
      </c>
      <c r="B1560" s="59" t="s">
        <v>218</v>
      </c>
      <c r="C1560" s="115">
        <v>44958.0</v>
      </c>
      <c r="D1560" s="115">
        <v>44985.0</v>
      </c>
      <c r="E1560" s="85">
        <v>44958.0</v>
      </c>
      <c r="F1560" s="101" t="s">
        <v>8</v>
      </c>
      <c r="G1560" s="70" t="s">
        <v>5</v>
      </c>
      <c r="H1560" s="54" t="s">
        <v>85</v>
      </c>
      <c r="I1560" s="105" t="s">
        <v>7</v>
      </c>
      <c r="J1560" s="44">
        <f t="shared" ref="J1560:J1601" si="288">iferror(if(H1560="$0.25",0.25, 
if(H1560="$0.25 Flash",0.25, 
if(H1560 = "$1", 1, 
if(H1560 = "$1 Flash", 1, 
if(H1560 = "$2", 2, 
if( H1560 = "$2 Flash" , 2, 
if( H1560= "$3", 3, 
if( H1560= "$3 Ultra", 3, 
if( H1560= "$5", 5, 
if( H1560= "$5 (1M)", 5, 
if( H1560= "$5 (1M) Flash", 5, 
if( H1560= "$5 Flash", 5, 
if( H1560= "$5 Flash (1M)", 5,
if( H1560= "$10", 10,
if( H1560= "$10 (1M)", 10,
if( H1560= "$10 (1M) (old)", 10,
if( H1560= "$10 Flash", 10,
if( H1560= "$10 Ultra", 10,
if( H1560= "$20", 20,
if( H1560= "$20 Ultra", 20,
if( H1560= "$25", 25,
if( H1560= "$25 Flash", 25,
if( H1560= "$50", 50,
if( H1560= "$50 Flash", 50,
if( H1560= "$50 Ultra", 50,
if( H1560= "$100", 100,
if( H1560= "$100 Flash", 100,
if( H1560= "$100 HUHT", 100,
if( H1560= "$100 Ultra", 100,
if( H1560= "$200", 200,
if( H1560= "$200 HUHT", 200,
if( H1560= "$250", 250,
if( H1560= "$250 Flash", 250,
if( H1560= "$300 HUHT", 300,
if( H1560= "$500", 500,
if( H1560= "$500 Flash", 500,
if( H1560 = "$500 HUHT",500,
if( H1560= "$1000", 1000,
if( H1560= "$1000 HUHT", 1000,
if( H1560= "€0.25 Flash", 0.25,
if( H1560="€0.25(nitro) new",0.25,
if( H1560= "€1", 1,
if( H1560= "€2", 2,
if( H1560= "€5", 5,
if( H1560= "€5 (1M)", 5,
if( H1560= "€5 (bf 01.08)", 5,
if( H1560= "€5 (bf 05.05)", 5,
if( H1560= "€5 Nitro", 5,
if( H1560= "€5(wx) new", 5,
if( H1560= "€10", 10,
if( H1560= "€10 (1M)", 10,
if( H1560= "€10 (bf 01.08)", 10,
if( H1560= "€10 (bf 05.05)", 10,
if( H1560= "€10 (MP)", 10,
if( H1560= "€10 (old)", 10,
if( H1560= "€10 Nitro (bf 05.05)", 10,
if( H1560= "€10 Nitro (old)", 10,
if( H1560= "€10(wx) new", 10,
if( H1560= "€20", 20,
if( H1560= "€25", 25, 
if( H1560= "€25 (bf 01.08)", 25, 
if( H1560= "€25 (bf 05.05)", 25, 
if( H1560= "€25 (MP)", 25, 
if( H1560= "€25 (old)", 25,
if( H1560= "€25 Nitro", 25,
if( H1560= "€25 Nitro (bf 01.08)", 25,
if( H1560= "€25 Nitro (bf 05.05)", 25,
if( H1560= "€25(nitro) new", 25,
if( H1560= "€25(wx) new", 25,
if( H1560= "€50", 50,
if( H1560= "€50 (bf 01.08)", 50,
if( H1560= "€50 (bf 05.05)", 50,
if( H1560= "€50 (old)", 50,
if( H1560= "€50 Nitro", 50,
if( H1560= "€50 Nitro (bf 01.08)", 50,
if( H1560= "€50 Nitro (bf 05.05)", 50,
if( H1560= "€50(wx) new", 50,
if( H1560= "€100", 100,
if( H1560= "€100 (old)", 100,
if( H1560= "€100 Nitro", 100,
if( H1560= "€100 Nitro (old)", 100,
if( H1560= "€200", 200,
if( H1560= "€250", 250,
if( H1560= "€250 Nitro", 250,
if( H1560= "€500", 500,
if( H1560= "€500 Nitro", 500,
if( H1560= "1000 rub", 1000,
if( H1560= "2500 rub", 2500,
if( H1560= "5000 rub", 5000,""))))))))))))))))))))))))))))))))))))))))))))))))))))))))))))))))))))))))))))))))))))))))))</f>
        <v>100</v>
      </c>
      <c r="K1560" s="56">
        <v>5.0</v>
      </c>
      <c r="L1560" s="57">
        <v>-200.0</v>
      </c>
      <c r="M1560" s="67">
        <v>17.377841436276356</v>
      </c>
      <c r="N1560" s="33">
        <f t="shared" si="276"/>
        <v>500</v>
      </c>
      <c r="O1560" s="59">
        <v>894.0</v>
      </c>
      <c r="P1560" s="34">
        <f t="shared" si="277"/>
        <v>178.8</v>
      </c>
      <c r="Q1560" s="60"/>
      <c r="R1560" s="36">
        <f t="shared" si="283"/>
        <v>17.37784144</v>
      </c>
      <c r="S1560" s="61">
        <v>144.0</v>
      </c>
      <c r="T1560" s="37">
        <f t="shared" si="284"/>
        <v>161.3778414</v>
      </c>
      <c r="U1560" s="62">
        <v>1.0617</v>
      </c>
      <c r="V1560" s="74"/>
      <c r="W1560" s="74"/>
      <c r="X1560" s="35" t="b">
        <f t="shared" si="285"/>
        <v>0</v>
      </c>
      <c r="Y1560" s="35">
        <f t="shared" si="286"/>
        <v>0</v>
      </c>
      <c r="Z1560" s="40">
        <f t="shared" ref="Z1560:Z1601" si="289">if(and(AD1560="EUR", AE1560 = "USD"), T1560*U1560-AA1560-AB1560, T1560-AA1560-AB1560)</f>
        <v>161.3778414</v>
      </c>
      <c r="AA1560" s="34">
        <f t="shared" ref="AA1560:AA1601" si="290">IF(AND(AD1560="EUR", F1560="Without EV deal", AE1560="USD"), (T1560*X1560)*U1560, 
IF(AND(AD1560="EUR", F1560="Without EV deal", AE1560="EUR"), (T1560*X1560), 
IF(AND(AD1560="EUR",AE1560="USD"), (T1560*X1560)*U1560, 
T1560*X1560)))</f>
        <v>0</v>
      </c>
      <c r="AB1560" s="41">
        <f t="shared" ref="AB1560:AB1601" si="291">IF(AND(AD1560="EUR", F1560="Without EV deal", AE1560="USD"), (T1560*Y1560)*U1560, 
IF(AND(AD1560="EUR", F1560="Without EV deal", AE1560="EUR"), (T1560*Y1560), 
IF(AND(AD1560="EUR",AE1560="USD"), (T1560*Y1560)*U1560, 
T1560*Y1560)))</f>
        <v>0</v>
      </c>
      <c r="AC1560" s="42" t="b">
        <v>0</v>
      </c>
      <c r="AD1560" s="87" t="str">
        <f t="shared" si="287"/>
        <v>USD</v>
      </c>
      <c r="AE1560" s="88" t="s">
        <v>138</v>
      </c>
      <c r="AF1560" s="88" t="str">
        <f t="array" ref="AF1560">INDEX('Deal Info'!D:D, MATCH(A1560,'Deal Info'!A:A, 0))</f>
        <v>None</v>
      </c>
      <c r="AG1560" s="89" t="str">
        <f t="array" ref="AG1560">INDEX('Deal Info'!G:G, MATCH(A1560,'Deal Info'!A:A, 0))</f>
        <v>guilexperi</v>
      </c>
    </row>
    <row r="1561" hidden="1">
      <c r="A1561" s="23" t="str">
        <f t="array" ref="A1561">if(G1561='Room Info'!$B$1, INDEX('Room Info'!$A$2:$A3446, MATCH(B1561,'Room Info'!$B$2:$B3446, 0)),if(G1561='Room Info'!$C$1, INDEX('Room Info'!$A$2:$A3446, MATCH(B1561,'Room Info'!$C$2:$C3446, 0)),if(G1561='Room Info'!$D$1, INDEX('Room Info'!$A$2:$A3446, MATCH(B1561,'Room Info'!$D$2:$D3446, 0)),if(G1561='Room Info'!$E$1, INDEX('Room Info'!$A$2:$A3446, MATCH(B1561,'Room Info'!$E$2:$E3446, 0)),if(G1561='Room Info'!$F$1, INDEX('Room Info'!$A$2:$A3446, MATCH(B1561,'Room Info'!$F$2:$F3446, 0)),if(G1561='Room Info'!$H$1, INDEX('Room Info'!$A$2:$A3446, MATCH(B1561,'Room Info'!$H$2:$H3446, 0)),if(G1561='Room Info'!$G$1, INDEX('Room Info'!$A$2:$A3446, MATCH(B1561,'Room Info'!$G$2:$G3446, 0)))))))))</f>
        <v>guilexperi</v>
      </c>
      <c r="B1561" s="59" t="s">
        <v>218</v>
      </c>
      <c r="C1561" s="115">
        <v>44958.0</v>
      </c>
      <c r="D1561" s="115">
        <v>44985.0</v>
      </c>
      <c r="E1561" s="85">
        <v>44958.0</v>
      </c>
      <c r="F1561" s="101" t="s">
        <v>8</v>
      </c>
      <c r="G1561" s="70" t="s">
        <v>5</v>
      </c>
      <c r="H1561" s="54" t="s">
        <v>87</v>
      </c>
      <c r="I1561" s="96" t="s">
        <v>15</v>
      </c>
      <c r="J1561" s="44">
        <f t="shared" si="288"/>
        <v>100</v>
      </c>
      <c r="K1561" s="56">
        <v>11.0</v>
      </c>
      <c r="L1561" s="57">
        <v>77.0</v>
      </c>
      <c r="M1561" s="67">
        <v>14.374950436087802</v>
      </c>
      <c r="N1561" s="33">
        <f t="shared" si="276"/>
        <v>1100</v>
      </c>
      <c r="O1561" s="59">
        <v>-168.0</v>
      </c>
      <c r="P1561" s="34">
        <f t="shared" si="277"/>
        <v>-15.27272727</v>
      </c>
      <c r="Q1561" s="60"/>
      <c r="R1561" s="36">
        <f t="shared" si="283"/>
        <v>14.37495044</v>
      </c>
      <c r="S1561" s="61">
        <v>-45.0</v>
      </c>
      <c r="T1561" s="37">
        <f t="shared" si="284"/>
        <v>-30.62504956</v>
      </c>
      <c r="U1561" s="62">
        <v>1.0617</v>
      </c>
      <c r="V1561" s="74"/>
      <c r="W1561" s="74"/>
      <c r="X1561" s="35" t="b">
        <f t="shared" si="285"/>
        <v>0</v>
      </c>
      <c r="Y1561" s="35">
        <f t="shared" si="286"/>
        <v>0</v>
      </c>
      <c r="Z1561" s="40">
        <f t="shared" si="289"/>
        <v>-30.62504956</v>
      </c>
      <c r="AA1561" s="34">
        <f t="shared" si="290"/>
        <v>0</v>
      </c>
      <c r="AB1561" s="41">
        <f t="shared" si="291"/>
        <v>0</v>
      </c>
      <c r="AC1561" s="42" t="b">
        <v>0</v>
      </c>
      <c r="AD1561" s="87" t="str">
        <f t="shared" si="287"/>
        <v>USD</v>
      </c>
      <c r="AE1561" s="88" t="s">
        <v>138</v>
      </c>
      <c r="AF1561" s="88" t="str">
        <f t="array" ref="AF1561">INDEX('Deal Info'!D:D, MATCH(A1561,'Deal Info'!A:A, 0))</f>
        <v>None</v>
      </c>
      <c r="AG1561" s="89" t="str">
        <f t="array" ref="AG1561">INDEX('Deal Info'!G:G, MATCH(A1561,'Deal Info'!A:A, 0))</f>
        <v>guilexperi</v>
      </c>
    </row>
    <row r="1562" hidden="1">
      <c r="A1562" s="23" t="str">
        <f t="array" ref="A1562">if(G1562='Room Info'!$B$1, INDEX('Room Info'!$A$2:$A3446, MATCH(B1562,'Room Info'!$B$2:$B3446, 0)),if(G1562='Room Info'!$C$1, INDEX('Room Info'!$A$2:$A3446, MATCH(B1562,'Room Info'!$C$2:$C3446, 0)),if(G1562='Room Info'!$D$1, INDEX('Room Info'!$A$2:$A3446, MATCH(B1562,'Room Info'!$D$2:$D3446, 0)),if(G1562='Room Info'!$E$1, INDEX('Room Info'!$A$2:$A3446, MATCH(B1562,'Room Info'!$E$2:$E3446, 0)),if(G1562='Room Info'!$F$1, INDEX('Room Info'!$A$2:$A3446, MATCH(B1562,'Room Info'!$F$2:$F3446, 0)),if(G1562='Room Info'!$H$1, INDEX('Room Info'!$A$2:$A3446, MATCH(B1562,'Room Info'!$H$2:$H3446, 0)),if(G1562='Room Info'!$G$1, INDEX('Room Info'!$A$2:$A3446, MATCH(B1562,'Room Info'!$G$2:$G3446, 0)))))))))</f>
        <v>guilexperi</v>
      </c>
      <c r="B1562" s="59" t="s">
        <v>218</v>
      </c>
      <c r="C1562" s="115">
        <v>44958.0</v>
      </c>
      <c r="D1562" s="115">
        <v>44985.0</v>
      </c>
      <c r="E1562" s="85">
        <v>44958.0</v>
      </c>
      <c r="F1562" s="101" t="s">
        <v>8</v>
      </c>
      <c r="G1562" s="70" t="s">
        <v>5</v>
      </c>
      <c r="H1562" s="59" t="s">
        <v>86</v>
      </c>
      <c r="I1562" s="96" t="s">
        <v>11</v>
      </c>
      <c r="J1562" s="44">
        <f t="shared" si="288"/>
        <v>100</v>
      </c>
      <c r="K1562" s="56">
        <v>35.0</v>
      </c>
      <c r="L1562" s="57">
        <v>1000.0</v>
      </c>
      <c r="M1562" s="67">
        <v>121.64489005393449</v>
      </c>
      <c r="N1562" s="33">
        <f t="shared" si="276"/>
        <v>3500</v>
      </c>
      <c r="O1562" s="59">
        <v>-947.0</v>
      </c>
      <c r="P1562" s="34">
        <f t="shared" si="277"/>
        <v>-27.05714286</v>
      </c>
      <c r="Q1562" s="60"/>
      <c r="R1562" s="36">
        <f t="shared" si="283"/>
        <v>121.6448901</v>
      </c>
      <c r="S1562" s="61">
        <v>-458.0</v>
      </c>
      <c r="T1562" s="37">
        <f t="shared" si="284"/>
        <v>-336.3551099</v>
      </c>
      <c r="U1562" s="62">
        <v>1.0617</v>
      </c>
      <c r="V1562" s="74"/>
      <c r="W1562" s="74"/>
      <c r="X1562" s="35" t="b">
        <f t="shared" si="285"/>
        <v>0</v>
      </c>
      <c r="Y1562" s="35">
        <f t="shared" si="286"/>
        <v>0</v>
      </c>
      <c r="Z1562" s="40">
        <f t="shared" si="289"/>
        <v>-336.3551099</v>
      </c>
      <c r="AA1562" s="34">
        <f t="shared" si="290"/>
        <v>0</v>
      </c>
      <c r="AB1562" s="41">
        <f t="shared" si="291"/>
        <v>0</v>
      </c>
      <c r="AC1562" s="42" t="b">
        <v>0</v>
      </c>
      <c r="AD1562" s="87" t="str">
        <f t="shared" si="287"/>
        <v>USD</v>
      </c>
      <c r="AE1562" s="88" t="s">
        <v>138</v>
      </c>
      <c r="AF1562" s="88" t="str">
        <f t="array" ref="AF1562">INDEX('Deal Info'!D:D, MATCH(A1562,'Deal Info'!A:A, 0))</f>
        <v>None</v>
      </c>
      <c r="AG1562" s="89" t="str">
        <f t="array" ref="AG1562">INDEX('Deal Info'!G:G, MATCH(A1562,'Deal Info'!A:A, 0))</f>
        <v>guilexperi</v>
      </c>
    </row>
    <row r="1563" hidden="1">
      <c r="A1563" s="23" t="str">
        <f t="array" ref="A1563">if(G1563='Room Info'!$B$1, INDEX('Room Info'!$A$2:$A3446, MATCH(B1563,'Room Info'!$B$2:$B3446, 0)),if(G1563='Room Info'!$C$1, INDEX('Room Info'!$A$2:$A3446, MATCH(B1563,'Room Info'!$C$2:$C3446, 0)),if(G1563='Room Info'!$D$1, INDEX('Room Info'!$A$2:$A3446, MATCH(B1563,'Room Info'!$D$2:$D3446, 0)),if(G1563='Room Info'!$E$1, INDEX('Room Info'!$A$2:$A3446, MATCH(B1563,'Room Info'!$E$2:$E3446, 0)),if(G1563='Room Info'!$F$1, INDEX('Room Info'!$A$2:$A3446, MATCH(B1563,'Room Info'!$F$2:$F3446, 0)),if(G1563='Room Info'!$H$1, INDEX('Room Info'!$A$2:$A3446, MATCH(B1563,'Room Info'!$H$2:$H3446, 0)),if(G1563='Room Info'!$G$1, INDEX('Room Info'!$A$2:$A3446, MATCH(B1563,'Room Info'!$G$2:$G3446, 0)))))))))</f>
        <v>guilexperi</v>
      </c>
      <c r="B1563" s="59" t="s">
        <v>218</v>
      </c>
      <c r="C1563" s="115">
        <v>44958.0</v>
      </c>
      <c r="D1563" s="115">
        <v>44985.0</v>
      </c>
      <c r="E1563" s="85">
        <v>44958.0</v>
      </c>
      <c r="F1563" s="101" t="s">
        <v>8</v>
      </c>
      <c r="G1563" s="70" t="s">
        <v>5</v>
      </c>
      <c r="H1563" s="54" t="s">
        <v>94</v>
      </c>
      <c r="I1563" s="96" t="s">
        <v>15</v>
      </c>
      <c r="J1563" s="44">
        <f t="shared" si="288"/>
        <v>200</v>
      </c>
      <c r="K1563" s="56">
        <v>46.0</v>
      </c>
      <c r="L1563" s="57">
        <v>-1727.0</v>
      </c>
      <c r="M1563" s="67">
        <v>106.79726233077996</v>
      </c>
      <c r="N1563" s="33">
        <f t="shared" si="276"/>
        <v>9200</v>
      </c>
      <c r="O1563" s="59">
        <v>189.0</v>
      </c>
      <c r="P1563" s="34">
        <f t="shared" si="277"/>
        <v>4.108695652</v>
      </c>
      <c r="Q1563" s="60"/>
      <c r="R1563" s="36">
        <f t="shared" si="283"/>
        <v>106.7972623</v>
      </c>
      <c r="S1563" s="61">
        <v>-8.0</v>
      </c>
      <c r="T1563" s="37">
        <f t="shared" si="284"/>
        <v>98.79726233</v>
      </c>
      <c r="U1563" s="62">
        <v>1.0617</v>
      </c>
      <c r="V1563" s="74"/>
      <c r="W1563" s="74"/>
      <c r="X1563" s="35" t="b">
        <f t="shared" si="285"/>
        <v>0</v>
      </c>
      <c r="Y1563" s="35">
        <f t="shared" si="286"/>
        <v>0</v>
      </c>
      <c r="Z1563" s="40">
        <f t="shared" si="289"/>
        <v>98.79726233</v>
      </c>
      <c r="AA1563" s="34">
        <f t="shared" si="290"/>
        <v>0</v>
      </c>
      <c r="AB1563" s="41">
        <f t="shared" si="291"/>
        <v>0</v>
      </c>
      <c r="AC1563" s="42" t="b">
        <v>0</v>
      </c>
      <c r="AD1563" s="87" t="str">
        <f t="shared" si="287"/>
        <v>USD</v>
      </c>
      <c r="AE1563" s="88" t="s">
        <v>138</v>
      </c>
      <c r="AF1563" s="88" t="str">
        <f t="array" ref="AF1563">INDEX('Deal Info'!D:D, MATCH(A1563,'Deal Info'!A:A, 0))</f>
        <v>None</v>
      </c>
      <c r="AG1563" s="89" t="str">
        <f t="array" ref="AG1563">INDEX('Deal Info'!G:G, MATCH(A1563,'Deal Info'!A:A, 0))</f>
        <v>guilexperi</v>
      </c>
    </row>
    <row r="1564" hidden="1">
      <c r="A1564" s="23" t="str">
        <f t="array" ref="A1564">if(G1564='Room Info'!$B$1, INDEX('Room Info'!$A$2:$A3446, MATCH(B1564,'Room Info'!$B$2:$B3446, 0)),if(G1564='Room Info'!$C$1, INDEX('Room Info'!$A$2:$A3446, MATCH(B1564,'Room Info'!$C$2:$C3446, 0)),if(G1564='Room Info'!$D$1, INDEX('Room Info'!$A$2:$A3446, MATCH(B1564,'Room Info'!$D$2:$D3446, 0)),if(G1564='Room Info'!$E$1, INDEX('Room Info'!$A$2:$A3446, MATCH(B1564,'Room Info'!$E$2:$E3446, 0)),if(G1564='Room Info'!$F$1, INDEX('Room Info'!$A$2:$A3446, MATCH(B1564,'Room Info'!$F$2:$F3446, 0)),if(G1564='Room Info'!$H$1, INDEX('Room Info'!$A$2:$A3446, MATCH(B1564,'Room Info'!$H$2:$H3446, 0)),if(G1564='Room Info'!$G$1, INDEX('Room Info'!$A$2:$A3446, MATCH(B1564,'Room Info'!$G$2:$G3446, 0)))))))))</f>
        <v>guilexperi</v>
      </c>
      <c r="B1564" s="59" t="s">
        <v>218</v>
      </c>
      <c r="C1564" s="115">
        <v>44958.0</v>
      </c>
      <c r="D1564" s="115">
        <v>44985.0</v>
      </c>
      <c r="E1564" s="85">
        <v>44958.0</v>
      </c>
      <c r="F1564" s="101" t="s">
        <v>8</v>
      </c>
      <c r="G1564" s="70" t="s">
        <v>5</v>
      </c>
      <c r="H1564" s="59" t="s">
        <v>96</v>
      </c>
      <c r="I1564" s="105" t="s">
        <v>7</v>
      </c>
      <c r="J1564" s="44">
        <f t="shared" si="288"/>
        <v>250</v>
      </c>
      <c r="K1564" s="56">
        <v>760.0</v>
      </c>
      <c r="L1564" s="57">
        <v>-12750.0</v>
      </c>
      <c r="M1564" s="67">
        <v>6603.579745785015</v>
      </c>
      <c r="N1564" s="33">
        <f t="shared" si="276"/>
        <v>190000</v>
      </c>
      <c r="O1564" s="59">
        <v>-3846.0</v>
      </c>
      <c r="P1564" s="34">
        <f t="shared" si="277"/>
        <v>-5.060526316</v>
      </c>
      <c r="Q1564" s="60"/>
      <c r="R1564" s="36">
        <f t="shared" si="283"/>
        <v>6603.579746</v>
      </c>
      <c r="S1564" s="61">
        <v>-10150.0</v>
      </c>
      <c r="T1564" s="37">
        <f t="shared" si="284"/>
        <v>-3546.420254</v>
      </c>
      <c r="U1564" s="62">
        <v>1.0617</v>
      </c>
      <c r="V1564" s="74"/>
      <c r="W1564" s="74"/>
      <c r="X1564" s="35" t="b">
        <f t="shared" si="285"/>
        <v>0</v>
      </c>
      <c r="Y1564" s="35">
        <f t="shared" si="286"/>
        <v>0</v>
      </c>
      <c r="Z1564" s="40">
        <f t="shared" si="289"/>
        <v>-3546.420254</v>
      </c>
      <c r="AA1564" s="34">
        <f t="shared" si="290"/>
        <v>0</v>
      </c>
      <c r="AB1564" s="41">
        <f t="shared" si="291"/>
        <v>0</v>
      </c>
      <c r="AC1564" s="42" t="b">
        <v>0</v>
      </c>
      <c r="AD1564" s="87" t="str">
        <f t="shared" si="287"/>
        <v>USD</v>
      </c>
      <c r="AE1564" s="88" t="s">
        <v>138</v>
      </c>
      <c r="AF1564" s="88" t="str">
        <f t="array" ref="AF1564">INDEX('Deal Info'!D:D, MATCH(A1564,'Deal Info'!A:A, 0))</f>
        <v>None</v>
      </c>
      <c r="AG1564" s="89" t="str">
        <f t="array" ref="AG1564">INDEX('Deal Info'!G:G, MATCH(A1564,'Deal Info'!A:A, 0))</f>
        <v>guilexperi</v>
      </c>
    </row>
    <row r="1565" hidden="1">
      <c r="A1565" s="23" t="str">
        <f t="array" ref="A1565">if(G1565='Room Info'!$B$1, INDEX('Room Info'!$A$2:$A3446, MATCH(B1565,'Room Info'!$B$2:$B3446, 0)),if(G1565='Room Info'!$C$1, INDEX('Room Info'!$A$2:$A3446, MATCH(B1565,'Room Info'!$C$2:$C3446, 0)),if(G1565='Room Info'!$D$1, INDEX('Room Info'!$A$2:$A3446, MATCH(B1565,'Room Info'!$D$2:$D3446, 0)),if(G1565='Room Info'!$E$1, INDEX('Room Info'!$A$2:$A3446, MATCH(B1565,'Room Info'!$E$2:$E3446, 0)),if(G1565='Room Info'!$F$1, INDEX('Room Info'!$A$2:$A3446, MATCH(B1565,'Room Info'!$F$2:$F3446, 0)),if(G1565='Room Info'!$H$1, INDEX('Room Info'!$A$2:$A3446, MATCH(B1565,'Room Info'!$H$2:$H3446, 0)),if(G1565='Room Info'!$G$1, INDEX('Room Info'!$A$2:$A3446, MATCH(B1565,'Room Info'!$G$2:$G3446, 0)))))))))</f>
        <v>guilexperi</v>
      </c>
      <c r="B1565" s="59" t="s">
        <v>218</v>
      </c>
      <c r="C1565" s="115">
        <v>44958.0</v>
      </c>
      <c r="D1565" s="115">
        <v>44985.0</v>
      </c>
      <c r="E1565" s="85">
        <v>44958.0</v>
      </c>
      <c r="F1565" s="101" t="s">
        <v>8</v>
      </c>
      <c r="G1565" s="70" t="s">
        <v>5</v>
      </c>
      <c r="H1565" s="59" t="s">
        <v>97</v>
      </c>
      <c r="I1565" s="96" t="s">
        <v>11</v>
      </c>
      <c r="J1565" s="44">
        <f t="shared" si="288"/>
        <v>250</v>
      </c>
      <c r="K1565" s="56">
        <v>333.0</v>
      </c>
      <c r="L1565" s="57">
        <v>-4500.0</v>
      </c>
      <c r="M1565" s="67">
        <v>2893.4105991400133</v>
      </c>
      <c r="N1565" s="33">
        <f t="shared" si="276"/>
        <v>83250</v>
      </c>
      <c r="O1565" s="59">
        <v>-2644.0</v>
      </c>
      <c r="P1565" s="34">
        <f t="shared" si="277"/>
        <v>-7.93993994</v>
      </c>
      <c r="Q1565" s="60"/>
      <c r="R1565" s="36">
        <f t="shared" si="283"/>
        <v>2893.410599</v>
      </c>
      <c r="S1565" s="61">
        <v>-5726.0</v>
      </c>
      <c r="T1565" s="37">
        <f t="shared" si="284"/>
        <v>-2832.589401</v>
      </c>
      <c r="U1565" s="62">
        <v>1.0617</v>
      </c>
      <c r="V1565" s="74"/>
      <c r="W1565" s="74"/>
      <c r="X1565" s="35" t="b">
        <f t="shared" si="285"/>
        <v>0</v>
      </c>
      <c r="Y1565" s="35">
        <f t="shared" si="286"/>
        <v>0</v>
      </c>
      <c r="Z1565" s="40">
        <f t="shared" si="289"/>
        <v>-2832.589401</v>
      </c>
      <c r="AA1565" s="34">
        <f t="shared" si="290"/>
        <v>0</v>
      </c>
      <c r="AB1565" s="41">
        <f t="shared" si="291"/>
        <v>0</v>
      </c>
      <c r="AC1565" s="42" t="b">
        <v>0</v>
      </c>
      <c r="AD1565" s="87" t="str">
        <f t="shared" si="287"/>
        <v>USD</v>
      </c>
      <c r="AE1565" s="88" t="s">
        <v>138</v>
      </c>
      <c r="AF1565" s="88" t="str">
        <f t="array" ref="AF1565">INDEX('Deal Info'!D:D, MATCH(A1565,'Deal Info'!A:A, 0))</f>
        <v>None</v>
      </c>
      <c r="AG1565" s="89" t="str">
        <f t="array" ref="AG1565">INDEX('Deal Info'!G:G, MATCH(A1565,'Deal Info'!A:A, 0))</f>
        <v>guilexperi</v>
      </c>
    </row>
    <row r="1566" hidden="1">
      <c r="A1566" s="23" t="str">
        <f t="array" ref="A1566">if(G1566='Room Info'!$B$1, INDEX('Room Info'!$A$2:$A3446, MATCH(B1566,'Room Info'!$B$2:$B3446, 0)),if(G1566='Room Info'!$C$1, INDEX('Room Info'!$A$2:$A3446, MATCH(B1566,'Room Info'!$C$2:$C3446, 0)),if(G1566='Room Info'!$D$1, INDEX('Room Info'!$A$2:$A3446, MATCH(B1566,'Room Info'!$D$2:$D3446, 0)),if(G1566='Room Info'!$E$1, INDEX('Room Info'!$A$2:$A3446, MATCH(B1566,'Room Info'!$E$2:$E3446, 0)),if(G1566='Room Info'!$F$1, INDEX('Room Info'!$A$2:$A3446, MATCH(B1566,'Room Info'!$F$2:$F3446, 0)),if(G1566='Room Info'!$H$1, INDEX('Room Info'!$A$2:$A3446, MATCH(B1566,'Room Info'!$H$2:$H3446, 0)),if(G1566='Room Info'!$G$1, INDEX('Room Info'!$A$2:$A3446, MATCH(B1566,'Room Info'!$G$2:$G3446, 0)))))))))</f>
        <v>guilexperi</v>
      </c>
      <c r="B1566" s="59" t="s">
        <v>218</v>
      </c>
      <c r="C1566" s="115">
        <v>44958.0</v>
      </c>
      <c r="D1566" s="115">
        <v>44985.0</v>
      </c>
      <c r="E1566" s="85">
        <v>44958.0</v>
      </c>
      <c r="F1566" s="101" t="s">
        <v>8</v>
      </c>
      <c r="G1566" s="70" t="s">
        <v>5</v>
      </c>
      <c r="H1566" s="54" t="s">
        <v>100</v>
      </c>
      <c r="I1566" s="96" t="s">
        <v>15</v>
      </c>
      <c r="J1566" s="44">
        <f t="shared" si="288"/>
        <v>300</v>
      </c>
      <c r="K1566" s="56">
        <v>1845.0</v>
      </c>
      <c r="L1566" s="57">
        <v>-28083.0</v>
      </c>
      <c r="M1566" s="67">
        <v>5758.356294007407</v>
      </c>
      <c r="N1566" s="33">
        <f t="shared" si="276"/>
        <v>553500</v>
      </c>
      <c r="O1566" s="59">
        <v>-23389.0</v>
      </c>
      <c r="P1566" s="34">
        <f t="shared" si="277"/>
        <v>-12.67696477</v>
      </c>
      <c r="Q1566" s="60"/>
      <c r="R1566" s="36">
        <f t="shared" si="283"/>
        <v>5758.356294</v>
      </c>
      <c r="S1566" s="61">
        <v>-17851.0</v>
      </c>
      <c r="T1566" s="37">
        <f t="shared" si="284"/>
        <v>-12092.64371</v>
      </c>
      <c r="U1566" s="62">
        <v>1.0617</v>
      </c>
      <c r="V1566" s="74"/>
      <c r="W1566" s="74"/>
      <c r="X1566" s="35" t="b">
        <f t="shared" si="285"/>
        <v>0</v>
      </c>
      <c r="Y1566" s="35">
        <f t="shared" si="286"/>
        <v>0</v>
      </c>
      <c r="Z1566" s="40">
        <f t="shared" si="289"/>
        <v>-12092.64371</v>
      </c>
      <c r="AA1566" s="34">
        <f t="shared" si="290"/>
        <v>0</v>
      </c>
      <c r="AB1566" s="41">
        <f t="shared" si="291"/>
        <v>0</v>
      </c>
      <c r="AC1566" s="42" t="b">
        <v>0</v>
      </c>
      <c r="AD1566" s="87" t="str">
        <f t="shared" si="287"/>
        <v>USD</v>
      </c>
      <c r="AE1566" s="88" t="s">
        <v>138</v>
      </c>
      <c r="AF1566" s="88" t="str">
        <f t="array" ref="AF1566">INDEX('Deal Info'!D:D, MATCH(A1566,'Deal Info'!A:A, 0))</f>
        <v>None</v>
      </c>
      <c r="AG1566" s="89" t="str">
        <f t="array" ref="AG1566">INDEX('Deal Info'!G:G, MATCH(A1566,'Deal Info'!A:A, 0))</f>
        <v>guilexperi</v>
      </c>
    </row>
    <row r="1567" hidden="1">
      <c r="A1567" s="23" t="str">
        <f t="array" ref="A1567">if(G1567='Room Info'!$B$1, INDEX('Room Info'!$A$2:$A3446, MATCH(B1567,'Room Info'!$B$2:$B3446, 0)),if(G1567='Room Info'!$C$1, INDEX('Room Info'!$A$2:$A3446, MATCH(B1567,'Room Info'!$C$2:$C3446, 0)),if(G1567='Room Info'!$D$1, INDEX('Room Info'!$A$2:$A3446, MATCH(B1567,'Room Info'!$D$2:$D3446, 0)),if(G1567='Room Info'!$E$1, INDEX('Room Info'!$A$2:$A3446, MATCH(B1567,'Room Info'!$E$2:$E3446, 0)),if(G1567='Room Info'!$F$1, INDEX('Room Info'!$A$2:$A3446, MATCH(B1567,'Room Info'!$F$2:$F3446, 0)),if(G1567='Room Info'!$H$1, INDEX('Room Info'!$A$2:$A3446, MATCH(B1567,'Room Info'!$H$2:$H3446, 0)),if(G1567='Room Info'!$G$1, INDEX('Room Info'!$A$2:$A3446, MATCH(B1567,'Room Info'!$G$2:$G3446, 0)))))))))</f>
        <v>guilexperi</v>
      </c>
      <c r="B1567" s="59" t="s">
        <v>218</v>
      </c>
      <c r="C1567" s="115">
        <v>44958.0</v>
      </c>
      <c r="D1567" s="115">
        <v>44985.0</v>
      </c>
      <c r="E1567" s="85">
        <v>44958.0</v>
      </c>
      <c r="F1567" s="101" t="s">
        <v>8</v>
      </c>
      <c r="G1567" s="70" t="s">
        <v>5</v>
      </c>
      <c r="H1567" s="96" t="s">
        <v>101</v>
      </c>
      <c r="I1567" s="105" t="s">
        <v>7</v>
      </c>
      <c r="J1567" s="44">
        <f t="shared" si="288"/>
        <v>500</v>
      </c>
      <c r="K1567" s="56">
        <v>372.0</v>
      </c>
      <c r="L1567" s="57">
        <v>4500.0</v>
      </c>
      <c r="M1567" s="67">
        <v>6464.5570142948045</v>
      </c>
      <c r="N1567" s="33">
        <f t="shared" si="276"/>
        <v>186000</v>
      </c>
      <c r="O1567" s="59">
        <v>3662.0</v>
      </c>
      <c r="P1567" s="34">
        <f t="shared" si="277"/>
        <v>9.844086022</v>
      </c>
      <c r="Q1567" s="60"/>
      <c r="R1567" s="36">
        <f t="shared" si="283"/>
        <v>6464.557014</v>
      </c>
      <c r="S1567" s="61">
        <v>-4575.0</v>
      </c>
      <c r="T1567" s="37">
        <f t="shared" si="284"/>
        <v>1889.557014</v>
      </c>
      <c r="U1567" s="62">
        <v>1.0617</v>
      </c>
      <c r="V1567" s="74"/>
      <c r="W1567" s="74"/>
      <c r="X1567" s="35" t="b">
        <f t="shared" si="285"/>
        <v>0</v>
      </c>
      <c r="Y1567" s="35">
        <f t="shared" si="286"/>
        <v>0</v>
      </c>
      <c r="Z1567" s="40">
        <f t="shared" si="289"/>
        <v>1889.557014</v>
      </c>
      <c r="AA1567" s="34">
        <f t="shared" si="290"/>
        <v>0</v>
      </c>
      <c r="AB1567" s="41">
        <f t="shared" si="291"/>
        <v>0</v>
      </c>
      <c r="AC1567" s="42" t="b">
        <v>0</v>
      </c>
      <c r="AD1567" s="87" t="str">
        <f t="shared" si="287"/>
        <v>USD</v>
      </c>
      <c r="AE1567" s="88" t="s">
        <v>138</v>
      </c>
      <c r="AF1567" s="88" t="str">
        <f t="array" ref="AF1567">INDEX('Deal Info'!D:D, MATCH(A1567,'Deal Info'!A:A, 0))</f>
        <v>None</v>
      </c>
      <c r="AG1567" s="89" t="str">
        <f t="array" ref="AG1567">INDEX('Deal Info'!G:G, MATCH(A1567,'Deal Info'!A:A, 0))</f>
        <v>guilexperi</v>
      </c>
    </row>
    <row r="1568" hidden="1">
      <c r="A1568" s="23" t="str">
        <f t="array" ref="A1568">if(G1568='Room Info'!$B$1, INDEX('Room Info'!$A$2:$A3446, MATCH(B1568,'Room Info'!$B$2:$B3446, 0)),if(G1568='Room Info'!$C$1, INDEX('Room Info'!$A$2:$A3446, MATCH(B1568,'Room Info'!$C$2:$C3446, 0)),if(G1568='Room Info'!$D$1, INDEX('Room Info'!$A$2:$A3446, MATCH(B1568,'Room Info'!$D$2:$D3446, 0)),if(G1568='Room Info'!$E$1, INDEX('Room Info'!$A$2:$A3446, MATCH(B1568,'Room Info'!$E$2:$E3446, 0)),if(G1568='Room Info'!$F$1, INDEX('Room Info'!$A$2:$A3446, MATCH(B1568,'Room Info'!$F$2:$F3446, 0)),if(G1568='Room Info'!$H$1, INDEX('Room Info'!$A$2:$A3446, MATCH(B1568,'Room Info'!$H$2:$H3446, 0)),if(G1568='Room Info'!$G$1, INDEX('Room Info'!$A$2:$A3446, MATCH(B1568,'Room Info'!$G$2:$G3446, 0)))))))))</f>
        <v>guilexperi</v>
      </c>
      <c r="B1568" s="59" t="s">
        <v>218</v>
      </c>
      <c r="C1568" s="115">
        <v>44958.0</v>
      </c>
      <c r="D1568" s="115">
        <v>44985.0</v>
      </c>
      <c r="E1568" s="85">
        <v>44958.0</v>
      </c>
      <c r="F1568" s="101" t="s">
        <v>8</v>
      </c>
      <c r="G1568" s="70" t="s">
        <v>5</v>
      </c>
      <c r="H1568" s="54" t="s">
        <v>103</v>
      </c>
      <c r="I1568" s="96" t="s">
        <v>15</v>
      </c>
      <c r="J1568" s="44">
        <f t="shared" si="288"/>
        <v>500</v>
      </c>
      <c r="K1568" s="56">
        <v>21.0</v>
      </c>
      <c r="L1568" s="57">
        <v>-1620.0</v>
      </c>
      <c r="M1568" s="67">
        <v>97.21859613110446</v>
      </c>
      <c r="N1568" s="33">
        <f t="shared" si="276"/>
        <v>10500</v>
      </c>
      <c r="O1568" s="59">
        <v>-474.0</v>
      </c>
      <c r="P1568" s="34">
        <f t="shared" si="277"/>
        <v>-22.57142857</v>
      </c>
      <c r="Q1568" s="60"/>
      <c r="R1568" s="36">
        <f t="shared" si="283"/>
        <v>97.21859613</v>
      </c>
      <c r="S1568" s="61">
        <v>-526.0</v>
      </c>
      <c r="T1568" s="37">
        <f t="shared" si="284"/>
        <v>-428.7814039</v>
      </c>
      <c r="U1568" s="62">
        <v>1.0617</v>
      </c>
      <c r="V1568" s="74"/>
      <c r="W1568" s="74"/>
      <c r="X1568" s="35" t="b">
        <f t="shared" si="285"/>
        <v>0</v>
      </c>
      <c r="Y1568" s="35">
        <f t="shared" si="286"/>
        <v>0</v>
      </c>
      <c r="Z1568" s="40">
        <f t="shared" si="289"/>
        <v>-428.7814039</v>
      </c>
      <c r="AA1568" s="34">
        <f t="shared" si="290"/>
        <v>0</v>
      </c>
      <c r="AB1568" s="41">
        <f t="shared" si="291"/>
        <v>0</v>
      </c>
      <c r="AC1568" s="42" t="b">
        <v>0</v>
      </c>
      <c r="AD1568" s="87" t="str">
        <f t="shared" si="287"/>
        <v>USD</v>
      </c>
      <c r="AE1568" s="88" t="s">
        <v>138</v>
      </c>
      <c r="AF1568" s="88" t="str">
        <f t="array" ref="AF1568">INDEX('Deal Info'!D:D, MATCH(A1568,'Deal Info'!A:A, 0))</f>
        <v>None</v>
      </c>
      <c r="AG1568" s="89" t="str">
        <f t="array" ref="AG1568">INDEX('Deal Info'!G:G, MATCH(A1568,'Deal Info'!A:A, 0))</f>
        <v>guilexperi</v>
      </c>
    </row>
    <row r="1569" hidden="1">
      <c r="A1569" s="23" t="str">
        <f t="array" ref="A1569">if(G1569='Room Info'!$B$1, INDEX('Room Info'!$A$2:$A3446, MATCH(B1569,'Room Info'!$B$2:$B3446, 0)),if(G1569='Room Info'!$C$1, INDEX('Room Info'!$A$2:$A3446, MATCH(B1569,'Room Info'!$C$2:$C3446, 0)),if(G1569='Room Info'!$D$1, INDEX('Room Info'!$A$2:$A3446, MATCH(B1569,'Room Info'!$D$2:$D3446, 0)),if(G1569='Room Info'!$E$1, INDEX('Room Info'!$A$2:$A3446, MATCH(B1569,'Room Info'!$E$2:$E3446, 0)),if(G1569='Room Info'!$F$1, INDEX('Room Info'!$A$2:$A3446, MATCH(B1569,'Room Info'!$F$2:$F3446, 0)),if(G1569='Room Info'!$H$1, INDEX('Room Info'!$A$2:$A3446, MATCH(B1569,'Room Info'!$H$2:$H3446, 0)),if(G1569='Room Info'!$G$1, INDEX('Room Info'!$A$2:$A3446, MATCH(B1569,'Room Info'!$G$2:$G3446, 0)))))))))</f>
        <v>guilexperi</v>
      </c>
      <c r="B1569" s="59" t="s">
        <v>218</v>
      </c>
      <c r="C1569" s="115">
        <v>44958.0</v>
      </c>
      <c r="D1569" s="115">
        <v>44985.0</v>
      </c>
      <c r="E1569" s="85">
        <v>44958.0</v>
      </c>
      <c r="F1569" s="101" t="s">
        <v>8</v>
      </c>
      <c r="G1569" s="70" t="s">
        <v>5</v>
      </c>
      <c r="H1569" s="54" t="s">
        <v>107</v>
      </c>
      <c r="I1569" s="96" t="s">
        <v>15</v>
      </c>
      <c r="J1569" s="44">
        <f t="shared" si="288"/>
        <v>1000</v>
      </c>
      <c r="K1569" s="56">
        <v>17.0</v>
      </c>
      <c r="L1569" s="57">
        <v>799.0</v>
      </c>
      <c r="M1569" s="67">
        <v>131.99513241338067</v>
      </c>
      <c r="N1569" s="33">
        <f t="shared" si="276"/>
        <v>17000</v>
      </c>
      <c r="O1569" s="59">
        <v>-66.0</v>
      </c>
      <c r="P1569" s="34">
        <f t="shared" si="277"/>
        <v>-3.882352941</v>
      </c>
      <c r="Q1569" s="60"/>
      <c r="R1569" s="36">
        <f t="shared" si="283"/>
        <v>131.9951324</v>
      </c>
      <c r="S1569" s="61">
        <v>-189.0</v>
      </c>
      <c r="T1569" s="37">
        <f t="shared" si="284"/>
        <v>-57.00486759</v>
      </c>
      <c r="U1569" s="62">
        <v>1.0617</v>
      </c>
      <c r="V1569" s="74"/>
      <c r="W1569" s="74"/>
      <c r="X1569" s="35" t="b">
        <f t="shared" si="285"/>
        <v>0</v>
      </c>
      <c r="Y1569" s="35">
        <f t="shared" si="286"/>
        <v>0</v>
      </c>
      <c r="Z1569" s="40">
        <f t="shared" si="289"/>
        <v>-57.00486759</v>
      </c>
      <c r="AA1569" s="34">
        <f t="shared" si="290"/>
        <v>0</v>
      </c>
      <c r="AB1569" s="41">
        <f t="shared" si="291"/>
        <v>0</v>
      </c>
      <c r="AC1569" s="42" t="b">
        <v>0</v>
      </c>
      <c r="AD1569" s="87" t="str">
        <f t="shared" si="287"/>
        <v>USD</v>
      </c>
      <c r="AE1569" s="88" t="s">
        <v>138</v>
      </c>
      <c r="AF1569" s="88" t="str">
        <f t="array" ref="AF1569">INDEX('Deal Info'!D:D, MATCH(A1569,'Deal Info'!A:A, 0))</f>
        <v>None</v>
      </c>
      <c r="AG1569" s="89" t="str">
        <f t="array" ref="AG1569">INDEX('Deal Info'!G:G, MATCH(A1569,'Deal Info'!A:A, 0))</f>
        <v>guilexperi</v>
      </c>
    </row>
    <row r="1570" hidden="1">
      <c r="A1570" s="23" t="str">
        <f t="array" ref="A1570">if(G1570='Room Info'!$B$1, INDEX('Room Info'!$A$2:$A3446, MATCH(B1570,'Room Info'!$B$2:$B3446, 0)),if(G1570='Room Info'!$C$1, INDEX('Room Info'!$A$2:$A3446, MATCH(B1570,'Room Info'!$C$2:$C3446, 0)),if(G1570='Room Info'!$D$1, INDEX('Room Info'!$A$2:$A3446, MATCH(B1570,'Room Info'!$D$2:$D3446, 0)),if(G1570='Room Info'!$E$1, INDEX('Room Info'!$A$2:$A3446, MATCH(B1570,'Room Info'!$E$2:$E3446, 0)),if(G1570='Room Info'!$F$1, INDEX('Room Info'!$A$2:$A3446, MATCH(B1570,'Room Info'!$F$2:$F3446, 0)),if(G1570='Room Info'!$H$1, INDEX('Room Info'!$A$2:$A3446, MATCH(B1570,'Room Info'!$H$2:$H3446, 0)),if(G1570='Room Info'!$G$1, INDEX('Room Info'!$A$2:$A3446, MATCH(B1570,'Room Info'!$G$2:$G3446, 0)))))))))</f>
        <v>guilexperi</v>
      </c>
      <c r="B1570" s="59" t="s">
        <v>218</v>
      </c>
      <c r="C1570" s="115">
        <v>44958.0</v>
      </c>
      <c r="D1570" s="115">
        <v>44985.0</v>
      </c>
      <c r="E1570" s="85">
        <v>44958.0</v>
      </c>
      <c r="F1570" s="101" t="s">
        <v>8</v>
      </c>
      <c r="G1570" s="70" t="s">
        <v>5</v>
      </c>
      <c r="H1570" s="59" t="s">
        <v>106</v>
      </c>
      <c r="I1570" s="105" t="s">
        <v>7</v>
      </c>
      <c r="J1570" s="44">
        <f t="shared" si="288"/>
        <v>1000</v>
      </c>
      <c r="K1570" s="56">
        <v>165.0</v>
      </c>
      <c r="L1570" s="57">
        <v>4000.0</v>
      </c>
      <c r="M1570" s="67">
        <v>5734.687673971198</v>
      </c>
      <c r="N1570" s="33">
        <f t="shared" si="276"/>
        <v>165000</v>
      </c>
      <c r="O1570" s="59">
        <v>9330.0</v>
      </c>
      <c r="P1570" s="34">
        <f t="shared" si="277"/>
        <v>56.54545455</v>
      </c>
      <c r="Q1570" s="60"/>
      <c r="R1570" s="36">
        <f t="shared" si="283"/>
        <v>5734.687674</v>
      </c>
      <c r="S1570" s="61">
        <v>10508.0</v>
      </c>
      <c r="T1570" s="37">
        <f t="shared" si="284"/>
        <v>16242.68767</v>
      </c>
      <c r="U1570" s="62">
        <v>1.0617</v>
      </c>
      <c r="V1570" s="74"/>
      <c r="W1570" s="74"/>
      <c r="X1570" s="35" t="b">
        <f t="shared" si="285"/>
        <v>0</v>
      </c>
      <c r="Y1570" s="35">
        <f t="shared" si="286"/>
        <v>0</v>
      </c>
      <c r="Z1570" s="40">
        <f t="shared" si="289"/>
        <v>16242.68767</v>
      </c>
      <c r="AA1570" s="34">
        <f t="shared" si="290"/>
        <v>0</v>
      </c>
      <c r="AB1570" s="41">
        <f t="shared" si="291"/>
        <v>0</v>
      </c>
      <c r="AC1570" s="42" t="b">
        <v>0</v>
      </c>
      <c r="AD1570" s="87" t="str">
        <f t="shared" si="287"/>
        <v>USD</v>
      </c>
      <c r="AE1570" s="88" t="s">
        <v>138</v>
      </c>
      <c r="AF1570" s="88" t="str">
        <f t="array" ref="AF1570">INDEX('Deal Info'!D:D, MATCH(A1570,'Deal Info'!A:A, 0))</f>
        <v>None</v>
      </c>
      <c r="AG1570" s="89" t="str">
        <f t="array" ref="AG1570">INDEX('Deal Info'!G:G, MATCH(A1570,'Deal Info'!A:A, 0))</f>
        <v>guilexperi</v>
      </c>
    </row>
    <row r="1571" hidden="1">
      <c r="A1571" s="23" t="str">
        <f t="array" ref="A1571">if(G1571='Room Info'!$B$1, INDEX('Room Info'!$A$2:$A3446, MATCH(B1571,'Room Info'!$B$2:$B3446, 0)),if(G1571='Room Info'!$C$1, INDEX('Room Info'!$A$2:$A3446, MATCH(B1571,'Room Info'!$C$2:$C3446, 0)),if(G1571='Room Info'!$D$1, INDEX('Room Info'!$A$2:$A3446, MATCH(B1571,'Room Info'!$D$2:$D3446, 0)),if(G1571='Room Info'!$E$1, INDEX('Room Info'!$A$2:$A3446, MATCH(B1571,'Room Info'!$E$2:$E3446, 0)),if(G1571='Room Info'!$F$1, INDEX('Room Info'!$A$2:$A3446, MATCH(B1571,'Room Info'!$F$2:$F3446, 0)),if(G1571='Room Info'!$H$1, INDEX('Room Info'!$A$2:$A3446, MATCH(B1571,'Room Info'!$H$2:$H3446, 0)),if(G1571='Room Info'!$G$1, INDEX('Room Info'!$A$2:$A3446, MATCH(B1571,'Room Info'!$G$2:$G3446, 0)))))))))</f>
        <v>volkovsky</v>
      </c>
      <c r="B1571" s="59" t="s">
        <v>216</v>
      </c>
      <c r="C1571" s="51">
        <v>44978.0</v>
      </c>
      <c r="D1571" s="51">
        <v>45005.0</v>
      </c>
      <c r="E1571" s="95">
        <v>44986.0</v>
      </c>
      <c r="F1571" s="53" t="s">
        <v>4</v>
      </c>
      <c r="G1571" s="70" t="s">
        <v>5</v>
      </c>
      <c r="H1571" s="54" t="s">
        <v>85</v>
      </c>
      <c r="I1571" s="105" t="s">
        <v>7</v>
      </c>
      <c r="J1571" s="44">
        <f t="shared" si="288"/>
        <v>100</v>
      </c>
      <c r="K1571" s="56">
        <v>442.0</v>
      </c>
      <c r="L1571" s="57">
        <v>100.0</v>
      </c>
      <c r="M1571" s="58">
        <v>9600.0</v>
      </c>
      <c r="N1571" s="33">
        <f t="shared" si="276"/>
        <v>44200</v>
      </c>
      <c r="O1571" s="59">
        <v>5586.0</v>
      </c>
      <c r="P1571" s="34">
        <f t="shared" si="277"/>
        <v>12.63800905</v>
      </c>
      <c r="Q1571" s="60"/>
      <c r="R1571" s="36">
        <f t="shared" si="283"/>
        <v>9600</v>
      </c>
      <c r="S1571" s="61">
        <v>-1651.0</v>
      </c>
      <c r="T1571" s="37">
        <f t="shared" si="284"/>
        <v>7949</v>
      </c>
      <c r="U1571" s="62">
        <v>1.071</v>
      </c>
      <c r="V1571" s="74">
        <v>146.82203389830508</v>
      </c>
      <c r="W1571" s="74">
        <v>54.14037518037518</v>
      </c>
      <c r="X1571" s="35">
        <f t="shared" si="285"/>
        <v>0.1</v>
      </c>
      <c r="Y1571" s="35">
        <f t="shared" si="286"/>
        <v>0</v>
      </c>
      <c r="Z1571" s="40">
        <f t="shared" si="289"/>
        <v>7154.1</v>
      </c>
      <c r="AA1571" s="34">
        <f t="shared" si="290"/>
        <v>794.9</v>
      </c>
      <c r="AB1571" s="41">
        <f t="shared" si="291"/>
        <v>0</v>
      </c>
      <c r="AC1571" s="66" t="b">
        <v>1</v>
      </c>
      <c r="AD1571" s="87" t="str">
        <f t="shared" si="287"/>
        <v>USD</v>
      </c>
      <c r="AE1571" s="88" t="s">
        <v>138</v>
      </c>
      <c r="AF1571" s="88" t="str">
        <f t="array" ref="AF1571">INDEX('Deal Info'!D:D, MATCH(A1571,'Deal Info'!A:A, 0))</f>
        <v>Fix10</v>
      </c>
      <c r="AG1571" s="89" t="str">
        <f t="array" ref="AG1571">INDEX('Deal Info'!G:G, MATCH(A1571,'Deal Info'!A:A, 0))</f>
        <v>None</v>
      </c>
    </row>
    <row r="1572" hidden="1">
      <c r="A1572" s="23" t="str">
        <f t="array" ref="A1572">if(G1572='Room Info'!$B$1, INDEX('Room Info'!$A$2:$A3446, MATCH(B1572,'Room Info'!$B$2:$B3446, 0)),if(G1572='Room Info'!$C$1, INDEX('Room Info'!$A$2:$A3446, MATCH(B1572,'Room Info'!$C$2:$C3446, 0)),if(G1572='Room Info'!$D$1, INDEX('Room Info'!$A$2:$A3446, MATCH(B1572,'Room Info'!$D$2:$D3446, 0)),if(G1572='Room Info'!$E$1, INDEX('Room Info'!$A$2:$A3446, MATCH(B1572,'Room Info'!$E$2:$E3446, 0)),if(G1572='Room Info'!$F$1, INDEX('Room Info'!$A$2:$A3446, MATCH(B1572,'Room Info'!$F$2:$F3446, 0)),if(G1572='Room Info'!$H$1, INDEX('Room Info'!$A$2:$A3446, MATCH(B1572,'Room Info'!$H$2:$H3446, 0)),if(G1572='Room Info'!$G$1, INDEX('Room Info'!$A$2:$A3446, MATCH(B1572,'Room Info'!$G$2:$G3446, 0)))))))))</f>
        <v>volkovsky</v>
      </c>
      <c r="B1572" s="59" t="s">
        <v>216</v>
      </c>
      <c r="C1572" s="51">
        <v>44978.0</v>
      </c>
      <c r="D1572" s="51">
        <v>45005.0</v>
      </c>
      <c r="E1572" s="95">
        <v>44986.0</v>
      </c>
      <c r="F1572" s="53" t="s">
        <v>4</v>
      </c>
      <c r="G1572" s="70" t="s">
        <v>5</v>
      </c>
      <c r="H1572" s="59" t="s">
        <v>86</v>
      </c>
      <c r="I1572" s="59" t="s">
        <v>11</v>
      </c>
      <c r="J1572" s="44">
        <f t="shared" si="288"/>
        <v>100</v>
      </c>
      <c r="K1572" s="56">
        <v>45.0</v>
      </c>
      <c r="L1572" s="57">
        <v>700.0</v>
      </c>
      <c r="M1572" s="67"/>
      <c r="N1572" s="33">
        <f t="shared" si="276"/>
        <v>4500</v>
      </c>
      <c r="O1572" s="59">
        <v>-1249.0</v>
      </c>
      <c r="P1572" s="34">
        <f t="shared" si="277"/>
        <v>-27.75555556</v>
      </c>
      <c r="Q1572" s="60"/>
      <c r="R1572" s="36">
        <f t="shared" si="283"/>
        <v>0</v>
      </c>
      <c r="S1572" s="71"/>
      <c r="T1572" s="37">
        <f t="shared" si="284"/>
        <v>0</v>
      </c>
      <c r="U1572" s="62">
        <v>1.071</v>
      </c>
      <c r="V1572" s="74">
        <v>146.82203389830508</v>
      </c>
      <c r="W1572" s="74">
        <v>54.14037518037518</v>
      </c>
      <c r="X1572" s="35">
        <f t="shared" si="285"/>
        <v>0.1</v>
      </c>
      <c r="Y1572" s="35">
        <f t="shared" si="286"/>
        <v>0</v>
      </c>
      <c r="Z1572" s="40">
        <f t="shared" si="289"/>
        <v>0</v>
      </c>
      <c r="AA1572" s="34">
        <f t="shared" si="290"/>
        <v>0</v>
      </c>
      <c r="AB1572" s="41">
        <f t="shared" si="291"/>
        <v>0</v>
      </c>
      <c r="AC1572" s="66" t="b">
        <v>1</v>
      </c>
      <c r="AD1572" s="87" t="str">
        <f t="shared" si="287"/>
        <v>USD</v>
      </c>
      <c r="AE1572" s="88" t="s">
        <v>138</v>
      </c>
      <c r="AF1572" s="88" t="str">
        <f t="array" ref="AF1572">INDEX('Deal Info'!D:D, MATCH(A1572,'Deal Info'!A:A, 0))</f>
        <v>Fix10</v>
      </c>
      <c r="AG1572" s="89" t="str">
        <f t="array" ref="AG1572">INDEX('Deal Info'!G:G, MATCH(A1572,'Deal Info'!A:A, 0))</f>
        <v>None</v>
      </c>
    </row>
    <row r="1573" hidden="1">
      <c r="A1573" s="23" t="str">
        <f t="array" ref="A1573">if(G1573='Room Info'!$B$1, INDEX('Room Info'!$A$2:$A3446, MATCH(B1573,'Room Info'!$B$2:$B3446, 0)),if(G1573='Room Info'!$C$1, INDEX('Room Info'!$A$2:$A3446, MATCH(B1573,'Room Info'!$C$2:$C3446, 0)),if(G1573='Room Info'!$D$1, INDEX('Room Info'!$A$2:$A3446, MATCH(B1573,'Room Info'!$D$2:$D3446, 0)),if(G1573='Room Info'!$E$1, INDEX('Room Info'!$A$2:$A3446, MATCH(B1573,'Room Info'!$E$2:$E3446, 0)),if(G1573='Room Info'!$F$1, INDEX('Room Info'!$A$2:$A3446, MATCH(B1573,'Room Info'!$F$2:$F3446, 0)),if(G1573='Room Info'!$H$1, INDEX('Room Info'!$A$2:$A3446, MATCH(B1573,'Room Info'!$H$2:$H3446, 0)),if(G1573='Room Info'!$G$1, INDEX('Room Info'!$A$2:$A3446, MATCH(B1573,'Room Info'!$G$2:$G3446, 0)))))))))</f>
        <v>volkovsky</v>
      </c>
      <c r="B1573" s="59" t="s">
        <v>216</v>
      </c>
      <c r="C1573" s="51">
        <v>44978.0</v>
      </c>
      <c r="D1573" s="51">
        <v>45005.0</v>
      </c>
      <c r="E1573" s="95">
        <v>44986.0</v>
      </c>
      <c r="F1573" s="53" t="s">
        <v>4</v>
      </c>
      <c r="G1573" s="70" t="s">
        <v>5</v>
      </c>
      <c r="H1573" s="59" t="s">
        <v>96</v>
      </c>
      <c r="I1573" s="105" t="s">
        <v>7</v>
      </c>
      <c r="J1573" s="44">
        <f t="shared" si="288"/>
        <v>250</v>
      </c>
      <c r="K1573" s="56">
        <v>87.0</v>
      </c>
      <c r="L1573" s="57">
        <v>2750.0</v>
      </c>
      <c r="M1573" s="67"/>
      <c r="N1573" s="33">
        <f t="shared" si="276"/>
        <v>21750</v>
      </c>
      <c r="O1573" s="59">
        <v>5616.0</v>
      </c>
      <c r="P1573" s="34">
        <f t="shared" si="277"/>
        <v>64.55172414</v>
      </c>
      <c r="Q1573" s="60"/>
      <c r="R1573" s="36">
        <f t="shared" si="283"/>
        <v>0</v>
      </c>
      <c r="S1573" s="71"/>
      <c r="T1573" s="37">
        <f t="shared" si="284"/>
        <v>0</v>
      </c>
      <c r="U1573" s="62">
        <v>1.071</v>
      </c>
      <c r="V1573" s="74">
        <v>146.82203389830508</v>
      </c>
      <c r="W1573" s="74">
        <v>54.14037518037518</v>
      </c>
      <c r="X1573" s="35">
        <f t="shared" si="285"/>
        <v>0.1</v>
      </c>
      <c r="Y1573" s="35">
        <f t="shared" si="286"/>
        <v>0</v>
      </c>
      <c r="Z1573" s="40">
        <f t="shared" si="289"/>
        <v>0</v>
      </c>
      <c r="AA1573" s="34">
        <f t="shared" si="290"/>
        <v>0</v>
      </c>
      <c r="AB1573" s="41">
        <f t="shared" si="291"/>
        <v>0</v>
      </c>
      <c r="AC1573" s="66" t="b">
        <v>1</v>
      </c>
      <c r="AD1573" s="87" t="str">
        <f t="shared" si="287"/>
        <v>USD</v>
      </c>
      <c r="AE1573" s="88" t="s">
        <v>138</v>
      </c>
      <c r="AF1573" s="88" t="str">
        <f t="array" ref="AF1573">INDEX('Deal Info'!D:D, MATCH(A1573,'Deal Info'!A:A, 0))</f>
        <v>Fix10</v>
      </c>
      <c r="AG1573" s="89" t="str">
        <f t="array" ref="AG1573">INDEX('Deal Info'!G:G, MATCH(A1573,'Deal Info'!A:A, 0))</f>
        <v>None</v>
      </c>
    </row>
    <row r="1574" hidden="1">
      <c r="A1574" s="23" t="str">
        <f t="array" ref="A1574">if(G1574='Room Info'!$B$1, INDEX('Room Info'!$A$2:$A3446, MATCH(B1574,'Room Info'!$B$2:$B3446, 0)),if(G1574='Room Info'!$C$1, INDEX('Room Info'!$A$2:$A3446, MATCH(B1574,'Room Info'!$C$2:$C3446, 0)),if(G1574='Room Info'!$D$1, INDEX('Room Info'!$A$2:$A3446, MATCH(B1574,'Room Info'!$D$2:$D3446, 0)),if(G1574='Room Info'!$E$1, INDEX('Room Info'!$A$2:$A3446, MATCH(B1574,'Room Info'!$E$2:$E3446, 0)),if(G1574='Room Info'!$F$1, INDEX('Room Info'!$A$2:$A3446, MATCH(B1574,'Room Info'!$F$2:$F3446, 0)),if(G1574='Room Info'!$H$1, INDEX('Room Info'!$A$2:$A3446, MATCH(B1574,'Room Info'!$H$2:$H3446, 0)),if(G1574='Room Info'!$G$1, INDEX('Room Info'!$A$2:$A3446, MATCH(B1574,'Room Info'!$G$2:$G3446, 0)))))))))</f>
        <v>volkovsky</v>
      </c>
      <c r="B1574" s="59" t="s">
        <v>216</v>
      </c>
      <c r="C1574" s="51">
        <v>44978.0</v>
      </c>
      <c r="D1574" s="51">
        <v>45005.0</v>
      </c>
      <c r="E1574" s="95">
        <v>44986.0</v>
      </c>
      <c r="F1574" s="53" t="s">
        <v>4</v>
      </c>
      <c r="G1574" s="70" t="s">
        <v>5</v>
      </c>
      <c r="H1574" s="59" t="s">
        <v>97</v>
      </c>
      <c r="I1574" s="59" t="s">
        <v>11</v>
      </c>
      <c r="J1574" s="44">
        <f t="shared" si="288"/>
        <v>250</v>
      </c>
      <c r="K1574" s="56">
        <v>134.0</v>
      </c>
      <c r="L1574" s="57">
        <v>-5750.0</v>
      </c>
      <c r="M1574" s="67"/>
      <c r="N1574" s="33">
        <f t="shared" si="276"/>
        <v>33500</v>
      </c>
      <c r="O1574" s="59">
        <v>898.0</v>
      </c>
      <c r="P1574" s="34">
        <f t="shared" si="277"/>
        <v>6.701492537</v>
      </c>
      <c r="Q1574" s="60"/>
      <c r="R1574" s="36">
        <f t="shared" si="283"/>
        <v>0</v>
      </c>
      <c r="S1574" s="71"/>
      <c r="T1574" s="37">
        <f t="shared" si="284"/>
        <v>0</v>
      </c>
      <c r="U1574" s="62">
        <v>1.071</v>
      </c>
      <c r="V1574" s="74">
        <v>146.82203389830508</v>
      </c>
      <c r="W1574" s="74">
        <v>54.14037518037518</v>
      </c>
      <c r="X1574" s="35">
        <f t="shared" si="285"/>
        <v>0.1</v>
      </c>
      <c r="Y1574" s="35">
        <f t="shared" si="286"/>
        <v>0</v>
      </c>
      <c r="Z1574" s="40">
        <f t="shared" si="289"/>
        <v>0</v>
      </c>
      <c r="AA1574" s="34">
        <f t="shared" si="290"/>
        <v>0</v>
      </c>
      <c r="AB1574" s="41">
        <f t="shared" si="291"/>
        <v>0</v>
      </c>
      <c r="AC1574" s="66" t="b">
        <v>1</v>
      </c>
      <c r="AD1574" s="87" t="str">
        <f t="shared" si="287"/>
        <v>USD</v>
      </c>
      <c r="AE1574" s="88" t="s">
        <v>138</v>
      </c>
      <c r="AF1574" s="88" t="str">
        <f t="array" ref="AF1574">INDEX('Deal Info'!D:D, MATCH(A1574,'Deal Info'!A:A, 0))</f>
        <v>Fix10</v>
      </c>
      <c r="AG1574" s="89" t="str">
        <f t="array" ref="AG1574">INDEX('Deal Info'!G:G, MATCH(A1574,'Deal Info'!A:A, 0))</f>
        <v>None</v>
      </c>
    </row>
    <row r="1575" hidden="1">
      <c r="A1575" s="23" t="str">
        <f t="array" ref="A1575">if(G1575='Room Info'!$B$1, INDEX('Room Info'!$A$2:$A3446, MATCH(B1575,'Room Info'!$B$2:$B3446, 0)),if(G1575='Room Info'!$C$1, INDEX('Room Info'!$A$2:$A3446, MATCH(B1575,'Room Info'!$C$2:$C3446, 0)),if(G1575='Room Info'!$D$1, INDEX('Room Info'!$A$2:$A3446, MATCH(B1575,'Room Info'!$D$2:$D3446, 0)),if(G1575='Room Info'!$E$1, INDEX('Room Info'!$A$2:$A3446, MATCH(B1575,'Room Info'!$E$2:$E3446, 0)),if(G1575='Room Info'!$F$1, INDEX('Room Info'!$A$2:$A3446, MATCH(B1575,'Room Info'!$F$2:$F3446, 0)),if(G1575='Room Info'!$H$1, INDEX('Room Info'!$A$2:$A3446, MATCH(B1575,'Room Info'!$H$2:$H3446, 0)),if(G1575='Room Info'!$G$1, INDEX('Room Info'!$A$2:$A3446, MATCH(B1575,'Room Info'!$G$2:$G3446, 0)))))))))</f>
        <v>Farodit</v>
      </c>
      <c r="B1575" s="50" t="s">
        <v>193</v>
      </c>
      <c r="C1575" s="51">
        <v>44978.0</v>
      </c>
      <c r="D1575" s="51">
        <v>45005.0</v>
      </c>
      <c r="E1575" s="95">
        <v>44986.0</v>
      </c>
      <c r="F1575" s="53" t="s">
        <v>4</v>
      </c>
      <c r="G1575" s="70" t="s">
        <v>5</v>
      </c>
      <c r="H1575" s="54" t="s">
        <v>45</v>
      </c>
      <c r="I1575" s="105" t="s">
        <v>7</v>
      </c>
      <c r="J1575" s="44">
        <f t="shared" si="288"/>
        <v>10</v>
      </c>
      <c r="K1575" s="56">
        <v>48.0</v>
      </c>
      <c r="L1575" s="57">
        <v>-20.0</v>
      </c>
      <c r="M1575" s="58">
        <v>10.0</v>
      </c>
      <c r="N1575" s="33">
        <f t="shared" si="276"/>
        <v>480</v>
      </c>
      <c r="O1575" s="59">
        <v>2717.0</v>
      </c>
      <c r="P1575" s="34">
        <f t="shared" si="277"/>
        <v>56.60416667</v>
      </c>
      <c r="Q1575" s="60"/>
      <c r="R1575" s="36">
        <f t="shared" si="283"/>
        <v>10</v>
      </c>
      <c r="S1575" s="61">
        <v>2352.0</v>
      </c>
      <c r="T1575" s="37">
        <f t="shared" si="284"/>
        <v>2362</v>
      </c>
      <c r="U1575" s="62">
        <v>1.071</v>
      </c>
      <c r="V1575" s="74">
        <v>18.475536992840095</v>
      </c>
      <c r="W1575" s="74">
        <v>127.8447279186178</v>
      </c>
      <c r="X1575" s="35">
        <f t="shared" si="285"/>
        <v>0.17</v>
      </c>
      <c r="Y1575" s="35">
        <f t="shared" si="286"/>
        <v>0</v>
      </c>
      <c r="Z1575" s="40">
        <f t="shared" si="289"/>
        <v>1960.46</v>
      </c>
      <c r="AA1575" s="34">
        <f t="shared" si="290"/>
        <v>401.54</v>
      </c>
      <c r="AB1575" s="41">
        <f t="shared" si="291"/>
        <v>0</v>
      </c>
      <c r="AC1575" s="42" t="b">
        <v>0</v>
      </c>
      <c r="AD1575" s="87" t="str">
        <f t="shared" si="287"/>
        <v>USD</v>
      </c>
      <c r="AE1575" s="88" t="s">
        <v>138</v>
      </c>
      <c r="AF1575" s="88" t="str">
        <f t="array" ref="AF1575">INDEX('Deal Info'!D:D, MATCH(A1575,'Deal Info'!A:A, 0))</f>
        <v>DoEV</v>
      </c>
      <c r="AG1575" s="89" t="str">
        <f t="array" ref="AG1575">INDEX('Deal Info'!G:G, MATCH(A1575,'Deal Info'!A:A, 0))</f>
        <v>None</v>
      </c>
    </row>
    <row r="1576" hidden="1">
      <c r="A1576" s="23" t="str">
        <f t="array" ref="A1576">if(G1576='Room Info'!$B$1, INDEX('Room Info'!$A$2:$A3446, MATCH(B1576,'Room Info'!$B$2:$B3446, 0)),if(G1576='Room Info'!$C$1, INDEX('Room Info'!$A$2:$A3446, MATCH(B1576,'Room Info'!$C$2:$C3446, 0)),if(G1576='Room Info'!$D$1, INDEX('Room Info'!$A$2:$A3446, MATCH(B1576,'Room Info'!$D$2:$D3446, 0)),if(G1576='Room Info'!$E$1, INDEX('Room Info'!$A$2:$A3446, MATCH(B1576,'Room Info'!$E$2:$E3446, 0)),if(G1576='Room Info'!$F$1, INDEX('Room Info'!$A$2:$A3446, MATCH(B1576,'Room Info'!$F$2:$F3446, 0)),if(G1576='Room Info'!$H$1, INDEX('Room Info'!$A$2:$A3446, MATCH(B1576,'Room Info'!$H$2:$H3446, 0)),if(G1576='Room Info'!$G$1, INDEX('Room Info'!$A$2:$A3446, MATCH(B1576,'Room Info'!$G$2:$G3446, 0)))))))))</f>
        <v>Farodit</v>
      </c>
      <c r="B1576" s="50" t="s">
        <v>194</v>
      </c>
      <c r="C1576" s="51">
        <v>44978.0</v>
      </c>
      <c r="D1576" s="51">
        <v>45005.0</v>
      </c>
      <c r="E1576" s="95">
        <v>44986.0</v>
      </c>
      <c r="F1576" s="53" t="s">
        <v>4</v>
      </c>
      <c r="G1576" s="101" t="s">
        <v>22</v>
      </c>
      <c r="H1576" s="125" t="s">
        <v>51</v>
      </c>
      <c r="I1576" s="105" t="s">
        <v>7</v>
      </c>
      <c r="J1576" s="44">
        <f t="shared" si="288"/>
        <v>10</v>
      </c>
      <c r="K1576" s="56">
        <v>681.0</v>
      </c>
      <c r="L1576" s="57">
        <v>310.0</v>
      </c>
      <c r="M1576" s="67"/>
      <c r="N1576" s="33">
        <f t="shared" si="276"/>
        <v>6810</v>
      </c>
      <c r="O1576" s="59">
        <v>51460.0</v>
      </c>
      <c r="P1576" s="34">
        <f t="shared" si="277"/>
        <v>75.56534508</v>
      </c>
      <c r="Q1576" s="60"/>
      <c r="R1576" s="36">
        <f t="shared" si="283"/>
        <v>0</v>
      </c>
      <c r="S1576" s="71"/>
      <c r="T1576" s="37">
        <f t="shared" si="284"/>
        <v>0</v>
      </c>
      <c r="U1576" s="62">
        <v>1.071</v>
      </c>
      <c r="V1576" s="74">
        <v>18.475536992840095</v>
      </c>
      <c r="W1576" s="74">
        <v>127.8447279186178</v>
      </c>
      <c r="X1576" s="35">
        <f t="shared" si="285"/>
        <v>0.17</v>
      </c>
      <c r="Y1576" s="35">
        <f t="shared" si="286"/>
        <v>0</v>
      </c>
      <c r="Z1576" s="40">
        <f t="shared" si="289"/>
        <v>0</v>
      </c>
      <c r="AA1576" s="34">
        <f t="shared" si="290"/>
        <v>0</v>
      </c>
      <c r="AB1576" s="41">
        <f t="shared" si="291"/>
        <v>0</v>
      </c>
      <c r="AC1576" s="42" t="b">
        <v>0</v>
      </c>
      <c r="AD1576" s="87" t="str">
        <f t="shared" si="287"/>
        <v>EUR</v>
      </c>
      <c r="AE1576" s="88" t="s">
        <v>138</v>
      </c>
      <c r="AF1576" s="88" t="str">
        <f t="array" ref="AF1576">INDEX('Deal Info'!D:D, MATCH(A1576,'Deal Info'!A:A, 0))</f>
        <v>DoEV</v>
      </c>
      <c r="AG1576" s="89" t="str">
        <f t="array" ref="AG1576">INDEX('Deal Info'!G:G, MATCH(A1576,'Deal Info'!A:A, 0))</f>
        <v>None</v>
      </c>
    </row>
    <row r="1577" hidden="1">
      <c r="A1577" s="23" t="str">
        <f t="array" ref="A1577">if(G1577='Room Info'!$B$1, INDEX('Room Info'!$A$2:$A3446, MATCH(B1577,'Room Info'!$B$2:$B3446, 0)),if(G1577='Room Info'!$C$1, INDEX('Room Info'!$A$2:$A3446, MATCH(B1577,'Room Info'!$C$2:$C3446, 0)),if(G1577='Room Info'!$D$1, INDEX('Room Info'!$A$2:$A3446, MATCH(B1577,'Room Info'!$D$2:$D3446, 0)),if(G1577='Room Info'!$E$1, INDEX('Room Info'!$A$2:$A3446, MATCH(B1577,'Room Info'!$E$2:$E3446, 0)),if(G1577='Room Info'!$F$1, INDEX('Room Info'!$A$2:$A3446, MATCH(B1577,'Room Info'!$F$2:$F3446, 0)),if(G1577='Room Info'!$H$1, INDEX('Room Info'!$A$2:$A3446, MATCH(B1577,'Room Info'!$H$2:$H3446, 0)),if(G1577='Room Info'!$G$1, INDEX('Room Info'!$A$2:$A3446, MATCH(B1577,'Room Info'!$G$2:$G3446, 0)))))))))</f>
        <v>Farodit</v>
      </c>
      <c r="B1577" s="50" t="s">
        <v>194</v>
      </c>
      <c r="C1577" s="51">
        <v>44978.0</v>
      </c>
      <c r="D1577" s="51">
        <v>45005.0</v>
      </c>
      <c r="E1577" s="95">
        <v>44986.0</v>
      </c>
      <c r="F1577" s="53" t="s">
        <v>4</v>
      </c>
      <c r="G1577" s="101" t="s">
        <v>22</v>
      </c>
      <c r="H1577" s="114" t="s">
        <v>64</v>
      </c>
      <c r="I1577" s="105" t="s">
        <v>7</v>
      </c>
      <c r="J1577" s="44">
        <f t="shared" si="288"/>
        <v>25</v>
      </c>
      <c r="K1577" s="56">
        <v>947.0</v>
      </c>
      <c r="L1577" s="57">
        <v>2025.0</v>
      </c>
      <c r="M1577" s="67"/>
      <c r="N1577" s="33">
        <f t="shared" si="276"/>
        <v>23675</v>
      </c>
      <c r="O1577" s="59">
        <v>74048.0</v>
      </c>
      <c r="P1577" s="34">
        <f t="shared" si="277"/>
        <v>78.19218585</v>
      </c>
      <c r="Q1577" s="60"/>
      <c r="R1577" s="36">
        <f t="shared" si="283"/>
        <v>0</v>
      </c>
      <c r="S1577" s="71"/>
      <c r="T1577" s="37">
        <f t="shared" si="284"/>
        <v>0</v>
      </c>
      <c r="U1577" s="62">
        <v>1.071</v>
      </c>
      <c r="V1577" s="74">
        <v>18.475536992840095</v>
      </c>
      <c r="W1577" s="74">
        <v>127.8447279186178</v>
      </c>
      <c r="X1577" s="35">
        <f t="shared" si="285"/>
        <v>0.17</v>
      </c>
      <c r="Y1577" s="35">
        <f t="shared" si="286"/>
        <v>0</v>
      </c>
      <c r="Z1577" s="40">
        <f t="shared" si="289"/>
        <v>0</v>
      </c>
      <c r="AA1577" s="34">
        <f t="shared" si="290"/>
        <v>0</v>
      </c>
      <c r="AB1577" s="41">
        <f t="shared" si="291"/>
        <v>0</v>
      </c>
      <c r="AC1577" s="42" t="b">
        <v>0</v>
      </c>
      <c r="AD1577" s="87" t="str">
        <f t="shared" si="287"/>
        <v>EUR</v>
      </c>
      <c r="AE1577" s="88" t="s">
        <v>138</v>
      </c>
      <c r="AF1577" s="88" t="str">
        <f t="array" ref="AF1577">INDEX('Deal Info'!D:D, MATCH(A1577,'Deal Info'!A:A, 0))</f>
        <v>DoEV</v>
      </c>
      <c r="AG1577" s="89" t="str">
        <f t="array" ref="AG1577">INDEX('Deal Info'!G:G, MATCH(A1577,'Deal Info'!A:A, 0))</f>
        <v>None</v>
      </c>
    </row>
    <row r="1578" hidden="1">
      <c r="A1578" s="23" t="str">
        <f t="array" ref="A1578">if(G1578='Room Info'!$B$1, INDEX('Room Info'!$A$2:$A3446, MATCH(B1578,'Room Info'!$B$2:$B3446, 0)),if(G1578='Room Info'!$C$1, INDEX('Room Info'!$A$2:$A3446, MATCH(B1578,'Room Info'!$C$2:$C3446, 0)),if(G1578='Room Info'!$D$1, INDEX('Room Info'!$A$2:$A3446, MATCH(B1578,'Room Info'!$D$2:$D3446, 0)),if(G1578='Room Info'!$E$1, INDEX('Room Info'!$A$2:$A3446, MATCH(B1578,'Room Info'!$E$2:$E3446, 0)),if(G1578='Room Info'!$F$1, INDEX('Room Info'!$A$2:$A3446, MATCH(B1578,'Room Info'!$F$2:$F3446, 0)),if(G1578='Room Info'!$H$1, INDEX('Room Info'!$A$2:$A3446, MATCH(B1578,'Room Info'!$H$2:$H3446, 0)),if(G1578='Room Info'!$G$1, INDEX('Room Info'!$A$2:$A3446, MATCH(B1578,'Room Info'!$G$2:$G3446, 0)))))))))</f>
        <v>fig6</v>
      </c>
      <c r="B1578" s="50" t="s">
        <v>195</v>
      </c>
      <c r="C1578" s="51">
        <v>44978.0</v>
      </c>
      <c r="D1578" s="51">
        <v>45005.0</v>
      </c>
      <c r="E1578" s="95">
        <v>44986.0</v>
      </c>
      <c r="F1578" s="53" t="s">
        <v>4</v>
      </c>
      <c r="G1578" s="70" t="s">
        <v>5</v>
      </c>
      <c r="H1578" s="54" t="s">
        <v>85</v>
      </c>
      <c r="I1578" s="105" t="s">
        <v>7</v>
      </c>
      <c r="J1578" s="44">
        <f t="shared" si="288"/>
        <v>100</v>
      </c>
      <c r="K1578" s="56">
        <v>1118.0</v>
      </c>
      <c r="L1578" s="57">
        <v>-700.0</v>
      </c>
      <c r="M1578" s="58">
        <v>31700.0</v>
      </c>
      <c r="N1578" s="33">
        <f t="shared" si="276"/>
        <v>111800</v>
      </c>
      <c r="O1578" s="59">
        <v>35050.0</v>
      </c>
      <c r="P1578" s="34">
        <f t="shared" si="277"/>
        <v>31.35062612</v>
      </c>
      <c r="Q1578" s="60"/>
      <c r="R1578" s="36">
        <f t="shared" si="283"/>
        <v>31700</v>
      </c>
      <c r="S1578" s="61">
        <v>-4916.0</v>
      </c>
      <c r="T1578" s="37">
        <f t="shared" si="284"/>
        <v>26784</v>
      </c>
      <c r="U1578" s="62">
        <v>1.071</v>
      </c>
      <c r="V1578" s="63"/>
      <c r="W1578" s="63"/>
      <c r="X1578" s="35">
        <f t="shared" si="285"/>
        <v>0.1125</v>
      </c>
      <c r="Y1578" s="35">
        <f t="shared" si="286"/>
        <v>0.0375</v>
      </c>
      <c r="Z1578" s="40">
        <f t="shared" si="289"/>
        <v>22766.4</v>
      </c>
      <c r="AA1578" s="34">
        <f t="shared" si="290"/>
        <v>3013.2</v>
      </c>
      <c r="AB1578" s="41">
        <f t="shared" si="291"/>
        <v>1004.4</v>
      </c>
      <c r="AC1578" s="42" t="b">
        <v>0</v>
      </c>
      <c r="AD1578" s="87" t="str">
        <f t="shared" si="287"/>
        <v>USD</v>
      </c>
      <c r="AE1578" s="88" t="s">
        <v>138</v>
      </c>
      <c r="AF1578" s="88" t="str">
        <f t="array" ref="AF1578">INDEX('Deal Info'!D:D, MATCH(A1578,'Deal Info'!A:A, 0))</f>
        <v>Fix11.25</v>
      </c>
      <c r="AG1578" s="89" t="str">
        <f t="array" ref="AG1578">INDEX('Deal Info'!G:G, MATCH(A1578,'Deal Info'!A:A, 0))</f>
        <v>Fix3.75</v>
      </c>
    </row>
    <row r="1579" hidden="1">
      <c r="A1579" s="23" t="str">
        <f t="array" ref="A1579">if(G1579='Room Info'!$B$1, INDEX('Room Info'!$A$2:$A3446, MATCH(B1579,'Room Info'!$B$2:$B3446, 0)),if(G1579='Room Info'!$C$1, INDEX('Room Info'!$A$2:$A3446, MATCH(B1579,'Room Info'!$C$2:$C3446, 0)),if(G1579='Room Info'!$D$1, INDEX('Room Info'!$A$2:$A3446, MATCH(B1579,'Room Info'!$D$2:$D3446, 0)),if(G1579='Room Info'!$E$1, INDEX('Room Info'!$A$2:$A3446, MATCH(B1579,'Room Info'!$E$2:$E3446, 0)),if(G1579='Room Info'!$F$1, INDEX('Room Info'!$A$2:$A3446, MATCH(B1579,'Room Info'!$F$2:$F3446, 0)),if(G1579='Room Info'!$H$1, INDEX('Room Info'!$A$2:$A3446, MATCH(B1579,'Room Info'!$H$2:$H3446, 0)),if(G1579='Room Info'!$G$1, INDEX('Room Info'!$A$2:$A3446, MATCH(B1579,'Room Info'!$G$2:$G3446, 0)))))))))</f>
        <v>fig6</v>
      </c>
      <c r="B1579" s="50" t="s">
        <v>195</v>
      </c>
      <c r="C1579" s="51">
        <v>44978.0</v>
      </c>
      <c r="D1579" s="51">
        <v>45005.0</v>
      </c>
      <c r="E1579" s="95">
        <v>44986.0</v>
      </c>
      <c r="F1579" s="101" t="s">
        <v>12</v>
      </c>
      <c r="G1579" s="70" t="s">
        <v>5</v>
      </c>
      <c r="H1579" s="54" t="s">
        <v>87</v>
      </c>
      <c r="I1579" s="28" t="s">
        <v>15</v>
      </c>
      <c r="J1579" s="44">
        <f t="shared" si="288"/>
        <v>100</v>
      </c>
      <c r="K1579" s="56">
        <v>70.0</v>
      </c>
      <c r="L1579" s="57">
        <v>-1309.0</v>
      </c>
      <c r="M1579" s="67"/>
      <c r="N1579" s="33">
        <f t="shared" si="276"/>
        <v>7000</v>
      </c>
      <c r="O1579" s="70"/>
      <c r="P1579" s="34">
        <f t="shared" si="277"/>
        <v>0</v>
      </c>
      <c r="Q1579" s="60"/>
      <c r="R1579" s="36">
        <f t="shared" si="283"/>
        <v>0</v>
      </c>
      <c r="S1579" s="71"/>
      <c r="T1579" s="37">
        <f t="shared" si="284"/>
        <v>-1309</v>
      </c>
      <c r="U1579" s="62">
        <v>1.071</v>
      </c>
      <c r="V1579" s="63"/>
      <c r="W1579" s="63"/>
      <c r="X1579" s="35">
        <f t="shared" si="285"/>
        <v>0.1125</v>
      </c>
      <c r="Y1579" s="35">
        <f t="shared" si="286"/>
        <v>0.0375</v>
      </c>
      <c r="Z1579" s="40">
        <f t="shared" si="289"/>
        <v>-1112.65</v>
      </c>
      <c r="AA1579" s="34">
        <f t="shared" si="290"/>
        <v>-147.2625</v>
      </c>
      <c r="AB1579" s="41">
        <f t="shared" si="291"/>
        <v>-49.0875</v>
      </c>
      <c r="AC1579" s="42" t="b">
        <v>0</v>
      </c>
      <c r="AD1579" s="87" t="str">
        <f t="shared" si="287"/>
        <v>USD</v>
      </c>
      <c r="AE1579" s="88" t="s">
        <v>138</v>
      </c>
      <c r="AF1579" s="88" t="str">
        <f t="array" ref="AF1579">INDEX('Deal Info'!D:D, MATCH(A1579,'Deal Info'!A:A, 0))</f>
        <v>Fix11.25</v>
      </c>
      <c r="AG1579" s="89" t="str">
        <f t="array" ref="AG1579">INDEX('Deal Info'!G:G, MATCH(A1579,'Deal Info'!A:A, 0))</f>
        <v>Fix3.75</v>
      </c>
    </row>
    <row r="1580" hidden="1">
      <c r="A1580" s="23" t="str">
        <f t="array" ref="A1580">if(G1580='Room Info'!$B$1, INDEX('Room Info'!$A$2:$A3446, MATCH(B1580,'Room Info'!$B$2:$B3446, 0)),if(G1580='Room Info'!$C$1, INDEX('Room Info'!$A$2:$A3446, MATCH(B1580,'Room Info'!$C$2:$C3446, 0)),if(G1580='Room Info'!$D$1, INDEX('Room Info'!$A$2:$A3446, MATCH(B1580,'Room Info'!$D$2:$D3446, 0)),if(G1580='Room Info'!$E$1, INDEX('Room Info'!$A$2:$A3446, MATCH(B1580,'Room Info'!$E$2:$E3446, 0)),if(G1580='Room Info'!$F$1, INDEX('Room Info'!$A$2:$A3446, MATCH(B1580,'Room Info'!$F$2:$F3446, 0)),if(G1580='Room Info'!$H$1, INDEX('Room Info'!$A$2:$A3446, MATCH(B1580,'Room Info'!$H$2:$H3446, 0)),if(G1580='Room Info'!$G$1, INDEX('Room Info'!$A$2:$A3446, MATCH(B1580,'Room Info'!$G$2:$G3446, 0)))))))))</f>
        <v>fig6</v>
      </c>
      <c r="B1580" s="50" t="s">
        <v>195</v>
      </c>
      <c r="C1580" s="51">
        <v>44978.0</v>
      </c>
      <c r="D1580" s="51">
        <v>45005.0</v>
      </c>
      <c r="E1580" s="95">
        <v>44986.0</v>
      </c>
      <c r="F1580" s="53" t="s">
        <v>4</v>
      </c>
      <c r="G1580" s="70" t="s">
        <v>5</v>
      </c>
      <c r="H1580" s="54" t="s">
        <v>96</v>
      </c>
      <c r="I1580" s="105" t="s">
        <v>7</v>
      </c>
      <c r="J1580" s="44">
        <f t="shared" si="288"/>
        <v>250</v>
      </c>
      <c r="K1580" s="56">
        <v>767.0</v>
      </c>
      <c r="L1580" s="57">
        <v>2000.0</v>
      </c>
      <c r="M1580" s="67"/>
      <c r="N1580" s="33">
        <f t="shared" si="276"/>
        <v>191750</v>
      </c>
      <c r="O1580" s="59">
        <v>28830.0</v>
      </c>
      <c r="P1580" s="34">
        <f t="shared" si="277"/>
        <v>37.58800522</v>
      </c>
      <c r="Q1580" s="60"/>
      <c r="R1580" s="36">
        <f t="shared" si="283"/>
        <v>0</v>
      </c>
      <c r="S1580" s="71"/>
      <c r="T1580" s="37">
        <f t="shared" si="284"/>
        <v>0</v>
      </c>
      <c r="U1580" s="62">
        <v>1.071</v>
      </c>
      <c r="V1580" s="63"/>
      <c r="W1580" s="63"/>
      <c r="X1580" s="35">
        <f t="shared" si="285"/>
        <v>0.1125</v>
      </c>
      <c r="Y1580" s="35">
        <f t="shared" si="286"/>
        <v>0.0375</v>
      </c>
      <c r="Z1580" s="40">
        <f t="shared" si="289"/>
        <v>0</v>
      </c>
      <c r="AA1580" s="34">
        <f t="shared" si="290"/>
        <v>0</v>
      </c>
      <c r="AB1580" s="41">
        <f t="shared" si="291"/>
        <v>0</v>
      </c>
      <c r="AC1580" s="42" t="b">
        <v>0</v>
      </c>
      <c r="AD1580" s="87" t="str">
        <f t="shared" si="287"/>
        <v>USD</v>
      </c>
      <c r="AE1580" s="88" t="s">
        <v>138</v>
      </c>
      <c r="AF1580" s="88" t="str">
        <f t="array" ref="AF1580">INDEX('Deal Info'!D:D, MATCH(A1580,'Deal Info'!A:A, 0))</f>
        <v>Fix11.25</v>
      </c>
      <c r="AG1580" s="89" t="str">
        <f t="array" ref="AG1580">INDEX('Deal Info'!G:G, MATCH(A1580,'Deal Info'!A:A, 0))</f>
        <v>Fix3.75</v>
      </c>
    </row>
    <row r="1581" hidden="1">
      <c r="A1581" s="23" t="str">
        <f t="array" ref="A1581">if(G1581='Room Info'!$B$1, INDEX('Room Info'!$A$2:$A3446, MATCH(B1581,'Room Info'!$B$2:$B3446, 0)),if(G1581='Room Info'!$C$1, INDEX('Room Info'!$A$2:$A3446, MATCH(B1581,'Room Info'!$C$2:$C3446, 0)),if(G1581='Room Info'!$D$1, INDEX('Room Info'!$A$2:$A3446, MATCH(B1581,'Room Info'!$D$2:$D3446, 0)),if(G1581='Room Info'!$E$1, INDEX('Room Info'!$A$2:$A3446, MATCH(B1581,'Room Info'!$E$2:$E3446, 0)),if(G1581='Room Info'!$F$1, INDEX('Room Info'!$A$2:$A3446, MATCH(B1581,'Room Info'!$F$2:$F3446, 0)),if(G1581='Room Info'!$H$1, INDEX('Room Info'!$A$2:$A3446, MATCH(B1581,'Room Info'!$H$2:$H3446, 0)),if(G1581='Room Info'!$G$1, INDEX('Room Info'!$A$2:$A3446, MATCH(B1581,'Room Info'!$G$2:$G3446, 0)))))))))</f>
        <v>fig6</v>
      </c>
      <c r="B1581" s="50" t="s">
        <v>195</v>
      </c>
      <c r="C1581" s="51">
        <v>44978.0</v>
      </c>
      <c r="D1581" s="51">
        <v>45005.0</v>
      </c>
      <c r="E1581" s="95">
        <v>44986.0</v>
      </c>
      <c r="F1581" s="53" t="s">
        <v>4</v>
      </c>
      <c r="G1581" s="70" t="s">
        <v>5</v>
      </c>
      <c r="H1581" s="96" t="s">
        <v>101</v>
      </c>
      <c r="I1581" s="105" t="s">
        <v>7</v>
      </c>
      <c r="J1581" s="44">
        <f t="shared" si="288"/>
        <v>500</v>
      </c>
      <c r="K1581" s="56">
        <v>206.0</v>
      </c>
      <c r="L1581" s="57">
        <v>-500.0</v>
      </c>
      <c r="M1581" s="67"/>
      <c r="N1581" s="33">
        <f t="shared" si="276"/>
        <v>103000</v>
      </c>
      <c r="O1581" s="59">
        <v>-2560.0</v>
      </c>
      <c r="P1581" s="34">
        <f t="shared" si="277"/>
        <v>-12.42718447</v>
      </c>
      <c r="Q1581" s="60"/>
      <c r="R1581" s="36">
        <f t="shared" si="283"/>
        <v>0</v>
      </c>
      <c r="S1581" s="71"/>
      <c r="T1581" s="37">
        <f t="shared" si="284"/>
        <v>0</v>
      </c>
      <c r="U1581" s="62">
        <v>1.071</v>
      </c>
      <c r="V1581" s="63"/>
      <c r="W1581" s="63"/>
      <c r="X1581" s="35">
        <f t="shared" si="285"/>
        <v>0.1125</v>
      </c>
      <c r="Y1581" s="35">
        <f t="shared" si="286"/>
        <v>0.0375</v>
      </c>
      <c r="Z1581" s="40">
        <f t="shared" si="289"/>
        <v>0</v>
      </c>
      <c r="AA1581" s="34">
        <f t="shared" si="290"/>
        <v>0</v>
      </c>
      <c r="AB1581" s="41">
        <f t="shared" si="291"/>
        <v>0</v>
      </c>
      <c r="AC1581" s="42" t="b">
        <v>0</v>
      </c>
      <c r="AD1581" s="87" t="str">
        <f t="shared" si="287"/>
        <v>USD</v>
      </c>
      <c r="AE1581" s="88" t="s">
        <v>138</v>
      </c>
      <c r="AF1581" s="88" t="str">
        <f t="array" ref="AF1581">INDEX('Deal Info'!D:D, MATCH(A1581,'Deal Info'!A:A, 0))</f>
        <v>Fix11.25</v>
      </c>
      <c r="AG1581" s="89" t="str">
        <f t="array" ref="AG1581">INDEX('Deal Info'!G:G, MATCH(A1581,'Deal Info'!A:A, 0))</f>
        <v>Fix3.75</v>
      </c>
    </row>
    <row r="1582" hidden="1">
      <c r="A1582" s="23" t="str">
        <f t="array" ref="A1582">if(G1582='Room Info'!$B$1, INDEX('Room Info'!$A$2:$A3446, MATCH(B1582,'Room Info'!$B$2:$B3446, 0)),if(G1582='Room Info'!$C$1, INDEX('Room Info'!$A$2:$A3446, MATCH(B1582,'Room Info'!$C$2:$C3446, 0)),if(G1582='Room Info'!$D$1, INDEX('Room Info'!$A$2:$A3446, MATCH(B1582,'Room Info'!$D$2:$D3446, 0)),if(G1582='Room Info'!$E$1, INDEX('Room Info'!$A$2:$A3446, MATCH(B1582,'Room Info'!$E$2:$E3446, 0)),if(G1582='Room Info'!$F$1, INDEX('Room Info'!$A$2:$A3446, MATCH(B1582,'Room Info'!$F$2:$F3446, 0)),if(G1582='Room Info'!$H$1, INDEX('Room Info'!$A$2:$A3446, MATCH(B1582,'Room Info'!$H$2:$H3446, 0)),if(G1582='Room Info'!$G$1, INDEX('Room Info'!$A$2:$A3446, MATCH(B1582,'Room Info'!$G$2:$G3446, 0)))))))))</f>
        <v>fig6</v>
      </c>
      <c r="B1582" s="50" t="s">
        <v>195</v>
      </c>
      <c r="C1582" s="51">
        <v>44978.0</v>
      </c>
      <c r="D1582" s="51">
        <v>45005.0</v>
      </c>
      <c r="E1582" s="95">
        <v>44986.0</v>
      </c>
      <c r="F1582" s="101" t="s">
        <v>12</v>
      </c>
      <c r="G1582" s="70" t="s">
        <v>5</v>
      </c>
      <c r="H1582" s="96" t="s">
        <v>103</v>
      </c>
      <c r="I1582" s="28" t="s">
        <v>15</v>
      </c>
      <c r="J1582" s="44">
        <f t="shared" si="288"/>
        <v>500</v>
      </c>
      <c r="K1582" s="56">
        <v>6.0</v>
      </c>
      <c r="L1582" s="57">
        <v>-1027.0</v>
      </c>
      <c r="M1582" s="67"/>
      <c r="N1582" s="33">
        <f t="shared" si="276"/>
        <v>3000</v>
      </c>
      <c r="O1582" s="70"/>
      <c r="P1582" s="34">
        <f t="shared" si="277"/>
        <v>0</v>
      </c>
      <c r="Q1582" s="60"/>
      <c r="R1582" s="36">
        <f t="shared" si="283"/>
        <v>0</v>
      </c>
      <c r="S1582" s="71"/>
      <c r="T1582" s="37">
        <f t="shared" si="284"/>
        <v>-1027</v>
      </c>
      <c r="U1582" s="62">
        <v>1.071</v>
      </c>
      <c r="V1582" s="63"/>
      <c r="W1582" s="63"/>
      <c r="X1582" s="35">
        <f t="shared" si="285"/>
        <v>0.1125</v>
      </c>
      <c r="Y1582" s="35">
        <f t="shared" si="286"/>
        <v>0.0375</v>
      </c>
      <c r="Z1582" s="40">
        <f t="shared" si="289"/>
        <v>-872.95</v>
      </c>
      <c r="AA1582" s="34">
        <f t="shared" si="290"/>
        <v>-115.5375</v>
      </c>
      <c r="AB1582" s="41">
        <f t="shared" si="291"/>
        <v>-38.5125</v>
      </c>
      <c r="AC1582" s="42" t="b">
        <v>0</v>
      </c>
      <c r="AD1582" s="87" t="str">
        <f t="shared" si="287"/>
        <v>USD</v>
      </c>
      <c r="AE1582" s="88" t="s">
        <v>138</v>
      </c>
      <c r="AF1582" s="88" t="str">
        <f t="array" ref="AF1582">INDEX('Deal Info'!D:D, MATCH(A1582,'Deal Info'!A:A, 0))</f>
        <v>Fix11.25</v>
      </c>
      <c r="AG1582" s="89" t="str">
        <f t="array" ref="AG1582">INDEX('Deal Info'!G:G, MATCH(A1582,'Deal Info'!A:A, 0))</f>
        <v>Fix3.75</v>
      </c>
    </row>
    <row r="1583" hidden="1">
      <c r="A1583" s="23" t="str">
        <f t="array" ref="A1583">if(G1583='Room Info'!$B$1, INDEX('Room Info'!$A$2:$A3446, MATCH(B1583,'Room Info'!$B$2:$B3446, 0)),if(G1583='Room Info'!$C$1, INDEX('Room Info'!$A$2:$A3446, MATCH(B1583,'Room Info'!$C$2:$C3446, 0)),if(G1583='Room Info'!$D$1, INDEX('Room Info'!$A$2:$A3446, MATCH(B1583,'Room Info'!$D$2:$D3446, 0)),if(G1583='Room Info'!$E$1, INDEX('Room Info'!$A$2:$A3446, MATCH(B1583,'Room Info'!$E$2:$E3446, 0)),if(G1583='Room Info'!$F$1, INDEX('Room Info'!$A$2:$A3446, MATCH(B1583,'Room Info'!$F$2:$F3446, 0)),if(G1583='Room Info'!$H$1, INDEX('Room Info'!$A$2:$A3446, MATCH(B1583,'Room Info'!$H$2:$H3446, 0)),if(G1583='Room Info'!$G$1, INDEX('Room Info'!$A$2:$A3446, MATCH(B1583,'Room Info'!$G$2:$G3446, 0)))))))))</f>
        <v>fig6</v>
      </c>
      <c r="B1583" s="50" t="s">
        <v>195</v>
      </c>
      <c r="C1583" s="51">
        <v>44978.0</v>
      </c>
      <c r="D1583" s="51">
        <v>45005.0</v>
      </c>
      <c r="E1583" s="95">
        <v>44986.0</v>
      </c>
      <c r="F1583" s="101" t="s">
        <v>12</v>
      </c>
      <c r="G1583" s="70" t="s">
        <v>5</v>
      </c>
      <c r="H1583" s="96" t="s">
        <v>94</v>
      </c>
      <c r="I1583" s="28" t="s">
        <v>15</v>
      </c>
      <c r="J1583" s="44">
        <f t="shared" si="288"/>
        <v>200</v>
      </c>
      <c r="K1583" s="56">
        <v>105.0</v>
      </c>
      <c r="L1583" s="57">
        <v>-3301.0</v>
      </c>
      <c r="M1583" s="67"/>
      <c r="N1583" s="33">
        <f t="shared" si="276"/>
        <v>21000</v>
      </c>
      <c r="O1583" s="70"/>
      <c r="P1583" s="34">
        <f t="shared" si="277"/>
        <v>0</v>
      </c>
      <c r="Q1583" s="60"/>
      <c r="R1583" s="36">
        <f t="shared" si="283"/>
        <v>0</v>
      </c>
      <c r="S1583" s="71"/>
      <c r="T1583" s="37">
        <f t="shared" si="284"/>
        <v>-3301</v>
      </c>
      <c r="U1583" s="62">
        <v>1.071</v>
      </c>
      <c r="V1583" s="63"/>
      <c r="W1583" s="63"/>
      <c r="X1583" s="35">
        <f t="shared" si="285"/>
        <v>0.1125</v>
      </c>
      <c r="Y1583" s="35">
        <f t="shared" si="286"/>
        <v>0.0375</v>
      </c>
      <c r="Z1583" s="40">
        <f t="shared" si="289"/>
        <v>-2805.85</v>
      </c>
      <c r="AA1583" s="34">
        <f t="shared" si="290"/>
        <v>-371.3625</v>
      </c>
      <c r="AB1583" s="41">
        <f t="shared" si="291"/>
        <v>-123.7875</v>
      </c>
      <c r="AC1583" s="42" t="b">
        <v>0</v>
      </c>
      <c r="AD1583" s="87" t="str">
        <f t="shared" si="287"/>
        <v>USD</v>
      </c>
      <c r="AE1583" s="88" t="s">
        <v>138</v>
      </c>
      <c r="AF1583" s="88" t="str">
        <f t="array" ref="AF1583">INDEX('Deal Info'!D:D, MATCH(A1583,'Deal Info'!A:A, 0))</f>
        <v>Fix11.25</v>
      </c>
      <c r="AG1583" s="89" t="str">
        <f t="array" ref="AG1583">INDEX('Deal Info'!G:G, MATCH(A1583,'Deal Info'!A:A, 0))</f>
        <v>Fix3.75</v>
      </c>
    </row>
    <row r="1584" hidden="1">
      <c r="A1584" s="23" t="str">
        <f t="array" ref="A1584">if(G1584='Room Info'!$B$1, INDEX('Room Info'!$A$2:$A3446, MATCH(B1584,'Room Info'!$B$2:$B3446, 0)),if(G1584='Room Info'!$C$1, INDEX('Room Info'!$A$2:$A3446, MATCH(B1584,'Room Info'!$C$2:$C3446, 0)),if(G1584='Room Info'!$D$1, INDEX('Room Info'!$A$2:$A3446, MATCH(B1584,'Room Info'!$D$2:$D3446, 0)),if(G1584='Room Info'!$E$1, INDEX('Room Info'!$A$2:$A3446, MATCH(B1584,'Room Info'!$E$2:$E3446, 0)),if(G1584='Room Info'!$F$1, INDEX('Room Info'!$A$2:$A3446, MATCH(B1584,'Room Info'!$F$2:$F3446, 0)),if(G1584='Room Info'!$H$1, INDEX('Room Info'!$A$2:$A3446, MATCH(B1584,'Room Info'!$H$2:$H3446, 0)),if(G1584='Room Info'!$G$1, INDEX('Room Info'!$A$2:$A3446, MATCH(B1584,'Room Info'!$G$2:$G3446, 0)))))))))</f>
        <v>fig6</v>
      </c>
      <c r="B1584" s="50" t="s">
        <v>195</v>
      </c>
      <c r="C1584" s="51">
        <v>44978.0</v>
      </c>
      <c r="D1584" s="51">
        <v>45005.0</v>
      </c>
      <c r="E1584" s="95">
        <v>44986.0</v>
      </c>
      <c r="F1584" s="53" t="s">
        <v>4</v>
      </c>
      <c r="G1584" s="70" t="s">
        <v>5</v>
      </c>
      <c r="H1584" s="96" t="s">
        <v>102</v>
      </c>
      <c r="I1584" s="59" t="s">
        <v>11</v>
      </c>
      <c r="J1584" s="44">
        <f t="shared" si="288"/>
        <v>500</v>
      </c>
      <c r="K1584" s="56">
        <v>133.0</v>
      </c>
      <c r="L1584" s="57">
        <v>-11500.0</v>
      </c>
      <c r="M1584" s="67"/>
      <c r="N1584" s="33">
        <f t="shared" si="276"/>
        <v>66500</v>
      </c>
      <c r="O1584" s="59">
        <v>-2265.0</v>
      </c>
      <c r="P1584" s="34">
        <f t="shared" si="277"/>
        <v>-17.03007519</v>
      </c>
      <c r="Q1584" s="60"/>
      <c r="R1584" s="36">
        <f t="shared" si="283"/>
        <v>0</v>
      </c>
      <c r="S1584" s="71"/>
      <c r="T1584" s="37">
        <f t="shared" si="284"/>
        <v>0</v>
      </c>
      <c r="U1584" s="62">
        <v>1.071</v>
      </c>
      <c r="V1584" s="63"/>
      <c r="W1584" s="63"/>
      <c r="X1584" s="35">
        <f t="shared" si="285"/>
        <v>0.1125</v>
      </c>
      <c r="Y1584" s="35">
        <f t="shared" si="286"/>
        <v>0.0375</v>
      </c>
      <c r="Z1584" s="40">
        <f t="shared" si="289"/>
        <v>0</v>
      </c>
      <c r="AA1584" s="34">
        <f t="shared" si="290"/>
        <v>0</v>
      </c>
      <c r="AB1584" s="41">
        <f t="shared" si="291"/>
        <v>0</v>
      </c>
      <c r="AC1584" s="42" t="b">
        <v>0</v>
      </c>
      <c r="AD1584" s="87" t="str">
        <f t="shared" si="287"/>
        <v>USD</v>
      </c>
      <c r="AE1584" s="88" t="s">
        <v>138</v>
      </c>
      <c r="AF1584" s="88" t="str">
        <f t="array" ref="AF1584">INDEX('Deal Info'!D:D, MATCH(A1584,'Deal Info'!A:A, 0))</f>
        <v>Fix11.25</v>
      </c>
      <c r="AG1584" s="89" t="str">
        <f t="array" ref="AG1584">INDEX('Deal Info'!G:G, MATCH(A1584,'Deal Info'!A:A, 0))</f>
        <v>Fix3.75</v>
      </c>
    </row>
    <row r="1585" hidden="1">
      <c r="A1585" s="23" t="str">
        <f t="array" ref="A1585">if(G1585='Room Info'!$B$1, INDEX('Room Info'!$A$2:$A3446, MATCH(B1585,'Room Info'!$B$2:$B3446, 0)),if(G1585='Room Info'!$C$1, INDEX('Room Info'!$A$2:$A3446, MATCH(B1585,'Room Info'!$C$2:$C3446, 0)),if(G1585='Room Info'!$D$1, INDEX('Room Info'!$A$2:$A3446, MATCH(B1585,'Room Info'!$D$2:$D3446, 0)),if(G1585='Room Info'!$E$1, INDEX('Room Info'!$A$2:$A3446, MATCH(B1585,'Room Info'!$E$2:$E3446, 0)),if(G1585='Room Info'!$F$1, INDEX('Room Info'!$A$2:$A3446, MATCH(B1585,'Room Info'!$F$2:$F3446, 0)),if(G1585='Room Info'!$H$1, INDEX('Room Info'!$A$2:$A3446, MATCH(B1585,'Room Info'!$H$2:$H3446, 0)),if(G1585='Room Info'!$G$1, INDEX('Room Info'!$A$2:$A3446, MATCH(B1585,'Room Info'!$G$2:$G3446, 0)))))))))</f>
        <v>fig6</v>
      </c>
      <c r="B1585" s="50" t="s">
        <v>195</v>
      </c>
      <c r="C1585" s="51">
        <v>44978.0</v>
      </c>
      <c r="D1585" s="51">
        <v>45005.0</v>
      </c>
      <c r="E1585" s="95">
        <v>44986.0</v>
      </c>
      <c r="F1585" s="53" t="s">
        <v>4</v>
      </c>
      <c r="G1585" s="70" t="s">
        <v>5</v>
      </c>
      <c r="H1585" s="96" t="s">
        <v>106</v>
      </c>
      <c r="I1585" s="105" t="s">
        <v>7</v>
      </c>
      <c r="J1585" s="44">
        <f t="shared" si="288"/>
        <v>1000</v>
      </c>
      <c r="K1585" s="80">
        <v>32.0</v>
      </c>
      <c r="L1585" s="77">
        <v>2000.0</v>
      </c>
      <c r="M1585" s="84"/>
      <c r="N1585" s="33">
        <f t="shared" si="276"/>
        <v>32000</v>
      </c>
      <c r="O1585" s="50">
        <v>4406.0</v>
      </c>
      <c r="P1585" s="34">
        <f t="shared" si="277"/>
        <v>137.6875</v>
      </c>
      <c r="Q1585" s="60"/>
      <c r="R1585" s="36">
        <f t="shared" si="283"/>
        <v>0</v>
      </c>
      <c r="S1585" s="102"/>
      <c r="T1585" s="37">
        <f t="shared" si="284"/>
        <v>0</v>
      </c>
      <c r="U1585" s="62">
        <v>1.071</v>
      </c>
      <c r="V1585" s="63"/>
      <c r="W1585" s="63"/>
      <c r="X1585" s="35">
        <f t="shared" si="285"/>
        <v>0.1125</v>
      </c>
      <c r="Y1585" s="35">
        <f t="shared" si="286"/>
        <v>0.0375</v>
      </c>
      <c r="Z1585" s="40">
        <f t="shared" si="289"/>
        <v>0</v>
      </c>
      <c r="AA1585" s="34">
        <f t="shared" si="290"/>
        <v>0</v>
      </c>
      <c r="AB1585" s="41">
        <f t="shared" si="291"/>
        <v>0</v>
      </c>
      <c r="AC1585" s="42" t="b">
        <v>0</v>
      </c>
      <c r="AD1585" s="87" t="str">
        <f t="shared" si="287"/>
        <v>USD</v>
      </c>
      <c r="AE1585" s="88" t="s">
        <v>138</v>
      </c>
      <c r="AF1585" s="88" t="str">
        <f t="array" ref="AF1585">INDEX('Deal Info'!D:D, MATCH(A1585,'Deal Info'!A:A, 0))</f>
        <v>Fix11.25</v>
      </c>
      <c r="AG1585" s="89" t="str">
        <f t="array" ref="AG1585">INDEX('Deal Info'!G:G, MATCH(A1585,'Deal Info'!A:A, 0))</f>
        <v>Fix3.75</v>
      </c>
    </row>
    <row r="1586" hidden="1">
      <c r="A1586" s="23" t="str">
        <f t="array" ref="A1586">if(G1586='Room Info'!$B$1, INDEX('Room Info'!$A$2:$A3446, MATCH(B1586,'Room Info'!$B$2:$B3446, 0)),if(G1586='Room Info'!$C$1, INDEX('Room Info'!$A$2:$A3446, MATCH(B1586,'Room Info'!$C$2:$C3446, 0)),if(G1586='Room Info'!$D$1, INDEX('Room Info'!$A$2:$A3446, MATCH(B1586,'Room Info'!$D$2:$D3446, 0)),if(G1586='Room Info'!$E$1, INDEX('Room Info'!$A$2:$A3446, MATCH(B1586,'Room Info'!$E$2:$E3446, 0)),if(G1586='Room Info'!$F$1, INDEX('Room Info'!$A$2:$A3446, MATCH(B1586,'Room Info'!$F$2:$F3446, 0)),if(G1586='Room Info'!$H$1, INDEX('Room Info'!$A$2:$A3446, MATCH(B1586,'Room Info'!$H$2:$H3446, 0)),if(G1586='Room Info'!$G$1, INDEX('Room Info'!$A$2:$A3446, MATCH(B1586,'Room Info'!$G$2:$G3446, 0)))))))))</f>
        <v>CrippledMind</v>
      </c>
      <c r="B1586" s="50" t="s">
        <v>170</v>
      </c>
      <c r="C1586" s="51">
        <v>44978.0</v>
      </c>
      <c r="D1586" s="51">
        <v>45005.0</v>
      </c>
      <c r="E1586" s="95">
        <v>44986.0</v>
      </c>
      <c r="F1586" s="53" t="s">
        <v>4</v>
      </c>
      <c r="G1586" s="70" t="s">
        <v>5</v>
      </c>
      <c r="H1586" s="54" t="s">
        <v>45</v>
      </c>
      <c r="I1586" s="105" t="s">
        <v>7</v>
      </c>
      <c r="J1586" s="44">
        <f t="shared" si="288"/>
        <v>10</v>
      </c>
      <c r="K1586" s="80">
        <v>1781.0</v>
      </c>
      <c r="L1586" s="77">
        <v>280.0</v>
      </c>
      <c r="M1586" s="81">
        <v>890.0</v>
      </c>
      <c r="N1586" s="33">
        <f t="shared" si="276"/>
        <v>17810</v>
      </c>
      <c r="O1586" s="50">
        <v>93775.0</v>
      </c>
      <c r="P1586" s="34">
        <f t="shared" si="277"/>
        <v>52.65300393</v>
      </c>
      <c r="Q1586" s="60"/>
      <c r="R1586" s="36">
        <f t="shared" si="283"/>
        <v>890</v>
      </c>
      <c r="S1586" s="78">
        <v>442.0</v>
      </c>
      <c r="T1586" s="37">
        <f t="shared" si="284"/>
        <v>1332</v>
      </c>
      <c r="U1586" s="62">
        <v>1.071</v>
      </c>
      <c r="V1586" s="74">
        <v>10.0</v>
      </c>
      <c r="W1586" s="74">
        <v>133.2</v>
      </c>
      <c r="X1586" s="35">
        <f t="shared" si="285"/>
        <v>0.17</v>
      </c>
      <c r="Y1586" s="35">
        <f t="shared" si="286"/>
        <v>0</v>
      </c>
      <c r="Z1586" s="40">
        <f t="shared" si="289"/>
        <v>1105.56</v>
      </c>
      <c r="AA1586" s="34">
        <f t="shared" si="290"/>
        <v>226.44</v>
      </c>
      <c r="AB1586" s="41">
        <f t="shared" si="291"/>
        <v>0</v>
      </c>
      <c r="AC1586" s="42" t="b">
        <v>0</v>
      </c>
      <c r="AD1586" s="87" t="str">
        <f t="shared" si="287"/>
        <v>USD</v>
      </c>
      <c r="AE1586" s="88" t="s">
        <v>138</v>
      </c>
      <c r="AF1586" s="88" t="str">
        <f t="array" ref="AF1586">INDEX('Deal Info'!D:D, MATCH(A1586,'Deal Info'!A:A, 0))</f>
        <v>DoEV</v>
      </c>
      <c r="AG1586" s="89" t="str">
        <f t="array" ref="AG1586">INDEX('Deal Info'!G:G, MATCH(A1586,'Deal Info'!A:A, 0))</f>
        <v>None</v>
      </c>
    </row>
    <row r="1587" hidden="1">
      <c r="A1587" s="23" t="str">
        <f t="array" ref="A1587">if(G1587='Room Info'!$B$1, INDEX('Room Info'!$A$2:$A3446, MATCH(B1587,'Room Info'!$B$2:$B3446, 0)),if(G1587='Room Info'!$C$1, INDEX('Room Info'!$A$2:$A3446, MATCH(B1587,'Room Info'!$C$2:$C3446, 0)),if(G1587='Room Info'!$D$1, INDEX('Room Info'!$A$2:$A3446, MATCH(B1587,'Room Info'!$D$2:$D3446, 0)),if(G1587='Room Info'!$E$1, INDEX('Room Info'!$A$2:$A3446, MATCH(B1587,'Room Info'!$E$2:$E3446, 0)),if(G1587='Room Info'!$F$1, INDEX('Room Info'!$A$2:$A3446, MATCH(B1587,'Room Info'!$F$2:$F3446, 0)),if(G1587='Room Info'!$H$1, INDEX('Room Info'!$A$2:$A3446, MATCH(B1587,'Room Info'!$H$2:$H3446, 0)),if(G1587='Room Info'!$G$1, INDEX('Room Info'!$A$2:$A3446, MATCH(B1587,'Room Info'!$G$2:$G3446, 0)))))))))</f>
        <v>CrippledMind</v>
      </c>
      <c r="B1587" s="50" t="s">
        <v>170</v>
      </c>
      <c r="C1587" s="51">
        <v>44978.0</v>
      </c>
      <c r="D1587" s="51">
        <v>45005.0</v>
      </c>
      <c r="E1587" s="95">
        <v>44986.0</v>
      </c>
      <c r="F1587" s="53" t="s">
        <v>4</v>
      </c>
      <c r="G1587" s="70" t="s">
        <v>5</v>
      </c>
      <c r="H1587" s="96" t="s">
        <v>48</v>
      </c>
      <c r="I1587" s="59" t="s">
        <v>11</v>
      </c>
      <c r="J1587" s="44">
        <f t="shared" si="288"/>
        <v>10</v>
      </c>
      <c r="K1587" s="80">
        <v>1.0</v>
      </c>
      <c r="L1587" s="77">
        <v>-10.0</v>
      </c>
      <c r="M1587" s="84"/>
      <c r="N1587" s="33">
        <f t="shared" si="276"/>
        <v>10</v>
      </c>
      <c r="O1587" s="50">
        <v>-109.0</v>
      </c>
      <c r="P1587" s="34">
        <f t="shared" si="277"/>
        <v>-109</v>
      </c>
      <c r="Q1587" s="60"/>
      <c r="R1587" s="36">
        <f t="shared" si="283"/>
        <v>0</v>
      </c>
      <c r="S1587" s="102"/>
      <c r="T1587" s="37">
        <f t="shared" si="284"/>
        <v>0</v>
      </c>
      <c r="U1587" s="62">
        <v>1.071</v>
      </c>
      <c r="V1587" s="74">
        <v>10.0</v>
      </c>
      <c r="W1587" s="74">
        <v>133.2</v>
      </c>
      <c r="X1587" s="35">
        <f t="shared" si="285"/>
        <v>0.17</v>
      </c>
      <c r="Y1587" s="35">
        <f t="shared" si="286"/>
        <v>0</v>
      </c>
      <c r="Z1587" s="40">
        <f t="shared" si="289"/>
        <v>0</v>
      </c>
      <c r="AA1587" s="34">
        <f t="shared" si="290"/>
        <v>0</v>
      </c>
      <c r="AB1587" s="41">
        <f t="shared" si="291"/>
        <v>0</v>
      </c>
      <c r="AC1587" s="42" t="b">
        <v>0</v>
      </c>
      <c r="AD1587" s="87" t="str">
        <f t="shared" si="287"/>
        <v>USD</v>
      </c>
      <c r="AE1587" s="88" t="s">
        <v>138</v>
      </c>
      <c r="AF1587" s="88" t="str">
        <f t="array" ref="AF1587">INDEX('Deal Info'!D:D, MATCH(A1587,'Deal Info'!A:A, 0))</f>
        <v>DoEV</v>
      </c>
      <c r="AG1587" s="89" t="str">
        <f t="array" ref="AG1587">INDEX('Deal Info'!G:G, MATCH(A1587,'Deal Info'!A:A, 0))</f>
        <v>None</v>
      </c>
    </row>
    <row r="1588" hidden="1">
      <c r="A1588" s="23" t="str">
        <f t="array" ref="A1588">if(G1588='Room Info'!$B$1, INDEX('Room Info'!$A$2:$A3446, MATCH(B1588,'Room Info'!$B$2:$B3446, 0)),if(G1588='Room Info'!$C$1, INDEX('Room Info'!$A$2:$A3446, MATCH(B1588,'Room Info'!$C$2:$C3446, 0)),if(G1588='Room Info'!$D$1, INDEX('Room Info'!$A$2:$A3446, MATCH(B1588,'Room Info'!$D$2:$D3446, 0)),if(G1588='Room Info'!$E$1, INDEX('Room Info'!$A$2:$A3446, MATCH(B1588,'Room Info'!$E$2:$E3446, 0)),if(G1588='Room Info'!$F$1, INDEX('Room Info'!$A$2:$A3446, MATCH(B1588,'Room Info'!$F$2:$F3446, 0)),if(G1588='Room Info'!$H$1, INDEX('Room Info'!$A$2:$A3446, MATCH(B1588,'Room Info'!$H$2:$H3446, 0)),if(G1588='Room Info'!$G$1, INDEX('Room Info'!$A$2:$A3446, MATCH(B1588,'Room Info'!$G$2:$G3446, 0)))))))))</f>
        <v>Ekx444</v>
      </c>
      <c r="B1588" s="50" t="s">
        <v>192</v>
      </c>
      <c r="C1588" s="51">
        <v>44978.0</v>
      </c>
      <c r="D1588" s="51">
        <v>45005.0</v>
      </c>
      <c r="E1588" s="95">
        <v>44986.0</v>
      </c>
      <c r="F1588" s="53" t="s">
        <v>4</v>
      </c>
      <c r="G1588" s="70" t="s">
        <v>5</v>
      </c>
      <c r="H1588" s="54" t="s">
        <v>45</v>
      </c>
      <c r="I1588" s="105" t="s">
        <v>7</v>
      </c>
      <c r="J1588" s="44">
        <f t="shared" si="288"/>
        <v>10</v>
      </c>
      <c r="K1588" s="80">
        <v>23.0</v>
      </c>
      <c r="L1588" s="77">
        <v>20.0</v>
      </c>
      <c r="M1588" s="81">
        <v>5975.0</v>
      </c>
      <c r="N1588" s="33">
        <f t="shared" si="276"/>
        <v>230</v>
      </c>
      <c r="O1588" s="50">
        <v>1500.0</v>
      </c>
      <c r="P1588" s="34">
        <f t="shared" si="277"/>
        <v>65.2173913</v>
      </c>
      <c r="Q1588" s="60"/>
      <c r="R1588" s="36">
        <f t="shared" si="283"/>
        <v>5975</v>
      </c>
      <c r="S1588" s="78">
        <v>-1365.0</v>
      </c>
      <c r="T1588" s="37">
        <f t="shared" si="284"/>
        <v>4610</v>
      </c>
      <c r="U1588" s="62">
        <v>1.071</v>
      </c>
      <c r="V1588" s="74">
        <v>36.57524613220816</v>
      </c>
      <c r="W1588" s="74">
        <v>126.04153047490867</v>
      </c>
      <c r="X1588" s="35">
        <f t="shared" si="285"/>
        <v>0.17</v>
      </c>
      <c r="Y1588" s="35">
        <f t="shared" si="286"/>
        <v>0</v>
      </c>
      <c r="Z1588" s="40">
        <f t="shared" si="289"/>
        <v>3826.3</v>
      </c>
      <c r="AA1588" s="34">
        <f t="shared" si="290"/>
        <v>783.7</v>
      </c>
      <c r="AB1588" s="41">
        <f t="shared" si="291"/>
        <v>0</v>
      </c>
      <c r="AC1588" s="42" t="b">
        <v>0</v>
      </c>
      <c r="AD1588" s="87" t="str">
        <f t="shared" si="287"/>
        <v>USD</v>
      </c>
      <c r="AE1588" s="88" t="s">
        <v>138</v>
      </c>
      <c r="AF1588" s="88" t="str">
        <f t="array" ref="AF1588">INDEX('Deal Info'!D:D, MATCH(A1588,'Deal Info'!A:A, 0))</f>
        <v>DoEV</v>
      </c>
      <c r="AG1588" s="89" t="str">
        <f t="array" ref="AG1588">INDEX('Deal Info'!G:G, MATCH(A1588,'Deal Info'!A:A, 0))</f>
        <v>None</v>
      </c>
    </row>
    <row r="1589" hidden="1">
      <c r="A1589" s="23" t="str">
        <f t="array" ref="A1589">if(G1589='Room Info'!$B$1, INDEX('Room Info'!$A$2:$A3446, MATCH(B1589,'Room Info'!$B$2:$B3446, 0)),if(G1589='Room Info'!$C$1, INDEX('Room Info'!$A$2:$A3446, MATCH(B1589,'Room Info'!$C$2:$C3446, 0)),if(G1589='Room Info'!$D$1, INDEX('Room Info'!$A$2:$A3446, MATCH(B1589,'Room Info'!$D$2:$D3446, 0)),if(G1589='Room Info'!$E$1, INDEX('Room Info'!$A$2:$A3446, MATCH(B1589,'Room Info'!$E$2:$E3446, 0)),if(G1589='Room Info'!$F$1, INDEX('Room Info'!$A$2:$A3446, MATCH(B1589,'Room Info'!$F$2:$F3446, 0)),if(G1589='Room Info'!$H$1, INDEX('Room Info'!$A$2:$A3446, MATCH(B1589,'Room Info'!$H$2:$H3446, 0)),if(G1589='Room Info'!$G$1, INDEX('Room Info'!$A$2:$A3446, MATCH(B1589,'Room Info'!$G$2:$G3446, 0)))))))))</f>
        <v>Ekx444</v>
      </c>
      <c r="B1589" s="50" t="s">
        <v>192</v>
      </c>
      <c r="C1589" s="51">
        <v>44978.0</v>
      </c>
      <c r="D1589" s="51">
        <v>45005.0</v>
      </c>
      <c r="E1589" s="95">
        <v>44986.0</v>
      </c>
      <c r="F1589" s="53" t="s">
        <v>4</v>
      </c>
      <c r="G1589" s="70" t="s">
        <v>5</v>
      </c>
      <c r="H1589" s="96" t="s">
        <v>62</v>
      </c>
      <c r="I1589" s="105" t="s">
        <v>7</v>
      </c>
      <c r="J1589" s="44">
        <f t="shared" si="288"/>
        <v>25</v>
      </c>
      <c r="K1589" s="80">
        <v>2254.0</v>
      </c>
      <c r="L1589" s="77">
        <v>1275.0</v>
      </c>
      <c r="M1589" s="84"/>
      <c r="N1589" s="33">
        <f t="shared" si="276"/>
        <v>56350</v>
      </c>
      <c r="O1589" s="50">
        <v>85000.0</v>
      </c>
      <c r="P1589" s="34">
        <f t="shared" si="277"/>
        <v>37.71073647</v>
      </c>
      <c r="Q1589" s="60"/>
      <c r="R1589" s="36">
        <f t="shared" si="283"/>
        <v>0</v>
      </c>
      <c r="S1589" s="102"/>
      <c r="T1589" s="37">
        <f t="shared" si="284"/>
        <v>0</v>
      </c>
      <c r="U1589" s="62">
        <v>1.071</v>
      </c>
      <c r="V1589" s="74">
        <v>36.57524613220816</v>
      </c>
      <c r="W1589" s="74">
        <v>126.04153047490867</v>
      </c>
      <c r="X1589" s="35">
        <f t="shared" si="285"/>
        <v>0.17</v>
      </c>
      <c r="Y1589" s="35">
        <f t="shared" si="286"/>
        <v>0</v>
      </c>
      <c r="Z1589" s="40">
        <f t="shared" si="289"/>
        <v>0</v>
      </c>
      <c r="AA1589" s="34">
        <f t="shared" si="290"/>
        <v>0</v>
      </c>
      <c r="AB1589" s="41">
        <f t="shared" si="291"/>
        <v>0</v>
      </c>
      <c r="AC1589" s="42" t="b">
        <v>0</v>
      </c>
      <c r="AD1589" s="87" t="str">
        <f t="shared" si="287"/>
        <v>USD</v>
      </c>
      <c r="AE1589" s="88" t="s">
        <v>138</v>
      </c>
      <c r="AF1589" s="88" t="str">
        <f t="array" ref="AF1589">INDEX('Deal Info'!D:D, MATCH(A1589,'Deal Info'!A:A, 0))</f>
        <v>DoEV</v>
      </c>
      <c r="AG1589" s="89" t="str">
        <f t="array" ref="AG1589">INDEX('Deal Info'!G:G, MATCH(A1589,'Deal Info'!A:A, 0))</f>
        <v>None</v>
      </c>
    </row>
    <row r="1590" hidden="1">
      <c r="A1590" s="23" t="str">
        <f t="array" ref="A1590">if(G1590='Room Info'!$B$1, INDEX('Room Info'!$A$2:$A3446, MATCH(B1590,'Room Info'!$B$2:$B3446, 0)),if(G1590='Room Info'!$C$1, INDEX('Room Info'!$A$2:$A3446, MATCH(B1590,'Room Info'!$C$2:$C3446, 0)),if(G1590='Room Info'!$D$1, INDEX('Room Info'!$A$2:$A3446, MATCH(B1590,'Room Info'!$D$2:$D3446, 0)),if(G1590='Room Info'!$E$1, INDEX('Room Info'!$A$2:$A3446, MATCH(B1590,'Room Info'!$E$2:$E3446, 0)),if(G1590='Room Info'!$F$1, INDEX('Room Info'!$A$2:$A3446, MATCH(B1590,'Room Info'!$F$2:$F3446, 0)),if(G1590='Room Info'!$H$1, INDEX('Room Info'!$A$2:$A3446, MATCH(B1590,'Room Info'!$H$2:$H3446, 0)),if(G1590='Room Info'!$G$1, INDEX('Room Info'!$A$2:$A3446, MATCH(B1590,'Room Info'!$G$2:$G3446, 0)))))))))</f>
        <v>Ekx444</v>
      </c>
      <c r="B1590" s="50" t="s">
        <v>192</v>
      </c>
      <c r="C1590" s="51">
        <v>44978.0</v>
      </c>
      <c r="D1590" s="51">
        <v>45005.0</v>
      </c>
      <c r="E1590" s="95">
        <v>44986.0</v>
      </c>
      <c r="F1590" s="53" t="s">
        <v>4</v>
      </c>
      <c r="G1590" s="70" t="s">
        <v>5</v>
      </c>
      <c r="H1590" s="96" t="s">
        <v>74</v>
      </c>
      <c r="I1590" s="105" t="s">
        <v>7</v>
      </c>
      <c r="J1590" s="44">
        <f t="shared" si="288"/>
        <v>50</v>
      </c>
      <c r="K1590" s="80">
        <v>1989.0</v>
      </c>
      <c r="L1590" s="77">
        <v>1950.0</v>
      </c>
      <c r="M1590" s="84"/>
      <c r="N1590" s="33">
        <f t="shared" si="276"/>
        <v>99450</v>
      </c>
      <c r="O1590" s="50">
        <v>37000.0</v>
      </c>
      <c r="P1590" s="34">
        <f t="shared" si="277"/>
        <v>18.60231272</v>
      </c>
      <c r="Q1590" s="60"/>
      <c r="R1590" s="36">
        <f t="shared" si="283"/>
        <v>0</v>
      </c>
      <c r="S1590" s="102"/>
      <c r="T1590" s="37">
        <f t="shared" si="284"/>
        <v>0</v>
      </c>
      <c r="U1590" s="62">
        <v>1.071</v>
      </c>
      <c r="V1590" s="74">
        <v>36.57524613220816</v>
      </c>
      <c r="W1590" s="74">
        <v>126.04153047490867</v>
      </c>
      <c r="X1590" s="35">
        <f t="shared" si="285"/>
        <v>0.17</v>
      </c>
      <c r="Y1590" s="35">
        <f t="shared" si="286"/>
        <v>0</v>
      </c>
      <c r="Z1590" s="40">
        <f t="shared" si="289"/>
        <v>0</v>
      </c>
      <c r="AA1590" s="34">
        <f t="shared" si="290"/>
        <v>0</v>
      </c>
      <c r="AB1590" s="41">
        <f t="shared" si="291"/>
        <v>0</v>
      </c>
      <c r="AC1590" s="42" t="b">
        <v>0</v>
      </c>
      <c r="AD1590" s="87" t="str">
        <f t="shared" si="287"/>
        <v>USD</v>
      </c>
      <c r="AE1590" s="88" t="s">
        <v>138</v>
      </c>
      <c r="AF1590" s="88" t="str">
        <f t="array" ref="AF1590">INDEX('Deal Info'!D:D, MATCH(A1590,'Deal Info'!A:A, 0))</f>
        <v>DoEV</v>
      </c>
      <c r="AG1590" s="89" t="str">
        <f t="array" ref="AG1590">INDEX('Deal Info'!G:G, MATCH(A1590,'Deal Info'!A:A, 0))</f>
        <v>None</v>
      </c>
    </row>
    <row r="1591" hidden="1">
      <c r="A1591" s="23" t="str">
        <f t="array" ref="A1591">if(G1591='Room Info'!$B$1, INDEX('Room Info'!$A$2:$A3446, MATCH(B1591,'Room Info'!$B$2:$B3446, 0)),if(G1591='Room Info'!$C$1, INDEX('Room Info'!$A$2:$A3446, MATCH(B1591,'Room Info'!$C$2:$C3446, 0)),if(G1591='Room Info'!$D$1, INDEX('Room Info'!$A$2:$A3446, MATCH(B1591,'Room Info'!$D$2:$D3446, 0)),if(G1591='Room Info'!$E$1, INDEX('Room Info'!$A$2:$A3446, MATCH(B1591,'Room Info'!$E$2:$E3446, 0)),if(G1591='Room Info'!$F$1, INDEX('Room Info'!$A$2:$A3446, MATCH(B1591,'Room Info'!$F$2:$F3446, 0)),if(G1591='Room Info'!$H$1, INDEX('Room Info'!$A$2:$A3446, MATCH(B1591,'Room Info'!$H$2:$H3446, 0)),if(G1591='Room Info'!$G$1, INDEX('Room Info'!$A$2:$A3446, MATCH(B1591,'Room Info'!$G$2:$G3446, 0)))))))))</f>
        <v>KuCoH</v>
      </c>
      <c r="B1591" s="50" t="s">
        <v>199</v>
      </c>
      <c r="C1591" s="51">
        <v>44978.0</v>
      </c>
      <c r="D1591" s="51">
        <v>45005.0</v>
      </c>
      <c r="E1591" s="95">
        <v>44986.0</v>
      </c>
      <c r="F1591" s="53" t="s">
        <v>4</v>
      </c>
      <c r="G1591" s="70" t="s">
        <v>5</v>
      </c>
      <c r="H1591" s="96" t="s">
        <v>62</v>
      </c>
      <c r="I1591" s="105" t="s">
        <v>7</v>
      </c>
      <c r="J1591" s="44">
        <f t="shared" si="288"/>
        <v>25</v>
      </c>
      <c r="K1591" s="80">
        <v>1556.0</v>
      </c>
      <c r="L1591" s="77">
        <v>-2650.0</v>
      </c>
      <c r="M1591" s="81">
        <v>1675.0</v>
      </c>
      <c r="N1591" s="33">
        <f t="shared" si="276"/>
        <v>38900</v>
      </c>
      <c r="O1591" s="50">
        <v>28389.0</v>
      </c>
      <c r="P1591" s="34">
        <f t="shared" si="277"/>
        <v>18.24485861</v>
      </c>
      <c r="Q1591" s="60"/>
      <c r="R1591" s="36">
        <f t="shared" si="283"/>
        <v>1675</v>
      </c>
      <c r="S1591" s="78">
        <v>-1077.0</v>
      </c>
      <c r="T1591" s="37">
        <f t="shared" si="284"/>
        <v>598</v>
      </c>
      <c r="U1591" s="62">
        <v>1.071</v>
      </c>
      <c r="V1591" s="74">
        <v>25.0</v>
      </c>
      <c r="W1591" s="74">
        <v>23.92</v>
      </c>
      <c r="X1591" s="35">
        <f t="shared" si="285"/>
        <v>0.23</v>
      </c>
      <c r="Y1591" s="35">
        <f t="shared" si="286"/>
        <v>0.1</v>
      </c>
      <c r="Z1591" s="40">
        <f t="shared" si="289"/>
        <v>400.66</v>
      </c>
      <c r="AA1591" s="34">
        <f t="shared" si="290"/>
        <v>137.54</v>
      </c>
      <c r="AB1591" s="41">
        <f t="shared" si="291"/>
        <v>59.8</v>
      </c>
      <c r="AC1591" s="42" t="b">
        <v>0</v>
      </c>
      <c r="AD1591" s="87" t="str">
        <f t="shared" si="287"/>
        <v>USD</v>
      </c>
      <c r="AE1591" s="88" t="s">
        <v>138</v>
      </c>
      <c r="AF1591" s="88" t="str">
        <f t="array" ref="AF1591">INDEX('Deal Info'!D:D, MATCH(A1591,'Deal Info'!A:A, 0))</f>
        <v>DoEVku</v>
      </c>
      <c r="AG1591" s="89" t="str">
        <f t="array" ref="AG1591">INDEX('Deal Info'!G:G, MATCH(A1591,'Deal Info'!A:A, 0))</f>
        <v>Fix10</v>
      </c>
    </row>
    <row r="1592" hidden="1">
      <c r="A1592" s="23" t="str">
        <f t="array" ref="A1592">if(G1592='Room Info'!$B$1, INDEX('Room Info'!$A$2:$A3446, MATCH(B1592,'Room Info'!$B$2:$B3446, 0)),if(G1592='Room Info'!$C$1, INDEX('Room Info'!$A$2:$A3446, MATCH(B1592,'Room Info'!$C$2:$C3446, 0)),if(G1592='Room Info'!$D$1, INDEX('Room Info'!$A$2:$A3446, MATCH(B1592,'Room Info'!$D$2:$D3446, 0)),if(G1592='Room Info'!$E$1, INDEX('Room Info'!$A$2:$A3446, MATCH(B1592,'Room Info'!$E$2:$E3446, 0)),if(G1592='Room Info'!$F$1, INDEX('Room Info'!$A$2:$A3446, MATCH(B1592,'Room Info'!$F$2:$F3446, 0)),if(G1592='Room Info'!$H$1, INDEX('Room Info'!$A$2:$A3446, MATCH(B1592,'Room Info'!$H$2:$H3446, 0)),if(G1592='Room Info'!$G$1, INDEX('Room Info'!$A$2:$A3446, MATCH(B1592,'Room Info'!$G$2:$G3446, 0)))))))))</f>
        <v>AlexanderDSL</v>
      </c>
      <c r="B1592" s="50" t="s">
        <v>148</v>
      </c>
      <c r="C1592" s="51">
        <v>44978.0</v>
      </c>
      <c r="D1592" s="51">
        <v>45005.0</v>
      </c>
      <c r="E1592" s="95">
        <v>44986.0</v>
      </c>
      <c r="F1592" s="53" t="s">
        <v>4</v>
      </c>
      <c r="G1592" s="70" t="s">
        <v>5</v>
      </c>
      <c r="H1592" s="96" t="s">
        <v>74</v>
      </c>
      <c r="I1592" s="105" t="s">
        <v>7</v>
      </c>
      <c r="J1592" s="44">
        <f t="shared" si="288"/>
        <v>50</v>
      </c>
      <c r="K1592" s="80">
        <v>75.0</v>
      </c>
      <c r="L1592" s="77">
        <v>-150.0</v>
      </c>
      <c r="M1592" s="81">
        <v>19250.0</v>
      </c>
      <c r="N1592" s="33">
        <f t="shared" si="276"/>
        <v>3750</v>
      </c>
      <c r="O1592" s="50">
        <v>6166.0</v>
      </c>
      <c r="P1592" s="34">
        <f t="shared" si="277"/>
        <v>82.21333333</v>
      </c>
      <c r="Q1592" s="60"/>
      <c r="R1592" s="36">
        <f t="shared" si="283"/>
        <v>19250</v>
      </c>
      <c r="S1592" s="78">
        <v>-12707.0</v>
      </c>
      <c r="T1592" s="37">
        <f t="shared" si="284"/>
        <v>6543</v>
      </c>
      <c r="U1592" s="62">
        <v>1.071</v>
      </c>
      <c r="V1592" s="63"/>
      <c r="W1592" s="63"/>
      <c r="X1592" s="35">
        <f t="shared" si="285"/>
        <v>0.15</v>
      </c>
      <c r="Y1592" s="35">
        <f t="shared" si="286"/>
        <v>0.05</v>
      </c>
      <c r="Z1592" s="40">
        <f t="shared" si="289"/>
        <v>5234.4</v>
      </c>
      <c r="AA1592" s="34">
        <f t="shared" si="290"/>
        <v>981.45</v>
      </c>
      <c r="AB1592" s="41">
        <f t="shared" si="291"/>
        <v>327.15</v>
      </c>
      <c r="AC1592" s="66" t="b">
        <v>1</v>
      </c>
      <c r="AD1592" s="87" t="str">
        <f t="shared" si="287"/>
        <v>USD</v>
      </c>
      <c r="AE1592" s="88" t="s">
        <v>138</v>
      </c>
      <c r="AF1592" s="88" t="str">
        <f t="array" ref="AF1592">INDEX('Deal Info'!D:D, MATCH(A1592,'Deal Info'!A:A, 0))</f>
        <v>Fix15</v>
      </c>
      <c r="AG1592" s="89" t="str">
        <f t="array" ref="AG1592">INDEX('Deal Info'!G:G, MATCH(A1592,'Deal Info'!A:A, 0))</f>
        <v>Fix5</v>
      </c>
    </row>
    <row r="1593" hidden="1">
      <c r="A1593" s="23" t="str">
        <f t="array" ref="A1593">if(G1593='Room Info'!$B$1, INDEX('Room Info'!$A$2:$A3446, MATCH(B1593,'Room Info'!$B$2:$B3446, 0)),if(G1593='Room Info'!$C$1, INDEX('Room Info'!$A$2:$A3446, MATCH(B1593,'Room Info'!$C$2:$C3446, 0)),if(G1593='Room Info'!$D$1, INDEX('Room Info'!$A$2:$A3446, MATCH(B1593,'Room Info'!$D$2:$D3446, 0)),if(G1593='Room Info'!$E$1, INDEX('Room Info'!$A$2:$A3446, MATCH(B1593,'Room Info'!$E$2:$E3446, 0)),if(G1593='Room Info'!$F$1, INDEX('Room Info'!$A$2:$A3446, MATCH(B1593,'Room Info'!$F$2:$F3446, 0)),if(G1593='Room Info'!$H$1, INDEX('Room Info'!$A$2:$A3446, MATCH(B1593,'Room Info'!$H$2:$H3446, 0)),if(G1593='Room Info'!$G$1, INDEX('Room Info'!$A$2:$A3446, MATCH(B1593,'Room Info'!$G$2:$G3446, 0)))))))))</f>
        <v>AlexanderDSL</v>
      </c>
      <c r="B1593" s="50" t="s">
        <v>148</v>
      </c>
      <c r="C1593" s="51">
        <v>44978.0</v>
      </c>
      <c r="D1593" s="51">
        <v>45005.0</v>
      </c>
      <c r="E1593" s="95">
        <v>44986.0</v>
      </c>
      <c r="F1593" s="53" t="s">
        <v>4</v>
      </c>
      <c r="G1593" s="70" t="s">
        <v>5</v>
      </c>
      <c r="H1593" s="54" t="s">
        <v>85</v>
      </c>
      <c r="I1593" s="105" t="s">
        <v>7</v>
      </c>
      <c r="J1593" s="44">
        <f t="shared" si="288"/>
        <v>100</v>
      </c>
      <c r="K1593" s="56">
        <v>4198.0</v>
      </c>
      <c r="L1593" s="57">
        <v>-8600.0</v>
      </c>
      <c r="M1593" s="67"/>
      <c r="N1593" s="33">
        <f t="shared" si="276"/>
        <v>419800</v>
      </c>
      <c r="O1593" s="59">
        <v>42066.0</v>
      </c>
      <c r="P1593" s="34">
        <f t="shared" si="277"/>
        <v>10.02048595</v>
      </c>
      <c r="Q1593" s="60"/>
      <c r="R1593" s="36">
        <f t="shared" si="283"/>
        <v>0</v>
      </c>
      <c r="S1593" s="71"/>
      <c r="T1593" s="37">
        <f t="shared" si="284"/>
        <v>0</v>
      </c>
      <c r="U1593" s="62">
        <v>1.071</v>
      </c>
      <c r="V1593" s="63"/>
      <c r="W1593" s="63"/>
      <c r="X1593" s="35">
        <f t="shared" si="285"/>
        <v>0.15</v>
      </c>
      <c r="Y1593" s="35">
        <f t="shared" si="286"/>
        <v>0.05</v>
      </c>
      <c r="Z1593" s="40">
        <f t="shared" si="289"/>
        <v>0</v>
      </c>
      <c r="AA1593" s="34">
        <f t="shared" si="290"/>
        <v>0</v>
      </c>
      <c r="AB1593" s="41">
        <f t="shared" si="291"/>
        <v>0</v>
      </c>
      <c r="AC1593" s="66" t="b">
        <v>1</v>
      </c>
      <c r="AD1593" s="87" t="str">
        <f t="shared" si="287"/>
        <v>USD</v>
      </c>
      <c r="AE1593" s="88" t="s">
        <v>138</v>
      </c>
      <c r="AF1593" s="88" t="str">
        <f t="array" ref="AF1593">INDEX('Deal Info'!D:D, MATCH(A1593,'Deal Info'!A:A, 0))</f>
        <v>Fix15</v>
      </c>
      <c r="AG1593" s="89" t="str">
        <f t="array" ref="AG1593">INDEX('Deal Info'!G:G, MATCH(A1593,'Deal Info'!A:A, 0))</f>
        <v>Fix5</v>
      </c>
    </row>
    <row r="1594" hidden="1">
      <c r="A1594" s="23" t="str">
        <f t="array" ref="A1594">if(G1594='Room Info'!$B$1, INDEX('Room Info'!$A$2:$A3446, MATCH(B1594,'Room Info'!$B$2:$B3446, 0)),if(G1594='Room Info'!$C$1, INDEX('Room Info'!$A$2:$A3446, MATCH(B1594,'Room Info'!$C$2:$C3446, 0)),if(G1594='Room Info'!$D$1, INDEX('Room Info'!$A$2:$A3446, MATCH(B1594,'Room Info'!$D$2:$D3446, 0)),if(G1594='Room Info'!$E$1, INDEX('Room Info'!$A$2:$A3446, MATCH(B1594,'Room Info'!$E$2:$E3446, 0)),if(G1594='Room Info'!$F$1, INDEX('Room Info'!$A$2:$A3446, MATCH(B1594,'Room Info'!$F$2:$F3446, 0)),if(G1594='Room Info'!$H$1, INDEX('Room Info'!$A$2:$A3446, MATCH(B1594,'Room Info'!$H$2:$H3446, 0)),if(G1594='Room Info'!$G$1, INDEX('Room Info'!$A$2:$A3446, MATCH(B1594,'Room Info'!$G$2:$G3446, 0)))))))))</f>
        <v>AlexanderDSL</v>
      </c>
      <c r="B1594" s="50" t="s">
        <v>148</v>
      </c>
      <c r="C1594" s="51">
        <v>44978.0</v>
      </c>
      <c r="D1594" s="51">
        <v>45005.0</v>
      </c>
      <c r="E1594" s="95">
        <v>44986.0</v>
      </c>
      <c r="F1594" s="101" t="s">
        <v>12</v>
      </c>
      <c r="G1594" s="70" t="s">
        <v>5</v>
      </c>
      <c r="H1594" s="54" t="s">
        <v>96</v>
      </c>
      <c r="I1594" s="105" t="s">
        <v>7</v>
      </c>
      <c r="J1594" s="44">
        <f t="shared" si="288"/>
        <v>250</v>
      </c>
      <c r="K1594" s="80">
        <v>1.0</v>
      </c>
      <c r="L1594" s="99">
        <v>250.0</v>
      </c>
      <c r="M1594" s="84"/>
      <c r="N1594" s="33">
        <f t="shared" si="276"/>
        <v>250</v>
      </c>
      <c r="O1594" s="63">
        <v>610.0</v>
      </c>
      <c r="P1594" s="34">
        <f t="shared" si="277"/>
        <v>610</v>
      </c>
      <c r="Q1594" s="60"/>
      <c r="R1594" s="36">
        <f t="shared" si="283"/>
        <v>0</v>
      </c>
      <c r="S1594" s="137"/>
      <c r="T1594" s="37">
        <f t="shared" si="284"/>
        <v>250</v>
      </c>
      <c r="U1594" s="62">
        <v>1.071</v>
      </c>
      <c r="V1594" s="63"/>
      <c r="W1594" s="63"/>
      <c r="X1594" s="35">
        <f t="shared" si="285"/>
        <v>0.15</v>
      </c>
      <c r="Y1594" s="35">
        <f t="shared" si="286"/>
        <v>0.05</v>
      </c>
      <c r="Z1594" s="40">
        <f t="shared" si="289"/>
        <v>200</v>
      </c>
      <c r="AA1594" s="34">
        <f t="shared" si="290"/>
        <v>37.5</v>
      </c>
      <c r="AB1594" s="41">
        <f t="shared" si="291"/>
        <v>12.5</v>
      </c>
      <c r="AC1594" s="66" t="b">
        <v>1</v>
      </c>
      <c r="AD1594" s="87" t="str">
        <f t="shared" si="287"/>
        <v>USD</v>
      </c>
      <c r="AE1594" s="88" t="s">
        <v>138</v>
      </c>
      <c r="AF1594" s="88" t="str">
        <f t="array" ref="AF1594">INDEX('Deal Info'!D:D, MATCH(A1594,'Deal Info'!A:A, 0))</f>
        <v>Fix15</v>
      </c>
      <c r="AG1594" s="89" t="str">
        <f t="array" ref="AG1594">INDEX('Deal Info'!G:G, MATCH(A1594,'Deal Info'!A:A, 0))</f>
        <v>Fix5</v>
      </c>
    </row>
    <row r="1595" hidden="1">
      <c r="A1595" s="23" t="str">
        <f t="array" ref="A1595">if(G1595='Room Info'!$B$1, INDEX('Room Info'!$A$2:$A3446, MATCH(B1595,'Room Info'!$B$2:$B3446, 0)),if(G1595='Room Info'!$C$1, INDEX('Room Info'!$A$2:$A3446, MATCH(B1595,'Room Info'!$C$2:$C3446, 0)),if(G1595='Room Info'!$D$1, INDEX('Room Info'!$A$2:$A3446, MATCH(B1595,'Room Info'!$D$2:$D3446, 0)),if(G1595='Room Info'!$E$1, INDEX('Room Info'!$A$2:$A3446, MATCH(B1595,'Room Info'!$E$2:$E3446, 0)),if(G1595='Room Info'!$F$1, INDEX('Room Info'!$A$2:$A3446, MATCH(B1595,'Room Info'!$F$2:$F3446, 0)),if(G1595='Room Info'!$H$1, INDEX('Room Info'!$A$2:$A3446, MATCH(B1595,'Room Info'!$H$2:$H3446, 0)),if(G1595='Room Info'!$G$1, INDEX('Room Info'!$A$2:$A3446, MATCH(B1595,'Room Info'!$G$2:$G3446, 0)))))))))</f>
        <v>007x2</v>
      </c>
      <c r="B1595" s="50" t="s">
        <v>137</v>
      </c>
      <c r="C1595" s="51">
        <v>44978.0</v>
      </c>
      <c r="D1595" s="51">
        <v>45005.0</v>
      </c>
      <c r="E1595" s="95">
        <v>44986.0</v>
      </c>
      <c r="F1595" s="53" t="s">
        <v>4</v>
      </c>
      <c r="G1595" s="70" t="s">
        <v>5</v>
      </c>
      <c r="H1595" s="54" t="s">
        <v>35</v>
      </c>
      <c r="I1595" s="105" t="s">
        <v>7</v>
      </c>
      <c r="J1595" s="44">
        <f t="shared" si="288"/>
        <v>5</v>
      </c>
      <c r="K1595" s="56">
        <v>125.0</v>
      </c>
      <c r="L1595" s="57">
        <v>-50.0</v>
      </c>
      <c r="M1595" s="58">
        <v>690.0</v>
      </c>
      <c r="N1595" s="33">
        <f t="shared" si="276"/>
        <v>625</v>
      </c>
      <c r="O1595" s="59">
        <v>4174.0</v>
      </c>
      <c r="P1595" s="34">
        <f t="shared" si="277"/>
        <v>33.392</v>
      </c>
      <c r="Q1595" s="60"/>
      <c r="R1595" s="36">
        <f t="shared" si="283"/>
        <v>690</v>
      </c>
      <c r="S1595" s="61">
        <v>-401.0</v>
      </c>
      <c r="T1595" s="37">
        <f t="shared" si="284"/>
        <v>289</v>
      </c>
      <c r="U1595" s="62">
        <v>1.071</v>
      </c>
      <c r="V1595" s="74">
        <v>9.74414155906265</v>
      </c>
      <c r="W1595" s="74">
        <v>10.159950920245398</v>
      </c>
      <c r="X1595" s="35">
        <f t="shared" si="285"/>
        <v>0.3</v>
      </c>
      <c r="Y1595" s="35">
        <f t="shared" si="286"/>
        <v>0</v>
      </c>
      <c r="Z1595" s="40">
        <f t="shared" si="289"/>
        <v>202.3</v>
      </c>
      <c r="AA1595" s="34">
        <f t="shared" si="290"/>
        <v>86.7</v>
      </c>
      <c r="AB1595" s="41">
        <f t="shared" si="291"/>
        <v>0</v>
      </c>
      <c r="AC1595" s="66" t="b">
        <v>1</v>
      </c>
      <c r="AD1595" s="87" t="str">
        <f t="shared" si="287"/>
        <v>USD</v>
      </c>
      <c r="AE1595" s="88" t="s">
        <v>138</v>
      </c>
      <c r="AF1595" s="88" t="str">
        <f t="array" ref="AF1595">INDEX('Deal Info'!D:D, MATCH(A1595,'Deal Info'!A:A, 0))</f>
        <v>DoEV</v>
      </c>
      <c r="AG1595" s="89" t="str">
        <f t="array" ref="AG1595">INDEX('Deal Info'!G:G, MATCH(A1595,'Deal Info'!A:A, 0))</f>
        <v>None</v>
      </c>
    </row>
    <row r="1596" hidden="1">
      <c r="A1596" s="23" t="str">
        <f t="array" ref="A1596">if(G1596='Room Info'!$B$1, INDEX('Room Info'!$A$2:$A3446, MATCH(B1596,'Room Info'!$B$2:$B3446, 0)),if(G1596='Room Info'!$C$1, INDEX('Room Info'!$A$2:$A3446, MATCH(B1596,'Room Info'!$C$2:$C3446, 0)),if(G1596='Room Info'!$D$1, INDEX('Room Info'!$A$2:$A3446, MATCH(B1596,'Room Info'!$D$2:$D3446, 0)),if(G1596='Room Info'!$E$1, INDEX('Room Info'!$A$2:$A3446, MATCH(B1596,'Room Info'!$E$2:$E3446, 0)),if(G1596='Room Info'!$F$1, INDEX('Room Info'!$A$2:$A3446, MATCH(B1596,'Room Info'!$F$2:$F3446, 0)),if(G1596='Room Info'!$H$1, INDEX('Room Info'!$A$2:$A3446, MATCH(B1596,'Room Info'!$H$2:$H3446, 0)),if(G1596='Room Info'!$G$1, INDEX('Room Info'!$A$2:$A3446, MATCH(B1596,'Room Info'!$G$2:$G3446, 0)))))))))</f>
        <v>007x2</v>
      </c>
      <c r="B1596" s="50" t="s">
        <v>137</v>
      </c>
      <c r="C1596" s="51">
        <v>44978.0</v>
      </c>
      <c r="D1596" s="51">
        <v>45005.0</v>
      </c>
      <c r="E1596" s="95">
        <v>44986.0</v>
      </c>
      <c r="F1596" s="53" t="s">
        <v>4</v>
      </c>
      <c r="G1596" s="70" t="s">
        <v>5</v>
      </c>
      <c r="H1596" s="54" t="s">
        <v>45</v>
      </c>
      <c r="I1596" s="105" t="s">
        <v>7</v>
      </c>
      <c r="J1596" s="44">
        <f t="shared" si="288"/>
        <v>10</v>
      </c>
      <c r="K1596" s="56">
        <v>1956.0</v>
      </c>
      <c r="L1596" s="57">
        <v>-1400.0</v>
      </c>
      <c r="M1596" s="67"/>
      <c r="N1596" s="33">
        <f t="shared" si="276"/>
        <v>19560</v>
      </c>
      <c r="O1596" s="59">
        <v>55272.0</v>
      </c>
      <c r="P1596" s="34">
        <f t="shared" si="277"/>
        <v>28.25766871</v>
      </c>
      <c r="Q1596" s="60"/>
      <c r="R1596" s="36">
        <f t="shared" si="283"/>
        <v>0</v>
      </c>
      <c r="S1596" s="71"/>
      <c r="T1596" s="37">
        <f t="shared" si="284"/>
        <v>0</v>
      </c>
      <c r="U1596" s="62">
        <v>1.071</v>
      </c>
      <c r="V1596" s="74">
        <v>9.74414155906265</v>
      </c>
      <c r="W1596" s="74">
        <v>10.159950920245398</v>
      </c>
      <c r="X1596" s="35">
        <f t="shared" si="285"/>
        <v>0.3</v>
      </c>
      <c r="Y1596" s="35">
        <f t="shared" si="286"/>
        <v>0</v>
      </c>
      <c r="Z1596" s="40">
        <f t="shared" si="289"/>
        <v>0</v>
      </c>
      <c r="AA1596" s="34">
        <f t="shared" si="290"/>
        <v>0</v>
      </c>
      <c r="AB1596" s="41">
        <f t="shared" si="291"/>
        <v>0</v>
      </c>
      <c r="AC1596" s="66" t="b">
        <v>1</v>
      </c>
      <c r="AD1596" s="87" t="str">
        <f t="shared" si="287"/>
        <v>USD</v>
      </c>
      <c r="AE1596" s="88" t="s">
        <v>138</v>
      </c>
      <c r="AF1596" s="88" t="str">
        <f t="array" ref="AF1596">INDEX('Deal Info'!D:D, MATCH(A1596,'Deal Info'!A:A, 0))</f>
        <v>DoEV</v>
      </c>
      <c r="AG1596" s="89" t="str">
        <f t="array" ref="AG1596">INDEX('Deal Info'!G:G, MATCH(A1596,'Deal Info'!A:A, 0))</f>
        <v>None</v>
      </c>
    </row>
    <row r="1597" hidden="1">
      <c r="A1597" s="23" t="str">
        <f t="array" ref="A1597">if(G1597='Room Info'!$B$1, INDEX('Room Info'!$A$2:$A3446, MATCH(B1597,'Room Info'!$B$2:$B3446, 0)),if(G1597='Room Info'!$C$1, INDEX('Room Info'!$A$2:$A3446, MATCH(B1597,'Room Info'!$C$2:$C3446, 0)),if(G1597='Room Info'!$D$1, INDEX('Room Info'!$A$2:$A3446, MATCH(B1597,'Room Info'!$D$2:$D3446, 0)),if(G1597='Room Info'!$E$1, INDEX('Room Info'!$A$2:$A3446, MATCH(B1597,'Room Info'!$E$2:$E3446, 0)),if(G1597='Room Info'!$F$1, INDEX('Room Info'!$A$2:$A3446, MATCH(B1597,'Room Info'!$F$2:$F3446, 0)),if(G1597='Room Info'!$H$1, INDEX('Room Info'!$A$2:$A3446, MATCH(B1597,'Room Info'!$H$2:$H3446, 0)),if(G1597='Room Info'!$G$1, INDEX('Room Info'!$A$2:$A3446, MATCH(B1597,'Room Info'!$G$2:$G3446, 0)))))))))</f>
        <v>007x2</v>
      </c>
      <c r="B1597" s="50" t="s">
        <v>137</v>
      </c>
      <c r="C1597" s="51">
        <v>44978.0</v>
      </c>
      <c r="D1597" s="51">
        <v>45005.0</v>
      </c>
      <c r="E1597" s="95">
        <v>44986.0</v>
      </c>
      <c r="F1597" s="101" t="s">
        <v>12</v>
      </c>
      <c r="G1597" s="70" t="s">
        <v>5</v>
      </c>
      <c r="H1597" s="96" t="s">
        <v>48</v>
      </c>
      <c r="I1597" s="59" t="s">
        <v>11</v>
      </c>
      <c r="J1597" s="44">
        <f t="shared" si="288"/>
        <v>10</v>
      </c>
      <c r="K1597" s="56">
        <v>4.0</v>
      </c>
      <c r="L1597" s="57">
        <v>-40.0</v>
      </c>
      <c r="M1597" s="67"/>
      <c r="N1597" s="33">
        <f t="shared" si="276"/>
        <v>40</v>
      </c>
      <c r="O1597" s="70"/>
      <c r="P1597" s="34">
        <f t="shared" si="277"/>
        <v>0</v>
      </c>
      <c r="Q1597" s="60"/>
      <c r="R1597" s="36">
        <f t="shared" si="283"/>
        <v>0</v>
      </c>
      <c r="S1597" s="71"/>
      <c r="T1597" s="37">
        <f t="shared" si="284"/>
        <v>-40</v>
      </c>
      <c r="U1597" s="62">
        <v>1.071</v>
      </c>
      <c r="V1597" s="74">
        <v>9.74414155906265</v>
      </c>
      <c r="W1597" s="74">
        <v>10.159950920245398</v>
      </c>
      <c r="X1597" s="35">
        <f t="shared" si="285"/>
        <v>0.3</v>
      </c>
      <c r="Y1597" s="35">
        <f t="shared" si="286"/>
        <v>0</v>
      </c>
      <c r="Z1597" s="40">
        <f t="shared" si="289"/>
        <v>-28</v>
      </c>
      <c r="AA1597" s="34">
        <f t="shared" si="290"/>
        <v>-12</v>
      </c>
      <c r="AB1597" s="41">
        <f t="shared" si="291"/>
        <v>0</v>
      </c>
      <c r="AC1597" s="66" t="b">
        <v>1</v>
      </c>
      <c r="AD1597" s="87" t="str">
        <f t="shared" si="287"/>
        <v>USD</v>
      </c>
      <c r="AE1597" s="88" t="s">
        <v>138</v>
      </c>
      <c r="AF1597" s="88" t="str">
        <f t="array" ref="AF1597">INDEX('Deal Info'!D:D, MATCH(A1597,'Deal Info'!A:A, 0))</f>
        <v>DoEV</v>
      </c>
      <c r="AG1597" s="89" t="str">
        <f t="array" ref="AG1597">INDEX('Deal Info'!G:G, MATCH(A1597,'Deal Info'!A:A, 0))</f>
        <v>None</v>
      </c>
    </row>
    <row r="1598" hidden="1">
      <c r="A1598" s="23" t="str">
        <f t="array" ref="A1598">if(G1598='Room Info'!$B$1, INDEX('Room Info'!$A$2:$A3446, MATCH(B1598,'Room Info'!$B$2:$B3446, 0)),if(G1598='Room Info'!$C$1, INDEX('Room Info'!$A$2:$A3446, MATCH(B1598,'Room Info'!$C$2:$C3446, 0)),if(G1598='Room Info'!$D$1, INDEX('Room Info'!$A$2:$A3446, MATCH(B1598,'Room Info'!$D$2:$D3446, 0)),if(G1598='Room Info'!$E$1, INDEX('Room Info'!$A$2:$A3446, MATCH(B1598,'Room Info'!$E$2:$E3446, 0)),if(G1598='Room Info'!$F$1, INDEX('Room Info'!$A$2:$A3446, MATCH(B1598,'Room Info'!$F$2:$F3446, 0)),if(G1598='Room Info'!$H$1, INDEX('Room Info'!$A$2:$A3446, MATCH(B1598,'Room Info'!$H$2:$H3446, 0)),if(G1598='Room Info'!$G$1, INDEX('Room Info'!$A$2:$A3446, MATCH(B1598,'Room Info'!$G$2:$G3446, 0)))))))))</f>
        <v>007x2</v>
      </c>
      <c r="B1598" s="50" t="s">
        <v>137</v>
      </c>
      <c r="C1598" s="51">
        <v>44978.0</v>
      </c>
      <c r="D1598" s="51">
        <v>45005.0</v>
      </c>
      <c r="E1598" s="95">
        <v>44986.0</v>
      </c>
      <c r="F1598" s="101" t="s">
        <v>12</v>
      </c>
      <c r="G1598" s="70" t="s">
        <v>5</v>
      </c>
      <c r="H1598" s="96" t="s">
        <v>62</v>
      </c>
      <c r="I1598" s="105" t="s">
        <v>7</v>
      </c>
      <c r="J1598" s="44">
        <f t="shared" si="288"/>
        <v>25</v>
      </c>
      <c r="K1598" s="56">
        <v>6.0</v>
      </c>
      <c r="L1598" s="57">
        <v>-150.0</v>
      </c>
      <c r="M1598" s="67"/>
      <c r="N1598" s="33">
        <f t="shared" si="276"/>
        <v>150</v>
      </c>
      <c r="O1598" s="70"/>
      <c r="P1598" s="34">
        <f t="shared" si="277"/>
        <v>0</v>
      </c>
      <c r="Q1598" s="60"/>
      <c r="R1598" s="36">
        <f t="shared" si="283"/>
        <v>0</v>
      </c>
      <c r="S1598" s="71"/>
      <c r="T1598" s="37">
        <f t="shared" si="284"/>
        <v>-150</v>
      </c>
      <c r="U1598" s="62">
        <v>1.071</v>
      </c>
      <c r="V1598" s="74">
        <v>9.74414155906265</v>
      </c>
      <c r="W1598" s="74">
        <v>10.159950920245398</v>
      </c>
      <c r="X1598" s="35">
        <f t="shared" si="285"/>
        <v>0.3</v>
      </c>
      <c r="Y1598" s="35">
        <f t="shared" si="286"/>
        <v>0</v>
      </c>
      <c r="Z1598" s="40">
        <f t="shared" si="289"/>
        <v>-105</v>
      </c>
      <c r="AA1598" s="34">
        <f t="shared" si="290"/>
        <v>-45</v>
      </c>
      <c r="AB1598" s="41">
        <f t="shared" si="291"/>
        <v>0</v>
      </c>
      <c r="AC1598" s="66" t="b">
        <v>1</v>
      </c>
      <c r="AD1598" s="87" t="str">
        <f t="shared" si="287"/>
        <v>USD</v>
      </c>
      <c r="AE1598" s="88" t="s">
        <v>138</v>
      </c>
      <c r="AF1598" s="88" t="str">
        <f t="array" ref="AF1598">INDEX('Deal Info'!D:D, MATCH(A1598,'Deal Info'!A:A, 0))</f>
        <v>DoEV</v>
      </c>
      <c r="AG1598" s="89" t="str">
        <f t="array" ref="AG1598">INDEX('Deal Info'!G:G, MATCH(A1598,'Deal Info'!A:A, 0))</f>
        <v>None</v>
      </c>
    </row>
    <row r="1599" hidden="1">
      <c r="A1599" s="23" t="str">
        <f t="array" ref="A1599">if(G1599='Room Info'!$B$1, INDEX('Room Info'!$A$2:$A3446, MATCH(B1599,'Room Info'!$B$2:$B3446, 0)),if(G1599='Room Info'!$C$1, INDEX('Room Info'!$A$2:$A3446, MATCH(B1599,'Room Info'!$C$2:$C3446, 0)),if(G1599='Room Info'!$D$1, INDEX('Room Info'!$A$2:$A3446, MATCH(B1599,'Room Info'!$D$2:$D3446, 0)),if(G1599='Room Info'!$E$1, INDEX('Room Info'!$A$2:$A3446, MATCH(B1599,'Room Info'!$E$2:$E3446, 0)),if(G1599='Room Info'!$F$1, INDEX('Room Info'!$A$2:$A3446, MATCH(B1599,'Room Info'!$F$2:$F3446, 0)),if(G1599='Room Info'!$H$1, INDEX('Room Info'!$A$2:$A3446, MATCH(B1599,'Room Info'!$H$2:$H3446, 0)),if(G1599='Room Info'!$G$1, INDEX('Room Info'!$A$2:$A3446, MATCH(B1599,'Room Info'!$G$2:$G3446, 0)))))))))</f>
        <v>Fedorovi4</v>
      </c>
      <c r="B1599" s="50" t="s">
        <v>152</v>
      </c>
      <c r="C1599" s="51">
        <v>44978.0</v>
      </c>
      <c r="D1599" s="51">
        <v>45005.0</v>
      </c>
      <c r="E1599" s="95">
        <v>44986.0</v>
      </c>
      <c r="F1599" s="53" t="s">
        <v>4</v>
      </c>
      <c r="G1599" s="70" t="s">
        <v>5</v>
      </c>
      <c r="H1599" s="96" t="s">
        <v>62</v>
      </c>
      <c r="I1599" s="105" t="s">
        <v>7</v>
      </c>
      <c r="J1599" s="44">
        <f t="shared" si="288"/>
        <v>25</v>
      </c>
      <c r="K1599" s="56">
        <v>880.0</v>
      </c>
      <c r="L1599" s="57">
        <v>-350.0</v>
      </c>
      <c r="M1599" s="58">
        <v>1595.0</v>
      </c>
      <c r="N1599" s="33">
        <f t="shared" si="276"/>
        <v>22000</v>
      </c>
      <c r="O1599" s="59">
        <v>-8085.0</v>
      </c>
      <c r="P1599" s="34">
        <f t="shared" si="277"/>
        <v>-9.1875</v>
      </c>
      <c r="Q1599" s="60"/>
      <c r="R1599" s="36">
        <f t="shared" si="283"/>
        <v>1595</v>
      </c>
      <c r="S1599" s="61">
        <v>-1744.0</v>
      </c>
      <c r="T1599" s="37">
        <f t="shared" si="284"/>
        <v>-149</v>
      </c>
      <c r="U1599" s="62">
        <v>1.071</v>
      </c>
      <c r="V1599" s="63"/>
      <c r="W1599" s="63"/>
      <c r="X1599" s="35">
        <f t="shared" si="285"/>
        <v>0.3</v>
      </c>
      <c r="Y1599" s="35">
        <f t="shared" si="286"/>
        <v>0</v>
      </c>
      <c r="Z1599" s="40">
        <f t="shared" si="289"/>
        <v>-104.3</v>
      </c>
      <c r="AA1599" s="34">
        <f t="shared" si="290"/>
        <v>-44.7</v>
      </c>
      <c r="AB1599" s="41">
        <f t="shared" si="291"/>
        <v>0</v>
      </c>
      <c r="AC1599" s="42" t="b">
        <v>0</v>
      </c>
      <c r="AD1599" s="87" t="str">
        <f t="shared" si="287"/>
        <v>USD</v>
      </c>
      <c r="AE1599" s="88" t="s">
        <v>138</v>
      </c>
      <c r="AF1599" s="88" t="str">
        <f t="array" ref="AF1599">INDEX('Deal Info'!D:D, MATCH(A1599,'Deal Info'!A:A, 0))</f>
        <v>SF</v>
      </c>
      <c r="AG1599" s="89" t="str">
        <f t="array" ref="AG1599">INDEX('Deal Info'!G:G, MATCH(A1599,'Deal Info'!A:A, 0))</f>
        <v>None</v>
      </c>
    </row>
    <row r="1600" hidden="1">
      <c r="A1600" s="23" t="str">
        <f t="array" ref="A1600">if(G1600='Room Info'!$B$1, INDEX('Room Info'!$A$2:$A3446, MATCH(B1600,'Room Info'!$B$2:$B3446, 0)),if(G1600='Room Info'!$C$1, INDEX('Room Info'!$A$2:$A3446, MATCH(B1600,'Room Info'!$C$2:$C3446, 0)),if(G1600='Room Info'!$D$1, INDEX('Room Info'!$A$2:$A3446, MATCH(B1600,'Room Info'!$D$2:$D3446, 0)),if(G1600='Room Info'!$E$1, INDEX('Room Info'!$A$2:$A3446, MATCH(B1600,'Room Info'!$E$2:$E3446, 0)),if(G1600='Room Info'!$F$1, INDEX('Room Info'!$A$2:$A3446, MATCH(B1600,'Room Info'!$F$2:$F3446, 0)),if(G1600='Room Info'!$H$1, INDEX('Room Info'!$A$2:$A3446, MATCH(B1600,'Room Info'!$H$2:$H3446, 0)),if(G1600='Room Info'!$G$1, INDEX('Room Info'!$A$2:$A3446, MATCH(B1600,'Room Info'!$G$2:$G3446, 0)))))))))</f>
        <v>Fedorovi4</v>
      </c>
      <c r="B1600" s="50" t="s">
        <v>152</v>
      </c>
      <c r="C1600" s="51">
        <v>44978.0</v>
      </c>
      <c r="D1600" s="51">
        <v>45005.0</v>
      </c>
      <c r="E1600" s="95">
        <v>44986.0</v>
      </c>
      <c r="F1600" s="53" t="s">
        <v>4</v>
      </c>
      <c r="G1600" s="70" t="s">
        <v>5</v>
      </c>
      <c r="H1600" s="96" t="s">
        <v>74</v>
      </c>
      <c r="I1600" s="105" t="s">
        <v>7</v>
      </c>
      <c r="J1600" s="44">
        <f t="shared" si="288"/>
        <v>50</v>
      </c>
      <c r="K1600" s="56">
        <v>356.0</v>
      </c>
      <c r="L1600" s="57">
        <v>550.0</v>
      </c>
      <c r="M1600" s="67"/>
      <c r="N1600" s="33">
        <f t="shared" si="276"/>
        <v>17800</v>
      </c>
      <c r="O1600" s="59">
        <v>11642.0</v>
      </c>
      <c r="P1600" s="34">
        <f t="shared" si="277"/>
        <v>32.70224719</v>
      </c>
      <c r="Q1600" s="60"/>
      <c r="R1600" s="36">
        <f t="shared" si="283"/>
        <v>0</v>
      </c>
      <c r="S1600" s="71"/>
      <c r="T1600" s="37">
        <f t="shared" si="284"/>
        <v>0</v>
      </c>
      <c r="U1600" s="62">
        <v>1.071</v>
      </c>
      <c r="V1600" s="63"/>
      <c r="W1600" s="63"/>
      <c r="X1600" s="35">
        <f t="shared" si="285"/>
        <v>0.3</v>
      </c>
      <c r="Y1600" s="35">
        <f t="shared" si="286"/>
        <v>0</v>
      </c>
      <c r="Z1600" s="40">
        <f t="shared" si="289"/>
        <v>0</v>
      </c>
      <c r="AA1600" s="34">
        <f t="shared" si="290"/>
        <v>0</v>
      </c>
      <c r="AB1600" s="41">
        <f t="shared" si="291"/>
        <v>0</v>
      </c>
      <c r="AC1600" s="42" t="b">
        <v>0</v>
      </c>
      <c r="AD1600" s="87" t="str">
        <f t="shared" si="287"/>
        <v>USD</v>
      </c>
      <c r="AE1600" s="88" t="s">
        <v>138</v>
      </c>
      <c r="AF1600" s="88" t="str">
        <f t="array" ref="AF1600">INDEX('Deal Info'!D:D, MATCH(A1600,'Deal Info'!A:A, 0))</f>
        <v>SF</v>
      </c>
      <c r="AG1600" s="89" t="str">
        <f t="array" ref="AG1600">INDEX('Deal Info'!G:G, MATCH(A1600,'Deal Info'!A:A, 0))</f>
        <v>None</v>
      </c>
    </row>
    <row r="1601" hidden="1">
      <c r="A1601" s="23" t="str">
        <f t="array" ref="A1601">if(G1601='Room Info'!$B$1, INDEX('Room Info'!$A$2:$A3446, MATCH(B1601,'Room Info'!$B$2:$B3446, 0)),if(G1601='Room Info'!$C$1, INDEX('Room Info'!$A$2:$A3446, MATCH(B1601,'Room Info'!$C$2:$C3446, 0)),if(G1601='Room Info'!$D$1, INDEX('Room Info'!$A$2:$A3446, MATCH(B1601,'Room Info'!$D$2:$D3446, 0)),if(G1601='Room Info'!$E$1, INDEX('Room Info'!$A$2:$A3446, MATCH(B1601,'Room Info'!$E$2:$E3446, 0)),if(G1601='Room Info'!$F$1, INDEX('Room Info'!$A$2:$A3446, MATCH(B1601,'Room Info'!$F$2:$F3446, 0)),if(G1601='Room Info'!$H$1, INDEX('Room Info'!$A$2:$A3446, MATCH(B1601,'Room Info'!$H$2:$H3446, 0)),if(G1601='Room Info'!$G$1, INDEX('Room Info'!$A$2:$A3446, MATCH(B1601,'Room Info'!$G$2:$G3446, 0)))))))))</f>
        <v>bbaltqq</v>
      </c>
      <c r="B1601" s="50" t="s">
        <v>149</v>
      </c>
      <c r="C1601" s="51">
        <v>44978.0</v>
      </c>
      <c r="D1601" s="51">
        <v>45005.0</v>
      </c>
      <c r="E1601" s="95">
        <v>44986.0</v>
      </c>
      <c r="F1601" s="53" t="s">
        <v>4</v>
      </c>
      <c r="G1601" s="70" t="s">
        <v>5</v>
      </c>
      <c r="H1601" s="96" t="s">
        <v>74</v>
      </c>
      <c r="I1601" s="105" t="s">
        <v>7</v>
      </c>
      <c r="J1601" s="44">
        <f t="shared" si="288"/>
        <v>50</v>
      </c>
      <c r="K1601" s="56">
        <v>573.0</v>
      </c>
      <c r="L1601" s="57">
        <v>-1000.0</v>
      </c>
      <c r="M1601" s="58">
        <v>4600.0</v>
      </c>
      <c r="N1601" s="33">
        <f t="shared" si="276"/>
        <v>28650</v>
      </c>
      <c r="O1601" s="59">
        <v>21000.0</v>
      </c>
      <c r="P1601" s="34">
        <f t="shared" si="277"/>
        <v>36.64921466</v>
      </c>
      <c r="Q1601" s="60"/>
      <c r="R1601" s="36">
        <f t="shared" si="283"/>
        <v>4600</v>
      </c>
      <c r="S1601" s="61">
        <v>819.0</v>
      </c>
      <c r="T1601" s="37">
        <f t="shared" si="284"/>
        <v>5419</v>
      </c>
      <c r="U1601" s="62">
        <v>1.071</v>
      </c>
      <c r="V1601" s="63"/>
      <c r="W1601" s="63"/>
      <c r="X1601" s="35">
        <f t="shared" si="285"/>
        <v>0.3</v>
      </c>
      <c r="Y1601" s="35">
        <f t="shared" si="286"/>
        <v>0</v>
      </c>
      <c r="Z1601" s="40">
        <f t="shared" si="289"/>
        <v>3793.3</v>
      </c>
      <c r="AA1601" s="34">
        <f t="shared" si="290"/>
        <v>1625.7</v>
      </c>
      <c r="AB1601" s="41">
        <f t="shared" si="291"/>
        <v>0</v>
      </c>
      <c r="AC1601" s="42" t="b">
        <v>0</v>
      </c>
      <c r="AD1601" s="87" t="str">
        <f t="shared" si="287"/>
        <v>USD</v>
      </c>
      <c r="AE1601" s="88" t="s">
        <v>138</v>
      </c>
      <c r="AF1601" s="88" t="str">
        <f t="array" ref="AF1601">INDEX('Deal Info'!D:D, MATCH(A1601,'Deal Info'!A:A, 0))</f>
        <v>SF</v>
      </c>
      <c r="AG1601" s="89" t="str">
        <f t="array" ref="AG1601">INDEX('Deal Info'!G:G, MATCH(A1601,'Deal Info'!A:A, 0))</f>
        <v>None</v>
      </c>
    </row>
    <row r="1602" hidden="1">
      <c r="A1602" s="23" t="str">
        <f t="array" ref="A1602">if(G1602='Room Info'!$B$1, INDEX('Room Info'!$A$2:$A3446, MATCH(B1602,'Room Info'!$B$2:$B3446, 0)),if(G1602='Room Info'!$C$1, INDEX('Room Info'!$A$2:$A3446, MATCH(B1602,'Room Info'!$C$2:$C3446, 0)),if(G1602='Room Info'!$D$1, INDEX('Room Info'!$A$2:$A3446, MATCH(B1602,'Room Info'!$D$2:$D3446, 0)),if(G1602='Room Info'!$E$1, INDEX('Room Info'!$A$2:$A3446, MATCH(B1602,'Room Info'!$E$2:$E3446, 0)),if(G1602='Room Info'!$F$1, INDEX('Room Info'!$A$2:$A3446, MATCH(B1602,'Room Info'!$F$2:$F3446, 0)),if(G1602='Room Info'!$H$1, INDEX('Room Info'!$A$2:$A3446, MATCH(B1602,'Room Info'!$H$2:$H3446, 0)),if(G1602='Room Info'!$G$1, INDEX('Room Info'!$A$2:$A3446, MATCH(B1602,'Room Info'!$G$2:$G3446, 0)))))))))</f>
        <v>Mackevgen</v>
      </c>
      <c r="B1602" s="50" t="s">
        <v>172</v>
      </c>
      <c r="C1602" s="51">
        <v>44916.0</v>
      </c>
      <c r="D1602" s="51">
        <v>44957.0</v>
      </c>
      <c r="E1602" s="52">
        <v>44927.0</v>
      </c>
      <c r="F1602" s="53" t="s">
        <v>8</v>
      </c>
      <c r="G1602" s="50" t="s">
        <v>9</v>
      </c>
      <c r="H1602" s="54" t="s">
        <v>50</v>
      </c>
      <c r="I1602" s="54" t="s">
        <v>21</v>
      </c>
      <c r="J1602" s="55">
        <v>10.0</v>
      </c>
      <c r="K1602" s="56">
        <v>9443.0</v>
      </c>
      <c r="L1602" s="57">
        <v>2527.0</v>
      </c>
      <c r="M1602" s="58">
        <v>1119.0</v>
      </c>
      <c r="N1602" s="33">
        <f t="shared" si="276"/>
        <v>94430</v>
      </c>
      <c r="O1602" s="59">
        <v>562976.0</v>
      </c>
      <c r="P1602" s="34">
        <f t="shared" si="277"/>
        <v>59.61834163</v>
      </c>
      <c r="Q1602" s="60"/>
      <c r="R1602" s="36">
        <f>M1602+Q1602</f>
        <v>1119</v>
      </c>
      <c r="S1602" s="61">
        <v>2276.0</v>
      </c>
      <c r="T1602" s="37">
        <f>R1602+S1602+if(F1602="Without EV deal",L1602,0)</f>
        <v>3395</v>
      </c>
      <c r="U1602" s="62">
        <v>1.0</v>
      </c>
      <c r="V1602" s="63"/>
      <c r="W1602" s="63"/>
      <c r="X1602" s="83">
        <v>0.17</v>
      </c>
      <c r="Y1602" s="35">
        <f>if(AG1602="None",0,if(AG1602="Fix5",0.05, if(AG1602="Fix6.25",0.0625,if(AG1602="Fix3.75",0.0375,if(AG1602="Fix10",0.1,if(AG1602="Fix3",0.03,0))))))</f>
        <v>0.1</v>
      </c>
      <c r="Z1602" s="40">
        <f>T1602-AA1602-AB1602</f>
        <v>2478.5</v>
      </c>
      <c r="AA1602" s="65">
        <v>577.0</v>
      </c>
      <c r="AB1602" s="41">
        <f>if(AD1602="EUR",((T1602-R1602)*Y1602)*U1602+(R1602*Y1602),(T1602*Y1602))</f>
        <v>339.5</v>
      </c>
      <c r="AC1602" s="42" t="b">
        <v>1</v>
      </c>
      <c r="AD1602" s="42" t="s">
        <v>138</v>
      </c>
      <c r="AE1602" s="42" t="s">
        <v>138</v>
      </c>
      <c r="AF1602" s="42" t="str">
        <f t="array" ref="AF1602">INDEX('Deal Info'!D:D, MATCH(A1602,'Deal Info'!A:A, 0))</f>
        <v>DoEV</v>
      </c>
      <c r="AG1602" s="43" t="str">
        <f t="array" ref="AG1602">INDEX('Deal Info'!G:G, MATCH(A1602,'Deal Info'!A:A, 0))</f>
        <v>Fix10</v>
      </c>
    </row>
    <row r="1603" hidden="1">
      <c r="A1603" s="23" t="str">
        <f t="array" ref="A1603">if(G1603='Room Info'!$B$1, INDEX('Room Info'!$A$2:$A3446, MATCH(B1603,'Room Info'!$B$2:$B3446, 0)),if(G1603='Room Info'!$C$1, INDEX('Room Info'!$A$2:$A3446, MATCH(B1603,'Room Info'!$C$2:$C3446, 0)),if(G1603='Room Info'!$D$1, INDEX('Room Info'!$A$2:$A3446, MATCH(B1603,'Room Info'!$D$2:$D3446, 0)),if(G1603='Room Info'!$E$1, INDEX('Room Info'!$A$2:$A3446, MATCH(B1603,'Room Info'!$E$2:$E3446, 0)),if(G1603='Room Info'!$F$1, INDEX('Room Info'!$A$2:$A3446, MATCH(B1603,'Room Info'!$F$2:$F3446, 0)),if(G1603='Room Info'!$H$1, INDEX('Room Info'!$A$2:$A3446, MATCH(B1603,'Room Info'!$H$2:$H3446, 0)),if(G1603='Room Info'!$G$1, INDEX('Room Info'!$A$2:$A3446, MATCH(B1603,'Room Info'!$G$2:$G3446, 0)))))))))</f>
        <v>barabashOva</v>
      </c>
      <c r="B1603" s="50" t="s">
        <v>219</v>
      </c>
      <c r="C1603" s="51">
        <v>44978.0</v>
      </c>
      <c r="D1603" s="51">
        <v>45005.0</v>
      </c>
      <c r="E1603" s="95">
        <v>44986.0</v>
      </c>
      <c r="F1603" s="53" t="s">
        <v>4</v>
      </c>
      <c r="G1603" s="70" t="s">
        <v>5</v>
      </c>
      <c r="H1603" s="54" t="s">
        <v>45</v>
      </c>
      <c r="I1603" s="105" t="s">
        <v>7</v>
      </c>
      <c r="J1603" s="44">
        <f t="shared" ref="J1603:J1616" si="292">iferror(if(H1603="$0.25",0.25, 
if(H1603="$0.25 Flash",0.25, 
if(H1603 = "$1", 1, 
if(H1603 = "$1 Flash", 1, 
if(H1603 = "$2", 2, 
if( H1603 = "$2 Flash" , 2, 
if( H1603= "$3", 3, 
if( H1603= "$3 Ultra", 3, 
if( H1603= "$5", 5, 
if( H1603= "$5 (1M)", 5, 
if( H1603= "$5 (1M) Flash", 5, 
if( H1603= "$5 Flash", 5, 
if( H1603= "$5 Flash (1M)", 5,
if( H1603= "$10", 10,
if( H1603= "$10 (1M)", 10,
if( H1603= "$10 (1M) (old)", 10,
if( H1603= "$10 Flash", 10,
if( H1603= "$10 Ultra", 10,
if( H1603= "$20", 20,
if( H1603= "$20 Ultra", 20,
if( H1603= "$25", 25,
if( H1603= "$25 Flash", 25,
if( H1603= "$50", 50,
if( H1603= "$50 Flash", 50,
if( H1603= "$50 Ultra", 50,
if( H1603= "$100", 100,
if( H1603= "$100 Flash", 100,
if( H1603= "$100 HUHT", 100,
if( H1603= "$100 Ultra", 100,
if( H1603= "$200", 200,
if( H1603= "$200 HUHT", 200,
if( H1603= "$250", 250,
if( H1603= "$250 Flash", 250,
if( H1603= "$300 HUHT", 300,
if( H1603= "$500", 500,
if( H1603= "$500 Flash", 500,
if( H1603 = "$500 HUHT",500,
if( H1603= "$1000", 1000,
if( H1603= "$1000 HUHT", 1000,
if( H1603= "€0.25 Flash", 0.25,
if( H1603="€0.25(nitro) new",0.25,
if( H1603= "€1", 1,
if( H1603= "€2", 2,
if( H1603= "€5", 5,
if( H1603= "€5 (1M)", 5,
if( H1603= "€5 (bf 01.08)", 5,
if( H1603= "€5 (bf 05.05)", 5,
if( H1603= "€5 Nitro", 5,
if( H1603= "€5(wx) new", 5,
if( H1603= "€10", 10,
if( H1603= "€10 (1M)", 10,
if( H1603= "€10 (bf 01.08)", 10,
if( H1603= "€10 (bf 05.05)", 10,
if( H1603= "€10 (MP)", 10,
if( H1603= "€10 (old)", 10,
if( H1603= "€10 Nitro (bf 05.05)", 10,
if( H1603= "€10 Nitro (old)", 10,
if( H1603= "€10(wx) new", 10,
if( H1603= "€20", 20,
if( H1603= "€25", 25, 
if( H1603= "€25 (bf 01.08)", 25, 
if( H1603= "€25 (bf 05.05)", 25, 
if( H1603= "€25 (MP)", 25, 
if( H1603= "€25 (old)", 25,
if( H1603= "€25 Nitro", 25,
if( H1603= "€25 Nitro (bf 01.08)", 25,
if( H1603= "€25 Nitro (bf 05.05)", 25,
if( H1603= "€25(nitro) new", 25,
if( H1603= "€25(wx) new", 25,
if( H1603= "€50", 50,
if( H1603= "€50 (bf 01.08)", 50,
if( H1603= "€50 (bf 05.05)", 50,
if( H1603= "€50 (old)", 50,
if( H1603= "€50 Nitro", 50,
if( H1603= "€50 Nitro (bf 01.08)", 50,
if( H1603= "€50 Nitro (bf 05.05)", 50,
if( H1603= "€50(wx) new", 50,
if( H1603= "€100", 100,
if( H1603= "€100 (old)", 100,
if( H1603= "€100 Nitro", 100,
if( H1603= "€100 Nitro (old)", 100,
if( H1603= "€200", 200,
if( H1603= "€250", 250,
if( H1603= "€250 Nitro", 250,
if( H1603= "€500", 500,
if( H1603= "€500 Nitro", 500,
if( H1603= "1000 rub", 1000,
if( H1603= "2500 rub", 2500,
if( H1603= "5000 rub", 5000,""))))))))))))))))))))))))))))))))))))))))))))))))))))))))))))))))))))))))))))))))))))))))))</f>
        <v>10</v>
      </c>
      <c r="K1603" s="56">
        <v>4008.0</v>
      </c>
      <c r="L1603" s="57">
        <v>-1120.0</v>
      </c>
      <c r="M1603" s="58">
        <v>1885.0</v>
      </c>
      <c r="N1603" s="33">
        <f t="shared" si="276"/>
        <v>40080</v>
      </c>
      <c r="O1603" s="59">
        <v>101159.0</v>
      </c>
      <c r="P1603" s="34">
        <f t="shared" si="277"/>
        <v>25.23927146</v>
      </c>
      <c r="Q1603" s="60"/>
      <c r="R1603" s="36">
        <f t="shared" ref="R1603:R1616" si="293">M1603+Q1603*J1603*K1603*0.07</f>
        <v>1885</v>
      </c>
      <c r="S1603" s="61">
        <v>-1032.0</v>
      </c>
      <c r="T1603" s="37">
        <f t="shared" ref="T1603:T1616" si="294">IF(AND(AD1603="EUR", F1603="Without EV deal"), R1603 + L1603, 
IF(AND(AD1603="USD", F1603="Without EV deal"), R1603 + L1603, 
IF(AND(AD1603="EUR", F1603="Steel Phoenix"), R1603 + S1603/U1603, 
R1603 + S1603)))</f>
        <v>853</v>
      </c>
      <c r="U1603" s="62">
        <v>1.071</v>
      </c>
      <c r="V1603" s="74">
        <v>11.483812949640289</v>
      </c>
      <c r="W1603" s="74">
        <v>74.27846515270164</v>
      </c>
      <c r="X1603" s="35">
        <f t="shared" ref="X1603:X1616" si="295">IF(AF1603="DoEV",IF(AND(V1603&lt;20,W1603&lt;55),0.3,0)+IF(AND(V1603&lt;20,W1603&gt;=55,W1603&lt;105),0.23,0)+IF(AND(V1603&lt;20,W1603&gt;=105),0.17,0)+IF(AND(V1603&gt;=20,V1603&lt;40,W1603&lt;45),0.3,0)+IF(AND(V1603&gt;=20,V1603&lt;40,W1603&gt;=45,W1603&lt;95),0.23,0)+IF(AND(V1603&gt;=20,V1603&lt;40,W1603&gt;=95),0.17,0)+IF(AND(V1603&gt;=40,V1603&lt;75,W1603&lt;35),0.3,0)+IF(AND(V1603&gt;=40,V1603&lt;75,W1603&gt;=35,W1603&lt;75),0.23,0)+IF(AND(V1603&gt;=40,V1603&lt;75,W1603&gt;=75,W1603&lt;120),0.17,0)+IF(AND(V1603&gt;=40,V1603&lt;75,W1603&gt;=120),0.12,0)+IF(AND(V1603&gt;=75,V1603&lt;175,W1603&lt;35),0.3,0)+IF(AND(V1603&gt;=75,V1603&lt;=175,W1603&gt;=35,W1603&lt;65),0.23,0)+IF(AND(V1603&gt;=75,V1603&lt;=175,W1603&gt;=65,W1603&lt;110),0.17,0)+IF(AND(V1603&gt;=75,V1603&lt;=175,W1603&gt;=110),0.12,0)+IF(AND(V1603&gt;175,W1603&lt;25),0.3,0)+IF(AND(V1603&gt;175,W1603&gt;=25,W1603&lt;55),0.23,0)+IF(AND(V1603&gt;175,W1603&gt;=55,W1603&lt;95),0.17,0)+IF(AND(V1603&gt;175,W1603&gt;=95),0.12,0),
IF(AF1603="Fix15",0.15,
IF(AF1603="Fix5",0.05,
if(AF1603="Fix18.75",0.1875,
IF(AF1603="Fix11.25",0.1125,
IF(AF1603="Fix10",0.1,
IF(AF1603="Fix9",0.09,
IF(AF1603="Fix12",0.12,
IF(AF1603="Fix19",0.19,
IF(AF1603="DoEV2017",IF(AND(W1603&lt;74),0.2,0)+IF(AND(W1603&gt;=74),0.17,0),
IF(AF1603="SF",IF(AND(V1603&lt;20,W1603&lt;89),0.3,0)+IF(AND(V1603&lt;20,W1603&gt;=89),0.25,0)+IF(AND(V1603&gt;=20,V1603&lt;40,W1603&lt;74),0.3,0)+IF(AND(V1603&gt;=20,V1603&lt;40,W1603&gt;=75),0.22,0)+IF(AND(V1603&gt;=40,V1603&lt;75,W1603&lt;75),0.26,0)+IF(AND(V1603&gt;=40,V1603&lt;75,W1603&gt;=75),0.22,0)+IF(V1603&gt;=75,0.22,0),
IF(AF1603="DoEVold",IF(AND(V1603&lt;40,W1603&lt;35),0.35,0)+IF(AND(V1603&lt;40,W1603&gt;=35,W1603&lt;75),0.25,0)+IF(AND(V1603&lt;40,W1603&gt;=75),0.17,0)+IF(AND(V1603&gt;=40,V1603&lt;75,W1603&lt;25),0.35,0)+IF(AND(V1603&gt;=40,V1603&lt;75,W1603&gt;=25,W1603&lt;65),0.25,0)+IF(AND(V1603&gt;=40,V1603&lt;75,W1603&gt;=65,W1603&lt;100),0.17,0)+IF(AND(V1603&gt;=40,V1603&lt;75,W1603&gt;=100),0.1,0)+IF(AND(V1603&gt;=75,W1603&lt;25),0.35,0)+IF(AND(V1603&gt;=75,W1603&gt;=25,W1603&lt;60),0.25,0)+IF(AND(V1603&gt;=75,W1603&gt;=60,W1603&lt;95),0.17,0)+IF(AND(V1603&gt;=75,W1603&gt;=95),0.1,0),
IF(AF1603="DoEVold15",IF(AND(V1603&lt;=40,W1603&lt;35),0.35,0)+IF(AND(V1603&lt;=40,W1603&gt;=35,W1603&lt;75),0.25,0)+IF(AND(V1603&lt;=40,W1603&gt;=75,W1603&lt;120),0.17,0)+IF(AND(V1603&lt;=40,W1603&gt;=120),0.15,0)+IF(AND(V1603&gt;40,V1603&lt;75,W1603&lt;25),0.35,0)+IF(AND(V1603&gt;=40,V1603&lt;75,W1603&gt;=25,W1603&lt;65),0.25,0)+IF(AND(V1603&gt;=40,V1603&lt;75,W1603&gt;=65,W1603&lt;100),0.17,0)+IF(AND(V1603&gt;=40,V1603&lt;75,W1603&gt;=100),0.1,0)+IF(AND(V1603&gt;=75,W1603&lt;25),0.35,0)+IF(AND(V1603&gt;=75,W1603&gt;=25,W1603&lt;60),0.25,0)+IF(AND(V1603&gt;=75,W1603&gt;=60,W1603&lt;95),0.17,0)+IF(AND(V1603&gt;=75,W1603&gt;=95),0.1,0),
IF(AF1603="DoEVba",IF(AND(V1603&lt;20,W1603&lt;105),0.2,0)+IF(AND(V1603&lt;20,W1603&gt;=105),0.15,0)+IF(AND(V1603&gt;=20,V1603&lt;40,W1603&lt;95),0.2,0)+IF(AND(V1603&gt;=20,V1603&lt;40,W1603&gt;=95,W1603&lt;150),0.15,0)+IF(AND(V1603&gt;=20,V1603&lt;40,W1603&gt;=150),0.12,0)+IF(AND(V1603&gt;=40,V1603&lt;75,W1603&lt;75),0.2,0)+IF(AND(V1603&gt;=40,V1603&lt;75,W1603&gt;=75,W1603&lt;120),0.15,0)+IF(AND(V1603&gt;=40,V1603&lt;75,W1603&gt;=120),0.12,0)+IF(AND(V1603&gt;=75,V1603&lt;175,W1603&lt;65),0.2,0)+IF(AND(V1603&gt;=75,V1603&lt;175,W1603&gt;=65,W1603&lt;110),0.15,0)+IF(AND(V1603&gt;=75,V1603&lt;175,W1603&gt;=110),0.12,0)+IF(AND(V1603&gt;=175,W1603&lt;55),0.2,0)+IF(AND(V1603&gt;=175,W1603&gt;=55,W1603&lt;95),0.15,0)+IF(AND(V1603&gt;=175,W1603&gt;=95),0.12,0),
IF(AF1603="DoEVku",IF(AND(V1603&lt;20,W1603&lt;55),0.23,0)+IF(AND(V1603&lt;20,W1603&gt;=55,W1603&lt;105),0.2,0)+IF(AND(V1603&lt;20,W1603&gt;=105),0.17,0)+IF(AND(V1603&gt;=20,V1603&lt;40,W1603&lt;45),0.23,0)+IF(AND(V1603&gt;=20,V1603&lt;40,W1603&gt;=45,W1603&lt;95),0.2,0)+IF(AND(V1603&gt;=20,V1603&lt;40,W1603&gt;=95,W1603&lt;=150),0.17,0)+IF(AND(V1603&gt;=20,V1603&lt;40,W1603&gt;=150),0.12,0)+IF(AND(V1603&gt;=40,V1603&lt;75,W1603&lt;35),0.23,0)+IF(AND(V1603&gt;=40,V1603&lt;75,W1603&gt;=35,W1603&lt;75),0.2,0)+IF(AND(V1603&gt;=40,V1603&lt;75,W1603&gt;=75,W1603&lt;120),0.17,0)+IF(AND(V1603&gt;=40,V1603&lt;75,W1603&gt;=120),0.12,0)+IF(AND(V1603&gt;=75,V1603&lt;175,W1603&lt;35),0.23,0)+IF(AND(V1603&gt;=75,V1603&lt;=175,W1603&gt;=35,W1603&lt;65),0.2,0)+IF(AND(V1603&gt;=75,V1603&lt;=175,W1603&gt;=65,W1603&lt;110),0.17,0)+IF(AND(V1603&gt;=75,V1603&lt;=175,W1603&gt;=110),0.12,0)+IF(AND(V1603&gt;175,W1603&lt;25),0.23,0)+IF(AND(V1603&gt;175,W1603&gt;=25,W1603&lt;55),0.2,0)+IF(AND(V1603&gt;175,W1603&gt;=55,W1603&lt;95),0.17,0)+IF(AND(V1603&gt;175,W1603&gt;=95),0.12,0),
IF(AF1603="DoEVs1",IF(AND(V1603&lt;20,W1603&lt;55),0.3,0)+IF(AND(V1603&lt;20,W1603&gt;=55,W1603&lt;105),0.23,0)+IF(AND(V1603&lt;20,W1603&gt;=105),0.17,0)+IF(AND(V1603&gt;=20,V1603&lt;40,W1603&lt;45),0.3,0)+IF(AND(V1603&gt;=20,V1603&lt;40,W1603&gt;=45,W1603&lt;95),0.23,0)+IF(AND(V1603&gt;=20,V1603&lt;40,W1603&gt;=95,W1603&lt;=150),0.17,0)+IF(AND(V1603&gt;=20,V1603&lt;40,W1603&gt;=150),0.12,0)+IF(AND(V1603&gt;=40,V1603&lt;75,W1603&lt;35),0.3,0)+IF(AND(V1603&gt;=40,V1603&lt;75,W1603&gt;=35,W1603&lt;75),0.23,0)+IF(AND(V1603&gt;=40,V1603&lt;75,W1603&gt;=75,W1603&lt;120),0.17,0)+IF(AND(V1603&gt;=40,V1603&lt;75,W1603&gt;=120),0.12,0)+IF(AND(V1603&gt;=75,V1603&lt;175,W1603&lt;35),0.3,0)+IF(AND(V1603&gt;=75,V1603&lt;=175,W1603&gt;=35,W1603&lt;65),0.23,0)+IF(AND(V1603&gt;=75,V1603&lt;=175,W1603&gt;=65,W1603&lt;110),0.17,0)+IF(AND(V1603&gt;=75,V1603&lt;=175,W1603&gt;=110),0.12,0)+IF(AND(V1603&gt;175,W1603&lt;25),0.3,0)+IF(AND(V1603&gt;175,W1603&gt;=25,W1603&lt;55),0.23,0)+IF(AND(V1603&gt;175,W1603&gt;=55,W1603&lt;95),0.17,0)+IF(AND(V1603&gt;175,W1603&gt;=95),0.12,0),
IF(AF1603="DoEVsu",IF(AND(V1603&lt;20,W1603&lt;55),0.3,0)+IF(AND(V1603&lt;20,W1603&gt;=55,W1603&lt;105),0.23,0)+IF(AND(V1603&lt;20,W1603&gt;=105),0.17,0)+IF(AND(V1603&gt;=20,V1603&lt;40,W1603&lt;45),0.3,0)+IF(AND(V1603&gt;=20,V1603&lt;40,W1603&gt;=45,W1603&lt;95),0.23,0)+IF(AND(V1603&gt;=20,V1603&lt;40,W1603&gt;=95,W1603&lt;=250),0.17,0)+IF(AND(V1603&gt;=20,V1603&lt;40,W1603&gt;=250),0.12,0)+IF(AND(V1603&gt;=40,V1603&lt;75,W1603&lt;35),0.3,0)+IF(AND(V1603&gt;=40,V1603&lt;75,W1603&gt;=35,W1603&lt;75),0.23,0)+IF(AND(V1603&gt;=40,V1603&lt;75,W1603&gt;=75,W1603&lt;120),0.17,0)+IF(AND(V1603&gt;=40,V1603&lt;75,W1603&gt;=120),0.12,0)+IF(AND(V1603&gt;=75,V1603&lt;175,W1603&lt;35),0.3,0)+IF(AND(V1603&gt;=75,V1603&lt;=175,W1603&gt;=35,W1603&lt;65),0.23,0)+IF(AND(V1603&gt;=75,V1603&lt;=175,W1603&gt;=65,W1603&lt;110),0.17,0)+IF(AND(V1603&gt;=75,V1603&lt;=175,W1603&gt;=110),0.12,0)+IF(AND(V1603&gt;175,W1603&lt;25),0.3,0)+IF(AND(V1603&gt;175,W1603&gt;=25,W1603&lt;55),0.23,0)+IF(AND(V1603&gt;175,W1603&gt;=55,W1603&lt;95),0.17,0)+IF(AND(V1603&gt;175,W1603&gt;=95),0.12,0),
IF(AF1603="DoEVni",IF(AND(V1603&lt;20,W1603&lt;55),0.3,0)+IF(AND(V1603&lt;20,W1603&gt;=55,W1603&lt;105),0.23,0)+IF(AND(V1603&lt;20,W1603&gt;=105),0.17,0)+IF(AND(V1603&gt;=20,V1603&lt;40,W1603&lt;45),0.3,0)+IF(AND(V1603&gt;=20,V1603&lt;40,W1603&gt;=45,W1603&lt;95),0.23,0)+IF(AND(V1603&gt;=20,V1603&lt;40,W1603&gt;=95,W1603&lt;=200),0.17,0)+IF(AND(V1603&gt;=20,V1603&lt;40,W1603&gt;=200),0.12,0)+IF(AND(V1603&gt;=40,V1603&lt;75,W1603&lt;35),0.3,0)+IF(AND(V1603&gt;=40,V1603&lt;75,W1603&gt;=35,W1603&lt;75),0.23,0)+IF(AND(V1603&gt;=40,V1603&lt;75,W1603&gt;=75,W1603&lt;120),0.17,0)+IF(AND(V1603&gt;=40,V1603&lt;75,W1603&gt;=120),0.12,0)+IF(AND(V1603&gt;=75,V1603&lt;175,W1603&lt;35),0.3,0)+IF(AND(V1603&gt;=75,V1603&lt;=175,W1603&gt;=35,W1603&lt;65),0.23,0)+IF(AND(V1603&gt;=75,V1603&lt;=175,W1603&gt;=65,W1603&lt;110),0.17,0)+IF(AND(V1603&gt;=75,V1603&lt;=175,W1603&gt;=110),0.12,0)+IF(AND(V1603&gt;175,W1603&lt;25),0.3,0)+IF(AND(V1603&gt;175,W1603&gt;=25,W1603&lt;55),0.23,0)+IF(AND(V1603&gt;175,W1603&gt;=55,W1603&lt;95),0.17,0)+IF(AND(V1603&gt;175,W1603&gt;=95),0.12,0),
IF(AF1603="DoEVLo",IF(AND(V1603&lt;20,W1603&lt;55),0.25,0)+IF(AND(V1603&lt;20,W1603&gt;=55,W1603&lt;105),0.2,0)+IF(AND(V1603&lt;20,W1603&gt;=105),0.15,0)+IF(AND(V1603&gt;=20,V1603&lt;40,W1603&lt;45),0.25,0)+IF(AND(V1603&gt;=20,V1603&lt;40,W1603&gt;=45,W1603&lt;95),0.2,0)+IF(AND(V1603&gt;=20,V1603&lt;40,W1603&gt;=95),0.15,0)+IF(AND(V1603&gt;=40,V1603&lt;75,W1603&lt;35),0.25,0)+IF(AND(V1603&gt;=40,V1603&lt;75,W1603&gt;=35,W1603&lt;75),0.2,0)+IF(AND(V1603&gt;=40,V1603&lt;75,W1603&gt;=75,W1603&lt;120),0.15,0)+IF(AND(V1603&gt;=40,V1603&lt;75,W1603&gt;=120),0.1,0)+IF(AND(V1603&gt;=75,V1603&lt;175,W1603&lt;35),0.25,0)+IF(AND(V1603&gt;=75,V1603&lt;=175,W1603&gt;=35,W1603&lt;65),0.2,0)+IF(AND(V1603&gt;=75,V1603&lt;=175,W1603&gt;=65,W1603&lt;110),0.15,0)+IF(AND(V1603&gt;=75,V1603&lt;=175,W1603&gt;=110),0.1,0)+IF(AND(V1603&gt;175,W1603&lt;25),0.25,0)+IF(AND(V1603&gt;175,W1603&gt;=25,W1603&lt;55),0.2,0)+IF(AND(V1603&gt;175,W1603&gt;=55,W1603&lt;95),0.15,0)+IF(AND(V1603&gt;175,W1603&gt;=95),0.1,0))))))))))))))))))))</f>
        <v>0.2</v>
      </c>
      <c r="Y1603" s="35">
        <f t="shared" ref="Y1603:Y1616" si="296">if(AG1603="None",0,if(AG1603="Fix5",0.05, if(AG1603="Fix6.25",0.0625,if(AG1603="Fix3.75",0.0375, if(AG1603="Fix11",0.11, if(AG1603="Fix10",0.1,if(AG1603="Fix3",0.03,0)))))))</f>
        <v>0</v>
      </c>
      <c r="Z1603" s="40">
        <f t="shared" ref="Z1603:Z1616" si="297">if(and(AD1603="EUR", AE1603 = "USD"), T1603*U1603-AA1603-AB1603, T1603-AA1603-AB1603)</f>
        <v>682.4</v>
      </c>
      <c r="AA1603" s="34">
        <f t="shared" ref="AA1603:AA1616" si="298">IF(AND(AD1603="EUR", F1603="Without EV deal", AE1603="USD"), (T1603*X1603)*U1603, 
IF(AND(AD1603="EUR", F1603="Without EV deal", AE1603="EUR"), (T1603*X1603), 
IF(AND(AD1603="EUR",AE1603="USD"), (T1603*X1603)*U1603, 
T1603*X1603)))</f>
        <v>170.6</v>
      </c>
      <c r="AB1603" s="41">
        <f t="shared" ref="AB1603:AB1616" si="299">IF(AND(AD1603="EUR", F1603="Without EV deal", AE1603="USD"), (T1603*Y1603)*U1603, 
IF(AND(AD1603="EUR", F1603="Without EV deal", AE1603="EUR"), (T1603*Y1603), 
IF(AND(AD1603="EUR",AE1603="USD"), (T1603*Y1603)*U1603, 
T1603*Y1603)))</f>
        <v>0</v>
      </c>
      <c r="AC1603" s="66" t="b">
        <v>1</v>
      </c>
      <c r="AD1603" s="87" t="str">
        <f t="shared" ref="AD1603:AD1616" si="300">IF(OR(H1603="€0.25 Flash",
H1603="€0.25(nitro) new",
H1603="€1",
H1603="€2",
H1603="€2 (bf 01.08)",
H1603="€5",
H1603="€5 (1M)",
H1603="€5 (bf 01.08)",
H1603="€5 (bf 05.05)",
H1603="€5 Nitro",
H1603="€5(wx) new",
H1603="€10",
H1603="€10 (1M)",
H1603="€10 (bf 01.08)",
H1603="€10 (bf 05.05)",
H1603="€10 (MP)",
H1603="€10 (old)",
H1603="€10 Nitro (bf 05.05)",
H1603="€10 Nitro (old)",
H1603="€10(wx) new",
H1603="€20",
H1603="€25",
H1603="€25 (bf 01.08)",
H1603="€25 (bf 05.05)",
H1603="€25 (MP)",
H1603="€25 (old)",
H1603="€25 Nitro",
H1603="€25 Nitro (bf 01.08)",
H1603="€25 Nitro (bf 05.05)",
H1603="€25(nitro) new",
H1603="€25(wx) new",
H1603="€50",
H1603="€50 (bf 01.08)",
H1603="€50 (bf 05.05)",
H1603="€50 (old)",
H1603="€50 Nitro",
H1603="€50 Nitro (bf 01.08)",
H1603="€50 Nitro (bf 05.05)",
H1603="€50(wx) new",
H1603="€100",
H1603="€100 (old)",
H1603="€100 Nitro",
H1603="€100 Nitro (old)",
H1603="€200",
H1603="€250",
H1603="€250 Nitro",
H1603="€500",
H1603="€500 Nitro"),"EUR", "USD")
</f>
        <v>USD</v>
      </c>
      <c r="AE1603" s="88" t="s">
        <v>138</v>
      </c>
      <c r="AF1603" s="88" t="str">
        <f t="array" ref="AF1603">INDEX('Deal Info'!D:D, MATCH(A1603,'Deal Info'!A:A, 0))</f>
        <v>DoEVba</v>
      </c>
      <c r="AG1603" s="89" t="str">
        <f t="array" ref="AG1603">INDEX('Deal Info'!G:G, MATCH(A1603,'Deal Info'!A:A, 0))</f>
        <v>None</v>
      </c>
    </row>
    <row r="1604" hidden="1">
      <c r="A1604" s="23" t="str">
        <f t="array" ref="A1604">if(G1604='Room Info'!$B$1, INDEX('Room Info'!$A$2:$A3446, MATCH(B1604,'Room Info'!$B$2:$B3446, 0)),if(G1604='Room Info'!$C$1, INDEX('Room Info'!$A$2:$A3446, MATCH(B1604,'Room Info'!$C$2:$C3446, 0)),if(G1604='Room Info'!$D$1, INDEX('Room Info'!$A$2:$A3446, MATCH(B1604,'Room Info'!$D$2:$D3446, 0)),if(G1604='Room Info'!$E$1, INDEX('Room Info'!$A$2:$A3446, MATCH(B1604,'Room Info'!$E$2:$E3446, 0)),if(G1604='Room Info'!$F$1, INDEX('Room Info'!$A$2:$A3446, MATCH(B1604,'Room Info'!$F$2:$F3446, 0)),if(G1604='Room Info'!$H$1, INDEX('Room Info'!$A$2:$A3446, MATCH(B1604,'Room Info'!$H$2:$H3446, 0)),if(G1604='Room Info'!$G$1, INDEX('Room Info'!$A$2:$A3446, MATCH(B1604,'Room Info'!$G$2:$G3446, 0)))))))))</f>
        <v>barabashOva</v>
      </c>
      <c r="B1604" s="50" t="s">
        <v>219</v>
      </c>
      <c r="C1604" s="51">
        <v>44978.0</v>
      </c>
      <c r="D1604" s="51">
        <v>45005.0</v>
      </c>
      <c r="E1604" s="95">
        <v>44986.0</v>
      </c>
      <c r="F1604" s="53" t="s">
        <v>4</v>
      </c>
      <c r="G1604" s="70" t="s">
        <v>5</v>
      </c>
      <c r="H1604" s="96" t="s">
        <v>62</v>
      </c>
      <c r="I1604" s="105" t="s">
        <v>7</v>
      </c>
      <c r="J1604" s="44">
        <f t="shared" si="292"/>
        <v>25</v>
      </c>
      <c r="K1604" s="56">
        <v>440.0</v>
      </c>
      <c r="L1604" s="57">
        <v>-150.0</v>
      </c>
      <c r="M1604" s="67"/>
      <c r="N1604" s="33">
        <f t="shared" si="276"/>
        <v>11000</v>
      </c>
      <c r="O1604" s="59">
        <v>14162.0</v>
      </c>
      <c r="P1604" s="34">
        <f t="shared" si="277"/>
        <v>32.18636364</v>
      </c>
      <c r="Q1604" s="60"/>
      <c r="R1604" s="36">
        <f t="shared" si="293"/>
        <v>0</v>
      </c>
      <c r="S1604" s="71"/>
      <c r="T1604" s="37">
        <f t="shared" si="294"/>
        <v>0</v>
      </c>
      <c r="U1604" s="62">
        <v>1.071</v>
      </c>
      <c r="V1604" s="74">
        <v>11.483812949640289</v>
      </c>
      <c r="W1604" s="74">
        <v>74.27846515270164</v>
      </c>
      <c r="X1604" s="35">
        <f t="shared" si="295"/>
        <v>0.2</v>
      </c>
      <c r="Y1604" s="35">
        <f t="shared" si="296"/>
        <v>0</v>
      </c>
      <c r="Z1604" s="40">
        <f t="shared" si="297"/>
        <v>0</v>
      </c>
      <c r="AA1604" s="34">
        <f t="shared" si="298"/>
        <v>0</v>
      </c>
      <c r="AB1604" s="41">
        <f t="shared" si="299"/>
        <v>0</v>
      </c>
      <c r="AC1604" s="66" t="b">
        <v>1</v>
      </c>
      <c r="AD1604" s="87" t="str">
        <f t="shared" si="300"/>
        <v>USD</v>
      </c>
      <c r="AE1604" s="88" t="s">
        <v>138</v>
      </c>
      <c r="AF1604" s="88" t="str">
        <f t="array" ref="AF1604">INDEX('Deal Info'!D:D, MATCH(A1604,'Deal Info'!A:A, 0))</f>
        <v>DoEVba</v>
      </c>
      <c r="AG1604" s="89" t="str">
        <f t="array" ref="AG1604">INDEX('Deal Info'!G:G, MATCH(A1604,'Deal Info'!A:A, 0))</f>
        <v>None</v>
      </c>
    </row>
    <row r="1605" hidden="1">
      <c r="A1605" s="23" t="str">
        <f t="array" ref="A1605">if(G1605='Room Info'!$B$1, INDEX('Room Info'!$A$2:$A3446, MATCH(B1605,'Room Info'!$B$2:$B3446, 0)),if(G1605='Room Info'!$C$1, INDEX('Room Info'!$A$2:$A3446, MATCH(B1605,'Room Info'!$C$2:$C3446, 0)),if(G1605='Room Info'!$D$1, INDEX('Room Info'!$A$2:$A3446, MATCH(B1605,'Room Info'!$D$2:$D3446, 0)),if(G1605='Room Info'!$E$1, INDEX('Room Info'!$A$2:$A3446, MATCH(B1605,'Room Info'!$E$2:$E3446, 0)),if(G1605='Room Info'!$F$1, INDEX('Room Info'!$A$2:$A3446, MATCH(B1605,'Room Info'!$F$2:$F3446, 0)),if(G1605='Room Info'!$H$1, INDEX('Room Info'!$A$2:$A3446, MATCH(B1605,'Room Info'!$H$2:$H3446, 0)),if(G1605='Room Info'!$G$1, INDEX('Room Info'!$A$2:$A3446, MATCH(B1605,'Room Info'!$G$2:$G3446, 0)))))))))</f>
        <v>ekomlev98</v>
      </c>
      <c r="B1605" s="50" t="s">
        <v>190</v>
      </c>
      <c r="C1605" s="51">
        <v>44978.0</v>
      </c>
      <c r="D1605" s="51">
        <v>45005.0</v>
      </c>
      <c r="E1605" s="95">
        <v>44986.0</v>
      </c>
      <c r="F1605" s="53" t="s">
        <v>4</v>
      </c>
      <c r="G1605" s="70" t="s">
        <v>5</v>
      </c>
      <c r="H1605" s="96" t="s">
        <v>62</v>
      </c>
      <c r="I1605" s="105" t="s">
        <v>7</v>
      </c>
      <c r="J1605" s="44">
        <f t="shared" si="292"/>
        <v>25</v>
      </c>
      <c r="K1605" s="80">
        <v>2757.0</v>
      </c>
      <c r="L1605" s="77">
        <v>-1375.0</v>
      </c>
      <c r="M1605" s="81">
        <v>2350.0</v>
      </c>
      <c r="N1605" s="33">
        <f t="shared" si="276"/>
        <v>68925</v>
      </c>
      <c r="O1605" s="50">
        <v>77924.0</v>
      </c>
      <c r="P1605" s="34">
        <f t="shared" si="277"/>
        <v>28.26405513</v>
      </c>
      <c r="Q1605" s="60"/>
      <c r="R1605" s="36">
        <f t="shared" si="293"/>
        <v>2350</v>
      </c>
      <c r="S1605" s="78">
        <v>-682.0</v>
      </c>
      <c r="T1605" s="37">
        <f t="shared" si="294"/>
        <v>1668</v>
      </c>
      <c r="U1605" s="62">
        <v>1.071</v>
      </c>
      <c r="V1605" s="74">
        <v>25.0</v>
      </c>
      <c r="W1605" s="74">
        <v>66.72</v>
      </c>
      <c r="X1605" s="35">
        <f t="shared" si="295"/>
        <v>0.3</v>
      </c>
      <c r="Y1605" s="35">
        <f t="shared" si="296"/>
        <v>0</v>
      </c>
      <c r="Z1605" s="40">
        <f t="shared" si="297"/>
        <v>1167.6</v>
      </c>
      <c r="AA1605" s="34">
        <f t="shared" si="298"/>
        <v>500.4</v>
      </c>
      <c r="AB1605" s="41">
        <f t="shared" si="299"/>
        <v>0</v>
      </c>
      <c r="AC1605" s="66" t="b">
        <v>1</v>
      </c>
      <c r="AD1605" s="87" t="str">
        <f t="shared" si="300"/>
        <v>USD</v>
      </c>
      <c r="AE1605" s="88" t="s">
        <v>138</v>
      </c>
      <c r="AF1605" s="88" t="str">
        <f t="array" ref="AF1605">INDEX('Deal Info'!D:D, MATCH(A1605,'Deal Info'!A:A, 0))</f>
        <v>SF</v>
      </c>
      <c r="AG1605" s="89" t="str">
        <f t="array" ref="AG1605">INDEX('Deal Info'!G:G, MATCH(A1605,'Deal Info'!A:A, 0))</f>
        <v>None</v>
      </c>
    </row>
    <row r="1606" hidden="1">
      <c r="A1606" s="23" t="str">
        <f t="array" ref="A1606">if(G1606='Room Info'!$B$1, INDEX('Room Info'!$A$2:$A3446, MATCH(B1606,'Room Info'!$B$2:$B3446, 0)),if(G1606='Room Info'!$C$1, INDEX('Room Info'!$A$2:$A3446, MATCH(B1606,'Room Info'!$C$2:$C3446, 0)),if(G1606='Room Info'!$D$1, INDEX('Room Info'!$A$2:$A3446, MATCH(B1606,'Room Info'!$D$2:$D3446, 0)),if(G1606='Room Info'!$E$1, INDEX('Room Info'!$A$2:$A3446, MATCH(B1606,'Room Info'!$E$2:$E3446, 0)),if(G1606='Room Info'!$F$1, INDEX('Room Info'!$A$2:$A3446, MATCH(B1606,'Room Info'!$F$2:$F3446, 0)),if(G1606='Room Info'!$H$1, INDEX('Room Info'!$A$2:$A3446, MATCH(B1606,'Room Info'!$H$2:$H3446, 0)),if(G1606='Room Info'!$G$1, INDEX('Room Info'!$A$2:$A3446, MATCH(B1606,'Room Info'!$G$2:$G3446, 0)))))))))</f>
        <v>Mexanuk_AV</v>
      </c>
      <c r="B1606" s="50" t="s">
        <v>160</v>
      </c>
      <c r="C1606" s="51">
        <v>44978.0</v>
      </c>
      <c r="D1606" s="51">
        <v>45005.0</v>
      </c>
      <c r="E1606" s="95">
        <v>44986.0</v>
      </c>
      <c r="F1606" s="53" t="s">
        <v>4</v>
      </c>
      <c r="G1606" s="70" t="s">
        <v>5</v>
      </c>
      <c r="H1606" s="96" t="s">
        <v>48</v>
      </c>
      <c r="I1606" s="59" t="s">
        <v>11</v>
      </c>
      <c r="J1606" s="44">
        <f t="shared" si="292"/>
        <v>10</v>
      </c>
      <c r="K1606" s="80">
        <v>6290.0</v>
      </c>
      <c r="L1606" s="77">
        <v>-4470.0</v>
      </c>
      <c r="M1606" s="81"/>
      <c r="N1606" s="33">
        <f t="shared" si="276"/>
        <v>62900</v>
      </c>
      <c r="O1606" s="50">
        <v>95900.0</v>
      </c>
      <c r="P1606" s="34">
        <f t="shared" si="277"/>
        <v>15.24642289</v>
      </c>
      <c r="Q1606" s="60"/>
      <c r="R1606" s="36">
        <f t="shared" si="293"/>
        <v>0</v>
      </c>
      <c r="S1606" s="78">
        <v>-1591.0</v>
      </c>
      <c r="T1606" s="37">
        <f t="shared" si="294"/>
        <v>-1591</v>
      </c>
      <c r="U1606" s="62">
        <v>1.071</v>
      </c>
      <c r="V1606" s="69">
        <v>10.0</v>
      </c>
      <c r="W1606" s="69">
        <v>29.0</v>
      </c>
      <c r="X1606" s="35">
        <f t="shared" si="295"/>
        <v>0.3</v>
      </c>
      <c r="Y1606" s="35">
        <f t="shared" si="296"/>
        <v>0</v>
      </c>
      <c r="Z1606" s="40">
        <f t="shared" si="297"/>
        <v>-1113.7</v>
      </c>
      <c r="AA1606" s="34">
        <f t="shared" si="298"/>
        <v>-477.3</v>
      </c>
      <c r="AB1606" s="41">
        <f t="shared" si="299"/>
        <v>0</v>
      </c>
      <c r="AC1606" s="42" t="b">
        <v>0</v>
      </c>
      <c r="AD1606" s="87" t="str">
        <f t="shared" si="300"/>
        <v>USD</v>
      </c>
      <c r="AE1606" s="88" t="s">
        <v>138</v>
      </c>
      <c r="AF1606" s="88" t="str">
        <f t="array" ref="AF1606">INDEX('Deal Info'!D:D, MATCH(A1606,'Deal Info'!A:A, 0))</f>
        <v>SF</v>
      </c>
      <c r="AG1606" s="89" t="str">
        <f t="array" ref="AG1606">INDEX('Deal Info'!G:G, MATCH(A1606,'Deal Info'!A:A, 0))</f>
        <v>None</v>
      </c>
    </row>
    <row r="1607" hidden="1">
      <c r="A1607" s="23" t="str">
        <f t="array" ref="A1607">if(G1607='Room Info'!$B$1, INDEX('Room Info'!$A$2:$A3446, MATCH(B1607,'Room Info'!$B$2:$B3446, 0)),if(G1607='Room Info'!$C$1, INDEX('Room Info'!$A$2:$A3446, MATCH(B1607,'Room Info'!$C$2:$C3446, 0)),if(G1607='Room Info'!$D$1, INDEX('Room Info'!$A$2:$A3446, MATCH(B1607,'Room Info'!$D$2:$D3446, 0)),if(G1607='Room Info'!$E$1, INDEX('Room Info'!$A$2:$A3446, MATCH(B1607,'Room Info'!$E$2:$E3446, 0)),if(G1607='Room Info'!$F$1, INDEX('Room Info'!$A$2:$A3446, MATCH(B1607,'Room Info'!$F$2:$F3446, 0)),if(G1607='Room Info'!$H$1, INDEX('Room Info'!$A$2:$A3446, MATCH(B1607,'Room Info'!$H$2:$H3446, 0)),if(G1607='Room Info'!$G$1, INDEX('Room Info'!$A$2:$A3446, MATCH(B1607,'Room Info'!$G$2:$G3446, 0)))))))))</f>
        <v>Mexanuk_AV</v>
      </c>
      <c r="B1607" s="50" t="s">
        <v>160</v>
      </c>
      <c r="C1607" s="51">
        <v>44978.0</v>
      </c>
      <c r="D1607" s="51">
        <v>45005.0</v>
      </c>
      <c r="E1607" s="95">
        <v>44986.0</v>
      </c>
      <c r="F1607" s="53" t="s">
        <v>4</v>
      </c>
      <c r="G1607" s="70" t="s">
        <v>5</v>
      </c>
      <c r="H1607" s="96" t="s">
        <v>63</v>
      </c>
      <c r="I1607" s="59" t="s">
        <v>11</v>
      </c>
      <c r="J1607" s="44">
        <f t="shared" si="292"/>
        <v>25</v>
      </c>
      <c r="K1607" s="80">
        <v>7.0</v>
      </c>
      <c r="L1607" s="77">
        <v>0.0</v>
      </c>
      <c r="M1607" s="84"/>
      <c r="N1607" s="33">
        <f t="shared" si="276"/>
        <v>175</v>
      </c>
      <c r="O1607" s="50">
        <v>-172.0</v>
      </c>
      <c r="P1607" s="34">
        <f t="shared" si="277"/>
        <v>-24.57142857</v>
      </c>
      <c r="Q1607" s="60"/>
      <c r="R1607" s="36">
        <f t="shared" si="293"/>
        <v>0</v>
      </c>
      <c r="S1607" s="102"/>
      <c r="T1607" s="37">
        <f t="shared" si="294"/>
        <v>0</v>
      </c>
      <c r="U1607" s="62">
        <v>1.071</v>
      </c>
      <c r="V1607" s="69">
        <v>10.0</v>
      </c>
      <c r="W1607" s="69">
        <v>29.0</v>
      </c>
      <c r="X1607" s="35">
        <f t="shared" si="295"/>
        <v>0.3</v>
      </c>
      <c r="Y1607" s="35">
        <f t="shared" si="296"/>
        <v>0</v>
      </c>
      <c r="Z1607" s="40">
        <f t="shared" si="297"/>
        <v>0</v>
      </c>
      <c r="AA1607" s="34">
        <f t="shared" si="298"/>
        <v>0</v>
      </c>
      <c r="AB1607" s="41">
        <f t="shared" si="299"/>
        <v>0</v>
      </c>
      <c r="AC1607" s="42" t="b">
        <v>0</v>
      </c>
      <c r="AD1607" s="87" t="str">
        <f t="shared" si="300"/>
        <v>USD</v>
      </c>
      <c r="AE1607" s="88" t="s">
        <v>138</v>
      </c>
      <c r="AF1607" s="88" t="str">
        <f t="array" ref="AF1607">INDEX('Deal Info'!D:D, MATCH(A1607,'Deal Info'!A:A, 0))</f>
        <v>SF</v>
      </c>
      <c r="AG1607" s="89" t="str">
        <f t="array" ref="AG1607">INDEX('Deal Info'!G:G, MATCH(A1607,'Deal Info'!A:A, 0))</f>
        <v>None</v>
      </c>
    </row>
    <row r="1608" hidden="1">
      <c r="A1608" s="23" t="str">
        <f t="array" ref="A1608">if(G1608='Room Info'!$B$1, INDEX('Room Info'!$A$2:$A3446, MATCH(B1608,'Room Info'!$B$2:$B3446, 0)),if(G1608='Room Info'!$C$1, INDEX('Room Info'!$A$2:$A3446, MATCH(B1608,'Room Info'!$C$2:$C3446, 0)),if(G1608='Room Info'!$D$1, INDEX('Room Info'!$A$2:$A3446, MATCH(B1608,'Room Info'!$D$2:$D3446, 0)),if(G1608='Room Info'!$E$1, INDEX('Room Info'!$A$2:$A3446, MATCH(B1608,'Room Info'!$E$2:$E3446, 0)),if(G1608='Room Info'!$F$1, INDEX('Room Info'!$A$2:$A3446, MATCH(B1608,'Room Info'!$F$2:$F3446, 0)),if(G1608='Room Info'!$H$1, INDEX('Room Info'!$A$2:$A3446, MATCH(B1608,'Room Info'!$H$2:$H3446, 0)),if(G1608='Room Info'!$G$1, INDEX('Room Info'!$A$2:$A3446, MATCH(B1608,'Room Info'!$G$2:$G3446, 0)))))))))</f>
        <v>BodyaComUa</v>
      </c>
      <c r="B1608" s="50" t="s">
        <v>184</v>
      </c>
      <c r="C1608" s="51">
        <v>44978.0</v>
      </c>
      <c r="D1608" s="51">
        <v>45005.0</v>
      </c>
      <c r="E1608" s="95">
        <v>44986.0</v>
      </c>
      <c r="F1608" s="101" t="s">
        <v>12</v>
      </c>
      <c r="G1608" s="70" t="s">
        <v>5</v>
      </c>
      <c r="H1608" s="96" t="s">
        <v>20</v>
      </c>
      <c r="I1608" s="105" t="s">
        <v>7</v>
      </c>
      <c r="J1608" s="44">
        <f t="shared" si="292"/>
        <v>1</v>
      </c>
      <c r="K1608" s="80">
        <v>1.0</v>
      </c>
      <c r="L1608" s="77">
        <v>-1.0</v>
      </c>
      <c r="M1608" s="81">
        <v>1120.0</v>
      </c>
      <c r="N1608" s="33">
        <f t="shared" si="276"/>
        <v>1</v>
      </c>
      <c r="O1608" s="101"/>
      <c r="P1608" s="34">
        <f t="shared" si="277"/>
        <v>0</v>
      </c>
      <c r="Q1608" s="60"/>
      <c r="R1608" s="36">
        <f t="shared" si="293"/>
        <v>1120</v>
      </c>
      <c r="S1608" s="78">
        <v>202.0</v>
      </c>
      <c r="T1608" s="37">
        <f t="shared" si="294"/>
        <v>1119</v>
      </c>
      <c r="U1608" s="62">
        <v>1.071</v>
      </c>
      <c r="V1608" s="74">
        <v>7.948541461815798</v>
      </c>
      <c r="W1608" s="74">
        <v>166.19401261803637</v>
      </c>
      <c r="X1608" s="35">
        <f t="shared" si="295"/>
        <v>0.17</v>
      </c>
      <c r="Y1608" s="35">
        <f t="shared" si="296"/>
        <v>0</v>
      </c>
      <c r="Z1608" s="40">
        <f t="shared" si="297"/>
        <v>928.77</v>
      </c>
      <c r="AA1608" s="34">
        <f t="shared" si="298"/>
        <v>190.23</v>
      </c>
      <c r="AB1608" s="41">
        <f t="shared" si="299"/>
        <v>0</v>
      </c>
      <c r="AC1608" s="66" t="b">
        <v>1</v>
      </c>
      <c r="AD1608" s="87" t="str">
        <f t="shared" si="300"/>
        <v>USD</v>
      </c>
      <c r="AE1608" s="88" t="s">
        <v>138</v>
      </c>
      <c r="AF1608" s="88" t="str">
        <f t="array" ref="AF1608">INDEX('Deal Info'!D:D, MATCH(A1608,'Deal Info'!A:A, 0))</f>
        <v>DoEV</v>
      </c>
      <c r="AG1608" s="89" t="str">
        <f t="array" ref="AG1608">INDEX('Deal Info'!G:G, MATCH(A1608,'Deal Info'!A:A, 0))</f>
        <v>None</v>
      </c>
    </row>
    <row r="1609" hidden="1">
      <c r="A1609" s="23" t="str">
        <f t="array" ref="A1609">if(G1609='Room Info'!$B$1, INDEX('Room Info'!$A$2:$A3446, MATCH(B1609,'Room Info'!$B$2:$B3446, 0)),if(G1609='Room Info'!$C$1, INDEX('Room Info'!$A$2:$A3446, MATCH(B1609,'Room Info'!$C$2:$C3446, 0)),if(G1609='Room Info'!$D$1, INDEX('Room Info'!$A$2:$A3446, MATCH(B1609,'Room Info'!$D$2:$D3446, 0)),if(G1609='Room Info'!$E$1, INDEX('Room Info'!$A$2:$A3446, MATCH(B1609,'Room Info'!$E$2:$E3446, 0)),if(G1609='Room Info'!$F$1, INDEX('Room Info'!$A$2:$A3446, MATCH(B1609,'Room Info'!$F$2:$F3446, 0)),if(G1609='Room Info'!$H$1, INDEX('Room Info'!$A$2:$A3446, MATCH(B1609,'Room Info'!$H$2:$H3446, 0)),if(G1609='Room Info'!$G$1, INDEX('Room Info'!$A$2:$A3446, MATCH(B1609,'Room Info'!$G$2:$G3446, 0)))))))))</f>
        <v>BodyaComUa</v>
      </c>
      <c r="B1609" s="50" t="s">
        <v>184</v>
      </c>
      <c r="C1609" s="51">
        <v>44978.0</v>
      </c>
      <c r="D1609" s="51">
        <v>45005.0</v>
      </c>
      <c r="E1609" s="95">
        <v>44986.0</v>
      </c>
      <c r="F1609" s="53" t="s">
        <v>4</v>
      </c>
      <c r="G1609" s="70" t="s">
        <v>5</v>
      </c>
      <c r="H1609" s="54" t="s">
        <v>35</v>
      </c>
      <c r="I1609" s="105" t="s">
        <v>7</v>
      </c>
      <c r="J1609" s="44">
        <f t="shared" si="292"/>
        <v>5</v>
      </c>
      <c r="K1609" s="56">
        <v>1250.0</v>
      </c>
      <c r="L1609" s="57">
        <v>500.0</v>
      </c>
      <c r="M1609" s="67"/>
      <c r="N1609" s="33">
        <f t="shared" si="276"/>
        <v>6250</v>
      </c>
      <c r="O1609" s="59">
        <v>92877.0</v>
      </c>
      <c r="P1609" s="34">
        <f t="shared" si="277"/>
        <v>74.3016</v>
      </c>
      <c r="Q1609" s="60"/>
      <c r="R1609" s="36">
        <f t="shared" si="293"/>
        <v>0</v>
      </c>
      <c r="S1609" s="61"/>
      <c r="T1609" s="37">
        <f t="shared" si="294"/>
        <v>0</v>
      </c>
      <c r="U1609" s="62">
        <v>1.071</v>
      </c>
      <c r="V1609" s="74">
        <v>7.948541461815798</v>
      </c>
      <c r="W1609" s="74">
        <v>166.19401261803637</v>
      </c>
      <c r="X1609" s="35">
        <f t="shared" si="295"/>
        <v>0.17</v>
      </c>
      <c r="Y1609" s="35">
        <f t="shared" si="296"/>
        <v>0</v>
      </c>
      <c r="Z1609" s="40">
        <f t="shared" si="297"/>
        <v>0</v>
      </c>
      <c r="AA1609" s="34">
        <f t="shared" si="298"/>
        <v>0</v>
      </c>
      <c r="AB1609" s="41">
        <f t="shared" si="299"/>
        <v>0</v>
      </c>
      <c r="AC1609" s="66" t="b">
        <v>1</v>
      </c>
      <c r="AD1609" s="87" t="str">
        <f t="shared" si="300"/>
        <v>USD</v>
      </c>
      <c r="AE1609" s="88" t="s">
        <v>138</v>
      </c>
      <c r="AF1609" s="88" t="str">
        <f t="array" ref="AF1609">INDEX('Deal Info'!D:D, MATCH(A1609,'Deal Info'!A:A, 0))</f>
        <v>DoEV</v>
      </c>
      <c r="AG1609" s="89" t="str">
        <f t="array" ref="AG1609">INDEX('Deal Info'!G:G, MATCH(A1609,'Deal Info'!A:A, 0))</f>
        <v>None</v>
      </c>
    </row>
    <row r="1610" hidden="1">
      <c r="A1610" s="23" t="str">
        <f t="array" ref="A1610">if(G1610='Room Info'!$B$1, INDEX('Room Info'!$A$2:$A3446, MATCH(B1610,'Room Info'!$B$2:$B3446, 0)),if(G1610='Room Info'!$C$1, INDEX('Room Info'!$A$2:$A3446, MATCH(B1610,'Room Info'!$C$2:$C3446, 0)),if(G1610='Room Info'!$D$1, INDEX('Room Info'!$A$2:$A3446, MATCH(B1610,'Room Info'!$D$2:$D3446, 0)),if(G1610='Room Info'!$E$1, INDEX('Room Info'!$A$2:$A3446, MATCH(B1610,'Room Info'!$E$2:$E3446, 0)),if(G1610='Room Info'!$F$1, INDEX('Room Info'!$A$2:$A3446, MATCH(B1610,'Room Info'!$F$2:$F3446, 0)),if(G1610='Room Info'!$H$1, INDEX('Room Info'!$A$2:$A3446, MATCH(B1610,'Room Info'!$H$2:$H3446, 0)),if(G1610='Room Info'!$G$1, INDEX('Room Info'!$A$2:$A3446, MATCH(B1610,'Room Info'!$G$2:$G3446, 0)))))))))</f>
        <v>BodyaComUa</v>
      </c>
      <c r="B1610" s="50" t="s">
        <v>184</v>
      </c>
      <c r="C1610" s="51">
        <v>44978.0</v>
      </c>
      <c r="D1610" s="51">
        <v>45005.0</v>
      </c>
      <c r="E1610" s="95">
        <v>44986.0</v>
      </c>
      <c r="F1610" s="53" t="s">
        <v>4</v>
      </c>
      <c r="G1610" s="70" t="s">
        <v>5</v>
      </c>
      <c r="H1610" s="54" t="s">
        <v>45</v>
      </c>
      <c r="I1610" s="105" t="s">
        <v>7</v>
      </c>
      <c r="J1610" s="44">
        <f t="shared" si="292"/>
        <v>10</v>
      </c>
      <c r="K1610" s="80">
        <v>1800.0</v>
      </c>
      <c r="L1610" s="77">
        <v>520.0</v>
      </c>
      <c r="M1610" s="84"/>
      <c r="N1610" s="33">
        <f t="shared" si="276"/>
        <v>18000</v>
      </c>
      <c r="O1610" s="50">
        <v>66509.0</v>
      </c>
      <c r="P1610" s="34">
        <f t="shared" si="277"/>
        <v>36.94944444</v>
      </c>
      <c r="Q1610" s="60"/>
      <c r="R1610" s="36">
        <f t="shared" si="293"/>
        <v>0</v>
      </c>
      <c r="S1610" s="102"/>
      <c r="T1610" s="37">
        <f t="shared" si="294"/>
        <v>0</v>
      </c>
      <c r="U1610" s="62">
        <v>1.071</v>
      </c>
      <c r="V1610" s="74">
        <v>7.948541461815798</v>
      </c>
      <c r="W1610" s="74">
        <v>166.19401261803637</v>
      </c>
      <c r="X1610" s="35">
        <f t="shared" si="295"/>
        <v>0.17</v>
      </c>
      <c r="Y1610" s="35">
        <f t="shared" si="296"/>
        <v>0</v>
      </c>
      <c r="Z1610" s="40">
        <f t="shared" si="297"/>
        <v>0</v>
      </c>
      <c r="AA1610" s="34">
        <f t="shared" si="298"/>
        <v>0</v>
      </c>
      <c r="AB1610" s="41">
        <f t="shared" si="299"/>
        <v>0</v>
      </c>
      <c r="AC1610" s="66" t="b">
        <v>1</v>
      </c>
      <c r="AD1610" s="87" t="str">
        <f t="shared" si="300"/>
        <v>USD</v>
      </c>
      <c r="AE1610" s="88" t="s">
        <v>138</v>
      </c>
      <c r="AF1610" s="88" t="str">
        <f t="array" ref="AF1610">INDEX('Deal Info'!D:D, MATCH(A1610,'Deal Info'!A:A, 0))</f>
        <v>DoEV</v>
      </c>
      <c r="AG1610" s="89" t="str">
        <f t="array" ref="AG1610">INDEX('Deal Info'!G:G, MATCH(A1610,'Deal Info'!A:A, 0))</f>
        <v>None</v>
      </c>
    </row>
    <row r="1611" hidden="1">
      <c r="A1611" s="23" t="str">
        <f t="array" ref="A1611">if(G1611='Room Info'!$B$1, INDEX('Room Info'!$A$2:$A3446, MATCH(B1611,'Room Info'!$B$2:$B3446, 0)),if(G1611='Room Info'!$C$1, INDEX('Room Info'!$A$2:$A3446, MATCH(B1611,'Room Info'!$C$2:$C3446, 0)),if(G1611='Room Info'!$D$1, INDEX('Room Info'!$A$2:$A3446, MATCH(B1611,'Room Info'!$D$2:$D3446, 0)),if(G1611='Room Info'!$E$1, INDEX('Room Info'!$A$2:$A3446, MATCH(B1611,'Room Info'!$E$2:$E3446, 0)),if(G1611='Room Info'!$F$1, INDEX('Room Info'!$A$2:$A3446, MATCH(B1611,'Room Info'!$F$2:$F3446, 0)),if(G1611='Room Info'!$H$1, INDEX('Room Info'!$A$2:$A3446, MATCH(B1611,'Room Info'!$H$2:$H3446, 0)),if(G1611='Room Info'!$G$1, INDEX('Room Info'!$A$2:$A3446, MATCH(B1611,'Room Info'!$G$2:$G3446, 0)))))))))</f>
        <v>QQcheliQ</v>
      </c>
      <c r="B1611" s="50" t="s">
        <v>210</v>
      </c>
      <c r="C1611" s="51">
        <v>44978.0</v>
      </c>
      <c r="D1611" s="51">
        <v>45005.0</v>
      </c>
      <c r="E1611" s="95">
        <v>44986.0</v>
      </c>
      <c r="F1611" s="53" t="s">
        <v>4</v>
      </c>
      <c r="G1611" s="70" t="s">
        <v>5</v>
      </c>
      <c r="H1611" s="96" t="s">
        <v>62</v>
      </c>
      <c r="I1611" s="105" t="s">
        <v>7</v>
      </c>
      <c r="J1611" s="44">
        <f t="shared" si="292"/>
        <v>25</v>
      </c>
      <c r="K1611" s="56">
        <v>1717.0</v>
      </c>
      <c r="L1611" s="57">
        <v>-3400.0</v>
      </c>
      <c r="M1611" s="58">
        <v>1825.0</v>
      </c>
      <c r="N1611" s="33">
        <f t="shared" si="276"/>
        <v>42925</v>
      </c>
      <c r="O1611" s="59">
        <v>61540.0</v>
      </c>
      <c r="P1611" s="34">
        <f t="shared" si="277"/>
        <v>35.84158416</v>
      </c>
      <c r="Q1611" s="60"/>
      <c r="R1611" s="36">
        <f t="shared" si="293"/>
        <v>1825</v>
      </c>
      <c r="S1611" s="61">
        <v>15.0</v>
      </c>
      <c r="T1611" s="37">
        <f t="shared" si="294"/>
        <v>1840</v>
      </c>
      <c r="U1611" s="62">
        <v>1.071</v>
      </c>
      <c r="V1611" s="74">
        <v>25.0</v>
      </c>
      <c r="W1611" s="74">
        <v>73.6</v>
      </c>
      <c r="X1611" s="35">
        <f t="shared" si="295"/>
        <v>0.23</v>
      </c>
      <c r="Y1611" s="35">
        <f t="shared" si="296"/>
        <v>0</v>
      </c>
      <c r="Z1611" s="40">
        <f t="shared" si="297"/>
        <v>1416.8</v>
      </c>
      <c r="AA1611" s="34">
        <f t="shared" si="298"/>
        <v>423.2</v>
      </c>
      <c r="AB1611" s="41">
        <f t="shared" si="299"/>
        <v>0</v>
      </c>
      <c r="AC1611" s="66" t="b">
        <v>1</v>
      </c>
      <c r="AD1611" s="87" t="str">
        <f t="shared" si="300"/>
        <v>USD</v>
      </c>
      <c r="AE1611" s="88" t="s">
        <v>138</v>
      </c>
      <c r="AF1611" s="88" t="str">
        <f t="array" ref="AF1611">INDEX('Deal Info'!D:D, MATCH(A1611,'Deal Info'!A:A, 0))</f>
        <v>DoEV</v>
      </c>
      <c r="AG1611" s="89" t="str">
        <f t="array" ref="AG1611">INDEX('Deal Info'!G:G, MATCH(A1611,'Deal Info'!A:A, 0))</f>
        <v>None</v>
      </c>
    </row>
    <row r="1612" hidden="1">
      <c r="A1612" s="23" t="str">
        <f t="array" ref="A1612">if(G1612='Room Info'!$B$1, INDEX('Room Info'!$A$2:$A3446, MATCH(B1612,'Room Info'!$B$2:$B3446, 0)),if(G1612='Room Info'!$C$1, INDEX('Room Info'!$A$2:$A3446, MATCH(B1612,'Room Info'!$C$2:$C3446, 0)),if(G1612='Room Info'!$D$1, INDEX('Room Info'!$A$2:$A3446, MATCH(B1612,'Room Info'!$D$2:$D3446, 0)),if(G1612='Room Info'!$E$1, INDEX('Room Info'!$A$2:$A3446, MATCH(B1612,'Room Info'!$E$2:$E3446, 0)),if(G1612='Room Info'!$F$1, INDEX('Room Info'!$A$2:$A3446, MATCH(B1612,'Room Info'!$F$2:$F3446, 0)),if(G1612='Room Info'!$H$1, INDEX('Room Info'!$A$2:$A3446, MATCH(B1612,'Room Info'!$H$2:$H3446, 0)),if(G1612='Room Info'!$G$1, INDEX('Room Info'!$A$2:$A3446, MATCH(B1612,'Room Info'!$G$2:$G3446, 0)))))))))</f>
        <v>SDEBA1</v>
      </c>
      <c r="B1612" s="50" t="s">
        <v>161</v>
      </c>
      <c r="C1612" s="51">
        <v>44978.0</v>
      </c>
      <c r="D1612" s="51">
        <v>45005.0</v>
      </c>
      <c r="E1612" s="95">
        <v>44986.0</v>
      </c>
      <c r="F1612" s="101" t="s">
        <v>12</v>
      </c>
      <c r="G1612" s="70" t="s">
        <v>5</v>
      </c>
      <c r="H1612" s="54" t="s">
        <v>23</v>
      </c>
      <c r="I1612" s="59" t="s">
        <v>11</v>
      </c>
      <c r="J1612" s="44">
        <f t="shared" si="292"/>
        <v>1</v>
      </c>
      <c r="K1612" s="56">
        <v>13.0</v>
      </c>
      <c r="L1612" s="57">
        <v>-3.0</v>
      </c>
      <c r="M1612" s="58">
        <v>2080.0</v>
      </c>
      <c r="N1612" s="33">
        <f t="shared" si="276"/>
        <v>13</v>
      </c>
      <c r="O1612" s="70"/>
      <c r="P1612" s="34">
        <f t="shared" si="277"/>
        <v>0</v>
      </c>
      <c r="Q1612" s="60"/>
      <c r="R1612" s="36">
        <f t="shared" si="293"/>
        <v>2080</v>
      </c>
      <c r="S1612" s="61">
        <v>-56.0</v>
      </c>
      <c r="T1612" s="37">
        <f t="shared" si="294"/>
        <v>2077</v>
      </c>
      <c r="U1612" s="62">
        <v>1.071</v>
      </c>
      <c r="V1612" s="74">
        <v>8.86807804404145</v>
      </c>
      <c r="W1612" s="63">
        <v>75.0</v>
      </c>
      <c r="X1612" s="35">
        <f t="shared" si="295"/>
        <v>0.23</v>
      </c>
      <c r="Y1612" s="35">
        <f t="shared" si="296"/>
        <v>0</v>
      </c>
      <c r="Z1612" s="40">
        <f t="shared" si="297"/>
        <v>1599.29</v>
      </c>
      <c r="AA1612" s="34">
        <f t="shared" si="298"/>
        <v>477.71</v>
      </c>
      <c r="AB1612" s="41">
        <f t="shared" si="299"/>
        <v>0</v>
      </c>
      <c r="AC1612" s="66" t="b">
        <v>1</v>
      </c>
      <c r="AD1612" s="87" t="str">
        <f t="shared" si="300"/>
        <v>USD</v>
      </c>
      <c r="AE1612" s="88" t="s">
        <v>138</v>
      </c>
      <c r="AF1612" s="88" t="str">
        <f t="array" ref="AF1612">INDEX('Deal Info'!D:D, MATCH(A1612,'Deal Info'!A:A, 0))</f>
        <v>DoEV</v>
      </c>
      <c r="AG1612" s="89" t="str">
        <f t="array" ref="AG1612">INDEX('Deal Info'!G:G, MATCH(A1612,'Deal Info'!A:A, 0))</f>
        <v>None</v>
      </c>
    </row>
    <row r="1613" hidden="1">
      <c r="A1613" s="23" t="str">
        <f t="array" ref="A1613">if(G1613='Room Info'!$B$1, INDEX('Room Info'!$A$2:$A3446, MATCH(B1613,'Room Info'!$B$2:$B3446, 0)),if(G1613='Room Info'!$C$1, INDEX('Room Info'!$A$2:$A3446, MATCH(B1613,'Room Info'!$C$2:$C3446, 0)),if(G1613='Room Info'!$D$1, INDEX('Room Info'!$A$2:$A3446, MATCH(B1613,'Room Info'!$D$2:$D3446, 0)),if(G1613='Room Info'!$E$1, INDEX('Room Info'!$A$2:$A3446, MATCH(B1613,'Room Info'!$E$2:$E3446, 0)),if(G1613='Room Info'!$F$1, INDEX('Room Info'!$A$2:$A3446, MATCH(B1613,'Room Info'!$F$2:$F3446, 0)),if(G1613='Room Info'!$H$1, INDEX('Room Info'!$A$2:$A3446, MATCH(B1613,'Room Info'!$H$2:$H3446, 0)),if(G1613='Room Info'!$G$1, INDEX('Room Info'!$A$2:$A3446, MATCH(B1613,'Room Info'!$G$2:$G3446, 0)))))))))</f>
        <v>SDEBA1</v>
      </c>
      <c r="B1613" s="50" t="s">
        <v>161</v>
      </c>
      <c r="C1613" s="51">
        <v>44978.0</v>
      </c>
      <c r="D1613" s="51">
        <v>45005.0</v>
      </c>
      <c r="E1613" s="95">
        <v>44986.0</v>
      </c>
      <c r="F1613" s="53" t="s">
        <v>4</v>
      </c>
      <c r="G1613" s="70" t="s">
        <v>5</v>
      </c>
      <c r="H1613" s="54" t="s">
        <v>36</v>
      </c>
      <c r="I1613" s="59" t="s">
        <v>11</v>
      </c>
      <c r="J1613" s="44">
        <f t="shared" si="292"/>
        <v>5</v>
      </c>
      <c r="K1613" s="56">
        <v>251.0</v>
      </c>
      <c r="L1613" s="57">
        <v>40.0</v>
      </c>
      <c r="M1613" s="67"/>
      <c r="N1613" s="33">
        <f t="shared" si="276"/>
        <v>1255</v>
      </c>
      <c r="O1613" s="70"/>
      <c r="P1613" s="34">
        <f t="shared" si="277"/>
        <v>0</v>
      </c>
      <c r="Q1613" s="60"/>
      <c r="R1613" s="36">
        <f t="shared" si="293"/>
        <v>0</v>
      </c>
      <c r="S1613" s="71"/>
      <c r="T1613" s="37">
        <f t="shared" si="294"/>
        <v>0</v>
      </c>
      <c r="U1613" s="62">
        <v>1.071</v>
      </c>
      <c r="V1613" s="74">
        <v>8.86807804404145</v>
      </c>
      <c r="W1613" s="63">
        <v>75.0</v>
      </c>
      <c r="X1613" s="35">
        <f t="shared" si="295"/>
        <v>0.23</v>
      </c>
      <c r="Y1613" s="35">
        <f t="shared" si="296"/>
        <v>0</v>
      </c>
      <c r="Z1613" s="40">
        <f t="shared" si="297"/>
        <v>0</v>
      </c>
      <c r="AA1613" s="34">
        <f t="shared" si="298"/>
        <v>0</v>
      </c>
      <c r="AB1613" s="41">
        <f t="shared" si="299"/>
        <v>0</v>
      </c>
      <c r="AC1613" s="66" t="b">
        <v>1</v>
      </c>
      <c r="AD1613" s="87" t="str">
        <f t="shared" si="300"/>
        <v>USD</v>
      </c>
      <c r="AE1613" s="88" t="s">
        <v>138</v>
      </c>
      <c r="AF1613" s="88" t="str">
        <f t="array" ref="AF1613">INDEX('Deal Info'!D:D, MATCH(A1613,'Deal Info'!A:A, 0))</f>
        <v>DoEV</v>
      </c>
      <c r="AG1613" s="89" t="str">
        <f t="array" ref="AG1613">INDEX('Deal Info'!G:G, MATCH(A1613,'Deal Info'!A:A, 0))</f>
        <v>None</v>
      </c>
    </row>
    <row r="1614" hidden="1">
      <c r="A1614" s="23" t="str">
        <f t="array" ref="A1614">if(G1614='Room Info'!$B$1, INDEX('Room Info'!$A$2:$A3446, MATCH(B1614,'Room Info'!$B$2:$B3446, 0)),if(G1614='Room Info'!$C$1, INDEX('Room Info'!$A$2:$A3446, MATCH(B1614,'Room Info'!$C$2:$C3446, 0)),if(G1614='Room Info'!$D$1, INDEX('Room Info'!$A$2:$A3446, MATCH(B1614,'Room Info'!$D$2:$D3446, 0)),if(G1614='Room Info'!$E$1, INDEX('Room Info'!$A$2:$A3446, MATCH(B1614,'Room Info'!$E$2:$E3446, 0)),if(G1614='Room Info'!$F$1, INDEX('Room Info'!$A$2:$A3446, MATCH(B1614,'Room Info'!$F$2:$F3446, 0)),if(G1614='Room Info'!$H$1, INDEX('Room Info'!$A$2:$A3446, MATCH(B1614,'Room Info'!$H$2:$H3446, 0)),if(G1614='Room Info'!$G$1, INDEX('Room Info'!$A$2:$A3446, MATCH(B1614,'Room Info'!$G$2:$G3446, 0)))))))))</f>
        <v>SDEBA1</v>
      </c>
      <c r="B1614" s="50" t="s">
        <v>161</v>
      </c>
      <c r="C1614" s="51">
        <v>44978.0</v>
      </c>
      <c r="D1614" s="51">
        <v>45005.0</v>
      </c>
      <c r="E1614" s="95">
        <v>44986.0</v>
      </c>
      <c r="F1614" s="53" t="s">
        <v>4</v>
      </c>
      <c r="G1614" s="70" t="s">
        <v>5</v>
      </c>
      <c r="H1614" s="54" t="s">
        <v>45</v>
      </c>
      <c r="I1614" s="105" t="s">
        <v>7</v>
      </c>
      <c r="J1614" s="44">
        <f t="shared" si="292"/>
        <v>10</v>
      </c>
      <c r="K1614" s="56">
        <v>1754.0</v>
      </c>
      <c r="L1614" s="57">
        <v>-20.0</v>
      </c>
      <c r="M1614" s="67"/>
      <c r="N1614" s="33">
        <f t="shared" si="276"/>
        <v>17540</v>
      </c>
      <c r="O1614" s="70"/>
      <c r="P1614" s="34">
        <f t="shared" si="277"/>
        <v>0</v>
      </c>
      <c r="Q1614" s="60"/>
      <c r="R1614" s="36">
        <f t="shared" si="293"/>
        <v>0</v>
      </c>
      <c r="S1614" s="71"/>
      <c r="T1614" s="37">
        <f t="shared" si="294"/>
        <v>0</v>
      </c>
      <c r="U1614" s="62">
        <v>1.071</v>
      </c>
      <c r="V1614" s="74">
        <v>8.86807804404145</v>
      </c>
      <c r="W1614" s="63">
        <v>75.0</v>
      </c>
      <c r="X1614" s="35">
        <f t="shared" si="295"/>
        <v>0.23</v>
      </c>
      <c r="Y1614" s="35">
        <f t="shared" si="296"/>
        <v>0</v>
      </c>
      <c r="Z1614" s="40">
        <f t="shared" si="297"/>
        <v>0</v>
      </c>
      <c r="AA1614" s="34">
        <f t="shared" si="298"/>
        <v>0</v>
      </c>
      <c r="AB1614" s="41">
        <f t="shared" si="299"/>
        <v>0</v>
      </c>
      <c r="AC1614" s="66" t="b">
        <v>1</v>
      </c>
      <c r="AD1614" s="87" t="str">
        <f t="shared" si="300"/>
        <v>USD</v>
      </c>
      <c r="AE1614" s="88" t="s">
        <v>138</v>
      </c>
      <c r="AF1614" s="88" t="str">
        <f t="array" ref="AF1614">INDEX('Deal Info'!D:D, MATCH(A1614,'Deal Info'!A:A, 0))</f>
        <v>DoEV</v>
      </c>
      <c r="AG1614" s="89" t="str">
        <f t="array" ref="AG1614">INDEX('Deal Info'!G:G, MATCH(A1614,'Deal Info'!A:A, 0))</f>
        <v>None</v>
      </c>
    </row>
    <row r="1615" hidden="1">
      <c r="A1615" s="23" t="str">
        <f t="array" ref="A1615">if(G1615='Room Info'!$B$1, INDEX('Room Info'!$A$2:$A3446, MATCH(B1615,'Room Info'!$B$2:$B3446, 0)),if(G1615='Room Info'!$C$1, INDEX('Room Info'!$A$2:$A3446, MATCH(B1615,'Room Info'!$C$2:$C3446, 0)),if(G1615='Room Info'!$D$1, INDEX('Room Info'!$A$2:$A3446, MATCH(B1615,'Room Info'!$D$2:$D3446, 0)),if(G1615='Room Info'!$E$1, INDEX('Room Info'!$A$2:$A3446, MATCH(B1615,'Room Info'!$E$2:$E3446, 0)),if(G1615='Room Info'!$F$1, INDEX('Room Info'!$A$2:$A3446, MATCH(B1615,'Room Info'!$F$2:$F3446, 0)),if(G1615='Room Info'!$H$1, INDEX('Room Info'!$A$2:$A3446, MATCH(B1615,'Room Info'!$H$2:$H3446, 0)),if(G1615='Room Info'!$G$1, INDEX('Room Info'!$A$2:$A3446, MATCH(B1615,'Room Info'!$G$2:$G3446, 0)))))))))</f>
        <v>SDEBA1</v>
      </c>
      <c r="B1615" s="50" t="s">
        <v>161</v>
      </c>
      <c r="C1615" s="51">
        <v>44978.0</v>
      </c>
      <c r="D1615" s="51">
        <v>45005.0</v>
      </c>
      <c r="E1615" s="95">
        <v>44986.0</v>
      </c>
      <c r="F1615" s="53" t="s">
        <v>4</v>
      </c>
      <c r="G1615" s="70" t="s">
        <v>5</v>
      </c>
      <c r="H1615" s="96" t="s">
        <v>48</v>
      </c>
      <c r="I1615" s="59" t="s">
        <v>11</v>
      </c>
      <c r="J1615" s="44">
        <f t="shared" si="292"/>
        <v>10</v>
      </c>
      <c r="K1615" s="80">
        <v>1689.0</v>
      </c>
      <c r="L1615" s="77">
        <v>-1390.0</v>
      </c>
      <c r="M1615" s="84"/>
      <c r="N1615" s="33">
        <f t="shared" si="276"/>
        <v>16890</v>
      </c>
      <c r="O1615" s="101"/>
      <c r="P1615" s="34">
        <f t="shared" si="277"/>
        <v>0</v>
      </c>
      <c r="Q1615" s="60"/>
      <c r="R1615" s="36">
        <f t="shared" si="293"/>
        <v>0</v>
      </c>
      <c r="S1615" s="102"/>
      <c r="T1615" s="37">
        <f t="shared" si="294"/>
        <v>0</v>
      </c>
      <c r="U1615" s="62">
        <v>1.071</v>
      </c>
      <c r="V1615" s="74">
        <v>8.86807804404145</v>
      </c>
      <c r="W1615" s="63">
        <v>75.0</v>
      </c>
      <c r="X1615" s="35">
        <f t="shared" si="295"/>
        <v>0.23</v>
      </c>
      <c r="Y1615" s="35">
        <f t="shared" si="296"/>
        <v>0</v>
      </c>
      <c r="Z1615" s="40">
        <f t="shared" si="297"/>
        <v>0</v>
      </c>
      <c r="AA1615" s="34">
        <f t="shared" si="298"/>
        <v>0</v>
      </c>
      <c r="AB1615" s="41">
        <f t="shared" si="299"/>
        <v>0</v>
      </c>
      <c r="AC1615" s="66" t="b">
        <v>1</v>
      </c>
      <c r="AD1615" s="87" t="str">
        <f t="shared" si="300"/>
        <v>USD</v>
      </c>
      <c r="AE1615" s="88" t="s">
        <v>138</v>
      </c>
      <c r="AF1615" s="88" t="str">
        <f t="array" ref="AF1615">INDEX('Deal Info'!D:D, MATCH(A1615,'Deal Info'!A:A, 0))</f>
        <v>DoEV</v>
      </c>
      <c r="AG1615" s="89" t="str">
        <f t="array" ref="AG1615">INDEX('Deal Info'!G:G, MATCH(A1615,'Deal Info'!A:A, 0))</f>
        <v>None</v>
      </c>
    </row>
    <row r="1616" hidden="1">
      <c r="A1616" s="23" t="str">
        <f t="array" ref="A1616">if(G1616='Room Info'!$B$1, INDEX('Room Info'!$A$2:$A3446, MATCH(B1616,'Room Info'!$B$2:$B3446, 0)),if(G1616='Room Info'!$C$1, INDEX('Room Info'!$A$2:$A3446, MATCH(B1616,'Room Info'!$C$2:$C3446, 0)),if(G1616='Room Info'!$D$1, INDEX('Room Info'!$A$2:$A3446, MATCH(B1616,'Room Info'!$D$2:$D3446, 0)),if(G1616='Room Info'!$E$1, INDEX('Room Info'!$A$2:$A3446, MATCH(B1616,'Room Info'!$E$2:$E3446, 0)),if(G1616='Room Info'!$F$1, INDEX('Room Info'!$A$2:$A3446, MATCH(B1616,'Room Info'!$F$2:$F3446, 0)),if(G1616='Room Info'!$H$1, INDEX('Room Info'!$A$2:$A3446, MATCH(B1616,'Room Info'!$H$2:$H3446, 0)),if(G1616='Room Info'!$G$1, INDEX('Room Info'!$A$2:$A3446, MATCH(B1616,'Room Info'!$G$2:$G3446, 0)))))))))</f>
        <v>DeusVulter</v>
      </c>
      <c r="B1616" s="101" t="s">
        <v>235</v>
      </c>
      <c r="C1616" s="51">
        <v>44978.0</v>
      </c>
      <c r="D1616" s="51">
        <v>45005.0</v>
      </c>
      <c r="E1616" s="95">
        <v>44986.0</v>
      </c>
      <c r="F1616" s="53" t="s">
        <v>4</v>
      </c>
      <c r="G1616" s="50" t="s">
        <v>13</v>
      </c>
      <c r="H1616" s="96" t="s">
        <v>34</v>
      </c>
      <c r="I1616" s="96" t="s">
        <v>18</v>
      </c>
      <c r="J1616" s="44">
        <f t="shared" si="292"/>
        <v>5</v>
      </c>
      <c r="K1616" s="80">
        <v>10154.0</v>
      </c>
      <c r="L1616" s="77">
        <v>-1155.0</v>
      </c>
      <c r="M1616" s="84">
        <f>1491.32+359+586</f>
        <v>2436.32</v>
      </c>
      <c r="N1616" s="33">
        <f t="shared" si="276"/>
        <v>50770</v>
      </c>
      <c r="O1616" s="50">
        <v>200013.0</v>
      </c>
      <c r="P1616" s="34">
        <f t="shared" si="277"/>
        <v>19.69795155</v>
      </c>
      <c r="Q1616" s="60"/>
      <c r="R1616" s="36">
        <f t="shared" si="293"/>
        <v>2436.32</v>
      </c>
      <c r="S1616" s="78">
        <v>-721.0</v>
      </c>
      <c r="T1616" s="37">
        <f t="shared" si="294"/>
        <v>1715.32</v>
      </c>
      <c r="U1616" s="62">
        <v>1.071</v>
      </c>
      <c r="V1616" s="74">
        <v>5.0</v>
      </c>
      <c r="W1616" s="74">
        <v>343.06399999999996</v>
      </c>
      <c r="X1616" s="35">
        <f t="shared" si="295"/>
        <v>0.17</v>
      </c>
      <c r="Y1616" s="35">
        <f t="shared" si="296"/>
        <v>0</v>
      </c>
      <c r="Z1616" s="40">
        <f t="shared" si="297"/>
        <v>1423.7156</v>
      </c>
      <c r="AA1616" s="34">
        <f t="shared" si="298"/>
        <v>291.6044</v>
      </c>
      <c r="AB1616" s="41">
        <f t="shared" si="299"/>
        <v>0</v>
      </c>
      <c r="AC1616" s="66" t="b">
        <v>1</v>
      </c>
      <c r="AD1616" s="87" t="str">
        <f t="shared" si="300"/>
        <v>USD</v>
      </c>
      <c r="AE1616" s="88" t="s">
        <v>138</v>
      </c>
      <c r="AF1616" s="88" t="str">
        <f t="array" ref="AF1616">INDEX('Deal Info'!D:D, MATCH(A1616,'Deal Info'!A:A, 0))</f>
        <v>DoEV</v>
      </c>
      <c r="AG1616" s="89" t="str">
        <f t="array" ref="AG1616">INDEX('Deal Info'!G:G, MATCH(A1616,'Deal Info'!A:A, 0))</f>
        <v>None</v>
      </c>
    </row>
    <row r="1617" hidden="1">
      <c r="A1617" s="23" t="str">
        <f t="array" ref="A1617">if(G1617='Room Info'!$B$1, INDEX('Room Info'!$A$2:$A3446, MATCH(B1617,'Room Info'!$B$2:$B3446, 0)),if(G1617='Room Info'!$C$1, INDEX('Room Info'!$A$2:$A3446, MATCH(B1617,'Room Info'!$C$2:$C3446, 0)),if(G1617='Room Info'!$D$1, INDEX('Room Info'!$A$2:$A3446, MATCH(B1617,'Room Info'!$D$2:$D3446, 0)),if(G1617='Room Info'!$E$1, INDEX('Room Info'!$A$2:$A3446, MATCH(B1617,'Room Info'!$E$2:$E3446, 0)),if(G1617='Room Info'!$F$1, INDEX('Room Info'!$A$2:$A3446, MATCH(B1617,'Room Info'!$F$2:$F3446, 0)),if(G1617='Room Info'!$H$1, INDEX('Room Info'!$A$2:$A3446, MATCH(B1617,'Room Info'!$H$2:$H3446, 0)),if(G1617='Room Info'!$G$1, INDEX('Room Info'!$A$2:$A3446, MATCH(B1617,'Room Info'!$G$2:$G3446, 0)))))))))</f>
        <v>thepzdc</v>
      </c>
      <c r="B1617" s="59" t="s">
        <v>201</v>
      </c>
      <c r="C1617" s="51">
        <v>44916.0</v>
      </c>
      <c r="D1617" s="51">
        <v>44957.0</v>
      </c>
      <c r="E1617" s="52">
        <v>44927.0</v>
      </c>
      <c r="F1617" s="53" t="s">
        <v>8</v>
      </c>
      <c r="G1617" s="59" t="s">
        <v>9</v>
      </c>
      <c r="H1617" s="54" t="s">
        <v>50</v>
      </c>
      <c r="I1617" s="54" t="s">
        <v>21</v>
      </c>
      <c r="J1617" s="55">
        <v>10.0</v>
      </c>
      <c r="K1617" s="56">
        <v>12000.0</v>
      </c>
      <c r="L1617" s="119">
        <v>2190.0</v>
      </c>
      <c r="M1617" s="58">
        <v>2190.0</v>
      </c>
      <c r="N1617" s="33">
        <f t="shared" si="276"/>
        <v>120000</v>
      </c>
      <c r="O1617" s="59">
        <v>732199.0</v>
      </c>
      <c r="P1617" s="34">
        <f t="shared" si="277"/>
        <v>61.01658333</v>
      </c>
      <c r="Q1617" s="60"/>
      <c r="R1617" s="36">
        <f>M1617+Q1617</f>
        <v>2190</v>
      </c>
      <c r="S1617" s="61">
        <v>3202.0</v>
      </c>
      <c r="T1617" s="37">
        <f>R1617+S1617+if(F1617="Without EV deal",L1617,0)</f>
        <v>5392</v>
      </c>
      <c r="U1617" s="62">
        <v>1.0</v>
      </c>
      <c r="V1617" s="63"/>
      <c r="W1617" s="63"/>
      <c r="X1617" s="83">
        <v>0.17</v>
      </c>
      <c r="Y1617" s="35">
        <f>if(AG1617="None",0,if(AG1617="Fix5",0.05, if(AG1617="Fix6.25",0.0625,if(AG1617="Fix3.75",0.0375,if(AG1617="Fix10",0.1,if(AG1617="Fix3",0.03,0))))))</f>
        <v>0</v>
      </c>
      <c r="Z1617" s="40">
        <f>T1617-AA1617-AB1617</f>
        <v>4475.36</v>
      </c>
      <c r="AA1617" s="34">
        <f>if(AD1617="EUR",((T1617-R1617)*X1617)*U1617+(R1617*X1617),(T1617*X1617))</f>
        <v>916.64</v>
      </c>
      <c r="AB1617" s="41">
        <f>if(AD1617="EUR",((T1617-R1617)*Y1617)*U1617+(R1617*Y1617),(T1617*Y1617))</f>
        <v>0</v>
      </c>
      <c r="AC1617" s="42" t="b">
        <v>1</v>
      </c>
      <c r="AD1617" s="42" t="s">
        <v>138</v>
      </c>
      <c r="AE1617" s="42" t="s">
        <v>138</v>
      </c>
      <c r="AF1617" s="42" t="str">
        <f t="array" ref="AF1617">INDEX('Deal Info'!D:D, MATCH(A1617,'Deal Info'!A:A, 0))</f>
        <v>DoEV</v>
      </c>
      <c r="AG1617" s="43" t="str">
        <f t="array" ref="AG1617">INDEX('Deal Info'!G:G, MATCH(A1617,'Deal Info'!A:A, 0))</f>
        <v>None</v>
      </c>
    </row>
    <row r="1618" hidden="1">
      <c r="A1618" s="23" t="str">
        <f t="array" ref="A1618">if(G1618='Room Info'!$B$1, INDEX('Room Info'!$A$2:$A3446, MATCH(B1618,'Room Info'!$B$2:$B3446, 0)),if(G1618='Room Info'!$C$1, INDEX('Room Info'!$A$2:$A3446, MATCH(B1618,'Room Info'!$C$2:$C3446, 0)),if(G1618='Room Info'!$D$1, INDEX('Room Info'!$A$2:$A3446, MATCH(B1618,'Room Info'!$D$2:$D3446, 0)),if(G1618='Room Info'!$E$1, INDEX('Room Info'!$A$2:$A3446, MATCH(B1618,'Room Info'!$E$2:$E3446, 0)),if(G1618='Room Info'!$F$1, INDEX('Room Info'!$A$2:$A3446, MATCH(B1618,'Room Info'!$F$2:$F3446, 0)),if(G1618='Room Info'!$H$1, INDEX('Room Info'!$A$2:$A3446, MATCH(B1618,'Room Info'!$H$2:$H3446, 0)),if(G1618='Room Info'!$G$1, INDEX('Room Info'!$A$2:$A3446, MATCH(B1618,'Room Info'!$G$2:$G3446, 0)))))))))</f>
        <v>gRRRiz</v>
      </c>
      <c r="B1618" s="101" t="s">
        <v>164</v>
      </c>
      <c r="C1618" s="51">
        <v>44978.0</v>
      </c>
      <c r="D1618" s="51">
        <v>45005.0</v>
      </c>
      <c r="E1618" s="95">
        <v>44986.0</v>
      </c>
      <c r="F1618" s="53" t="s">
        <v>4</v>
      </c>
      <c r="G1618" s="50" t="s">
        <v>13</v>
      </c>
      <c r="H1618" s="54" t="s">
        <v>85</v>
      </c>
      <c r="I1618" s="54" t="s">
        <v>18</v>
      </c>
      <c r="J1618" s="44">
        <f>iferror(if(H1618="$0.25",0.25, 
if(H1618="$0.25 Flash",0.25, 
if(H1618 = "$1", 1, 
if(H1618 = "$1 Flash", 1, 
if(H1618 = "$2", 2, 
if( H1618 = "$2 Flash" , 2, 
if( H1618= "$3", 3, 
if( H1618= "$3 Ultra", 3, 
if( H1618= "$5", 5, 
if( H1618= "$5 (1M)", 5, 
if( H1618= "$5 (1M) Flash", 5, 
if( H1618= "$5 Flash", 5, 
if( H1618= "$5 Flash (1M)", 5,
if( H1618= "$10", 10,
if( H1618= "$10 (1M)", 10,
if( H1618= "$10 (1M) (old)", 10,
if( H1618= "$10 Flash", 10,
if( H1618= "$10 Ultra", 10,
if( H1618= "$20", 20,
if( H1618= "$20 Ultra", 20,
if( H1618= "$25", 25,
if( H1618= "$25 Flash", 25,
if( H1618= "$50", 50,
if( H1618= "$50 Flash", 50,
if( H1618= "$50 Ultra", 50,
if( H1618= "$100", 100,
if( H1618= "$100 Flash", 100,
if( H1618= "$100 HUHT", 100,
if( H1618= "$100 Ultra", 100,
if( H1618= "$200", 200,
if( H1618= "$200 HUHT", 200,
if( H1618= "$250", 250,
if( H1618= "$250 Flash", 250,
if( H1618= "$300 HUHT", 300,
if( H1618= "$500", 500,
if( H1618= "$500 Flash", 500,
if( H1618 = "$500 HUHT",500,
if( H1618= "$1000", 1000,
if( H1618= "$1000 HUHT", 1000,
if( H1618= "€0.25 Flash", 0.25,
if( H1618="€0.25(nitro) new",0.25,
if( H1618= "€1", 1,
if( H1618= "€2", 2,
if( H1618= "€5", 5,
if( H1618= "€5 (1M)", 5,
if( H1618= "€5 (bf 01.08)", 5,
if( H1618= "€5 (bf 05.05)", 5,
if( H1618= "€5 Nitro", 5,
if( H1618= "€5(wx) new", 5,
if( H1618= "€10", 10,
if( H1618= "€10 (1M)", 10,
if( H1618= "€10 (bf 01.08)", 10,
if( H1618= "€10 (bf 05.05)", 10,
if( H1618= "€10 (MP)", 10,
if( H1618= "€10 (old)", 10,
if( H1618= "€10 Nitro (bf 05.05)", 10,
if( H1618= "€10 Nitro (old)", 10,
if( H1618= "€10(wx) new", 10,
if( H1618= "€20", 20,
if( H1618= "€25", 25, 
if( H1618= "€25 (bf 01.08)", 25, 
if( H1618= "€25 (bf 05.05)", 25, 
if( H1618= "€25 (MP)", 25, 
if( H1618= "€25 (old)", 25,
if( H1618= "€25 Nitro", 25,
if( H1618= "€25 Nitro (bf 01.08)", 25,
if( H1618= "€25 Nitro (bf 05.05)", 25,
if( H1618= "€25(nitro) new", 25,
if( H1618= "€25(wx) new", 25,
if( H1618= "€50", 50,
if( H1618= "€50 (bf 01.08)", 50,
if( H1618= "€50 (bf 05.05)", 50,
if( H1618= "€50 (old)", 50,
if( H1618= "€50 Nitro", 50,
if( H1618= "€50 Nitro (bf 01.08)", 50,
if( H1618= "€50 Nitro (bf 05.05)", 50,
if( H1618= "€50(wx) new", 50,
if( H1618= "€100", 100,
if( H1618= "€100 (old)", 100,
if( H1618= "€100 Nitro", 100,
if( H1618= "€100 Nitro (old)", 100,
if( H1618= "€200", 200,
if( H1618= "€250", 250,
if( H1618= "€250 Nitro", 250,
if( H1618= "€500", 500,
if( H1618= "€500 Nitro", 500,
if( H1618= "1000 rub", 1000,
if( H1618= "2500 rub", 2500,
if( H1618= "5000 rub", 5000,""))))))))))))))))))))))))))))))))))))))))))))))))))))))))))))))))))))))))))))))))))))))))))</f>
        <v>100</v>
      </c>
      <c r="K1618" s="56">
        <v>4222.0</v>
      </c>
      <c r="L1618" s="57">
        <v>-12500.0</v>
      </c>
      <c r="M1618" s="67">
        <f>21404.66+2000</f>
        <v>23404.66</v>
      </c>
      <c r="N1618" s="33">
        <f t="shared" si="276"/>
        <v>422200</v>
      </c>
      <c r="O1618" s="59">
        <v>58196.0</v>
      </c>
      <c r="P1618" s="34">
        <f t="shared" si="277"/>
        <v>13.78398863</v>
      </c>
      <c r="Q1618" s="60"/>
      <c r="R1618" s="36">
        <f t="shared" ref="R1618:R1623" si="301">M1618+Q1618*J1618*K1618*0.07</f>
        <v>23404.66</v>
      </c>
      <c r="S1618" s="61">
        <v>-13176.0</v>
      </c>
      <c r="T1618" s="37">
        <f t="shared" ref="T1618:T2446" si="302">IF(AND(AD1618="EUR", F1618="Without EV deal"), R1618 + L1618, 
IF(AND(AD1618="USD", F1618="Without EV deal"), R1618 + L1618, 
IF(AND(AD1618="EUR", F1618="Steel Phoenix"), R1618 + S1618/U1618, 
R1618 + S1618)))</f>
        <v>10228.66</v>
      </c>
      <c r="U1618" s="62">
        <v>1.071</v>
      </c>
      <c r="V1618" s="63"/>
      <c r="W1618" s="63"/>
      <c r="X1618" s="35">
        <f t="shared" ref="X1618:X2446" si="303">IF(AF1618="DoEV",IF(AND(V1618&lt;20,W1618&lt;55),0.3,0)+IF(AND(V1618&lt;20,W1618&gt;=55,W1618&lt;105),0.23,0)+IF(AND(V1618&lt;20,W1618&gt;=105),0.17,0)+IF(AND(V1618&gt;=20,V1618&lt;40,W1618&lt;45),0.3,0)+IF(AND(V1618&gt;=20,V1618&lt;40,W1618&gt;=45,W1618&lt;95),0.23,0)+IF(AND(V1618&gt;=20,V1618&lt;40,W1618&gt;=95),0.17,0)+IF(AND(V1618&gt;=40,V1618&lt;75,W1618&lt;35),0.3,0)+IF(AND(V1618&gt;=40,V1618&lt;75,W1618&gt;=35,W1618&lt;75),0.23,0)+IF(AND(V1618&gt;=40,V1618&lt;75,W1618&gt;=75,W1618&lt;120),0.17,0)+IF(AND(V1618&gt;=40,V1618&lt;75,W1618&gt;=120),0.12,0)+IF(AND(V1618&gt;=75,V1618&lt;175,W1618&lt;35),0.3,0)+IF(AND(V1618&gt;=75,V1618&lt;=175,W1618&gt;=35,W1618&lt;65),0.23,0)+IF(AND(V1618&gt;=75,V1618&lt;=175,W1618&gt;=65,W1618&lt;110),0.17,0)+IF(AND(V1618&gt;=75,V1618&lt;=175,W1618&gt;=110),0.12,0)+IF(AND(V1618&gt;175,W1618&lt;25),0.3,0)+IF(AND(V1618&gt;175,W1618&gt;=25,W1618&lt;55),0.23,0)+IF(AND(V1618&gt;175,W1618&gt;=55,W1618&lt;95),0.17,0)+IF(AND(V1618&gt;175,W1618&gt;=95),0.12,0),
IF(AF1618="Fix15",0.15,
IF(AF1618="Fix5",0.05,
if(AF1618="Fix18.75",0.1875,
IF(AF1618="Fix11.25",0.1125,
IF(AF1618="Fix10",0.1,
IF(AF1618="Fix9",0.09,
IF(AF1618="Fix12",0.12,
IF(AF1618="Fix19",0.19,
IF(AF1618="DoEV2017",IF(AND(W1618&lt;74),0.2,0)+IF(AND(W1618&gt;=74),0.17,0),
IF(AF1618="SF",IF(AND(V1618&lt;20,W1618&lt;89),0.3,0)+IF(AND(V1618&lt;20,W1618&gt;=89),0.25,0)+IF(AND(V1618&gt;=20,V1618&lt;40,W1618&lt;74),0.3,0)+IF(AND(V1618&gt;=20,V1618&lt;40,W1618&gt;=75),0.22,0)+IF(AND(V1618&gt;=40,V1618&lt;75,W1618&lt;75),0.26,0)+IF(AND(V1618&gt;=40,V1618&lt;75,W1618&gt;=75),0.22,0)+IF(V1618&gt;=75,0.22,0),
IF(AF1618="DoEVold",IF(AND(V1618&lt;40,W1618&lt;35),0.35,0)+IF(AND(V1618&lt;40,W1618&gt;=35,W1618&lt;75),0.25,0)+IF(AND(V1618&lt;40,W1618&gt;=75),0.17,0)+IF(AND(V1618&gt;=40,V1618&lt;75,W1618&lt;25),0.35,0)+IF(AND(V1618&gt;=40,V1618&lt;75,W1618&gt;=25,W1618&lt;65),0.25,0)+IF(AND(V1618&gt;=40,V1618&lt;75,W1618&gt;=65,W1618&lt;100),0.17,0)+IF(AND(V1618&gt;=40,V1618&lt;75,W1618&gt;=100),0.1,0)+IF(AND(V1618&gt;=75,W1618&lt;25),0.35,0)+IF(AND(V1618&gt;=75,W1618&gt;=25,W1618&lt;60),0.25,0)+IF(AND(V1618&gt;=75,W1618&gt;=60,W1618&lt;95),0.17,0)+IF(AND(V1618&gt;=75,W1618&gt;=95),0.1,0),
IF(AF1618="DoEVold15",IF(AND(V1618&lt;=40,W1618&lt;35),0.35,0)+IF(AND(V1618&lt;=40,W1618&gt;=35,W1618&lt;75),0.25,0)+IF(AND(V1618&lt;=40,W1618&gt;=75,W1618&lt;120),0.17,0)+IF(AND(V1618&lt;=40,W1618&gt;=120),0.15,0)+IF(AND(V1618&gt;40,V1618&lt;75,W1618&lt;25),0.35,0)+IF(AND(V1618&gt;=40,V1618&lt;75,W1618&gt;=25,W1618&lt;65),0.25,0)+IF(AND(V1618&gt;=40,V1618&lt;75,W1618&gt;=65,W1618&lt;100),0.17,0)+IF(AND(V1618&gt;=40,V1618&lt;75,W1618&gt;=100),0.1,0)+IF(AND(V1618&gt;=75,W1618&lt;25),0.35,0)+IF(AND(V1618&gt;=75,W1618&gt;=25,W1618&lt;60),0.25,0)+IF(AND(V1618&gt;=75,W1618&gt;=60,W1618&lt;95),0.17,0)+IF(AND(V1618&gt;=75,W1618&gt;=95),0.1,0),
IF(AF1618="DoEVba",IF(AND(V1618&lt;20,W1618&lt;105),0.2,0)+IF(AND(V1618&lt;20,W1618&gt;=105),0.15,0)+IF(AND(V1618&gt;=20,V1618&lt;40,W1618&lt;95),0.2,0)+IF(AND(V1618&gt;=20,V1618&lt;40,W1618&gt;=95,W1618&lt;150),0.15,0)+IF(AND(V1618&gt;=20,V1618&lt;40,W1618&gt;=150),0.12,0)+IF(AND(V1618&gt;=40,V1618&lt;75,W1618&lt;75),0.2,0)+IF(AND(V1618&gt;=40,V1618&lt;75,W1618&gt;=75,W1618&lt;120),0.15,0)+IF(AND(V1618&gt;=40,V1618&lt;75,W1618&gt;=120),0.12,0)+IF(AND(V1618&gt;=75,V1618&lt;175,W1618&lt;65),0.2,0)+IF(AND(V1618&gt;=75,V1618&lt;175,W1618&gt;=65,W1618&lt;110),0.15,0)+IF(AND(V1618&gt;=75,V1618&lt;175,W1618&gt;=110),0.12,0)+IF(AND(V1618&gt;=175,W1618&lt;55),0.2,0)+IF(AND(V1618&gt;=175,W1618&gt;=55,W1618&lt;95),0.15,0)+IF(AND(V1618&gt;=175,W1618&gt;=95),0.12,0),
IF(AF1618="DoEVku",IF(AND(V1618&lt;20,W1618&lt;55),0.23,0)+IF(AND(V1618&lt;20,W1618&gt;=55,W1618&lt;105),0.2,0)+IF(AND(V1618&lt;20,W1618&gt;=105),0.17,0)+IF(AND(V1618&gt;=20,V1618&lt;40,W1618&lt;45),0.23,0)+IF(AND(V1618&gt;=20,V1618&lt;40,W1618&gt;=45,W1618&lt;95),0.2,0)+IF(AND(V1618&gt;=20,V1618&lt;40,W1618&gt;=95,W1618&lt;=150),0.17,0)+IF(AND(V1618&gt;=20,V1618&lt;40,W1618&gt;=150),0.12,0)+IF(AND(V1618&gt;=40,V1618&lt;75,W1618&lt;35),0.23,0)+IF(AND(V1618&gt;=40,V1618&lt;75,W1618&gt;=35,W1618&lt;75),0.2,0)+IF(AND(V1618&gt;=40,V1618&lt;75,W1618&gt;=75,W1618&lt;120),0.17,0)+IF(AND(V1618&gt;=40,V1618&lt;75,W1618&gt;=120),0.12,0)+IF(AND(V1618&gt;=75,V1618&lt;175,W1618&lt;35),0.23,0)+IF(AND(V1618&gt;=75,V1618&lt;=175,W1618&gt;=35,W1618&lt;65),0.2,0)+IF(AND(V1618&gt;=75,V1618&lt;=175,W1618&gt;=65,W1618&lt;110),0.17,0)+IF(AND(V1618&gt;=75,V1618&lt;=175,W1618&gt;=110),0.12,0)+IF(AND(V1618&gt;175,W1618&lt;25),0.23,0)+IF(AND(V1618&gt;175,W1618&gt;=25,W1618&lt;55),0.2,0)+IF(AND(V1618&gt;175,W1618&gt;=55,W1618&lt;95),0.17,0)+IF(AND(V1618&gt;175,W1618&gt;=95),0.12,0),
IF(AF1618="DoEVs1",IF(AND(V1618&lt;20,W1618&lt;55),0.3,0)+IF(AND(V1618&lt;20,W1618&gt;=55,W1618&lt;105),0.23,0)+IF(AND(V1618&lt;20,W1618&gt;=105),0.17,0)+IF(AND(V1618&gt;=20,V1618&lt;40,W1618&lt;45),0.3,0)+IF(AND(V1618&gt;=20,V1618&lt;40,W1618&gt;=45,W1618&lt;95),0.23,0)+IF(AND(V1618&gt;=20,V1618&lt;40,W1618&gt;=95,W1618&lt;=150),0.17,0)+IF(AND(V1618&gt;=20,V1618&lt;40,W1618&gt;=150),0.12,0)+IF(AND(V1618&gt;=40,V1618&lt;75,W1618&lt;35),0.3,0)+IF(AND(V1618&gt;=40,V1618&lt;75,W1618&gt;=35,W1618&lt;75),0.23,0)+IF(AND(V1618&gt;=40,V1618&lt;75,W1618&gt;=75,W1618&lt;120),0.17,0)+IF(AND(V1618&gt;=40,V1618&lt;75,W1618&gt;=120),0.12,0)+IF(AND(V1618&gt;=75,V1618&lt;175,W1618&lt;35),0.3,0)+IF(AND(V1618&gt;=75,V1618&lt;=175,W1618&gt;=35,W1618&lt;65),0.23,0)+IF(AND(V1618&gt;=75,V1618&lt;=175,W1618&gt;=65,W1618&lt;110),0.17,0)+IF(AND(V1618&gt;=75,V1618&lt;=175,W1618&gt;=110),0.12,0)+IF(AND(V1618&gt;175,W1618&lt;25),0.3,0)+IF(AND(V1618&gt;175,W1618&gt;=25,W1618&lt;55),0.23,0)+IF(AND(V1618&gt;175,W1618&gt;=55,W1618&lt;95),0.17,0)+IF(AND(V1618&gt;175,W1618&gt;=95),0.12,0),
IF(AF1618="DoEVsu",IF(AND(V1618&lt;20,W1618&lt;55),0.3,0)+IF(AND(V1618&lt;20,W1618&gt;=55,W1618&lt;105),0.23,0)+IF(AND(V1618&lt;20,W1618&gt;=105),0.17,0)+IF(AND(V1618&gt;=20,V1618&lt;40,W1618&lt;45),0.3,0)+IF(AND(V1618&gt;=20,V1618&lt;40,W1618&gt;=45,W1618&lt;95),0.23,0)+IF(AND(V1618&gt;=20,V1618&lt;40,W1618&gt;=95,W1618&lt;=250),0.17,0)+IF(AND(V1618&gt;=20,V1618&lt;40,W1618&gt;=250),0.12,0)+IF(AND(V1618&gt;=40,V1618&lt;75,W1618&lt;35),0.3,0)+IF(AND(V1618&gt;=40,V1618&lt;75,W1618&gt;=35,W1618&lt;75),0.23,0)+IF(AND(V1618&gt;=40,V1618&lt;75,W1618&gt;=75,W1618&lt;120),0.17,0)+IF(AND(V1618&gt;=40,V1618&lt;75,W1618&gt;=120),0.12,0)+IF(AND(V1618&gt;=75,V1618&lt;175,W1618&lt;35),0.3,0)+IF(AND(V1618&gt;=75,V1618&lt;=175,W1618&gt;=35,W1618&lt;65),0.23,0)+IF(AND(V1618&gt;=75,V1618&lt;=175,W1618&gt;=65,W1618&lt;110),0.17,0)+IF(AND(V1618&gt;=75,V1618&lt;=175,W1618&gt;=110),0.12,0)+IF(AND(V1618&gt;175,W1618&lt;25),0.3,0)+IF(AND(V1618&gt;175,W1618&gt;=25,W1618&lt;55),0.23,0)+IF(AND(V1618&gt;175,W1618&gt;=55,W1618&lt;95),0.17,0)+IF(AND(V1618&gt;175,W1618&gt;=95),0.12,0),
IF(AF1618="DoEVni",IF(AND(V1618&lt;20,W1618&lt;55),0.3,0)+IF(AND(V1618&lt;20,W1618&gt;=55,W1618&lt;105),0.23,0)+IF(AND(V1618&lt;20,W1618&gt;=105),0.17,0)+IF(AND(V1618&gt;=20,V1618&lt;40,W1618&lt;45),0.3,0)+IF(AND(V1618&gt;=20,V1618&lt;40,W1618&gt;=45,W1618&lt;95),0.23,0)+IF(AND(V1618&gt;=20,V1618&lt;40,W1618&gt;=95,W1618&lt;=200),0.17,0)+IF(AND(V1618&gt;=20,V1618&lt;40,W1618&gt;=200),0.12,0)+IF(AND(V1618&gt;=40,V1618&lt;75,W1618&lt;35),0.3,0)+IF(AND(V1618&gt;=40,V1618&lt;75,W1618&gt;=35,W1618&lt;75),0.23,0)+IF(AND(V1618&gt;=40,V1618&lt;75,W1618&gt;=75,W1618&lt;120),0.17,0)+IF(AND(V1618&gt;=40,V1618&lt;75,W1618&gt;=120),0.12,0)+IF(AND(V1618&gt;=75,V1618&lt;175,W1618&lt;35),0.3,0)+IF(AND(V1618&gt;=75,V1618&lt;=175,W1618&gt;=35,W1618&lt;65),0.23,0)+IF(AND(V1618&gt;=75,V1618&lt;=175,W1618&gt;=65,W1618&lt;110),0.17,0)+IF(AND(V1618&gt;=75,V1618&lt;=175,W1618&gt;=110),0.12,0)+IF(AND(V1618&gt;175,W1618&lt;25),0.3,0)+IF(AND(V1618&gt;175,W1618&gt;=25,W1618&lt;55),0.23,0)+IF(AND(V1618&gt;175,W1618&gt;=55,W1618&lt;95),0.17,0)+IF(AND(V1618&gt;175,W1618&gt;=95),0.12,0),
IF(AF1618="DoEVLo",IF(AND(V1618&lt;20,W1618&lt;55),0.25,0)+IF(AND(V1618&lt;20,W1618&gt;=55,W1618&lt;105),0.2,0)+IF(AND(V1618&lt;20,W1618&gt;=105),0.15,0)+IF(AND(V1618&gt;=20,V1618&lt;40,W1618&lt;45),0.25,0)+IF(AND(V1618&gt;=20,V1618&lt;40,W1618&gt;=45,W1618&lt;95),0.2,0)+IF(AND(V1618&gt;=20,V1618&lt;40,W1618&gt;=95),0.15,0)+IF(AND(V1618&gt;=40,V1618&lt;75,W1618&lt;35),0.25,0)+IF(AND(V1618&gt;=40,V1618&lt;75,W1618&gt;=35,W1618&lt;75),0.2,0)+IF(AND(V1618&gt;=40,V1618&lt;75,W1618&gt;=75,W1618&lt;120),0.15,0)+IF(AND(V1618&gt;=40,V1618&lt;75,W1618&gt;=120),0.1,0)+IF(AND(V1618&gt;=75,V1618&lt;175,W1618&lt;35),0.25,0)+IF(AND(V1618&gt;=75,V1618&lt;=175,W1618&gt;=35,W1618&lt;65),0.2,0)+IF(AND(V1618&gt;=75,V1618&lt;=175,W1618&gt;=65,W1618&lt;110),0.15,0)+IF(AND(V1618&gt;=75,V1618&lt;=175,W1618&gt;=110),0.1,0)+IF(AND(V1618&gt;175,W1618&lt;25),0.25,0)+IF(AND(V1618&gt;175,W1618&gt;=25,W1618&lt;55),0.2,0)+IF(AND(V1618&gt;175,W1618&gt;=55,W1618&lt;95),0.15,0)+IF(AND(V1618&gt;175,W1618&gt;=95),0.1,0))))))))))))))))))))</f>
        <v>0.15</v>
      </c>
      <c r="Y1618" s="35">
        <f t="shared" ref="Y1618:Y2446" si="304">if(AG1618="None",0,if(AG1618="Fix5",0.05, if(AG1618="Fix6.25",0.0625,if(AG1618="Fix3.75",0.0375, if(AG1618="Fix11",0.11, if(AG1618="Fix10",0.1,if(AG1618="Fix3",0.03,0)))))))</f>
        <v>0.05</v>
      </c>
      <c r="Z1618" s="40">
        <f t="shared" ref="Z1618:Z2446" si="305">if(and(AD1618="EUR", AE1618 = "USD"), T1618*U1618-AA1618-AB1618, T1618-AA1618-AB1618)</f>
        <v>8182.928</v>
      </c>
      <c r="AA1618" s="34">
        <f t="shared" ref="AA1618:AA2446" si="306">IF(AND(AD1618="EUR", F1618="Without EV deal", AE1618="USD"), (T1618*X1618)*U1618, 
IF(AND(AD1618="EUR", F1618="Without EV deal", AE1618="EUR"), (T1618*X1618), 
IF(AND(AD1618="EUR",AE1618="USD"), (T1618*X1618)*U1618, 
T1618*X1618)))</f>
        <v>1534.299</v>
      </c>
      <c r="AB1618" s="41">
        <f t="shared" ref="AB1618:AB2446" si="307">IF(AND(AD1618="EUR", F1618="Without EV deal", AE1618="USD"), (T1618*Y1618)*U1618, 
IF(AND(AD1618="EUR", F1618="Without EV deal", AE1618="EUR"), (T1618*Y1618), 
IF(AND(AD1618="EUR",AE1618="USD"), (T1618*Y1618)*U1618, 
T1618*Y1618)))</f>
        <v>511.433</v>
      </c>
      <c r="AC1618" s="66" t="b">
        <v>1</v>
      </c>
      <c r="AD1618" s="87" t="str">
        <f t="shared" ref="AD1618:AD2446" si="308">IF(OR(H1618="€0.25 Flash",
H1618="€0.25(nitro) new",
H1618="€1",
H1618="€2",
H1618="€2 (bf 01.08)",
H1618="€5",
H1618="€5 (1M)",
H1618="€5 (bf 01.08)",
H1618="€5 (bf 05.05)",
H1618="€5 Nitro",
H1618="€5(wx) new",
H1618="€10",
H1618="€10 (1M)",
H1618="€10 (bf 01.08)",
H1618="€10 (bf 05.05)",
H1618="€10 (MP)",
H1618="€10 (old)",
H1618="€10 Nitro (bf 05.05)",
H1618="€10 Nitro (old)",
H1618="€10(wx) new",
H1618="€20",
H1618="€25",
H1618="€25 (bf 01.08)",
H1618="€25 (bf 05.05)",
H1618="€25 (MP)",
H1618="€25 (old)",
H1618="€25 Nitro",
H1618="€25 Nitro (bf 01.08)",
H1618="€25 Nitro (bf 05.05)",
H1618="€25(nitro) new",
H1618="€25(wx) new",
H1618="€50",
H1618="€50 (bf 01.08)",
H1618="€50 (bf 05.05)",
H1618="€50 (old)",
H1618="€50 Nitro",
H1618="€50 Nitro (bf 01.08)",
H1618="€50 Nitro (bf 05.05)",
H1618="€50(wx) new",
H1618="€100",
H1618="€100 (old)",
H1618="€100 Nitro",
H1618="€100 Nitro (old)",
H1618="€200",
H1618="€250",
H1618="€250 Nitro",
H1618="€500",
H1618="€500 Nitro"),"EUR", "USD")
</f>
        <v>USD</v>
      </c>
      <c r="AE1618" s="88" t="s">
        <v>138</v>
      </c>
      <c r="AF1618" s="88" t="str">
        <f t="array" ref="AF1618">INDEX('Deal Info'!D:D, MATCH(A1618,'Deal Info'!A:A, 0))</f>
        <v>Fix15</v>
      </c>
      <c r="AG1618" s="89" t="str">
        <f t="array" ref="AG1618">INDEX('Deal Info'!G:G, MATCH(A1618,'Deal Info'!A:A, 0))</f>
        <v>Fix5</v>
      </c>
    </row>
    <row r="1619" hidden="1">
      <c r="A1619" s="23" t="str">
        <f t="array" ref="A1619">if(G1619='Room Info'!$B$1, INDEX('Room Info'!$A$2:$A3446, MATCH(B1619,'Room Info'!$B$2:$B3446, 0)),if(G1619='Room Info'!$C$1, INDEX('Room Info'!$A$2:$A3446, MATCH(B1619,'Room Info'!$C$2:$C3446, 0)),if(G1619='Room Info'!$D$1, INDEX('Room Info'!$A$2:$A3446, MATCH(B1619,'Room Info'!$D$2:$D3446, 0)),if(G1619='Room Info'!$E$1, INDEX('Room Info'!$A$2:$A3446, MATCH(B1619,'Room Info'!$E$2:$E3446, 0)),if(G1619='Room Info'!$F$1, INDEX('Room Info'!$A$2:$A3446, MATCH(B1619,'Room Info'!$F$2:$F3446, 0)),if(G1619='Room Info'!$H$1, INDEX('Room Info'!$A$2:$A3446, MATCH(B1619,'Room Info'!$H$2:$H3446, 0)),if(G1619='Room Info'!$G$1, INDEX('Room Info'!$A$2:$A3446, MATCH(B1619,'Room Info'!$G$2:$G3446, 0)))))))))</f>
        <v>thepzdc</v>
      </c>
      <c r="B1619" s="128" t="s">
        <v>236</v>
      </c>
      <c r="C1619" s="115">
        <v>44958.0</v>
      </c>
      <c r="D1619" s="115">
        <v>44985.0</v>
      </c>
      <c r="E1619" s="85">
        <v>44958.0</v>
      </c>
      <c r="F1619" s="101" t="s">
        <v>8</v>
      </c>
      <c r="G1619" s="70" t="s">
        <v>9</v>
      </c>
      <c r="H1619" s="114" t="s">
        <v>64</v>
      </c>
      <c r="I1619" s="105" t="s">
        <v>21</v>
      </c>
      <c r="J1619" s="44">
        <f t="shared" ref="J1619:J1621" si="309">iferror(if(H1619="$0.25",0.25, 
if(H1619="$0.25 Flash",0.25, 
if(H1619 = "$1", 1, 
if(H1619 = "$1 Flash", 1, 
if(H1619 = "$2", 2, 
if( H1619 = "$2 Flash" , 2, 
if( H1619= "$3", 3, 
if( H1619= "$3 Ultra", 3, 
if( H1619= "$5", 5, 
if( H1619= "$5 (1M)", 5, 
if( H1619= "$5 (1M) Flash", 5, 
if( H1619= "$5 Flash", 5, 
if( H1619= "$5 Flash (1M)", 5,
if( H1619= "$10", 10,
if( H1619= "$10 (1M)", 10,
if( H1619= "$10 (1M) (old)", 10,
if( H1619= "$10 Flash", 10,
if( H1619= "$10 Ultra", 10,
if( H1619= "$20", 20,
if( H1619= "$20 Ultra", 20,
if( H1619= "$25", 25,
if( H1619= "$25 Flash", 25,
if( H1619= "$50", 50,
if( H1619= "$50 Flash", 50,
if( H1619= "$50 Ultra", 50,
if( H1619= "$100", 100,
if( H1619= "$100 Flash", 100,
if( H1619= "$100 HUHT", 100,
if( H1619= "$100 Ultra", 100,
if( H1619= "$200", 200,
if( H1619= "$200 HUHT", 200,
if( H1619= "$250", 250,
if( H1619= "$250 Flash", 250,
if( H1619= "$300 HUHT", 300,
if( H1619= "$500", 500,
if( H1619= "$500 Flash", 500,
if( H1619 = "$500 HUHT",500,
if( H1619= "$1000", 1000,
if( H1619= "€0.25 Flash", 0.25,
if( H1619="€0.25(nitro) new",0.25,
if( H1619= "€1", 1,
if( H1619= "€2", 2,
if( H1619= "€5", 5,
if( H1619= "€5 (1M)", 5,
if( H1619= "€5 (bf 01.08)", 5,
if( H1619= "€5 (bf 05.05)", 5,
if( H1619= "€5 Nitro", 5,
if( H1619= "€5(wx) new", 5,
if( H1619= "€10", 10,
if( H1619= "€10 (1M)", 10,
if( H1619= "€10 (bf 01.08)", 10,
if( H1619= "€10 (bf 05.05)", 10,
if( H1619= "€10 (MP)", 10,
if( H1619= "€10 (old)", 10,
if( H1619= "€10 Nitro (bf 05.05)", 10,
if( H1619= "€10 Nitro (old)", 10,
if( H1619= "€10(wx) new", 10,
if( H1619= "€20", 20,
if( H1619= "€25", 25, 
if( H1619= "€25 (bf 01.08)", 25, 
if( H1619= "€25 (bf 05.05)", 25, 
if( H1619= "€25 (MP)", 25, 
if( H1619= "€25 (old)", 25,
if( H1619= "€25 Nitro", 25,
if( H1619= "€25 Nitro (bf 01.08)", 25,
if( H1619= "€25 Nitro (bf 05.05)", 25,
if( H1619= "€25(nitro) new", 25,
if( H1619= "€25(wx) new", 25,
if( H1619= "€50", 50,
if( H1619= "€50 (bf 01.08)", 50,
if( H1619= "€50 (bf 05.05)", 50,
if( H1619= "€50 (old)", 50,
if( H1619= "€50 Nitro", 50,
if( H1619= "€50 Nitro (bf 01.08)", 50,
if( H1619= "€50 Nitro (bf 05.05)", 50,
if( H1619= "€50(wx) new", 50,
if( H1619= "€100", 100,
if( H1619= "€100 (old)", 100,
if( H1619= "€100 Nitro", 100,
if( H1619= "€100 Nitro (old)", 100,
if( H1619= "€200", 200,
if( H1619= "€250", 250,
if( H1619= "€250 Nitro", 250,
if( H1619= "€500", 500,
if( H1619= "€500 Nitro", 500,
if( H1619= "1000 rub", 1000,
if( H1619= "2500 rub", 2500,
if( H1619= "5000 rub", 5000,"")))))))))))))))))))))))))))))))))))))))))))))))))))))))))))))))))))))))))))))))))))))))))</f>
        <v>25</v>
      </c>
      <c r="K1619" s="56">
        <v>4165.0</v>
      </c>
      <c r="L1619" s="57">
        <v>-1706.0</v>
      </c>
      <c r="M1619" s="67"/>
      <c r="N1619" s="33">
        <f t="shared" si="276"/>
        <v>104125</v>
      </c>
      <c r="O1619" s="70"/>
      <c r="P1619" s="34">
        <f t="shared" si="277"/>
        <v>0</v>
      </c>
      <c r="Q1619" s="60"/>
      <c r="R1619" s="36">
        <f t="shared" si="301"/>
        <v>0</v>
      </c>
      <c r="S1619" s="61">
        <v>-475.0</v>
      </c>
      <c r="T1619" s="37">
        <f t="shared" si="302"/>
        <v>-475</v>
      </c>
      <c r="U1619" s="118">
        <v>1.0617</v>
      </c>
      <c r="V1619" s="74">
        <v>19.89311163895487</v>
      </c>
      <c r="W1619" s="74">
        <v>112.75259701492537</v>
      </c>
      <c r="X1619" s="35">
        <f t="shared" si="303"/>
        <v>0.17</v>
      </c>
      <c r="Y1619" s="35">
        <f t="shared" si="304"/>
        <v>0</v>
      </c>
      <c r="Z1619" s="40">
        <f t="shared" si="305"/>
        <v>-394.25</v>
      </c>
      <c r="AA1619" s="34">
        <f t="shared" si="306"/>
        <v>-80.75</v>
      </c>
      <c r="AB1619" s="41">
        <f t="shared" si="307"/>
        <v>0</v>
      </c>
      <c r="AC1619" s="42" t="b">
        <v>1</v>
      </c>
      <c r="AD1619" s="87" t="str">
        <f t="shared" si="308"/>
        <v>EUR</v>
      </c>
      <c r="AE1619" s="88" t="s">
        <v>140</v>
      </c>
      <c r="AF1619" s="88" t="str">
        <f t="array" ref="AF1619">INDEX('Deal Info'!D:D, MATCH(A1619,'Deal Info'!A:A, 0))</f>
        <v>DoEV</v>
      </c>
      <c r="AG1619" s="89" t="str">
        <f t="array" ref="AG1619">INDEX('Deal Info'!G:G, MATCH(A1619,'Deal Info'!A:A, 0))</f>
        <v>None</v>
      </c>
    </row>
    <row r="1620" hidden="1">
      <c r="A1620" s="23" t="str">
        <f t="array" ref="A1620">if(G1620='Room Info'!$B$1, INDEX('Room Info'!$A$2:$A3446, MATCH(B1620,'Room Info'!$B$2:$B3446, 0)),if(G1620='Room Info'!$C$1, INDEX('Room Info'!$A$2:$A3446, MATCH(B1620,'Room Info'!$C$2:$C3446, 0)),if(G1620='Room Info'!$D$1, INDEX('Room Info'!$A$2:$A3446, MATCH(B1620,'Room Info'!$D$2:$D3446, 0)),if(G1620='Room Info'!$E$1, INDEX('Room Info'!$A$2:$A3446, MATCH(B1620,'Room Info'!$E$2:$E3446, 0)),if(G1620='Room Info'!$F$1, INDEX('Room Info'!$A$2:$A3446, MATCH(B1620,'Room Info'!$F$2:$F3446, 0)),if(G1620='Room Info'!$H$1, INDEX('Room Info'!$A$2:$A3446, MATCH(B1620,'Room Info'!$H$2:$H3446, 0)),if(G1620='Room Info'!$G$1, INDEX('Room Info'!$A$2:$A3446, MATCH(B1620,'Room Info'!$G$2:$G3446, 0)))))))))</f>
        <v>Mackevgen</v>
      </c>
      <c r="B1620" s="101" t="s">
        <v>171</v>
      </c>
      <c r="C1620" s="51">
        <v>44958.0</v>
      </c>
      <c r="D1620" s="51">
        <v>44985.0</v>
      </c>
      <c r="E1620" s="85">
        <v>44958.0</v>
      </c>
      <c r="F1620" s="50" t="s">
        <v>8</v>
      </c>
      <c r="G1620" s="70" t="s">
        <v>9</v>
      </c>
      <c r="H1620" s="96" t="s">
        <v>50</v>
      </c>
      <c r="I1620" s="105" t="s">
        <v>21</v>
      </c>
      <c r="J1620" s="44">
        <f t="shared" si="309"/>
        <v>10</v>
      </c>
      <c r="K1620" s="56">
        <v>250.0</v>
      </c>
      <c r="L1620" s="57">
        <v>-31.0</v>
      </c>
      <c r="M1620" s="67">
        <f>3034.25</f>
        <v>3034.25</v>
      </c>
      <c r="N1620" s="33">
        <f t="shared" si="276"/>
        <v>2500</v>
      </c>
      <c r="O1620" s="59">
        <v>14293.0</v>
      </c>
      <c r="P1620" s="34">
        <f t="shared" si="277"/>
        <v>57.172</v>
      </c>
      <c r="Q1620" s="60"/>
      <c r="R1620" s="36">
        <f t="shared" si="301"/>
        <v>3034.25</v>
      </c>
      <c r="S1620" s="61">
        <v>64.0</v>
      </c>
      <c r="T1620" s="37">
        <f t="shared" si="302"/>
        <v>3098.25</v>
      </c>
      <c r="U1620" s="62">
        <v>1.0617</v>
      </c>
      <c r="V1620" s="63">
        <v>12.92317708</v>
      </c>
      <c r="W1620" s="63">
        <v>568.1497632</v>
      </c>
      <c r="X1620" s="35">
        <f t="shared" si="303"/>
        <v>0.17</v>
      </c>
      <c r="Y1620" s="35">
        <f t="shared" si="304"/>
        <v>0.1</v>
      </c>
      <c r="Z1620" s="40">
        <f t="shared" si="305"/>
        <v>2261.7225</v>
      </c>
      <c r="AA1620" s="34">
        <f t="shared" si="306"/>
        <v>526.7025</v>
      </c>
      <c r="AB1620" s="41">
        <f t="shared" si="307"/>
        <v>309.825</v>
      </c>
      <c r="AC1620" s="42" t="b">
        <v>1</v>
      </c>
      <c r="AD1620" s="87" t="str">
        <f t="shared" si="308"/>
        <v>EUR</v>
      </c>
      <c r="AE1620" s="88" t="s">
        <v>140</v>
      </c>
      <c r="AF1620" s="88" t="str">
        <f t="array" ref="AF1620">INDEX('Deal Info'!D:D, MATCH(A1620,'Deal Info'!A:A, 0))</f>
        <v>DoEV</v>
      </c>
      <c r="AG1620" s="89" t="str">
        <f t="array" ref="AG1620">INDEX('Deal Info'!G:G, MATCH(A1620,'Deal Info'!A:A, 0))</f>
        <v>Fix10</v>
      </c>
    </row>
    <row r="1621" hidden="1">
      <c r="A1621" s="23" t="str">
        <f t="array" ref="A1621">if(G1621='Room Info'!$B$1, INDEX('Room Info'!$A$2:$A3446, MATCH(B1621,'Room Info'!$B$2:$B3446, 0)),if(G1621='Room Info'!$C$1, INDEX('Room Info'!$A$2:$A3446, MATCH(B1621,'Room Info'!$C$2:$C3446, 0)),if(G1621='Room Info'!$D$1, INDEX('Room Info'!$A$2:$A3446, MATCH(B1621,'Room Info'!$D$2:$D3446, 0)),if(G1621='Room Info'!$E$1, INDEX('Room Info'!$A$2:$A3446, MATCH(B1621,'Room Info'!$E$2:$E3446, 0)),if(G1621='Room Info'!$F$1, INDEX('Room Info'!$A$2:$A3446, MATCH(B1621,'Room Info'!$F$2:$F3446, 0)),if(G1621='Room Info'!$H$1, INDEX('Room Info'!$A$2:$A3446, MATCH(B1621,'Room Info'!$H$2:$H3446, 0)),if(G1621='Room Info'!$G$1, INDEX('Room Info'!$A$2:$A3446, MATCH(B1621,'Room Info'!$G$2:$G3446, 0)))))))))</f>
        <v>thepzdc</v>
      </c>
      <c r="B1621" s="128" t="s">
        <v>236</v>
      </c>
      <c r="C1621" s="115">
        <v>44958.0</v>
      </c>
      <c r="D1621" s="115">
        <v>44985.0</v>
      </c>
      <c r="E1621" s="85">
        <v>44958.0</v>
      </c>
      <c r="F1621" s="101" t="s">
        <v>8</v>
      </c>
      <c r="G1621" s="70" t="s">
        <v>9</v>
      </c>
      <c r="H1621" s="96" t="s">
        <v>50</v>
      </c>
      <c r="I1621" s="105" t="s">
        <v>21</v>
      </c>
      <c r="J1621" s="44">
        <f t="shared" si="309"/>
        <v>10</v>
      </c>
      <c r="K1621" s="56">
        <v>2150.0</v>
      </c>
      <c r="L1621" s="57">
        <v>610.0</v>
      </c>
      <c r="M1621" s="58">
        <v>2220.0</v>
      </c>
      <c r="N1621" s="33">
        <f t="shared" si="276"/>
        <v>21500</v>
      </c>
      <c r="O1621" s="70"/>
      <c r="P1621" s="34">
        <f t="shared" si="277"/>
        <v>0</v>
      </c>
      <c r="Q1621" s="60"/>
      <c r="R1621" s="36">
        <f t="shared" si="301"/>
        <v>2220</v>
      </c>
      <c r="S1621" s="61">
        <v>498.0</v>
      </c>
      <c r="T1621" s="37">
        <f t="shared" si="302"/>
        <v>2718</v>
      </c>
      <c r="U1621" s="62">
        <v>1.0617</v>
      </c>
      <c r="V1621" s="74">
        <v>19.89311163895487</v>
      </c>
      <c r="W1621" s="74">
        <v>112.75259701492537</v>
      </c>
      <c r="X1621" s="35">
        <f t="shared" si="303"/>
        <v>0.17</v>
      </c>
      <c r="Y1621" s="35">
        <f t="shared" si="304"/>
        <v>0</v>
      </c>
      <c r="Z1621" s="40">
        <f t="shared" si="305"/>
        <v>2255.94</v>
      </c>
      <c r="AA1621" s="34">
        <f t="shared" si="306"/>
        <v>462.06</v>
      </c>
      <c r="AB1621" s="41">
        <f t="shared" si="307"/>
        <v>0</v>
      </c>
      <c r="AC1621" s="42" t="b">
        <v>1</v>
      </c>
      <c r="AD1621" s="87" t="str">
        <f t="shared" si="308"/>
        <v>EUR</v>
      </c>
      <c r="AE1621" s="87" t="s">
        <v>140</v>
      </c>
      <c r="AF1621" s="88" t="str">
        <f t="array" ref="AF1621">INDEX('Deal Info'!D:D, MATCH(A1621,'Deal Info'!A:A, 0))</f>
        <v>DoEV</v>
      </c>
      <c r="AG1621" s="89" t="str">
        <f t="array" ref="AG1621">INDEX('Deal Info'!G:G, MATCH(A1621,'Deal Info'!A:A, 0))</f>
        <v>None</v>
      </c>
    </row>
    <row r="1622" hidden="1">
      <c r="A1622" s="23" t="str">
        <f t="array" ref="A1622">if(G1622='Room Info'!$B$1, INDEX('Room Info'!$A$2:$A3446, MATCH(B1622,'Room Info'!$B$2:$B3446, 0)),if(G1622='Room Info'!$C$1, INDEX('Room Info'!$A$2:$A3446, MATCH(B1622,'Room Info'!$C$2:$C3446, 0)),if(G1622='Room Info'!$D$1, INDEX('Room Info'!$A$2:$A3446, MATCH(B1622,'Room Info'!$D$2:$D3446, 0)),if(G1622='Room Info'!$E$1, INDEX('Room Info'!$A$2:$A3446, MATCH(B1622,'Room Info'!$E$2:$E3446, 0)),if(G1622='Room Info'!$F$1, INDEX('Room Info'!$A$2:$A3446, MATCH(B1622,'Room Info'!$F$2:$F3446, 0)),if(G1622='Room Info'!$H$1, INDEX('Room Info'!$A$2:$A3446, MATCH(B1622,'Room Info'!$H$2:$H3446, 0)),if(G1622='Room Info'!$G$1, INDEX('Room Info'!$A$2:$A3446, MATCH(B1622,'Room Info'!$G$2:$G3446, 0)))))))))</f>
        <v>DimanTT</v>
      </c>
      <c r="B1622" s="101" t="s">
        <v>237</v>
      </c>
      <c r="C1622" s="51">
        <v>44978.0</v>
      </c>
      <c r="D1622" s="51">
        <v>45005.0</v>
      </c>
      <c r="E1622" s="95">
        <v>44986.0</v>
      </c>
      <c r="F1622" s="53" t="s">
        <v>4</v>
      </c>
      <c r="G1622" s="50" t="s">
        <v>13</v>
      </c>
      <c r="H1622" s="54" t="s">
        <v>59</v>
      </c>
      <c r="I1622" s="54" t="s">
        <v>18</v>
      </c>
      <c r="J1622" s="44">
        <f t="shared" ref="J1622:J1623" si="310">iferror(if(H1622="$0.25",0.25, 
if(H1622="$0.25 Flash",0.25, 
if(H1622 = "$1", 1, 
if(H1622 = "$1 Flash", 1, 
if(H1622 = "$2", 2, 
if( H1622 = "$2 Flash" , 2, 
if( H1622= "$3", 3, 
if( H1622= "$3 Ultra", 3, 
if( H1622= "$5", 5, 
if( H1622= "$5 (1M)", 5, 
if( H1622= "$5 (1M) Flash", 5, 
if( H1622= "$5 Flash", 5, 
if( H1622= "$5 Flash (1M)", 5,
if( H1622= "$10", 10,
if( H1622= "$10 (1M)", 10,
if( H1622= "$10 (1M) (old)", 10,
if( H1622= "$10 Flash", 10,
if( H1622= "$10 Ultra", 10,
if( H1622= "$20", 20,
if( H1622= "$20 Ultra", 20,
if( H1622= "$25", 25,
if( H1622= "$25 Flash", 25,
if( H1622= "$50", 50,
if( H1622= "$50 Flash", 50,
if( H1622= "$50 Ultra", 50,
if( H1622= "$100", 100,
if( H1622= "$100 Flash", 100,
if( H1622= "$100 HUHT", 100,
if( H1622= "$100 Ultra", 100,
if( H1622= "$200", 200,
if( H1622= "$200 HUHT", 200,
if( H1622= "$250", 250,
if( H1622= "$250 Flash", 250,
if( H1622= "$300 HUHT", 300,
if( H1622= "$500", 500,
if( H1622= "$500 Flash", 500,
if( H1622 = "$500 HUHT",500,
if( H1622= "$1000", 1000,
if( H1622= "$1000 HUHT", 1000,
if( H1622= "€0.25 Flash", 0.25,
if( H1622="€0.25(nitro) new",0.25,
if( H1622= "€1", 1,
if( H1622= "€2", 2,
if( H1622= "€5", 5,
if( H1622= "€5 (1M)", 5,
if( H1622= "€5 (bf 01.08)", 5,
if( H1622= "€5 (bf 05.05)", 5,
if( H1622= "€5 Nitro", 5,
if( H1622= "€5(wx) new", 5,
if( H1622= "€10", 10,
if( H1622= "€10 (1M)", 10,
if( H1622= "€10 (bf 01.08)", 10,
if( H1622= "€10 (bf 05.05)", 10,
if( H1622= "€10 (MP)", 10,
if( H1622= "€10 (old)", 10,
if( H1622= "€10 Nitro (bf 05.05)", 10,
if( H1622= "€10 Nitro (old)", 10,
if( H1622= "€10(wx) new", 10,
if( H1622= "€20", 20,
if( H1622= "€25", 25, 
if( H1622= "€25 (bf 01.08)", 25, 
if( H1622= "€25 (bf 05.05)", 25, 
if( H1622= "€25 (MP)", 25, 
if( H1622= "€25 (old)", 25,
if( H1622= "€25 Nitro", 25,
if( H1622= "€25 Nitro (bf 01.08)", 25,
if( H1622= "€25 Nitro (bf 05.05)", 25,
if( H1622= "€25(nitro) new", 25,
if( H1622= "€25(wx) new", 25,
if( H1622= "€50", 50,
if( H1622= "€50 (bf 01.08)", 50,
if( H1622= "€50 (bf 05.05)", 50,
if( H1622= "€50 (old)", 50,
if( H1622= "€50 Nitro", 50,
if( H1622= "€50 Nitro (bf 01.08)", 50,
if( H1622= "€50 Nitro (bf 05.05)", 50,
if( H1622= "€50(wx) new", 50,
if( H1622= "€100", 100,
if( H1622= "€100 (old)", 100,
if( H1622= "€100 Nitro", 100,
if( H1622= "€100 Nitro (old)", 100,
if( H1622= "€200", 200,
if( H1622= "€250", 250,
if( H1622= "€250 Nitro", 250,
if( H1622= "€500", 500,
if( H1622= "€500 Nitro", 500,
if( H1622= "1000 rub", 1000,
if( H1622= "2500 rub", 2500,
if( H1622= "5000 rub", 5000,""))))))))))))))))))))))))))))))))))))))))))))))))))))))))))))))))))))))))))))))))))))))))))</f>
        <v>20</v>
      </c>
      <c r="K1622" s="56">
        <v>3955.0</v>
      </c>
      <c r="L1622" s="57">
        <v>-1660.0</v>
      </c>
      <c r="M1622" s="67">
        <f>3481.16+525</f>
        <v>4006.16</v>
      </c>
      <c r="N1622" s="33">
        <f t="shared" si="276"/>
        <v>79100</v>
      </c>
      <c r="O1622" s="59">
        <v>75811.0</v>
      </c>
      <c r="P1622" s="34">
        <f t="shared" si="277"/>
        <v>19.16839444</v>
      </c>
      <c r="Q1622" s="60"/>
      <c r="R1622" s="36">
        <f t="shared" si="301"/>
        <v>4006.16</v>
      </c>
      <c r="S1622" s="61">
        <v>-1223.0</v>
      </c>
      <c r="T1622" s="37">
        <f t="shared" si="302"/>
        <v>2783.16</v>
      </c>
      <c r="U1622" s="62">
        <v>1.071</v>
      </c>
      <c r="V1622" s="74">
        <v>20.0</v>
      </c>
      <c r="W1622" s="74">
        <v>140.06799999999998</v>
      </c>
      <c r="X1622" s="35">
        <f t="shared" si="303"/>
        <v>0.17</v>
      </c>
      <c r="Y1622" s="35">
        <f t="shared" si="304"/>
        <v>0</v>
      </c>
      <c r="Z1622" s="40">
        <f t="shared" si="305"/>
        <v>2310.0228</v>
      </c>
      <c r="AA1622" s="34">
        <f t="shared" si="306"/>
        <v>473.1372</v>
      </c>
      <c r="AB1622" s="41">
        <f t="shared" si="307"/>
        <v>0</v>
      </c>
      <c r="AC1622" s="66" t="b">
        <v>1</v>
      </c>
      <c r="AD1622" s="87" t="str">
        <f t="shared" si="308"/>
        <v>USD</v>
      </c>
      <c r="AE1622" s="88" t="s">
        <v>138</v>
      </c>
      <c r="AF1622" s="88" t="str">
        <f t="array" ref="AF1622">INDEX('Deal Info'!D:D, MATCH(A1622,'Deal Info'!A:A, 0))</f>
        <v>DoEV</v>
      </c>
      <c r="AG1622" s="89" t="str">
        <f t="array" ref="AG1622">INDEX('Deal Info'!G:G, MATCH(A1622,'Deal Info'!A:A, 0))</f>
        <v>None</v>
      </c>
    </row>
    <row r="1623" hidden="1">
      <c r="A1623" s="23" t="b">
        <f t="array" ref="A1623">if(G1623='Room Info'!$B$1, INDEX('Room Info'!$A$2:$A3446, MATCH(B1623,'Room Info'!$B$2:$B3446, 0)),if(G1623='Room Info'!$C$1, INDEX('Room Info'!$A$2:$A3446, MATCH(B1623,'Room Info'!$C$2:$C3446, 0)),if(G1623='Room Info'!$D$1, INDEX('Room Info'!$A$2:$A3446, MATCH(B1623,'Room Info'!$D$2:$D3446, 0)),if(G1623='Room Info'!$E$1, INDEX('Room Info'!$A$2:$A3446, MATCH(B1623,'Room Info'!$E$2:$E3446, 0)),if(G1623='Room Info'!$F$1, INDEX('Room Info'!$A$2:$A3446, MATCH(B1623,'Room Info'!$F$2:$F3446, 0)),if(G1623='Room Info'!$H$1, INDEX('Room Info'!$A$2:$A3446, MATCH(B1623,'Room Info'!$H$2:$H3446, 0)),if(G1623='Room Info'!$G$1, INDEX('Room Info'!$A$2:$A3446, MATCH(B1623,'Room Info'!$G$2:$G3446, 0)))))))))</f>
        <v>0</v>
      </c>
      <c r="B1623" s="128" t="s">
        <v>238</v>
      </c>
      <c r="C1623" s="51">
        <v>44978.0</v>
      </c>
      <c r="D1623" s="51">
        <v>45005.0</v>
      </c>
      <c r="E1623" s="95">
        <v>44986.0</v>
      </c>
      <c r="F1623" s="53" t="s">
        <v>4</v>
      </c>
      <c r="G1623" s="59" t="s">
        <v>142</v>
      </c>
      <c r="H1623" s="54" t="s">
        <v>61</v>
      </c>
      <c r="I1623" s="105" t="s">
        <v>7</v>
      </c>
      <c r="J1623" s="44">
        <f t="shared" si="310"/>
        <v>20</v>
      </c>
      <c r="K1623" s="80">
        <v>26.0</v>
      </c>
      <c r="L1623" s="77">
        <v>-64.0</v>
      </c>
      <c r="M1623" s="67"/>
      <c r="N1623" s="33">
        <f t="shared" si="276"/>
        <v>520</v>
      </c>
      <c r="O1623" s="50">
        <v>1537.0</v>
      </c>
      <c r="P1623" s="34">
        <f t="shared" si="277"/>
        <v>59.11538462</v>
      </c>
      <c r="Q1623" s="60">
        <v>0.5</v>
      </c>
      <c r="R1623" s="36">
        <f t="shared" si="301"/>
        <v>18.2</v>
      </c>
      <c r="S1623" s="102"/>
      <c r="T1623" s="37">
        <f t="shared" si="302"/>
        <v>18.2</v>
      </c>
      <c r="U1623" s="62">
        <v>1.071</v>
      </c>
      <c r="V1623" s="74">
        <v>20.0</v>
      </c>
      <c r="W1623" s="74">
        <v>140.06799999999998</v>
      </c>
      <c r="X1623" s="35" t="str">
        <f t="shared" si="303"/>
        <v>#N/A</v>
      </c>
      <c r="Y1623" s="35" t="str">
        <f t="shared" si="304"/>
        <v>#N/A</v>
      </c>
      <c r="Z1623" s="40" t="str">
        <f t="shared" si="305"/>
        <v>#N/A</v>
      </c>
      <c r="AA1623" s="34" t="str">
        <f t="shared" si="306"/>
        <v>#N/A</v>
      </c>
      <c r="AB1623" s="41" t="str">
        <f t="shared" si="307"/>
        <v>#N/A</v>
      </c>
      <c r="AC1623" s="66" t="b">
        <v>1</v>
      </c>
      <c r="AD1623" s="87" t="str">
        <f t="shared" si="308"/>
        <v>EUR</v>
      </c>
      <c r="AE1623" s="88" t="s">
        <v>138</v>
      </c>
      <c r="AF1623" s="88" t="str">
        <f t="array" ref="AF1623">INDEX('Deal Info'!D:D, MATCH(A1623,'Deal Info'!A:A, 0))</f>
        <v>#N/A</v>
      </c>
      <c r="AG1623" s="89" t="str">
        <f t="array" ref="AG1623">INDEX('Deal Info'!G:G, MATCH(A1623,'Deal Info'!A:A, 0))</f>
        <v>#N/A</v>
      </c>
    </row>
    <row r="1624" hidden="1">
      <c r="A1624" s="23" t="str">
        <f t="array" ref="A1624">if(G1624='Room Info'!$B$1, INDEX('Room Info'!$A$2:$A3446, MATCH(B1624,'Room Info'!$B$2:$B3446, 0)),if(G1624='Room Info'!$C$1, INDEX('Room Info'!$A$2:$A3446, MATCH(B1624,'Room Info'!$C$2:$C3446, 0)),if(G1624='Room Info'!$D$1, INDEX('Room Info'!$A$2:$A3446, MATCH(B1624,'Room Info'!$D$2:$D3446, 0)),if(G1624='Room Info'!$E$1, INDEX('Room Info'!$A$2:$A3446, MATCH(B1624,'Room Info'!$E$2:$E3446, 0)),if(G1624='Room Info'!$F$1, INDEX('Room Info'!$A$2:$A3446, MATCH(B1624,'Room Info'!$F$2:$F3446, 0)),if(G1624='Room Info'!$H$1, INDEX('Room Info'!$A$2:$A3446, MATCH(B1624,'Room Info'!$H$2:$H3446, 0)),if(G1624='Room Info'!$G$1, INDEX('Room Info'!$A$2:$A3446, MATCH(B1624,'Room Info'!$G$2:$G3446, 0)))))))))</f>
        <v>eternity1</v>
      </c>
      <c r="B1624" s="23" t="s">
        <v>200</v>
      </c>
      <c r="C1624" s="91">
        <v>44947.0</v>
      </c>
      <c r="D1624" s="92">
        <v>44977.0</v>
      </c>
      <c r="E1624" s="26">
        <v>44958.0</v>
      </c>
      <c r="F1624" s="27" t="s">
        <v>12</v>
      </c>
      <c r="G1624" s="23" t="s">
        <v>9</v>
      </c>
      <c r="H1624" s="86" t="s">
        <v>17</v>
      </c>
      <c r="I1624" s="28" t="s">
        <v>24</v>
      </c>
      <c r="J1624" s="44">
        <f>iferror(if(H1624="$0.25",0.25, 
if(H1624="$0.25 Flash",0.25, 
if(H1624 = "$1", 1, 
if(H1624 = "$1 Flash", 1, 
if(H1624 = "$2", 2, 
if( H1624 = "$2 Flash" , 2, 
if( H1624= "$3", 3, 
if( H1624= "$3 Ultra", 3, 
if( H1624= "$5", 5, 
if( H1624= "$5 (1M)", 5, 
if( H1624= "$5 (1M) Flash", 5, 
if( H1624= "$5 Flash", 5, 
if( H1624= "$5 Flash (1M)", 5,
if( H1624= "$10", 10,
if( H1624= "$10 (1M)", 10,
if( H1624= "$10 (1M) (old)", 10,
if( H1624= "$10 Flash", 10,
if( H1624= "$10 Ultra", 10,
if( H1624= "$20", 20,
if( H1624= "$20 Ultra", 20,
if( H1624= "$25", 25,
if( H1624= "$25 Flash", 25,
if( H1624= "$50", 50,
if( H1624= "$50 Flash", 50,
if( H1624= "$50 Ultra", 50,
if( H1624= "$100", 100,
if( H1624= "$100 Flash", 100,
if( H1624= "$100 HUHT", 100,
if( H1624= "$100 Ultra", 100,
if( H1624= "$200", 200,
if( H1624= "$200 HUHT", 200,
if( H1624= "$250", 250,
if( H1624= "$250 Flash", 250,
if( H1624= "$300 HUHT", 300,
if( H1624= "$500", 500,
if( H1624= "$500 Flash", 500,
if( H1624 = "$500 HUHT",500,
if( H1624= "$1000", 1000,
if( H1624= "€0.25 Flash", 0.25,
if( H1624="€0.25(nitro) new",0.25,
if( H1624= "€1", 1,
if( H1624= "€2", 2,
if( H1624= "€5", 5,
if( H1624= "€5 (1M)", 5,
if( H1624= "€5 (bf 01.08)", 5,
if( H1624= "€5 (bf 05.05)", 5,
if( H1624= "€5 Nitro", 5,
if( H1624= "€5(wx) new", 5,
if( H1624= "€10", 10,
if( H1624= "€10 (1M)", 10,
if( H1624= "€10 (bf 01.08)", 10,
if( H1624= "€10 (bf 05.05)", 10,
if( H1624= "€10 (MP)", 10,
if( H1624= "€10 (old)", 10,
if( H1624= "€10 Nitro (bf 05.05)", 10,
if( H1624= "€10 Nitro (old)", 10,
if( H1624= "€10(wx) new", 10,
if( H1624= "€20", 20,
if( H1624= "€25", 25, 
if( H1624= "€25 (bf 01.08)", 25, 
if( H1624= "€25 (bf 05.05)", 25, 
if( H1624= "€25 (MP)", 25, 
if( H1624= "€25 (old)", 25,
if( H1624= "€25 Nitro", 25,
if( H1624= "€25 Nitro (bf 01.08)", 25,
if( H1624= "€25 Nitro (bf 05.05)", 25,
if( H1624= "€25(nitro) new", 25,
if( H1624= "€25(wx) new", 25,
if( H1624= "€50", 50,
if( H1624= "€50 (bf 01.08)", 50,
if( H1624= "€50 (bf 05.05)", 50,
if( H1624= "€50 (old)", 50,
if( H1624= "€50 Nitro", 50,
if( H1624= "€50 Nitro (bf 01.08)", 50,
if( H1624= "€50 Nitro (bf 05.05)", 50,
if( H1624= "€50(wx) new", 50,
if( H1624= "€100", 100,
if( H1624= "€100 (old)", 100,
if( H1624= "€100 Nitro", 100,
if( H1624= "€100 Nitro (old)", 100,
if( H1624= "€200", 200,
if( H1624= "€250", 250,
if( H1624= "€250 Nitro", 250,
if( H1624= "€500", 500,
if( H1624= "€500 Nitro", 500,
if( H1624= "1000 rub", 1000,
if( H1624= "2500 rub", 2500,
if( H1624= "5000 rub", 5000,"")))))))))))))))))))))))))))))))))))))))))))))))))))))))))))))))))))))))))))))))))))))))))</f>
        <v>0.25</v>
      </c>
      <c r="K1624" s="93">
        <v>7.0</v>
      </c>
      <c r="L1624" s="94">
        <v>-1.0</v>
      </c>
      <c r="M1624" s="32"/>
      <c r="N1624" s="33">
        <f t="shared" si="276"/>
        <v>1.75</v>
      </c>
      <c r="O1624" s="90"/>
      <c r="P1624" s="34">
        <f t="shared" si="277"/>
        <v>0</v>
      </c>
      <c r="Q1624" s="35"/>
      <c r="R1624" s="36">
        <f>M1624+Q1624</f>
        <v>0</v>
      </c>
      <c r="S1624" s="33"/>
      <c r="T1624" s="37">
        <f t="shared" si="302"/>
        <v>-1</v>
      </c>
      <c r="U1624" s="38">
        <v>1.067</v>
      </c>
      <c r="V1624" s="63">
        <v>13.0</v>
      </c>
      <c r="W1624" s="63">
        <v>38.0</v>
      </c>
      <c r="X1624" s="35">
        <f t="shared" si="303"/>
        <v>0.3</v>
      </c>
      <c r="Y1624" s="35">
        <f t="shared" si="304"/>
        <v>0</v>
      </c>
      <c r="Z1624" s="40">
        <f t="shared" si="305"/>
        <v>-0.7</v>
      </c>
      <c r="AA1624" s="34">
        <f t="shared" si="306"/>
        <v>-0.3</v>
      </c>
      <c r="AB1624" s="41">
        <f t="shared" si="307"/>
        <v>0</v>
      </c>
      <c r="AC1624" s="42" t="b">
        <v>1</v>
      </c>
      <c r="AD1624" s="87" t="str">
        <f t="shared" si="308"/>
        <v>EUR</v>
      </c>
      <c r="AE1624" s="88" t="s">
        <v>140</v>
      </c>
      <c r="AF1624" s="88" t="str">
        <f t="array" ref="AF1624">INDEX('Deal Info'!D:D, MATCH(A1624,'Deal Info'!A:A, 0))</f>
        <v>DoEV</v>
      </c>
      <c r="AG1624" s="89" t="str">
        <f t="array" ref="AG1624">INDEX('Deal Info'!G:G, MATCH(A1624,'Deal Info'!A:A, 0))</f>
        <v>None</v>
      </c>
    </row>
    <row r="1625" hidden="1">
      <c r="A1625" s="23" t="str">
        <f t="array" ref="A1625">if(G1625='Room Info'!$B$1, INDEX('Room Info'!$A$2:$A3446, MATCH(B1625,'Room Info'!$B$2:$B3446, 0)),if(G1625='Room Info'!$C$1, INDEX('Room Info'!$A$2:$A3446, MATCH(B1625,'Room Info'!$C$2:$C3446, 0)),if(G1625='Room Info'!$D$1, INDEX('Room Info'!$A$2:$A3446, MATCH(B1625,'Room Info'!$D$2:$D3446, 0)),if(G1625='Room Info'!$E$1, INDEX('Room Info'!$A$2:$A3446, MATCH(B1625,'Room Info'!$E$2:$E3446, 0)),if(G1625='Room Info'!$F$1, INDEX('Room Info'!$A$2:$A3446, MATCH(B1625,'Room Info'!$F$2:$F3446, 0)),if(G1625='Room Info'!$H$1, INDEX('Room Info'!$A$2:$A3446, MATCH(B1625,'Room Info'!$H$2:$H3446, 0)),if(G1625='Room Info'!$G$1, INDEX('Room Info'!$A$2:$A3446, MATCH(B1625,'Room Info'!$G$2:$G3446, 0)))))))))</f>
        <v>Kiss4money99</v>
      </c>
      <c r="B1625" s="50" t="s">
        <v>166</v>
      </c>
      <c r="C1625" s="51">
        <v>44978.0</v>
      </c>
      <c r="D1625" s="51">
        <v>45005.0</v>
      </c>
      <c r="E1625" s="95">
        <v>44986.0</v>
      </c>
      <c r="F1625" s="53" t="s">
        <v>4</v>
      </c>
      <c r="G1625" s="70" t="s">
        <v>5</v>
      </c>
      <c r="H1625" s="54" t="s">
        <v>35</v>
      </c>
      <c r="I1625" s="105" t="s">
        <v>7</v>
      </c>
      <c r="J1625" s="44">
        <f t="shared" ref="J1625:J2445" si="311">iferror(if(H1625="$0.25",0.25, 
if(H1625="$0.25 Flash",0.25, 
if(H1625 = "$1", 1, 
if(H1625 = "$1 Flash", 1, 
if(H1625 = "$2", 2, 
if( H1625 = "$2 Flash" , 2, 
if( H1625= "$3", 3, 
if( H1625= "$3 Ultra", 3, 
if( H1625= "$5", 5, 
if( H1625= "$5 (1M)", 5, 
if( H1625= "$5 (1M) Flash", 5, 
if( H1625= "$5 Flash", 5, 
if( H1625= "$5 Flash (1M)", 5,
if( H1625= "$10", 10,
if( H1625= "$10 (1M)", 10,
if( H1625= "$10 (1M) (old)", 10,
if( H1625= "$10 Flash", 10,
if( H1625= "$10 Ultra", 10,
if( H1625= "$20", 20,
if( H1625= "$20 Ultra", 20,
if( H1625= "$25", 25,
if( H1625= "$25 Flash", 25,
if( H1625= "$50", 50,
if( H1625= "$50 Flash", 50,
if( H1625= "$50 Ultra", 50,
if( H1625= "$100", 100,
if( H1625= "$100 Flash", 100,
if( H1625= "$100 HUHT", 100,
if( H1625= "$100 Ultra", 100,
if( H1625= "$200", 200,
if( H1625= "$200 HUHT", 200,
if( H1625= "$250", 250,
if( H1625= "$250 Flash", 250,
if( H1625= "$300 HUHT", 300,
if( H1625= "$500", 500,
if( H1625= "$500 Flash", 500,
if( H1625 = "$500 HUHT",500,
if( H1625= "$1000", 1000,
if( H1625= "$1000 HUHT", 1000,
if( H1625= "€0.25 Flash", 0.25,
if( H1625="€0.25(nitro) new",0.25,
if( H1625= "€1", 1,
if( H1625= "€2", 2,
if( H1625= "€5", 5,
if( H1625= "€5 (1M)", 5,
if( H1625= "€5 (bf 01.08)", 5,
if( H1625= "€5 (bf 05.05)", 5,
if( H1625= "€5 Nitro", 5,
if( H1625= "€5(wx) new", 5,
if( H1625= "€10", 10,
if( H1625= "€10 (1M)", 10,
if( H1625= "€10 (bf 01.08)", 10,
if( H1625= "€10 (bf 05.05)", 10,
if( H1625= "€10 (MP)", 10,
if( H1625= "€10 (old)", 10,
if( H1625= "€10 Nitro (bf 05.05)", 10,
if( H1625= "€10 Nitro (old)", 10,
if( H1625= "€10(wx) new", 10,
if( H1625= "€20", 20,
if( H1625= "€25", 25, 
if( H1625= "€25 (bf 01.08)", 25, 
if( H1625= "€25 (bf 05.05)", 25, 
if( H1625= "€25 (MP)", 25, 
if( H1625= "€25 (old)", 25,
if( H1625= "€25 Nitro", 25,
if( H1625= "€25 Nitro (bf 01.08)", 25,
if( H1625= "€25 Nitro (bf 05.05)", 25,
if( H1625= "€25(nitro) new", 25,
if( H1625= "€25(wx) new", 25,
if( H1625= "€50", 50,
if( H1625= "€50 (bf 01.08)", 50,
if( H1625= "€50 (bf 05.05)", 50,
if( H1625= "€50 (old)", 50,
if( H1625= "€50 Nitro", 50,
if( H1625= "€50 Nitro (bf 01.08)", 50,
if( H1625= "€50 Nitro (bf 05.05)", 50,
if( H1625= "€50(wx) new", 50,
if( H1625= "€100", 100,
if( H1625= "€100 (old)", 100,
if( H1625= "€100 Nitro", 100,
if( H1625= "€100 Nitro (old)", 100,
if( H1625= "€200", 200,
if( H1625= "€250", 250,
if( H1625= "€250 Nitro", 250,
if( H1625= "€500", 500,
if( H1625= "€500 Nitro", 500,
if( H1625= "1000 rub", 1000,
if( H1625= "2500 rub", 2500,
if( H1625= "5000 rub", 5000,""))))))))))))))))))))))))))))))))))))))))))))))))))))))))))))))))))))))))))))))))))))))))))</f>
        <v>5</v>
      </c>
      <c r="K1625" s="80">
        <v>1.0</v>
      </c>
      <c r="L1625" s="77">
        <v>5.0</v>
      </c>
      <c r="M1625" s="58">
        <v>1315.0</v>
      </c>
      <c r="N1625" s="33">
        <f t="shared" si="276"/>
        <v>5</v>
      </c>
      <c r="O1625" s="50">
        <v>330.0</v>
      </c>
      <c r="P1625" s="34">
        <f t="shared" si="277"/>
        <v>330</v>
      </c>
      <c r="Q1625" s="60"/>
      <c r="R1625" s="36">
        <f t="shared" ref="R1625:R2446" si="312">M1625+Q1625*J1625*K1625*0.07</f>
        <v>1315</v>
      </c>
      <c r="S1625" s="78">
        <v>-334.0</v>
      </c>
      <c r="T1625" s="37">
        <f t="shared" si="302"/>
        <v>981</v>
      </c>
      <c r="U1625" s="62">
        <v>1.071</v>
      </c>
      <c r="V1625" s="63">
        <v>9.997160704</v>
      </c>
      <c r="W1625" s="63">
        <v>98.1278614</v>
      </c>
      <c r="X1625" s="35">
        <f t="shared" si="303"/>
        <v>0.25</v>
      </c>
      <c r="Y1625" s="35">
        <f t="shared" si="304"/>
        <v>0</v>
      </c>
      <c r="Z1625" s="40">
        <f t="shared" si="305"/>
        <v>735.75</v>
      </c>
      <c r="AA1625" s="34">
        <f t="shared" si="306"/>
        <v>245.25</v>
      </c>
      <c r="AB1625" s="41">
        <f t="shared" si="307"/>
        <v>0</v>
      </c>
      <c r="AC1625" s="42" t="b">
        <v>0</v>
      </c>
      <c r="AD1625" s="87" t="str">
        <f t="shared" si="308"/>
        <v>USD</v>
      </c>
      <c r="AE1625" s="88" t="s">
        <v>138</v>
      </c>
      <c r="AF1625" s="88" t="str">
        <f t="array" ref="AF1625">INDEX('Deal Info'!D:D, MATCH(A1625,'Deal Info'!A:A, 0))</f>
        <v>SF</v>
      </c>
      <c r="AG1625" s="89" t="str">
        <f t="array" ref="AG1625">INDEX('Deal Info'!G:G, MATCH(A1625,'Deal Info'!A:A, 0))</f>
        <v>None</v>
      </c>
    </row>
    <row r="1626" hidden="1">
      <c r="A1626" s="23" t="str">
        <f t="array" ref="A1626">if(G1626='Room Info'!$B$1, INDEX('Room Info'!$A$2:$A3446, MATCH(B1626,'Room Info'!$B$2:$B3446, 0)),if(G1626='Room Info'!$C$1, INDEX('Room Info'!$A$2:$A3446, MATCH(B1626,'Room Info'!$C$2:$C3446, 0)),if(G1626='Room Info'!$D$1, INDEX('Room Info'!$A$2:$A3446, MATCH(B1626,'Room Info'!$D$2:$D3446, 0)),if(G1626='Room Info'!$E$1, INDEX('Room Info'!$A$2:$A3446, MATCH(B1626,'Room Info'!$E$2:$E3446, 0)),if(G1626='Room Info'!$F$1, INDEX('Room Info'!$A$2:$A3446, MATCH(B1626,'Room Info'!$F$2:$F3446, 0)),if(G1626='Room Info'!$H$1, INDEX('Room Info'!$A$2:$A3446, MATCH(B1626,'Room Info'!$H$2:$H3446, 0)),if(G1626='Room Info'!$G$1, INDEX('Room Info'!$A$2:$A3446, MATCH(B1626,'Room Info'!$G$2:$G3446, 0)))))))))</f>
        <v>Kiss4money99</v>
      </c>
      <c r="B1626" s="50" t="s">
        <v>166</v>
      </c>
      <c r="C1626" s="51">
        <v>44978.0</v>
      </c>
      <c r="D1626" s="51">
        <v>45005.0</v>
      </c>
      <c r="E1626" s="95">
        <v>44986.0</v>
      </c>
      <c r="F1626" s="53" t="s">
        <v>4</v>
      </c>
      <c r="G1626" s="70" t="s">
        <v>5</v>
      </c>
      <c r="H1626" s="54" t="s">
        <v>45</v>
      </c>
      <c r="I1626" s="105" t="s">
        <v>7</v>
      </c>
      <c r="J1626" s="44">
        <f t="shared" si="311"/>
        <v>10</v>
      </c>
      <c r="K1626" s="80">
        <v>1760.0</v>
      </c>
      <c r="L1626" s="77">
        <v>-790.0</v>
      </c>
      <c r="M1626" s="84"/>
      <c r="N1626" s="33">
        <f t="shared" si="276"/>
        <v>17600</v>
      </c>
      <c r="O1626" s="50">
        <v>50415.0</v>
      </c>
      <c r="P1626" s="34">
        <f t="shared" si="277"/>
        <v>28.64488636</v>
      </c>
      <c r="Q1626" s="60"/>
      <c r="R1626" s="36">
        <f t="shared" si="312"/>
        <v>0</v>
      </c>
      <c r="S1626" s="102"/>
      <c r="T1626" s="37">
        <f t="shared" si="302"/>
        <v>0</v>
      </c>
      <c r="U1626" s="62">
        <v>1.071</v>
      </c>
      <c r="V1626" s="63">
        <v>9.997160704</v>
      </c>
      <c r="W1626" s="63">
        <v>98.1278614</v>
      </c>
      <c r="X1626" s="35">
        <f t="shared" si="303"/>
        <v>0.25</v>
      </c>
      <c r="Y1626" s="35">
        <f t="shared" si="304"/>
        <v>0</v>
      </c>
      <c r="Z1626" s="40">
        <f t="shared" si="305"/>
        <v>0</v>
      </c>
      <c r="AA1626" s="34">
        <f t="shared" si="306"/>
        <v>0</v>
      </c>
      <c r="AB1626" s="41">
        <f t="shared" si="307"/>
        <v>0</v>
      </c>
      <c r="AC1626" s="42" t="b">
        <v>0</v>
      </c>
      <c r="AD1626" s="87" t="str">
        <f t="shared" si="308"/>
        <v>USD</v>
      </c>
      <c r="AE1626" s="88" t="s">
        <v>138</v>
      </c>
      <c r="AF1626" s="88" t="str">
        <f t="array" ref="AF1626">INDEX('Deal Info'!D:D, MATCH(A1626,'Deal Info'!A:A, 0))</f>
        <v>SF</v>
      </c>
      <c r="AG1626" s="89" t="str">
        <f t="array" ref="AG1626">INDEX('Deal Info'!G:G, MATCH(A1626,'Deal Info'!A:A, 0))</f>
        <v>None</v>
      </c>
    </row>
    <row r="1627" hidden="1">
      <c r="A1627" s="23" t="str">
        <f t="array" ref="A1627">if(G1627='Room Info'!$B$1, INDEX('Room Info'!$A$2:$A3446, MATCH(B1627,'Room Info'!$B$2:$B3446, 0)),if(G1627='Room Info'!$C$1, INDEX('Room Info'!$A$2:$A3446, MATCH(B1627,'Room Info'!$C$2:$C3446, 0)),if(G1627='Room Info'!$D$1, INDEX('Room Info'!$A$2:$A3446, MATCH(B1627,'Room Info'!$D$2:$D3446, 0)),if(G1627='Room Info'!$E$1, INDEX('Room Info'!$A$2:$A3446, MATCH(B1627,'Room Info'!$E$2:$E3446, 0)),if(G1627='Room Info'!$F$1, INDEX('Room Info'!$A$2:$A3446, MATCH(B1627,'Room Info'!$F$2:$F3446, 0)),if(G1627='Room Info'!$H$1, INDEX('Room Info'!$A$2:$A3446, MATCH(B1627,'Room Info'!$H$2:$H3446, 0)),if(G1627='Room Info'!$G$1, INDEX('Room Info'!$A$2:$A3446, MATCH(B1627,'Room Info'!$G$2:$G3446, 0)))))))))</f>
        <v>S1lense</v>
      </c>
      <c r="B1627" s="50" t="s">
        <v>169</v>
      </c>
      <c r="C1627" s="51">
        <v>44978.0</v>
      </c>
      <c r="D1627" s="51">
        <v>45005.0</v>
      </c>
      <c r="E1627" s="95">
        <v>44986.0</v>
      </c>
      <c r="F1627" s="53" t="s">
        <v>4</v>
      </c>
      <c r="G1627" s="70" t="s">
        <v>5</v>
      </c>
      <c r="H1627" s="54" t="s">
        <v>35</v>
      </c>
      <c r="I1627" s="105" t="s">
        <v>7</v>
      </c>
      <c r="J1627" s="44">
        <f t="shared" si="311"/>
        <v>5</v>
      </c>
      <c r="K1627" s="80">
        <v>552.0</v>
      </c>
      <c r="L1627" s="77">
        <v>350.0</v>
      </c>
      <c r="M1627" s="81">
        <v>505.0</v>
      </c>
      <c r="N1627" s="33">
        <f t="shared" si="276"/>
        <v>2760</v>
      </c>
      <c r="O1627" s="50">
        <v>30434.0</v>
      </c>
      <c r="P1627" s="34">
        <f t="shared" si="277"/>
        <v>55.13405797</v>
      </c>
      <c r="Q1627" s="60"/>
      <c r="R1627" s="36">
        <f t="shared" si="312"/>
        <v>505</v>
      </c>
      <c r="S1627" s="102"/>
      <c r="T1627" s="37">
        <f t="shared" si="302"/>
        <v>505</v>
      </c>
      <c r="U1627" s="62">
        <v>1.071</v>
      </c>
      <c r="V1627" s="74">
        <v>8.816886726893676</v>
      </c>
      <c r="W1627" s="74">
        <v>57.27645320197044</v>
      </c>
      <c r="X1627" s="35">
        <f t="shared" si="303"/>
        <v>0.23</v>
      </c>
      <c r="Y1627" s="35">
        <f t="shared" si="304"/>
        <v>0</v>
      </c>
      <c r="Z1627" s="40">
        <f t="shared" si="305"/>
        <v>388.85</v>
      </c>
      <c r="AA1627" s="34">
        <f t="shared" si="306"/>
        <v>116.15</v>
      </c>
      <c r="AB1627" s="41">
        <f t="shared" si="307"/>
        <v>0</v>
      </c>
      <c r="AC1627" s="42" t="b">
        <v>0</v>
      </c>
      <c r="AD1627" s="87" t="str">
        <f t="shared" si="308"/>
        <v>USD</v>
      </c>
      <c r="AE1627" s="88" t="s">
        <v>138</v>
      </c>
      <c r="AF1627" s="88" t="str">
        <f t="array" ref="AF1627">INDEX('Deal Info'!D:D, MATCH(A1627,'Deal Info'!A:A, 0))</f>
        <v>DoEVs1</v>
      </c>
      <c r="AG1627" s="89" t="str">
        <f t="array" ref="AG1627">INDEX('Deal Info'!G:G, MATCH(A1627,'Deal Info'!A:A, 0))</f>
        <v>None</v>
      </c>
    </row>
    <row r="1628" hidden="1">
      <c r="A1628" s="23" t="str">
        <f t="array" ref="A1628">if(G1628='Room Info'!$B$1, INDEX('Room Info'!$A$2:$A3446, MATCH(B1628,'Room Info'!$B$2:$B3446, 0)),if(G1628='Room Info'!$C$1, INDEX('Room Info'!$A$2:$A3446, MATCH(B1628,'Room Info'!$C$2:$C3446, 0)),if(G1628='Room Info'!$D$1, INDEX('Room Info'!$A$2:$A3446, MATCH(B1628,'Room Info'!$D$2:$D3446, 0)),if(G1628='Room Info'!$E$1, INDEX('Room Info'!$A$2:$A3446, MATCH(B1628,'Room Info'!$E$2:$E3446, 0)),if(G1628='Room Info'!$F$1, INDEX('Room Info'!$A$2:$A3446, MATCH(B1628,'Room Info'!$F$2:$F3446, 0)),if(G1628='Room Info'!$H$1, INDEX('Room Info'!$A$2:$A3446, MATCH(B1628,'Room Info'!$H$2:$H3446, 0)),if(G1628='Room Info'!$G$1, INDEX('Room Info'!$A$2:$A3446, MATCH(B1628,'Room Info'!$G$2:$G3446, 0)))))))))</f>
        <v>S1lense</v>
      </c>
      <c r="B1628" s="50" t="s">
        <v>169</v>
      </c>
      <c r="C1628" s="51">
        <v>44978.0</v>
      </c>
      <c r="D1628" s="51">
        <v>45005.0</v>
      </c>
      <c r="E1628" s="95">
        <v>44986.0</v>
      </c>
      <c r="F1628" s="53" t="s">
        <v>4</v>
      </c>
      <c r="G1628" s="70" t="s">
        <v>5</v>
      </c>
      <c r="H1628" s="54" t="s">
        <v>36</v>
      </c>
      <c r="I1628" s="59" t="s">
        <v>11</v>
      </c>
      <c r="J1628" s="44">
        <f t="shared" si="311"/>
        <v>5</v>
      </c>
      <c r="K1628" s="80">
        <v>68.0</v>
      </c>
      <c r="L1628" s="77">
        <v>60.0</v>
      </c>
      <c r="M1628" s="84"/>
      <c r="N1628" s="33">
        <f t="shared" si="276"/>
        <v>340</v>
      </c>
      <c r="O1628" s="50">
        <v>3437.0</v>
      </c>
      <c r="P1628" s="34">
        <f t="shared" si="277"/>
        <v>50.54411765</v>
      </c>
      <c r="Q1628" s="60"/>
      <c r="R1628" s="36">
        <f t="shared" si="312"/>
        <v>0</v>
      </c>
      <c r="S1628" s="102"/>
      <c r="T1628" s="37">
        <f t="shared" si="302"/>
        <v>0</v>
      </c>
      <c r="U1628" s="62">
        <v>1.071</v>
      </c>
      <c r="V1628" s="74">
        <v>8.816886726893676</v>
      </c>
      <c r="W1628" s="74">
        <v>57.27645320197044</v>
      </c>
      <c r="X1628" s="35">
        <f t="shared" si="303"/>
        <v>0.23</v>
      </c>
      <c r="Y1628" s="35">
        <f t="shared" si="304"/>
        <v>0</v>
      </c>
      <c r="Z1628" s="40">
        <f t="shared" si="305"/>
        <v>0</v>
      </c>
      <c r="AA1628" s="34">
        <f t="shared" si="306"/>
        <v>0</v>
      </c>
      <c r="AB1628" s="41">
        <f t="shared" si="307"/>
        <v>0</v>
      </c>
      <c r="AC1628" s="42" t="b">
        <v>0</v>
      </c>
      <c r="AD1628" s="87" t="str">
        <f t="shared" si="308"/>
        <v>USD</v>
      </c>
      <c r="AE1628" s="88" t="s">
        <v>138</v>
      </c>
      <c r="AF1628" s="88" t="str">
        <f t="array" ref="AF1628">INDEX('Deal Info'!D:D, MATCH(A1628,'Deal Info'!A:A, 0))</f>
        <v>DoEVs1</v>
      </c>
      <c r="AG1628" s="89" t="str">
        <f t="array" ref="AG1628">INDEX('Deal Info'!G:G, MATCH(A1628,'Deal Info'!A:A, 0))</f>
        <v>None</v>
      </c>
    </row>
    <row r="1629" hidden="1">
      <c r="A1629" s="23" t="str">
        <f t="array" ref="A1629">if(G1629='Room Info'!$B$1, INDEX('Room Info'!$A$2:$A3446, MATCH(B1629,'Room Info'!$B$2:$B3446, 0)),if(G1629='Room Info'!$C$1, INDEX('Room Info'!$A$2:$A3446, MATCH(B1629,'Room Info'!$C$2:$C3446, 0)),if(G1629='Room Info'!$D$1, INDEX('Room Info'!$A$2:$A3446, MATCH(B1629,'Room Info'!$D$2:$D3446, 0)),if(G1629='Room Info'!$E$1, INDEX('Room Info'!$A$2:$A3446, MATCH(B1629,'Room Info'!$E$2:$E3446, 0)),if(G1629='Room Info'!$F$1, INDEX('Room Info'!$A$2:$A3446, MATCH(B1629,'Room Info'!$F$2:$F3446, 0)),if(G1629='Room Info'!$H$1, INDEX('Room Info'!$A$2:$A3446, MATCH(B1629,'Room Info'!$H$2:$H3446, 0)),if(G1629='Room Info'!$G$1, INDEX('Room Info'!$A$2:$A3446, MATCH(B1629,'Room Info'!$G$2:$G3446, 0)))))))))</f>
        <v>S1lense</v>
      </c>
      <c r="B1629" s="50" t="s">
        <v>169</v>
      </c>
      <c r="C1629" s="51">
        <v>44978.0</v>
      </c>
      <c r="D1629" s="51">
        <v>45005.0</v>
      </c>
      <c r="E1629" s="95">
        <v>44986.0</v>
      </c>
      <c r="F1629" s="53" t="s">
        <v>4</v>
      </c>
      <c r="G1629" s="70" t="s">
        <v>5</v>
      </c>
      <c r="H1629" s="54" t="s">
        <v>45</v>
      </c>
      <c r="I1629" s="105" t="s">
        <v>7</v>
      </c>
      <c r="J1629" s="44">
        <f t="shared" si="311"/>
        <v>10</v>
      </c>
      <c r="K1629" s="56">
        <v>250.0</v>
      </c>
      <c r="L1629" s="57">
        <v>-310.0</v>
      </c>
      <c r="M1629" s="67"/>
      <c r="N1629" s="33">
        <f t="shared" si="276"/>
        <v>2500</v>
      </c>
      <c r="O1629" s="59">
        <v>-4759.0</v>
      </c>
      <c r="P1629" s="34">
        <f t="shared" si="277"/>
        <v>-19.036</v>
      </c>
      <c r="Q1629" s="60"/>
      <c r="R1629" s="36">
        <f t="shared" si="312"/>
        <v>0</v>
      </c>
      <c r="S1629" s="71"/>
      <c r="T1629" s="37">
        <f t="shared" si="302"/>
        <v>0</v>
      </c>
      <c r="U1629" s="62">
        <v>1.071</v>
      </c>
      <c r="V1629" s="74">
        <v>8.816886726893676</v>
      </c>
      <c r="W1629" s="74">
        <v>57.27645320197044</v>
      </c>
      <c r="X1629" s="35">
        <f t="shared" si="303"/>
        <v>0.23</v>
      </c>
      <c r="Y1629" s="35">
        <f t="shared" si="304"/>
        <v>0</v>
      </c>
      <c r="Z1629" s="40">
        <f t="shared" si="305"/>
        <v>0</v>
      </c>
      <c r="AA1629" s="34">
        <f t="shared" si="306"/>
        <v>0</v>
      </c>
      <c r="AB1629" s="41">
        <f t="shared" si="307"/>
        <v>0</v>
      </c>
      <c r="AC1629" s="42" t="b">
        <v>0</v>
      </c>
      <c r="AD1629" s="87" t="str">
        <f t="shared" si="308"/>
        <v>USD</v>
      </c>
      <c r="AE1629" s="88" t="s">
        <v>138</v>
      </c>
      <c r="AF1629" s="88" t="str">
        <f t="array" ref="AF1629">INDEX('Deal Info'!D:D, MATCH(A1629,'Deal Info'!A:A, 0))</f>
        <v>DoEVs1</v>
      </c>
      <c r="AG1629" s="89" t="str">
        <f t="array" ref="AG1629">INDEX('Deal Info'!G:G, MATCH(A1629,'Deal Info'!A:A, 0))</f>
        <v>None</v>
      </c>
    </row>
    <row r="1630" hidden="1">
      <c r="A1630" s="23" t="str">
        <f t="array" ref="A1630">if(G1630='Room Info'!$B$1, INDEX('Room Info'!$A$2:$A3446, MATCH(B1630,'Room Info'!$B$2:$B3446, 0)),if(G1630='Room Info'!$C$1, INDEX('Room Info'!$A$2:$A3446, MATCH(B1630,'Room Info'!$C$2:$C3446, 0)),if(G1630='Room Info'!$D$1, INDEX('Room Info'!$A$2:$A3446, MATCH(B1630,'Room Info'!$D$2:$D3446, 0)),if(G1630='Room Info'!$E$1, INDEX('Room Info'!$A$2:$A3446, MATCH(B1630,'Room Info'!$E$2:$E3446, 0)),if(G1630='Room Info'!$F$1, INDEX('Room Info'!$A$2:$A3446, MATCH(B1630,'Room Info'!$F$2:$F3446, 0)),if(G1630='Room Info'!$H$1, INDEX('Room Info'!$A$2:$A3446, MATCH(B1630,'Room Info'!$H$2:$H3446, 0)),if(G1630='Room Info'!$G$1, INDEX('Room Info'!$A$2:$A3446, MATCH(B1630,'Room Info'!$G$2:$G3446, 0)))))))))</f>
        <v>S1lense</v>
      </c>
      <c r="B1630" s="50" t="s">
        <v>169</v>
      </c>
      <c r="C1630" s="51">
        <v>44978.0</v>
      </c>
      <c r="D1630" s="51">
        <v>45005.0</v>
      </c>
      <c r="E1630" s="95">
        <v>44986.0</v>
      </c>
      <c r="F1630" s="53" t="s">
        <v>4</v>
      </c>
      <c r="G1630" s="70" t="s">
        <v>5</v>
      </c>
      <c r="H1630" s="96" t="s">
        <v>48</v>
      </c>
      <c r="I1630" s="59" t="s">
        <v>11</v>
      </c>
      <c r="J1630" s="44">
        <f t="shared" si="311"/>
        <v>10</v>
      </c>
      <c r="K1630" s="56">
        <v>1947.0</v>
      </c>
      <c r="L1630" s="57">
        <v>-780.0</v>
      </c>
      <c r="M1630" s="67"/>
      <c r="N1630" s="33">
        <f t="shared" si="276"/>
        <v>19470</v>
      </c>
      <c r="O1630" s="59">
        <v>16021.0</v>
      </c>
      <c r="P1630" s="34">
        <f t="shared" si="277"/>
        <v>8.228556754</v>
      </c>
      <c r="Q1630" s="60"/>
      <c r="R1630" s="36">
        <f t="shared" si="312"/>
        <v>0</v>
      </c>
      <c r="S1630" s="71"/>
      <c r="T1630" s="37">
        <f t="shared" si="302"/>
        <v>0</v>
      </c>
      <c r="U1630" s="62">
        <v>1.071</v>
      </c>
      <c r="V1630" s="74">
        <v>8.816886726893676</v>
      </c>
      <c r="W1630" s="74">
        <v>57.27645320197044</v>
      </c>
      <c r="X1630" s="35">
        <f t="shared" si="303"/>
        <v>0.23</v>
      </c>
      <c r="Y1630" s="35">
        <f t="shared" si="304"/>
        <v>0</v>
      </c>
      <c r="Z1630" s="40">
        <f t="shared" si="305"/>
        <v>0</v>
      </c>
      <c r="AA1630" s="34">
        <f t="shared" si="306"/>
        <v>0</v>
      </c>
      <c r="AB1630" s="41">
        <f t="shared" si="307"/>
        <v>0</v>
      </c>
      <c r="AC1630" s="42" t="b">
        <v>0</v>
      </c>
      <c r="AD1630" s="87" t="str">
        <f t="shared" si="308"/>
        <v>USD</v>
      </c>
      <c r="AE1630" s="88" t="s">
        <v>138</v>
      </c>
      <c r="AF1630" s="88" t="str">
        <f t="array" ref="AF1630">INDEX('Deal Info'!D:D, MATCH(A1630,'Deal Info'!A:A, 0))</f>
        <v>DoEVs1</v>
      </c>
      <c r="AG1630" s="89" t="str">
        <f t="array" ref="AG1630">INDEX('Deal Info'!G:G, MATCH(A1630,'Deal Info'!A:A, 0))</f>
        <v>None</v>
      </c>
    </row>
    <row r="1631" hidden="1">
      <c r="A1631" s="23" t="str">
        <f t="array" ref="A1631">if(G1631='Room Info'!$B$1, INDEX('Room Info'!$A$2:$A3446, MATCH(B1631,'Room Info'!$B$2:$B3446, 0)),if(G1631='Room Info'!$C$1, INDEX('Room Info'!$A$2:$A3446, MATCH(B1631,'Room Info'!$C$2:$C3446, 0)),if(G1631='Room Info'!$D$1, INDEX('Room Info'!$A$2:$A3446, MATCH(B1631,'Room Info'!$D$2:$D3446, 0)),if(G1631='Room Info'!$E$1, INDEX('Room Info'!$A$2:$A3446, MATCH(B1631,'Room Info'!$E$2:$E3446, 0)),if(G1631='Room Info'!$F$1, INDEX('Room Info'!$A$2:$A3446, MATCH(B1631,'Room Info'!$F$2:$F3446, 0)),if(G1631='Room Info'!$H$1, INDEX('Room Info'!$A$2:$A3446, MATCH(B1631,'Room Info'!$H$2:$H3446, 0)),if(G1631='Room Info'!$G$1, INDEX('Room Info'!$A$2:$A3446, MATCH(B1631,'Room Info'!$G$2:$G3446, 0)))))))))</f>
        <v>S1lense</v>
      </c>
      <c r="B1631" s="50" t="s">
        <v>239</v>
      </c>
      <c r="C1631" s="51">
        <v>44978.0</v>
      </c>
      <c r="D1631" s="51">
        <v>45005.0</v>
      </c>
      <c r="E1631" s="95">
        <v>44986.0</v>
      </c>
      <c r="F1631" s="53" t="s">
        <v>4</v>
      </c>
      <c r="G1631" s="50" t="s">
        <v>13</v>
      </c>
      <c r="H1631" s="96" t="s">
        <v>34</v>
      </c>
      <c r="I1631" s="59" t="s">
        <v>18</v>
      </c>
      <c r="J1631" s="44">
        <f t="shared" si="311"/>
        <v>5</v>
      </c>
      <c r="K1631" s="56">
        <v>61.0</v>
      </c>
      <c r="L1631" s="57">
        <v>-85.0</v>
      </c>
      <c r="M1631" s="67"/>
      <c r="N1631" s="33">
        <f t="shared" si="276"/>
        <v>305</v>
      </c>
      <c r="O1631" s="59">
        <v>77.0</v>
      </c>
      <c r="P1631" s="34">
        <f t="shared" si="277"/>
        <v>1.262295082</v>
      </c>
      <c r="Q1631" s="60"/>
      <c r="R1631" s="36">
        <f t="shared" si="312"/>
        <v>0</v>
      </c>
      <c r="S1631" s="71"/>
      <c r="T1631" s="37">
        <f t="shared" si="302"/>
        <v>0</v>
      </c>
      <c r="U1631" s="62">
        <v>1.071</v>
      </c>
      <c r="V1631" s="74">
        <v>8.816886726893676</v>
      </c>
      <c r="W1631" s="74">
        <v>57.27645320197044</v>
      </c>
      <c r="X1631" s="35">
        <f t="shared" si="303"/>
        <v>0.23</v>
      </c>
      <c r="Y1631" s="35">
        <f t="shared" si="304"/>
        <v>0</v>
      </c>
      <c r="Z1631" s="40">
        <f t="shared" si="305"/>
        <v>0</v>
      </c>
      <c r="AA1631" s="34">
        <f t="shared" si="306"/>
        <v>0</v>
      </c>
      <c r="AB1631" s="41">
        <f t="shared" si="307"/>
        <v>0</v>
      </c>
      <c r="AC1631" s="42" t="b">
        <v>0</v>
      </c>
      <c r="AD1631" s="87" t="str">
        <f t="shared" si="308"/>
        <v>USD</v>
      </c>
      <c r="AE1631" s="88" t="s">
        <v>138</v>
      </c>
      <c r="AF1631" s="88" t="str">
        <f t="array" ref="AF1631">INDEX('Deal Info'!D:D, MATCH(A1631,'Deal Info'!A:A, 0))</f>
        <v>DoEVs1</v>
      </c>
      <c r="AG1631" s="89" t="str">
        <f t="array" ref="AG1631">INDEX('Deal Info'!G:G, MATCH(A1631,'Deal Info'!A:A, 0))</f>
        <v>None</v>
      </c>
    </row>
    <row r="1632" hidden="1">
      <c r="A1632" s="23" t="str">
        <f t="array" ref="A1632">if(G1632='Room Info'!$B$1, INDEX('Room Info'!$A$2:$A3446, MATCH(B1632,'Room Info'!$B$2:$B3446, 0)),if(G1632='Room Info'!$C$1, INDEX('Room Info'!$A$2:$A3446, MATCH(B1632,'Room Info'!$C$2:$C3446, 0)),if(G1632='Room Info'!$D$1, INDEX('Room Info'!$A$2:$A3446, MATCH(B1632,'Room Info'!$D$2:$D3446, 0)),if(G1632='Room Info'!$E$1, INDEX('Room Info'!$A$2:$A3446, MATCH(B1632,'Room Info'!$E$2:$E3446, 0)),if(G1632='Room Info'!$F$1, INDEX('Room Info'!$A$2:$A3446, MATCH(B1632,'Room Info'!$F$2:$F3446, 0)),if(G1632='Room Info'!$H$1, INDEX('Room Info'!$A$2:$A3446, MATCH(B1632,'Room Info'!$H$2:$H3446, 0)),if(G1632='Room Info'!$G$1, INDEX('Room Info'!$A$2:$A3446, MATCH(B1632,'Room Info'!$G$2:$G3446, 0)))))))))</f>
        <v>Night Kin9</v>
      </c>
      <c r="B1632" s="135" t="s">
        <v>205</v>
      </c>
      <c r="C1632" s="51">
        <v>44978.0</v>
      </c>
      <c r="D1632" s="51">
        <v>45005.0</v>
      </c>
      <c r="E1632" s="95">
        <v>44986.0</v>
      </c>
      <c r="F1632" s="101" t="s">
        <v>12</v>
      </c>
      <c r="G1632" s="70" t="s">
        <v>5</v>
      </c>
      <c r="H1632" s="96" t="s">
        <v>23</v>
      </c>
      <c r="I1632" s="59" t="s">
        <v>11</v>
      </c>
      <c r="J1632" s="44">
        <f t="shared" si="311"/>
        <v>1</v>
      </c>
      <c r="K1632" s="56">
        <v>1.0</v>
      </c>
      <c r="L1632" s="57">
        <v>-1.0</v>
      </c>
      <c r="M1632" s="58">
        <v>5725.0</v>
      </c>
      <c r="N1632" s="33">
        <f t="shared" si="276"/>
        <v>1</v>
      </c>
      <c r="O1632" s="70"/>
      <c r="P1632" s="34">
        <f t="shared" si="277"/>
        <v>0</v>
      </c>
      <c r="Q1632" s="60"/>
      <c r="R1632" s="36">
        <f t="shared" si="312"/>
        <v>5725</v>
      </c>
      <c r="S1632" s="61">
        <v>-7717.0</v>
      </c>
      <c r="T1632" s="37">
        <f t="shared" si="302"/>
        <v>5724</v>
      </c>
      <c r="U1632" s="62">
        <v>1.071</v>
      </c>
      <c r="V1632" s="74">
        <v>26.776094759511846</v>
      </c>
      <c r="W1632" s="74">
        <v>-74.43206404444075</v>
      </c>
      <c r="X1632" s="35">
        <f t="shared" si="303"/>
        <v>0.3</v>
      </c>
      <c r="Y1632" s="35">
        <f t="shared" si="304"/>
        <v>0</v>
      </c>
      <c r="Z1632" s="40">
        <f t="shared" si="305"/>
        <v>4006.8</v>
      </c>
      <c r="AA1632" s="34">
        <f t="shared" si="306"/>
        <v>1717.2</v>
      </c>
      <c r="AB1632" s="41">
        <f t="shared" si="307"/>
        <v>0</v>
      </c>
      <c r="AC1632" s="42" t="b">
        <v>0</v>
      </c>
      <c r="AD1632" s="87" t="str">
        <f t="shared" si="308"/>
        <v>USD</v>
      </c>
      <c r="AE1632" s="88" t="s">
        <v>138</v>
      </c>
      <c r="AF1632" s="88" t="str">
        <f t="array" ref="AF1632">INDEX('Deal Info'!D:D, MATCH(A1632,'Deal Info'!A:A, 0))</f>
        <v>DoEVni</v>
      </c>
      <c r="AG1632" s="89" t="str">
        <f t="array" ref="AG1632">INDEX('Deal Info'!G:G, MATCH(A1632,'Deal Info'!A:A, 0))</f>
        <v>None</v>
      </c>
    </row>
    <row r="1633" hidden="1">
      <c r="A1633" s="23" t="str">
        <f t="array" ref="A1633">if(G1633='Room Info'!$B$1, INDEX('Room Info'!$A$2:$A3446, MATCH(B1633,'Room Info'!$B$2:$B3446, 0)),if(G1633='Room Info'!$C$1, INDEX('Room Info'!$A$2:$A3446, MATCH(B1633,'Room Info'!$C$2:$C3446, 0)),if(G1633='Room Info'!$D$1, INDEX('Room Info'!$A$2:$A3446, MATCH(B1633,'Room Info'!$D$2:$D3446, 0)),if(G1633='Room Info'!$E$1, INDEX('Room Info'!$A$2:$A3446, MATCH(B1633,'Room Info'!$E$2:$E3446, 0)),if(G1633='Room Info'!$F$1, INDEX('Room Info'!$A$2:$A3446, MATCH(B1633,'Room Info'!$F$2:$F3446, 0)),if(G1633='Room Info'!$H$1, INDEX('Room Info'!$A$2:$A3446, MATCH(B1633,'Room Info'!$H$2:$H3446, 0)),if(G1633='Room Info'!$G$1, INDEX('Room Info'!$A$2:$A3446, MATCH(B1633,'Room Info'!$G$2:$G3446, 0)))))))))</f>
        <v>Night Kin9</v>
      </c>
      <c r="B1633" s="135" t="s">
        <v>205</v>
      </c>
      <c r="C1633" s="51">
        <v>44978.0</v>
      </c>
      <c r="D1633" s="51">
        <v>45005.0</v>
      </c>
      <c r="E1633" s="95">
        <v>44986.0</v>
      </c>
      <c r="F1633" s="53" t="s">
        <v>4</v>
      </c>
      <c r="G1633" s="70" t="s">
        <v>5</v>
      </c>
      <c r="H1633" s="96" t="s">
        <v>48</v>
      </c>
      <c r="I1633" s="59" t="s">
        <v>11</v>
      </c>
      <c r="J1633" s="44">
        <f t="shared" si="311"/>
        <v>10</v>
      </c>
      <c r="K1633" s="56">
        <v>184.0</v>
      </c>
      <c r="L1633" s="57">
        <v>-390.0</v>
      </c>
      <c r="M1633" s="67"/>
      <c r="N1633" s="33">
        <f t="shared" si="276"/>
        <v>1840</v>
      </c>
      <c r="O1633" s="59">
        <v>1843.0</v>
      </c>
      <c r="P1633" s="34">
        <f t="shared" si="277"/>
        <v>10.01630435</v>
      </c>
      <c r="Q1633" s="60"/>
      <c r="R1633" s="36">
        <f t="shared" si="312"/>
        <v>0</v>
      </c>
      <c r="S1633" s="71"/>
      <c r="T1633" s="37">
        <f t="shared" si="302"/>
        <v>0</v>
      </c>
      <c r="U1633" s="62">
        <v>1.071</v>
      </c>
      <c r="V1633" s="74">
        <v>26.776094759511846</v>
      </c>
      <c r="W1633" s="74">
        <v>-74.43206404444075</v>
      </c>
      <c r="X1633" s="35">
        <f t="shared" si="303"/>
        <v>0.3</v>
      </c>
      <c r="Y1633" s="35">
        <f t="shared" si="304"/>
        <v>0</v>
      </c>
      <c r="Z1633" s="40">
        <f t="shared" si="305"/>
        <v>0</v>
      </c>
      <c r="AA1633" s="34">
        <f t="shared" si="306"/>
        <v>0</v>
      </c>
      <c r="AB1633" s="41">
        <f t="shared" si="307"/>
        <v>0</v>
      </c>
      <c r="AC1633" s="42" t="b">
        <v>0</v>
      </c>
      <c r="AD1633" s="87" t="str">
        <f t="shared" si="308"/>
        <v>USD</v>
      </c>
      <c r="AE1633" s="88" t="s">
        <v>138</v>
      </c>
      <c r="AF1633" s="88" t="str">
        <f t="array" ref="AF1633">INDEX('Deal Info'!D:D, MATCH(A1633,'Deal Info'!A:A, 0))</f>
        <v>DoEVni</v>
      </c>
      <c r="AG1633" s="89" t="str">
        <f t="array" ref="AG1633">INDEX('Deal Info'!G:G, MATCH(A1633,'Deal Info'!A:A, 0))</f>
        <v>None</v>
      </c>
    </row>
    <row r="1634" hidden="1">
      <c r="A1634" s="23" t="str">
        <f t="array" ref="A1634">if(G1634='Room Info'!$B$1, INDEX('Room Info'!$A$2:$A3446, MATCH(B1634,'Room Info'!$B$2:$B3446, 0)),if(G1634='Room Info'!$C$1, INDEX('Room Info'!$A$2:$A3446, MATCH(B1634,'Room Info'!$C$2:$C3446, 0)),if(G1634='Room Info'!$D$1, INDEX('Room Info'!$A$2:$A3446, MATCH(B1634,'Room Info'!$D$2:$D3446, 0)),if(G1634='Room Info'!$E$1, INDEX('Room Info'!$A$2:$A3446, MATCH(B1634,'Room Info'!$E$2:$E3446, 0)),if(G1634='Room Info'!$F$1, INDEX('Room Info'!$A$2:$A3446, MATCH(B1634,'Room Info'!$F$2:$F3446, 0)),if(G1634='Room Info'!$H$1, INDEX('Room Info'!$A$2:$A3446, MATCH(B1634,'Room Info'!$H$2:$H3446, 0)),if(G1634='Room Info'!$G$1, INDEX('Room Info'!$A$2:$A3446, MATCH(B1634,'Room Info'!$G$2:$G3446, 0)))))))))</f>
        <v>Night Kin9</v>
      </c>
      <c r="B1634" s="135" t="s">
        <v>205</v>
      </c>
      <c r="C1634" s="51">
        <v>44978.0</v>
      </c>
      <c r="D1634" s="51">
        <v>45005.0</v>
      </c>
      <c r="E1634" s="95">
        <v>44986.0</v>
      </c>
      <c r="F1634" s="53" t="s">
        <v>4</v>
      </c>
      <c r="G1634" s="70" t="s">
        <v>5</v>
      </c>
      <c r="H1634" s="96" t="s">
        <v>63</v>
      </c>
      <c r="I1634" s="59" t="s">
        <v>11</v>
      </c>
      <c r="J1634" s="44">
        <f t="shared" si="311"/>
        <v>25</v>
      </c>
      <c r="K1634" s="56">
        <v>12644.0</v>
      </c>
      <c r="L1634" s="57">
        <v>-3625.0</v>
      </c>
      <c r="M1634" s="67"/>
      <c r="N1634" s="33">
        <f t="shared" si="276"/>
        <v>316100</v>
      </c>
      <c r="O1634" s="59">
        <v>186550.0</v>
      </c>
      <c r="P1634" s="34">
        <f t="shared" si="277"/>
        <v>14.75403353</v>
      </c>
      <c r="Q1634" s="60"/>
      <c r="R1634" s="36">
        <f t="shared" si="312"/>
        <v>0</v>
      </c>
      <c r="S1634" s="71"/>
      <c r="T1634" s="37">
        <f t="shared" si="302"/>
        <v>0</v>
      </c>
      <c r="U1634" s="62">
        <v>1.071</v>
      </c>
      <c r="V1634" s="74">
        <v>26.776094759511846</v>
      </c>
      <c r="W1634" s="74">
        <v>-74.43206404444075</v>
      </c>
      <c r="X1634" s="35">
        <f t="shared" si="303"/>
        <v>0.3</v>
      </c>
      <c r="Y1634" s="35">
        <f t="shared" si="304"/>
        <v>0</v>
      </c>
      <c r="Z1634" s="40">
        <f t="shared" si="305"/>
        <v>0</v>
      </c>
      <c r="AA1634" s="34">
        <f t="shared" si="306"/>
        <v>0</v>
      </c>
      <c r="AB1634" s="41">
        <f t="shared" si="307"/>
        <v>0</v>
      </c>
      <c r="AC1634" s="42" t="b">
        <v>0</v>
      </c>
      <c r="AD1634" s="87" t="str">
        <f t="shared" si="308"/>
        <v>USD</v>
      </c>
      <c r="AE1634" s="88" t="s">
        <v>138</v>
      </c>
      <c r="AF1634" s="88" t="str">
        <f t="array" ref="AF1634">INDEX('Deal Info'!D:D, MATCH(A1634,'Deal Info'!A:A, 0))</f>
        <v>DoEVni</v>
      </c>
      <c r="AG1634" s="89" t="str">
        <f t="array" ref="AG1634">INDEX('Deal Info'!G:G, MATCH(A1634,'Deal Info'!A:A, 0))</f>
        <v>None</v>
      </c>
    </row>
    <row r="1635" hidden="1">
      <c r="A1635" s="23" t="str">
        <f t="array" ref="A1635">if(G1635='Room Info'!$B$1, INDEX('Room Info'!$A$2:$A3446, MATCH(B1635,'Room Info'!$B$2:$B3446, 0)),if(G1635='Room Info'!$C$1, INDEX('Room Info'!$A$2:$A3446, MATCH(B1635,'Room Info'!$C$2:$C3446, 0)),if(G1635='Room Info'!$D$1, INDEX('Room Info'!$A$2:$A3446, MATCH(B1635,'Room Info'!$D$2:$D3446, 0)),if(G1635='Room Info'!$E$1, INDEX('Room Info'!$A$2:$A3446, MATCH(B1635,'Room Info'!$E$2:$E3446, 0)),if(G1635='Room Info'!$F$1, INDEX('Room Info'!$A$2:$A3446, MATCH(B1635,'Room Info'!$F$2:$F3446, 0)),if(G1635='Room Info'!$H$1, INDEX('Room Info'!$A$2:$A3446, MATCH(B1635,'Room Info'!$H$2:$H3446, 0)),if(G1635='Room Info'!$G$1, INDEX('Room Info'!$A$2:$A3446, MATCH(B1635,'Room Info'!$G$2:$G3446, 0)))))))))</f>
        <v>Night Kin9</v>
      </c>
      <c r="B1635" s="135" t="s">
        <v>205</v>
      </c>
      <c r="C1635" s="51">
        <v>44978.0</v>
      </c>
      <c r="D1635" s="51">
        <v>45005.0</v>
      </c>
      <c r="E1635" s="95">
        <v>44986.0</v>
      </c>
      <c r="F1635" s="53" t="s">
        <v>4</v>
      </c>
      <c r="G1635" s="70" t="s">
        <v>5</v>
      </c>
      <c r="H1635" s="96" t="s">
        <v>75</v>
      </c>
      <c r="I1635" s="59" t="s">
        <v>11</v>
      </c>
      <c r="J1635" s="44">
        <f t="shared" si="311"/>
        <v>50</v>
      </c>
      <c r="K1635" s="56">
        <v>1101.0</v>
      </c>
      <c r="L1635" s="57">
        <v>-5200.0</v>
      </c>
      <c r="M1635" s="67"/>
      <c r="N1635" s="33">
        <f t="shared" si="276"/>
        <v>55050</v>
      </c>
      <c r="O1635" s="59">
        <v>5054.0</v>
      </c>
      <c r="P1635" s="34">
        <f t="shared" si="277"/>
        <v>4.590372389</v>
      </c>
      <c r="Q1635" s="60"/>
      <c r="R1635" s="36">
        <f t="shared" si="312"/>
        <v>0</v>
      </c>
      <c r="S1635" s="71"/>
      <c r="T1635" s="37">
        <f t="shared" si="302"/>
        <v>0</v>
      </c>
      <c r="U1635" s="62">
        <v>1.071</v>
      </c>
      <c r="V1635" s="74">
        <v>26.776094759511846</v>
      </c>
      <c r="W1635" s="74">
        <v>-74.43206404444075</v>
      </c>
      <c r="X1635" s="35">
        <f t="shared" si="303"/>
        <v>0.3</v>
      </c>
      <c r="Y1635" s="35">
        <f t="shared" si="304"/>
        <v>0</v>
      </c>
      <c r="Z1635" s="40">
        <f t="shared" si="305"/>
        <v>0</v>
      </c>
      <c r="AA1635" s="34">
        <f t="shared" si="306"/>
        <v>0</v>
      </c>
      <c r="AB1635" s="41">
        <f t="shared" si="307"/>
        <v>0</v>
      </c>
      <c r="AC1635" s="42" t="b">
        <v>0</v>
      </c>
      <c r="AD1635" s="87" t="str">
        <f t="shared" si="308"/>
        <v>USD</v>
      </c>
      <c r="AE1635" s="88" t="s">
        <v>138</v>
      </c>
      <c r="AF1635" s="88" t="str">
        <f t="array" ref="AF1635">INDEX('Deal Info'!D:D, MATCH(A1635,'Deal Info'!A:A, 0))</f>
        <v>DoEVni</v>
      </c>
      <c r="AG1635" s="89" t="str">
        <f t="array" ref="AG1635">INDEX('Deal Info'!G:G, MATCH(A1635,'Deal Info'!A:A, 0))</f>
        <v>None</v>
      </c>
    </row>
    <row r="1636" hidden="1">
      <c r="A1636" s="23" t="b">
        <f t="array" ref="A1636">if(G1636='Room Info'!$B$1, INDEX('Room Info'!$A$2:$A3446, MATCH(B1636,'Room Info'!$B$2:$B3446, 0)),if(G1636='Room Info'!$C$1, INDEX('Room Info'!$A$2:$A3446, MATCH(B1636,'Room Info'!$C$2:$C3446, 0)),if(G1636='Room Info'!$D$1, INDEX('Room Info'!$A$2:$A3446, MATCH(B1636,'Room Info'!$D$2:$D3446, 0)),if(G1636='Room Info'!$E$1, INDEX('Room Info'!$A$2:$A3446, MATCH(B1636,'Room Info'!$E$2:$E3446, 0)),if(G1636='Room Info'!$F$1, INDEX('Room Info'!$A$2:$A3446, MATCH(B1636,'Room Info'!$F$2:$F3446, 0)),if(G1636='Room Info'!$H$1, INDEX('Room Info'!$A$2:$A3446, MATCH(B1636,'Room Info'!$H$2:$H3446, 0)),if(G1636='Room Info'!$G$1, INDEX('Room Info'!$A$2:$A3446, MATCH(B1636,'Room Info'!$G$2:$G3446, 0)))))))))</f>
        <v>0</v>
      </c>
      <c r="B1636" s="101"/>
      <c r="C1636" s="115"/>
      <c r="D1636" s="115"/>
      <c r="E1636" s="85"/>
      <c r="F1636" s="138"/>
      <c r="G1636" s="101"/>
      <c r="H1636" s="114"/>
      <c r="I1636" s="114"/>
      <c r="J1636" s="44" t="str">
        <f t="shared" si="311"/>
        <v/>
      </c>
      <c r="K1636" s="116"/>
      <c r="L1636" s="117"/>
      <c r="M1636" s="67"/>
      <c r="N1636" s="33">
        <f t="shared" si="276"/>
        <v>0</v>
      </c>
      <c r="O1636" s="70"/>
      <c r="P1636" s="34" t="str">
        <f t="shared" si="277"/>
        <v/>
      </c>
      <c r="Q1636" s="60"/>
      <c r="R1636" s="36">
        <f t="shared" si="312"/>
        <v>0</v>
      </c>
      <c r="S1636" s="71"/>
      <c r="T1636" s="37">
        <f t="shared" si="302"/>
        <v>0</v>
      </c>
      <c r="U1636" s="62"/>
      <c r="V1636" s="63"/>
      <c r="W1636" s="63"/>
      <c r="X1636" s="35" t="str">
        <f t="shared" si="303"/>
        <v>#N/A</v>
      </c>
      <c r="Y1636" s="35" t="str">
        <f t="shared" si="304"/>
        <v>#N/A</v>
      </c>
      <c r="Z1636" s="40" t="str">
        <f t="shared" si="305"/>
        <v>#N/A</v>
      </c>
      <c r="AA1636" s="34" t="str">
        <f t="shared" si="306"/>
        <v>#N/A</v>
      </c>
      <c r="AB1636" s="41" t="str">
        <f t="shared" si="307"/>
        <v>#N/A</v>
      </c>
      <c r="AC1636" s="42" t="b">
        <v>0</v>
      </c>
      <c r="AD1636" s="66" t="str">
        <f t="shared" si="308"/>
        <v>USD</v>
      </c>
      <c r="AE1636" s="42"/>
      <c r="AF1636" s="42" t="str">
        <f t="array" ref="AF1636">INDEX('Deal Info'!D:D, MATCH(A1636,'Deal Info'!A:A, 0))</f>
        <v>#N/A</v>
      </c>
      <c r="AG1636" s="43" t="str">
        <f t="array" ref="AG1636">INDEX('Deal Info'!G:G, MATCH(A1636,'Deal Info'!A:A, 0))</f>
        <v>#N/A</v>
      </c>
    </row>
    <row r="1637" hidden="1">
      <c r="A1637" s="23" t="b">
        <f t="array" ref="A1637">if(G1637='Room Info'!$B$1, INDEX('Room Info'!$A$2:$A3446, MATCH(B1637,'Room Info'!$B$2:$B3446, 0)),if(G1637='Room Info'!$C$1, INDEX('Room Info'!$A$2:$A3446, MATCH(B1637,'Room Info'!$C$2:$C3446, 0)),if(G1637='Room Info'!$D$1, INDEX('Room Info'!$A$2:$A3446, MATCH(B1637,'Room Info'!$D$2:$D3446, 0)),if(G1637='Room Info'!$E$1, INDEX('Room Info'!$A$2:$A3446, MATCH(B1637,'Room Info'!$E$2:$E3446, 0)),if(G1637='Room Info'!$F$1, INDEX('Room Info'!$A$2:$A3446, MATCH(B1637,'Room Info'!$F$2:$F3446, 0)),if(G1637='Room Info'!$H$1, INDEX('Room Info'!$A$2:$A3446, MATCH(B1637,'Room Info'!$H$2:$H3446, 0)),if(G1637='Room Info'!$G$1, INDEX('Room Info'!$A$2:$A3446, MATCH(B1637,'Room Info'!$G$2:$G3446, 0)))))))))</f>
        <v>0</v>
      </c>
      <c r="B1637" s="101"/>
      <c r="C1637" s="115"/>
      <c r="D1637" s="115"/>
      <c r="E1637" s="85"/>
      <c r="F1637" s="138"/>
      <c r="G1637" s="101"/>
      <c r="H1637" s="114"/>
      <c r="I1637" s="114"/>
      <c r="J1637" s="44" t="str">
        <f t="shared" si="311"/>
        <v/>
      </c>
      <c r="K1637" s="116"/>
      <c r="L1637" s="117"/>
      <c r="M1637" s="67"/>
      <c r="N1637" s="33">
        <f t="shared" si="276"/>
        <v>0</v>
      </c>
      <c r="O1637" s="70"/>
      <c r="P1637" s="34" t="str">
        <f t="shared" si="277"/>
        <v/>
      </c>
      <c r="Q1637" s="60"/>
      <c r="R1637" s="36">
        <f t="shared" si="312"/>
        <v>0</v>
      </c>
      <c r="S1637" s="71"/>
      <c r="T1637" s="37">
        <f t="shared" si="302"/>
        <v>0</v>
      </c>
      <c r="U1637" s="62"/>
      <c r="V1637" s="63"/>
      <c r="W1637" s="63"/>
      <c r="X1637" s="35" t="str">
        <f t="shared" si="303"/>
        <v>#N/A</v>
      </c>
      <c r="Y1637" s="35" t="str">
        <f t="shared" si="304"/>
        <v>#N/A</v>
      </c>
      <c r="Z1637" s="40" t="str">
        <f t="shared" si="305"/>
        <v>#N/A</v>
      </c>
      <c r="AA1637" s="34" t="str">
        <f t="shared" si="306"/>
        <v>#N/A</v>
      </c>
      <c r="AB1637" s="41" t="str">
        <f t="shared" si="307"/>
        <v>#N/A</v>
      </c>
      <c r="AC1637" s="42" t="b">
        <v>0</v>
      </c>
      <c r="AD1637" s="66" t="str">
        <f t="shared" si="308"/>
        <v>USD</v>
      </c>
      <c r="AE1637" s="42"/>
      <c r="AF1637" s="42" t="str">
        <f t="array" ref="AF1637">INDEX('Deal Info'!D:D, MATCH(A1637,'Deal Info'!A:A, 0))</f>
        <v>#N/A</v>
      </c>
      <c r="AG1637" s="43" t="str">
        <f t="array" ref="AG1637">INDEX('Deal Info'!G:G, MATCH(A1637,'Deal Info'!A:A, 0))</f>
        <v>#N/A</v>
      </c>
    </row>
    <row r="1638" hidden="1">
      <c r="A1638" s="23" t="b">
        <f t="array" ref="A1638">if(G1638='Room Info'!$B$1, INDEX('Room Info'!$A$2:$A3446, MATCH(B1638,'Room Info'!$B$2:$B3446, 0)),if(G1638='Room Info'!$C$1, INDEX('Room Info'!$A$2:$A3446, MATCH(B1638,'Room Info'!$C$2:$C3446, 0)),if(G1638='Room Info'!$D$1, INDEX('Room Info'!$A$2:$A3446, MATCH(B1638,'Room Info'!$D$2:$D3446, 0)),if(G1638='Room Info'!$E$1, INDEX('Room Info'!$A$2:$A3446, MATCH(B1638,'Room Info'!$E$2:$E3446, 0)),if(G1638='Room Info'!$F$1, INDEX('Room Info'!$A$2:$A3446, MATCH(B1638,'Room Info'!$F$2:$F3446, 0)),if(G1638='Room Info'!$H$1, INDEX('Room Info'!$A$2:$A3446, MATCH(B1638,'Room Info'!$H$2:$H3446, 0)),if(G1638='Room Info'!$G$1, INDEX('Room Info'!$A$2:$A3446, MATCH(B1638,'Room Info'!$G$2:$G3446, 0)))))))))</f>
        <v>0</v>
      </c>
      <c r="B1638" s="101"/>
      <c r="C1638" s="115"/>
      <c r="D1638" s="115"/>
      <c r="E1638" s="85"/>
      <c r="F1638" s="138"/>
      <c r="G1638" s="101"/>
      <c r="H1638" s="114"/>
      <c r="I1638" s="114"/>
      <c r="J1638" s="44" t="str">
        <f t="shared" si="311"/>
        <v/>
      </c>
      <c r="K1638" s="116"/>
      <c r="L1638" s="117"/>
      <c r="M1638" s="67"/>
      <c r="N1638" s="33">
        <f t="shared" si="276"/>
        <v>0</v>
      </c>
      <c r="O1638" s="70"/>
      <c r="P1638" s="34" t="str">
        <f t="shared" si="277"/>
        <v/>
      </c>
      <c r="Q1638" s="60"/>
      <c r="R1638" s="36">
        <f t="shared" si="312"/>
        <v>0</v>
      </c>
      <c r="S1638" s="71"/>
      <c r="T1638" s="37">
        <f t="shared" si="302"/>
        <v>0</v>
      </c>
      <c r="U1638" s="62"/>
      <c r="V1638" s="63"/>
      <c r="W1638" s="63"/>
      <c r="X1638" s="35" t="str">
        <f t="shared" si="303"/>
        <v>#N/A</v>
      </c>
      <c r="Y1638" s="35" t="str">
        <f t="shared" si="304"/>
        <v>#N/A</v>
      </c>
      <c r="Z1638" s="40" t="str">
        <f t="shared" si="305"/>
        <v>#N/A</v>
      </c>
      <c r="AA1638" s="34" t="str">
        <f t="shared" si="306"/>
        <v>#N/A</v>
      </c>
      <c r="AB1638" s="41" t="str">
        <f t="shared" si="307"/>
        <v>#N/A</v>
      </c>
      <c r="AC1638" s="42" t="b">
        <v>0</v>
      </c>
      <c r="AD1638" s="66" t="str">
        <f t="shared" si="308"/>
        <v>USD</v>
      </c>
      <c r="AE1638" s="42"/>
      <c r="AF1638" s="42" t="str">
        <f t="array" ref="AF1638">INDEX('Deal Info'!D:D, MATCH(A1638,'Deal Info'!A:A, 0))</f>
        <v>#N/A</v>
      </c>
      <c r="AG1638" s="43" t="str">
        <f t="array" ref="AG1638">INDEX('Deal Info'!G:G, MATCH(A1638,'Deal Info'!A:A, 0))</f>
        <v>#N/A</v>
      </c>
    </row>
    <row r="1639" hidden="1">
      <c r="A1639" s="23" t="b">
        <f t="array" ref="A1639">if(G1639='Room Info'!$B$1, INDEX('Room Info'!$A$2:$A3446, MATCH(B1639,'Room Info'!$B$2:$B3446, 0)),if(G1639='Room Info'!$C$1, INDEX('Room Info'!$A$2:$A3446, MATCH(B1639,'Room Info'!$C$2:$C3446, 0)),if(G1639='Room Info'!$D$1, INDEX('Room Info'!$A$2:$A3446, MATCH(B1639,'Room Info'!$D$2:$D3446, 0)),if(G1639='Room Info'!$E$1, INDEX('Room Info'!$A$2:$A3446, MATCH(B1639,'Room Info'!$E$2:$E3446, 0)),if(G1639='Room Info'!$F$1, INDEX('Room Info'!$A$2:$A3446, MATCH(B1639,'Room Info'!$F$2:$F3446, 0)),if(G1639='Room Info'!$H$1, INDEX('Room Info'!$A$2:$A3446, MATCH(B1639,'Room Info'!$H$2:$H3446, 0)),if(G1639='Room Info'!$G$1, INDEX('Room Info'!$A$2:$A3446, MATCH(B1639,'Room Info'!$G$2:$G3446, 0)))))))))</f>
        <v>0</v>
      </c>
      <c r="B1639" s="101"/>
      <c r="C1639" s="115"/>
      <c r="D1639" s="115"/>
      <c r="E1639" s="85"/>
      <c r="F1639" s="138"/>
      <c r="G1639" s="101"/>
      <c r="H1639" s="114"/>
      <c r="I1639" s="114"/>
      <c r="J1639" s="44" t="str">
        <f t="shared" si="311"/>
        <v/>
      </c>
      <c r="K1639" s="116"/>
      <c r="L1639" s="117"/>
      <c r="M1639" s="67"/>
      <c r="N1639" s="33">
        <f t="shared" si="276"/>
        <v>0</v>
      </c>
      <c r="O1639" s="70"/>
      <c r="P1639" s="34" t="str">
        <f t="shared" si="277"/>
        <v/>
      </c>
      <c r="Q1639" s="60"/>
      <c r="R1639" s="36">
        <f t="shared" si="312"/>
        <v>0</v>
      </c>
      <c r="S1639" s="71"/>
      <c r="T1639" s="37">
        <f t="shared" si="302"/>
        <v>0</v>
      </c>
      <c r="U1639" s="62"/>
      <c r="V1639" s="63"/>
      <c r="W1639" s="63"/>
      <c r="X1639" s="35" t="str">
        <f t="shared" si="303"/>
        <v>#N/A</v>
      </c>
      <c r="Y1639" s="35" t="str">
        <f t="shared" si="304"/>
        <v>#N/A</v>
      </c>
      <c r="Z1639" s="40" t="str">
        <f t="shared" si="305"/>
        <v>#N/A</v>
      </c>
      <c r="AA1639" s="34" t="str">
        <f t="shared" si="306"/>
        <v>#N/A</v>
      </c>
      <c r="AB1639" s="41" t="str">
        <f t="shared" si="307"/>
        <v>#N/A</v>
      </c>
      <c r="AC1639" s="42" t="b">
        <v>0</v>
      </c>
      <c r="AD1639" s="66" t="str">
        <f t="shared" si="308"/>
        <v>USD</v>
      </c>
      <c r="AE1639" s="42"/>
      <c r="AF1639" s="42" t="str">
        <f t="array" ref="AF1639">INDEX('Deal Info'!D:D, MATCH(A1639,'Deal Info'!A:A, 0))</f>
        <v>#N/A</v>
      </c>
      <c r="AG1639" s="43" t="str">
        <f t="array" ref="AG1639">INDEX('Deal Info'!G:G, MATCH(A1639,'Deal Info'!A:A, 0))</f>
        <v>#N/A</v>
      </c>
    </row>
    <row r="1640" hidden="1">
      <c r="A1640" s="23" t="b">
        <f t="array" ref="A1640">if(G1640='Room Info'!$B$1, INDEX('Room Info'!$A$2:$A3446, MATCH(B1640,'Room Info'!$B$2:$B3446, 0)),if(G1640='Room Info'!$C$1, INDEX('Room Info'!$A$2:$A3446, MATCH(B1640,'Room Info'!$C$2:$C3446, 0)),if(G1640='Room Info'!$D$1, INDEX('Room Info'!$A$2:$A3446, MATCH(B1640,'Room Info'!$D$2:$D3446, 0)),if(G1640='Room Info'!$E$1, INDEX('Room Info'!$A$2:$A3446, MATCH(B1640,'Room Info'!$E$2:$E3446, 0)),if(G1640='Room Info'!$F$1, INDEX('Room Info'!$A$2:$A3446, MATCH(B1640,'Room Info'!$F$2:$F3446, 0)),if(G1640='Room Info'!$H$1, INDEX('Room Info'!$A$2:$A3446, MATCH(B1640,'Room Info'!$H$2:$H3446, 0)),if(G1640='Room Info'!$G$1, INDEX('Room Info'!$A$2:$A3446, MATCH(B1640,'Room Info'!$G$2:$G3446, 0)))))))))</f>
        <v>0</v>
      </c>
      <c r="B1640" s="101"/>
      <c r="C1640" s="115"/>
      <c r="D1640" s="115"/>
      <c r="E1640" s="85"/>
      <c r="F1640" s="138"/>
      <c r="G1640" s="101"/>
      <c r="H1640" s="114"/>
      <c r="I1640" s="114"/>
      <c r="J1640" s="44" t="str">
        <f t="shared" si="311"/>
        <v/>
      </c>
      <c r="K1640" s="116"/>
      <c r="L1640" s="117"/>
      <c r="M1640" s="67"/>
      <c r="N1640" s="33">
        <f t="shared" si="276"/>
        <v>0</v>
      </c>
      <c r="O1640" s="70"/>
      <c r="P1640" s="34" t="str">
        <f t="shared" si="277"/>
        <v/>
      </c>
      <c r="Q1640" s="60"/>
      <c r="R1640" s="36">
        <f t="shared" si="312"/>
        <v>0</v>
      </c>
      <c r="S1640" s="71"/>
      <c r="T1640" s="37">
        <f t="shared" si="302"/>
        <v>0</v>
      </c>
      <c r="U1640" s="62"/>
      <c r="V1640" s="63"/>
      <c r="W1640" s="63"/>
      <c r="X1640" s="35" t="str">
        <f t="shared" si="303"/>
        <v>#N/A</v>
      </c>
      <c r="Y1640" s="35" t="str">
        <f t="shared" si="304"/>
        <v>#N/A</v>
      </c>
      <c r="Z1640" s="40" t="str">
        <f t="shared" si="305"/>
        <v>#N/A</v>
      </c>
      <c r="AA1640" s="34" t="str">
        <f t="shared" si="306"/>
        <v>#N/A</v>
      </c>
      <c r="AB1640" s="41" t="str">
        <f t="shared" si="307"/>
        <v>#N/A</v>
      </c>
      <c r="AC1640" s="42" t="b">
        <v>0</v>
      </c>
      <c r="AD1640" s="66" t="str">
        <f t="shared" si="308"/>
        <v>USD</v>
      </c>
      <c r="AE1640" s="42"/>
      <c r="AF1640" s="42" t="str">
        <f t="array" ref="AF1640">INDEX('Deal Info'!D:D, MATCH(A1640,'Deal Info'!A:A, 0))</f>
        <v>#N/A</v>
      </c>
      <c r="AG1640" s="43" t="str">
        <f t="array" ref="AG1640">INDEX('Deal Info'!G:G, MATCH(A1640,'Deal Info'!A:A, 0))</f>
        <v>#N/A</v>
      </c>
    </row>
    <row r="1641" hidden="1">
      <c r="A1641" s="23" t="b">
        <f t="array" ref="A1641">if(G1641='Room Info'!$B$1, INDEX('Room Info'!$A$2:$A3446, MATCH(B1641,'Room Info'!$B$2:$B3446, 0)),if(G1641='Room Info'!$C$1, INDEX('Room Info'!$A$2:$A3446, MATCH(B1641,'Room Info'!$C$2:$C3446, 0)),if(G1641='Room Info'!$D$1, INDEX('Room Info'!$A$2:$A3446, MATCH(B1641,'Room Info'!$D$2:$D3446, 0)),if(G1641='Room Info'!$E$1, INDEX('Room Info'!$A$2:$A3446, MATCH(B1641,'Room Info'!$E$2:$E3446, 0)),if(G1641='Room Info'!$F$1, INDEX('Room Info'!$A$2:$A3446, MATCH(B1641,'Room Info'!$F$2:$F3446, 0)),if(G1641='Room Info'!$H$1, INDEX('Room Info'!$A$2:$A3446, MATCH(B1641,'Room Info'!$H$2:$H3446, 0)),if(G1641='Room Info'!$G$1, INDEX('Room Info'!$A$2:$A3446, MATCH(B1641,'Room Info'!$G$2:$G3446, 0)))))))))</f>
        <v>0</v>
      </c>
      <c r="B1641" s="101"/>
      <c r="C1641" s="115"/>
      <c r="D1641" s="115"/>
      <c r="E1641" s="85"/>
      <c r="F1641" s="138"/>
      <c r="G1641" s="101"/>
      <c r="H1641" s="114"/>
      <c r="I1641" s="114"/>
      <c r="J1641" s="44" t="str">
        <f t="shared" si="311"/>
        <v/>
      </c>
      <c r="K1641" s="116"/>
      <c r="L1641" s="117"/>
      <c r="M1641" s="67"/>
      <c r="N1641" s="33">
        <f t="shared" si="276"/>
        <v>0</v>
      </c>
      <c r="O1641" s="70"/>
      <c r="P1641" s="34" t="str">
        <f t="shared" si="277"/>
        <v/>
      </c>
      <c r="Q1641" s="60"/>
      <c r="R1641" s="36">
        <f t="shared" si="312"/>
        <v>0</v>
      </c>
      <c r="S1641" s="71"/>
      <c r="T1641" s="37">
        <f t="shared" si="302"/>
        <v>0</v>
      </c>
      <c r="U1641" s="62"/>
      <c r="V1641" s="63"/>
      <c r="W1641" s="63"/>
      <c r="X1641" s="35" t="str">
        <f t="shared" si="303"/>
        <v>#N/A</v>
      </c>
      <c r="Y1641" s="35" t="str">
        <f t="shared" si="304"/>
        <v>#N/A</v>
      </c>
      <c r="Z1641" s="40" t="str">
        <f t="shared" si="305"/>
        <v>#N/A</v>
      </c>
      <c r="AA1641" s="34" t="str">
        <f t="shared" si="306"/>
        <v>#N/A</v>
      </c>
      <c r="AB1641" s="41" t="str">
        <f t="shared" si="307"/>
        <v>#N/A</v>
      </c>
      <c r="AC1641" s="42" t="b">
        <v>0</v>
      </c>
      <c r="AD1641" s="66" t="str">
        <f t="shared" si="308"/>
        <v>USD</v>
      </c>
      <c r="AE1641" s="42"/>
      <c r="AF1641" s="42" t="str">
        <f t="array" ref="AF1641">INDEX('Deal Info'!D:D, MATCH(A1641,'Deal Info'!A:A, 0))</f>
        <v>#N/A</v>
      </c>
      <c r="AG1641" s="43" t="str">
        <f t="array" ref="AG1641">INDEX('Deal Info'!G:G, MATCH(A1641,'Deal Info'!A:A, 0))</f>
        <v>#N/A</v>
      </c>
    </row>
    <row r="1642" hidden="1">
      <c r="A1642" s="23" t="b">
        <f t="array" ref="A1642">if(G1642='Room Info'!$B$1, INDEX('Room Info'!$A$2:$A3446, MATCH(B1642,'Room Info'!$B$2:$B3446, 0)),if(G1642='Room Info'!$C$1, INDEX('Room Info'!$A$2:$A3446, MATCH(B1642,'Room Info'!$C$2:$C3446, 0)),if(G1642='Room Info'!$D$1, INDEX('Room Info'!$A$2:$A3446, MATCH(B1642,'Room Info'!$D$2:$D3446, 0)),if(G1642='Room Info'!$E$1, INDEX('Room Info'!$A$2:$A3446, MATCH(B1642,'Room Info'!$E$2:$E3446, 0)),if(G1642='Room Info'!$F$1, INDEX('Room Info'!$A$2:$A3446, MATCH(B1642,'Room Info'!$F$2:$F3446, 0)),if(G1642='Room Info'!$H$1, INDEX('Room Info'!$A$2:$A3446, MATCH(B1642,'Room Info'!$H$2:$H3446, 0)),if(G1642='Room Info'!$G$1, INDEX('Room Info'!$A$2:$A3446, MATCH(B1642,'Room Info'!$G$2:$G3446, 0)))))))))</f>
        <v>0</v>
      </c>
      <c r="B1642" s="101"/>
      <c r="C1642" s="115"/>
      <c r="D1642" s="115"/>
      <c r="E1642" s="85"/>
      <c r="F1642" s="138"/>
      <c r="G1642" s="101"/>
      <c r="H1642" s="114"/>
      <c r="I1642" s="114"/>
      <c r="J1642" s="44" t="str">
        <f t="shared" si="311"/>
        <v/>
      </c>
      <c r="K1642" s="116"/>
      <c r="L1642" s="117"/>
      <c r="M1642" s="67"/>
      <c r="N1642" s="33">
        <f t="shared" si="276"/>
        <v>0</v>
      </c>
      <c r="O1642" s="70"/>
      <c r="P1642" s="34" t="str">
        <f t="shared" si="277"/>
        <v/>
      </c>
      <c r="Q1642" s="60"/>
      <c r="R1642" s="36">
        <f t="shared" si="312"/>
        <v>0</v>
      </c>
      <c r="S1642" s="71"/>
      <c r="T1642" s="37">
        <f t="shared" si="302"/>
        <v>0</v>
      </c>
      <c r="U1642" s="62"/>
      <c r="V1642" s="63"/>
      <c r="W1642" s="63"/>
      <c r="X1642" s="35" t="str">
        <f t="shared" si="303"/>
        <v>#N/A</v>
      </c>
      <c r="Y1642" s="35" t="str">
        <f t="shared" si="304"/>
        <v>#N/A</v>
      </c>
      <c r="Z1642" s="40" t="str">
        <f t="shared" si="305"/>
        <v>#N/A</v>
      </c>
      <c r="AA1642" s="34" t="str">
        <f t="shared" si="306"/>
        <v>#N/A</v>
      </c>
      <c r="AB1642" s="41" t="str">
        <f t="shared" si="307"/>
        <v>#N/A</v>
      </c>
      <c r="AC1642" s="42" t="b">
        <v>0</v>
      </c>
      <c r="AD1642" s="66" t="str">
        <f t="shared" si="308"/>
        <v>USD</v>
      </c>
      <c r="AE1642" s="42"/>
      <c r="AF1642" s="42" t="str">
        <f t="array" ref="AF1642">INDEX('Deal Info'!D:D, MATCH(A1642,'Deal Info'!A:A, 0))</f>
        <v>#N/A</v>
      </c>
      <c r="AG1642" s="43" t="str">
        <f t="array" ref="AG1642">INDEX('Deal Info'!G:G, MATCH(A1642,'Deal Info'!A:A, 0))</f>
        <v>#N/A</v>
      </c>
    </row>
    <row r="1643" hidden="1">
      <c r="A1643" s="23" t="b">
        <f t="array" ref="A1643">if(G1643='Room Info'!$B$1, INDEX('Room Info'!$A$2:$A3446, MATCH(B1643,'Room Info'!$B$2:$B3446, 0)),if(G1643='Room Info'!$C$1, INDEX('Room Info'!$A$2:$A3446, MATCH(B1643,'Room Info'!$C$2:$C3446, 0)),if(G1643='Room Info'!$D$1, INDEX('Room Info'!$A$2:$A3446, MATCH(B1643,'Room Info'!$D$2:$D3446, 0)),if(G1643='Room Info'!$E$1, INDEX('Room Info'!$A$2:$A3446, MATCH(B1643,'Room Info'!$E$2:$E3446, 0)),if(G1643='Room Info'!$F$1, INDEX('Room Info'!$A$2:$A3446, MATCH(B1643,'Room Info'!$F$2:$F3446, 0)),if(G1643='Room Info'!$H$1, INDEX('Room Info'!$A$2:$A3446, MATCH(B1643,'Room Info'!$H$2:$H3446, 0)),if(G1643='Room Info'!$G$1, INDEX('Room Info'!$A$2:$A3446, MATCH(B1643,'Room Info'!$G$2:$G3446, 0)))))))))</f>
        <v>0</v>
      </c>
      <c r="B1643" s="101"/>
      <c r="C1643" s="115"/>
      <c r="D1643" s="115"/>
      <c r="E1643" s="85"/>
      <c r="F1643" s="138"/>
      <c r="G1643" s="70"/>
      <c r="H1643" s="70"/>
      <c r="I1643" s="70"/>
      <c r="J1643" s="44" t="str">
        <f t="shared" si="311"/>
        <v/>
      </c>
      <c r="K1643" s="116"/>
      <c r="L1643" s="117"/>
      <c r="M1643" s="67"/>
      <c r="N1643" s="33">
        <f t="shared" si="276"/>
        <v>0</v>
      </c>
      <c r="O1643" s="70"/>
      <c r="P1643" s="34" t="str">
        <f t="shared" si="277"/>
        <v/>
      </c>
      <c r="Q1643" s="60"/>
      <c r="R1643" s="36">
        <f t="shared" si="312"/>
        <v>0</v>
      </c>
      <c r="S1643" s="71"/>
      <c r="T1643" s="37">
        <f t="shared" si="302"/>
        <v>0</v>
      </c>
      <c r="U1643" s="62"/>
      <c r="V1643" s="63"/>
      <c r="W1643" s="63"/>
      <c r="X1643" s="35" t="str">
        <f t="shared" si="303"/>
        <v>#N/A</v>
      </c>
      <c r="Y1643" s="35" t="str">
        <f t="shared" si="304"/>
        <v>#N/A</v>
      </c>
      <c r="Z1643" s="40" t="str">
        <f t="shared" si="305"/>
        <v>#N/A</v>
      </c>
      <c r="AA1643" s="34" t="str">
        <f t="shared" si="306"/>
        <v>#N/A</v>
      </c>
      <c r="AB1643" s="41" t="str">
        <f t="shared" si="307"/>
        <v>#N/A</v>
      </c>
      <c r="AC1643" s="42" t="b">
        <v>0</v>
      </c>
      <c r="AD1643" s="66" t="str">
        <f t="shared" si="308"/>
        <v>USD</v>
      </c>
      <c r="AE1643" s="42"/>
      <c r="AF1643" s="42" t="str">
        <f t="array" ref="AF1643">INDEX('Deal Info'!D:D, MATCH(A1643,'Deal Info'!A:A, 0))</f>
        <v>#N/A</v>
      </c>
      <c r="AG1643" s="43" t="str">
        <f t="array" ref="AG1643">INDEX('Deal Info'!G:G, MATCH(A1643,'Deal Info'!A:A, 0))</f>
        <v>#N/A</v>
      </c>
    </row>
    <row r="1644" hidden="1">
      <c r="A1644" s="23" t="b">
        <f t="array" ref="A1644">if(G1644='Room Info'!$B$1, INDEX('Room Info'!$A$2:$A3446, MATCH(B1644,'Room Info'!$B$2:$B3446, 0)),if(G1644='Room Info'!$C$1, INDEX('Room Info'!$A$2:$A3446, MATCH(B1644,'Room Info'!$C$2:$C3446, 0)),if(G1644='Room Info'!$D$1, INDEX('Room Info'!$A$2:$A3446, MATCH(B1644,'Room Info'!$D$2:$D3446, 0)),if(G1644='Room Info'!$E$1, INDEX('Room Info'!$A$2:$A3446, MATCH(B1644,'Room Info'!$E$2:$E3446, 0)),if(G1644='Room Info'!$F$1, INDEX('Room Info'!$A$2:$A3446, MATCH(B1644,'Room Info'!$F$2:$F3446, 0)),if(G1644='Room Info'!$H$1, INDEX('Room Info'!$A$2:$A3446, MATCH(B1644,'Room Info'!$H$2:$H3446, 0)),if(G1644='Room Info'!$G$1, INDEX('Room Info'!$A$2:$A3446, MATCH(B1644,'Room Info'!$G$2:$G3446, 0)))))))))</f>
        <v>0</v>
      </c>
      <c r="B1644" s="101"/>
      <c r="C1644" s="115"/>
      <c r="D1644" s="115"/>
      <c r="E1644" s="85"/>
      <c r="F1644" s="138"/>
      <c r="G1644" s="70"/>
      <c r="H1644" s="70"/>
      <c r="I1644" s="70"/>
      <c r="J1644" s="44" t="str">
        <f t="shared" si="311"/>
        <v/>
      </c>
      <c r="K1644" s="116"/>
      <c r="L1644" s="117"/>
      <c r="M1644" s="67"/>
      <c r="N1644" s="33">
        <f t="shared" si="276"/>
        <v>0</v>
      </c>
      <c r="O1644" s="70"/>
      <c r="P1644" s="34" t="str">
        <f t="shared" si="277"/>
        <v/>
      </c>
      <c r="Q1644" s="60"/>
      <c r="R1644" s="36">
        <f t="shared" si="312"/>
        <v>0</v>
      </c>
      <c r="S1644" s="71"/>
      <c r="T1644" s="37">
        <f t="shared" si="302"/>
        <v>0</v>
      </c>
      <c r="U1644" s="62"/>
      <c r="V1644" s="63"/>
      <c r="W1644" s="63"/>
      <c r="X1644" s="35" t="str">
        <f t="shared" si="303"/>
        <v>#N/A</v>
      </c>
      <c r="Y1644" s="35" t="str">
        <f t="shared" si="304"/>
        <v>#N/A</v>
      </c>
      <c r="Z1644" s="40" t="str">
        <f t="shared" si="305"/>
        <v>#N/A</v>
      </c>
      <c r="AA1644" s="34" t="str">
        <f t="shared" si="306"/>
        <v>#N/A</v>
      </c>
      <c r="AB1644" s="41" t="str">
        <f t="shared" si="307"/>
        <v>#N/A</v>
      </c>
      <c r="AC1644" s="42" t="b">
        <v>0</v>
      </c>
      <c r="AD1644" s="66" t="str">
        <f t="shared" si="308"/>
        <v>USD</v>
      </c>
      <c r="AE1644" s="42"/>
      <c r="AF1644" s="42" t="str">
        <f t="array" ref="AF1644">INDEX('Deal Info'!D:D, MATCH(A1644,'Deal Info'!A:A, 0))</f>
        <v>#N/A</v>
      </c>
      <c r="AG1644" s="43" t="str">
        <f t="array" ref="AG1644">INDEX('Deal Info'!G:G, MATCH(A1644,'Deal Info'!A:A, 0))</f>
        <v>#N/A</v>
      </c>
    </row>
    <row r="1645" hidden="1">
      <c r="A1645" s="23" t="b">
        <f t="array" ref="A1645">if(G1645='Room Info'!$B$1, INDEX('Room Info'!$A$2:$A3446, MATCH(B1645,'Room Info'!$B$2:$B3446, 0)),if(G1645='Room Info'!$C$1, INDEX('Room Info'!$A$2:$A3446, MATCH(B1645,'Room Info'!$C$2:$C3446, 0)),if(G1645='Room Info'!$D$1, INDEX('Room Info'!$A$2:$A3446, MATCH(B1645,'Room Info'!$D$2:$D3446, 0)),if(G1645='Room Info'!$E$1, INDEX('Room Info'!$A$2:$A3446, MATCH(B1645,'Room Info'!$E$2:$E3446, 0)),if(G1645='Room Info'!$F$1, INDEX('Room Info'!$A$2:$A3446, MATCH(B1645,'Room Info'!$F$2:$F3446, 0)),if(G1645='Room Info'!$H$1, INDEX('Room Info'!$A$2:$A3446, MATCH(B1645,'Room Info'!$H$2:$H3446, 0)),if(G1645='Room Info'!$G$1, INDEX('Room Info'!$A$2:$A3446, MATCH(B1645,'Room Info'!$G$2:$G3446, 0)))))))))</f>
        <v>0</v>
      </c>
      <c r="B1645" s="70"/>
      <c r="C1645" s="115"/>
      <c r="D1645" s="115"/>
      <c r="E1645" s="85"/>
      <c r="F1645" s="101"/>
      <c r="G1645" s="70"/>
      <c r="H1645" s="114"/>
      <c r="I1645" s="114"/>
      <c r="J1645" s="44" t="str">
        <f t="shared" si="311"/>
        <v/>
      </c>
      <c r="K1645" s="139"/>
      <c r="L1645" s="140"/>
      <c r="M1645" s="67"/>
      <c r="N1645" s="33">
        <f t="shared" si="276"/>
        <v>0</v>
      </c>
      <c r="O1645" s="101"/>
      <c r="P1645" s="34" t="str">
        <f t="shared" si="277"/>
        <v/>
      </c>
      <c r="Q1645" s="60"/>
      <c r="R1645" s="36">
        <f t="shared" si="312"/>
        <v>0</v>
      </c>
      <c r="S1645" s="102"/>
      <c r="T1645" s="37">
        <f t="shared" si="302"/>
        <v>0</v>
      </c>
      <c r="U1645" s="62"/>
      <c r="V1645" s="63"/>
      <c r="W1645" s="63"/>
      <c r="X1645" s="35" t="str">
        <f t="shared" si="303"/>
        <v>#N/A</v>
      </c>
      <c r="Y1645" s="35" t="str">
        <f t="shared" si="304"/>
        <v>#N/A</v>
      </c>
      <c r="Z1645" s="40" t="str">
        <f t="shared" si="305"/>
        <v>#N/A</v>
      </c>
      <c r="AA1645" s="34" t="str">
        <f t="shared" si="306"/>
        <v>#N/A</v>
      </c>
      <c r="AB1645" s="41" t="str">
        <f t="shared" si="307"/>
        <v>#N/A</v>
      </c>
      <c r="AC1645" s="42" t="b">
        <v>0</v>
      </c>
      <c r="AD1645" s="66" t="str">
        <f t="shared" si="308"/>
        <v>USD</v>
      </c>
      <c r="AE1645" s="42"/>
      <c r="AF1645" s="42" t="str">
        <f t="array" ref="AF1645">INDEX('Deal Info'!D:D, MATCH(A1645,'Deal Info'!A:A, 0))</f>
        <v>#N/A</v>
      </c>
      <c r="AG1645" s="43" t="str">
        <f t="array" ref="AG1645">INDEX('Deal Info'!G:G, MATCH(A1645,'Deal Info'!A:A, 0))</f>
        <v>#N/A</v>
      </c>
    </row>
    <row r="1646" hidden="1">
      <c r="A1646" s="23" t="b">
        <f t="array" ref="A1646">if(G1646='Room Info'!$B$1, INDEX('Room Info'!$A$2:$A3446, MATCH(B1646,'Room Info'!$B$2:$B3446, 0)),if(G1646='Room Info'!$C$1, INDEX('Room Info'!$A$2:$A3446, MATCH(B1646,'Room Info'!$C$2:$C3446, 0)),if(G1646='Room Info'!$D$1, INDEX('Room Info'!$A$2:$A3446, MATCH(B1646,'Room Info'!$D$2:$D3446, 0)),if(G1646='Room Info'!$E$1, INDEX('Room Info'!$A$2:$A3446, MATCH(B1646,'Room Info'!$E$2:$E3446, 0)),if(G1646='Room Info'!$F$1, INDEX('Room Info'!$A$2:$A3446, MATCH(B1646,'Room Info'!$F$2:$F3446, 0)),if(G1646='Room Info'!$H$1, INDEX('Room Info'!$A$2:$A3446, MATCH(B1646,'Room Info'!$H$2:$H3446, 0)),if(G1646='Room Info'!$G$1, INDEX('Room Info'!$A$2:$A3446, MATCH(B1646,'Room Info'!$G$2:$G3446, 0)))))))))</f>
        <v>0</v>
      </c>
      <c r="B1646" s="70"/>
      <c r="C1646" s="115"/>
      <c r="D1646" s="115"/>
      <c r="E1646" s="85"/>
      <c r="F1646" s="101"/>
      <c r="G1646" s="70"/>
      <c r="H1646" s="114"/>
      <c r="I1646" s="114"/>
      <c r="J1646" s="44" t="str">
        <f t="shared" si="311"/>
        <v/>
      </c>
      <c r="K1646" s="139"/>
      <c r="L1646" s="140"/>
      <c r="M1646" s="67"/>
      <c r="N1646" s="33">
        <f t="shared" si="276"/>
        <v>0</v>
      </c>
      <c r="O1646" s="101"/>
      <c r="P1646" s="34" t="str">
        <f t="shared" si="277"/>
        <v/>
      </c>
      <c r="Q1646" s="60"/>
      <c r="R1646" s="36">
        <f t="shared" si="312"/>
        <v>0</v>
      </c>
      <c r="S1646" s="102"/>
      <c r="T1646" s="37">
        <f t="shared" si="302"/>
        <v>0</v>
      </c>
      <c r="U1646" s="62"/>
      <c r="V1646" s="63"/>
      <c r="W1646" s="63"/>
      <c r="X1646" s="35" t="str">
        <f t="shared" si="303"/>
        <v>#N/A</v>
      </c>
      <c r="Y1646" s="35" t="str">
        <f t="shared" si="304"/>
        <v>#N/A</v>
      </c>
      <c r="Z1646" s="40" t="str">
        <f t="shared" si="305"/>
        <v>#N/A</v>
      </c>
      <c r="AA1646" s="34" t="str">
        <f t="shared" si="306"/>
        <v>#N/A</v>
      </c>
      <c r="AB1646" s="41" t="str">
        <f t="shared" si="307"/>
        <v>#N/A</v>
      </c>
      <c r="AC1646" s="42" t="b">
        <v>0</v>
      </c>
      <c r="AD1646" s="66" t="str">
        <f t="shared" si="308"/>
        <v>USD</v>
      </c>
      <c r="AE1646" s="42"/>
      <c r="AF1646" s="42" t="str">
        <f t="array" ref="AF1646">INDEX('Deal Info'!D:D, MATCH(A1646,'Deal Info'!A:A, 0))</f>
        <v>#N/A</v>
      </c>
      <c r="AG1646" s="43" t="str">
        <f t="array" ref="AG1646">INDEX('Deal Info'!G:G, MATCH(A1646,'Deal Info'!A:A, 0))</f>
        <v>#N/A</v>
      </c>
    </row>
    <row r="1647" hidden="1">
      <c r="A1647" s="23" t="b">
        <f t="array" ref="A1647">if(G1647='Room Info'!$B$1, INDEX('Room Info'!$A$2:$A3446, MATCH(B1647,'Room Info'!$B$2:$B3446, 0)),if(G1647='Room Info'!$C$1, INDEX('Room Info'!$A$2:$A3446, MATCH(B1647,'Room Info'!$C$2:$C3446, 0)),if(G1647='Room Info'!$D$1, INDEX('Room Info'!$A$2:$A3446, MATCH(B1647,'Room Info'!$D$2:$D3446, 0)),if(G1647='Room Info'!$E$1, INDEX('Room Info'!$A$2:$A3446, MATCH(B1647,'Room Info'!$E$2:$E3446, 0)),if(G1647='Room Info'!$F$1, INDEX('Room Info'!$A$2:$A3446, MATCH(B1647,'Room Info'!$F$2:$F3446, 0)),if(G1647='Room Info'!$H$1, INDEX('Room Info'!$A$2:$A3446, MATCH(B1647,'Room Info'!$H$2:$H3446, 0)),if(G1647='Room Info'!$G$1, INDEX('Room Info'!$A$2:$A3446, MATCH(B1647,'Room Info'!$G$2:$G3446, 0)))))))))</f>
        <v>0</v>
      </c>
      <c r="B1647" s="70"/>
      <c r="C1647" s="115"/>
      <c r="D1647" s="115"/>
      <c r="E1647" s="85"/>
      <c r="F1647" s="101"/>
      <c r="G1647" s="70"/>
      <c r="H1647" s="114"/>
      <c r="I1647" s="114"/>
      <c r="J1647" s="44" t="str">
        <f t="shared" si="311"/>
        <v/>
      </c>
      <c r="K1647" s="116"/>
      <c r="L1647" s="117"/>
      <c r="M1647" s="67"/>
      <c r="N1647" s="33">
        <f t="shared" si="276"/>
        <v>0</v>
      </c>
      <c r="O1647" s="70"/>
      <c r="P1647" s="34" t="str">
        <f t="shared" si="277"/>
        <v/>
      </c>
      <c r="Q1647" s="60"/>
      <c r="R1647" s="36">
        <f t="shared" si="312"/>
        <v>0</v>
      </c>
      <c r="S1647" s="71"/>
      <c r="T1647" s="37">
        <f t="shared" si="302"/>
        <v>0</v>
      </c>
      <c r="U1647" s="62"/>
      <c r="V1647" s="63"/>
      <c r="W1647" s="63"/>
      <c r="X1647" s="35" t="str">
        <f t="shared" si="303"/>
        <v>#N/A</v>
      </c>
      <c r="Y1647" s="35" t="str">
        <f t="shared" si="304"/>
        <v>#N/A</v>
      </c>
      <c r="Z1647" s="40" t="str">
        <f t="shared" si="305"/>
        <v>#N/A</v>
      </c>
      <c r="AA1647" s="34" t="str">
        <f t="shared" si="306"/>
        <v>#N/A</v>
      </c>
      <c r="AB1647" s="41" t="str">
        <f t="shared" si="307"/>
        <v>#N/A</v>
      </c>
      <c r="AC1647" s="42" t="b">
        <v>0</v>
      </c>
      <c r="AD1647" s="66" t="str">
        <f t="shared" si="308"/>
        <v>USD</v>
      </c>
      <c r="AE1647" s="42"/>
      <c r="AF1647" s="42" t="str">
        <f t="array" ref="AF1647">INDEX('Deal Info'!D:D, MATCH(A1647,'Deal Info'!A:A, 0))</f>
        <v>#N/A</v>
      </c>
      <c r="AG1647" s="43" t="str">
        <f t="array" ref="AG1647">INDEX('Deal Info'!G:G, MATCH(A1647,'Deal Info'!A:A, 0))</f>
        <v>#N/A</v>
      </c>
    </row>
    <row r="1648" hidden="1">
      <c r="A1648" s="23" t="b">
        <f t="array" ref="A1648">if(G1648='Room Info'!$B$1, INDEX('Room Info'!$A$2:$A3446, MATCH(B1648,'Room Info'!$B$2:$B3446, 0)),if(G1648='Room Info'!$C$1, INDEX('Room Info'!$A$2:$A3446, MATCH(B1648,'Room Info'!$C$2:$C3446, 0)),if(G1648='Room Info'!$D$1, INDEX('Room Info'!$A$2:$A3446, MATCH(B1648,'Room Info'!$D$2:$D3446, 0)),if(G1648='Room Info'!$E$1, INDEX('Room Info'!$A$2:$A3446, MATCH(B1648,'Room Info'!$E$2:$E3446, 0)),if(G1648='Room Info'!$F$1, INDEX('Room Info'!$A$2:$A3446, MATCH(B1648,'Room Info'!$F$2:$F3446, 0)),if(G1648='Room Info'!$H$1, INDEX('Room Info'!$A$2:$A3446, MATCH(B1648,'Room Info'!$H$2:$H3446, 0)),if(G1648='Room Info'!$G$1, INDEX('Room Info'!$A$2:$A3446, MATCH(B1648,'Room Info'!$G$2:$G3446, 0)))))))))</f>
        <v>0</v>
      </c>
      <c r="B1648" s="101"/>
      <c r="C1648" s="115"/>
      <c r="D1648" s="115"/>
      <c r="E1648" s="85"/>
      <c r="F1648" s="138"/>
      <c r="G1648" s="70"/>
      <c r="H1648" s="114"/>
      <c r="I1648" s="114"/>
      <c r="J1648" s="44" t="str">
        <f t="shared" si="311"/>
        <v/>
      </c>
      <c r="K1648" s="139"/>
      <c r="L1648" s="140"/>
      <c r="M1648" s="67"/>
      <c r="N1648" s="33">
        <f t="shared" si="276"/>
        <v>0</v>
      </c>
      <c r="O1648" s="101"/>
      <c r="P1648" s="34" t="str">
        <f t="shared" si="277"/>
        <v/>
      </c>
      <c r="Q1648" s="60"/>
      <c r="R1648" s="36">
        <f t="shared" si="312"/>
        <v>0</v>
      </c>
      <c r="S1648" s="102"/>
      <c r="T1648" s="37">
        <f t="shared" si="302"/>
        <v>0</v>
      </c>
      <c r="U1648" s="62"/>
      <c r="V1648" s="63"/>
      <c r="W1648" s="63"/>
      <c r="X1648" s="35" t="str">
        <f t="shared" si="303"/>
        <v>#N/A</v>
      </c>
      <c r="Y1648" s="35" t="str">
        <f t="shared" si="304"/>
        <v>#N/A</v>
      </c>
      <c r="Z1648" s="40" t="str">
        <f t="shared" si="305"/>
        <v>#N/A</v>
      </c>
      <c r="AA1648" s="34" t="str">
        <f t="shared" si="306"/>
        <v>#N/A</v>
      </c>
      <c r="AB1648" s="41" t="str">
        <f t="shared" si="307"/>
        <v>#N/A</v>
      </c>
      <c r="AC1648" s="42" t="b">
        <v>0</v>
      </c>
      <c r="AD1648" s="66" t="str">
        <f t="shared" si="308"/>
        <v>USD</v>
      </c>
      <c r="AE1648" s="42"/>
      <c r="AF1648" s="42" t="str">
        <f t="array" ref="AF1648">INDEX('Deal Info'!D:D, MATCH(A1648,'Deal Info'!A:A, 0))</f>
        <v>#N/A</v>
      </c>
      <c r="AG1648" s="43" t="str">
        <f t="array" ref="AG1648">INDEX('Deal Info'!G:G, MATCH(A1648,'Deal Info'!A:A, 0))</f>
        <v>#N/A</v>
      </c>
    </row>
    <row r="1649" hidden="1">
      <c r="A1649" s="23" t="b">
        <f t="array" ref="A1649">if(G1649='Room Info'!$B$1, INDEX('Room Info'!$A$2:$A3446, MATCH(B1649,'Room Info'!$B$2:$B3446, 0)),if(G1649='Room Info'!$C$1, INDEX('Room Info'!$A$2:$A3446, MATCH(B1649,'Room Info'!$C$2:$C3446, 0)),if(G1649='Room Info'!$D$1, INDEX('Room Info'!$A$2:$A3446, MATCH(B1649,'Room Info'!$D$2:$D3446, 0)),if(G1649='Room Info'!$E$1, INDEX('Room Info'!$A$2:$A3446, MATCH(B1649,'Room Info'!$E$2:$E3446, 0)),if(G1649='Room Info'!$F$1, INDEX('Room Info'!$A$2:$A3446, MATCH(B1649,'Room Info'!$F$2:$F3446, 0)),if(G1649='Room Info'!$H$1, INDEX('Room Info'!$A$2:$A3446, MATCH(B1649,'Room Info'!$H$2:$H3446, 0)),if(G1649='Room Info'!$G$1, INDEX('Room Info'!$A$2:$A3446, MATCH(B1649,'Room Info'!$G$2:$G3446, 0)))))))))</f>
        <v>0</v>
      </c>
      <c r="B1649" s="101"/>
      <c r="C1649" s="115"/>
      <c r="D1649" s="115"/>
      <c r="E1649" s="85"/>
      <c r="F1649" s="138"/>
      <c r="G1649" s="70"/>
      <c r="H1649" s="114"/>
      <c r="I1649" s="114"/>
      <c r="J1649" s="44" t="str">
        <f t="shared" si="311"/>
        <v/>
      </c>
      <c r="K1649" s="139"/>
      <c r="L1649" s="140"/>
      <c r="M1649" s="67"/>
      <c r="N1649" s="33">
        <f t="shared" si="276"/>
        <v>0</v>
      </c>
      <c r="O1649" s="101"/>
      <c r="P1649" s="34" t="str">
        <f t="shared" si="277"/>
        <v/>
      </c>
      <c r="Q1649" s="60"/>
      <c r="R1649" s="36">
        <f t="shared" si="312"/>
        <v>0</v>
      </c>
      <c r="S1649" s="102"/>
      <c r="T1649" s="37">
        <f t="shared" si="302"/>
        <v>0</v>
      </c>
      <c r="U1649" s="62"/>
      <c r="V1649" s="63"/>
      <c r="W1649" s="63"/>
      <c r="X1649" s="35" t="str">
        <f t="shared" si="303"/>
        <v>#N/A</v>
      </c>
      <c r="Y1649" s="35" t="str">
        <f t="shared" si="304"/>
        <v>#N/A</v>
      </c>
      <c r="Z1649" s="40" t="str">
        <f t="shared" si="305"/>
        <v>#N/A</v>
      </c>
      <c r="AA1649" s="34" t="str">
        <f t="shared" si="306"/>
        <v>#N/A</v>
      </c>
      <c r="AB1649" s="41" t="str">
        <f t="shared" si="307"/>
        <v>#N/A</v>
      </c>
      <c r="AC1649" s="42" t="b">
        <v>0</v>
      </c>
      <c r="AD1649" s="66" t="str">
        <f t="shared" si="308"/>
        <v>USD</v>
      </c>
      <c r="AE1649" s="42"/>
      <c r="AF1649" s="42" t="str">
        <f t="array" ref="AF1649">INDEX('Deal Info'!D:D, MATCH(A1649,'Deal Info'!A:A, 0))</f>
        <v>#N/A</v>
      </c>
      <c r="AG1649" s="43" t="str">
        <f t="array" ref="AG1649">INDEX('Deal Info'!G:G, MATCH(A1649,'Deal Info'!A:A, 0))</f>
        <v>#N/A</v>
      </c>
    </row>
    <row r="1650" hidden="1">
      <c r="A1650" s="23" t="b">
        <f t="array" ref="A1650">if(G1650='Room Info'!$B$1, INDEX('Room Info'!$A$2:$A3446, MATCH(B1650,'Room Info'!$B$2:$B3446, 0)),if(G1650='Room Info'!$C$1, INDEX('Room Info'!$A$2:$A3446, MATCH(B1650,'Room Info'!$C$2:$C3446, 0)),if(G1650='Room Info'!$D$1, INDEX('Room Info'!$A$2:$A3446, MATCH(B1650,'Room Info'!$D$2:$D3446, 0)),if(G1650='Room Info'!$E$1, INDEX('Room Info'!$A$2:$A3446, MATCH(B1650,'Room Info'!$E$2:$E3446, 0)),if(G1650='Room Info'!$F$1, INDEX('Room Info'!$A$2:$A3446, MATCH(B1650,'Room Info'!$F$2:$F3446, 0)),if(G1650='Room Info'!$H$1, INDEX('Room Info'!$A$2:$A3446, MATCH(B1650,'Room Info'!$H$2:$H3446, 0)),if(G1650='Room Info'!$G$1, INDEX('Room Info'!$A$2:$A3446, MATCH(B1650,'Room Info'!$G$2:$G3446, 0)))))))))</f>
        <v>0</v>
      </c>
      <c r="B1650" s="101"/>
      <c r="C1650" s="141"/>
      <c r="D1650" s="141"/>
      <c r="E1650" s="142"/>
      <c r="F1650" s="101"/>
      <c r="G1650" s="70"/>
      <c r="H1650" s="114"/>
      <c r="I1650" s="114"/>
      <c r="J1650" s="44" t="str">
        <f t="shared" si="311"/>
        <v/>
      </c>
      <c r="K1650" s="139"/>
      <c r="L1650" s="140"/>
      <c r="M1650" s="67"/>
      <c r="N1650" s="33">
        <f t="shared" si="276"/>
        <v>0</v>
      </c>
      <c r="O1650" s="101"/>
      <c r="P1650" s="34" t="str">
        <f t="shared" si="277"/>
        <v/>
      </c>
      <c r="Q1650" s="60"/>
      <c r="R1650" s="36">
        <f t="shared" si="312"/>
        <v>0</v>
      </c>
      <c r="S1650" s="102"/>
      <c r="T1650" s="37">
        <f t="shared" si="302"/>
        <v>0</v>
      </c>
      <c r="U1650" s="62"/>
      <c r="V1650" s="63"/>
      <c r="W1650" s="63"/>
      <c r="X1650" s="35" t="str">
        <f t="shared" si="303"/>
        <v>#N/A</v>
      </c>
      <c r="Y1650" s="35" t="str">
        <f t="shared" si="304"/>
        <v>#N/A</v>
      </c>
      <c r="Z1650" s="40" t="str">
        <f t="shared" si="305"/>
        <v>#N/A</v>
      </c>
      <c r="AA1650" s="34" t="str">
        <f t="shared" si="306"/>
        <v>#N/A</v>
      </c>
      <c r="AB1650" s="41" t="str">
        <f t="shared" si="307"/>
        <v>#N/A</v>
      </c>
      <c r="AC1650" s="42" t="b">
        <v>0</v>
      </c>
      <c r="AD1650" s="66" t="str">
        <f t="shared" si="308"/>
        <v>USD</v>
      </c>
      <c r="AE1650" s="42"/>
      <c r="AF1650" s="42" t="str">
        <f t="array" ref="AF1650">INDEX('Deal Info'!D:D, MATCH(A1650,'Deal Info'!A:A, 0))</f>
        <v>#N/A</v>
      </c>
      <c r="AG1650" s="43" t="str">
        <f t="array" ref="AG1650">INDEX('Deal Info'!G:G, MATCH(A1650,'Deal Info'!A:A, 0))</f>
        <v>#N/A</v>
      </c>
    </row>
    <row r="1651" hidden="1">
      <c r="A1651" s="23" t="b">
        <f t="array" ref="A1651">if(G1651='Room Info'!$B$1, INDEX('Room Info'!$A$2:$A3446, MATCH(B1651,'Room Info'!$B$2:$B3446, 0)),if(G1651='Room Info'!$C$1, INDEX('Room Info'!$A$2:$A3446, MATCH(B1651,'Room Info'!$C$2:$C3446, 0)),if(G1651='Room Info'!$D$1, INDEX('Room Info'!$A$2:$A3446, MATCH(B1651,'Room Info'!$D$2:$D3446, 0)),if(G1651='Room Info'!$E$1, INDEX('Room Info'!$A$2:$A3446, MATCH(B1651,'Room Info'!$E$2:$E3446, 0)),if(G1651='Room Info'!$F$1, INDEX('Room Info'!$A$2:$A3446, MATCH(B1651,'Room Info'!$F$2:$F3446, 0)),if(G1651='Room Info'!$H$1, INDEX('Room Info'!$A$2:$A3446, MATCH(B1651,'Room Info'!$H$2:$H3446, 0)),if(G1651='Room Info'!$G$1, INDEX('Room Info'!$A$2:$A3446, MATCH(B1651,'Room Info'!$G$2:$G3446, 0)))))))))</f>
        <v>0</v>
      </c>
      <c r="B1651" s="101"/>
      <c r="C1651" s="141"/>
      <c r="D1651" s="141"/>
      <c r="E1651" s="142"/>
      <c r="F1651" s="101"/>
      <c r="G1651" s="70"/>
      <c r="H1651" s="114"/>
      <c r="I1651" s="114"/>
      <c r="J1651" s="44" t="str">
        <f t="shared" si="311"/>
        <v/>
      </c>
      <c r="K1651" s="139"/>
      <c r="L1651" s="140"/>
      <c r="M1651" s="67"/>
      <c r="N1651" s="33">
        <f t="shared" si="276"/>
        <v>0</v>
      </c>
      <c r="O1651" s="101"/>
      <c r="P1651" s="34" t="str">
        <f t="shared" si="277"/>
        <v/>
      </c>
      <c r="Q1651" s="60"/>
      <c r="R1651" s="36">
        <f t="shared" si="312"/>
        <v>0</v>
      </c>
      <c r="S1651" s="102"/>
      <c r="T1651" s="37">
        <f t="shared" si="302"/>
        <v>0</v>
      </c>
      <c r="U1651" s="62"/>
      <c r="V1651" s="63"/>
      <c r="W1651" s="63"/>
      <c r="X1651" s="35" t="str">
        <f t="shared" si="303"/>
        <v>#N/A</v>
      </c>
      <c r="Y1651" s="35" t="str">
        <f t="shared" si="304"/>
        <v>#N/A</v>
      </c>
      <c r="Z1651" s="40" t="str">
        <f t="shared" si="305"/>
        <v>#N/A</v>
      </c>
      <c r="AA1651" s="34" t="str">
        <f t="shared" si="306"/>
        <v>#N/A</v>
      </c>
      <c r="AB1651" s="41" t="str">
        <f t="shared" si="307"/>
        <v>#N/A</v>
      </c>
      <c r="AC1651" s="42" t="b">
        <v>0</v>
      </c>
      <c r="AD1651" s="66" t="str">
        <f t="shared" si="308"/>
        <v>USD</v>
      </c>
      <c r="AE1651" s="42"/>
      <c r="AF1651" s="42" t="str">
        <f t="array" ref="AF1651">INDEX('Deal Info'!D:D, MATCH(A1651,'Deal Info'!A:A, 0))</f>
        <v>#N/A</v>
      </c>
      <c r="AG1651" s="43" t="str">
        <f t="array" ref="AG1651">INDEX('Deal Info'!G:G, MATCH(A1651,'Deal Info'!A:A, 0))</f>
        <v>#N/A</v>
      </c>
    </row>
    <row r="1652" hidden="1">
      <c r="A1652" s="23" t="b">
        <f t="array" ref="A1652">if(G1652='Room Info'!$B$1, INDEX('Room Info'!$A$2:$A3446, MATCH(B1652,'Room Info'!$B$2:$B3446, 0)),if(G1652='Room Info'!$C$1, INDEX('Room Info'!$A$2:$A3446, MATCH(B1652,'Room Info'!$C$2:$C3446, 0)),if(G1652='Room Info'!$D$1, INDEX('Room Info'!$A$2:$A3446, MATCH(B1652,'Room Info'!$D$2:$D3446, 0)),if(G1652='Room Info'!$E$1, INDEX('Room Info'!$A$2:$A3446, MATCH(B1652,'Room Info'!$E$2:$E3446, 0)),if(G1652='Room Info'!$F$1, INDEX('Room Info'!$A$2:$A3446, MATCH(B1652,'Room Info'!$F$2:$F3446, 0)),if(G1652='Room Info'!$H$1, INDEX('Room Info'!$A$2:$A3446, MATCH(B1652,'Room Info'!$H$2:$H3446, 0)),if(G1652='Room Info'!$G$1, INDEX('Room Info'!$A$2:$A3446, MATCH(B1652,'Room Info'!$G$2:$G3446, 0)))))))))</f>
        <v>0</v>
      </c>
      <c r="B1652" s="101"/>
      <c r="C1652" s="141"/>
      <c r="D1652" s="141"/>
      <c r="E1652" s="142"/>
      <c r="F1652" s="138"/>
      <c r="G1652" s="101"/>
      <c r="H1652" s="105"/>
      <c r="I1652" s="105"/>
      <c r="J1652" s="44" t="str">
        <f t="shared" si="311"/>
        <v/>
      </c>
      <c r="K1652" s="139"/>
      <c r="L1652" s="140"/>
      <c r="M1652" s="84"/>
      <c r="N1652" s="33">
        <f t="shared" si="276"/>
        <v>0</v>
      </c>
      <c r="O1652" s="101"/>
      <c r="P1652" s="34" t="str">
        <f t="shared" si="277"/>
        <v/>
      </c>
      <c r="Q1652" s="60"/>
      <c r="R1652" s="36">
        <f t="shared" si="312"/>
        <v>0</v>
      </c>
      <c r="S1652" s="102"/>
      <c r="T1652" s="37">
        <f t="shared" si="302"/>
        <v>0</v>
      </c>
      <c r="U1652" s="62"/>
      <c r="V1652" s="63"/>
      <c r="W1652" s="63"/>
      <c r="X1652" s="35" t="str">
        <f t="shared" si="303"/>
        <v>#N/A</v>
      </c>
      <c r="Y1652" s="35" t="str">
        <f t="shared" si="304"/>
        <v>#N/A</v>
      </c>
      <c r="Z1652" s="40" t="str">
        <f t="shared" si="305"/>
        <v>#N/A</v>
      </c>
      <c r="AA1652" s="34" t="str">
        <f t="shared" si="306"/>
        <v>#N/A</v>
      </c>
      <c r="AB1652" s="41" t="str">
        <f t="shared" si="307"/>
        <v>#N/A</v>
      </c>
      <c r="AC1652" s="42" t="b">
        <v>0</v>
      </c>
      <c r="AD1652" s="66" t="str">
        <f t="shared" si="308"/>
        <v>USD</v>
      </c>
      <c r="AE1652" s="42"/>
      <c r="AF1652" s="42" t="str">
        <f t="array" ref="AF1652">INDEX('Deal Info'!D:D, MATCH(A1652,'Deal Info'!A:A, 0))</f>
        <v>#N/A</v>
      </c>
      <c r="AG1652" s="43" t="str">
        <f t="array" ref="AG1652">INDEX('Deal Info'!G:G, MATCH(A1652,'Deal Info'!A:A, 0))</f>
        <v>#N/A</v>
      </c>
    </row>
    <row r="1653" hidden="1">
      <c r="A1653" s="23" t="b">
        <f t="array" ref="A1653">if(G1653='Room Info'!$B$1, INDEX('Room Info'!$A$2:$A3446, MATCH(B1653,'Room Info'!$B$2:$B3446, 0)),if(G1653='Room Info'!$C$1, INDEX('Room Info'!$A$2:$A3446, MATCH(B1653,'Room Info'!$C$2:$C3446, 0)),if(G1653='Room Info'!$D$1, INDEX('Room Info'!$A$2:$A3446, MATCH(B1653,'Room Info'!$D$2:$D3446, 0)),if(G1653='Room Info'!$E$1, INDEX('Room Info'!$A$2:$A3446, MATCH(B1653,'Room Info'!$E$2:$E3446, 0)),if(G1653='Room Info'!$F$1, INDEX('Room Info'!$A$2:$A3446, MATCH(B1653,'Room Info'!$F$2:$F3446, 0)),if(G1653='Room Info'!$H$1, INDEX('Room Info'!$A$2:$A3446, MATCH(B1653,'Room Info'!$H$2:$H3446, 0)),if(G1653='Room Info'!$G$1, INDEX('Room Info'!$A$2:$A3446, MATCH(B1653,'Room Info'!$G$2:$G3446, 0)))))))))</f>
        <v>0</v>
      </c>
      <c r="B1653" s="101"/>
      <c r="C1653" s="141"/>
      <c r="D1653" s="141"/>
      <c r="E1653" s="142"/>
      <c r="F1653" s="138"/>
      <c r="G1653" s="101"/>
      <c r="H1653" s="114"/>
      <c r="I1653" s="114"/>
      <c r="J1653" s="44" t="str">
        <f t="shared" si="311"/>
        <v/>
      </c>
      <c r="K1653" s="139"/>
      <c r="L1653" s="140"/>
      <c r="M1653" s="84"/>
      <c r="N1653" s="33">
        <f t="shared" si="276"/>
        <v>0</v>
      </c>
      <c r="O1653" s="101"/>
      <c r="P1653" s="34" t="str">
        <f t="shared" si="277"/>
        <v/>
      </c>
      <c r="Q1653" s="60"/>
      <c r="R1653" s="36">
        <f t="shared" si="312"/>
        <v>0</v>
      </c>
      <c r="S1653" s="102"/>
      <c r="T1653" s="37">
        <f t="shared" si="302"/>
        <v>0</v>
      </c>
      <c r="U1653" s="62"/>
      <c r="V1653" s="63"/>
      <c r="W1653" s="63"/>
      <c r="X1653" s="35" t="str">
        <f t="shared" si="303"/>
        <v>#N/A</v>
      </c>
      <c r="Y1653" s="35" t="str">
        <f t="shared" si="304"/>
        <v>#N/A</v>
      </c>
      <c r="Z1653" s="40" t="str">
        <f t="shared" si="305"/>
        <v>#N/A</v>
      </c>
      <c r="AA1653" s="34" t="str">
        <f t="shared" si="306"/>
        <v>#N/A</v>
      </c>
      <c r="AB1653" s="41" t="str">
        <f t="shared" si="307"/>
        <v>#N/A</v>
      </c>
      <c r="AC1653" s="42" t="b">
        <v>0</v>
      </c>
      <c r="AD1653" s="66" t="str">
        <f t="shared" si="308"/>
        <v>USD</v>
      </c>
      <c r="AE1653" s="42"/>
      <c r="AF1653" s="42" t="str">
        <f t="array" ref="AF1653">INDEX('Deal Info'!D:D, MATCH(A1653,'Deal Info'!A:A, 0))</f>
        <v>#N/A</v>
      </c>
      <c r="AG1653" s="43" t="str">
        <f t="array" ref="AG1653">INDEX('Deal Info'!G:G, MATCH(A1653,'Deal Info'!A:A, 0))</f>
        <v>#N/A</v>
      </c>
    </row>
    <row r="1654" hidden="1">
      <c r="A1654" s="23" t="b">
        <f t="array" ref="A1654">if(G1654='Room Info'!$B$1, INDEX('Room Info'!$A$2:$A3446, MATCH(B1654,'Room Info'!$B$2:$B3446, 0)),if(G1654='Room Info'!$C$1, INDEX('Room Info'!$A$2:$A3446, MATCH(B1654,'Room Info'!$C$2:$C3446, 0)),if(G1654='Room Info'!$D$1, INDEX('Room Info'!$A$2:$A3446, MATCH(B1654,'Room Info'!$D$2:$D3446, 0)),if(G1654='Room Info'!$E$1, INDEX('Room Info'!$A$2:$A3446, MATCH(B1654,'Room Info'!$E$2:$E3446, 0)),if(G1654='Room Info'!$F$1, INDEX('Room Info'!$A$2:$A3446, MATCH(B1654,'Room Info'!$F$2:$F3446, 0)),if(G1654='Room Info'!$H$1, INDEX('Room Info'!$A$2:$A3446, MATCH(B1654,'Room Info'!$H$2:$H3446, 0)),if(G1654='Room Info'!$G$1, INDEX('Room Info'!$A$2:$A3446, MATCH(B1654,'Room Info'!$G$2:$G3446, 0)))))))))</f>
        <v>0</v>
      </c>
      <c r="B1654" s="101"/>
      <c r="C1654" s="141"/>
      <c r="D1654" s="141"/>
      <c r="E1654" s="142"/>
      <c r="F1654" s="138"/>
      <c r="G1654" s="101"/>
      <c r="H1654" s="105"/>
      <c r="I1654" s="105"/>
      <c r="J1654" s="44" t="str">
        <f t="shared" si="311"/>
        <v/>
      </c>
      <c r="K1654" s="139"/>
      <c r="L1654" s="140"/>
      <c r="M1654" s="84"/>
      <c r="N1654" s="33">
        <f t="shared" si="276"/>
        <v>0</v>
      </c>
      <c r="O1654" s="101"/>
      <c r="P1654" s="34" t="str">
        <f t="shared" si="277"/>
        <v/>
      </c>
      <c r="Q1654" s="60"/>
      <c r="R1654" s="36">
        <f t="shared" si="312"/>
        <v>0</v>
      </c>
      <c r="S1654" s="102"/>
      <c r="T1654" s="37">
        <f t="shared" si="302"/>
        <v>0</v>
      </c>
      <c r="U1654" s="62"/>
      <c r="V1654" s="63"/>
      <c r="W1654" s="63"/>
      <c r="X1654" s="35" t="str">
        <f t="shared" si="303"/>
        <v>#N/A</v>
      </c>
      <c r="Y1654" s="35" t="str">
        <f t="shared" si="304"/>
        <v>#N/A</v>
      </c>
      <c r="Z1654" s="40" t="str">
        <f t="shared" si="305"/>
        <v>#N/A</v>
      </c>
      <c r="AA1654" s="34" t="str">
        <f t="shared" si="306"/>
        <v>#N/A</v>
      </c>
      <c r="AB1654" s="41" t="str">
        <f t="shared" si="307"/>
        <v>#N/A</v>
      </c>
      <c r="AC1654" s="42" t="b">
        <v>0</v>
      </c>
      <c r="AD1654" s="66" t="str">
        <f t="shared" si="308"/>
        <v>USD</v>
      </c>
      <c r="AE1654" s="42"/>
      <c r="AF1654" s="42" t="str">
        <f t="array" ref="AF1654">INDEX('Deal Info'!D:D, MATCH(A1654,'Deal Info'!A:A, 0))</f>
        <v>#N/A</v>
      </c>
      <c r="AG1654" s="43" t="str">
        <f t="array" ref="AG1654">INDEX('Deal Info'!G:G, MATCH(A1654,'Deal Info'!A:A, 0))</f>
        <v>#N/A</v>
      </c>
    </row>
    <row r="1655" hidden="1">
      <c r="A1655" s="23" t="b">
        <f t="array" ref="A1655">if(G1655='Room Info'!$B$1, INDEX('Room Info'!$A$2:$A3446, MATCH(B1655,'Room Info'!$B$2:$B3446, 0)),if(G1655='Room Info'!$C$1, INDEX('Room Info'!$A$2:$A3446, MATCH(B1655,'Room Info'!$C$2:$C3446, 0)),if(G1655='Room Info'!$D$1, INDEX('Room Info'!$A$2:$A3446, MATCH(B1655,'Room Info'!$D$2:$D3446, 0)),if(G1655='Room Info'!$E$1, INDEX('Room Info'!$A$2:$A3446, MATCH(B1655,'Room Info'!$E$2:$E3446, 0)),if(G1655='Room Info'!$F$1, INDEX('Room Info'!$A$2:$A3446, MATCH(B1655,'Room Info'!$F$2:$F3446, 0)),if(G1655='Room Info'!$H$1, INDEX('Room Info'!$A$2:$A3446, MATCH(B1655,'Room Info'!$H$2:$H3446, 0)),if(G1655='Room Info'!$G$1, INDEX('Room Info'!$A$2:$A3446, MATCH(B1655,'Room Info'!$G$2:$G3446, 0)))))))))</f>
        <v>0</v>
      </c>
      <c r="B1655" s="101"/>
      <c r="C1655" s="141"/>
      <c r="D1655" s="141"/>
      <c r="E1655" s="142"/>
      <c r="F1655" s="138"/>
      <c r="G1655" s="101"/>
      <c r="H1655" s="105"/>
      <c r="I1655" s="105"/>
      <c r="J1655" s="44" t="str">
        <f t="shared" si="311"/>
        <v/>
      </c>
      <c r="K1655" s="139"/>
      <c r="L1655" s="140"/>
      <c r="M1655" s="84"/>
      <c r="N1655" s="33">
        <f t="shared" si="276"/>
        <v>0</v>
      </c>
      <c r="O1655" s="101"/>
      <c r="P1655" s="34" t="str">
        <f t="shared" si="277"/>
        <v/>
      </c>
      <c r="Q1655" s="60"/>
      <c r="R1655" s="36">
        <f t="shared" si="312"/>
        <v>0</v>
      </c>
      <c r="S1655" s="102"/>
      <c r="T1655" s="37">
        <f t="shared" si="302"/>
        <v>0</v>
      </c>
      <c r="U1655" s="62"/>
      <c r="V1655" s="63"/>
      <c r="W1655" s="63"/>
      <c r="X1655" s="35" t="str">
        <f t="shared" si="303"/>
        <v>#N/A</v>
      </c>
      <c r="Y1655" s="35" t="str">
        <f t="shared" si="304"/>
        <v>#N/A</v>
      </c>
      <c r="Z1655" s="40" t="str">
        <f t="shared" si="305"/>
        <v>#N/A</v>
      </c>
      <c r="AA1655" s="34" t="str">
        <f t="shared" si="306"/>
        <v>#N/A</v>
      </c>
      <c r="AB1655" s="41" t="str">
        <f t="shared" si="307"/>
        <v>#N/A</v>
      </c>
      <c r="AC1655" s="42" t="b">
        <v>0</v>
      </c>
      <c r="AD1655" s="66" t="str">
        <f t="shared" si="308"/>
        <v>USD</v>
      </c>
      <c r="AE1655" s="42"/>
      <c r="AF1655" s="42" t="str">
        <f t="array" ref="AF1655">INDEX('Deal Info'!D:D, MATCH(A1655,'Deal Info'!A:A, 0))</f>
        <v>#N/A</v>
      </c>
      <c r="AG1655" s="43" t="str">
        <f t="array" ref="AG1655">INDEX('Deal Info'!G:G, MATCH(A1655,'Deal Info'!A:A, 0))</f>
        <v>#N/A</v>
      </c>
    </row>
    <row r="1656" hidden="1">
      <c r="A1656" s="23" t="b">
        <f t="array" ref="A1656">if(G1656='Room Info'!$B$1, INDEX('Room Info'!$A$2:$A3446, MATCH(B1656,'Room Info'!$B$2:$B3446, 0)),if(G1656='Room Info'!$C$1, INDEX('Room Info'!$A$2:$A3446, MATCH(B1656,'Room Info'!$C$2:$C3446, 0)),if(G1656='Room Info'!$D$1, INDEX('Room Info'!$A$2:$A3446, MATCH(B1656,'Room Info'!$D$2:$D3446, 0)),if(G1656='Room Info'!$E$1, INDEX('Room Info'!$A$2:$A3446, MATCH(B1656,'Room Info'!$E$2:$E3446, 0)),if(G1656='Room Info'!$F$1, INDEX('Room Info'!$A$2:$A3446, MATCH(B1656,'Room Info'!$F$2:$F3446, 0)),if(G1656='Room Info'!$H$1, INDEX('Room Info'!$A$2:$A3446, MATCH(B1656,'Room Info'!$H$2:$H3446, 0)),if(G1656='Room Info'!$G$1, INDEX('Room Info'!$A$2:$A3446, MATCH(B1656,'Room Info'!$G$2:$G3446, 0)))))))))</f>
        <v>0</v>
      </c>
      <c r="B1656" s="101"/>
      <c r="C1656" s="115"/>
      <c r="D1656" s="115"/>
      <c r="E1656" s="85"/>
      <c r="F1656" s="138"/>
      <c r="G1656" s="70"/>
      <c r="H1656" s="114"/>
      <c r="I1656" s="114"/>
      <c r="J1656" s="44" t="str">
        <f t="shared" si="311"/>
        <v/>
      </c>
      <c r="K1656" s="116"/>
      <c r="L1656" s="117"/>
      <c r="M1656" s="67"/>
      <c r="N1656" s="33">
        <f t="shared" si="276"/>
        <v>0</v>
      </c>
      <c r="O1656" s="70"/>
      <c r="P1656" s="34" t="str">
        <f t="shared" si="277"/>
        <v/>
      </c>
      <c r="Q1656" s="60"/>
      <c r="R1656" s="36">
        <f t="shared" si="312"/>
        <v>0</v>
      </c>
      <c r="S1656" s="71"/>
      <c r="T1656" s="37">
        <f t="shared" si="302"/>
        <v>0</v>
      </c>
      <c r="U1656" s="62"/>
      <c r="V1656" s="63"/>
      <c r="W1656" s="63"/>
      <c r="X1656" s="35" t="str">
        <f t="shared" si="303"/>
        <v>#N/A</v>
      </c>
      <c r="Y1656" s="35" t="str">
        <f t="shared" si="304"/>
        <v>#N/A</v>
      </c>
      <c r="Z1656" s="40" t="str">
        <f t="shared" si="305"/>
        <v>#N/A</v>
      </c>
      <c r="AA1656" s="34" t="str">
        <f t="shared" si="306"/>
        <v>#N/A</v>
      </c>
      <c r="AB1656" s="41" t="str">
        <f t="shared" si="307"/>
        <v>#N/A</v>
      </c>
      <c r="AC1656" s="42" t="b">
        <v>0</v>
      </c>
      <c r="AD1656" s="66" t="str">
        <f t="shared" si="308"/>
        <v>USD</v>
      </c>
      <c r="AE1656" s="42"/>
      <c r="AF1656" s="42" t="str">
        <f t="array" ref="AF1656">INDEX('Deal Info'!D:D, MATCH(A1656,'Deal Info'!A:A, 0))</f>
        <v>#N/A</v>
      </c>
      <c r="AG1656" s="43" t="str">
        <f t="array" ref="AG1656">INDEX('Deal Info'!G:G, MATCH(A1656,'Deal Info'!A:A, 0))</f>
        <v>#N/A</v>
      </c>
    </row>
    <row r="1657" hidden="1">
      <c r="A1657" s="23" t="b">
        <f t="array" ref="A1657">if(G1657='Room Info'!$B$1, INDEX('Room Info'!$A$2:$A3446, MATCH(B1657,'Room Info'!$B$2:$B3446, 0)),if(G1657='Room Info'!$C$1, INDEX('Room Info'!$A$2:$A3446, MATCH(B1657,'Room Info'!$C$2:$C3446, 0)),if(G1657='Room Info'!$D$1, INDEX('Room Info'!$A$2:$A3446, MATCH(B1657,'Room Info'!$D$2:$D3446, 0)),if(G1657='Room Info'!$E$1, INDEX('Room Info'!$A$2:$A3446, MATCH(B1657,'Room Info'!$E$2:$E3446, 0)),if(G1657='Room Info'!$F$1, INDEX('Room Info'!$A$2:$A3446, MATCH(B1657,'Room Info'!$F$2:$F3446, 0)),if(G1657='Room Info'!$H$1, INDEX('Room Info'!$A$2:$A3446, MATCH(B1657,'Room Info'!$H$2:$H3446, 0)),if(G1657='Room Info'!$G$1, INDEX('Room Info'!$A$2:$A3446, MATCH(B1657,'Room Info'!$G$2:$G3446, 0)))))))))</f>
        <v>0</v>
      </c>
      <c r="B1657" s="101"/>
      <c r="C1657" s="115"/>
      <c r="D1657" s="115"/>
      <c r="E1657" s="85"/>
      <c r="F1657" s="138"/>
      <c r="G1657" s="101"/>
      <c r="H1657" s="114"/>
      <c r="I1657" s="114"/>
      <c r="J1657" s="44" t="str">
        <f t="shared" si="311"/>
        <v/>
      </c>
      <c r="K1657" s="116"/>
      <c r="L1657" s="117"/>
      <c r="M1657" s="67"/>
      <c r="N1657" s="33">
        <f t="shared" si="276"/>
        <v>0</v>
      </c>
      <c r="O1657" s="70"/>
      <c r="P1657" s="34" t="str">
        <f t="shared" si="277"/>
        <v/>
      </c>
      <c r="Q1657" s="60"/>
      <c r="R1657" s="36">
        <f t="shared" si="312"/>
        <v>0</v>
      </c>
      <c r="S1657" s="71"/>
      <c r="T1657" s="37">
        <f t="shared" si="302"/>
        <v>0</v>
      </c>
      <c r="U1657" s="62"/>
      <c r="V1657" s="63"/>
      <c r="W1657" s="63"/>
      <c r="X1657" s="35" t="str">
        <f t="shared" si="303"/>
        <v>#N/A</v>
      </c>
      <c r="Y1657" s="35" t="str">
        <f t="shared" si="304"/>
        <v>#N/A</v>
      </c>
      <c r="Z1657" s="40" t="str">
        <f t="shared" si="305"/>
        <v>#N/A</v>
      </c>
      <c r="AA1657" s="34" t="str">
        <f t="shared" si="306"/>
        <v>#N/A</v>
      </c>
      <c r="AB1657" s="41" t="str">
        <f t="shared" si="307"/>
        <v>#N/A</v>
      </c>
      <c r="AC1657" s="42" t="b">
        <v>0</v>
      </c>
      <c r="AD1657" s="66" t="str">
        <f t="shared" si="308"/>
        <v>USD</v>
      </c>
      <c r="AE1657" s="42"/>
      <c r="AF1657" s="42" t="str">
        <f t="array" ref="AF1657">INDEX('Deal Info'!D:D, MATCH(A1657,'Deal Info'!A:A, 0))</f>
        <v>#N/A</v>
      </c>
      <c r="AG1657" s="43" t="str">
        <f t="array" ref="AG1657">INDEX('Deal Info'!G:G, MATCH(A1657,'Deal Info'!A:A, 0))</f>
        <v>#N/A</v>
      </c>
    </row>
    <row r="1658" hidden="1">
      <c r="A1658" s="23" t="b">
        <f t="array" ref="A1658">if(G1658='Room Info'!$B$1, INDEX('Room Info'!$A$2:$A3446, MATCH(B1658,'Room Info'!$B$2:$B3446, 0)),if(G1658='Room Info'!$C$1, INDEX('Room Info'!$A$2:$A3446, MATCH(B1658,'Room Info'!$C$2:$C3446, 0)),if(G1658='Room Info'!$D$1, INDEX('Room Info'!$A$2:$A3446, MATCH(B1658,'Room Info'!$D$2:$D3446, 0)),if(G1658='Room Info'!$E$1, INDEX('Room Info'!$A$2:$A3446, MATCH(B1658,'Room Info'!$E$2:$E3446, 0)),if(G1658='Room Info'!$F$1, INDEX('Room Info'!$A$2:$A3446, MATCH(B1658,'Room Info'!$F$2:$F3446, 0)),if(G1658='Room Info'!$H$1, INDEX('Room Info'!$A$2:$A3446, MATCH(B1658,'Room Info'!$H$2:$H3446, 0)),if(G1658='Room Info'!$G$1, INDEX('Room Info'!$A$2:$A3446, MATCH(B1658,'Room Info'!$G$2:$G3446, 0)))))))))</f>
        <v>0</v>
      </c>
      <c r="B1658" s="101"/>
      <c r="C1658" s="115"/>
      <c r="D1658" s="115"/>
      <c r="E1658" s="85"/>
      <c r="F1658" s="138"/>
      <c r="G1658" s="101"/>
      <c r="H1658" s="114"/>
      <c r="I1658" s="114"/>
      <c r="J1658" s="44" t="str">
        <f t="shared" si="311"/>
        <v/>
      </c>
      <c r="K1658" s="116"/>
      <c r="L1658" s="117"/>
      <c r="M1658" s="67"/>
      <c r="N1658" s="33">
        <f t="shared" si="276"/>
        <v>0</v>
      </c>
      <c r="O1658" s="70"/>
      <c r="P1658" s="34" t="str">
        <f t="shared" si="277"/>
        <v/>
      </c>
      <c r="Q1658" s="60"/>
      <c r="R1658" s="36">
        <f t="shared" si="312"/>
        <v>0</v>
      </c>
      <c r="S1658" s="71"/>
      <c r="T1658" s="37">
        <f t="shared" si="302"/>
        <v>0</v>
      </c>
      <c r="U1658" s="62"/>
      <c r="V1658" s="63"/>
      <c r="W1658" s="63"/>
      <c r="X1658" s="35" t="str">
        <f t="shared" si="303"/>
        <v>#N/A</v>
      </c>
      <c r="Y1658" s="35" t="str">
        <f t="shared" si="304"/>
        <v>#N/A</v>
      </c>
      <c r="Z1658" s="40" t="str">
        <f t="shared" si="305"/>
        <v>#N/A</v>
      </c>
      <c r="AA1658" s="34" t="str">
        <f t="shared" si="306"/>
        <v>#N/A</v>
      </c>
      <c r="AB1658" s="41" t="str">
        <f t="shared" si="307"/>
        <v>#N/A</v>
      </c>
      <c r="AC1658" s="42" t="b">
        <v>0</v>
      </c>
      <c r="AD1658" s="66" t="str">
        <f t="shared" si="308"/>
        <v>USD</v>
      </c>
      <c r="AE1658" s="42"/>
      <c r="AF1658" s="42" t="str">
        <f t="array" ref="AF1658">INDEX('Deal Info'!D:D, MATCH(A1658,'Deal Info'!A:A, 0))</f>
        <v>#N/A</v>
      </c>
      <c r="AG1658" s="43" t="str">
        <f t="array" ref="AG1658">INDEX('Deal Info'!G:G, MATCH(A1658,'Deal Info'!A:A, 0))</f>
        <v>#N/A</v>
      </c>
    </row>
    <row r="1659" hidden="1">
      <c r="A1659" s="23" t="b">
        <f t="array" ref="A1659">if(G1659='Room Info'!$B$1, INDEX('Room Info'!$A$2:$A3446, MATCH(B1659,'Room Info'!$B$2:$B3446, 0)),if(G1659='Room Info'!$C$1, INDEX('Room Info'!$A$2:$A3446, MATCH(B1659,'Room Info'!$C$2:$C3446, 0)),if(G1659='Room Info'!$D$1, INDEX('Room Info'!$A$2:$A3446, MATCH(B1659,'Room Info'!$D$2:$D3446, 0)),if(G1659='Room Info'!$E$1, INDEX('Room Info'!$A$2:$A3446, MATCH(B1659,'Room Info'!$E$2:$E3446, 0)),if(G1659='Room Info'!$F$1, INDEX('Room Info'!$A$2:$A3446, MATCH(B1659,'Room Info'!$F$2:$F3446, 0)),if(G1659='Room Info'!$H$1, INDEX('Room Info'!$A$2:$A3446, MATCH(B1659,'Room Info'!$H$2:$H3446, 0)),if(G1659='Room Info'!$G$1, INDEX('Room Info'!$A$2:$A3446, MATCH(B1659,'Room Info'!$G$2:$G3446, 0)))))))))</f>
        <v>0</v>
      </c>
      <c r="B1659" s="101"/>
      <c r="C1659" s="115"/>
      <c r="D1659" s="115"/>
      <c r="E1659" s="85"/>
      <c r="F1659" s="138"/>
      <c r="G1659" s="101"/>
      <c r="H1659" s="114"/>
      <c r="I1659" s="114"/>
      <c r="J1659" s="44" t="str">
        <f t="shared" si="311"/>
        <v/>
      </c>
      <c r="K1659" s="116"/>
      <c r="L1659" s="117"/>
      <c r="M1659" s="67"/>
      <c r="N1659" s="33">
        <f t="shared" si="276"/>
        <v>0</v>
      </c>
      <c r="O1659" s="70"/>
      <c r="P1659" s="34" t="str">
        <f t="shared" si="277"/>
        <v/>
      </c>
      <c r="Q1659" s="60"/>
      <c r="R1659" s="36">
        <f t="shared" si="312"/>
        <v>0</v>
      </c>
      <c r="S1659" s="71"/>
      <c r="T1659" s="37">
        <f t="shared" si="302"/>
        <v>0</v>
      </c>
      <c r="U1659" s="62"/>
      <c r="V1659" s="63"/>
      <c r="W1659" s="63"/>
      <c r="X1659" s="35" t="str">
        <f t="shared" si="303"/>
        <v>#N/A</v>
      </c>
      <c r="Y1659" s="35" t="str">
        <f t="shared" si="304"/>
        <v>#N/A</v>
      </c>
      <c r="Z1659" s="40" t="str">
        <f t="shared" si="305"/>
        <v>#N/A</v>
      </c>
      <c r="AA1659" s="34" t="str">
        <f t="shared" si="306"/>
        <v>#N/A</v>
      </c>
      <c r="AB1659" s="41" t="str">
        <f t="shared" si="307"/>
        <v>#N/A</v>
      </c>
      <c r="AC1659" s="42" t="b">
        <v>0</v>
      </c>
      <c r="AD1659" s="66" t="str">
        <f t="shared" si="308"/>
        <v>USD</v>
      </c>
      <c r="AE1659" s="42"/>
      <c r="AF1659" s="42" t="str">
        <f t="array" ref="AF1659">INDEX('Deal Info'!D:D, MATCH(A1659,'Deal Info'!A:A, 0))</f>
        <v>#N/A</v>
      </c>
      <c r="AG1659" s="43" t="str">
        <f t="array" ref="AG1659">INDEX('Deal Info'!G:G, MATCH(A1659,'Deal Info'!A:A, 0))</f>
        <v>#N/A</v>
      </c>
    </row>
    <row r="1660" hidden="1">
      <c r="A1660" s="23" t="b">
        <f t="array" ref="A1660">if(G1660='Room Info'!$B$1, INDEX('Room Info'!$A$2:$A3446, MATCH(B1660,'Room Info'!$B$2:$B3446, 0)),if(G1660='Room Info'!$C$1, INDEX('Room Info'!$A$2:$A3446, MATCH(B1660,'Room Info'!$C$2:$C3446, 0)),if(G1660='Room Info'!$D$1, INDEX('Room Info'!$A$2:$A3446, MATCH(B1660,'Room Info'!$D$2:$D3446, 0)),if(G1660='Room Info'!$E$1, INDEX('Room Info'!$A$2:$A3446, MATCH(B1660,'Room Info'!$E$2:$E3446, 0)),if(G1660='Room Info'!$F$1, INDEX('Room Info'!$A$2:$A3446, MATCH(B1660,'Room Info'!$F$2:$F3446, 0)),if(G1660='Room Info'!$H$1, INDEX('Room Info'!$A$2:$A3446, MATCH(B1660,'Room Info'!$H$2:$H3446, 0)),if(G1660='Room Info'!$G$1, INDEX('Room Info'!$A$2:$A3446, MATCH(B1660,'Room Info'!$G$2:$G3446, 0)))))))))</f>
        <v>0</v>
      </c>
      <c r="B1660" s="101"/>
      <c r="C1660" s="115"/>
      <c r="D1660" s="115"/>
      <c r="E1660" s="85"/>
      <c r="F1660" s="138"/>
      <c r="G1660" s="101"/>
      <c r="H1660" s="114"/>
      <c r="I1660" s="114"/>
      <c r="J1660" s="44" t="str">
        <f t="shared" si="311"/>
        <v/>
      </c>
      <c r="K1660" s="116"/>
      <c r="L1660" s="117"/>
      <c r="M1660" s="67"/>
      <c r="N1660" s="33">
        <f t="shared" si="276"/>
        <v>0</v>
      </c>
      <c r="O1660" s="70"/>
      <c r="P1660" s="34" t="str">
        <f t="shared" si="277"/>
        <v/>
      </c>
      <c r="Q1660" s="60"/>
      <c r="R1660" s="36">
        <f t="shared" si="312"/>
        <v>0</v>
      </c>
      <c r="S1660" s="71"/>
      <c r="T1660" s="37">
        <f t="shared" si="302"/>
        <v>0</v>
      </c>
      <c r="U1660" s="62"/>
      <c r="V1660" s="63"/>
      <c r="W1660" s="63"/>
      <c r="X1660" s="35" t="str">
        <f t="shared" si="303"/>
        <v>#N/A</v>
      </c>
      <c r="Y1660" s="35" t="str">
        <f t="shared" si="304"/>
        <v>#N/A</v>
      </c>
      <c r="Z1660" s="40" t="str">
        <f t="shared" si="305"/>
        <v>#N/A</v>
      </c>
      <c r="AA1660" s="34" t="str">
        <f t="shared" si="306"/>
        <v>#N/A</v>
      </c>
      <c r="AB1660" s="41" t="str">
        <f t="shared" si="307"/>
        <v>#N/A</v>
      </c>
      <c r="AC1660" s="42" t="b">
        <v>0</v>
      </c>
      <c r="AD1660" s="66" t="str">
        <f t="shared" si="308"/>
        <v>USD</v>
      </c>
      <c r="AE1660" s="42"/>
      <c r="AF1660" s="42" t="str">
        <f t="array" ref="AF1660">INDEX('Deal Info'!D:D, MATCH(A1660,'Deal Info'!A:A, 0))</f>
        <v>#N/A</v>
      </c>
      <c r="AG1660" s="43" t="str">
        <f t="array" ref="AG1660">INDEX('Deal Info'!G:G, MATCH(A1660,'Deal Info'!A:A, 0))</f>
        <v>#N/A</v>
      </c>
    </row>
    <row r="1661" hidden="1">
      <c r="A1661" s="23" t="b">
        <f t="array" ref="A1661">if(G1661='Room Info'!$B$1, INDEX('Room Info'!$A$2:$A3446, MATCH(B1661,'Room Info'!$B$2:$B3446, 0)),if(G1661='Room Info'!$C$1, INDEX('Room Info'!$A$2:$A3446, MATCH(B1661,'Room Info'!$C$2:$C3446, 0)),if(G1661='Room Info'!$D$1, INDEX('Room Info'!$A$2:$A3446, MATCH(B1661,'Room Info'!$D$2:$D3446, 0)),if(G1661='Room Info'!$E$1, INDEX('Room Info'!$A$2:$A3446, MATCH(B1661,'Room Info'!$E$2:$E3446, 0)),if(G1661='Room Info'!$F$1, INDEX('Room Info'!$A$2:$A3446, MATCH(B1661,'Room Info'!$F$2:$F3446, 0)),if(G1661='Room Info'!$H$1, INDEX('Room Info'!$A$2:$A3446, MATCH(B1661,'Room Info'!$H$2:$H3446, 0)),if(G1661='Room Info'!$G$1, INDEX('Room Info'!$A$2:$A3446, MATCH(B1661,'Room Info'!$G$2:$G3446, 0)))))))))</f>
        <v>0</v>
      </c>
      <c r="B1661" s="101"/>
      <c r="C1661" s="115"/>
      <c r="D1661" s="115"/>
      <c r="E1661" s="85"/>
      <c r="F1661" s="101"/>
      <c r="G1661" s="70"/>
      <c r="H1661" s="105"/>
      <c r="I1661" s="105"/>
      <c r="J1661" s="44" t="str">
        <f t="shared" si="311"/>
        <v/>
      </c>
      <c r="K1661" s="139"/>
      <c r="L1661" s="140"/>
      <c r="M1661" s="67"/>
      <c r="N1661" s="33">
        <f t="shared" si="276"/>
        <v>0</v>
      </c>
      <c r="O1661" s="101"/>
      <c r="P1661" s="34" t="str">
        <f t="shared" si="277"/>
        <v/>
      </c>
      <c r="Q1661" s="60"/>
      <c r="R1661" s="36">
        <f t="shared" si="312"/>
        <v>0</v>
      </c>
      <c r="S1661" s="102"/>
      <c r="T1661" s="37">
        <f t="shared" si="302"/>
        <v>0</v>
      </c>
      <c r="U1661" s="62"/>
      <c r="V1661" s="63"/>
      <c r="W1661" s="63"/>
      <c r="X1661" s="35" t="str">
        <f t="shared" si="303"/>
        <v>#N/A</v>
      </c>
      <c r="Y1661" s="35" t="str">
        <f t="shared" si="304"/>
        <v>#N/A</v>
      </c>
      <c r="Z1661" s="40" t="str">
        <f t="shared" si="305"/>
        <v>#N/A</v>
      </c>
      <c r="AA1661" s="34" t="str">
        <f t="shared" si="306"/>
        <v>#N/A</v>
      </c>
      <c r="AB1661" s="41" t="str">
        <f t="shared" si="307"/>
        <v>#N/A</v>
      </c>
      <c r="AC1661" s="42" t="b">
        <v>0</v>
      </c>
      <c r="AD1661" s="66" t="str">
        <f t="shared" si="308"/>
        <v>USD</v>
      </c>
      <c r="AE1661" s="42"/>
      <c r="AF1661" s="42" t="str">
        <f t="array" ref="AF1661">INDEX('Deal Info'!D:D, MATCH(A1661,'Deal Info'!A:A, 0))</f>
        <v>#N/A</v>
      </c>
      <c r="AG1661" s="43" t="str">
        <f t="array" ref="AG1661">INDEX('Deal Info'!G:G, MATCH(A1661,'Deal Info'!A:A, 0))</f>
        <v>#N/A</v>
      </c>
    </row>
    <row r="1662" hidden="1">
      <c r="A1662" s="23" t="b">
        <f t="array" ref="A1662">if(G1662='Room Info'!$B$1, INDEX('Room Info'!$A$2:$A3446, MATCH(B1662,'Room Info'!$B$2:$B3446, 0)),if(G1662='Room Info'!$C$1, INDEX('Room Info'!$A$2:$A3446, MATCH(B1662,'Room Info'!$C$2:$C3446, 0)),if(G1662='Room Info'!$D$1, INDEX('Room Info'!$A$2:$A3446, MATCH(B1662,'Room Info'!$D$2:$D3446, 0)),if(G1662='Room Info'!$E$1, INDEX('Room Info'!$A$2:$A3446, MATCH(B1662,'Room Info'!$E$2:$E3446, 0)),if(G1662='Room Info'!$F$1, INDEX('Room Info'!$A$2:$A3446, MATCH(B1662,'Room Info'!$F$2:$F3446, 0)),if(G1662='Room Info'!$H$1, INDEX('Room Info'!$A$2:$A3446, MATCH(B1662,'Room Info'!$H$2:$H3446, 0)),if(G1662='Room Info'!$G$1, INDEX('Room Info'!$A$2:$A3446, MATCH(B1662,'Room Info'!$G$2:$G3446, 0)))))))))</f>
        <v>0</v>
      </c>
      <c r="B1662" s="101"/>
      <c r="C1662" s="115"/>
      <c r="D1662" s="115"/>
      <c r="E1662" s="85"/>
      <c r="F1662" s="101"/>
      <c r="G1662" s="70"/>
      <c r="H1662" s="105"/>
      <c r="I1662" s="105"/>
      <c r="J1662" s="44" t="str">
        <f t="shared" si="311"/>
        <v/>
      </c>
      <c r="K1662" s="139"/>
      <c r="L1662" s="140"/>
      <c r="M1662" s="67"/>
      <c r="N1662" s="33">
        <f t="shared" si="276"/>
        <v>0</v>
      </c>
      <c r="O1662" s="101"/>
      <c r="P1662" s="34" t="str">
        <f t="shared" si="277"/>
        <v/>
      </c>
      <c r="Q1662" s="60"/>
      <c r="R1662" s="36">
        <f t="shared" si="312"/>
        <v>0</v>
      </c>
      <c r="S1662" s="102"/>
      <c r="T1662" s="37">
        <f t="shared" si="302"/>
        <v>0</v>
      </c>
      <c r="U1662" s="62"/>
      <c r="V1662" s="63"/>
      <c r="W1662" s="63"/>
      <c r="X1662" s="35" t="str">
        <f t="shared" si="303"/>
        <v>#N/A</v>
      </c>
      <c r="Y1662" s="35" t="str">
        <f t="shared" si="304"/>
        <v>#N/A</v>
      </c>
      <c r="Z1662" s="40" t="str">
        <f t="shared" si="305"/>
        <v>#N/A</v>
      </c>
      <c r="AA1662" s="34" t="str">
        <f t="shared" si="306"/>
        <v>#N/A</v>
      </c>
      <c r="AB1662" s="41" t="str">
        <f t="shared" si="307"/>
        <v>#N/A</v>
      </c>
      <c r="AC1662" s="42" t="b">
        <v>0</v>
      </c>
      <c r="AD1662" s="66" t="str">
        <f t="shared" si="308"/>
        <v>USD</v>
      </c>
      <c r="AE1662" s="42"/>
      <c r="AF1662" s="42" t="str">
        <f t="array" ref="AF1662">INDEX('Deal Info'!D:D, MATCH(A1662,'Deal Info'!A:A, 0))</f>
        <v>#N/A</v>
      </c>
      <c r="AG1662" s="43" t="str">
        <f t="array" ref="AG1662">INDEX('Deal Info'!G:G, MATCH(A1662,'Deal Info'!A:A, 0))</f>
        <v>#N/A</v>
      </c>
    </row>
    <row r="1663" hidden="1">
      <c r="A1663" s="23" t="b">
        <f t="array" ref="A1663">if(G1663='Room Info'!$B$1, INDEX('Room Info'!$A$2:$A3446, MATCH(B1663,'Room Info'!$B$2:$B3446, 0)),if(G1663='Room Info'!$C$1, INDEX('Room Info'!$A$2:$A3446, MATCH(B1663,'Room Info'!$C$2:$C3446, 0)),if(G1663='Room Info'!$D$1, INDEX('Room Info'!$A$2:$A3446, MATCH(B1663,'Room Info'!$D$2:$D3446, 0)),if(G1663='Room Info'!$E$1, INDEX('Room Info'!$A$2:$A3446, MATCH(B1663,'Room Info'!$E$2:$E3446, 0)),if(G1663='Room Info'!$F$1, INDEX('Room Info'!$A$2:$A3446, MATCH(B1663,'Room Info'!$F$2:$F3446, 0)),if(G1663='Room Info'!$H$1, INDEX('Room Info'!$A$2:$A3446, MATCH(B1663,'Room Info'!$H$2:$H3446, 0)),if(G1663='Room Info'!$G$1, INDEX('Room Info'!$A$2:$A3446, MATCH(B1663,'Room Info'!$G$2:$G3446, 0)))))))))</f>
        <v>0</v>
      </c>
      <c r="B1663" s="101"/>
      <c r="C1663" s="115"/>
      <c r="D1663" s="115"/>
      <c r="E1663" s="85"/>
      <c r="F1663" s="101"/>
      <c r="G1663" s="70"/>
      <c r="H1663" s="105"/>
      <c r="I1663" s="105"/>
      <c r="J1663" s="44" t="str">
        <f t="shared" si="311"/>
        <v/>
      </c>
      <c r="K1663" s="139"/>
      <c r="L1663" s="140"/>
      <c r="M1663" s="67"/>
      <c r="N1663" s="33">
        <f t="shared" si="276"/>
        <v>0</v>
      </c>
      <c r="O1663" s="101"/>
      <c r="P1663" s="34" t="str">
        <f t="shared" si="277"/>
        <v/>
      </c>
      <c r="Q1663" s="60"/>
      <c r="R1663" s="36">
        <f t="shared" si="312"/>
        <v>0</v>
      </c>
      <c r="S1663" s="102"/>
      <c r="T1663" s="37">
        <f t="shared" si="302"/>
        <v>0</v>
      </c>
      <c r="U1663" s="62"/>
      <c r="V1663" s="63"/>
      <c r="W1663" s="63"/>
      <c r="X1663" s="35" t="str">
        <f t="shared" si="303"/>
        <v>#N/A</v>
      </c>
      <c r="Y1663" s="35" t="str">
        <f t="shared" si="304"/>
        <v>#N/A</v>
      </c>
      <c r="Z1663" s="40" t="str">
        <f t="shared" si="305"/>
        <v>#N/A</v>
      </c>
      <c r="AA1663" s="34" t="str">
        <f t="shared" si="306"/>
        <v>#N/A</v>
      </c>
      <c r="AB1663" s="41" t="str">
        <f t="shared" si="307"/>
        <v>#N/A</v>
      </c>
      <c r="AC1663" s="42" t="b">
        <v>0</v>
      </c>
      <c r="AD1663" s="66" t="str">
        <f t="shared" si="308"/>
        <v>USD</v>
      </c>
      <c r="AE1663" s="42"/>
      <c r="AF1663" s="42" t="str">
        <f t="array" ref="AF1663">INDEX('Deal Info'!D:D, MATCH(A1663,'Deal Info'!A:A, 0))</f>
        <v>#N/A</v>
      </c>
      <c r="AG1663" s="43" t="str">
        <f t="array" ref="AG1663">INDEX('Deal Info'!G:G, MATCH(A1663,'Deal Info'!A:A, 0))</f>
        <v>#N/A</v>
      </c>
    </row>
    <row r="1664" hidden="1">
      <c r="A1664" s="23" t="b">
        <f t="array" ref="A1664">if(G1664='Room Info'!$B$1, INDEX('Room Info'!$A$2:$A3446, MATCH(B1664,'Room Info'!$B$2:$B3446, 0)),if(G1664='Room Info'!$C$1, INDEX('Room Info'!$A$2:$A3446, MATCH(B1664,'Room Info'!$C$2:$C3446, 0)),if(G1664='Room Info'!$D$1, INDEX('Room Info'!$A$2:$A3446, MATCH(B1664,'Room Info'!$D$2:$D3446, 0)),if(G1664='Room Info'!$E$1, INDEX('Room Info'!$A$2:$A3446, MATCH(B1664,'Room Info'!$E$2:$E3446, 0)),if(G1664='Room Info'!$F$1, INDEX('Room Info'!$A$2:$A3446, MATCH(B1664,'Room Info'!$F$2:$F3446, 0)),if(G1664='Room Info'!$H$1, INDEX('Room Info'!$A$2:$A3446, MATCH(B1664,'Room Info'!$H$2:$H3446, 0)),if(G1664='Room Info'!$G$1, INDEX('Room Info'!$A$2:$A3446, MATCH(B1664,'Room Info'!$G$2:$G3446, 0)))))))))</f>
        <v>0</v>
      </c>
      <c r="B1664" s="101"/>
      <c r="C1664" s="115"/>
      <c r="D1664" s="115"/>
      <c r="E1664" s="85"/>
      <c r="F1664" s="101"/>
      <c r="G1664" s="70"/>
      <c r="H1664" s="105"/>
      <c r="I1664" s="105"/>
      <c r="J1664" s="44" t="str">
        <f t="shared" si="311"/>
        <v/>
      </c>
      <c r="K1664" s="116"/>
      <c r="L1664" s="117"/>
      <c r="M1664" s="67"/>
      <c r="N1664" s="33">
        <f t="shared" si="276"/>
        <v>0</v>
      </c>
      <c r="O1664" s="70"/>
      <c r="P1664" s="34" t="str">
        <f t="shared" si="277"/>
        <v/>
      </c>
      <c r="Q1664" s="60"/>
      <c r="R1664" s="36">
        <f t="shared" si="312"/>
        <v>0</v>
      </c>
      <c r="S1664" s="71"/>
      <c r="T1664" s="37">
        <f t="shared" si="302"/>
        <v>0</v>
      </c>
      <c r="U1664" s="62"/>
      <c r="V1664" s="63"/>
      <c r="W1664" s="63"/>
      <c r="X1664" s="35" t="str">
        <f t="shared" si="303"/>
        <v>#N/A</v>
      </c>
      <c r="Y1664" s="35" t="str">
        <f t="shared" si="304"/>
        <v>#N/A</v>
      </c>
      <c r="Z1664" s="40" t="str">
        <f t="shared" si="305"/>
        <v>#N/A</v>
      </c>
      <c r="AA1664" s="34" t="str">
        <f t="shared" si="306"/>
        <v>#N/A</v>
      </c>
      <c r="AB1664" s="41" t="str">
        <f t="shared" si="307"/>
        <v>#N/A</v>
      </c>
      <c r="AC1664" s="42" t="b">
        <v>0</v>
      </c>
      <c r="AD1664" s="66" t="str">
        <f t="shared" si="308"/>
        <v>USD</v>
      </c>
      <c r="AE1664" s="42"/>
      <c r="AF1664" s="42" t="str">
        <f t="array" ref="AF1664">INDEX('Deal Info'!D:D, MATCH(A1664,'Deal Info'!A:A, 0))</f>
        <v>#N/A</v>
      </c>
      <c r="AG1664" s="43" t="str">
        <f t="array" ref="AG1664">INDEX('Deal Info'!G:G, MATCH(A1664,'Deal Info'!A:A, 0))</f>
        <v>#N/A</v>
      </c>
    </row>
    <row r="1665" hidden="1">
      <c r="A1665" s="23" t="b">
        <f t="array" ref="A1665">if(G1665='Room Info'!$B$1, INDEX('Room Info'!$A$2:$A3446, MATCH(B1665,'Room Info'!$B$2:$B3446, 0)),if(G1665='Room Info'!$C$1, INDEX('Room Info'!$A$2:$A3446, MATCH(B1665,'Room Info'!$C$2:$C3446, 0)),if(G1665='Room Info'!$D$1, INDEX('Room Info'!$A$2:$A3446, MATCH(B1665,'Room Info'!$D$2:$D3446, 0)),if(G1665='Room Info'!$E$1, INDEX('Room Info'!$A$2:$A3446, MATCH(B1665,'Room Info'!$E$2:$E3446, 0)),if(G1665='Room Info'!$F$1, INDEX('Room Info'!$A$2:$A3446, MATCH(B1665,'Room Info'!$F$2:$F3446, 0)),if(G1665='Room Info'!$H$1, INDEX('Room Info'!$A$2:$A3446, MATCH(B1665,'Room Info'!$H$2:$H3446, 0)),if(G1665='Room Info'!$G$1, INDEX('Room Info'!$A$2:$A3446, MATCH(B1665,'Room Info'!$G$2:$G3446, 0)))))))))</f>
        <v>0</v>
      </c>
      <c r="B1665" s="101"/>
      <c r="C1665" s="115"/>
      <c r="D1665" s="115"/>
      <c r="E1665" s="85"/>
      <c r="F1665" s="101"/>
      <c r="G1665" s="70"/>
      <c r="H1665" s="105"/>
      <c r="I1665" s="105"/>
      <c r="J1665" s="44" t="str">
        <f t="shared" si="311"/>
        <v/>
      </c>
      <c r="K1665" s="116"/>
      <c r="L1665" s="117"/>
      <c r="M1665" s="67"/>
      <c r="N1665" s="33">
        <f t="shared" si="276"/>
        <v>0</v>
      </c>
      <c r="O1665" s="70"/>
      <c r="P1665" s="34" t="str">
        <f t="shared" si="277"/>
        <v/>
      </c>
      <c r="Q1665" s="60"/>
      <c r="R1665" s="36">
        <f t="shared" si="312"/>
        <v>0</v>
      </c>
      <c r="S1665" s="71"/>
      <c r="T1665" s="37">
        <f t="shared" si="302"/>
        <v>0</v>
      </c>
      <c r="U1665" s="62"/>
      <c r="V1665" s="63"/>
      <c r="W1665" s="63"/>
      <c r="X1665" s="35" t="str">
        <f t="shared" si="303"/>
        <v>#N/A</v>
      </c>
      <c r="Y1665" s="35" t="str">
        <f t="shared" si="304"/>
        <v>#N/A</v>
      </c>
      <c r="Z1665" s="40" t="str">
        <f t="shared" si="305"/>
        <v>#N/A</v>
      </c>
      <c r="AA1665" s="34" t="str">
        <f t="shared" si="306"/>
        <v>#N/A</v>
      </c>
      <c r="AB1665" s="41" t="str">
        <f t="shared" si="307"/>
        <v>#N/A</v>
      </c>
      <c r="AC1665" s="42" t="b">
        <v>0</v>
      </c>
      <c r="AD1665" s="66" t="str">
        <f t="shared" si="308"/>
        <v>USD</v>
      </c>
      <c r="AE1665" s="42"/>
      <c r="AF1665" s="42" t="str">
        <f t="array" ref="AF1665">INDEX('Deal Info'!D:D, MATCH(A1665,'Deal Info'!A:A, 0))</f>
        <v>#N/A</v>
      </c>
      <c r="AG1665" s="43" t="str">
        <f t="array" ref="AG1665">INDEX('Deal Info'!G:G, MATCH(A1665,'Deal Info'!A:A, 0))</f>
        <v>#N/A</v>
      </c>
    </row>
    <row r="1666" hidden="1">
      <c r="A1666" s="23" t="b">
        <f t="array" ref="A1666">if(G1666='Room Info'!$B$1, INDEX('Room Info'!$A$2:$A3446, MATCH(B1666,'Room Info'!$B$2:$B3446, 0)),if(G1666='Room Info'!$C$1, INDEX('Room Info'!$A$2:$A3446, MATCH(B1666,'Room Info'!$C$2:$C3446, 0)),if(G1666='Room Info'!$D$1, INDEX('Room Info'!$A$2:$A3446, MATCH(B1666,'Room Info'!$D$2:$D3446, 0)),if(G1666='Room Info'!$E$1, INDEX('Room Info'!$A$2:$A3446, MATCH(B1666,'Room Info'!$E$2:$E3446, 0)),if(G1666='Room Info'!$F$1, INDEX('Room Info'!$A$2:$A3446, MATCH(B1666,'Room Info'!$F$2:$F3446, 0)),if(G1666='Room Info'!$H$1, INDEX('Room Info'!$A$2:$A3446, MATCH(B1666,'Room Info'!$H$2:$H3446, 0)),if(G1666='Room Info'!$G$1, INDEX('Room Info'!$A$2:$A3446, MATCH(B1666,'Room Info'!$G$2:$G3446, 0)))))))))</f>
        <v>0</v>
      </c>
      <c r="B1666" s="101"/>
      <c r="C1666" s="115"/>
      <c r="D1666" s="115"/>
      <c r="E1666" s="85"/>
      <c r="F1666" s="101"/>
      <c r="G1666" s="70"/>
      <c r="H1666" s="114"/>
      <c r="I1666" s="114"/>
      <c r="J1666" s="44" t="str">
        <f t="shared" si="311"/>
        <v/>
      </c>
      <c r="K1666" s="116"/>
      <c r="L1666" s="117"/>
      <c r="M1666" s="67"/>
      <c r="N1666" s="33">
        <f t="shared" si="276"/>
        <v>0</v>
      </c>
      <c r="O1666" s="70"/>
      <c r="P1666" s="34" t="str">
        <f t="shared" si="277"/>
        <v/>
      </c>
      <c r="Q1666" s="60"/>
      <c r="R1666" s="36">
        <f t="shared" si="312"/>
        <v>0</v>
      </c>
      <c r="S1666" s="71"/>
      <c r="T1666" s="37">
        <f t="shared" si="302"/>
        <v>0</v>
      </c>
      <c r="U1666" s="62"/>
      <c r="V1666" s="63"/>
      <c r="W1666" s="63"/>
      <c r="X1666" s="35" t="str">
        <f t="shared" si="303"/>
        <v>#N/A</v>
      </c>
      <c r="Y1666" s="35" t="str">
        <f t="shared" si="304"/>
        <v>#N/A</v>
      </c>
      <c r="Z1666" s="40" t="str">
        <f t="shared" si="305"/>
        <v>#N/A</v>
      </c>
      <c r="AA1666" s="34" t="str">
        <f t="shared" si="306"/>
        <v>#N/A</v>
      </c>
      <c r="AB1666" s="41" t="str">
        <f t="shared" si="307"/>
        <v>#N/A</v>
      </c>
      <c r="AC1666" s="42" t="b">
        <v>0</v>
      </c>
      <c r="AD1666" s="66" t="str">
        <f t="shared" si="308"/>
        <v>USD</v>
      </c>
      <c r="AE1666" s="42"/>
      <c r="AF1666" s="42" t="str">
        <f t="array" ref="AF1666">INDEX('Deal Info'!D:D, MATCH(A1666,'Deal Info'!A:A, 0))</f>
        <v>#N/A</v>
      </c>
      <c r="AG1666" s="43" t="str">
        <f t="array" ref="AG1666">INDEX('Deal Info'!G:G, MATCH(A1666,'Deal Info'!A:A, 0))</f>
        <v>#N/A</v>
      </c>
    </row>
    <row r="1667" hidden="1">
      <c r="A1667" s="23" t="b">
        <f t="array" ref="A1667">if(G1667='Room Info'!$B$1, INDEX('Room Info'!$A$2:$A3446, MATCH(B1667,'Room Info'!$B$2:$B3446, 0)),if(G1667='Room Info'!$C$1, INDEX('Room Info'!$A$2:$A3446, MATCH(B1667,'Room Info'!$C$2:$C3446, 0)),if(G1667='Room Info'!$D$1, INDEX('Room Info'!$A$2:$A3446, MATCH(B1667,'Room Info'!$D$2:$D3446, 0)),if(G1667='Room Info'!$E$1, INDEX('Room Info'!$A$2:$A3446, MATCH(B1667,'Room Info'!$E$2:$E3446, 0)),if(G1667='Room Info'!$F$1, INDEX('Room Info'!$A$2:$A3446, MATCH(B1667,'Room Info'!$F$2:$F3446, 0)),if(G1667='Room Info'!$H$1, INDEX('Room Info'!$A$2:$A3446, MATCH(B1667,'Room Info'!$H$2:$H3446, 0)),if(G1667='Room Info'!$G$1, INDEX('Room Info'!$A$2:$A3446, MATCH(B1667,'Room Info'!$G$2:$G3446, 0)))))))))</f>
        <v>0</v>
      </c>
      <c r="B1667" s="101"/>
      <c r="C1667" s="115"/>
      <c r="D1667" s="115"/>
      <c r="E1667" s="85"/>
      <c r="F1667" s="101"/>
      <c r="G1667" s="70"/>
      <c r="H1667" s="114"/>
      <c r="I1667" s="114"/>
      <c r="J1667" s="44" t="str">
        <f t="shared" si="311"/>
        <v/>
      </c>
      <c r="K1667" s="116"/>
      <c r="L1667" s="117"/>
      <c r="M1667" s="67"/>
      <c r="N1667" s="33">
        <f t="shared" si="276"/>
        <v>0</v>
      </c>
      <c r="O1667" s="70"/>
      <c r="P1667" s="34" t="str">
        <f t="shared" si="277"/>
        <v/>
      </c>
      <c r="Q1667" s="60"/>
      <c r="R1667" s="36">
        <f t="shared" si="312"/>
        <v>0</v>
      </c>
      <c r="S1667" s="71"/>
      <c r="T1667" s="37">
        <f t="shared" si="302"/>
        <v>0</v>
      </c>
      <c r="U1667" s="62"/>
      <c r="V1667" s="63"/>
      <c r="W1667" s="63"/>
      <c r="X1667" s="35" t="str">
        <f t="shared" si="303"/>
        <v>#N/A</v>
      </c>
      <c r="Y1667" s="35" t="str">
        <f t="shared" si="304"/>
        <v>#N/A</v>
      </c>
      <c r="Z1667" s="40" t="str">
        <f t="shared" si="305"/>
        <v>#N/A</v>
      </c>
      <c r="AA1667" s="34" t="str">
        <f t="shared" si="306"/>
        <v>#N/A</v>
      </c>
      <c r="AB1667" s="41" t="str">
        <f t="shared" si="307"/>
        <v>#N/A</v>
      </c>
      <c r="AC1667" s="42" t="b">
        <v>0</v>
      </c>
      <c r="AD1667" s="66" t="str">
        <f t="shared" si="308"/>
        <v>USD</v>
      </c>
      <c r="AE1667" s="42"/>
      <c r="AF1667" s="42" t="str">
        <f t="array" ref="AF1667">INDEX('Deal Info'!D:D, MATCH(A1667,'Deal Info'!A:A, 0))</f>
        <v>#N/A</v>
      </c>
      <c r="AG1667" s="43" t="str">
        <f t="array" ref="AG1667">INDEX('Deal Info'!G:G, MATCH(A1667,'Deal Info'!A:A, 0))</f>
        <v>#N/A</v>
      </c>
    </row>
    <row r="1668" hidden="1">
      <c r="A1668" s="23" t="b">
        <f t="array" ref="A1668">if(G1668='Room Info'!$B$1, INDEX('Room Info'!$A$2:$A3446, MATCH(B1668,'Room Info'!$B$2:$B3446, 0)),if(G1668='Room Info'!$C$1, INDEX('Room Info'!$A$2:$A3446, MATCH(B1668,'Room Info'!$C$2:$C3446, 0)),if(G1668='Room Info'!$D$1, INDEX('Room Info'!$A$2:$A3446, MATCH(B1668,'Room Info'!$D$2:$D3446, 0)),if(G1668='Room Info'!$E$1, INDEX('Room Info'!$A$2:$A3446, MATCH(B1668,'Room Info'!$E$2:$E3446, 0)),if(G1668='Room Info'!$F$1, INDEX('Room Info'!$A$2:$A3446, MATCH(B1668,'Room Info'!$F$2:$F3446, 0)),if(G1668='Room Info'!$H$1, INDEX('Room Info'!$A$2:$A3446, MATCH(B1668,'Room Info'!$H$2:$H3446, 0)),if(G1668='Room Info'!$G$1, INDEX('Room Info'!$A$2:$A3446, MATCH(B1668,'Room Info'!$G$2:$G3446, 0)))))))))</f>
        <v>0</v>
      </c>
      <c r="B1668" s="101"/>
      <c r="C1668" s="115"/>
      <c r="D1668" s="115"/>
      <c r="E1668" s="85"/>
      <c r="F1668" s="101"/>
      <c r="G1668" s="70"/>
      <c r="H1668" s="114"/>
      <c r="I1668" s="114"/>
      <c r="J1668" s="44" t="str">
        <f t="shared" si="311"/>
        <v/>
      </c>
      <c r="K1668" s="116"/>
      <c r="L1668" s="117"/>
      <c r="M1668" s="67"/>
      <c r="N1668" s="33">
        <f t="shared" si="276"/>
        <v>0</v>
      </c>
      <c r="O1668" s="70"/>
      <c r="P1668" s="34" t="str">
        <f t="shared" si="277"/>
        <v/>
      </c>
      <c r="Q1668" s="60"/>
      <c r="R1668" s="36">
        <f t="shared" si="312"/>
        <v>0</v>
      </c>
      <c r="S1668" s="71"/>
      <c r="T1668" s="37">
        <f t="shared" si="302"/>
        <v>0</v>
      </c>
      <c r="U1668" s="62"/>
      <c r="V1668" s="63"/>
      <c r="W1668" s="63"/>
      <c r="X1668" s="35" t="str">
        <f t="shared" si="303"/>
        <v>#N/A</v>
      </c>
      <c r="Y1668" s="35" t="str">
        <f t="shared" si="304"/>
        <v>#N/A</v>
      </c>
      <c r="Z1668" s="40" t="str">
        <f t="shared" si="305"/>
        <v>#N/A</v>
      </c>
      <c r="AA1668" s="34" t="str">
        <f t="shared" si="306"/>
        <v>#N/A</v>
      </c>
      <c r="AB1668" s="41" t="str">
        <f t="shared" si="307"/>
        <v>#N/A</v>
      </c>
      <c r="AC1668" s="42" t="b">
        <v>0</v>
      </c>
      <c r="AD1668" s="66" t="str">
        <f t="shared" si="308"/>
        <v>USD</v>
      </c>
      <c r="AE1668" s="42"/>
      <c r="AF1668" s="42" t="str">
        <f t="array" ref="AF1668">INDEX('Deal Info'!D:D, MATCH(A1668,'Deal Info'!A:A, 0))</f>
        <v>#N/A</v>
      </c>
      <c r="AG1668" s="43" t="str">
        <f t="array" ref="AG1668">INDEX('Deal Info'!G:G, MATCH(A1668,'Deal Info'!A:A, 0))</f>
        <v>#N/A</v>
      </c>
    </row>
    <row r="1669" hidden="1">
      <c r="A1669" s="23" t="b">
        <f t="array" ref="A1669">if(G1669='Room Info'!$B$1, INDEX('Room Info'!$A$2:$A3446, MATCH(B1669,'Room Info'!$B$2:$B3446, 0)),if(G1669='Room Info'!$C$1, INDEX('Room Info'!$A$2:$A3446, MATCH(B1669,'Room Info'!$C$2:$C3446, 0)),if(G1669='Room Info'!$D$1, INDEX('Room Info'!$A$2:$A3446, MATCH(B1669,'Room Info'!$D$2:$D3446, 0)),if(G1669='Room Info'!$E$1, INDEX('Room Info'!$A$2:$A3446, MATCH(B1669,'Room Info'!$E$2:$E3446, 0)),if(G1669='Room Info'!$F$1, INDEX('Room Info'!$A$2:$A3446, MATCH(B1669,'Room Info'!$F$2:$F3446, 0)),if(G1669='Room Info'!$H$1, INDEX('Room Info'!$A$2:$A3446, MATCH(B1669,'Room Info'!$H$2:$H3446, 0)),if(G1669='Room Info'!$G$1, INDEX('Room Info'!$A$2:$A3446, MATCH(B1669,'Room Info'!$G$2:$G3446, 0)))))))))</f>
        <v>0</v>
      </c>
      <c r="B1669" s="101"/>
      <c r="C1669" s="115"/>
      <c r="D1669" s="115"/>
      <c r="E1669" s="85"/>
      <c r="F1669" s="101"/>
      <c r="G1669" s="70"/>
      <c r="H1669" s="114"/>
      <c r="I1669" s="114"/>
      <c r="J1669" s="44" t="str">
        <f t="shared" si="311"/>
        <v/>
      </c>
      <c r="K1669" s="116"/>
      <c r="L1669" s="117"/>
      <c r="M1669" s="67"/>
      <c r="N1669" s="33">
        <f t="shared" si="276"/>
        <v>0</v>
      </c>
      <c r="O1669" s="70"/>
      <c r="P1669" s="34" t="str">
        <f t="shared" si="277"/>
        <v/>
      </c>
      <c r="Q1669" s="60"/>
      <c r="R1669" s="36">
        <f t="shared" si="312"/>
        <v>0</v>
      </c>
      <c r="S1669" s="71"/>
      <c r="T1669" s="37">
        <f t="shared" si="302"/>
        <v>0</v>
      </c>
      <c r="U1669" s="62"/>
      <c r="V1669" s="63"/>
      <c r="W1669" s="63"/>
      <c r="X1669" s="35" t="str">
        <f t="shared" si="303"/>
        <v>#N/A</v>
      </c>
      <c r="Y1669" s="35" t="str">
        <f t="shared" si="304"/>
        <v>#N/A</v>
      </c>
      <c r="Z1669" s="40" t="str">
        <f t="shared" si="305"/>
        <v>#N/A</v>
      </c>
      <c r="AA1669" s="34" t="str">
        <f t="shared" si="306"/>
        <v>#N/A</v>
      </c>
      <c r="AB1669" s="41" t="str">
        <f t="shared" si="307"/>
        <v>#N/A</v>
      </c>
      <c r="AC1669" s="42" t="b">
        <v>0</v>
      </c>
      <c r="AD1669" s="66" t="str">
        <f t="shared" si="308"/>
        <v>USD</v>
      </c>
      <c r="AE1669" s="42"/>
      <c r="AF1669" s="42" t="str">
        <f t="array" ref="AF1669">INDEX('Deal Info'!D:D, MATCH(A1669,'Deal Info'!A:A, 0))</f>
        <v>#N/A</v>
      </c>
      <c r="AG1669" s="43" t="str">
        <f t="array" ref="AG1669">INDEX('Deal Info'!G:G, MATCH(A1669,'Deal Info'!A:A, 0))</f>
        <v>#N/A</v>
      </c>
    </row>
    <row r="1670" hidden="1">
      <c r="A1670" s="23" t="b">
        <f t="array" ref="A1670">if(G1670='Room Info'!$B$1, INDEX('Room Info'!$A$2:$A3446, MATCH(B1670,'Room Info'!$B$2:$B3446, 0)),if(G1670='Room Info'!$C$1, INDEX('Room Info'!$A$2:$A3446, MATCH(B1670,'Room Info'!$C$2:$C3446, 0)),if(G1670='Room Info'!$D$1, INDEX('Room Info'!$A$2:$A3446, MATCH(B1670,'Room Info'!$D$2:$D3446, 0)),if(G1670='Room Info'!$E$1, INDEX('Room Info'!$A$2:$A3446, MATCH(B1670,'Room Info'!$E$2:$E3446, 0)),if(G1670='Room Info'!$F$1, INDEX('Room Info'!$A$2:$A3446, MATCH(B1670,'Room Info'!$F$2:$F3446, 0)),if(G1670='Room Info'!$H$1, INDEX('Room Info'!$A$2:$A3446, MATCH(B1670,'Room Info'!$H$2:$H3446, 0)),if(G1670='Room Info'!$G$1, INDEX('Room Info'!$A$2:$A3446, MATCH(B1670,'Room Info'!$G$2:$G3446, 0)))))))))</f>
        <v>0</v>
      </c>
      <c r="B1670" s="70"/>
      <c r="C1670" s="115"/>
      <c r="D1670" s="115"/>
      <c r="E1670" s="85"/>
      <c r="F1670" s="101"/>
      <c r="G1670" s="70"/>
      <c r="H1670" s="114"/>
      <c r="I1670" s="114"/>
      <c r="J1670" s="44" t="str">
        <f t="shared" si="311"/>
        <v/>
      </c>
      <c r="K1670" s="116"/>
      <c r="L1670" s="117"/>
      <c r="M1670" s="67"/>
      <c r="N1670" s="33">
        <f t="shared" si="276"/>
        <v>0</v>
      </c>
      <c r="O1670" s="70"/>
      <c r="P1670" s="34" t="str">
        <f t="shared" si="277"/>
        <v/>
      </c>
      <c r="Q1670" s="60"/>
      <c r="R1670" s="36">
        <f t="shared" si="312"/>
        <v>0</v>
      </c>
      <c r="S1670" s="71"/>
      <c r="T1670" s="37">
        <f t="shared" si="302"/>
        <v>0</v>
      </c>
      <c r="U1670" s="62"/>
      <c r="V1670" s="63"/>
      <c r="W1670" s="63"/>
      <c r="X1670" s="35" t="str">
        <f t="shared" si="303"/>
        <v>#N/A</v>
      </c>
      <c r="Y1670" s="35" t="str">
        <f t="shared" si="304"/>
        <v>#N/A</v>
      </c>
      <c r="Z1670" s="40" t="str">
        <f t="shared" si="305"/>
        <v>#N/A</v>
      </c>
      <c r="AA1670" s="34" t="str">
        <f t="shared" si="306"/>
        <v>#N/A</v>
      </c>
      <c r="AB1670" s="41" t="str">
        <f t="shared" si="307"/>
        <v>#N/A</v>
      </c>
      <c r="AC1670" s="42" t="b">
        <v>0</v>
      </c>
      <c r="AD1670" s="66" t="str">
        <f t="shared" si="308"/>
        <v>USD</v>
      </c>
      <c r="AE1670" s="42"/>
      <c r="AF1670" s="42" t="str">
        <f t="array" ref="AF1670">INDEX('Deal Info'!D:D, MATCH(A1670,'Deal Info'!A:A, 0))</f>
        <v>#N/A</v>
      </c>
      <c r="AG1670" s="43" t="str">
        <f t="array" ref="AG1670">INDEX('Deal Info'!G:G, MATCH(A1670,'Deal Info'!A:A, 0))</f>
        <v>#N/A</v>
      </c>
    </row>
    <row r="1671" hidden="1">
      <c r="A1671" s="23" t="b">
        <f t="array" ref="A1671">if(G1671='Room Info'!$B$1, INDEX('Room Info'!$A$2:$A3446, MATCH(B1671,'Room Info'!$B$2:$B3446, 0)),if(G1671='Room Info'!$C$1, INDEX('Room Info'!$A$2:$A3446, MATCH(B1671,'Room Info'!$C$2:$C3446, 0)),if(G1671='Room Info'!$D$1, INDEX('Room Info'!$A$2:$A3446, MATCH(B1671,'Room Info'!$D$2:$D3446, 0)),if(G1671='Room Info'!$E$1, INDEX('Room Info'!$A$2:$A3446, MATCH(B1671,'Room Info'!$E$2:$E3446, 0)),if(G1671='Room Info'!$F$1, INDEX('Room Info'!$A$2:$A3446, MATCH(B1671,'Room Info'!$F$2:$F3446, 0)),if(G1671='Room Info'!$H$1, INDEX('Room Info'!$A$2:$A3446, MATCH(B1671,'Room Info'!$H$2:$H3446, 0)),if(G1671='Room Info'!$G$1, INDEX('Room Info'!$A$2:$A3446, MATCH(B1671,'Room Info'!$G$2:$G3446, 0)))))))))</f>
        <v>0</v>
      </c>
      <c r="B1671" s="101"/>
      <c r="C1671" s="115"/>
      <c r="D1671" s="115"/>
      <c r="E1671" s="85"/>
      <c r="F1671" s="138"/>
      <c r="G1671" s="101"/>
      <c r="H1671" s="114"/>
      <c r="I1671" s="114"/>
      <c r="J1671" s="44" t="str">
        <f t="shared" si="311"/>
        <v/>
      </c>
      <c r="K1671" s="116"/>
      <c r="L1671" s="117"/>
      <c r="M1671" s="67"/>
      <c r="N1671" s="33">
        <f t="shared" si="276"/>
        <v>0</v>
      </c>
      <c r="O1671" s="70"/>
      <c r="P1671" s="34" t="str">
        <f t="shared" si="277"/>
        <v/>
      </c>
      <c r="Q1671" s="60"/>
      <c r="R1671" s="36">
        <f t="shared" si="312"/>
        <v>0</v>
      </c>
      <c r="S1671" s="71"/>
      <c r="T1671" s="37">
        <f t="shared" si="302"/>
        <v>0</v>
      </c>
      <c r="U1671" s="62"/>
      <c r="V1671" s="63"/>
      <c r="W1671" s="63"/>
      <c r="X1671" s="35" t="str">
        <f t="shared" si="303"/>
        <v>#N/A</v>
      </c>
      <c r="Y1671" s="35" t="str">
        <f t="shared" si="304"/>
        <v>#N/A</v>
      </c>
      <c r="Z1671" s="40" t="str">
        <f t="shared" si="305"/>
        <v>#N/A</v>
      </c>
      <c r="AA1671" s="34" t="str">
        <f t="shared" si="306"/>
        <v>#N/A</v>
      </c>
      <c r="AB1671" s="41" t="str">
        <f t="shared" si="307"/>
        <v>#N/A</v>
      </c>
      <c r="AC1671" s="42" t="b">
        <v>0</v>
      </c>
      <c r="AD1671" s="66" t="str">
        <f t="shared" si="308"/>
        <v>USD</v>
      </c>
      <c r="AE1671" s="42"/>
      <c r="AF1671" s="42" t="str">
        <f t="array" ref="AF1671">INDEX('Deal Info'!D:D, MATCH(A1671,'Deal Info'!A:A, 0))</f>
        <v>#N/A</v>
      </c>
      <c r="AG1671" s="43" t="str">
        <f t="array" ref="AG1671">INDEX('Deal Info'!G:G, MATCH(A1671,'Deal Info'!A:A, 0))</f>
        <v>#N/A</v>
      </c>
    </row>
    <row r="1672" hidden="1">
      <c r="A1672" s="23" t="b">
        <f t="array" ref="A1672">if(G1672='Room Info'!$B$1, INDEX('Room Info'!$A$2:$A3446, MATCH(B1672,'Room Info'!$B$2:$B3446, 0)),if(G1672='Room Info'!$C$1, INDEX('Room Info'!$A$2:$A3446, MATCH(B1672,'Room Info'!$C$2:$C3446, 0)),if(G1672='Room Info'!$D$1, INDEX('Room Info'!$A$2:$A3446, MATCH(B1672,'Room Info'!$D$2:$D3446, 0)),if(G1672='Room Info'!$E$1, INDEX('Room Info'!$A$2:$A3446, MATCH(B1672,'Room Info'!$E$2:$E3446, 0)),if(G1672='Room Info'!$F$1, INDEX('Room Info'!$A$2:$A3446, MATCH(B1672,'Room Info'!$F$2:$F3446, 0)),if(G1672='Room Info'!$H$1, INDEX('Room Info'!$A$2:$A3446, MATCH(B1672,'Room Info'!$H$2:$H3446, 0)),if(G1672='Room Info'!$G$1, INDEX('Room Info'!$A$2:$A3446, MATCH(B1672,'Room Info'!$G$2:$G3446, 0)))))))))</f>
        <v>0</v>
      </c>
      <c r="B1672" s="101"/>
      <c r="C1672" s="115"/>
      <c r="D1672" s="115"/>
      <c r="E1672" s="85"/>
      <c r="F1672" s="138"/>
      <c r="G1672" s="101"/>
      <c r="H1672" s="114"/>
      <c r="I1672" s="114"/>
      <c r="J1672" s="44" t="str">
        <f t="shared" si="311"/>
        <v/>
      </c>
      <c r="K1672" s="116"/>
      <c r="L1672" s="117"/>
      <c r="M1672" s="67"/>
      <c r="N1672" s="33">
        <f t="shared" si="276"/>
        <v>0</v>
      </c>
      <c r="O1672" s="70"/>
      <c r="P1672" s="34" t="str">
        <f t="shared" si="277"/>
        <v/>
      </c>
      <c r="Q1672" s="60"/>
      <c r="R1672" s="36">
        <f t="shared" si="312"/>
        <v>0</v>
      </c>
      <c r="S1672" s="71"/>
      <c r="T1672" s="37">
        <f t="shared" si="302"/>
        <v>0</v>
      </c>
      <c r="U1672" s="62"/>
      <c r="V1672" s="63"/>
      <c r="W1672" s="63"/>
      <c r="X1672" s="35" t="str">
        <f t="shared" si="303"/>
        <v>#N/A</v>
      </c>
      <c r="Y1672" s="35" t="str">
        <f t="shared" si="304"/>
        <v>#N/A</v>
      </c>
      <c r="Z1672" s="40" t="str">
        <f t="shared" si="305"/>
        <v>#N/A</v>
      </c>
      <c r="AA1672" s="34" t="str">
        <f t="shared" si="306"/>
        <v>#N/A</v>
      </c>
      <c r="AB1672" s="41" t="str">
        <f t="shared" si="307"/>
        <v>#N/A</v>
      </c>
      <c r="AC1672" s="42" t="b">
        <v>0</v>
      </c>
      <c r="AD1672" s="66" t="str">
        <f t="shared" si="308"/>
        <v>USD</v>
      </c>
      <c r="AE1672" s="42"/>
      <c r="AF1672" s="42" t="str">
        <f t="array" ref="AF1672">INDEX('Deal Info'!D:D, MATCH(A1672,'Deal Info'!A:A, 0))</f>
        <v>#N/A</v>
      </c>
      <c r="AG1672" s="43" t="str">
        <f t="array" ref="AG1672">INDEX('Deal Info'!G:G, MATCH(A1672,'Deal Info'!A:A, 0))</f>
        <v>#N/A</v>
      </c>
    </row>
    <row r="1673" hidden="1">
      <c r="A1673" s="23" t="b">
        <f t="array" ref="A1673">if(G1673='Room Info'!$B$1, INDEX('Room Info'!$A$2:$A3446, MATCH(B1673,'Room Info'!$B$2:$B3446, 0)),if(G1673='Room Info'!$C$1, INDEX('Room Info'!$A$2:$A3446, MATCH(B1673,'Room Info'!$C$2:$C3446, 0)),if(G1673='Room Info'!$D$1, INDEX('Room Info'!$A$2:$A3446, MATCH(B1673,'Room Info'!$D$2:$D3446, 0)),if(G1673='Room Info'!$E$1, INDEX('Room Info'!$A$2:$A3446, MATCH(B1673,'Room Info'!$E$2:$E3446, 0)),if(G1673='Room Info'!$F$1, INDEX('Room Info'!$A$2:$A3446, MATCH(B1673,'Room Info'!$F$2:$F3446, 0)),if(G1673='Room Info'!$H$1, INDEX('Room Info'!$A$2:$A3446, MATCH(B1673,'Room Info'!$H$2:$H3446, 0)),if(G1673='Room Info'!$G$1, INDEX('Room Info'!$A$2:$A3446, MATCH(B1673,'Room Info'!$G$2:$G3446, 0)))))))))</f>
        <v>0</v>
      </c>
      <c r="B1673" s="101"/>
      <c r="C1673" s="115"/>
      <c r="D1673" s="115"/>
      <c r="E1673" s="85"/>
      <c r="F1673" s="138"/>
      <c r="G1673" s="101"/>
      <c r="H1673" s="114"/>
      <c r="I1673" s="114"/>
      <c r="J1673" s="44" t="str">
        <f t="shared" si="311"/>
        <v/>
      </c>
      <c r="K1673" s="116"/>
      <c r="L1673" s="117"/>
      <c r="M1673" s="67"/>
      <c r="N1673" s="33">
        <f t="shared" si="276"/>
        <v>0</v>
      </c>
      <c r="O1673" s="70"/>
      <c r="P1673" s="34" t="str">
        <f t="shared" si="277"/>
        <v/>
      </c>
      <c r="Q1673" s="60"/>
      <c r="R1673" s="36">
        <f t="shared" si="312"/>
        <v>0</v>
      </c>
      <c r="S1673" s="71"/>
      <c r="T1673" s="37">
        <f t="shared" si="302"/>
        <v>0</v>
      </c>
      <c r="U1673" s="62"/>
      <c r="V1673" s="63"/>
      <c r="W1673" s="63"/>
      <c r="X1673" s="35" t="str">
        <f t="shared" si="303"/>
        <v>#N/A</v>
      </c>
      <c r="Y1673" s="35" t="str">
        <f t="shared" si="304"/>
        <v>#N/A</v>
      </c>
      <c r="Z1673" s="40" t="str">
        <f t="shared" si="305"/>
        <v>#N/A</v>
      </c>
      <c r="AA1673" s="34" t="str">
        <f t="shared" si="306"/>
        <v>#N/A</v>
      </c>
      <c r="AB1673" s="41" t="str">
        <f t="shared" si="307"/>
        <v>#N/A</v>
      </c>
      <c r="AC1673" s="42" t="b">
        <v>0</v>
      </c>
      <c r="AD1673" s="66" t="str">
        <f t="shared" si="308"/>
        <v>USD</v>
      </c>
      <c r="AE1673" s="42"/>
      <c r="AF1673" s="42" t="str">
        <f t="array" ref="AF1673">INDEX('Deal Info'!D:D, MATCH(A1673,'Deal Info'!A:A, 0))</f>
        <v>#N/A</v>
      </c>
      <c r="AG1673" s="43" t="str">
        <f t="array" ref="AG1673">INDEX('Deal Info'!G:G, MATCH(A1673,'Deal Info'!A:A, 0))</f>
        <v>#N/A</v>
      </c>
    </row>
    <row r="1674" hidden="1">
      <c r="A1674" s="23" t="b">
        <f t="array" ref="A1674">if(G1674='Room Info'!$B$1, INDEX('Room Info'!$A$2:$A3446, MATCH(B1674,'Room Info'!$B$2:$B3446, 0)),if(G1674='Room Info'!$C$1, INDEX('Room Info'!$A$2:$A3446, MATCH(B1674,'Room Info'!$C$2:$C3446, 0)),if(G1674='Room Info'!$D$1, INDEX('Room Info'!$A$2:$A3446, MATCH(B1674,'Room Info'!$D$2:$D3446, 0)),if(G1674='Room Info'!$E$1, INDEX('Room Info'!$A$2:$A3446, MATCH(B1674,'Room Info'!$E$2:$E3446, 0)),if(G1674='Room Info'!$F$1, INDEX('Room Info'!$A$2:$A3446, MATCH(B1674,'Room Info'!$F$2:$F3446, 0)),if(G1674='Room Info'!$H$1, INDEX('Room Info'!$A$2:$A3446, MATCH(B1674,'Room Info'!$H$2:$H3446, 0)),if(G1674='Room Info'!$G$1, INDEX('Room Info'!$A$2:$A3446, MATCH(B1674,'Room Info'!$G$2:$G3446, 0)))))))))</f>
        <v>0</v>
      </c>
      <c r="B1674" s="101"/>
      <c r="C1674" s="115"/>
      <c r="D1674" s="115"/>
      <c r="E1674" s="85"/>
      <c r="F1674" s="138"/>
      <c r="G1674" s="101"/>
      <c r="H1674" s="114"/>
      <c r="I1674" s="114"/>
      <c r="J1674" s="44" t="str">
        <f t="shared" si="311"/>
        <v/>
      </c>
      <c r="K1674" s="116"/>
      <c r="L1674" s="117"/>
      <c r="M1674" s="67"/>
      <c r="N1674" s="33">
        <f t="shared" si="276"/>
        <v>0</v>
      </c>
      <c r="O1674" s="70"/>
      <c r="P1674" s="34" t="str">
        <f t="shared" si="277"/>
        <v/>
      </c>
      <c r="Q1674" s="60"/>
      <c r="R1674" s="36">
        <f t="shared" si="312"/>
        <v>0</v>
      </c>
      <c r="S1674" s="71"/>
      <c r="T1674" s="37">
        <f t="shared" si="302"/>
        <v>0</v>
      </c>
      <c r="U1674" s="62"/>
      <c r="V1674" s="63"/>
      <c r="W1674" s="63"/>
      <c r="X1674" s="35" t="str">
        <f t="shared" si="303"/>
        <v>#N/A</v>
      </c>
      <c r="Y1674" s="35" t="str">
        <f t="shared" si="304"/>
        <v>#N/A</v>
      </c>
      <c r="Z1674" s="40" t="str">
        <f t="shared" si="305"/>
        <v>#N/A</v>
      </c>
      <c r="AA1674" s="34" t="str">
        <f t="shared" si="306"/>
        <v>#N/A</v>
      </c>
      <c r="AB1674" s="41" t="str">
        <f t="shared" si="307"/>
        <v>#N/A</v>
      </c>
      <c r="AC1674" s="42" t="b">
        <v>0</v>
      </c>
      <c r="AD1674" s="66" t="str">
        <f t="shared" si="308"/>
        <v>USD</v>
      </c>
      <c r="AE1674" s="42"/>
      <c r="AF1674" s="42" t="str">
        <f t="array" ref="AF1674">INDEX('Deal Info'!D:D, MATCH(A1674,'Deal Info'!A:A, 0))</f>
        <v>#N/A</v>
      </c>
      <c r="AG1674" s="43" t="str">
        <f t="array" ref="AG1674">INDEX('Deal Info'!G:G, MATCH(A1674,'Deal Info'!A:A, 0))</f>
        <v>#N/A</v>
      </c>
    </row>
    <row r="1675" hidden="1">
      <c r="A1675" s="23" t="b">
        <f t="array" ref="A1675">if(G1675='Room Info'!$B$1, INDEX('Room Info'!$A$2:$A3446, MATCH(B1675,'Room Info'!$B$2:$B3446, 0)),if(G1675='Room Info'!$C$1, INDEX('Room Info'!$A$2:$A3446, MATCH(B1675,'Room Info'!$C$2:$C3446, 0)),if(G1675='Room Info'!$D$1, INDEX('Room Info'!$A$2:$A3446, MATCH(B1675,'Room Info'!$D$2:$D3446, 0)),if(G1675='Room Info'!$E$1, INDEX('Room Info'!$A$2:$A3446, MATCH(B1675,'Room Info'!$E$2:$E3446, 0)),if(G1675='Room Info'!$F$1, INDEX('Room Info'!$A$2:$A3446, MATCH(B1675,'Room Info'!$F$2:$F3446, 0)),if(G1675='Room Info'!$H$1, INDEX('Room Info'!$A$2:$A3446, MATCH(B1675,'Room Info'!$H$2:$H3446, 0)),if(G1675='Room Info'!$G$1, INDEX('Room Info'!$A$2:$A3446, MATCH(B1675,'Room Info'!$G$2:$G3446, 0)))))))))</f>
        <v>0</v>
      </c>
      <c r="B1675" s="101"/>
      <c r="C1675" s="115"/>
      <c r="D1675" s="115"/>
      <c r="E1675" s="85"/>
      <c r="F1675" s="138"/>
      <c r="G1675" s="101"/>
      <c r="H1675" s="114"/>
      <c r="I1675" s="114"/>
      <c r="J1675" s="44" t="str">
        <f t="shared" si="311"/>
        <v/>
      </c>
      <c r="K1675" s="116"/>
      <c r="L1675" s="117"/>
      <c r="M1675" s="67"/>
      <c r="N1675" s="33">
        <f t="shared" si="276"/>
        <v>0</v>
      </c>
      <c r="O1675" s="70"/>
      <c r="P1675" s="34" t="str">
        <f t="shared" si="277"/>
        <v/>
      </c>
      <c r="Q1675" s="60"/>
      <c r="R1675" s="36">
        <f t="shared" si="312"/>
        <v>0</v>
      </c>
      <c r="S1675" s="71"/>
      <c r="T1675" s="37">
        <f t="shared" si="302"/>
        <v>0</v>
      </c>
      <c r="U1675" s="62"/>
      <c r="V1675" s="63"/>
      <c r="W1675" s="63"/>
      <c r="X1675" s="35" t="str">
        <f t="shared" si="303"/>
        <v>#N/A</v>
      </c>
      <c r="Y1675" s="35" t="str">
        <f t="shared" si="304"/>
        <v>#N/A</v>
      </c>
      <c r="Z1675" s="40" t="str">
        <f t="shared" si="305"/>
        <v>#N/A</v>
      </c>
      <c r="AA1675" s="34" t="str">
        <f t="shared" si="306"/>
        <v>#N/A</v>
      </c>
      <c r="AB1675" s="41" t="str">
        <f t="shared" si="307"/>
        <v>#N/A</v>
      </c>
      <c r="AC1675" s="42" t="b">
        <v>0</v>
      </c>
      <c r="AD1675" s="66" t="str">
        <f t="shared" si="308"/>
        <v>USD</v>
      </c>
      <c r="AE1675" s="42"/>
      <c r="AF1675" s="42" t="str">
        <f t="array" ref="AF1675">INDEX('Deal Info'!D:D, MATCH(A1675,'Deal Info'!A:A, 0))</f>
        <v>#N/A</v>
      </c>
      <c r="AG1675" s="43" t="str">
        <f t="array" ref="AG1675">INDEX('Deal Info'!G:G, MATCH(A1675,'Deal Info'!A:A, 0))</f>
        <v>#N/A</v>
      </c>
    </row>
    <row r="1676" hidden="1">
      <c r="A1676" s="23" t="b">
        <f t="array" ref="A1676">if(G1676='Room Info'!$B$1, INDEX('Room Info'!$A$2:$A3446, MATCH(B1676,'Room Info'!$B$2:$B3446, 0)),if(G1676='Room Info'!$C$1, INDEX('Room Info'!$A$2:$A3446, MATCH(B1676,'Room Info'!$C$2:$C3446, 0)),if(G1676='Room Info'!$D$1, INDEX('Room Info'!$A$2:$A3446, MATCH(B1676,'Room Info'!$D$2:$D3446, 0)),if(G1676='Room Info'!$E$1, INDEX('Room Info'!$A$2:$A3446, MATCH(B1676,'Room Info'!$E$2:$E3446, 0)),if(G1676='Room Info'!$F$1, INDEX('Room Info'!$A$2:$A3446, MATCH(B1676,'Room Info'!$F$2:$F3446, 0)),if(G1676='Room Info'!$H$1, INDEX('Room Info'!$A$2:$A3446, MATCH(B1676,'Room Info'!$H$2:$H3446, 0)),if(G1676='Room Info'!$G$1, INDEX('Room Info'!$A$2:$A3446, MATCH(B1676,'Room Info'!$G$2:$G3446, 0)))))))))</f>
        <v>0</v>
      </c>
      <c r="B1676" s="70"/>
      <c r="C1676" s="115"/>
      <c r="D1676" s="115"/>
      <c r="E1676" s="85"/>
      <c r="F1676" s="138"/>
      <c r="G1676" s="70"/>
      <c r="H1676" s="70"/>
      <c r="I1676" s="70"/>
      <c r="J1676" s="44" t="str">
        <f t="shared" si="311"/>
        <v/>
      </c>
      <c r="K1676" s="116"/>
      <c r="L1676" s="117"/>
      <c r="M1676" s="67"/>
      <c r="N1676" s="33">
        <f t="shared" si="276"/>
        <v>0</v>
      </c>
      <c r="O1676" s="70"/>
      <c r="P1676" s="34" t="str">
        <f t="shared" si="277"/>
        <v/>
      </c>
      <c r="Q1676" s="60"/>
      <c r="R1676" s="36">
        <f t="shared" si="312"/>
        <v>0</v>
      </c>
      <c r="S1676" s="71"/>
      <c r="T1676" s="37">
        <f t="shared" si="302"/>
        <v>0</v>
      </c>
      <c r="U1676" s="62"/>
      <c r="V1676" s="63"/>
      <c r="W1676" s="63"/>
      <c r="X1676" s="35" t="str">
        <f t="shared" si="303"/>
        <v>#N/A</v>
      </c>
      <c r="Y1676" s="35" t="str">
        <f t="shared" si="304"/>
        <v>#N/A</v>
      </c>
      <c r="Z1676" s="40" t="str">
        <f t="shared" si="305"/>
        <v>#N/A</v>
      </c>
      <c r="AA1676" s="34" t="str">
        <f t="shared" si="306"/>
        <v>#N/A</v>
      </c>
      <c r="AB1676" s="41" t="str">
        <f t="shared" si="307"/>
        <v>#N/A</v>
      </c>
      <c r="AC1676" s="42" t="b">
        <v>0</v>
      </c>
      <c r="AD1676" s="66" t="str">
        <f t="shared" si="308"/>
        <v>USD</v>
      </c>
      <c r="AE1676" s="42"/>
      <c r="AF1676" s="42" t="str">
        <f t="array" ref="AF1676">INDEX('Deal Info'!D:D, MATCH(A1676,'Deal Info'!A:A, 0))</f>
        <v>#N/A</v>
      </c>
      <c r="AG1676" s="43" t="str">
        <f t="array" ref="AG1676">INDEX('Deal Info'!G:G, MATCH(A1676,'Deal Info'!A:A, 0))</f>
        <v>#N/A</v>
      </c>
    </row>
    <row r="1677" hidden="1">
      <c r="A1677" s="23" t="b">
        <f t="array" ref="A1677">if(G1677='Room Info'!$B$1, INDEX('Room Info'!$A$2:$A3446, MATCH(B1677,'Room Info'!$B$2:$B3446, 0)),if(G1677='Room Info'!$C$1, INDEX('Room Info'!$A$2:$A3446, MATCH(B1677,'Room Info'!$C$2:$C3446, 0)),if(G1677='Room Info'!$D$1, INDEX('Room Info'!$A$2:$A3446, MATCH(B1677,'Room Info'!$D$2:$D3446, 0)),if(G1677='Room Info'!$E$1, INDEX('Room Info'!$A$2:$A3446, MATCH(B1677,'Room Info'!$E$2:$E3446, 0)),if(G1677='Room Info'!$F$1, INDEX('Room Info'!$A$2:$A3446, MATCH(B1677,'Room Info'!$F$2:$F3446, 0)),if(G1677='Room Info'!$H$1, INDEX('Room Info'!$A$2:$A3446, MATCH(B1677,'Room Info'!$H$2:$H3446, 0)),if(G1677='Room Info'!$G$1, INDEX('Room Info'!$A$2:$A3446, MATCH(B1677,'Room Info'!$G$2:$G3446, 0)))))))))</f>
        <v>0</v>
      </c>
      <c r="B1677" s="70"/>
      <c r="C1677" s="115"/>
      <c r="D1677" s="115"/>
      <c r="E1677" s="85"/>
      <c r="F1677" s="138"/>
      <c r="G1677" s="70"/>
      <c r="H1677" s="70"/>
      <c r="I1677" s="70"/>
      <c r="J1677" s="44" t="str">
        <f t="shared" si="311"/>
        <v/>
      </c>
      <c r="K1677" s="116"/>
      <c r="L1677" s="117"/>
      <c r="M1677" s="67"/>
      <c r="N1677" s="33">
        <f t="shared" si="276"/>
        <v>0</v>
      </c>
      <c r="O1677" s="70"/>
      <c r="P1677" s="34" t="str">
        <f t="shared" si="277"/>
        <v/>
      </c>
      <c r="Q1677" s="60"/>
      <c r="R1677" s="36">
        <f t="shared" si="312"/>
        <v>0</v>
      </c>
      <c r="S1677" s="71"/>
      <c r="T1677" s="37">
        <f t="shared" si="302"/>
        <v>0</v>
      </c>
      <c r="U1677" s="62"/>
      <c r="V1677" s="63"/>
      <c r="W1677" s="63"/>
      <c r="X1677" s="35" t="str">
        <f t="shared" si="303"/>
        <v>#N/A</v>
      </c>
      <c r="Y1677" s="35" t="str">
        <f t="shared" si="304"/>
        <v>#N/A</v>
      </c>
      <c r="Z1677" s="40" t="str">
        <f t="shared" si="305"/>
        <v>#N/A</v>
      </c>
      <c r="AA1677" s="34" t="str">
        <f t="shared" si="306"/>
        <v>#N/A</v>
      </c>
      <c r="AB1677" s="41" t="str">
        <f t="shared" si="307"/>
        <v>#N/A</v>
      </c>
      <c r="AC1677" s="42" t="b">
        <v>0</v>
      </c>
      <c r="AD1677" s="66" t="str">
        <f t="shared" si="308"/>
        <v>USD</v>
      </c>
      <c r="AE1677" s="42"/>
      <c r="AF1677" s="42" t="str">
        <f t="array" ref="AF1677">INDEX('Deal Info'!D:D, MATCH(A1677,'Deal Info'!A:A, 0))</f>
        <v>#N/A</v>
      </c>
      <c r="AG1677" s="43" t="str">
        <f t="array" ref="AG1677">INDEX('Deal Info'!G:G, MATCH(A1677,'Deal Info'!A:A, 0))</f>
        <v>#N/A</v>
      </c>
    </row>
    <row r="1678" hidden="1">
      <c r="A1678" s="23" t="b">
        <f t="array" ref="A1678">if(G1678='Room Info'!$B$1, INDEX('Room Info'!$A$2:$A3446, MATCH(B1678,'Room Info'!$B$2:$B3446, 0)),if(G1678='Room Info'!$C$1, INDEX('Room Info'!$A$2:$A3446, MATCH(B1678,'Room Info'!$C$2:$C3446, 0)),if(G1678='Room Info'!$D$1, INDEX('Room Info'!$A$2:$A3446, MATCH(B1678,'Room Info'!$D$2:$D3446, 0)),if(G1678='Room Info'!$E$1, INDEX('Room Info'!$A$2:$A3446, MATCH(B1678,'Room Info'!$E$2:$E3446, 0)),if(G1678='Room Info'!$F$1, INDEX('Room Info'!$A$2:$A3446, MATCH(B1678,'Room Info'!$F$2:$F3446, 0)),if(G1678='Room Info'!$H$1, INDEX('Room Info'!$A$2:$A3446, MATCH(B1678,'Room Info'!$H$2:$H3446, 0)),if(G1678='Room Info'!$G$1, INDEX('Room Info'!$A$2:$A3446, MATCH(B1678,'Room Info'!$G$2:$G3446, 0)))))))))</f>
        <v>0</v>
      </c>
      <c r="B1678" s="70"/>
      <c r="C1678" s="115"/>
      <c r="D1678" s="115"/>
      <c r="E1678" s="85"/>
      <c r="F1678" s="138"/>
      <c r="G1678" s="70"/>
      <c r="H1678" s="114"/>
      <c r="I1678" s="114"/>
      <c r="J1678" s="44" t="str">
        <f t="shared" si="311"/>
        <v/>
      </c>
      <c r="K1678" s="116"/>
      <c r="L1678" s="117"/>
      <c r="M1678" s="67"/>
      <c r="N1678" s="33">
        <f t="shared" si="276"/>
        <v>0</v>
      </c>
      <c r="O1678" s="70"/>
      <c r="P1678" s="34" t="str">
        <f t="shared" si="277"/>
        <v/>
      </c>
      <c r="Q1678" s="60"/>
      <c r="R1678" s="36">
        <f t="shared" si="312"/>
        <v>0</v>
      </c>
      <c r="S1678" s="71"/>
      <c r="T1678" s="37">
        <f t="shared" si="302"/>
        <v>0</v>
      </c>
      <c r="U1678" s="62"/>
      <c r="V1678" s="63"/>
      <c r="W1678" s="63"/>
      <c r="X1678" s="35" t="str">
        <f t="shared" si="303"/>
        <v>#N/A</v>
      </c>
      <c r="Y1678" s="35" t="str">
        <f t="shared" si="304"/>
        <v>#N/A</v>
      </c>
      <c r="Z1678" s="40" t="str">
        <f t="shared" si="305"/>
        <v>#N/A</v>
      </c>
      <c r="AA1678" s="34" t="str">
        <f t="shared" si="306"/>
        <v>#N/A</v>
      </c>
      <c r="AB1678" s="41" t="str">
        <f t="shared" si="307"/>
        <v>#N/A</v>
      </c>
      <c r="AC1678" s="42" t="b">
        <v>0</v>
      </c>
      <c r="AD1678" s="66" t="str">
        <f t="shared" si="308"/>
        <v>USD</v>
      </c>
      <c r="AE1678" s="42"/>
      <c r="AF1678" s="42" t="str">
        <f t="array" ref="AF1678">INDEX('Deal Info'!D:D, MATCH(A1678,'Deal Info'!A:A, 0))</f>
        <v>#N/A</v>
      </c>
      <c r="AG1678" s="43" t="str">
        <f t="array" ref="AG1678">INDEX('Deal Info'!G:G, MATCH(A1678,'Deal Info'!A:A, 0))</f>
        <v>#N/A</v>
      </c>
    </row>
    <row r="1679" hidden="1">
      <c r="A1679" s="23" t="b">
        <f t="array" ref="A1679">if(G1679='Room Info'!$B$1, INDEX('Room Info'!$A$2:$A3446, MATCH(B1679,'Room Info'!$B$2:$B3446, 0)),if(G1679='Room Info'!$C$1, INDEX('Room Info'!$A$2:$A3446, MATCH(B1679,'Room Info'!$C$2:$C3446, 0)),if(G1679='Room Info'!$D$1, INDEX('Room Info'!$A$2:$A3446, MATCH(B1679,'Room Info'!$D$2:$D3446, 0)),if(G1679='Room Info'!$E$1, INDEX('Room Info'!$A$2:$A3446, MATCH(B1679,'Room Info'!$E$2:$E3446, 0)),if(G1679='Room Info'!$F$1, INDEX('Room Info'!$A$2:$A3446, MATCH(B1679,'Room Info'!$F$2:$F3446, 0)),if(G1679='Room Info'!$H$1, INDEX('Room Info'!$A$2:$A3446, MATCH(B1679,'Room Info'!$H$2:$H3446, 0)),if(G1679='Room Info'!$G$1, INDEX('Room Info'!$A$2:$A3446, MATCH(B1679,'Room Info'!$G$2:$G3446, 0)))))))))</f>
        <v>0</v>
      </c>
      <c r="B1679" s="70"/>
      <c r="C1679" s="115"/>
      <c r="D1679" s="115"/>
      <c r="E1679" s="85"/>
      <c r="F1679" s="138"/>
      <c r="G1679" s="70"/>
      <c r="H1679" s="70"/>
      <c r="I1679" s="70"/>
      <c r="J1679" s="44" t="str">
        <f t="shared" si="311"/>
        <v/>
      </c>
      <c r="K1679" s="116"/>
      <c r="L1679" s="117"/>
      <c r="M1679" s="67"/>
      <c r="N1679" s="33">
        <f t="shared" si="276"/>
        <v>0</v>
      </c>
      <c r="O1679" s="70"/>
      <c r="P1679" s="34" t="str">
        <f t="shared" si="277"/>
        <v/>
      </c>
      <c r="Q1679" s="60"/>
      <c r="R1679" s="36">
        <f t="shared" si="312"/>
        <v>0</v>
      </c>
      <c r="S1679" s="71"/>
      <c r="T1679" s="37">
        <f t="shared" si="302"/>
        <v>0</v>
      </c>
      <c r="U1679" s="62"/>
      <c r="V1679" s="63"/>
      <c r="W1679" s="63"/>
      <c r="X1679" s="35" t="str">
        <f t="shared" si="303"/>
        <v>#N/A</v>
      </c>
      <c r="Y1679" s="35" t="str">
        <f t="shared" si="304"/>
        <v>#N/A</v>
      </c>
      <c r="Z1679" s="40" t="str">
        <f t="shared" si="305"/>
        <v>#N/A</v>
      </c>
      <c r="AA1679" s="34" t="str">
        <f t="shared" si="306"/>
        <v>#N/A</v>
      </c>
      <c r="AB1679" s="41" t="str">
        <f t="shared" si="307"/>
        <v>#N/A</v>
      </c>
      <c r="AC1679" s="42" t="b">
        <v>0</v>
      </c>
      <c r="AD1679" s="66" t="str">
        <f t="shared" si="308"/>
        <v>USD</v>
      </c>
      <c r="AE1679" s="42"/>
      <c r="AF1679" s="42" t="str">
        <f t="array" ref="AF1679">INDEX('Deal Info'!D:D, MATCH(A1679,'Deal Info'!A:A, 0))</f>
        <v>#N/A</v>
      </c>
      <c r="AG1679" s="43" t="str">
        <f t="array" ref="AG1679">INDEX('Deal Info'!G:G, MATCH(A1679,'Deal Info'!A:A, 0))</f>
        <v>#N/A</v>
      </c>
    </row>
    <row r="1680" hidden="1">
      <c r="A1680" s="23" t="b">
        <f t="array" ref="A1680">if(G1680='Room Info'!$B$1, INDEX('Room Info'!$A$2:$A3446, MATCH(B1680,'Room Info'!$B$2:$B3446, 0)),if(G1680='Room Info'!$C$1, INDEX('Room Info'!$A$2:$A3446, MATCH(B1680,'Room Info'!$C$2:$C3446, 0)),if(G1680='Room Info'!$D$1, INDEX('Room Info'!$A$2:$A3446, MATCH(B1680,'Room Info'!$D$2:$D3446, 0)),if(G1680='Room Info'!$E$1, INDEX('Room Info'!$A$2:$A3446, MATCH(B1680,'Room Info'!$E$2:$E3446, 0)),if(G1680='Room Info'!$F$1, INDEX('Room Info'!$A$2:$A3446, MATCH(B1680,'Room Info'!$F$2:$F3446, 0)),if(G1680='Room Info'!$H$1, INDEX('Room Info'!$A$2:$A3446, MATCH(B1680,'Room Info'!$H$2:$H3446, 0)),if(G1680='Room Info'!$G$1, INDEX('Room Info'!$A$2:$A3446, MATCH(B1680,'Room Info'!$G$2:$G3446, 0)))))))))</f>
        <v>0</v>
      </c>
      <c r="B1680" s="70"/>
      <c r="C1680" s="115"/>
      <c r="D1680" s="115"/>
      <c r="E1680" s="85"/>
      <c r="F1680" s="138"/>
      <c r="G1680" s="70"/>
      <c r="H1680" s="114"/>
      <c r="I1680" s="114"/>
      <c r="J1680" s="44" t="str">
        <f t="shared" si="311"/>
        <v/>
      </c>
      <c r="K1680" s="116"/>
      <c r="L1680" s="117"/>
      <c r="M1680" s="67"/>
      <c r="N1680" s="33">
        <f t="shared" si="276"/>
        <v>0</v>
      </c>
      <c r="O1680" s="70"/>
      <c r="P1680" s="34" t="str">
        <f t="shared" si="277"/>
        <v/>
      </c>
      <c r="Q1680" s="60"/>
      <c r="R1680" s="36">
        <f t="shared" si="312"/>
        <v>0</v>
      </c>
      <c r="S1680" s="71"/>
      <c r="T1680" s="37">
        <f t="shared" si="302"/>
        <v>0</v>
      </c>
      <c r="U1680" s="62"/>
      <c r="V1680" s="63"/>
      <c r="W1680" s="63"/>
      <c r="X1680" s="35" t="str">
        <f t="shared" si="303"/>
        <v>#N/A</v>
      </c>
      <c r="Y1680" s="35" t="str">
        <f t="shared" si="304"/>
        <v>#N/A</v>
      </c>
      <c r="Z1680" s="40" t="str">
        <f t="shared" si="305"/>
        <v>#N/A</v>
      </c>
      <c r="AA1680" s="34" t="str">
        <f t="shared" si="306"/>
        <v>#N/A</v>
      </c>
      <c r="AB1680" s="41" t="str">
        <f t="shared" si="307"/>
        <v>#N/A</v>
      </c>
      <c r="AC1680" s="42" t="b">
        <v>0</v>
      </c>
      <c r="AD1680" s="66" t="str">
        <f t="shared" si="308"/>
        <v>USD</v>
      </c>
      <c r="AE1680" s="42"/>
      <c r="AF1680" s="42" t="str">
        <f t="array" ref="AF1680">INDEX('Deal Info'!D:D, MATCH(A1680,'Deal Info'!A:A, 0))</f>
        <v>#N/A</v>
      </c>
      <c r="AG1680" s="43" t="str">
        <f t="array" ref="AG1680">INDEX('Deal Info'!G:G, MATCH(A1680,'Deal Info'!A:A, 0))</f>
        <v>#N/A</v>
      </c>
    </row>
    <row r="1681" hidden="1">
      <c r="A1681" s="23" t="b">
        <f t="array" ref="A1681">if(G1681='Room Info'!$B$1, INDEX('Room Info'!$A$2:$A3446, MATCH(B1681,'Room Info'!$B$2:$B3446, 0)),if(G1681='Room Info'!$C$1, INDEX('Room Info'!$A$2:$A3446, MATCH(B1681,'Room Info'!$C$2:$C3446, 0)),if(G1681='Room Info'!$D$1, INDEX('Room Info'!$A$2:$A3446, MATCH(B1681,'Room Info'!$D$2:$D3446, 0)),if(G1681='Room Info'!$E$1, INDEX('Room Info'!$A$2:$A3446, MATCH(B1681,'Room Info'!$E$2:$E3446, 0)),if(G1681='Room Info'!$F$1, INDEX('Room Info'!$A$2:$A3446, MATCH(B1681,'Room Info'!$F$2:$F3446, 0)),if(G1681='Room Info'!$H$1, INDEX('Room Info'!$A$2:$A3446, MATCH(B1681,'Room Info'!$H$2:$H3446, 0)),if(G1681='Room Info'!$G$1, INDEX('Room Info'!$A$2:$A3446, MATCH(B1681,'Room Info'!$G$2:$G3446, 0)))))))))</f>
        <v>0</v>
      </c>
      <c r="B1681" s="70"/>
      <c r="C1681" s="115"/>
      <c r="D1681" s="115"/>
      <c r="E1681" s="85"/>
      <c r="F1681" s="138"/>
      <c r="G1681" s="70"/>
      <c r="H1681" s="114"/>
      <c r="I1681" s="114"/>
      <c r="J1681" s="44" t="str">
        <f t="shared" si="311"/>
        <v/>
      </c>
      <c r="K1681" s="116"/>
      <c r="L1681" s="117"/>
      <c r="M1681" s="67"/>
      <c r="N1681" s="33">
        <f t="shared" si="276"/>
        <v>0</v>
      </c>
      <c r="O1681" s="70"/>
      <c r="P1681" s="34" t="str">
        <f t="shared" si="277"/>
        <v/>
      </c>
      <c r="Q1681" s="60"/>
      <c r="R1681" s="36">
        <f t="shared" si="312"/>
        <v>0</v>
      </c>
      <c r="S1681" s="71"/>
      <c r="T1681" s="37">
        <f t="shared" si="302"/>
        <v>0</v>
      </c>
      <c r="U1681" s="62"/>
      <c r="V1681" s="63"/>
      <c r="W1681" s="63"/>
      <c r="X1681" s="35" t="str">
        <f t="shared" si="303"/>
        <v>#N/A</v>
      </c>
      <c r="Y1681" s="35" t="str">
        <f t="shared" si="304"/>
        <v>#N/A</v>
      </c>
      <c r="Z1681" s="40" t="str">
        <f t="shared" si="305"/>
        <v>#N/A</v>
      </c>
      <c r="AA1681" s="34" t="str">
        <f t="shared" si="306"/>
        <v>#N/A</v>
      </c>
      <c r="AB1681" s="41" t="str">
        <f t="shared" si="307"/>
        <v>#N/A</v>
      </c>
      <c r="AC1681" s="42" t="b">
        <v>0</v>
      </c>
      <c r="AD1681" s="66" t="str">
        <f t="shared" si="308"/>
        <v>USD</v>
      </c>
      <c r="AE1681" s="42"/>
      <c r="AF1681" s="42" t="str">
        <f t="array" ref="AF1681">INDEX('Deal Info'!D:D, MATCH(A1681,'Deal Info'!A:A, 0))</f>
        <v>#N/A</v>
      </c>
      <c r="AG1681" s="43" t="str">
        <f t="array" ref="AG1681">INDEX('Deal Info'!G:G, MATCH(A1681,'Deal Info'!A:A, 0))</f>
        <v>#N/A</v>
      </c>
    </row>
    <row r="1682" hidden="1">
      <c r="A1682" s="23" t="b">
        <f t="array" ref="A1682">if(G1682='Room Info'!$B$1, INDEX('Room Info'!$A$2:$A3446, MATCH(B1682,'Room Info'!$B$2:$B3446, 0)),if(G1682='Room Info'!$C$1, INDEX('Room Info'!$A$2:$A3446, MATCH(B1682,'Room Info'!$C$2:$C3446, 0)),if(G1682='Room Info'!$D$1, INDEX('Room Info'!$A$2:$A3446, MATCH(B1682,'Room Info'!$D$2:$D3446, 0)),if(G1682='Room Info'!$E$1, INDEX('Room Info'!$A$2:$A3446, MATCH(B1682,'Room Info'!$E$2:$E3446, 0)),if(G1682='Room Info'!$F$1, INDEX('Room Info'!$A$2:$A3446, MATCH(B1682,'Room Info'!$F$2:$F3446, 0)),if(G1682='Room Info'!$H$1, INDEX('Room Info'!$A$2:$A3446, MATCH(B1682,'Room Info'!$H$2:$H3446, 0)),if(G1682='Room Info'!$G$1, INDEX('Room Info'!$A$2:$A3446, MATCH(B1682,'Room Info'!$G$2:$G3446, 0)))))))))</f>
        <v>0</v>
      </c>
      <c r="B1682" s="70"/>
      <c r="C1682" s="115"/>
      <c r="D1682" s="115"/>
      <c r="E1682" s="85"/>
      <c r="F1682" s="138"/>
      <c r="G1682" s="70"/>
      <c r="H1682" s="114"/>
      <c r="I1682" s="114"/>
      <c r="J1682" s="44" t="str">
        <f t="shared" si="311"/>
        <v/>
      </c>
      <c r="K1682" s="116"/>
      <c r="L1682" s="117"/>
      <c r="M1682" s="67"/>
      <c r="N1682" s="33">
        <f t="shared" si="276"/>
        <v>0</v>
      </c>
      <c r="O1682" s="70"/>
      <c r="P1682" s="34" t="str">
        <f t="shared" si="277"/>
        <v/>
      </c>
      <c r="Q1682" s="60"/>
      <c r="R1682" s="36">
        <f t="shared" si="312"/>
        <v>0</v>
      </c>
      <c r="S1682" s="71"/>
      <c r="T1682" s="37">
        <f t="shared" si="302"/>
        <v>0</v>
      </c>
      <c r="U1682" s="62"/>
      <c r="V1682" s="63"/>
      <c r="W1682" s="63"/>
      <c r="X1682" s="35" t="str">
        <f t="shared" si="303"/>
        <v>#N/A</v>
      </c>
      <c r="Y1682" s="35" t="str">
        <f t="shared" si="304"/>
        <v>#N/A</v>
      </c>
      <c r="Z1682" s="40" t="str">
        <f t="shared" si="305"/>
        <v>#N/A</v>
      </c>
      <c r="AA1682" s="34" t="str">
        <f t="shared" si="306"/>
        <v>#N/A</v>
      </c>
      <c r="AB1682" s="41" t="str">
        <f t="shared" si="307"/>
        <v>#N/A</v>
      </c>
      <c r="AC1682" s="42" t="b">
        <v>0</v>
      </c>
      <c r="AD1682" s="66" t="str">
        <f t="shared" si="308"/>
        <v>USD</v>
      </c>
      <c r="AE1682" s="42"/>
      <c r="AF1682" s="42" t="str">
        <f t="array" ref="AF1682">INDEX('Deal Info'!D:D, MATCH(A1682,'Deal Info'!A:A, 0))</f>
        <v>#N/A</v>
      </c>
      <c r="AG1682" s="43" t="str">
        <f t="array" ref="AG1682">INDEX('Deal Info'!G:G, MATCH(A1682,'Deal Info'!A:A, 0))</f>
        <v>#N/A</v>
      </c>
    </row>
    <row r="1683" hidden="1">
      <c r="A1683" s="23" t="b">
        <f t="array" ref="A1683">if(G1683='Room Info'!$B$1, INDEX('Room Info'!$A$2:$A3446, MATCH(B1683,'Room Info'!$B$2:$B3446, 0)),if(G1683='Room Info'!$C$1, INDEX('Room Info'!$A$2:$A3446, MATCH(B1683,'Room Info'!$C$2:$C3446, 0)),if(G1683='Room Info'!$D$1, INDEX('Room Info'!$A$2:$A3446, MATCH(B1683,'Room Info'!$D$2:$D3446, 0)),if(G1683='Room Info'!$E$1, INDEX('Room Info'!$A$2:$A3446, MATCH(B1683,'Room Info'!$E$2:$E3446, 0)),if(G1683='Room Info'!$F$1, INDEX('Room Info'!$A$2:$A3446, MATCH(B1683,'Room Info'!$F$2:$F3446, 0)),if(G1683='Room Info'!$H$1, INDEX('Room Info'!$A$2:$A3446, MATCH(B1683,'Room Info'!$H$2:$H3446, 0)),if(G1683='Room Info'!$G$1, INDEX('Room Info'!$A$2:$A3446, MATCH(B1683,'Room Info'!$G$2:$G3446, 0)))))))))</f>
        <v>0</v>
      </c>
      <c r="B1683" s="101"/>
      <c r="C1683" s="141"/>
      <c r="D1683" s="141"/>
      <c r="E1683" s="142"/>
      <c r="F1683" s="138"/>
      <c r="G1683" s="101"/>
      <c r="H1683" s="105"/>
      <c r="I1683" s="105"/>
      <c r="J1683" s="44" t="str">
        <f t="shared" si="311"/>
        <v/>
      </c>
      <c r="K1683" s="139"/>
      <c r="L1683" s="140"/>
      <c r="M1683" s="84"/>
      <c r="N1683" s="33">
        <f t="shared" si="276"/>
        <v>0</v>
      </c>
      <c r="O1683" s="101"/>
      <c r="P1683" s="34" t="str">
        <f t="shared" si="277"/>
        <v/>
      </c>
      <c r="Q1683" s="60"/>
      <c r="R1683" s="36">
        <f t="shared" si="312"/>
        <v>0</v>
      </c>
      <c r="S1683" s="102"/>
      <c r="T1683" s="37">
        <f t="shared" si="302"/>
        <v>0</v>
      </c>
      <c r="U1683" s="62"/>
      <c r="V1683" s="63"/>
      <c r="W1683" s="63"/>
      <c r="X1683" s="35" t="str">
        <f t="shared" si="303"/>
        <v>#N/A</v>
      </c>
      <c r="Y1683" s="35" t="str">
        <f t="shared" si="304"/>
        <v>#N/A</v>
      </c>
      <c r="Z1683" s="40" t="str">
        <f t="shared" si="305"/>
        <v>#N/A</v>
      </c>
      <c r="AA1683" s="34" t="str">
        <f t="shared" si="306"/>
        <v>#N/A</v>
      </c>
      <c r="AB1683" s="41" t="str">
        <f t="shared" si="307"/>
        <v>#N/A</v>
      </c>
      <c r="AC1683" s="42" t="b">
        <v>0</v>
      </c>
      <c r="AD1683" s="66" t="str">
        <f t="shared" si="308"/>
        <v>USD</v>
      </c>
      <c r="AE1683" s="42"/>
      <c r="AF1683" s="42" t="str">
        <f t="array" ref="AF1683">INDEX('Deal Info'!D:D, MATCH(A1683,'Deal Info'!A:A, 0))</f>
        <v>#N/A</v>
      </c>
      <c r="AG1683" s="43" t="str">
        <f t="array" ref="AG1683">INDEX('Deal Info'!G:G, MATCH(A1683,'Deal Info'!A:A, 0))</f>
        <v>#N/A</v>
      </c>
    </row>
    <row r="1684" hidden="1">
      <c r="A1684" s="23" t="b">
        <f t="array" ref="A1684">if(G1684='Room Info'!$B$1, INDEX('Room Info'!$A$2:$A3446, MATCH(B1684,'Room Info'!$B$2:$B3446, 0)),if(G1684='Room Info'!$C$1, INDEX('Room Info'!$A$2:$A3446, MATCH(B1684,'Room Info'!$C$2:$C3446, 0)),if(G1684='Room Info'!$D$1, INDEX('Room Info'!$A$2:$A3446, MATCH(B1684,'Room Info'!$D$2:$D3446, 0)),if(G1684='Room Info'!$E$1, INDEX('Room Info'!$A$2:$A3446, MATCH(B1684,'Room Info'!$E$2:$E3446, 0)),if(G1684='Room Info'!$F$1, INDEX('Room Info'!$A$2:$A3446, MATCH(B1684,'Room Info'!$F$2:$F3446, 0)),if(G1684='Room Info'!$H$1, INDEX('Room Info'!$A$2:$A3446, MATCH(B1684,'Room Info'!$H$2:$H3446, 0)),if(G1684='Room Info'!$G$1, INDEX('Room Info'!$A$2:$A3446, MATCH(B1684,'Room Info'!$G$2:$G3446, 0)))))))))</f>
        <v>0</v>
      </c>
      <c r="B1684" s="101"/>
      <c r="C1684" s="141"/>
      <c r="D1684" s="141"/>
      <c r="E1684" s="142"/>
      <c r="F1684" s="138"/>
      <c r="G1684" s="101"/>
      <c r="H1684" s="105"/>
      <c r="I1684" s="105"/>
      <c r="J1684" s="44" t="str">
        <f t="shared" si="311"/>
        <v/>
      </c>
      <c r="K1684" s="139"/>
      <c r="L1684" s="140"/>
      <c r="M1684" s="84"/>
      <c r="N1684" s="33">
        <f t="shared" si="276"/>
        <v>0</v>
      </c>
      <c r="O1684" s="101"/>
      <c r="P1684" s="34" t="str">
        <f t="shared" si="277"/>
        <v/>
      </c>
      <c r="Q1684" s="60"/>
      <c r="R1684" s="36">
        <f t="shared" si="312"/>
        <v>0</v>
      </c>
      <c r="S1684" s="102"/>
      <c r="T1684" s="37">
        <f t="shared" si="302"/>
        <v>0</v>
      </c>
      <c r="U1684" s="62"/>
      <c r="V1684" s="63"/>
      <c r="W1684" s="63"/>
      <c r="X1684" s="35" t="str">
        <f t="shared" si="303"/>
        <v>#N/A</v>
      </c>
      <c r="Y1684" s="35" t="str">
        <f t="shared" si="304"/>
        <v>#N/A</v>
      </c>
      <c r="Z1684" s="40" t="str">
        <f t="shared" si="305"/>
        <v>#N/A</v>
      </c>
      <c r="AA1684" s="34" t="str">
        <f t="shared" si="306"/>
        <v>#N/A</v>
      </c>
      <c r="AB1684" s="41" t="str">
        <f t="shared" si="307"/>
        <v>#N/A</v>
      </c>
      <c r="AC1684" s="42" t="b">
        <v>0</v>
      </c>
      <c r="AD1684" s="66" t="str">
        <f t="shared" si="308"/>
        <v>USD</v>
      </c>
      <c r="AE1684" s="42"/>
      <c r="AF1684" s="42" t="str">
        <f t="array" ref="AF1684">INDEX('Deal Info'!D:D, MATCH(A1684,'Deal Info'!A:A, 0))</f>
        <v>#N/A</v>
      </c>
      <c r="AG1684" s="43" t="str">
        <f t="array" ref="AG1684">INDEX('Deal Info'!G:G, MATCH(A1684,'Deal Info'!A:A, 0))</f>
        <v>#N/A</v>
      </c>
    </row>
    <row r="1685" hidden="1">
      <c r="A1685" s="23" t="b">
        <f t="array" ref="A1685">if(G1685='Room Info'!$B$1, INDEX('Room Info'!$A$2:$A3446, MATCH(B1685,'Room Info'!$B$2:$B3446, 0)),if(G1685='Room Info'!$C$1, INDEX('Room Info'!$A$2:$A3446, MATCH(B1685,'Room Info'!$C$2:$C3446, 0)),if(G1685='Room Info'!$D$1, INDEX('Room Info'!$A$2:$A3446, MATCH(B1685,'Room Info'!$D$2:$D3446, 0)),if(G1685='Room Info'!$E$1, INDEX('Room Info'!$A$2:$A3446, MATCH(B1685,'Room Info'!$E$2:$E3446, 0)),if(G1685='Room Info'!$F$1, INDEX('Room Info'!$A$2:$A3446, MATCH(B1685,'Room Info'!$F$2:$F3446, 0)),if(G1685='Room Info'!$H$1, INDEX('Room Info'!$A$2:$A3446, MATCH(B1685,'Room Info'!$H$2:$H3446, 0)),if(G1685='Room Info'!$G$1, INDEX('Room Info'!$A$2:$A3446, MATCH(B1685,'Room Info'!$G$2:$G3446, 0)))))))))</f>
        <v>0</v>
      </c>
      <c r="B1685" s="101"/>
      <c r="C1685" s="141"/>
      <c r="D1685" s="141"/>
      <c r="E1685" s="142"/>
      <c r="F1685" s="138"/>
      <c r="G1685" s="101"/>
      <c r="H1685" s="105"/>
      <c r="I1685" s="105"/>
      <c r="J1685" s="44" t="str">
        <f t="shared" si="311"/>
        <v/>
      </c>
      <c r="K1685" s="139"/>
      <c r="L1685" s="140"/>
      <c r="M1685" s="84"/>
      <c r="N1685" s="33">
        <f t="shared" si="276"/>
        <v>0</v>
      </c>
      <c r="O1685" s="101"/>
      <c r="P1685" s="34" t="str">
        <f t="shared" si="277"/>
        <v/>
      </c>
      <c r="Q1685" s="60"/>
      <c r="R1685" s="36">
        <f t="shared" si="312"/>
        <v>0</v>
      </c>
      <c r="S1685" s="102"/>
      <c r="T1685" s="37">
        <f t="shared" si="302"/>
        <v>0</v>
      </c>
      <c r="U1685" s="62"/>
      <c r="V1685" s="63"/>
      <c r="W1685" s="63"/>
      <c r="X1685" s="35" t="str">
        <f t="shared" si="303"/>
        <v>#N/A</v>
      </c>
      <c r="Y1685" s="35" t="str">
        <f t="shared" si="304"/>
        <v>#N/A</v>
      </c>
      <c r="Z1685" s="40" t="str">
        <f t="shared" si="305"/>
        <v>#N/A</v>
      </c>
      <c r="AA1685" s="34" t="str">
        <f t="shared" si="306"/>
        <v>#N/A</v>
      </c>
      <c r="AB1685" s="41" t="str">
        <f t="shared" si="307"/>
        <v>#N/A</v>
      </c>
      <c r="AC1685" s="42" t="b">
        <v>0</v>
      </c>
      <c r="AD1685" s="66" t="str">
        <f t="shared" si="308"/>
        <v>USD</v>
      </c>
      <c r="AE1685" s="42"/>
      <c r="AF1685" s="42" t="str">
        <f t="array" ref="AF1685">INDEX('Deal Info'!D:D, MATCH(A1685,'Deal Info'!A:A, 0))</f>
        <v>#N/A</v>
      </c>
      <c r="AG1685" s="43" t="str">
        <f t="array" ref="AG1685">INDEX('Deal Info'!G:G, MATCH(A1685,'Deal Info'!A:A, 0))</f>
        <v>#N/A</v>
      </c>
    </row>
    <row r="1686" hidden="1">
      <c r="A1686" s="23" t="b">
        <f t="array" ref="A1686">if(G1686='Room Info'!$B$1, INDEX('Room Info'!$A$2:$A3446, MATCH(B1686,'Room Info'!$B$2:$B3446, 0)),if(G1686='Room Info'!$C$1, INDEX('Room Info'!$A$2:$A3446, MATCH(B1686,'Room Info'!$C$2:$C3446, 0)),if(G1686='Room Info'!$D$1, INDEX('Room Info'!$A$2:$A3446, MATCH(B1686,'Room Info'!$D$2:$D3446, 0)),if(G1686='Room Info'!$E$1, INDEX('Room Info'!$A$2:$A3446, MATCH(B1686,'Room Info'!$E$2:$E3446, 0)),if(G1686='Room Info'!$F$1, INDEX('Room Info'!$A$2:$A3446, MATCH(B1686,'Room Info'!$F$2:$F3446, 0)),if(G1686='Room Info'!$H$1, INDEX('Room Info'!$A$2:$A3446, MATCH(B1686,'Room Info'!$H$2:$H3446, 0)),if(G1686='Room Info'!$G$1, INDEX('Room Info'!$A$2:$A3446, MATCH(B1686,'Room Info'!$G$2:$G3446, 0)))))))))</f>
        <v>0</v>
      </c>
      <c r="B1686" s="101"/>
      <c r="C1686" s="141"/>
      <c r="D1686" s="141"/>
      <c r="E1686" s="142"/>
      <c r="F1686" s="138"/>
      <c r="G1686" s="101"/>
      <c r="H1686" s="105"/>
      <c r="I1686" s="105"/>
      <c r="J1686" s="44" t="str">
        <f t="shared" si="311"/>
        <v/>
      </c>
      <c r="K1686" s="139"/>
      <c r="L1686" s="140"/>
      <c r="M1686" s="84"/>
      <c r="N1686" s="33">
        <f t="shared" si="276"/>
        <v>0</v>
      </c>
      <c r="O1686" s="101"/>
      <c r="P1686" s="34" t="str">
        <f t="shared" si="277"/>
        <v/>
      </c>
      <c r="Q1686" s="60"/>
      <c r="R1686" s="36">
        <f t="shared" si="312"/>
        <v>0</v>
      </c>
      <c r="S1686" s="102"/>
      <c r="T1686" s="37">
        <f t="shared" si="302"/>
        <v>0</v>
      </c>
      <c r="U1686" s="62"/>
      <c r="V1686" s="63"/>
      <c r="W1686" s="63"/>
      <c r="X1686" s="35" t="str">
        <f t="shared" si="303"/>
        <v>#N/A</v>
      </c>
      <c r="Y1686" s="35" t="str">
        <f t="shared" si="304"/>
        <v>#N/A</v>
      </c>
      <c r="Z1686" s="40" t="str">
        <f t="shared" si="305"/>
        <v>#N/A</v>
      </c>
      <c r="AA1686" s="34" t="str">
        <f t="shared" si="306"/>
        <v>#N/A</v>
      </c>
      <c r="AB1686" s="41" t="str">
        <f t="shared" si="307"/>
        <v>#N/A</v>
      </c>
      <c r="AC1686" s="42" t="b">
        <v>0</v>
      </c>
      <c r="AD1686" s="66" t="str">
        <f t="shared" si="308"/>
        <v>USD</v>
      </c>
      <c r="AE1686" s="42"/>
      <c r="AF1686" s="42" t="str">
        <f t="array" ref="AF1686">INDEX('Deal Info'!D:D, MATCH(A1686,'Deal Info'!A:A, 0))</f>
        <v>#N/A</v>
      </c>
      <c r="AG1686" s="43" t="str">
        <f t="array" ref="AG1686">INDEX('Deal Info'!G:G, MATCH(A1686,'Deal Info'!A:A, 0))</f>
        <v>#N/A</v>
      </c>
    </row>
    <row r="1687" hidden="1">
      <c r="A1687" s="23" t="b">
        <f t="array" ref="A1687">if(G1687='Room Info'!$B$1, INDEX('Room Info'!$A$2:$A3446, MATCH(B1687,'Room Info'!$B$2:$B3446, 0)),if(G1687='Room Info'!$C$1, INDEX('Room Info'!$A$2:$A3446, MATCH(B1687,'Room Info'!$C$2:$C3446, 0)),if(G1687='Room Info'!$D$1, INDEX('Room Info'!$A$2:$A3446, MATCH(B1687,'Room Info'!$D$2:$D3446, 0)),if(G1687='Room Info'!$E$1, INDEX('Room Info'!$A$2:$A3446, MATCH(B1687,'Room Info'!$E$2:$E3446, 0)),if(G1687='Room Info'!$F$1, INDEX('Room Info'!$A$2:$A3446, MATCH(B1687,'Room Info'!$F$2:$F3446, 0)),if(G1687='Room Info'!$H$1, INDEX('Room Info'!$A$2:$A3446, MATCH(B1687,'Room Info'!$H$2:$H3446, 0)),if(G1687='Room Info'!$G$1, INDEX('Room Info'!$A$2:$A3446, MATCH(B1687,'Room Info'!$G$2:$G3446, 0)))))))))</f>
        <v>0</v>
      </c>
      <c r="B1687" s="101"/>
      <c r="C1687" s="141"/>
      <c r="D1687" s="141"/>
      <c r="E1687" s="142"/>
      <c r="F1687" s="138"/>
      <c r="G1687" s="101"/>
      <c r="H1687" s="105"/>
      <c r="I1687" s="105"/>
      <c r="J1687" s="44" t="str">
        <f t="shared" si="311"/>
        <v/>
      </c>
      <c r="K1687" s="139"/>
      <c r="L1687" s="140"/>
      <c r="M1687" s="84"/>
      <c r="N1687" s="33">
        <f t="shared" si="276"/>
        <v>0</v>
      </c>
      <c r="O1687" s="101"/>
      <c r="P1687" s="34" t="str">
        <f t="shared" si="277"/>
        <v/>
      </c>
      <c r="Q1687" s="60"/>
      <c r="R1687" s="36">
        <f t="shared" si="312"/>
        <v>0</v>
      </c>
      <c r="S1687" s="102"/>
      <c r="T1687" s="37">
        <f t="shared" si="302"/>
        <v>0</v>
      </c>
      <c r="U1687" s="62"/>
      <c r="V1687" s="63"/>
      <c r="W1687" s="63"/>
      <c r="X1687" s="35" t="str">
        <f t="shared" si="303"/>
        <v>#N/A</v>
      </c>
      <c r="Y1687" s="35" t="str">
        <f t="shared" si="304"/>
        <v>#N/A</v>
      </c>
      <c r="Z1687" s="40" t="str">
        <f t="shared" si="305"/>
        <v>#N/A</v>
      </c>
      <c r="AA1687" s="34" t="str">
        <f t="shared" si="306"/>
        <v>#N/A</v>
      </c>
      <c r="AB1687" s="41" t="str">
        <f t="shared" si="307"/>
        <v>#N/A</v>
      </c>
      <c r="AC1687" s="42" t="b">
        <v>0</v>
      </c>
      <c r="AD1687" s="66" t="str">
        <f t="shared" si="308"/>
        <v>USD</v>
      </c>
      <c r="AE1687" s="42"/>
      <c r="AF1687" s="42" t="str">
        <f t="array" ref="AF1687">INDEX('Deal Info'!D:D, MATCH(A1687,'Deal Info'!A:A, 0))</f>
        <v>#N/A</v>
      </c>
      <c r="AG1687" s="43" t="str">
        <f t="array" ref="AG1687">INDEX('Deal Info'!G:G, MATCH(A1687,'Deal Info'!A:A, 0))</f>
        <v>#N/A</v>
      </c>
    </row>
    <row r="1688" hidden="1">
      <c r="A1688" s="23" t="b">
        <f t="array" ref="A1688">if(G1688='Room Info'!$B$1, INDEX('Room Info'!$A$2:$A3446, MATCH(B1688,'Room Info'!$B$2:$B3446, 0)),if(G1688='Room Info'!$C$1, INDEX('Room Info'!$A$2:$A3446, MATCH(B1688,'Room Info'!$C$2:$C3446, 0)),if(G1688='Room Info'!$D$1, INDEX('Room Info'!$A$2:$A3446, MATCH(B1688,'Room Info'!$D$2:$D3446, 0)),if(G1688='Room Info'!$E$1, INDEX('Room Info'!$A$2:$A3446, MATCH(B1688,'Room Info'!$E$2:$E3446, 0)),if(G1688='Room Info'!$F$1, INDEX('Room Info'!$A$2:$A3446, MATCH(B1688,'Room Info'!$F$2:$F3446, 0)),if(G1688='Room Info'!$H$1, INDEX('Room Info'!$A$2:$A3446, MATCH(B1688,'Room Info'!$H$2:$H3446, 0)),if(G1688='Room Info'!$G$1, INDEX('Room Info'!$A$2:$A3446, MATCH(B1688,'Room Info'!$G$2:$G3446, 0)))))))))</f>
        <v>0</v>
      </c>
      <c r="B1688" s="101"/>
      <c r="C1688" s="115"/>
      <c r="D1688" s="115"/>
      <c r="E1688" s="85"/>
      <c r="F1688" s="138"/>
      <c r="G1688" s="101"/>
      <c r="H1688" s="114"/>
      <c r="I1688" s="114"/>
      <c r="J1688" s="44" t="str">
        <f t="shared" si="311"/>
        <v/>
      </c>
      <c r="K1688" s="116"/>
      <c r="L1688" s="117"/>
      <c r="M1688" s="67"/>
      <c r="N1688" s="33">
        <f t="shared" si="276"/>
        <v>0</v>
      </c>
      <c r="O1688" s="70"/>
      <c r="P1688" s="34" t="str">
        <f t="shared" si="277"/>
        <v/>
      </c>
      <c r="Q1688" s="60"/>
      <c r="R1688" s="36">
        <f t="shared" si="312"/>
        <v>0</v>
      </c>
      <c r="S1688" s="71"/>
      <c r="T1688" s="37">
        <f t="shared" si="302"/>
        <v>0</v>
      </c>
      <c r="U1688" s="62"/>
      <c r="V1688" s="63"/>
      <c r="W1688" s="63"/>
      <c r="X1688" s="35" t="str">
        <f t="shared" si="303"/>
        <v>#N/A</v>
      </c>
      <c r="Y1688" s="35" t="str">
        <f t="shared" si="304"/>
        <v>#N/A</v>
      </c>
      <c r="Z1688" s="40" t="str">
        <f t="shared" si="305"/>
        <v>#N/A</v>
      </c>
      <c r="AA1688" s="34" t="str">
        <f t="shared" si="306"/>
        <v>#N/A</v>
      </c>
      <c r="AB1688" s="41" t="str">
        <f t="shared" si="307"/>
        <v>#N/A</v>
      </c>
      <c r="AC1688" s="42" t="b">
        <v>0</v>
      </c>
      <c r="AD1688" s="66" t="str">
        <f t="shared" si="308"/>
        <v>USD</v>
      </c>
      <c r="AE1688" s="42"/>
      <c r="AF1688" s="42" t="str">
        <f t="array" ref="AF1688">INDEX('Deal Info'!D:D, MATCH(A1688,'Deal Info'!A:A, 0))</f>
        <v>#N/A</v>
      </c>
      <c r="AG1688" s="43" t="str">
        <f t="array" ref="AG1688">INDEX('Deal Info'!G:G, MATCH(A1688,'Deal Info'!A:A, 0))</f>
        <v>#N/A</v>
      </c>
    </row>
    <row r="1689" hidden="1">
      <c r="A1689" s="23" t="b">
        <f t="array" ref="A1689">if(G1689='Room Info'!$B$1, INDEX('Room Info'!$A$2:$A3446, MATCH(B1689,'Room Info'!$B$2:$B3446, 0)),if(G1689='Room Info'!$C$1, INDEX('Room Info'!$A$2:$A3446, MATCH(B1689,'Room Info'!$C$2:$C3446, 0)),if(G1689='Room Info'!$D$1, INDEX('Room Info'!$A$2:$A3446, MATCH(B1689,'Room Info'!$D$2:$D3446, 0)),if(G1689='Room Info'!$E$1, INDEX('Room Info'!$A$2:$A3446, MATCH(B1689,'Room Info'!$E$2:$E3446, 0)),if(G1689='Room Info'!$F$1, INDEX('Room Info'!$A$2:$A3446, MATCH(B1689,'Room Info'!$F$2:$F3446, 0)),if(G1689='Room Info'!$H$1, INDEX('Room Info'!$A$2:$A3446, MATCH(B1689,'Room Info'!$H$2:$H3446, 0)),if(G1689='Room Info'!$G$1, INDEX('Room Info'!$A$2:$A3446, MATCH(B1689,'Room Info'!$G$2:$G3446, 0)))))))))</f>
        <v>0</v>
      </c>
      <c r="B1689" s="101"/>
      <c r="C1689" s="115"/>
      <c r="D1689" s="115"/>
      <c r="E1689" s="85"/>
      <c r="F1689" s="138"/>
      <c r="G1689" s="101"/>
      <c r="H1689" s="114"/>
      <c r="I1689" s="114"/>
      <c r="J1689" s="44" t="str">
        <f t="shared" si="311"/>
        <v/>
      </c>
      <c r="K1689" s="116"/>
      <c r="L1689" s="117"/>
      <c r="M1689" s="67"/>
      <c r="N1689" s="33">
        <f t="shared" si="276"/>
        <v>0</v>
      </c>
      <c r="O1689" s="70"/>
      <c r="P1689" s="34" t="str">
        <f t="shared" si="277"/>
        <v/>
      </c>
      <c r="Q1689" s="60"/>
      <c r="R1689" s="36">
        <f t="shared" si="312"/>
        <v>0</v>
      </c>
      <c r="S1689" s="71"/>
      <c r="T1689" s="37">
        <f t="shared" si="302"/>
        <v>0</v>
      </c>
      <c r="U1689" s="62"/>
      <c r="V1689" s="63"/>
      <c r="W1689" s="63"/>
      <c r="X1689" s="35" t="str">
        <f t="shared" si="303"/>
        <v>#N/A</v>
      </c>
      <c r="Y1689" s="35" t="str">
        <f t="shared" si="304"/>
        <v>#N/A</v>
      </c>
      <c r="Z1689" s="40" t="str">
        <f t="shared" si="305"/>
        <v>#N/A</v>
      </c>
      <c r="AA1689" s="34" t="str">
        <f t="shared" si="306"/>
        <v>#N/A</v>
      </c>
      <c r="AB1689" s="41" t="str">
        <f t="shared" si="307"/>
        <v>#N/A</v>
      </c>
      <c r="AC1689" s="42" t="b">
        <v>0</v>
      </c>
      <c r="AD1689" s="66" t="str">
        <f t="shared" si="308"/>
        <v>USD</v>
      </c>
      <c r="AE1689" s="42"/>
      <c r="AF1689" s="42" t="str">
        <f t="array" ref="AF1689">INDEX('Deal Info'!D:D, MATCH(A1689,'Deal Info'!A:A, 0))</f>
        <v>#N/A</v>
      </c>
      <c r="AG1689" s="43" t="str">
        <f t="array" ref="AG1689">INDEX('Deal Info'!G:G, MATCH(A1689,'Deal Info'!A:A, 0))</f>
        <v>#N/A</v>
      </c>
    </row>
    <row r="1690" hidden="1">
      <c r="A1690" s="23" t="b">
        <f t="array" ref="A1690">if(G1690='Room Info'!$B$1, INDEX('Room Info'!$A$2:$A3446, MATCH(B1690,'Room Info'!$B$2:$B3446, 0)),if(G1690='Room Info'!$C$1, INDEX('Room Info'!$A$2:$A3446, MATCH(B1690,'Room Info'!$C$2:$C3446, 0)),if(G1690='Room Info'!$D$1, INDEX('Room Info'!$A$2:$A3446, MATCH(B1690,'Room Info'!$D$2:$D3446, 0)),if(G1690='Room Info'!$E$1, INDEX('Room Info'!$A$2:$A3446, MATCH(B1690,'Room Info'!$E$2:$E3446, 0)),if(G1690='Room Info'!$F$1, INDEX('Room Info'!$A$2:$A3446, MATCH(B1690,'Room Info'!$F$2:$F3446, 0)),if(G1690='Room Info'!$H$1, INDEX('Room Info'!$A$2:$A3446, MATCH(B1690,'Room Info'!$H$2:$H3446, 0)),if(G1690='Room Info'!$G$1, INDEX('Room Info'!$A$2:$A3446, MATCH(B1690,'Room Info'!$G$2:$G3446, 0)))))))))</f>
        <v>0</v>
      </c>
      <c r="B1690" s="101"/>
      <c r="C1690" s="115"/>
      <c r="D1690" s="115"/>
      <c r="E1690" s="85"/>
      <c r="F1690" s="138"/>
      <c r="G1690" s="101"/>
      <c r="H1690" s="114"/>
      <c r="I1690" s="114"/>
      <c r="J1690" s="44" t="str">
        <f t="shared" si="311"/>
        <v/>
      </c>
      <c r="K1690" s="116"/>
      <c r="L1690" s="117"/>
      <c r="M1690" s="67"/>
      <c r="N1690" s="33">
        <f t="shared" si="276"/>
        <v>0</v>
      </c>
      <c r="O1690" s="70"/>
      <c r="P1690" s="34" t="str">
        <f t="shared" si="277"/>
        <v/>
      </c>
      <c r="Q1690" s="60"/>
      <c r="R1690" s="36">
        <f t="shared" si="312"/>
        <v>0</v>
      </c>
      <c r="S1690" s="71"/>
      <c r="T1690" s="37">
        <f t="shared" si="302"/>
        <v>0</v>
      </c>
      <c r="U1690" s="62"/>
      <c r="V1690" s="63"/>
      <c r="W1690" s="63"/>
      <c r="X1690" s="35" t="str">
        <f t="shared" si="303"/>
        <v>#N/A</v>
      </c>
      <c r="Y1690" s="35" t="str">
        <f t="shared" si="304"/>
        <v>#N/A</v>
      </c>
      <c r="Z1690" s="40" t="str">
        <f t="shared" si="305"/>
        <v>#N/A</v>
      </c>
      <c r="AA1690" s="34" t="str">
        <f t="shared" si="306"/>
        <v>#N/A</v>
      </c>
      <c r="AB1690" s="41" t="str">
        <f t="shared" si="307"/>
        <v>#N/A</v>
      </c>
      <c r="AC1690" s="42" t="b">
        <v>0</v>
      </c>
      <c r="AD1690" s="66" t="str">
        <f t="shared" si="308"/>
        <v>USD</v>
      </c>
      <c r="AE1690" s="42"/>
      <c r="AF1690" s="42" t="str">
        <f t="array" ref="AF1690">INDEX('Deal Info'!D:D, MATCH(A1690,'Deal Info'!A:A, 0))</f>
        <v>#N/A</v>
      </c>
      <c r="AG1690" s="43" t="str">
        <f t="array" ref="AG1690">INDEX('Deal Info'!G:G, MATCH(A1690,'Deal Info'!A:A, 0))</f>
        <v>#N/A</v>
      </c>
    </row>
    <row r="1691" hidden="1">
      <c r="A1691" s="23" t="b">
        <f t="array" ref="A1691">if(G1691='Room Info'!$B$1, INDEX('Room Info'!$A$2:$A3446, MATCH(B1691,'Room Info'!$B$2:$B3446, 0)),if(G1691='Room Info'!$C$1, INDEX('Room Info'!$A$2:$A3446, MATCH(B1691,'Room Info'!$C$2:$C3446, 0)),if(G1691='Room Info'!$D$1, INDEX('Room Info'!$A$2:$A3446, MATCH(B1691,'Room Info'!$D$2:$D3446, 0)),if(G1691='Room Info'!$E$1, INDEX('Room Info'!$A$2:$A3446, MATCH(B1691,'Room Info'!$E$2:$E3446, 0)),if(G1691='Room Info'!$F$1, INDEX('Room Info'!$A$2:$A3446, MATCH(B1691,'Room Info'!$F$2:$F3446, 0)),if(G1691='Room Info'!$H$1, INDEX('Room Info'!$A$2:$A3446, MATCH(B1691,'Room Info'!$H$2:$H3446, 0)),if(G1691='Room Info'!$G$1, INDEX('Room Info'!$A$2:$A3446, MATCH(B1691,'Room Info'!$G$2:$G3446, 0)))))))))</f>
        <v>0</v>
      </c>
      <c r="B1691" s="101"/>
      <c r="C1691" s="115"/>
      <c r="D1691" s="115"/>
      <c r="E1691" s="85"/>
      <c r="F1691" s="138"/>
      <c r="G1691" s="101"/>
      <c r="H1691" s="114"/>
      <c r="I1691" s="114"/>
      <c r="J1691" s="44" t="str">
        <f t="shared" si="311"/>
        <v/>
      </c>
      <c r="K1691" s="116"/>
      <c r="L1691" s="117"/>
      <c r="M1691" s="67"/>
      <c r="N1691" s="33">
        <f t="shared" si="276"/>
        <v>0</v>
      </c>
      <c r="O1691" s="70"/>
      <c r="P1691" s="34" t="str">
        <f t="shared" si="277"/>
        <v/>
      </c>
      <c r="Q1691" s="60"/>
      <c r="R1691" s="36">
        <f t="shared" si="312"/>
        <v>0</v>
      </c>
      <c r="S1691" s="71"/>
      <c r="T1691" s="37">
        <f t="shared" si="302"/>
        <v>0</v>
      </c>
      <c r="U1691" s="62"/>
      <c r="V1691" s="63"/>
      <c r="W1691" s="63"/>
      <c r="X1691" s="35" t="str">
        <f t="shared" si="303"/>
        <v>#N/A</v>
      </c>
      <c r="Y1691" s="35" t="str">
        <f t="shared" si="304"/>
        <v>#N/A</v>
      </c>
      <c r="Z1691" s="40" t="str">
        <f t="shared" si="305"/>
        <v>#N/A</v>
      </c>
      <c r="AA1691" s="34" t="str">
        <f t="shared" si="306"/>
        <v>#N/A</v>
      </c>
      <c r="AB1691" s="41" t="str">
        <f t="shared" si="307"/>
        <v>#N/A</v>
      </c>
      <c r="AC1691" s="42" t="b">
        <v>0</v>
      </c>
      <c r="AD1691" s="66" t="str">
        <f t="shared" si="308"/>
        <v>USD</v>
      </c>
      <c r="AE1691" s="42"/>
      <c r="AF1691" s="42" t="str">
        <f t="array" ref="AF1691">INDEX('Deal Info'!D:D, MATCH(A1691,'Deal Info'!A:A, 0))</f>
        <v>#N/A</v>
      </c>
      <c r="AG1691" s="43" t="str">
        <f t="array" ref="AG1691">INDEX('Deal Info'!G:G, MATCH(A1691,'Deal Info'!A:A, 0))</f>
        <v>#N/A</v>
      </c>
    </row>
    <row r="1692" hidden="1">
      <c r="A1692" s="23" t="b">
        <f t="array" ref="A1692">if(G1692='Room Info'!$B$1, INDEX('Room Info'!$A$2:$A3446, MATCH(B1692,'Room Info'!$B$2:$B3446, 0)),if(G1692='Room Info'!$C$1, INDEX('Room Info'!$A$2:$A3446, MATCH(B1692,'Room Info'!$C$2:$C3446, 0)),if(G1692='Room Info'!$D$1, INDEX('Room Info'!$A$2:$A3446, MATCH(B1692,'Room Info'!$D$2:$D3446, 0)),if(G1692='Room Info'!$E$1, INDEX('Room Info'!$A$2:$A3446, MATCH(B1692,'Room Info'!$E$2:$E3446, 0)),if(G1692='Room Info'!$F$1, INDEX('Room Info'!$A$2:$A3446, MATCH(B1692,'Room Info'!$F$2:$F3446, 0)),if(G1692='Room Info'!$H$1, INDEX('Room Info'!$A$2:$A3446, MATCH(B1692,'Room Info'!$H$2:$H3446, 0)),if(G1692='Room Info'!$G$1, INDEX('Room Info'!$A$2:$A3446, MATCH(B1692,'Room Info'!$G$2:$G3446, 0)))))))))</f>
        <v>0</v>
      </c>
      <c r="B1692" s="101"/>
      <c r="C1692" s="115"/>
      <c r="D1692" s="115"/>
      <c r="E1692" s="85"/>
      <c r="F1692" s="138"/>
      <c r="G1692" s="101"/>
      <c r="H1692" s="114"/>
      <c r="I1692" s="114"/>
      <c r="J1692" s="44" t="str">
        <f t="shared" si="311"/>
        <v/>
      </c>
      <c r="K1692" s="116"/>
      <c r="L1692" s="117"/>
      <c r="M1692" s="67"/>
      <c r="N1692" s="33">
        <f t="shared" si="276"/>
        <v>0</v>
      </c>
      <c r="O1692" s="70"/>
      <c r="P1692" s="34" t="str">
        <f t="shared" si="277"/>
        <v/>
      </c>
      <c r="Q1692" s="60"/>
      <c r="R1692" s="36">
        <f t="shared" si="312"/>
        <v>0</v>
      </c>
      <c r="S1692" s="71"/>
      <c r="T1692" s="37">
        <f t="shared" si="302"/>
        <v>0</v>
      </c>
      <c r="U1692" s="62"/>
      <c r="V1692" s="63"/>
      <c r="W1692" s="63"/>
      <c r="X1692" s="35" t="str">
        <f t="shared" si="303"/>
        <v>#N/A</v>
      </c>
      <c r="Y1692" s="35" t="str">
        <f t="shared" si="304"/>
        <v>#N/A</v>
      </c>
      <c r="Z1692" s="40" t="str">
        <f t="shared" si="305"/>
        <v>#N/A</v>
      </c>
      <c r="AA1692" s="34" t="str">
        <f t="shared" si="306"/>
        <v>#N/A</v>
      </c>
      <c r="AB1692" s="41" t="str">
        <f t="shared" si="307"/>
        <v>#N/A</v>
      </c>
      <c r="AC1692" s="42" t="b">
        <v>0</v>
      </c>
      <c r="AD1692" s="66" t="str">
        <f t="shared" si="308"/>
        <v>USD</v>
      </c>
      <c r="AE1692" s="42"/>
      <c r="AF1692" s="42" t="str">
        <f t="array" ref="AF1692">INDEX('Deal Info'!D:D, MATCH(A1692,'Deal Info'!A:A, 0))</f>
        <v>#N/A</v>
      </c>
      <c r="AG1692" s="43" t="str">
        <f t="array" ref="AG1692">INDEX('Deal Info'!G:G, MATCH(A1692,'Deal Info'!A:A, 0))</f>
        <v>#N/A</v>
      </c>
    </row>
    <row r="1693" hidden="1">
      <c r="A1693" s="23" t="b">
        <f t="array" ref="A1693">if(G1693='Room Info'!$B$1, INDEX('Room Info'!$A$2:$A3446, MATCH(B1693,'Room Info'!$B$2:$B3446, 0)),if(G1693='Room Info'!$C$1, INDEX('Room Info'!$A$2:$A3446, MATCH(B1693,'Room Info'!$C$2:$C3446, 0)),if(G1693='Room Info'!$D$1, INDEX('Room Info'!$A$2:$A3446, MATCH(B1693,'Room Info'!$D$2:$D3446, 0)),if(G1693='Room Info'!$E$1, INDEX('Room Info'!$A$2:$A3446, MATCH(B1693,'Room Info'!$E$2:$E3446, 0)),if(G1693='Room Info'!$F$1, INDEX('Room Info'!$A$2:$A3446, MATCH(B1693,'Room Info'!$F$2:$F3446, 0)),if(G1693='Room Info'!$H$1, INDEX('Room Info'!$A$2:$A3446, MATCH(B1693,'Room Info'!$H$2:$H3446, 0)),if(G1693='Room Info'!$G$1, INDEX('Room Info'!$A$2:$A3446, MATCH(B1693,'Room Info'!$G$2:$G3446, 0)))))))))</f>
        <v>0</v>
      </c>
      <c r="B1693" s="101"/>
      <c r="C1693" s="115"/>
      <c r="D1693" s="115"/>
      <c r="E1693" s="85"/>
      <c r="F1693" s="138"/>
      <c r="G1693" s="101"/>
      <c r="H1693" s="114"/>
      <c r="I1693" s="114"/>
      <c r="J1693" s="44" t="str">
        <f t="shared" si="311"/>
        <v/>
      </c>
      <c r="K1693" s="116"/>
      <c r="L1693" s="117"/>
      <c r="M1693" s="67"/>
      <c r="N1693" s="33">
        <f t="shared" si="276"/>
        <v>0</v>
      </c>
      <c r="O1693" s="70"/>
      <c r="P1693" s="34" t="str">
        <f t="shared" si="277"/>
        <v/>
      </c>
      <c r="Q1693" s="60"/>
      <c r="R1693" s="36">
        <f t="shared" si="312"/>
        <v>0</v>
      </c>
      <c r="S1693" s="71"/>
      <c r="T1693" s="37">
        <f t="shared" si="302"/>
        <v>0</v>
      </c>
      <c r="U1693" s="62"/>
      <c r="V1693" s="63"/>
      <c r="W1693" s="63"/>
      <c r="X1693" s="35" t="str">
        <f t="shared" si="303"/>
        <v>#N/A</v>
      </c>
      <c r="Y1693" s="35" t="str">
        <f t="shared" si="304"/>
        <v>#N/A</v>
      </c>
      <c r="Z1693" s="40" t="str">
        <f t="shared" si="305"/>
        <v>#N/A</v>
      </c>
      <c r="AA1693" s="34" t="str">
        <f t="shared" si="306"/>
        <v>#N/A</v>
      </c>
      <c r="AB1693" s="41" t="str">
        <f t="shared" si="307"/>
        <v>#N/A</v>
      </c>
      <c r="AC1693" s="42" t="b">
        <v>0</v>
      </c>
      <c r="AD1693" s="66" t="str">
        <f t="shared" si="308"/>
        <v>USD</v>
      </c>
      <c r="AE1693" s="42"/>
      <c r="AF1693" s="42" t="str">
        <f t="array" ref="AF1693">INDEX('Deal Info'!D:D, MATCH(A1693,'Deal Info'!A:A, 0))</f>
        <v>#N/A</v>
      </c>
      <c r="AG1693" s="43" t="str">
        <f t="array" ref="AG1693">INDEX('Deal Info'!G:G, MATCH(A1693,'Deal Info'!A:A, 0))</f>
        <v>#N/A</v>
      </c>
    </row>
    <row r="1694" hidden="1">
      <c r="A1694" s="23" t="b">
        <f t="array" ref="A1694">if(G1694='Room Info'!$B$1, INDEX('Room Info'!$A$2:$A3446, MATCH(B1694,'Room Info'!$B$2:$B3446, 0)),if(G1694='Room Info'!$C$1, INDEX('Room Info'!$A$2:$A3446, MATCH(B1694,'Room Info'!$C$2:$C3446, 0)),if(G1694='Room Info'!$D$1, INDEX('Room Info'!$A$2:$A3446, MATCH(B1694,'Room Info'!$D$2:$D3446, 0)),if(G1694='Room Info'!$E$1, INDEX('Room Info'!$A$2:$A3446, MATCH(B1694,'Room Info'!$E$2:$E3446, 0)),if(G1694='Room Info'!$F$1, INDEX('Room Info'!$A$2:$A3446, MATCH(B1694,'Room Info'!$F$2:$F3446, 0)),if(G1694='Room Info'!$H$1, INDEX('Room Info'!$A$2:$A3446, MATCH(B1694,'Room Info'!$H$2:$H3446, 0)),if(G1694='Room Info'!$G$1, INDEX('Room Info'!$A$2:$A3446, MATCH(B1694,'Room Info'!$G$2:$G3446, 0)))))))))</f>
        <v>0</v>
      </c>
      <c r="B1694" s="101"/>
      <c r="C1694" s="115"/>
      <c r="D1694" s="115"/>
      <c r="E1694" s="85"/>
      <c r="F1694" s="138"/>
      <c r="G1694" s="101"/>
      <c r="H1694" s="114"/>
      <c r="I1694" s="114"/>
      <c r="J1694" s="44" t="str">
        <f t="shared" si="311"/>
        <v/>
      </c>
      <c r="K1694" s="116"/>
      <c r="L1694" s="117"/>
      <c r="M1694" s="67"/>
      <c r="N1694" s="33">
        <f t="shared" si="276"/>
        <v>0</v>
      </c>
      <c r="O1694" s="70"/>
      <c r="P1694" s="34" t="str">
        <f t="shared" si="277"/>
        <v/>
      </c>
      <c r="Q1694" s="60"/>
      <c r="R1694" s="36">
        <f t="shared" si="312"/>
        <v>0</v>
      </c>
      <c r="S1694" s="71"/>
      <c r="T1694" s="37">
        <f t="shared" si="302"/>
        <v>0</v>
      </c>
      <c r="U1694" s="62"/>
      <c r="V1694" s="63"/>
      <c r="W1694" s="63"/>
      <c r="X1694" s="35" t="str">
        <f t="shared" si="303"/>
        <v>#N/A</v>
      </c>
      <c r="Y1694" s="35" t="str">
        <f t="shared" si="304"/>
        <v>#N/A</v>
      </c>
      <c r="Z1694" s="40" t="str">
        <f t="shared" si="305"/>
        <v>#N/A</v>
      </c>
      <c r="AA1694" s="34" t="str">
        <f t="shared" si="306"/>
        <v>#N/A</v>
      </c>
      <c r="AB1694" s="41" t="str">
        <f t="shared" si="307"/>
        <v>#N/A</v>
      </c>
      <c r="AC1694" s="42" t="b">
        <v>0</v>
      </c>
      <c r="AD1694" s="66" t="str">
        <f t="shared" si="308"/>
        <v>USD</v>
      </c>
      <c r="AE1694" s="42"/>
      <c r="AF1694" s="42" t="str">
        <f t="array" ref="AF1694">INDEX('Deal Info'!D:D, MATCH(A1694,'Deal Info'!A:A, 0))</f>
        <v>#N/A</v>
      </c>
      <c r="AG1694" s="43" t="str">
        <f t="array" ref="AG1694">INDEX('Deal Info'!G:G, MATCH(A1694,'Deal Info'!A:A, 0))</f>
        <v>#N/A</v>
      </c>
    </row>
    <row r="1695" hidden="1">
      <c r="A1695" s="23" t="b">
        <f t="array" ref="A1695">if(G1695='Room Info'!$B$1, INDEX('Room Info'!$A$2:$A3446, MATCH(B1695,'Room Info'!$B$2:$B3446, 0)),if(G1695='Room Info'!$C$1, INDEX('Room Info'!$A$2:$A3446, MATCH(B1695,'Room Info'!$C$2:$C3446, 0)),if(G1695='Room Info'!$D$1, INDEX('Room Info'!$A$2:$A3446, MATCH(B1695,'Room Info'!$D$2:$D3446, 0)),if(G1695='Room Info'!$E$1, INDEX('Room Info'!$A$2:$A3446, MATCH(B1695,'Room Info'!$E$2:$E3446, 0)),if(G1695='Room Info'!$F$1, INDEX('Room Info'!$A$2:$A3446, MATCH(B1695,'Room Info'!$F$2:$F3446, 0)),if(G1695='Room Info'!$H$1, INDEX('Room Info'!$A$2:$A3446, MATCH(B1695,'Room Info'!$H$2:$H3446, 0)),if(G1695='Room Info'!$G$1, INDEX('Room Info'!$A$2:$A3446, MATCH(B1695,'Room Info'!$G$2:$G3446, 0)))))))))</f>
        <v>0</v>
      </c>
      <c r="B1695" s="101"/>
      <c r="C1695" s="115"/>
      <c r="D1695" s="115"/>
      <c r="E1695" s="85"/>
      <c r="F1695" s="138"/>
      <c r="G1695" s="101"/>
      <c r="H1695" s="114"/>
      <c r="I1695" s="114"/>
      <c r="J1695" s="44" t="str">
        <f t="shared" si="311"/>
        <v/>
      </c>
      <c r="K1695" s="116"/>
      <c r="L1695" s="117"/>
      <c r="M1695" s="67"/>
      <c r="N1695" s="33">
        <f t="shared" si="276"/>
        <v>0</v>
      </c>
      <c r="O1695" s="70"/>
      <c r="P1695" s="34" t="str">
        <f t="shared" si="277"/>
        <v/>
      </c>
      <c r="Q1695" s="60"/>
      <c r="R1695" s="36">
        <f t="shared" si="312"/>
        <v>0</v>
      </c>
      <c r="S1695" s="71"/>
      <c r="T1695" s="37">
        <f t="shared" si="302"/>
        <v>0</v>
      </c>
      <c r="U1695" s="62"/>
      <c r="V1695" s="63"/>
      <c r="W1695" s="63"/>
      <c r="X1695" s="35" t="str">
        <f t="shared" si="303"/>
        <v>#N/A</v>
      </c>
      <c r="Y1695" s="35" t="str">
        <f t="shared" si="304"/>
        <v>#N/A</v>
      </c>
      <c r="Z1695" s="40" t="str">
        <f t="shared" si="305"/>
        <v>#N/A</v>
      </c>
      <c r="AA1695" s="34" t="str">
        <f t="shared" si="306"/>
        <v>#N/A</v>
      </c>
      <c r="AB1695" s="41" t="str">
        <f t="shared" si="307"/>
        <v>#N/A</v>
      </c>
      <c r="AC1695" s="42" t="b">
        <v>0</v>
      </c>
      <c r="AD1695" s="66" t="str">
        <f t="shared" si="308"/>
        <v>USD</v>
      </c>
      <c r="AE1695" s="42"/>
      <c r="AF1695" s="42" t="str">
        <f t="array" ref="AF1695">INDEX('Deal Info'!D:D, MATCH(A1695,'Deal Info'!A:A, 0))</f>
        <v>#N/A</v>
      </c>
      <c r="AG1695" s="43" t="str">
        <f t="array" ref="AG1695">INDEX('Deal Info'!G:G, MATCH(A1695,'Deal Info'!A:A, 0))</f>
        <v>#N/A</v>
      </c>
    </row>
    <row r="1696" hidden="1">
      <c r="A1696" s="23" t="b">
        <f t="array" ref="A1696">if(G1696='Room Info'!$B$1, INDEX('Room Info'!$A$2:$A3446, MATCH(B1696,'Room Info'!$B$2:$B3446, 0)),if(G1696='Room Info'!$C$1, INDEX('Room Info'!$A$2:$A3446, MATCH(B1696,'Room Info'!$C$2:$C3446, 0)),if(G1696='Room Info'!$D$1, INDEX('Room Info'!$A$2:$A3446, MATCH(B1696,'Room Info'!$D$2:$D3446, 0)),if(G1696='Room Info'!$E$1, INDEX('Room Info'!$A$2:$A3446, MATCH(B1696,'Room Info'!$E$2:$E3446, 0)),if(G1696='Room Info'!$F$1, INDEX('Room Info'!$A$2:$A3446, MATCH(B1696,'Room Info'!$F$2:$F3446, 0)),if(G1696='Room Info'!$H$1, INDEX('Room Info'!$A$2:$A3446, MATCH(B1696,'Room Info'!$H$2:$H3446, 0)),if(G1696='Room Info'!$G$1, INDEX('Room Info'!$A$2:$A3446, MATCH(B1696,'Room Info'!$G$2:$G3446, 0)))))))))</f>
        <v>0</v>
      </c>
      <c r="B1696" s="101"/>
      <c r="C1696" s="115"/>
      <c r="D1696" s="115"/>
      <c r="E1696" s="85"/>
      <c r="F1696" s="138"/>
      <c r="G1696" s="101"/>
      <c r="H1696" s="114"/>
      <c r="I1696" s="114"/>
      <c r="J1696" s="44" t="str">
        <f t="shared" si="311"/>
        <v/>
      </c>
      <c r="K1696" s="116"/>
      <c r="L1696" s="117"/>
      <c r="M1696" s="67"/>
      <c r="N1696" s="33">
        <f t="shared" si="276"/>
        <v>0</v>
      </c>
      <c r="O1696" s="70"/>
      <c r="P1696" s="34" t="str">
        <f t="shared" si="277"/>
        <v/>
      </c>
      <c r="Q1696" s="60"/>
      <c r="R1696" s="36">
        <f t="shared" si="312"/>
        <v>0</v>
      </c>
      <c r="S1696" s="71"/>
      <c r="T1696" s="37">
        <f t="shared" si="302"/>
        <v>0</v>
      </c>
      <c r="U1696" s="62"/>
      <c r="V1696" s="63"/>
      <c r="W1696" s="63"/>
      <c r="X1696" s="35" t="str">
        <f t="shared" si="303"/>
        <v>#N/A</v>
      </c>
      <c r="Y1696" s="35" t="str">
        <f t="shared" si="304"/>
        <v>#N/A</v>
      </c>
      <c r="Z1696" s="40" t="str">
        <f t="shared" si="305"/>
        <v>#N/A</v>
      </c>
      <c r="AA1696" s="34" t="str">
        <f t="shared" si="306"/>
        <v>#N/A</v>
      </c>
      <c r="AB1696" s="41" t="str">
        <f t="shared" si="307"/>
        <v>#N/A</v>
      </c>
      <c r="AC1696" s="42" t="b">
        <v>0</v>
      </c>
      <c r="AD1696" s="66" t="str">
        <f t="shared" si="308"/>
        <v>USD</v>
      </c>
      <c r="AE1696" s="42"/>
      <c r="AF1696" s="42" t="str">
        <f t="array" ref="AF1696">INDEX('Deal Info'!D:D, MATCH(A1696,'Deal Info'!A:A, 0))</f>
        <v>#N/A</v>
      </c>
      <c r="AG1696" s="43" t="str">
        <f t="array" ref="AG1696">INDEX('Deal Info'!G:G, MATCH(A1696,'Deal Info'!A:A, 0))</f>
        <v>#N/A</v>
      </c>
    </row>
    <row r="1697" hidden="1">
      <c r="A1697" s="23" t="b">
        <f t="array" ref="A1697">if(G1697='Room Info'!$B$1, INDEX('Room Info'!$A$2:$A3446, MATCH(B1697,'Room Info'!$B$2:$B3446, 0)),if(G1697='Room Info'!$C$1, INDEX('Room Info'!$A$2:$A3446, MATCH(B1697,'Room Info'!$C$2:$C3446, 0)),if(G1697='Room Info'!$D$1, INDEX('Room Info'!$A$2:$A3446, MATCH(B1697,'Room Info'!$D$2:$D3446, 0)),if(G1697='Room Info'!$E$1, INDEX('Room Info'!$A$2:$A3446, MATCH(B1697,'Room Info'!$E$2:$E3446, 0)),if(G1697='Room Info'!$F$1, INDEX('Room Info'!$A$2:$A3446, MATCH(B1697,'Room Info'!$F$2:$F3446, 0)),if(G1697='Room Info'!$H$1, INDEX('Room Info'!$A$2:$A3446, MATCH(B1697,'Room Info'!$H$2:$H3446, 0)),if(G1697='Room Info'!$G$1, INDEX('Room Info'!$A$2:$A3446, MATCH(B1697,'Room Info'!$G$2:$G3446, 0)))))))))</f>
        <v>0</v>
      </c>
      <c r="B1697" s="101"/>
      <c r="C1697" s="115"/>
      <c r="D1697" s="115"/>
      <c r="E1697" s="85"/>
      <c r="F1697" s="138"/>
      <c r="G1697" s="101"/>
      <c r="H1697" s="114"/>
      <c r="I1697" s="114"/>
      <c r="J1697" s="44" t="str">
        <f t="shared" si="311"/>
        <v/>
      </c>
      <c r="K1697" s="116"/>
      <c r="L1697" s="117"/>
      <c r="M1697" s="67"/>
      <c r="N1697" s="33">
        <f t="shared" si="276"/>
        <v>0</v>
      </c>
      <c r="O1697" s="70"/>
      <c r="P1697" s="34" t="str">
        <f t="shared" si="277"/>
        <v/>
      </c>
      <c r="Q1697" s="60"/>
      <c r="R1697" s="36">
        <f t="shared" si="312"/>
        <v>0</v>
      </c>
      <c r="S1697" s="71"/>
      <c r="T1697" s="37">
        <f t="shared" si="302"/>
        <v>0</v>
      </c>
      <c r="U1697" s="62"/>
      <c r="V1697" s="63"/>
      <c r="W1697" s="63"/>
      <c r="X1697" s="35" t="str">
        <f t="shared" si="303"/>
        <v>#N/A</v>
      </c>
      <c r="Y1697" s="35" t="str">
        <f t="shared" si="304"/>
        <v>#N/A</v>
      </c>
      <c r="Z1697" s="40" t="str">
        <f t="shared" si="305"/>
        <v>#N/A</v>
      </c>
      <c r="AA1697" s="34" t="str">
        <f t="shared" si="306"/>
        <v>#N/A</v>
      </c>
      <c r="AB1697" s="41" t="str">
        <f t="shared" si="307"/>
        <v>#N/A</v>
      </c>
      <c r="AC1697" s="42" t="b">
        <v>0</v>
      </c>
      <c r="AD1697" s="66" t="str">
        <f t="shared" si="308"/>
        <v>USD</v>
      </c>
      <c r="AE1697" s="42"/>
      <c r="AF1697" s="42" t="str">
        <f t="array" ref="AF1697">INDEX('Deal Info'!D:D, MATCH(A1697,'Deal Info'!A:A, 0))</f>
        <v>#N/A</v>
      </c>
      <c r="AG1697" s="43" t="str">
        <f t="array" ref="AG1697">INDEX('Deal Info'!G:G, MATCH(A1697,'Deal Info'!A:A, 0))</f>
        <v>#N/A</v>
      </c>
    </row>
    <row r="1698" hidden="1">
      <c r="A1698" s="23" t="b">
        <f t="array" ref="A1698">if(G1698='Room Info'!$B$1, INDEX('Room Info'!$A$2:$A3446, MATCH(B1698,'Room Info'!$B$2:$B3446, 0)),if(G1698='Room Info'!$C$1, INDEX('Room Info'!$A$2:$A3446, MATCH(B1698,'Room Info'!$C$2:$C3446, 0)),if(G1698='Room Info'!$D$1, INDEX('Room Info'!$A$2:$A3446, MATCH(B1698,'Room Info'!$D$2:$D3446, 0)),if(G1698='Room Info'!$E$1, INDEX('Room Info'!$A$2:$A3446, MATCH(B1698,'Room Info'!$E$2:$E3446, 0)),if(G1698='Room Info'!$F$1, INDEX('Room Info'!$A$2:$A3446, MATCH(B1698,'Room Info'!$F$2:$F3446, 0)),if(G1698='Room Info'!$H$1, INDEX('Room Info'!$A$2:$A3446, MATCH(B1698,'Room Info'!$H$2:$H3446, 0)),if(G1698='Room Info'!$G$1, INDEX('Room Info'!$A$2:$A3446, MATCH(B1698,'Room Info'!$G$2:$G3446, 0)))))))))</f>
        <v>0</v>
      </c>
      <c r="B1698" s="101"/>
      <c r="C1698" s="115"/>
      <c r="D1698" s="115"/>
      <c r="E1698" s="85"/>
      <c r="F1698" s="138"/>
      <c r="G1698" s="101"/>
      <c r="H1698" s="114"/>
      <c r="I1698" s="114"/>
      <c r="J1698" s="44" t="str">
        <f t="shared" si="311"/>
        <v/>
      </c>
      <c r="K1698" s="116"/>
      <c r="L1698" s="117"/>
      <c r="M1698" s="67"/>
      <c r="N1698" s="33">
        <f t="shared" si="276"/>
        <v>0</v>
      </c>
      <c r="O1698" s="70"/>
      <c r="P1698" s="34" t="str">
        <f t="shared" si="277"/>
        <v/>
      </c>
      <c r="Q1698" s="60"/>
      <c r="R1698" s="36">
        <f t="shared" si="312"/>
        <v>0</v>
      </c>
      <c r="S1698" s="71"/>
      <c r="T1698" s="37">
        <f t="shared" si="302"/>
        <v>0</v>
      </c>
      <c r="U1698" s="62"/>
      <c r="V1698" s="63"/>
      <c r="W1698" s="63"/>
      <c r="X1698" s="35" t="str">
        <f t="shared" si="303"/>
        <v>#N/A</v>
      </c>
      <c r="Y1698" s="35" t="str">
        <f t="shared" si="304"/>
        <v>#N/A</v>
      </c>
      <c r="Z1698" s="40" t="str">
        <f t="shared" si="305"/>
        <v>#N/A</v>
      </c>
      <c r="AA1698" s="34" t="str">
        <f t="shared" si="306"/>
        <v>#N/A</v>
      </c>
      <c r="AB1698" s="41" t="str">
        <f t="shared" si="307"/>
        <v>#N/A</v>
      </c>
      <c r="AC1698" s="42" t="b">
        <v>0</v>
      </c>
      <c r="AD1698" s="66" t="str">
        <f t="shared" si="308"/>
        <v>USD</v>
      </c>
      <c r="AE1698" s="42"/>
      <c r="AF1698" s="42" t="str">
        <f t="array" ref="AF1698">INDEX('Deal Info'!D:D, MATCH(A1698,'Deal Info'!A:A, 0))</f>
        <v>#N/A</v>
      </c>
      <c r="AG1698" s="43" t="str">
        <f t="array" ref="AG1698">INDEX('Deal Info'!G:G, MATCH(A1698,'Deal Info'!A:A, 0))</f>
        <v>#N/A</v>
      </c>
    </row>
    <row r="1699" hidden="1">
      <c r="A1699" s="23" t="b">
        <f t="array" ref="A1699">if(G1699='Room Info'!$B$1, INDEX('Room Info'!$A$2:$A3446, MATCH(B1699,'Room Info'!$B$2:$B3446, 0)),if(G1699='Room Info'!$C$1, INDEX('Room Info'!$A$2:$A3446, MATCH(B1699,'Room Info'!$C$2:$C3446, 0)),if(G1699='Room Info'!$D$1, INDEX('Room Info'!$A$2:$A3446, MATCH(B1699,'Room Info'!$D$2:$D3446, 0)),if(G1699='Room Info'!$E$1, INDEX('Room Info'!$A$2:$A3446, MATCH(B1699,'Room Info'!$E$2:$E3446, 0)),if(G1699='Room Info'!$F$1, INDEX('Room Info'!$A$2:$A3446, MATCH(B1699,'Room Info'!$F$2:$F3446, 0)),if(G1699='Room Info'!$H$1, INDEX('Room Info'!$A$2:$A3446, MATCH(B1699,'Room Info'!$H$2:$H3446, 0)),if(G1699='Room Info'!$G$1, INDEX('Room Info'!$A$2:$A3446, MATCH(B1699,'Room Info'!$G$2:$G3446, 0)))))))))</f>
        <v>0</v>
      </c>
      <c r="B1699" s="101"/>
      <c r="C1699" s="115"/>
      <c r="D1699" s="115"/>
      <c r="E1699" s="85"/>
      <c r="F1699" s="138"/>
      <c r="G1699" s="70"/>
      <c r="H1699" s="105"/>
      <c r="I1699" s="105"/>
      <c r="J1699" s="44" t="str">
        <f t="shared" si="311"/>
        <v/>
      </c>
      <c r="K1699" s="116"/>
      <c r="L1699" s="117"/>
      <c r="M1699" s="67"/>
      <c r="N1699" s="33">
        <f t="shared" si="276"/>
        <v>0</v>
      </c>
      <c r="O1699" s="70"/>
      <c r="P1699" s="34" t="str">
        <f t="shared" si="277"/>
        <v/>
      </c>
      <c r="Q1699" s="60"/>
      <c r="R1699" s="36">
        <f t="shared" si="312"/>
        <v>0</v>
      </c>
      <c r="S1699" s="71"/>
      <c r="T1699" s="37">
        <f t="shared" si="302"/>
        <v>0</v>
      </c>
      <c r="U1699" s="62"/>
      <c r="V1699" s="63"/>
      <c r="W1699" s="63"/>
      <c r="X1699" s="35" t="str">
        <f t="shared" si="303"/>
        <v>#N/A</v>
      </c>
      <c r="Y1699" s="35" t="str">
        <f t="shared" si="304"/>
        <v>#N/A</v>
      </c>
      <c r="Z1699" s="40" t="str">
        <f t="shared" si="305"/>
        <v>#N/A</v>
      </c>
      <c r="AA1699" s="34" t="str">
        <f t="shared" si="306"/>
        <v>#N/A</v>
      </c>
      <c r="AB1699" s="41" t="str">
        <f t="shared" si="307"/>
        <v>#N/A</v>
      </c>
      <c r="AC1699" s="42" t="b">
        <v>0</v>
      </c>
      <c r="AD1699" s="66" t="str">
        <f t="shared" si="308"/>
        <v>USD</v>
      </c>
      <c r="AE1699" s="42"/>
      <c r="AF1699" s="42" t="str">
        <f t="array" ref="AF1699">INDEX('Deal Info'!D:D, MATCH(A1699,'Deal Info'!A:A, 0))</f>
        <v>#N/A</v>
      </c>
      <c r="AG1699" s="43" t="str">
        <f t="array" ref="AG1699">INDEX('Deal Info'!G:G, MATCH(A1699,'Deal Info'!A:A, 0))</f>
        <v>#N/A</v>
      </c>
    </row>
    <row r="1700" hidden="1">
      <c r="A1700" s="23" t="b">
        <f t="array" ref="A1700">if(G1700='Room Info'!$B$1, INDEX('Room Info'!$A$2:$A3446, MATCH(B1700,'Room Info'!$B$2:$B3446, 0)),if(G1700='Room Info'!$C$1, INDEX('Room Info'!$A$2:$A3446, MATCH(B1700,'Room Info'!$C$2:$C3446, 0)),if(G1700='Room Info'!$D$1, INDEX('Room Info'!$A$2:$A3446, MATCH(B1700,'Room Info'!$D$2:$D3446, 0)),if(G1700='Room Info'!$E$1, INDEX('Room Info'!$A$2:$A3446, MATCH(B1700,'Room Info'!$E$2:$E3446, 0)),if(G1700='Room Info'!$F$1, INDEX('Room Info'!$A$2:$A3446, MATCH(B1700,'Room Info'!$F$2:$F3446, 0)),if(G1700='Room Info'!$H$1, INDEX('Room Info'!$A$2:$A3446, MATCH(B1700,'Room Info'!$H$2:$H3446, 0)),if(G1700='Room Info'!$G$1, INDEX('Room Info'!$A$2:$A3446, MATCH(B1700,'Room Info'!$G$2:$G3446, 0)))))))))</f>
        <v>0</v>
      </c>
      <c r="B1700" s="101"/>
      <c r="C1700" s="115"/>
      <c r="D1700" s="115"/>
      <c r="E1700" s="85"/>
      <c r="F1700" s="138"/>
      <c r="G1700" s="70"/>
      <c r="H1700" s="105"/>
      <c r="I1700" s="105"/>
      <c r="J1700" s="44" t="str">
        <f t="shared" si="311"/>
        <v/>
      </c>
      <c r="K1700" s="116"/>
      <c r="L1700" s="117"/>
      <c r="M1700" s="67"/>
      <c r="N1700" s="33">
        <f t="shared" si="276"/>
        <v>0</v>
      </c>
      <c r="O1700" s="70"/>
      <c r="P1700" s="34" t="str">
        <f t="shared" si="277"/>
        <v/>
      </c>
      <c r="Q1700" s="60"/>
      <c r="R1700" s="36">
        <f t="shared" si="312"/>
        <v>0</v>
      </c>
      <c r="S1700" s="71"/>
      <c r="T1700" s="37">
        <f t="shared" si="302"/>
        <v>0</v>
      </c>
      <c r="U1700" s="62"/>
      <c r="V1700" s="63"/>
      <c r="W1700" s="63"/>
      <c r="X1700" s="35" t="str">
        <f t="shared" si="303"/>
        <v>#N/A</v>
      </c>
      <c r="Y1700" s="35" t="str">
        <f t="shared" si="304"/>
        <v>#N/A</v>
      </c>
      <c r="Z1700" s="40" t="str">
        <f t="shared" si="305"/>
        <v>#N/A</v>
      </c>
      <c r="AA1700" s="34" t="str">
        <f t="shared" si="306"/>
        <v>#N/A</v>
      </c>
      <c r="AB1700" s="41" t="str">
        <f t="shared" si="307"/>
        <v>#N/A</v>
      </c>
      <c r="AC1700" s="42" t="b">
        <v>0</v>
      </c>
      <c r="AD1700" s="66" t="str">
        <f t="shared" si="308"/>
        <v>USD</v>
      </c>
      <c r="AE1700" s="42"/>
      <c r="AF1700" s="42" t="str">
        <f t="array" ref="AF1700">INDEX('Deal Info'!D:D, MATCH(A1700,'Deal Info'!A:A, 0))</f>
        <v>#N/A</v>
      </c>
      <c r="AG1700" s="43" t="str">
        <f t="array" ref="AG1700">INDEX('Deal Info'!G:G, MATCH(A1700,'Deal Info'!A:A, 0))</f>
        <v>#N/A</v>
      </c>
    </row>
    <row r="1701" hidden="1">
      <c r="A1701" s="23" t="b">
        <f t="array" ref="A1701">if(G1701='Room Info'!$B$1, INDEX('Room Info'!$A$2:$A3446, MATCH(B1701,'Room Info'!$B$2:$B3446, 0)),if(G1701='Room Info'!$C$1, INDEX('Room Info'!$A$2:$A3446, MATCH(B1701,'Room Info'!$C$2:$C3446, 0)),if(G1701='Room Info'!$D$1, INDEX('Room Info'!$A$2:$A3446, MATCH(B1701,'Room Info'!$D$2:$D3446, 0)),if(G1701='Room Info'!$E$1, INDEX('Room Info'!$A$2:$A3446, MATCH(B1701,'Room Info'!$E$2:$E3446, 0)),if(G1701='Room Info'!$F$1, INDEX('Room Info'!$A$2:$A3446, MATCH(B1701,'Room Info'!$F$2:$F3446, 0)),if(G1701='Room Info'!$H$1, INDEX('Room Info'!$A$2:$A3446, MATCH(B1701,'Room Info'!$H$2:$H3446, 0)),if(G1701='Room Info'!$G$1, INDEX('Room Info'!$A$2:$A3446, MATCH(B1701,'Room Info'!$G$2:$G3446, 0)))))))))</f>
        <v>0</v>
      </c>
      <c r="B1701" s="101"/>
      <c r="C1701" s="141"/>
      <c r="D1701" s="141"/>
      <c r="E1701" s="142"/>
      <c r="F1701" s="138"/>
      <c r="G1701" s="101"/>
      <c r="H1701" s="105"/>
      <c r="I1701" s="105"/>
      <c r="J1701" s="44" t="str">
        <f t="shared" si="311"/>
        <v/>
      </c>
      <c r="K1701" s="139"/>
      <c r="L1701" s="140"/>
      <c r="M1701" s="84"/>
      <c r="N1701" s="33">
        <f t="shared" si="276"/>
        <v>0</v>
      </c>
      <c r="O1701" s="101"/>
      <c r="P1701" s="34" t="str">
        <f t="shared" si="277"/>
        <v/>
      </c>
      <c r="Q1701" s="60"/>
      <c r="R1701" s="36">
        <f t="shared" si="312"/>
        <v>0</v>
      </c>
      <c r="S1701" s="102"/>
      <c r="T1701" s="37">
        <f t="shared" si="302"/>
        <v>0</v>
      </c>
      <c r="U1701" s="62"/>
      <c r="V1701" s="63"/>
      <c r="W1701" s="63"/>
      <c r="X1701" s="35" t="str">
        <f t="shared" si="303"/>
        <v>#N/A</v>
      </c>
      <c r="Y1701" s="35" t="str">
        <f t="shared" si="304"/>
        <v>#N/A</v>
      </c>
      <c r="Z1701" s="40" t="str">
        <f t="shared" si="305"/>
        <v>#N/A</v>
      </c>
      <c r="AA1701" s="34" t="str">
        <f t="shared" si="306"/>
        <v>#N/A</v>
      </c>
      <c r="AB1701" s="41" t="str">
        <f t="shared" si="307"/>
        <v>#N/A</v>
      </c>
      <c r="AC1701" s="42" t="b">
        <v>0</v>
      </c>
      <c r="AD1701" s="66" t="str">
        <f t="shared" si="308"/>
        <v>USD</v>
      </c>
      <c r="AE1701" s="42"/>
      <c r="AF1701" s="42" t="str">
        <f t="array" ref="AF1701">INDEX('Deal Info'!D:D, MATCH(A1701,'Deal Info'!A:A, 0))</f>
        <v>#N/A</v>
      </c>
      <c r="AG1701" s="43" t="str">
        <f t="array" ref="AG1701">INDEX('Deal Info'!G:G, MATCH(A1701,'Deal Info'!A:A, 0))</f>
        <v>#N/A</v>
      </c>
    </row>
    <row r="1702" hidden="1">
      <c r="A1702" s="23" t="b">
        <f t="array" ref="A1702">if(G1702='Room Info'!$B$1, INDEX('Room Info'!$A$2:$A3446, MATCH(B1702,'Room Info'!$B$2:$B3446, 0)),if(G1702='Room Info'!$C$1, INDEX('Room Info'!$A$2:$A3446, MATCH(B1702,'Room Info'!$C$2:$C3446, 0)),if(G1702='Room Info'!$D$1, INDEX('Room Info'!$A$2:$A3446, MATCH(B1702,'Room Info'!$D$2:$D3446, 0)),if(G1702='Room Info'!$E$1, INDEX('Room Info'!$A$2:$A3446, MATCH(B1702,'Room Info'!$E$2:$E3446, 0)),if(G1702='Room Info'!$F$1, INDEX('Room Info'!$A$2:$A3446, MATCH(B1702,'Room Info'!$F$2:$F3446, 0)),if(G1702='Room Info'!$H$1, INDEX('Room Info'!$A$2:$A3446, MATCH(B1702,'Room Info'!$H$2:$H3446, 0)),if(G1702='Room Info'!$G$1, INDEX('Room Info'!$A$2:$A3446, MATCH(B1702,'Room Info'!$G$2:$G3446, 0)))))))))</f>
        <v>0</v>
      </c>
      <c r="B1702" s="101"/>
      <c r="C1702" s="141"/>
      <c r="D1702" s="141"/>
      <c r="E1702" s="142"/>
      <c r="F1702" s="138"/>
      <c r="G1702" s="101"/>
      <c r="H1702" s="105"/>
      <c r="I1702" s="105"/>
      <c r="J1702" s="44" t="str">
        <f t="shared" si="311"/>
        <v/>
      </c>
      <c r="K1702" s="139"/>
      <c r="L1702" s="140"/>
      <c r="M1702" s="84"/>
      <c r="N1702" s="33">
        <f t="shared" si="276"/>
        <v>0</v>
      </c>
      <c r="O1702" s="101"/>
      <c r="P1702" s="34" t="str">
        <f t="shared" si="277"/>
        <v/>
      </c>
      <c r="Q1702" s="60"/>
      <c r="R1702" s="36">
        <f t="shared" si="312"/>
        <v>0</v>
      </c>
      <c r="S1702" s="102"/>
      <c r="T1702" s="37">
        <f t="shared" si="302"/>
        <v>0</v>
      </c>
      <c r="U1702" s="62"/>
      <c r="V1702" s="63"/>
      <c r="W1702" s="63"/>
      <c r="X1702" s="35" t="str">
        <f t="shared" si="303"/>
        <v>#N/A</v>
      </c>
      <c r="Y1702" s="35" t="str">
        <f t="shared" si="304"/>
        <v>#N/A</v>
      </c>
      <c r="Z1702" s="40" t="str">
        <f t="shared" si="305"/>
        <v>#N/A</v>
      </c>
      <c r="AA1702" s="34" t="str">
        <f t="shared" si="306"/>
        <v>#N/A</v>
      </c>
      <c r="AB1702" s="41" t="str">
        <f t="shared" si="307"/>
        <v>#N/A</v>
      </c>
      <c r="AC1702" s="42" t="b">
        <v>0</v>
      </c>
      <c r="AD1702" s="66" t="str">
        <f t="shared" si="308"/>
        <v>USD</v>
      </c>
      <c r="AE1702" s="42"/>
      <c r="AF1702" s="42" t="str">
        <f t="array" ref="AF1702">INDEX('Deal Info'!D:D, MATCH(A1702,'Deal Info'!A:A, 0))</f>
        <v>#N/A</v>
      </c>
      <c r="AG1702" s="43" t="str">
        <f t="array" ref="AG1702">INDEX('Deal Info'!G:G, MATCH(A1702,'Deal Info'!A:A, 0))</f>
        <v>#N/A</v>
      </c>
    </row>
    <row r="1703" hidden="1">
      <c r="A1703" s="23" t="b">
        <f t="array" ref="A1703">if(G1703='Room Info'!$B$1, INDEX('Room Info'!$A$2:$A3446, MATCH(B1703,'Room Info'!$B$2:$B3446, 0)),if(G1703='Room Info'!$C$1, INDEX('Room Info'!$A$2:$A3446, MATCH(B1703,'Room Info'!$C$2:$C3446, 0)),if(G1703='Room Info'!$D$1, INDEX('Room Info'!$A$2:$A3446, MATCH(B1703,'Room Info'!$D$2:$D3446, 0)),if(G1703='Room Info'!$E$1, INDEX('Room Info'!$A$2:$A3446, MATCH(B1703,'Room Info'!$E$2:$E3446, 0)),if(G1703='Room Info'!$F$1, INDEX('Room Info'!$A$2:$A3446, MATCH(B1703,'Room Info'!$F$2:$F3446, 0)),if(G1703='Room Info'!$H$1, INDEX('Room Info'!$A$2:$A3446, MATCH(B1703,'Room Info'!$H$2:$H3446, 0)),if(G1703='Room Info'!$G$1, INDEX('Room Info'!$A$2:$A3446, MATCH(B1703,'Room Info'!$G$2:$G3446, 0)))))))))</f>
        <v>0</v>
      </c>
      <c r="B1703" s="101"/>
      <c r="C1703" s="141"/>
      <c r="D1703" s="141"/>
      <c r="E1703" s="142"/>
      <c r="F1703" s="138"/>
      <c r="G1703" s="101"/>
      <c r="H1703" s="105"/>
      <c r="I1703" s="105"/>
      <c r="J1703" s="44" t="str">
        <f t="shared" si="311"/>
        <v/>
      </c>
      <c r="K1703" s="139"/>
      <c r="L1703" s="140"/>
      <c r="M1703" s="84"/>
      <c r="N1703" s="33">
        <f t="shared" si="276"/>
        <v>0</v>
      </c>
      <c r="O1703" s="101"/>
      <c r="P1703" s="34" t="str">
        <f t="shared" si="277"/>
        <v/>
      </c>
      <c r="Q1703" s="60"/>
      <c r="R1703" s="36">
        <f t="shared" si="312"/>
        <v>0</v>
      </c>
      <c r="S1703" s="102"/>
      <c r="T1703" s="37">
        <f t="shared" si="302"/>
        <v>0</v>
      </c>
      <c r="U1703" s="62"/>
      <c r="V1703" s="63"/>
      <c r="W1703" s="63"/>
      <c r="X1703" s="35" t="str">
        <f t="shared" si="303"/>
        <v>#N/A</v>
      </c>
      <c r="Y1703" s="35" t="str">
        <f t="shared" si="304"/>
        <v>#N/A</v>
      </c>
      <c r="Z1703" s="40" t="str">
        <f t="shared" si="305"/>
        <v>#N/A</v>
      </c>
      <c r="AA1703" s="34" t="str">
        <f t="shared" si="306"/>
        <v>#N/A</v>
      </c>
      <c r="AB1703" s="41" t="str">
        <f t="shared" si="307"/>
        <v>#N/A</v>
      </c>
      <c r="AC1703" s="42" t="b">
        <v>0</v>
      </c>
      <c r="AD1703" s="66" t="str">
        <f t="shared" si="308"/>
        <v>USD</v>
      </c>
      <c r="AE1703" s="42"/>
      <c r="AF1703" s="42" t="str">
        <f t="array" ref="AF1703">INDEX('Deal Info'!D:D, MATCH(A1703,'Deal Info'!A:A, 0))</f>
        <v>#N/A</v>
      </c>
      <c r="AG1703" s="43" t="str">
        <f t="array" ref="AG1703">INDEX('Deal Info'!G:G, MATCH(A1703,'Deal Info'!A:A, 0))</f>
        <v>#N/A</v>
      </c>
    </row>
    <row r="1704" hidden="1">
      <c r="A1704" s="23" t="b">
        <f t="array" ref="A1704">if(G1704='Room Info'!$B$1, INDEX('Room Info'!$A$2:$A3446, MATCH(B1704,'Room Info'!$B$2:$B3446, 0)),if(G1704='Room Info'!$C$1, INDEX('Room Info'!$A$2:$A3446, MATCH(B1704,'Room Info'!$C$2:$C3446, 0)),if(G1704='Room Info'!$D$1, INDEX('Room Info'!$A$2:$A3446, MATCH(B1704,'Room Info'!$D$2:$D3446, 0)),if(G1704='Room Info'!$E$1, INDEX('Room Info'!$A$2:$A3446, MATCH(B1704,'Room Info'!$E$2:$E3446, 0)),if(G1704='Room Info'!$F$1, INDEX('Room Info'!$A$2:$A3446, MATCH(B1704,'Room Info'!$F$2:$F3446, 0)),if(G1704='Room Info'!$H$1, INDEX('Room Info'!$A$2:$A3446, MATCH(B1704,'Room Info'!$H$2:$H3446, 0)),if(G1704='Room Info'!$G$1, INDEX('Room Info'!$A$2:$A3446, MATCH(B1704,'Room Info'!$G$2:$G3446, 0)))))))))</f>
        <v>0</v>
      </c>
      <c r="B1704" s="101"/>
      <c r="C1704" s="141"/>
      <c r="D1704" s="141"/>
      <c r="E1704" s="142"/>
      <c r="F1704" s="138"/>
      <c r="G1704" s="101"/>
      <c r="H1704" s="105"/>
      <c r="I1704" s="105"/>
      <c r="J1704" s="44" t="str">
        <f t="shared" si="311"/>
        <v/>
      </c>
      <c r="K1704" s="139"/>
      <c r="L1704" s="140"/>
      <c r="M1704" s="84"/>
      <c r="N1704" s="33">
        <f t="shared" si="276"/>
        <v>0</v>
      </c>
      <c r="O1704" s="101"/>
      <c r="P1704" s="34" t="str">
        <f t="shared" si="277"/>
        <v/>
      </c>
      <c r="Q1704" s="60"/>
      <c r="R1704" s="36">
        <f t="shared" si="312"/>
        <v>0</v>
      </c>
      <c r="S1704" s="102"/>
      <c r="T1704" s="37">
        <f t="shared" si="302"/>
        <v>0</v>
      </c>
      <c r="U1704" s="62"/>
      <c r="V1704" s="63"/>
      <c r="W1704" s="63"/>
      <c r="X1704" s="35" t="str">
        <f t="shared" si="303"/>
        <v>#N/A</v>
      </c>
      <c r="Y1704" s="35" t="str">
        <f t="shared" si="304"/>
        <v>#N/A</v>
      </c>
      <c r="Z1704" s="40" t="str">
        <f t="shared" si="305"/>
        <v>#N/A</v>
      </c>
      <c r="AA1704" s="34" t="str">
        <f t="shared" si="306"/>
        <v>#N/A</v>
      </c>
      <c r="AB1704" s="41" t="str">
        <f t="shared" si="307"/>
        <v>#N/A</v>
      </c>
      <c r="AC1704" s="42" t="b">
        <v>0</v>
      </c>
      <c r="AD1704" s="66" t="str">
        <f t="shared" si="308"/>
        <v>USD</v>
      </c>
      <c r="AE1704" s="42"/>
      <c r="AF1704" s="42" t="str">
        <f t="array" ref="AF1704">INDEX('Deal Info'!D:D, MATCH(A1704,'Deal Info'!A:A, 0))</f>
        <v>#N/A</v>
      </c>
      <c r="AG1704" s="43" t="str">
        <f t="array" ref="AG1704">INDEX('Deal Info'!G:G, MATCH(A1704,'Deal Info'!A:A, 0))</f>
        <v>#N/A</v>
      </c>
    </row>
    <row r="1705" hidden="1">
      <c r="A1705" s="23" t="b">
        <f t="array" ref="A1705">if(G1705='Room Info'!$B$1, INDEX('Room Info'!$A$2:$A3446, MATCH(B1705,'Room Info'!$B$2:$B3446, 0)),if(G1705='Room Info'!$C$1, INDEX('Room Info'!$A$2:$A3446, MATCH(B1705,'Room Info'!$C$2:$C3446, 0)),if(G1705='Room Info'!$D$1, INDEX('Room Info'!$A$2:$A3446, MATCH(B1705,'Room Info'!$D$2:$D3446, 0)),if(G1705='Room Info'!$E$1, INDEX('Room Info'!$A$2:$A3446, MATCH(B1705,'Room Info'!$E$2:$E3446, 0)),if(G1705='Room Info'!$F$1, INDEX('Room Info'!$A$2:$A3446, MATCH(B1705,'Room Info'!$F$2:$F3446, 0)),if(G1705='Room Info'!$H$1, INDEX('Room Info'!$A$2:$A3446, MATCH(B1705,'Room Info'!$H$2:$H3446, 0)),if(G1705='Room Info'!$G$1, INDEX('Room Info'!$A$2:$A3446, MATCH(B1705,'Room Info'!$G$2:$G3446, 0)))))))))</f>
        <v>0</v>
      </c>
      <c r="B1705" s="101"/>
      <c r="C1705" s="141"/>
      <c r="D1705" s="141"/>
      <c r="E1705" s="142"/>
      <c r="F1705" s="138"/>
      <c r="G1705" s="101"/>
      <c r="H1705" s="105"/>
      <c r="I1705" s="105"/>
      <c r="J1705" s="44" t="str">
        <f t="shared" si="311"/>
        <v/>
      </c>
      <c r="K1705" s="139"/>
      <c r="L1705" s="140"/>
      <c r="M1705" s="84"/>
      <c r="N1705" s="33">
        <f t="shared" si="276"/>
        <v>0</v>
      </c>
      <c r="O1705" s="101"/>
      <c r="P1705" s="34" t="str">
        <f t="shared" si="277"/>
        <v/>
      </c>
      <c r="Q1705" s="60"/>
      <c r="R1705" s="36">
        <f t="shared" si="312"/>
        <v>0</v>
      </c>
      <c r="S1705" s="102"/>
      <c r="T1705" s="37">
        <f t="shared" si="302"/>
        <v>0</v>
      </c>
      <c r="U1705" s="62"/>
      <c r="V1705" s="63"/>
      <c r="W1705" s="63"/>
      <c r="X1705" s="35" t="str">
        <f t="shared" si="303"/>
        <v>#N/A</v>
      </c>
      <c r="Y1705" s="35" t="str">
        <f t="shared" si="304"/>
        <v>#N/A</v>
      </c>
      <c r="Z1705" s="40" t="str">
        <f t="shared" si="305"/>
        <v>#N/A</v>
      </c>
      <c r="AA1705" s="34" t="str">
        <f t="shared" si="306"/>
        <v>#N/A</v>
      </c>
      <c r="AB1705" s="41" t="str">
        <f t="shared" si="307"/>
        <v>#N/A</v>
      </c>
      <c r="AC1705" s="42" t="b">
        <v>0</v>
      </c>
      <c r="AD1705" s="66" t="str">
        <f t="shared" si="308"/>
        <v>USD</v>
      </c>
      <c r="AE1705" s="42"/>
      <c r="AF1705" s="42" t="str">
        <f t="array" ref="AF1705">INDEX('Deal Info'!D:D, MATCH(A1705,'Deal Info'!A:A, 0))</f>
        <v>#N/A</v>
      </c>
      <c r="AG1705" s="43" t="str">
        <f t="array" ref="AG1705">INDEX('Deal Info'!G:G, MATCH(A1705,'Deal Info'!A:A, 0))</f>
        <v>#N/A</v>
      </c>
    </row>
    <row r="1706" hidden="1">
      <c r="A1706" s="23" t="b">
        <f t="array" ref="A1706">if(G1706='Room Info'!$B$1, INDEX('Room Info'!$A$2:$A3446, MATCH(B1706,'Room Info'!$B$2:$B3446, 0)),if(G1706='Room Info'!$C$1, INDEX('Room Info'!$A$2:$A3446, MATCH(B1706,'Room Info'!$C$2:$C3446, 0)),if(G1706='Room Info'!$D$1, INDEX('Room Info'!$A$2:$A3446, MATCH(B1706,'Room Info'!$D$2:$D3446, 0)),if(G1706='Room Info'!$E$1, INDEX('Room Info'!$A$2:$A3446, MATCH(B1706,'Room Info'!$E$2:$E3446, 0)),if(G1706='Room Info'!$F$1, INDEX('Room Info'!$A$2:$A3446, MATCH(B1706,'Room Info'!$F$2:$F3446, 0)),if(G1706='Room Info'!$H$1, INDEX('Room Info'!$A$2:$A3446, MATCH(B1706,'Room Info'!$H$2:$H3446, 0)),if(G1706='Room Info'!$G$1, INDEX('Room Info'!$A$2:$A3446, MATCH(B1706,'Room Info'!$G$2:$G3446, 0)))))))))</f>
        <v>0</v>
      </c>
      <c r="B1706" s="70"/>
      <c r="C1706" s="115"/>
      <c r="D1706" s="115"/>
      <c r="E1706" s="85"/>
      <c r="F1706" s="138"/>
      <c r="G1706" s="70"/>
      <c r="H1706" s="114"/>
      <c r="I1706" s="114"/>
      <c r="J1706" s="44" t="str">
        <f t="shared" si="311"/>
        <v/>
      </c>
      <c r="K1706" s="116"/>
      <c r="L1706" s="117"/>
      <c r="M1706" s="67"/>
      <c r="N1706" s="33">
        <f t="shared" si="276"/>
        <v>0</v>
      </c>
      <c r="O1706" s="70"/>
      <c r="P1706" s="34" t="str">
        <f t="shared" si="277"/>
        <v/>
      </c>
      <c r="Q1706" s="60"/>
      <c r="R1706" s="36">
        <f t="shared" si="312"/>
        <v>0</v>
      </c>
      <c r="S1706" s="71"/>
      <c r="T1706" s="37">
        <f t="shared" si="302"/>
        <v>0</v>
      </c>
      <c r="U1706" s="62"/>
      <c r="V1706" s="63"/>
      <c r="W1706" s="63"/>
      <c r="X1706" s="35" t="str">
        <f t="shared" si="303"/>
        <v>#N/A</v>
      </c>
      <c r="Y1706" s="35" t="str">
        <f t="shared" si="304"/>
        <v>#N/A</v>
      </c>
      <c r="Z1706" s="40" t="str">
        <f t="shared" si="305"/>
        <v>#N/A</v>
      </c>
      <c r="AA1706" s="34" t="str">
        <f t="shared" si="306"/>
        <v>#N/A</v>
      </c>
      <c r="AB1706" s="41" t="str">
        <f t="shared" si="307"/>
        <v>#N/A</v>
      </c>
      <c r="AC1706" s="42" t="b">
        <v>0</v>
      </c>
      <c r="AD1706" s="66" t="str">
        <f t="shared" si="308"/>
        <v>USD</v>
      </c>
      <c r="AE1706" s="42"/>
      <c r="AF1706" s="42" t="str">
        <f t="array" ref="AF1706">INDEX('Deal Info'!D:D, MATCH(A1706,'Deal Info'!A:A, 0))</f>
        <v>#N/A</v>
      </c>
      <c r="AG1706" s="43" t="str">
        <f t="array" ref="AG1706">INDEX('Deal Info'!G:G, MATCH(A1706,'Deal Info'!A:A, 0))</f>
        <v>#N/A</v>
      </c>
    </row>
    <row r="1707" hidden="1">
      <c r="A1707" s="23" t="b">
        <f t="array" ref="A1707">if(G1707='Room Info'!$B$1, INDEX('Room Info'!$A$2:$A3446, MATCH(B1707,'Room Info'!$B$2:$B3446, 0)),if(G1707='Room Info'!$C$1, INDEX('Room Info'!$A$2:$A3446, MATCH(B1707,'Room Info'!$C$2:$C3446, 0)),if(G1707='Room Info'!$D$1, INDEX('Room Info'!$A$2:$A3446, MATCH(B1707,'Room Info'!$D$2:$D3446, 0)),if(G1707='Room Info'!$E$1, INDEX('Room Info'!$A$2:$A3446, MATCH(B1707,'Room Info'!$E$2:$E3446, 0)),if(G1707='Room Info'!$F$1, INDEX('Room Info'!$A$2:$A3446, MATCH(B1707,'Room Info'!$F$2:$F3446, 0)),if(G1707='Room Info'!$H$1, INDEX('Room Info'!$A$2:$A3446, MATCH(B1707,'Room Info'!$H$2:$H3446, 0)),if(G1707='Room Info'!$G$1, INDEX('Room Info'!$A$2:$A3446, MATCH(B1707,'Room Info'!$G$2:$G3446, 0)))))))))</f>
        <v>0</v>
      </c>
      <c r="B1707" s="70"/>
      <c r="C1707" s="115"/>
      <c r="D1707" s="115"/>
      <c r="E1707" s="85"/>
      <c r="F1707" s="138"/>
      <c r="G1707" s="70"/>
      <c r="H1707" s="114"/>
      <c r="I1707" s="114"/>
      <c r="J1707" s="44" t="str">
        <f t="shared" si="311"/>
        <v/>
      </c>
      <c r="K1707" s="116"/>
      <c r="L1707" s="117"/>
      <c r="M1707" s="67"/>
      <c r="N1707" s="33">
        <f t="shared" si="276"/>
        <v>0</v>
      </c>
      <c r="O1707" s="70"/>
      <c r="P1707" s="34" t="str">
        <f t="shared" si="277"/>
        <v/>
      </c>
      <c r="Q1707" s="60"/>
      <c r="R1707" s="36">
        <f t="shared" si="312"/>
        <v>0</v>
      </c>
      <c r="S1707" s="71"/>
      <c r="T1707" s="37">
        <f t="shared" si="302"/>
        <v>0</v>
      </c>
      <c r="U1707" s="62"/>
      <c r="V1707" s="63"/>
      <c r="W1707" s="63"/>
      <c r="X1707" s="35" t="str">
        <f t="shared" si="303"/>
        <v>#N/A</v>
      </c>
      <c r="Y1707" s="35" t="str">
        <f t="shared" si="304"/>
        <v>#N/A</v>
      </c>
      <c r="Z1707" s="40" t="str">
        <f t="shared" si="305"/>
        <v>#N/A</v>
      </c>
      <c r="AA1707" s="34" t="str">
        <f t="shared" si="306"/>
        <v>#N/A</v>
      </c>
      <c r="AB1707" s="41" t="str">
        <f t="shared" si="307"/>
        <v>#N/A</v>
      </c>
      <c r="AC1707" s="42" t="b">
        <v>0</v>
      </c>
      <c r="AD1707" s="66" t="str">
        <f t="shared" si="308"/>
        <v>USD</v>
      </c>
      <c r="AE1707" s="42"/>
      <c r="AF1707" s="42" t="str">
        <f t="array" ref="AF1707">INDEX('Deal Info'!D:D, MATCH(A1707,'Deal Info'!A:A, 0))</f>
        <v>#N/A</v>
      </c>
      <c r="AG1707" s="43" t="str">
        <f t="array" ref="AG1707">INDEX('Deal Info'!G:G, MATCH(A1707,'Deal Info'!A:A, 0))</f>
        <v>#N/A</v>
      </c>
    </row>
    <row r="1708" hidden="1">
      <c r="A1708" s="23" t="b">
        <f t="array" ref="A1708">if(G1708='Room Info'!$B$1, INDEX('Room Info'!$A$2:$A3446, MATCH(B1708,'Room Info'!$B$2:$B3446, 0)),if(G1708='Room Info'!$C$1, INDEX('Room Info'!$A$2:$A3446, MATCH(B1708,'Room Info'!$C$2:$C3446, 0)),if(G1708='Room Info'!$D$1, INDEX('Room Info'!$A$2:$A3446, MATCH(B1708,'Room Info'!$D$2:$D3446, 0)),if(G1708='Room Info'!$E$1, INDEX('Room Info'!$A$2:$A3446, MATCH(B1708,'Room Info'!$E$2:$E3446, 0)),if(G1708='Room Info'!$F$1, INDEX('Room Info'!$A$2:$A3446, MATCH(B1708,'Room Info'!$F$2:$F3446, 0)),if(G1708='Room Info'!$H$1, INDEX('Room Info'!$A$2:$A3446, MATCH(B1708,'Room Info'!$H$2:$H3446, 0)),if(G1708='Room Info'!$G$1, INDEX('Room Info'!$A$2:$A3446, MATCH(B1708,'Room Info'!$G$2:$G3446, 0)))))))))</f>
        <v>0</v>
      </c>
      <c r="B1708" s="70"/>
      <c r="C1708" s="115"/>
      <c r="D1708" s="115"/>
      <c r="E1708" s="85"/>
      <c r="F1708" s="138"/>
      <c r="G1708" s="70"/>
      <c r="H1708" s="114"/>
      <c r="I1708" s="114"/>
      <c r="J1708" s="44" t="str">
        <f t="shared" si="311"/>
        <v/>
      </c>
      <c r="K1708" s="116"/>
      <c r="L1708" s="117"/>
      <c r="M1708" s="67"/>
      <c r="N1708" s="33">
        <f t="shared" si="276"/>
        <v>0</v>
      </c>
      <c r="O1708" s="70"/>
      <c r="P1708" s="34" t="str">
        <f t="shared" si="277"/>
        <v/>
      </c>
      <c r="Q1708" s="60"/>
      <c r="R1708" s="36">
        <f t="shared" si="312"/>
        <v>0</v>
      </c>
      <c r="S1708" s="71"/>
      <c r="T1708" s="37">
        <f t="shared" si="302"/>
        <v>0</v>
      </c>
      <c r="U1708" s="62"/>
      <c r="V1708" s="63"/>
      <c r="W1708" s="63"/>
      <c r="X1708" s="35" t="str">
        <f t="shared" si="303"/>
        <v>#N/A</v>
      </c>
      <c r="Y1708" s="35" t="str">
        <f t="shared" si="304"/>
        <v>#N/A</v>
      </c>
      <c r="Z1708" s="40" t="str">
        <f t="shared" si="305"/>
        <v>#N/A</v>
      </c>
      <c r="AA1708" s="34" t="str">
        <f t="shared" si="306"/>
        <v>#N/A</v>
      </c>
      <c r="AB1708" s="41" t="str">
        <f t="shared" si="307"/>
        <v>#N/A</v>
      </c>
      <c r="AC1708" s="42" t="b">
        <v>0</v>
      </c>
      <c r="AD1708" s="66" t="str">
        <f t="shared" si="308"/>
        <v>USD</v>
      </c>
      <c r="AE1708" s="42"/>
      <c r="AF1708" s="42" t="str">
        <f t="array" ref="AF1708">INDEX('Deal Info'!D:D, MATCH(A1708,'Deal Info'!A:A, 0))</f>
        <v>#N/A</v>
      </c>
      <c r="AG1708" s="43" t="str">
        <f t="array" ref="AG1708">INDEX('Deal Info'!G:G, MATCH(A1708,'Deal Info'!A:A, 0))</f>
        <v>#N/A</v>
      </c>
    </row>
    <row r="1709" hidden="1">
      <c r="A1709" s="23" t="b">
        <f t="array" ref="A1709">if(G1709='Room Info'!$B$1, INDEX('Room Info'!$A$2:$A3446, MATCH(B1709,'Room Info'!$B$2:$B3446, 0)),if(G1709='Room Info'!$C$1, INDEX('Room Info'!$A$2:$A3446, MATCH(B1709,'Room Info'!$C$2:$C3446, 0)),if(G1709='Room Info'!$D$1, INDEX('Room Info'!$A$2:$A3446, MATCH(B1709,'Room Info'!$D$2:$D3446, 0)),if(G1709='Room Info'!$E$1, INDEX('Room Info'!$A$2:$A3446, MATCH(B1709,'Room Info'!$E$2:$E3446, 0)),if(G1709='Room Info'!$F$1, INDEX('Room Info'!$A$2:$A3446, MATCH(B1709,'Room Info'!$F$2:$F3446, 0)),if(G1709='Room Info'!$H$1, INDEX('Room Info'!$A$2:$A3446, MATCH(B1709,'Room Info'!$H$2:$H3446, 0)),if(G1709='Room Info'!$G$1, INDEX('Room Info'!$A$2:$A3446, MATCH(B1709,'Room Info'!$G$2:$G3446, 0)))))))))</f>
        <v>0</v>
      </c>
      <c r="B1709" s="70"/>
      <c r="C1709" s="115"/>
      <c r="D1709" s="115"/>
      <c r="E1709" s="85"/>
      <c r="F1709" s="138"/>
      <c r="G1709" s="70"/>
      <c r="H1709" s="114"/>
      <c r="I1709" s="114"/>
      <c r="J1709" s="44" t="str">
        <f t="shared" si="311"/>
        <v/>
      </c>
      <c r="K1709" s="116"/>
      <c r="L1709" s="117"/>
      <c r="M1709" s="67"/>
      <c r="N1709" s="33">
        <f t="shared" si="276"/>
        <v>0</v>
      </c>
      <c r="O1709" s="70"/>
      <c r="P1709" s="34" t="str">
        <f t="shared" si="277"/>
        <v/>
      </c>
      <c r="Q1709" s="60"/>
      <c r="R1709" s="36">
        <f t="shared" si="312"/>
        <v>0</v>
      </c>
      <c r="S1709" s="71"/>
      <c r="T1709" s="37">
        <f t="shared" si="302"/>
        <v>0</v>
      </c>
      <c r="U1709" s="62"/>
      <c r="V1709" s="63"/>
      <c r="W1709" s="63"/>
      <c r="X1709" s="35" t="str">
        <f t="shared" si="303"/>
        <v>#N/A</v>
      </c>
      <c r="Y1709" s="35" t="str">
        <f t="shared" si="304"/>
        <v>#N/A</v>
      </c>
      <c r="Z1709" s="40" t="str">
        <f t="shared" si="305"/>
        <v>#N/A</v>
      </c>
      <c r="AA1709" s="34" t="str">
        <f t="shared" si="306"/>
        <v>#N/A</v>
      </c>
      <c r="AB1709" s="41" t="str">
        <f t="shared" si="307"/>
        <v>#N/A</v>
      </c>
      <c r="AC1709" s="42" t="b">
        <v>0</v>
      </c>
      <c r="AD1709" s="66" t="str">
        <f t="shared" si="308"/>
        <v>USD</v>
      </c>
      <c r="AE1709" s="42"/>
      <c r="AF1709" s="42" t="str">
        <f t="array" ref="AF1709">INDEX('Deal Info'!D:D, MATCH(A1709,'Deal Info'!A:A, 0))</f>
        <v>#N/A</v>
      </c>
      <c r="AG1709" s="43" t="str">
        <f t="array" ref="AG1709">INDEX('Deal Info'!G:G, MATCH(A1709,'Deal Info'!A:A, 0))</f>
        <v>#N/A</v>
      </c>
    </row>
    <row r="1710" hidden="1">
      <c r="A1710" s="23" t="b">
        <f t="array" ref="A1710">if(G1710='Room Info'!$B$1, INDEX('Room Info'!$A$2:$A3446, MATCH(B1710,'Room Info'!$B$2:$B3446, 0)),if(G1710='Room Info'!$C$1, INDEX('Room Info'!$A$2:$A3446, MATCH(B1710,'Room Info'!$C$2:$C3446, 0)),if(G1710='Room Info'!$D$1, INDEX('Room Info'!$A$2:$A3446, MATCH(B1710,'Room Info'!$D$2:$D3446, 0)),if(G1710='Room Info'!$E$1, INDEX('Room Info'!$A$2:$A3446, MATCH(B1710,'Room Info'!$E$2:$E3446, 0)),if(G1710='Room Info'!$F$1, INDEX('Room Info'!$A$2:$A3446, MATCH(B1710,'Room Info'!$F$2:$F3446, 0)),if(G1710='Room Info'!$H$1, INDEX('Room Info'!$A$2:$A3446, MATCH(B1710,'Room Info'!$H$2:$H3446, 0)),if(G1710='Room Info'!$G$1, INDEX('Room Info'!$A$2:$A3446, MATCH(B1710,'Room Info'!$G$2:$G3446, 0)))))))))</f>
        <v>0</v>
      </c>
      <c r="B1710" s="70"/>
      <c r="C1710" s="115"/>
      <c r="D1710" s="115"/>
      <c r="E1710" s="85"/>
      <c r="F1710" s="138"/>
      <c r="G1710" s="70"/>
      <c r="H1710" s="114"/>
      <c r="I1710" s="114"/>
      <c r="J1710" s="44" t="str">
        <f t="shared" si="311"/>
        <v/>
      </c>
      <c r="K1710" s="116"/>
      <c r="L1710" s="117"/>
      <c r="M1710" s="67"/>
      <c r="N1710" s="33">
        <f t="shared" si="276"/>
        <v>0</v>
      </c>
      <c r="O1710" s="70"/>
      <c r="P1710" s="34" t="str">
        <f t="shared" si="277"/>
        <v/>
      </c>
      <c r="Q1710" s="60"/>
      <c r="R1710" s="36">
        <f t="shared" si="312"/>
        <v>0</v>
      </c>
      <c r="S1710" s="71"/>
      <c r="T1710" s="37">
        <f t="shared" si="302"/>
        <v>0</v>
      </c>
      <c r="U1710" s="62"/>
      <c r="V1710" s="63"/>
      <c r="W1710" s="63"/>
      <c r="X1710" s="35" t="str">
        <f t="shared" si="303"/>
        <v>#N/A</v>
      </c>
      <c r="Y1710" s="35" t="str">
        <f t="shared" si="304"/>
        <v>#N/A</v>
      </c>
      <c r="Z1710" s="40" t="str">
        <f t="shared" si="305"/>
        <v>#N/A</v>
      </c>
      <c r="AA1710" s="34" t="str">
        <f t="shared" si="306"/>
        <v>#N/A</v>
      </c>
      <c r="AB1710" s="41" t="str">
        <f t="shared" si="307"/>
        <v>#N/A</v>
      </c>
      <c r="AC1710" s="42" t="b">
        <v>0</v>
      </c>
      <c r="AD1710" s="66" t="str">
        <f t="shared" si="308"/>
        <v>USD</v>
      </c>
      <c r="AE1710" s="42"/>
      <c r="AF1710" s="42" t="str">
        <f t="array" ref="AF1710">INDEX('Deal Info'!D:D, MATCH(A1710,'Deal Info'!A:A, 0))</f>
        <v>#N/A</v>
      </c>
      <c r="AG1710" s="43" t="str">
        <f t="array" ref="AG1710">INDEX('Deal Info'!G:G, MATCH(A1710,'Deal Info'!A:A, 0))</f>
        <v>#N/A</v>
      </c>
    </row>
    <row r="1711" hidden="1">
      <c r="A1711" s="23" t="b">
        <f t="array" ref="A1711">if(G1711='Room Info'!$B$1, INDEX('Room Info'!$A$2:$A3446, MATCH(B1711,'Room Info'!$B$2:$B3446, 0)),if(G1711='Room Info'!$C$1, INDEX('Room Info'!$A$2:$A3446, MATCH(B1711,'Room Info'!$C$2:$C3446, 0)),if(G1711='Room Info'!$D$1, INDEX('Room Info'!$A$2:$A3446, MATCH(B1711,'Room Info'!$D$2:$D3446, 0)),if(G1711='Room Info'!$E$1, INDEX('Room Info'!$A$2:$A3446, MATCH(B1711,'Room Info'!$E$2:$E3446, 0)),if(G1711='Room Info'!$F$1, INDEX('Room Info'!$A$2:$A3446, MATCH(B1711,'Room Info'!$F$2:$F3446, 0)),if(G1711='Room Info'!$H$1, INDEX('Room Info'!$A$2:$A3446, MATCH(B1711,'Room Info'!$H$2:$H3446, 0)),if(G1711='Room Info'!$G$1, INDEX('Room Info'!$A$2:$A3446, MATCH(B1711,'Room Info'!$G$2:$G3446, 0)))))))))</f>
        <v>0</v>
      </c>
      <c r="B1711" s="70"/>
      <c r="C1711" s="115"/>
      <c r="D1711" s="115"/>
      <c r="E1711" s="85"/>
      <c r="F1711" s="138"/>
      <c r="G1711" s="70"/>
      <c r="H1711" s="114"/>
      <c r="I1711" s="114"/>
      <c r="J1711" s="44" t="str">
        <f t="shared" si="311"/>
        <v/>
      </c>
      <c r="K1711" s="116"/>
      <c r="L1711" s="117"/>
      <c r="M1711" s="67"/>
      <c r="N1711" s="33">
        <f t="shared" si="276"/>
        <v>0</v>
      </c>
      <c r="O1711" s="70"/>
      <c r="P1711" s="34" t="str">
        <f t="shared" si="277"/>
        <v/>
      </c>
      <c r="Q1711" s="60"/>
      <c r="R1711" s="36">
        <f t="shared" si="312"/>
        <v>0</v>
      </c>
      <c r="S1711" s="71"/>
      <c r="T1711" s="37">
        <f t="shared" si="302"/>
        <v>0</v>
      </c>
      <c r="U1711" s="62"/>
      <c r="V1711" s="63"/>
      <c r="W1711" s="63"/>
      <c r="X1711" s="35" t="str">
        <f t="shared" si="303"/>
        <v>#N/A</v>
      </c>
      <c r="Y1711" s="35" t="str">
        <f t="shared" si="304"/>
        <v>#N/A</v>
      </c>
      <c r="Z1711" s="40" t="str">
        <f t="shared" si="305"/>
        <v>#N/A</v>
      </c>
      <c r="AA1711" s="34" t="str">
        <f t="shared" si="306"/>
        <v>#N/A</v>
      </c>
      <c r="AB1711" s="41" t="str">
        <f t="shared" si="307"/>
        <v>#N/A</v>
      </c>
      <c r="AC1711" s="42" t="b">
        <v>0</v>
      </c>
      <c r="AD1711" s="66" t="str">
        <f t="shared" si="308"/>
        <v>USD</v>
      </c>
      <c r="AE1711" s="42"/>
      <c r="AF1711" s="42" t="str">
        <f t="array" ref="AF1711">INDEX('Deal Info'!D:D, MATCH(A1711,'Deal Info'!A:A, 0))</f>
        <v>#N/A</v>
      </c>
      <c r="AG1711" s="43" t="str">
        <f t="array" ref="AG1711">INDEX('Deal Info'!G:G, MATCH(A1711,'Deal Info'!A:A, 0))</f>
        <v>#N/A</v>
      </c>
    </row>
    <row r="1712" hidden="1">
      <c r="A1712" s="23" t="b">
        <f t="array" ref="A1712">if(G1712='Room Info'!$B$1, INDEX('Room Info'!$A$2:$A3446, MATCH(B1712,'Room Info'!$B$2:$B3446, 0)),if(G1712='Room Info'!$C$1, INDEX('Room Info'!$A$2:$A3446, MATCH(B1712,'Room Info'!$C$2:$C3446, 0)),if(G1712='Room Info'!$D$1, INDEX('Room Info'!$A$2:$A3446, MATCH(B1712,'Room Info'!$D$2:$D3446, 0)),if(G1712='Room Info'!$E$1, INDEX('Room Info'!$A$2:$A3446, MATCH(B1712,'Room Info'!$E$2:$E3446, 0)),if(G1712='Room Info'!$F$1, INDEX('Room Info'!$A$2:$A3446, MATCH(B1712,'Room Info'!$F$2:$F3446, 0)),if(G1712='Room Info'!$H$1, INDEX('Room Info'!$A$2:$A3446, MATCH(B1712,'Room Info'!$H$2:$H3446, 0)),if(G1712='Room Info'!$G$1, INDEX('Room Info'!$A$2:$A3446, MATCH(B1712,'Room Info'!$G$2:$G3446, 0)))))))))</f>
        <v>0</v>
      </c>
      <c r="B1712" s="70"/>
      <c r="C1712" s="115"/>
      <c r="D1712" s="115"/>
      <c r="E1712" s="85"/>
      <c r="F1712" s="138"/>
      <c r="G1712" s="70"/>
      <c r="H1712" s="114"/>
      <c r="I1712" s="114"/>
      <c r="J1712" s="44" t="str">
        <f t="shared" si="311"/>
        <v/>
      </c>
      <c r="K1712" s="116"/>
      <c r="L1712" s="117"/>
      <c r="M1712" s="67"/>
      <c r="N1712" s="33">
        <f t="shared" si="276"/>
        <v>0</v>
      </c>
      <c r="O1712" s="70"/>
      <c r="P1712" s="34" t="str">
        <f t="shared" si="277"/>
        <v/>
      </c>
      <c r="Q1712" s="60"/>
      <c r="R1712" s="36">
        <f t="shared" si="312"/>
        <v>0</v>
      </c>
      <c r="S1712" s="71"/>
      <c r="T1712" s="37">
        <f t="shared" si="302"/>
        <v>0</v>
      </c>
      <c r="U1712" s="62"/>
      <c r="V1712" s="63"/>
      <c r="W1712" s="63"/>
      <c r="X1712" s="35" t="str">
        <f t="shared" si="303"/>
        <v>#N/A</v>
      </c>
      <c r="Y1712" s="35" t="str">
        <f t="shared" si="304"/>
        <v>#N/A</v>
      </c>
      <c r="Z1712" s="40" t="str">
        <f t="shared" si="305"/>
        <v>#N/A</v>
      </c>
      <c r="AA1712" s="34" t="str">
        <f t="shared" si="306"/>
        <v>#N/A</v>
      </c>
      <c r="AB1712" s="41" t="str">
        <f t="shared" si="307"/>
        <v>#N/A</v>
      </c>
      <c r="AC1712" s="42" t="b">
        <v>0</v>
      </c>
      <c r="AD1712" s="66" t="str">
        <f t="shared" si="308"/>
        <v>USD</v>
      </c>
      <c r="AE1712" s="42"/>
      <c r="AF1712" s="42" t="str">
        <f t="array" ref="AF1712">INDEX('Deal Info'!D:D, MATCH(A1712,'Deal Info'!A:A, 0))</f>
        <v>#N/A</v>
      </c>
      <c r="AG1712" s="43" t="str">
        <f t="array" ref="AG1712">INDEX('Deal Info'!G:G, MATCH(A1712,'Deal Info'!A:A, 0))</f>
        <v>#N/A</v>
      </c>
    </row>
    <row r="1713" hidden="1">
      <c r="A1713" s="23" t="b">
        <f t="array" ref="A1713">if(G1713='Room Info'!$B$1, INDEX('Room Info'!$A$2:$A3446, MATCH(B1713,'Room Info'!$B$2:$B3446, 0)),if(G1713='Room Info'!$C$1, INDEX('Room Info'!$A$2:$A3446, MATCH(B1713,'Room Info'!$C$2:$C3446, 0)),if(G1713='Room Info'!$D$1, INDEX('Room Info'!$A$2:$A3446, MATCH(B1713,'Room Info'!$D$2:$D3446, 0)),if(G1713='Room Info'!$E$1, INDEX('Room Info'!$A$2:$A3446, MATCH(B1713,'Room Info'!$E$2:$E3446, 0)),if(G1713='Room Info'!$F$1, INDEX('Room Info'!$A$2:$A3446, MATCH(B1713,'Room Info'!$F$2:$F3446, 0)),if(G1713='Room Info'!$H$1, INDEX('Room Info'!$A$2:$A3446, MATCH(B1713,'Room Info'!$H$2:$H3446, 0)),if(G1713='Room Info'!$G$1, INDEX('Room Info'!$A$2:$A3446, MATCH(B1713,'Room Info'!$G$2:$G3446, 0)))))))))</f>
        <v>0</v>
      </c>
      <c r="B1713" s="70"/>
      <c r="C1713" s="115"/>
      <c r="D1713" s="115"/>
      <c r="E1713" s="85"/>
      <c r="F1713" s="138"/>
      <c r="G1713" s="70"/>
      <c r="H1713" s="114"/>
      <c r="I1713" s="114"/>
      <c r="J1713" s="44" t="str">
        <f t="shared" si="311"/>
        <v/>
      </c>
      <c r="K1713" s="116"/>
      <c r="L1713" s="117"/>
      <c r="M1713" s="67"/>
      <c r="N1713" s="33">
        <f t="shared" si="276"/>
        <v>0</v>
      </c>
      <c r="O1713" s="70"/>
      <c r="P1713" s="34" t="str">
        <f t="shared" si="277"/>
        <v/>
      </c>
      <c r="Q1713" s="60"/>
      <c r="R1713" s="36">
        <f t="shared" si="312"/>
        <v>0</v>
      </c>
      <c r="S1713" s="71"/>
      <c r="T1713" s="37">
        <f t="shared" si="302"/>
        <v>0</v>
      </c>
      <c r="U1713" s="62"/>
      <c r="V1713" s="63"/>
      <c r="W1713" s="63"/>
      <c r="X1713" s="35" t="str">
        <f t="shared" si="303"/>
        <v>#N/A</v>
      </c>
      <c r="Y1713" s="35" t="str">
        <f t="shared" si="304"/>
        <v>#N/A</v>
      </c>
      <c r="Z1713" s="40" t="str">
        <f t="shared" si="305"/>
        <v>#N/A</v>
      </c>
      <c r="AA1713" s="34" t="str">
        <f t="shared" si="306"/>
        <v>#N/A</v>
      </c>
      <c r="AB1713" s="41" t="str">
        <f t="shared" si="307"/>
        <v>#N/A</v>
      </c>
      <c r="AC1713" s="42" t="b">
        <v>0</v>
      </c>
      <c r="AD1713" s="66" t="str">
        <f t="shared" si="308"/>
        <v>USD</v>
      </c>
      <c r="AE1713" s="42"/>
      <c r="AF1713" s="42" t="str">
        <f t="array" ref="AF1713">INDEX('Deal Info'!D:D, MATCH(A1713,'Deal Info'!A:A, 0))</f>
        <v>#N/A</v>
      </c>
      <c r="AG1713" s="43" t="str">
        <f t="array" ref="AG1713">INDEX('Deal Info'!G:G, MATCH(A1713,'Deal Info'!A:A, 0))</f>
        <v>#N/A</v>
      </c>
    </row>
    <row r="1714" hidden="1">
      <c r="A1714" s="23" t="b">
        <f t="array" ref="A1714">if(G1714='Room Info'!$B$1, INDEX('Room Info'!$A$2:$A3446, MATCH(B1714,'Room Info'!$B$2:$B3446, 0)),if(G1714='Room Info'!$C$1, INDEX('Room Info'!$A$2:$A3446, MATCH(B1714,'Room Info'!$C$2:$C3446, 0)),if(G1714='Room Info'!$D$1, INDEX('Room Info'!$A$2:$A3446, MATCH(B1714,'Room Info'!$D$2:$D3446, 0)),if(G1714='Room Info'!$E$1, INDEX('Room Info'!$A$2:$A3446, MATCH(B1714,'Room Info'!$E$2:$E3446, 0)),if(G1714='Room Info'!$F$1, INDEX('Room Info'!$A$2:$A3446, MATCH(B1714,'Room Info'!$F$2:$F3446, 0)),if(G1714='Room Info'!$H$1, INDEX('Room Info'!$A$2:$A3446, MATCH(B1714,'Room Info'!$H$2:$H3446, 0)),if(G1714='Room Info'!$G$1, INDEX('Room Info'!$A$2:$A3446, MATCH(B1714,'Room Info'!$G$2:$G3446, 0)))))))))</f>
        <v>0</v>
      </c>
      <c r="B1714" s="70"/>
      <c r="C1714" s="115"/>
      <c r="D1714" s="115"/>
      <c r="E1714" s="85"/>
      <c r="F1714" s="138"/>
      <c r="G1714" s="70"/>
      <c r="H1714" s="114"/>
      <c r="I1714" s="114"/>
      <c r="J1714" s="44" t="str">
        <f t="shared" si="311"/>
        <v/>
      </c>
      <c r="K1714" s="116"/>
      <c r="L1714" s="117"/>
      <c r="M1714" s="67"/>
      <c r="N1714" s="33">
        <f t="shared" si="276"/>
        <v>0</v>
      </c>
      <c r="O1714" s="70"/>
      <c r="P1714" s="34" t="str">
        <f t="shared" si="277"/>
        <v/>
      </c>
      <c r="Q1714" s="60"/>
      <c r="R1714" s="36">
        <f t="shared" si="312"/>
        <v>0</v>
      </c>
      <c r="S1714" s="71"/>
      <c r="T1714" s="37">
        <f t="shared" si="302"/>
        <v>0</v>
      </c>
      <c r="U1714" s="62"/>
      <c r="V1714" s="63"/>
      <c r="W1714" s="63"/>
      <c r="X1714" s="35" t="str">
        <f t="shared" si="303"/>
        <v>#N/A</v>
      </c>
      <c r="Y1714" s="35" t="str">
        <f t="shared" si="304"/>
        <v>#N/A</v>
      </c>
      <c r="Z1714" s="40" t="str">
        <f t="shared" si="305"/>
        <v>#N/A</v>
      </c>
      <c r="AA1714" s="34" t="str">
        <f t="shared" si="306"/>
        <v>#N/A</v>
      </c>
      <c r="AB1714" s="41" t="str">
        <f t="shared" si="307"/>
        <v>#N/A</v>
      </c>
      <c r="AC1714" s="42" t="b">
        <v>0</v>
      </c>
      <c r="AD1714" s="66" t="str">
        <f t="shared" si="308"/>
        <v>USD</v>
      </c>
      <c r="AE1714" s="42"/>
      <c r="AF1714" s="42" t="str">
        <f t="array" ref="AF1714">INDEX('Deal Info'!D:D, MATCH(A1714,'Deal Info'!A:A, 0))</f>
        <v>#N/A</v>
      </c>
      <c r="AG1714" s="43" t="str">
        <f t="array" ref="AG1714">INDEX('Deal Info'!G:G, MATCH(A1714,'Deal Info'!A:A, 0))</f>
        <v>#N/A</v>
      </c>
    </row>
    <row r="1715" hidden="1">
      <c r="A1715" s="23" t="b">
        <f t="array" ref="A1715">if(G1715='Room Info'!$B$1, INDEX('Room Info'!$A$2:$A3446, MATCH(B1715,'Room Info'!$B$2:$B3446, 0)),if(G1715='Room Info'!$C$1, INDEX('Room Info'!$A$2:$A3446, MATCH(B1715,'Room Info'!$C$2:$C3446, 0)),if(G1715='Room Info'!$D$1, INDEX('Room Info'!$A$2:$A3446, MATCH(B1715,'Room Info'!$D$2:$D3446, 0)),if(G1715='Room Info'!$E$1, INDEX('Room Info'!$A$2:$A3446, MATCH(B1715,'Room Info'!$E$2:$E3446, 0)),if(G1715='Room Info'!$F$1, INDEX('Room Info'!$A$2:$A3446, MATCH(B1715,'Room Info'!$F$2:$F3446, 0)),if(G1715='Room Info'!$H$1, INDEX('Room Info'!$A$2:$A3446, MATCH(B1715,'Room Info'!$H$2:$H3446, 0)),if(G1715='Room Info'!$G$1, INDEX('Room Info'!$A$2:$A3446, MATCH(B1715,'Room Info'!$G$2:$G3446, 0)))))))))</f>
        <v>0</v>
      </c>
      <c r="B1715" s="70"/>
      <c r="C1715" s="115"/>
      <c r="D1715" s="115"/>
      <c r="E1715" s="85"/>
      <c r="F1715" s="138"/>
      <c r="G1715" s="70"/>
      <c r="H1715" s="114"/>
      <c r="I1715" s="114"/>
      <c r="J1715" s="44" t="str">
        <f t="shared" si="311"/>
        <v/>
      </c>
      <c r="K1715" s="116"/>
      <c r="L1715" s="117"/>
      <c r="M1715" s="67"/>
      <c r="N1715" s="33">
        <f t="shared" si="276"/>
        <v>0</v>
      </c>
      <c r="O1715" s="70"/>
      <c r="P1715" s="34" t="str">
        <f t="shared" si="277"/>
        <v/>
      </c>
      <c r="Q1715" s="60"/>
      <c r="R1715" s="36">
        <f t="shared" si="312"/>
        <v>0</v>
      </c>
      <c r="S1715" s="71"/>
      <c r="T1715" s="37">
        <f t="shared" si="302"/>
        <v>0</v>
      </c>
      <c r="U1715" s="62"/>
      <c r="V1715" s="63"/>
      <c r="W1715" s="63"/>
      <c r="X1715" s="35" t="str">
        <f t="shared" si="303"/>
        <v>#N/A</v>
      </c>
      <c r="Y1715" s="35" t="str">
        <f t="shared" si="304"/>
        <v>#N/A</v>
      </c>
      <c r="Z1715" s="40" t="str">
        <f t="shared" si="305"/>
        <v>#N/A</v>
      </c>
      <c r="AA1715" s="34" t="str">
        <f t="shared" si="306"/>
        <v>#N/A</v>
      </c>
      <c r="AB1715" s="41" t="str">
        <f t="shared" si="307"/>
        <v>#N/A</v>
      </c>
      <c r="AC1715" s="42" t="b">
        <v>0</v>
      </c>
      <c r="AD1715" s="66" t="str">
        <f t="shared" si="308"/>
        <v>USD</v>
      </c>
      <c r="AE1715" s="42"/>
      <c r="AF1715" s="42" t="str">
        <f t="array" ref="AF1715">INDEX('Deal Info'!D:D, MATCH(A1715,'Deal Info'!A:A, 0))</f>
        <v>#N/A</v>
      </c>
      <c r="AG1715" s="43" t="str">
        <f t="array" ref="AG1715">INDEX('Deal Info'!G:G, MATCH(A1715,'Deal Info'!A:A, 0))</f>
        <v>#N/A</v>
      </c>
    </row>
    <row r="1716" hidden="1">
      <c r="A1716" s="23" t="b">
        <f t="array" ref="A1716">if(G1716='Room Info'!$B$1, INDEX('Room Info'!$A$2:$A3446, MATCH(B1716,'Room Info'!$B$2:$B3446, 0)),if(G1716='Room Info'!$C$1, INDEX('Room Info'!$A$2:$A3446, MATCH(B1716,'Room Info'!$C$2:$C3446, 0)),if(G1716='Room Info'!$D$1, INDEX('Room Info'!$A$2:$A3446, MATCH(B1716,'Room Info'!$D$2:$D3446, 0)),if(G1716='Room Info'!$E$1, INDEX('Room Info'!$A$2:$A3446, MATCH(B1716,'Room Info'!$E$2:$E3446, 0)),if(G1716='Room Info'!$F$1, INDEX('Room Info'!$A$2:$A3446, MATCH(B1716,'Room Info'!$F$2:$F3446, 0)),if(G1716='Room Info'!$H$1, INDEX('Room Info'!$A$2:$A3446, MATCH(B1716,'Room Info'!$H$2:$H3446, 0)),if(G1716='Room Info'!$G$1, INDEX('Room Info'!$A$2:$A3446, MATCH(B1716,'Room Info'!$G$2:$G3446, 0)))))))))</f>
        <v>0</v>
      </c>
      <c r="B1716" s="70"/>
      <c r="C1716" s="115"/>
      <c r="D1716" s="115"/>
      <c r="E1716" s="85"/>
      <c r="F1716" s="138"/>
      <c r="G1716" s="70"/>
      <c r="H1716" s="114"/>
      <c r="I1716" s="114"/>
      <c r="J1716" s="44" t="str">
        <f t="shared" si="311"/>
        <v/>
      </c>
      <c r="K1716" s="116"/>
      <c r="L1716" s="143"/>
      <c r="M1716" s="67"/>
      <c r="N1716" s="33">
        <f t="shared" si="276"/>
        <v>0</v>
      </c>
      <c r="O1716" s="133"/>
      <c r="P1716" s="34" t="str">
        <f t="shared" si="277"/>
        <v/>
      </c>
      <c r="Q1716" s="60"/>
      <c r="R1716" s="36">
        <f t="shared" si="312"/>
        <v>0</v>
      </c>
      <c r="S1716" s="122"/>
      <c r="T1716" s="37">
        <f t="shared" si="302"/>
        <v>0</v>
      </c>
      <c r="U1716" s="62"/>
      <c r="V1716" s="63"/>
      <c r="W1716" s="63"/>
      <c r="X1716" s="35" t="str">
        <f t="shared" si="303"/>
        <v>#N/A</v>
      </c>
      <c r="Y1716" s="35" t="str">
        <f t="shared" si="304"/>
        <v>#N/A</v>
      </c>
      <c r="Z1716" s="40" t="str">
        <f t="shared" si="305"/>
        <v>#N/A</v>
      </c>
      <c r="AA1716" s="34" t="str">
        <f t="shared" si="306"/>
        <v>#N/A</v>
      </c>
      <c r="AB1716" s="41" t="str">
        <f t="shared" si="307"/>
        <v>#N/A</v>
      </c>
      <c r="AC1716" s="42" t="b">
        <v>0</v>
      </c>
      <c r="AD1716" s="66" t="str">
        <f t="shared" si="308"/>
        <v>USD</v>
      </c>
      <c r="AE1716" s="42"/>
      <c r="AF1716" s="42" t="str">
        <f t="array" ref="AF1716">INDEX('Deal Info'!D:D, MATCH(A1716,'Deal Info'!A:A, 0))</f>
        <v>#N/A</v>
      </c>
      <c r="AG1716" s="43" t="str">
        <f t="array" ref="AG1716">INDEX('Deal Info'!G:G, MATCH(A1716,'Deal Info'!A:A, 0))</f>
        <v>#N/A</v>
      </c>
    </row>
    <row r="1717" hidden="1">
      <c r="A1717" s="23" t="b">
        <f t="array" ref="A1717">if(G1717='Room Info'!$B$1, INDEX('Room Info'!$A$2:$A3446, MATCH(B1717,'Room Info'!$B$2:$B3446, 0)),if(G1717='Room Info'!$C$1, INDEX('Room Info'!$A$2:$A3446, MATCH(B1717,'Room Info'!$C$2:$C3446, 0)),if(G1717='Room Info'!$D$1, INDEX('Room Info'!$A$2:$A3446, MATCH(B1717,'Room Info'!$D$2:$D3446, 0)),if(G1717='Room Info'!$E$1, INDEX('Room Info'!$A$2:$A3446, MATCH(B1717,'Room Info'!$E$2:$E3446, 0)),if(G1717='Room Info'!$F$1, INDEX('Room Info'!$A$2:$A3446, MATCH(B1717,'Room Info'!$F$2:$F3446, 0)),if(G1717='Room Info'!$H$1, INDEX('Room Info'!$A$2:$A3446, MATCH(B1717,'Room Info'!$H$2:$H3446, 0)),if(G1717='Room Info'!$G$1, INDEX('Room Info'!$A$2:$A3446, MATCH(B1717,'Room Info'!$G$2:$G3446, 0)))))))))</f>
        <v>0</v>
      </c>
      <c r="B1717" s="101"/>
      <c r="C1717" s="141"/>
      <c r="D1717" s="141"/>
      <c r="E1717" s="142"/>
      <c r="F1717" s="138"/>
      <c r="G1717" s="101"/>
      <c r="H1717" s="105"/>
      <c r="I1717" s="105"/>
      <c r="J1717" s="44" t="str">
        <f t="shared" si="311"/>
        <v/>
      </c>
      <c r="K1717" s="139"/>
      <c r="L1717" s="140"/>
      <c r="M1717" s="84"/>
      <c r="N1717" s="33">
        <f t="shared" si="276"/>
        <v>0</v>
      </c>
      <c r="O1717" s="101"/>
      <c r="P1717" s="34" t="str">
        <f t="shared" si="277"/>
        <v/>
      </c>
      <c r="Q1717" s="60"/>
      <c r="R1717" s="36">
        <f t="shared" si="312"/>
        <v>0</v>
      </c>
      <c r="S1717" s="102"/>
      <c r="T1717" s="37">
        <f t="shared" si="302"/>
        <v>0</v>
      </c>
      <c r="U1717" s="62"/>
      <c r="V1717" s="63"/>
      <c r="W1717" s="63"/>
      <c r="X1717" s="35" t="str">
        <f t="shared" si="303"/>
        <v>#N/A</v>
      </c>
      <c r="Y1717" s="35" t="str">
        <f t="shared" si="304"/>
        <v>#N/A</v>
      </c>
      <c r="Z1717" s="40" t="str">
        <f t="shared" si="305"/>
        <v>#N/A</v>
      </c>
      <c r="AA1717" s="34" t="str">
        <f t="shared" si="306"/>
        <v>#N/A</v>
      </c>
      <c r="AB1717" s="41" t="str">
        <f t="shared" si="307"/>
        <v>#N/A</v>
      </c>
      <c r="AC1717" s="42" t="b">
        <v>0</v>
      </c>
      <c r="AD1717" s="66" t="str">
        <f t="shared" si="308"/>
        <v>USD</v>
      </c>
      <c r="AE1717" s="42"/>
      <c r="AF1717" s="42" t="str">
        <f t="array" ref="AF1717">INDEX('Deal Info'!D:D, MATCH(A1717,'Deal Info'!A:A, 0))</f>
        <v>#N/A</v>
      </c>
      <c r="AG1717" s="43" t="str">
        <f t="array" ref="AG1717">INDEX('Deal Info'!G:G, MATCH(A1717,'Deal Info'!A:A, 0))</f>
        <v>#N/A</v>
      </c>
    </row>
    <row r="1718" hidden="1">
      <c r="A1718" s="23" t="b">
        <f t="array" ref="A1718">if(G1718='Room Info'!$B$1, INDEX('Room Info'!$A$2:$A3446, MATCH(B1718,'Room Info'!$B$2:$B3446, 0)),if(G1718='Room Info'!$C$1, INDEX('Room Info'!$A$2:$A3446, MATCH(B1718,'Room Info'!$C$2:$C3446, 0)),if(G1718='Room Info'!$D$1, INDEX('Room Info'!$A$2:$A3446, MATCH(B1718,'Room Info'!$D$2:$D3446, 0)),if(G1718='Room Info'!$E$1, INDEX('Room Info'!$A$2:$A3446, MATCH(B1718,'Room Info'!$E$2:$E3446, 0)),if(G1718='Room Info'!$F$1, INDEX('Room Info'!$A$2:$A3446, MATCH(B1718,'Room Info'!$F$2:$F3446, 0)),if(G1718='Room Info'!$H$1, INDEX('Room Info'!$A$2:$A3446, MATCH(B1718,'Room Info'!$H$2:$H3446, 0)),if(G1718='Room Info'!$G$1, INDEX('Room Info'!$A$2:$A3446, MATCH(B1718,'Room Info'!$G$2:$G3446, 0)))))))))</f>
        <v>0</v>
      </c>
      <c r="B1718" s="101"/>
      <c r="C1718" s="141"/>
      <c r="D1718" s="141"/>
      <c r="E1718" s="142"/>
      <c r="F1718" s="138"/>
      <c r="G1718" s="101"/>
      <c r="H1718" s="105"/>
      <c r="I1718" s="105"/>
      <c r="J1718" s="44" t="str">
        <f t="shared" si="311"/>
        <v/>
      </c>
      <c r="K1718" s="139"/>
      <c r="L1718" s="140"/>
      <c r="M1718" s="84"/>
      <c r="N1718" s="33">
        <f t="shared" si="276"/>
        <v>0</v>
      </c>
      <c r="O1718" s="101"/>
      <c r="P1718" s="34" t="str">
        <f t="shared" si="277"/>
        <v/>
      </c>
      <c r="Q1718" s="60"/>
      <c r="R1718" s="36">
        <f t="shared" si="312"/>
        <v>0</v>
      </c>
      <c r="S1718" s="102"/>
      <c r="T1718" s="37">
        <f t="shared" si="302"/>
        <v>0</v>
      </c>
      <c r="U1718" s="62"/>
      <c r="V1718" s="63"/>
      <c r="W1718" s="63"/>
      <c r="X1718" s="35" t="str">
        <f t="shared" si="303"/>
        <v>#N/A</v>
      </c>
      <c r="Y1718" s="35" t="str">
        <f t="shared" si="304"/>
        <v>#N/A</v>
      </c>
      <c r="Z1718" s="40" t="str">
        <f t="shared" si="305"/>
        <v>#N/A</v>
      </c>
      <c r="AA1718" s="34" t="str">
        <f t="shared" si="306"/>
        <v>#N/A</v>
      </c>
      <c r="AB1718" s="41" t="str">
        <f t="shared" si="307"/>
        <v>#N/A</v>
      </c>
      <c r="AC1718" s="42" t="b">
        <v>0</v>
      </c>
      <c r="AD1718" s="66" t="str">
        <f t="shared" si="308"/>
        <v>USD</v>
      </c>
      <c r="AE1718" s="42"/>
      <c r="AF1718" s="42" t="str">
        <f t="array" ref="AF1718">INDEX('Deal Info'!D:D, MATCH(A1718,'Deal Info'!A:A, 0))</f>
        <v>#N/A</v>
      </c>
      <c r="AG1718" s="43" t="str">
        <f t="array" ref="AG1718">INDEX('Deal Info'!G:G, MATCH(A1718,'Deal Info'!A:A, 0))</f>
        <v>#N/A</v>
      </c>
    </row>
    <row r="1719" hidden="1">
      <c r="A1719" s="23" t="b">
        <f t="array" ref="A1719">if(G1719='Room Info'!$B$1, INDEX('Room Info'!$A$2:$A3446, MATCH(B1719,'Room Info'!$B$2:$B3446, 0)),if(G1719='Room Info'!$C$1, INDEX('Room Info'!$A$2:$A3446, MATCH(B1719,'Room Info'!$C$2:$C3446, 0)),if(G1719='Room Info'!$D$1, INDEX('Room Info'!$A$2:$A3446, MATCH(B1719,'Room Info'!$D$2:$D3446, 0)),if(G1719='Room Info'!$E$1, INDEX('Room Info'!$A$2:$A3446, MATCH(B1719,'Room Info'!$E$2:$E3446, 0)),if(G1719='Room Info'!$F$1, INDEX('Room Info'!$A$2:$A3446, MATCH(B1719,'Room Info'!$F$2:$F3446, 0)),if(G1719='Room Info'!$H$1, INDEX('Room Info'!$A$2:$A3446, MATCH(B1719,'Room Info'!$H$2:$H3446, 0)),if(G1719='Room Info'!$G$1, INDEX('Room Info'!$A$2:$A3446, MATCH(B1719,'Room Info'!$G$2:$G3446, 0)))))))))</f>
        <v>0</v>
      </c>
      <c r="B1719" s="101"/>
      <c r="C1719" s="141"/>
      <c r="D1719" s="141"/>
      <c r="E1719" s="142"/>
      <c r="F1719" s="138"/>
      <c r="G1719" s="101"/>
      <c r="H1719" s="105"/>
      <c r="I1719" s="105"/>
      <c r="J1719" s="44" t="str">
        <f t="shared" si="311"/>
        <v/>
      </c>
      <c r="K1719" s="139"/>
      <c r="L1719" s="140"/>
      <c r="M1719" s="84"/>
      <c r="N1719" s="33">
        <f t="shared" si="276"/>
        <v>0</v>
      </c>
      <c r="O1719" s="101"/>
      <c r="P1719" s="34" t="str">
        <f t="shared" si="277"/>
        <v/>
      </c>
      <c r="Q1719" s="60"/>
      <c r="R1719" s="36">
        <f t="shared" si="312"/>
        <v>0</v>
      </c>
      <c r="S1719" s="102"/>
      <c r="T1719" s="37">
        <f t="shared" si="302"/>
        <v>0</v>
      </c>
      <c r="U1719" s="62"/>
      <c r="V1719" s="63"/>
      <c r="W1719" s="63"/>
      <c r="X1719" s="35" t="str">
        <f t="shared" si="303"/>
        <v>#N/A</v>
      </c>
      <c r="Y1719" s="35" t="str">
        <f t="shared" si="304"/>
        <v>#N/A</v>
      </c>
      <c r="Z1719" s="40" t="str">
        <f t="shared" si="305"/>
        <v>#N/A</v>
      </c>
      <c r="AA1719" s="34" t="str">
        <f t="shared" si="306"/>
        <v>#N/A</v>
      </c>
      <c r="AB1719" s="41" t="str">
        <f t="shared" si="307"/>
        <v>#N/A</v>
      </c>
      <c r="AC1719" s="42" t="b">
        <v>0</v>
      </c>
      <c r="AD1719" s="66" t="str">
        <f t="shared" si="308"/>
        <v>USD</v>
      </c>
      <c r="AE1719" s="42"/>
      <c r="AF1719" s="42" t="str">
        <f t="array" ref="AF1719">INDEX('Deal Info'!D:D, MATCH(A1719,'Deal Info'!A:A, 0))</f>
        <v>#N/A</v>
      </c>
      <c r="AG1719" s="43" t="str">
        <f t="array" ref="AG1719">INDEX('Deal Info'!G:G, MATCH(A1719,'Deal Info'!A:A, 0))</f>
        <v>#N/A</v>
      </c>
    </row>
    <row r="1720" hidden="1">
      <c r="A1720" s="23" t="b">
        <f t="array" ref="A1720">if(G1720='Room Info'!$B$1, INDEX('Room Info'!$A$2:$A3446, MATCH(B1720,'Room Info'!$B$2:$B3446, 0)),if(G1720='Room Info'!$C$1, INDEX('Room Info'!$A$2:$A3446, MATCH(B1720,'Room Info'!$C$2:$C3446, 0)),if(G1720='Room Info'!$D$1, INDEX('Room Info'!$A$2:$A3446, MATCH(B1720,'Room Info'!$D$2:$D3446, 0)),if(G1720='Room Info'!$E$1, INDEX('Room Info'!$A$2:$A3446, MATCH(B1720,'Room Info'!$E$2:$E3446, 0)),if(G1720='Room Info'!$F$1, INDEX('Room Info'!$A$2:$A3446, MATCH(B1720,'Room Info'!$F$2:$F3446, 0)),if(G1720='Room Info'!$H$1, INDEX('Room Info'!$A$2:$A3446, MATCH(B1720,'Room Info'!$H$2:$H3446, 0)),if(G1720='Room Info'!$G$1, INDEX('Room Info'!$A$2:$A3446, MATCH(B1720,'Room Info'!$G$2:$G3446, 0)))))))))</f>
        <v>0</v>
      </c>
      <c r="B1720" s="101"/>
      <c r="C1720" s="141"/>
      <c r="D1720" s="141"/>
      <c r="E1720" s="142"/>
      <c r="F1720" s="138"/>
      <c r="G1720" s="101"/>
      <c r="H1720" s="105"/>
      <c r="I1720" s="105"/>
      <c r="J1720" s="44" t="str">
        <f t="shared" si="311"/>
        <v/>
      </c>
      <c r="K1720" s="139"/>
      <c r="L1720" s="140"/>
      <c r="M1720" s="84"/>
      <c r="N1720" s="33">
        <f t="shared" si="276"/>
        <v>0</v>
      </c>
      <c r="O1720" s="101"/>
      <c r="P1720" s="34" t="str">
        <f t="shared" si="277"/>
        <v/>
      </c>
      <c r="Q1720" s="60"/>
      <c r="R1720" s="36">
        <f t="shared" si="312"/>
        <v>0</v>
      </c>
      <c r="S1720" s="102"/>
      <c r="T1720" s="37">
        <f t="shared" si="302"/>
        <v>0</v>
      </c>
      <c r="U1720" s="62"/>
      <c r="V1720" s="63"/>
      <c r="W1720" s="63"/>
      <c r="X1720" s="35" t="str">
        <f t="shared" si="303"/>
        <v>#N/A</v>
      </c>
      <c r="Y1720" s="35" t="str">
        <f t="shared" si="304"/>
        <v>#N/A</v>
      </c>
      <c r="Z1720" s="40" t="str">
        <f t="shared" si="305"/>
        <v>#N/A</v>
      </c>
      <c r="AA1720" s="34" t="str">
        <f t="shared" si="306"/>
        <v>#N/A</v>
      </c>
      <c r="AB1720" s="41" t="str">
        <f t="shared" si="307"/>
        <v>#N/A</v>
      </c>
      <c r="AC1720" s="42" t="b">
        <v>0</v>
      </c>
      <c r="AD1720" s="66" t="str">
        <f t="shared" si="308"/>
        <v>USD</v>
      </c>
      <c r="AE1720" s="42"/>
      <c r="AF1720" s="42" t="str">
        <f t="array" ref="AF1720">INDEX('Deal Info'!D:D, MATCH(A1720,'Deal Info'!A:A, 0))</f>
        <v>#N/A</v>
      </c>
      <c r="AG1720" s="43" t="str">
        <f t="array" ref="AG1720">INDEX('Deal Info'!G:G, MATCH(A1720,'Deal Info'!A:A, 0))</f>
        <v>#N/A</v>
      </c>
    </row>
    <row r="1721" hidden="1">
      <c r="A1721" s="23" t="b">
        <f t="array" ref="A1721">if(G1721='Room Info'!$B$1, INDEX('Room Info'!$A$2:$A3446, MATCH(B1721,'Room Info'!$B$2:$B3446, 0)),if(G1721='Room Info'!$C$1, INDEX('Room Info'!$A$2:$A3446, MATCH(B1721,'Room Info'!$C$2:$C3446, 0)),if(G1721='Room Info'!$D$1, INDEX('Room Info'!$A$2:$A3446, MATCH(B1721,'Room Info'!$D$2:$D3446, 0)),if(G1721='Room Info'!$E$1, INDEX('Room Info'!$A$2:$A3446, MATCH(B1721,'Room Info'!$E$2:$E3446, 0)),if(G1721='Room Info'!$F$1, INDEX('Room Info'!$A$2:$A3446, MATCH(B1721,'Room Info'!$F$2:$F3446, 0)),if(G1721='Room Info'!$H$1, INDEX('Room Info'!$A$2:$A3446, MATCH(B1721,'Room Info'!$H$2:$H3446, 0)),if(G1721='Room Info'!$G$1, INDEX('Room Info'!$A$2:$A3446, MATCH(B1721,'Room Info'!$G$2:$G3446, 0)))))))))</f>
        <v>0</v>
      </c>
      <c r="B1721" s="101"/>
      <c r="C1721" s="141"/>
      <c r="D1721" s="141"/>
      <c r="E1721" s="142"/>
      <c r="F1721" s="138"/>
      <c r="G1721" s="101"/>
      <c r="H1721" s="105"/>
      <c r="I1721" s="105"/>
      <c r="J1721" s="44" t="str">
        <f t="shared" si="311"/>
        <v/>
      </c>
      <c r="K1721" s="139"/>
      <c r="L1721" s="140"/>
      <c r="M1721" s="84"/>
      <c r="N1721" s="33">
        <f t="shared" si="276"/>
        <v>0</v>
      </c>
      <c r="O1721" s="101"/>
      <c r="P1721" s="34" t="str">
        <f t="shared" si="277"/>
        <v/>
      </c>
      <c r="Q1721" s="60"/>
      <c r="R1721" s="36">
        <f t="shared" si="312"/>
        <v>0</v>
      </c>
      <c r="S1721" s="102"/>
      <c r="T1721" s="37">
        <f t="shared" si="302"/>
        <v>0</v>
      </c>
      <c r="U1721" s="62"/>
      <c r="V1721" s="63"/>
      <c r="W1721" s="63"/>
      <c r="X1721" s="35" t="str">
        <f t="shared" si="303"/>
        <v>#N/A</v>
      </c>
      <c r="Y1721" s="35" t="str">
        <f t="shared" si="304"/>
        <v>#N/A</v>
      </c>
      <c r="Z1721" s="40" t="str">
        <f t="shared" si="305"/>
        <v>#N/A</v>
      </c>
      <c r="AA1721" s="34" t="str">
        <f t="shared" si="306"/>
        <v>#N/A</v>
      </c>
      <c r="AB1721" s="41" t="str">
        <f t="shared" si="307"/>
        <v>#N/A</v>
      </c>
      <c r="AC1721" s="42" t="b">
        <v>0</v>
      </c>
      <c r="AD1721" s="66" t="str">
        <f t="shared" si="308"/>
        <v>USD</v>
      </c>
      <c r="AE1721" s="42"/>
      <c r="AF1721" s="42" t="str">
        <f t="array" ref="AF1721">INDEX('Deal Info'!D:D, MATCH(A1721,'Deal Info'!A:A, 0))</f>
        <v>#N/A</v>
      </c>
      <c r="AG1721" s="43" t="str">
        <f t="array" ref="AG1721">INDEX('Deal Info'!G:G, MATCH(A1721,'Deal Info'!A:A, 0))</f>
        <v>#N/A</v>
      </c>
    </row>
    <row r="1722" hidden="1">
      <c r="A1722" s="23" t="b">
        <f t="array" ref="A1722">if(G1722='Room Info'!$B$1, INDEX('Room Info'!$A$2:$A3446, MATCH(B1722,'Room Info'!$B$2:$B3446, 0)),if(G1722='Room Info'!$C$1, INDEX('Room Info'!$A$2:$A3446, MATCH(B1722,'Room Info'!$C$2:$C3446, 0)),if(G1722='Room Info'!$D$1, INDEX('Room Info'!$A$2:$A3446, MATCH(B1722,'Room Info'!$D$2:$D3446, 0)),if(G1722='Room Info'!$E$1, INDEX('Room Info'!$A$2:$A3446, MATCH(B1722,'Room Info'!$E$2:$E3446, 0)),if(G1722='Room Info'!$F$1, INDEX('Room Info'!$A$2:$A3446, MATCH(B1722,'Room Info'!$F$2:$F3446, 0)),if(G1722='Room Info'!$H$1, INDEX('Room Info'!$A$2:$A3446, MATCH(B1722,'Room Info'!$H$2:$H3446, 0)),if(G1722='Room Info'!$G$1, INDEX('Room Info'!$A$2:$A3446, MATCH(B1722,'Room Info'!$G$2:$G3446, 0)))))))))</f>
        <v>0</v>
      </c>
      <c r="B1722" s="101"/>
      <c r="C1722" s="115"/>
      <c r="D1722" s="115"/>
      <c r="E1722" s="85"/>
      <c r="F1722" s="101"/>
      <c r="G1722" s="70"/>
      <c r="H1722" s="114"/>
      <c r="I1722" s="114"/>
      <c r="J1722" s="44" t="str">
        <f t="shared" si="311"/>
        <v/>
      </c>
      <c r="K1722" s="116"/>
      <c r="L1722" s="117"/>
      <c r="M1722" s="67"/>
      <c r="N1722" s="33">
        <f t="shared" si="276"/>
        <v>0</v>
      </c>
      <c r="O1722" s="70"/>
      <c r="P1722" s="34" t="str">
        <f t="shared" si="277"/>
        <v/>
      </c>
      <c r="Q1722" s="60"/>
      <c r="R1722" s="36">
        <f t="shared" si="312"/>
        <v>0</v>
      </c>
      <c r="S1722" s="71"/>
      <c r="T1722" s="37">
        <f t="shared" si="302"/>
        <v>0</v>
      </c>
      <c r="U1722" s="62"/>
      <c r="V1722" s="63"/>
      <c r="W1722" s="63"/>
      <c r="X1722" s="35" t="str">
        <f t="shared" si="303"/>
        <v>#N/A</v>
      </c>
      <c r="Y1722" s="35" t="str">
        <f t="shared" si="304"/>
        <v>#N/A</v>
      </c>
      <c r="Z1722" s="40" t="str">
        <f t="shared" si="305"/>
        <v>#N/A</v>
      </c>
      <c r="AA1722" s="34" t="str">
        <f t="shared" si="306"/>
        <v>#N/A</v>
      </c>
      <c r="AB1722" s="41" t="str">
        <f t="shared" si="307"/>
        <v>#N/A</v>
      </c>
      <c r="AC1722" s="42" t="b">
        <v>0</v>
      </c>
      <c r="AD1722" s="66" t="str">
        <f t="shared" si="308"/>
        <v>USD</v>
      </c>
      <c r="AE1722" s="42"/>
      <c r="AF1722" s="42" t="str">
        <f t="array" ref="AF1722">INDEX('Deal Info'!D:D, MATCH(A1722,'Deal Info'!A:A, 0))</f>
        <v>#N/A</v>
      </c>
      <c r="AG1722" s="43" t="str">
        <f t="array" ref="AG1722">INDEX('Deal Info'!G:G, MATCH(A1722,'Deal Info'!A:A, 0))</f>
        <v>#N/A</v>
      </c>
    </row>
    <row r="1723" hidden="1">
      <c r="A1723" s="23" t="b">
        <f t="array" ref="A1723">if(G1723='Room Info'!$B$1, INDEX('Room Info'!$A$2:$A3446, MATCH(B1723,'Room Info'!$B$2:$B3446, 0)),if(G1723='Room Info'!$C$1, INDEX('Room Info'!$A$2:$A3446, MATCH(B1723,'Room Info'!$C$2:$C3446, 0)),if(G1723='Room Info'!$D$1, INDEX('Room Info'!$A$2:$A3446, MATCH(B1723,'Room Info'!$D$2:$D3446, 0)),if(G1723='Room Info'!$E$1, INDEX('Room Info'!$A$2:$A3446, MATCH(B1723,'Room Info'!$E$2:$E3446, 0)),if(G1723='Room Info'!$F$1, INDEX('Room Info'!$A$2:$A3446, MATCH(B1723,'Room Info'!$F$2:$F3446, 0)),if(G1723='Room Info'!$H$1, INDEX('Room Info'!$A$2:$A3446, MATCH(B1723,'Room Info'!$H$2:$H3446, 0)),if(G1723='Room Info'!$G$1, INDEX('Room Info'!$A$2:$A3446, MATCH(B1723,'Room Info'!$G$2:$G3446, 0)))))))))</f>
        <v>0</v>
      </c>
      <c r="B1723" s="101"/>
      <c r="C1723" s="141"/>
      <c r="D1723" s="141"/>
      <c r="E1723" s="142"/>
      <c r="F1723" s="138"/>
      <c r="G1723" s="101"/>
      <c r="H1723" s="105"/>
      <c r="I1723" s="105"/>
      <c r="J1723" s="44" t="str">
        <f t="shared" si="311"/>
        <v/>
      </c>
      <c r="K1723" s="139"/>
      <c r="L1723" s="140"/>
      <c r="M1723" s="84"/>
      <c r="N1723" s="33">
        <f t="shared" si="276"/>
        <v>0</v>
      </c>
      <c r="O1723" s="101"/>
      <c r="P1723" s="34" t="str">
        <f t="shared" si="277"/>
        <v/>
      </c>
      <c r="Q1723" s="60"/>
      <c r="R1723" s="36">
        <f t="shared" si="312"/>
        <v>0</v>
      </c>
      <c r="S1723" s="102"/>
      <c r="T1723" s="37">
        <f t="shared" si="302"/>
        <v>0</v>
      </c>
      <c r="U1723" s="62"/>
      <c r="V1723" s="63"/>
      <c r="W1723" s="63"/>
      <c r="X1723" s="35" t="str">
        <f t="shared" si="303"/>
        <v>#N/A</v>
      </c>
      <c r="Y1723" s="35" t="str">
        <f t="shared" si="304"/>
        <v>#N/A</v>
      </c>
      <c r="Z1723" s="40" t="str">
        <f t="shared" si="305"/>
        <v>#N/A</v>
      </c>
      <c r="AA1723" s="34" t="str">
        <f t="shared" si="306"/>
        <v>#N/A</v>
      </c>
      <c r="AB1723" s="41" t="str">
        <f t="shared" si="307"/>
        <v>#N/A</v>
      </c>
      <c r="AC1723" s="42" t="b">
        <v>0</v>
      </c>
      <c r="AD1723" s="66" t="str">
        <f t="shared" si="308"/>
        <v>USD</v>
      </c>
      <c r="AE1723" s="42"/>
      <c r="AF1723" s="42" t="str">
        <f t="array" ref="AF1723">INDEX('Deal Info'!D:D, MATCH(A1723,'Deal Info'!A:A, 0))</f>
        <v>#N/A</v>
      </c>
      <c r="AG1723" s="43" t="str">
        <f t="array" ref="AG1723">INDEX('Deal Info'!G:G, MATCH(A1723,'Deal Info'!A:A, 0))</f>
        <v>#N/A</v>
      </c>
    </row>
    <row r="1724" hidden="1">
      <c r="A1724" s="23" t="b">
        <f t="array" ref="A1724">if(G1724='Room Info'!$B$1, INDEX('Room Info'!$A$2:$A3446, MATCH(B1724,'Room Info'!$B$2:$B3446, 0)),if(G1724='Room Info'!$C$1, INDEX('Room Info'!$A$2:$A3446, MATCH(B1724,'Room Info'!$C$2:$C3446, 0)),if(G1724='Room Info'!$D$1, INDEX('Room Info'!$A$2:$A3446, MATCH(B1724,'Room Info'!$D$2:$D3446, 0)),if(G1724='Room Info'!$E$1, INDEX('Room Info'!$A$2:$A3446, MATCH(B1724,'Room Info'!$E$2:$E3446, 0)),if(G1724='Room Info'!$F$1, INDEX('Room Info'!$A$2:$A3446, MATCH(B1724,'Room Info'!$F$2:$F3446, 0)),if(G1724='Room Info'!$H$1, INDEX('Room Info'!$A$2:$A3446, MATCH(B1724,'Room Info'!$H$2:$H3446, 0)),if(G1724='Room Info'!$G$1, INDEX('Room Info'!$A$2:$A3446, MATCH(B1724,'Room Info'!$G$2:$G3446, 0)))))))))</f>
        <v>0</v>
      </c>
      <c r="B1724" s="101"/>
      <c r="C1724" s="115"/>
      <c r="D1724" s="115"/>
      <c r="E1724" s="85"/>
      <c r="F1724" s="138"/>
      <c r="G1724" s="70"/>
      <c r="H1724" s="114"/>
      <c r="I1724" s="114"/>
      <c r="J1724" s="44" t="str">
        <f t="shared" si="311"/>
        <v/>
      </c>
      <c r="K1724" s="116"/>
      <c r="L1724" s="117"/>
      <c r="M1724" s="67"/>
      <c r="N1724" s="33">
        <f t="shared" si="276"/>
        <v>0</v>
      </c>
      <c r="O1724" s="70"/>
      <c r="P1724" s="34" t="str">
        <f t="shared" si="277"/>
        <v/>
      </c>
      <c r="Q1724" s="60"/>
      <c r="R1724" s="36">
        <f t="shared" si="312"/>
        <v>0</v>
      </c>
      <c r="S1724" s="71"/>
      <c r="T1724" s="37">
        <f t="shared" si="302"/>
        <v>0</v>
      </c>
      <c r="U1724" s="62"/>
      <c r="V1724" s="63"/>
      <c r="W1724" s="63"/>
      <c r="X1724" s="35" t="str">
        <f t="shared" si="303"/>
        <v>#N/A</v>
      </c>
      <c r="Y1724" s="35" t="str">
        <f t="shared" si="304"/>
        <v>#N/A</v>
      </c>
      <c r="Z1724" s="40" t="str">
        <f t="shared" si="305"/>
        <v>#N/A</v>
      </c>
      <c r="AA1724" s="34" t="str">
        <f t="shared" si="306"/>
        <v>#N/A</v>
      </c>
      <c r="AB1724" s="41" t="str">
        <f t="shared" si="307"/>
        <v>#N/A</v>
      </c>
      <c r="AC1724" s="42" t="b">
        <v>0</v>
      </c>
      <c r="AD1724" s="66" t="str">
        <f t="shared" si="308"/>
        <v>USD</v>
      </c>
      <c r="AE1724" s="42"/>
      <c r="AF1724" s="42" t="str">
        <f t="array" ref="AF1724">INDEX('Deal Info'!D:D, MATCH(A1724,'Deal Info'!A:A, 0))</f>
        <v>#N/A</v>
      </c>
      <c r="AG1724" s="43" t="str">
        <f t="array" ref="AG1724">INDEX('Deal Info'!G:G, MATCH(A1724,'Deal Info'!A:A, 0))</f>
        <v>#N/A</v>
      </c>
    </row>
    <row r="1725" hidden="1">
      <c r="A1725" s="23" t="b">
        <f t="array" ref="A1725">if(G1725='Room Info'!$B$1, INDEX('Room Info'!$A$2:$A3446, MATCH(B1725,'Room Info'!$B$2:$B3446, 0)),if(G1725='Room Info'!$C$1, INDEX('Room Info'!$A$2:$A3446, MATCH(B1725,'Room Info'!$C$2:$C3446, 0)),if(G1725='Room Info'!$D$1, INDEX('Room Info'!$A$2:$A3446, MATCH(B1725,'Room Info'!$D$2:$D3446, 0)),if(G1725='Room Info'!$E$1, INDEX('Room Info'!$A$2:$A3446, MATCH(B1725,'Room Info'!$E$2:$E3446, 0)),if(G1725='Room Info'!$F$1, INDEX('Room Info'!$A$2:$A3446, MATCH(B1725,'Room Info'!$F$2:$F3446, 0)),if(G1725='Room Info'!$H$1, INDEX('Room Info'!$A$2:$A3446, MATCH(B1725,'Room Info'!$H$2:$H3446, 0)),if(G1725='Room Info'!$G$1, INDEX('Room Info'!$A$2:$A3446, MATCH(B1725,'Room Info'!$G$2:$G3446, 0)))))))))</f>
        <v>0</v>
      </c>
      <c r="B1725" s="101"/>
      <c r="C1725" s="115"/>
      <c r="D1725" s="115"/>
      <c r="E1725" s="85"/>
      <c r="F1725" s="138"/>
      <c r="G1725" s="70"/>
      <c r="H1725" s="114"/>
      <c r="I1725" s="114"/>
      <c r="J1725" s="44" t="str">
        <f t="shared" si="311"/>
        <v/>
      </c>
      <c r="K1725" s="116"/>
      <c r="L1725" s="117"/>
      <c r="M1725" s="67"/>
      <c r="N1725" s="33">
        <f t="shared" si="276"/>
        <v>0</v>
      </c>
      <c r="O1725" s="70"/>
      <c r="P1725" s="34" t="str">
        <f t="shared" si="277"/>
        <v/>
      </c>
      <c r="Q1725" s="60"/>
      <c r="R1725" s="36">
        <f t="shared" si="312"/>
        <v>0</v>
      </c>
      <c r="S1725" s="71"/>
      <c r="T1725" s="37">
        <f t="shared" si="302"/>
        <v>0</v>
      </c>
      <c r="U1725" s="62"/>
      <c r="V1725" s="63"/>
      <c r="W1725" s="63"/>
      <c r="X1725" s="35" t="str">
        <f t="shared" si="303"/>
        <v>#N/A</v>
      </c>
      <c r="Y1725" s="35" t="str">
        <f t="shared" si="304"/>
        <v>#N/A</v>
      </c>
      <c r="Z1725" s="40" t="str">
        <f t="shared" si="305"/>
        <v>#N/A</v>
      </c>
      <c r="AA1725" s="34" t="str">
        <f t="shared" si="306"/>
        <v>#N/A</v>
      </c>
      <c r="AB1725" s="41" t="str">
        <f t="shared" si="307"/>
        <v>#N/A</v>
      </c>
      <c r="AC1725" s="42" t="b">
        <v>0</v>
      </c>
      <c r="AD1725" s="66" t="str">
        <f t="shared" si="308"/>
        <v>USD</v>
      </c>
      <c r="AE1725" s="42"/>
      <c r="AF1725" s="42" t="str">
        <f t="array" ref="AF1725">INDEX('Deal Info'!D:D, MATCH(A1725,'Deal Info'!A:A, 0))</f>
        <v>#N/A</v>
      </c>
      <c r="AG1725" s="43" t="str">
        <f t="array" ref="AG1725">INDEX('Deal Info'!G:G, MATCH(A1725,'Deal Info'!A:A, 0))</f>
        <v>#N/A</v>
      </c>
    </row>
    <row r="1726" hidden="1">
      <c r="A1726" s="23" t="b">
        <f t="array" ref="A1726">if(G1726='Room Info'!$B$1, INDEX('Room Info'!$A$2:$A3446, MATCH(B1726,'Room Info'!$B$2:$B3446, 0)),if(G1726='Room Info'!$C$1, INDEX('Room Info'!$A$2:$A3446, MATCH(B1726,'Room Info'!$C$2:$C3446, 0)),if(G1726='Room Info'!$D$1, INDEX('Room Info'!$A$2:$A3446, MATCH(B1726,'Room Info'!$D$2:$D3446, 0)),if(G1726='Room Info'!$E$1, INDEX('Room Info'!$A$2:$A3446, MATCH(B1726,'Room Info'!$E$2:$E3446, 0)),if(G1726='Room Info'!$F$1, INDEX('Room Info'!$A$2:$A3446, MATCH(B1726,'Room Info'!$F$2:$F3446, 0)),if(G1726='Room Info'!$H$1, INDEX('Room Info'!$A$2:$A3446, MATCH(B1726,'Room Info'!$H$2:$H3446, 0)),if(G1726='Room Info'!$G$1, INDEX('Room Info'!$A$2:$A3446, MATCH(B1726,'Room Info'!$G$2:$G3446, 0)))))))))</f>
        <v>0</v>
      </c>
      <c r="B1726" s="101"/>
      <c r="C1726" s="115"/>
      <c r="D1726" s="115"/>
      <c r="E1726" s="85"/>
      <c r="F1726" s="138"/>
      <c r="G1726" s="70"/>
      <c r="H1726" s="114"/>
      <c r="I1726" s="114"/>
      <c r="J1726" s="44" t="str">
        <f t="shared" si="311"/>
        <v/>
      </c>
      <c r="K1726" s="116"/>
      <c r="L1726" s="117"/>
      <c r="M1726" s="67"/>
      <c r="N1726" s="33">
        <f t="shared" si="276"/>
        <v>0</v>
      </c>
      <c r="O1726" s="70"/>
      <c r="P1726" s="34" t="str">
        <f t="shared" si="277"/>
        <v/>
      </c>
      <c r="Q1726" s="60"/>
      <c r="R1726" s="36">
        <f t="shared" si="312"/>
        <v>0</v>
      </c>
      <c r="S1726" s="71"/>
      <c r="T1726" s="37">
        <f t="shared" si="302"/>
        <v>0</v>
      </c>
      <c r="U1726" s="62"/>
      <c r="V1726" s="63"/>
      <c r="W1726" s="63"/>
      <c r="X1726" s="35" t="str">
        <f t="shared" si="303"/>
        <v>#N/A</v>
      </c>
      <c r="Y1726" s="35" t="str">
        <f t="shared" si="304"/>
        <v>#N/A</v>
      </c>
      <c r="Z1726" s="40" t="str">
        <f t="shared" si="305"/>
        <v>#N/A</v>
      </c>
      <c r="AA1726" s="34" t="str">
        <f t="shared" si="306"/>
        <v>#N/A</v>
      </c>
      <c r="AB1726" s="41" t="str">
        <f t="shared" si="307"/>
        <v>#N/A</v>
      </c>
      <c r="AC1726" s="42" t="b">
        <v>0</v>
      </c>
      <c r="AD1726" s="66" t="str">
        <f t="shared" si="308"/>
        <v>USD</v>
      </c>
      <c r="AE1726" s="42"/>
      <c r="AF1726" s="42" t="str">
        <f t="array" ref="AF1726">INDEX('Deal Info'!D:D, MATCH(A1726,'Deal Info'!A:A, 0))</f>
        <v>#N/A</v>
      </c>
      <c r="AG1726" s="43" t="str">
        <f t="array" ref="AG1726">INDEX('Deal Info'!G:G, MATCH(A1726,'Deal Info'!A:A, 0))</f>
        <v>#N/A</v>
      </c>
    </row>
    <row r="1727" hidden="1">
      <c r="A1727" s="23" t="b">
        <f t="array" ref="A1727">if(G1727='Room Info'!$B$1, INDEX('Room Info'!$A$2:$A3446, MATCH(B1727,'Room Info'!$B$2:$B3446, 0)),if(G1727='Room Info'!$C$1, INDEX('Room Info'!$A$2:$A3446, MATCH(B1727,'Room Info'!$C$2:$C3446, 0)),if(G1727='Room Info'!$D$1, INDEX('Room Info'!$A$2:$A3446, MATCH(B1727,'Room Info'!$D$2:$D3446, 0)),if(G1727='Room Info'!$E$1, INDEX('Room Info'!$A$2:$A3446, MATCH(B1727,'Room Info'!$E$2:$E3446, 0)),if(G1727='Room Info'!$F$1, INDEX('Room Info'!$A$2:$A3446, MATCH(B1727,'Room Info'!$F$2:$F3446, 0)),if(G1727='Room Info'!$H$1, INDEX('Room Info'!$A$2:$A3446, MATCH(B1727,'Room Info'!$H$2:$H3446, 0)),if(G1727='Room Info'!$G$1, INDEX('Room Info'!$A$2:$A3446, MATCH(B1727,'Room Info'!$G$2:$G3446, 0)))))))))</f>
        <v>0</v>
      </c>
      <c r="B1727" s="101"/>
      <c r="C1727" s="115"/>
      <c r="D1727" s="115"/>
      <c r="E1727" s="85"/>
      <c r="F1727" s="138"/>
      <c r="G1727" s="70"/>
      <c r="H1727" s="114"/>
      <c r="I1727" s="114"/>
      <c r="J1727" s="44" t="str">
        <f t="shared" si="311"/>
        <v/>
      </c>
      <c r="K1727" s="116"/>
      <c r="L1727" s="117"/>
      <c r="M1727" s="67"/>
      <c r="N1727" s="33">
        <f t="shared" si="276"/>
        <v>0</v>
      </c>
      <c r="O1727" s="70"/>
      <c r="P1727" s="34" t="str">
        <f t="shared" si="277"/>
        <v/>
      </c>
      <c r="Q1727" s="60"/>
      <c r="R1727" s="36">
        <f t="shared" si="312"/>
        <v>0</v>
      </c>
      <c r="S1727" s="71"/>
      <c r="T1727" s="37">
        <f t="shared" si="302"/>
        <v>0</v>
      </c>
      <c r="U1727" s="62"/>
      <c r="V1727" s="63"/>
      <c r="W1727" s="63"/>
      <c r="X1727" s="35" t="str">
        <f t="shared" si="303"/>
        <v>#N/A</v>
      </c>
      <c r="Y1727" s="35" t="str">
        <f t="shared" si="304"/>
        <v>#N/A</v>
      </c>
      <c r="Z1727" s="40" t="str">
        <f t="shared" si="305"/>
        <v>#N/A</v>
      </c>
      <c r="AA1727" s="34" t="str">
        <f t="shared" si="306"/>
        <v>#N/A</v>
      </c>
      <c r="AB1727" s="41" t="str">
        <f t="shared" si="307"/>
        <v>#N/A</v>
      </c>
      <c r="AC1727" s="42" t="b">
        <v>0</v>
      </c>
      <c r="AD1727" s="66" t="str">
        <f t="shared" si="308"/>
        <v>USD</v>
      </c>
      <c r="AE1727" s="42"/>
      <c r="AF1727" s="42" t="str">
        <f t="array" ref="AF1727">INDEX('Deal Info'!D:D, MATCH(A1727,'Deal Info'!A:A, 0))</f>
        <v>#N/A</v>
      </c>
      <c r="AG1727" s="43" t="str">
        <f t="array" ref="AG1727">INDEX('Deal Info'!G:G, MATCH(A1727,'Deal Info'!A:A, 0))</f>
        <v>#N/A</v>
      </c>
    </row>
    <row r="1728" hidden="1">
      <c r="A1728" s="23" t="b">
        <f t="array" ref="A1728">if(G1728='Room Info'!$B$1, INDEX('Room Info'!$A$2:$A3446, MATCH(B1728,'Room Info'!$B$2:$B3446, 0)),if(G1728='Room Info'!$C$1, INDEX('Room Info'!$A$2:$A3446, MATCH(B1728,'Room Info'!$C$2:$C3446, 0)),if(G1728='Room Info'!$D$1, INDEX('Room Info'!$A$2:$A3446, MATCH(B1728,'Room Info'!$D$2:$D3446, 0)),if(G1728='Room Info'!$E$1, INDEX('Room Info'!$A$2:$A3446, MATCH(B1728,'Room Info'!$E$2:$E3446, 0)),if(G1728='Room Info'!$F$1, INDEX('Room Info'!$A$2:$A3446, MATCH(B1728,'Room Info'!$F$2:$F3446, 0)),if(G1728='Room Info'!$H$1, INDEX('Room Info'!$A$2:$A3446, MATCH(B1728,'Room Info'!$H$2:$H3446, 0)),if(G1728='Room Info'!$G$1, INDEX('Room Info'!$A$2:$A3446, MATCH(B1728,'Room Info'!$G$2:$G3446, 0)))))))))</f>
        <v>0</v>
      </c>
      <c r="B1728" s="101"/>
      <c r="C1728" s="141"/>
      <c r="D1728" s="141"/>
      <c r="E1728" s="142"/>
      <c r="F1728" s="138"/>
      <c r="G1728" s="101"/>
      <c r="H1728" s="105"/>
      <c r="I1728" s="105"/>
      <c r="J1728" s="44" t="str">
        <f t="shared" si="311"/>
        <v/>
      </c>
      <c r="K1728" s="139"/>
      <c r="L1728" s="140"/>
      <c r="M1728" s="84"/>
      <c r="N1728" s="33">
        <f t="shared" si="276"/>
        <v>0</v>
      </c>
      <c r="O1728" s="101"/>
      <c r="P1728" s="34" t="str">
        <f t="shared" si="277"/>
        <v/>
      </c>
      <c r="Q1728" s="60"/>
      <c r="R1728" s="36">
        <f t="shared" si="312"/>
        <v>0</v>
      </c>
      <c r="S1728" s="102"/>
      <c r="T1728" s="37">
        <f t="shared" si="302"/>
        <v>0</v>
      </c>
      <c r="U1728" s="62"/>
      <c r="V1728" s="63"/>
      <c r="W1728" s="63"/>
      <c r="X1728" s="35" t="str">
        <f t="shared" si="303"/>
        <v>#N/A</v>
      </c>
      <c r="Y1728" s="35" t="str">
        <f t="shared" si="304"/>
        <v>#N/A</v>
      </c>
      <c r="Z1728" s="40" t="str">
        <f t="shared" si="305"/>
        <v>#N/A</v>
      </c>
      <c r="AA1728" s="34" t="str">
        <f t="shared" si="306"/>
        <v>#N/A</v>
      </c>
      <c r="AB1728" s="41" t="str">
        <f t="shared" si="307"/>
        <v>#N/A</v>
      </c>
      <c r="AC1728" s="42" t="b">
        <v>0</v>
      </c>
      <c r="AD1728" s="66" t="str">
        <f t="shared" si="308"/>
        <v>USD</v>
      </c>
      <c r="AE1728" s="42"/>
      <c r="AF1728" s="42" t="str">
        <f t="array" ref="AF1728">INDEX('Deal Info'!D:D, MATCH(A1728,'Deal Info'!A:A, 0))</f>
        <v>#N/A</v>
      </c>
      <c r="AG1728" s="43" t="str">
        <f t="array" ref="AG1728">INDEX('Deal Info'!G:G, MATCH(A1728,'Deal Info'!A:A, 0))</f>
        <v>#N/A</v>
      </c>
    </row>
    <row r="1729" hidden="1">
      <c r="A1729" s="23" t="b">
        <f t="array" ref="A1729">if(G1729='Room Info'!$B$1, INDEX('Room Info'!$A$2:$A3446, MATCH(B1729,'Room Info'!$B$2:$B3446, 0)),if(G1729='Room Info'!$C$1, INDEX('Room Info'!$A$2:$A3446, MATCH(B1729,'Room Info'!$C$2:$C3446, 0)),if(G1729='Room Info'!$D$1, INDEX('Room Info'!$A$2:$A3446, MATCH(B1729,'Room Info'!$D$2:$D3446, 0)),if(G1729='Room Info'!$E$1, INDEX('Room Info'!$A$2:$A3446, MATCH(B1729,'Room Info'!$E$2:$E3446, 0)),if(G1729='Room Info'!$F$1, INDEX('Room Info'!$A$2:$A3446, MATCH(B1729,'Room Info'!$F$2:$F3446, 0)),if(G1729='Room Info'!$H$1, INDEX('Room Info'!$A$2:$A3446, MATCH(B1729,'Room Info'!$H$2:$H3446, 0)),if(G1729='Room Info'!$G$1, INDEX('Room Info'!$A$2:$A3446, MATCH(B1729,'Room Info'!$G$2:$G3446, 0)))))))))</f>
        <v>0</v>
      </c>
      <c r="B1729" s="101"/>
      <c r="C1729" s="141"/>
      <c r="D1729" s="141"/>
      <c r="E1729" s="142"/>
      <c r="F1729" s="138"/>
      <c r="G1729" s="101"/>
      <c r="H1729" s="105"/>
      <c r="I1729" s="105"/>
      <c r="J1729" s="44" t="str">
        <f t="shared" si="311"/>
        <v/>
      </c>
      <c r="K1729" s="139"/>
      <c r="L1729" s="140"/>
      <c r="M1729" s="84"/>
      <c r="N1729" s="33">
        <f t="shared" si="276"/>
        <v>0</v>
      </c>
      <c r="O1729" s="101"/>
      <c r="P1729" s="34" t="str">
        <f t="shared" si="277"/>
        <v/>
      </c>
      <c r="Q1729" s="60"/>
      <c r="R1729" s="36">
        <f t="shared" si="312"/>
        <v>0</v>
      </c>
      <c r="S1729" s="102"/>
      <c r="T1729" s="37">
        <f t="shared" si="302"/>
        <v>0</v>
      </c>
      <c r="U1729" s="62"/>
      <c r="V1729" s="63"/>
      <c r="W1729" s="63"/>
      <c r="X1729" s="35" t="str">
        <f t="shared" si="303"/>
        <v>#N/A</v>
      </c>
      <c r="Y1729" s="35" t="str">
        <f t="shared" si="304"/>
        <v>#N/A</v>
      </c>
      <c r="Z1729" s="40" t="str">
        <f t="shared" si="305"/>
        <v>#N/A</v>
      </c>
      <c r="AA1729" s="34" t="str">
        <f t="shared" si="306"/>
        <v>#N/A</v>
      </c>
      <c r="AB1729" s="41" t="str">
        <f t="shared" si="307"/>
        <v>#N/A</v>
      </c>
      <c r="AC1729" s="42" t="b">
        <v>0</v>
      </c>
      <c r="AD1729" s="66" t="str">
        <f t="shared" si="308"/>
        <v>USD</v>
      </c>
      <c r="AE1729" s="42"/>
      <c r="AF1729" s="42" t="str">
        <f t="array" ref="AF1729">INDEX('Deal Info'!D:D, MATCH(A1729,'Deal Info'!A:A, 0))</f>
        <v>#N/A</v>
      </c>
      <c r="AG1729" s="43" t="str">
        <f t="array" ref="AG1729">INDEX('Deal Info'!G:G, MATCH(A1729,'Deal Info'!A:A, 0))</f>
        <v>#N/A</v>
      </c>
    </row>
    <row r="1730" hidden="1">
      <c r="A1730" s="23" t="b">
        <f t="array" ref="A1730">if(G1730='Room Info'!$B$1, INDEX('Room Info'!$A$2:$A3446, MATCH(B1730,'Room Info'!$B$2:$B3446, 0)),if(G1730='Room Info'!$C$1, INDEX('Room Info'!$A$2:$A3446, MATCH(B1730,'Room Info'!$C$2:$C3446, 0)),if(G1730='Room Info'!$D$1, INDEX('Room Info'!$A$2:$A3446, MATCH(B1730,'Room Info'!$D$2:$D3446, 0)),if(G1730='Room Info'!$E$1, INDEX('Room Info'!$A$2:$A3446, MATCH(B1730,'Room Info'!$E$2:$E3446, 0)),if(G1730='Room Info'!$F$1, INDEX('Room Info'!$A$2:$A3446, MATCH(B1730,'Room Info'!$F$2:$F3446, 0)),if(G1730='Room Info'!$H$1, INDEX('Room Info'!$A$2:$A3446, MATCH(B1730,'Room Info'!$H$2:$H3446, 0)),if(G1730='Room Info'!$G$1, INDEX('Room Info'!$A$2:$A3446, MATCH(B1730,'Room Info'!$G$2:$G3446, 0)))))))))</f>
        <v>0</v>
      </c>
      <c r="B1730" s="101"/>
      <c r="C1730" s="141"/>
      <c r="D1730" s="141"/>
      <c r="E1730" s="142"/>
      <c r="F1730" s="138"/>
      <c r="G1730" s="101"/>
      <c r="H1730" s="105"/>
      <c r="I1730" s="105"/>
      <c r="J1730" s="44" t="str">
        <f t="shared" si="311"/>
        <v/>
      </c>
      <c r="K1730" s="139"/>
      <c r="L1730" s="140"/>
      <c r="M1730" s="84"/>
      <c r="N1730" s="33">
        <f t="shared" si="276"/>
        <v>0</v>
      </c>
      <c r="O1730" s="101"/>
      <c r="P1730" s="34" t="str">
        <f t="shared" si="277"/>
        <v/>
      </c>
      <c r="Q1730" s="60"/>
      <c r="R1730" s="36">
        <f t="shared" si="312"/>
        <v>0</v>
      </c>
      <c r="S1730" s="102"/>
      <c r="T1730" s="37">
        <f t="shared" si="302"/>
        <v>0</v>
      </c>
      <c r="U1730" s="62"/>
      <c r="V1730" s="63"/>
      <c r="W1730" s="63"/>
      <c r="X1730" s="35" t="str">
        <f t="shared" si="303"/>
        <v>#N/A</v>
      </c>
      <c r="Y1730" s="35" t="str">
        <f t="shared" si="304"/>
        <v>#N/A</v>
      </c>
      <c r="Z1730" s="40" t="str">
        <f t="shared" si="305"/>
        <v>#N/A</v>
      </c>
      <c r="AA1730" s="34" t="str">
        <f t="shared" si="306"/>
        <v>#N/A</v>
      </c>
      <c r="AB1730" s="41" t="str">
        <f t="shared" si="307"/>
        <v>#N/A</v>
      </c>
      <c r="AC1730" s="42" t="b">
        <v>0</v>
      </c>
      <c r="AD1730" s="66" t="str">
        <f t="shared" si="308"/>
        <v>USD</v>
      </c>
      <c r="AE1730" s="42"/>
      <c r="AF1730" s="42" t="str">
        <f t="array" ref="AF1730">INDEX('Deal Info'!D:D, MATCH(A1730,'Deal Info'!A:A, 0))</f>
        <v>#N/A</v>
      </c>
      <c r="AG1730" s="43" t="str">
        <f t="array" ref="AG1730">INDEX('Deal Info'!G:G, MATCH(A1730,'Deal Info'!A:A, 0))</f>
        <v>#N/A</v>
      </c>
    </row>
    <row r="1731" hidden="1">
      <c r="A1731" s="23" t="b">
        <f t="array" ref="A1731">if(G1731='Room Info'!$B$1, INDEX('Room Info'!$A$2:$A3446, MATCH(B1731,'Room Info'!$B$2:$B3446, 0)),if(G1731='Room Info'!$C$1, INDEX('Room Info'!$A$2:$A3446, MATCH(B1731,'Room Info'!$C$2:$C3446, 0)),if(G1731='Room Info'!$D$1, INDEX('Room Info'!$A$2:$A3446, MATCH(B1731,'Room Info'!$D$2:$D3446, 0)),if(G1731='Room Info'!$E$1, INDEX('Room Info'!$A$2:$A3446, MATCH(B1731,'Room Info'!$E$2:$E3446, 0)),if(G1731='Room Info'!$F$1, INDEX('Room Info'!$A$2:$A3446, MATCH(B1731,'Room Info'!$F$2:$F3446, 0)),if(G1731='Room Info'!$H$1, INDEX('Room Info'!$A$2:$A3446, MATCH(B1731,'Room Info'!$H$2:$H3446, 0)),if(G1731='Room Info'!$G$1, INDEX('Room Info'!$A$2:$A3446, MATCH(B1731,'Room Info'!$G$2:$G3446, 0)))))))))</f>
        <v>0</v>
      </c>
      <c r="B1731" s="101"/>
      <c r="C1731" s="141"/>
      <c r="D1731" s="141"/>
      <c r="E1731" s="142"/>
      <c r="F1731" s="138"/>
      <c r="G1731" s="101"/>
      <c r="H1731" s="105"/>
      <c r="I1731" s="105"/>
      <c r="J1731" s="44" t="str">
        <f t="shared" si="311"/>
        <v/>
      </c>
      <c r="K1731" s="139"/>
      <c r="L1731" s="140"/>
      <c r="M1731" s="84"/>
      <c r="N1731" s="33">
        <f t="shared" si="276"/>
        <v>0</v>
      </c>
      <c r="O1731" s="101"/>
      <c r="P1731" s="34" t="str">
        <f t="shared" si="277"/>
        <v/>
      </c>
      <c r="Q1731" s="60"/>
      <c r="R1731" s="36">
        <f t="shared" si="312"/>
        <v>0</v>
      </c>
      <c r="S1731" s="102"/>
      <c r="T1731" s="37">
        <f t="shared" si="302"/>
        <v>0</v>
      </c>
      <c r="U1731" s="62"/>
      <c r="V1731" s="63"/>
      <c r="W1731" s="63"/>
      <c r="X1731" s="35" t="str">
        <f t="shared" si="303"/>
        <v>#N/A</v>
      </c>
      <c r="Y1731" s="35" t="str">
        <f t="shared" si="304"/>
        <v>#N/A</v>
      </c>
      <c r="Z1731" s="40" t="str">
        <f t="shared" si="305"/>
        <v>#N/A</v>
      </c>
      <c r="AA1731" s="34" t="str">
        <f t="shared" si="306"/>
        <v>#N/A</v>
      </c>
      <c r="AB1731" s="41" t="str">
        <f t="shared" si="307"/>
        <v>#N/A</v>
      </c>
      <c r="AC1731" s="42" t="b">
        <v>0</v>
      </c>
      <c r="AD1731" s="66" t="str">
        <f t="shared" si="308"/>
        <v>USD</v>
      </c>
      <c r="AE1731" s="42"/>
      <c r="AF1731" s="42" t="str">
        <f t="array" ref="AF1731">INDEX('Deal Info'!D:D, MATCH(A1731,'Deal Info'!A:A, 0))</f>
        <v>#N/A</v>
      </c>
      <c r="AG1731" s="43" t="str">
        <f t="array" ref="AG1731">INDEX('Deal Info'!G:G, MATCH(A1731,'Deal Info'!A:A, 0))</f>
        <v>#N/A</v>
      </c>
    </row>
    <row r="1732" hidden="1">
      <c r="A1732" s="23" t="b">
        <f t="array" ref="A1732">if(G1732='Room Info'!$B$1, INDEX('Room Info'!$A$2:$A3446, MATCH(B1732,'Room Info'!$B$2:$B3446, 0)),if(G1732='Room Info'!$C$1, INDEX('Room Info'!$A$2:$A3446, MATCH(B1732,'Room Info'!$C$2:$C3446, 0)),if(G1732='Room Info'!$D$1, INDEX('Room Info'!$A$2:$A3446, MATCH(B1732,'Room Info'!$D$2:$D3446, 0)),if(G1732='Room Info'!$E$1, INDEX('Room Info'!$A$2:$A3446, MATCH(B1732,'Room Info'!$E$2:$E3446, 0)),if(G1732='Room Info'!$F$1, INDEX('Room Info'!$A$2:$A3446, MATCH(B1732,'Room Info'!$F$2:$F3446, 0)),if(G1732='Room Info'!$H$1, INDEX('Room Info'!$A$2:$A3446, MATCH(B1732,'Room Info'!$H$2:$H3446, 0)),if(G1732='Room Info'!$G$1, INDEX('Room Info'!$A$2:$A3446, MATCH(B1732,'Room Info'!$G$2:$G3446, 0)))))))))</f>
        <v>0</v>
      </c>
      <c r="B1732" s="101"/>
      <c r="C1732" s="115"/>
      <c r="D1732" s="115"/>
      <c r="E1732" s="85"/>
      <c r="F1732" s="101"/>
      <c r="G1732" s="70"/>
      <c r="H1732" s="114"/>
      <c r="I1732" s="114"/>
      <c r="J1732" s="44" t="str">
        <f t="shared" si="311"/>
        <v/>
      </c>
      <c r="K1732" s="116"/>
      <c r="L1732" s="117"/>
      <c r="M1732" s="67"/>
      <c r="N1732" s="33">
        <f t="shared" si="276"/>
        <v>0</v>
      </c>
      <c r="O1732" s="70"/>
      <c r="P1732" s="34" t="str">
        <f t="shared" si="277"/>
        <v/>
      </c>
      <c r="Q1732" s="60"/>
      <c r="R1732" s="36">
        <f t="shared" si="312"/>
        <v>0</v>
      </c>
      <c r="S1732" s="71"/>
      <c r="T1732" s="37">
        <f t="shared" si="302"/>
        <v>0</v>
      </c>
      <c r="U1732" s="62"/>
      <c r="V1732" s="63"/>
      <c r="W1732" s="63"/>
      <c r="X1732" s="35" t="str">
        <f t="shared" si="303"/>
        <v>#N/A</v>
      </c>
      <c r="Y1732" s="35" t="str">
        <f t="shared" si="304"/>
        <v>#N/A</v>
      </c>
      <c r="Z1732" s="40" t="str">
        <f t="shared" si="305"/>
        <v>#N/A</v>
      </c>
      <c r="AA1732" s="34" t="str">
        <f t="shared" si="306"/>
        <v>#N/A</v>
      </c>
      <c r="AB1732" s="41" t="str">
        <f t="shared" si="307"/>
        <v>#N/A</v>
      </c>
      <c r="AC1732" s="42" t="b">
        <v>0</v>
      </c>
      <c r="AD1732" s="66" t="str">
        <f t="shared" si="308"/>
        <v>USD</v>
      </c>
      <c r="AE1732" s="42"/>
      <c r="AF1732" s="42" t="str">
        <f t="array" ref="AF1732">INDEX('Deal Info'!D:D, MATCH(A1732,'Deal Info'!A:A, 0))</f>
        <v>#N/A</v>
      </c>
      <c r="AG1732" s="43" t="str">
        <f t="array" ref="AG1732">INDEX('Deal Info'!G:G, MATCH(A1732,'Deal Info'!A:A, 0))</f>
        <v>#N/A</v>
      </c>
    </row>
    <row r="1733" hidden="1">
      <c r="A1733" s="23" t="b">
        <f t="array" ref="A1733">if(G1733='Room Info'!$B$1, INDEX('Room Info'!$A$2:$A3446, MATCH(B1733,'Room Info'!$B$2:$B3446, 0)),if(G1733='Room Info'!$C$1, INDEX('Room Info'!$A$2:$A3446, MATCH(B1733,'Room Info'!$C$2:$C3446, 0)),if(G1733='Room Info'!$D$1, INDEX('Room Info'!$A$2:$A3446, MATCH(B1733,'Room Info'!$D$2:$D3446, 0)),if(G1733='Room Info'!$E$1, INDEX('Room Info'!$A$2:$A3446, MATCH(B1733,'Room Info'!$E$2:$E3446, 0)),if(G1733='Room Info'!$F$1, INDEX('Room Info'!$A$2:$A3446, MATCH(B1733,'Room Info'!$F$2:$F3446, 0)),if(G1733='Room Info'!$H$1, INDEX('Room Info'!$A$2:$A3446, MATCH(B1733,'Room Info'!$H$2:$H3446, 0)),if(G1733='Room Info'!$G$1, INDEX('Room Info'!$A$2:$A3446, MATCH(B1733,'Room Info'!$G$2:$G3446, 0)))))))))</f>
        <v>0</v>
      </c>
      <c r="B1733" s="101"/>
      <c r="C1733" s="115"/>
      <c r="D1733" s="115"/>
      <c r="E1733" s="85"/>
      <c r="F1733" s="101"/>
      <c r="G1733" s="101"/>
      <c r="H1733" s="105"/>
      <c r="I1733" s="105"/>
      <c r="J1733" s="44" t="str">
        <f t="shared" si="311"/>
        <v/>
      </c>
      <c r="K1733" s="139"/>
      <c r="L1733" s="140"/>
      <c r="M1733" s="67"/>
      <c r="N1733" s="33">
        <f t="shared" si="276"/>
        <v>0</v>
      </c>
      <c r="O1733" s="101"/>
      <c r="P1733" s="34" t="str">
        <f t="shared" si="277"/>
        <v/>
      </c>
      <c r="Q1733" s="60"/>
      <c r="R1733" s="36">
        <f t="shared" si="312"/>
        <v>0</v>
      </c>
      <c r="S1733" s="102"/>
      <c r="T1733" s="37">
        <f t="shared" si="302"/>
        <v>0</v>
      </c>
      <c r="U1733" s="62"/>
      <c r="V1733" s="63"/>
      <c r="W1733" s="63"/>
      <c r="X1733" s="35" t="str">
        <f t="shared" si="303"/>
        <v>#N/A</v>
      </c>
      <c r="Y1733" s="35" t="str">
        <f t="shared" si="304"/>
        <v>#N/A</v>
      </c>
      <c r="Z1733" s="40" t="str">
        <f t="shared" si="305"/>
        <v>#N/A</v>
      </c>
      <c r="AA1733" s="34" t="str">
        <f t="shared" si="306"/>
        <v>#N/A</v>
      </c>
      <c r="AB1733" s="41" t="str">
        <f t="shared" si="307"/>
        <v>#N/A</v>
      </c>
      <c r="AC1733" s="42" t="b">
        <v>0</v>
      </c>
      <c r="AD1733" s="66" t="str">
        <f t="shared" si="308"/>
        <v>USD</v>
      </c>
      <c r="AE1733" s="42"/>
      <c r="AF1733" s="42" t="str">
        <f t="array" ref="AF1733">INDEX('Deal Info'!D:D, MATCH(A1733,'Deal Info'!A:A, 0))</f>
        <v>#N/A</v>
      </c>
      <c r="AG1733" s="43" t="str">
        <f t="array" ref="AG1733">INDEX('Deal Info'!G:G, MATCH(A1733,'Deal Info'!A:A, 0))</f>
        <v>#N/A</v>
      </c>
    </row>
    <row r="1734" hidden="1">
      <c r="A1734" s="23" t="b">
        <f t="array" ref="A1734">if(G1734='Room Info'!$B$1, INDEX('Room Info'!$A$2:$A3446, MATCH(B1734,'Room Info'!$B$2:$B3446, 0)),if(G1734='Room Info'!$C$1, INDEX('Room Info'!$A$2:$A3446, MATCH(B1734,'Room Info'!$C$2:$C3446, 0)),if(G1734='Room Info'!$D$1, INDEX('Room Info'!$A$2:$A3446, MATCH(B1734,'Room Info'!$D$2:$D3446, 0)),if(G1734='Room Info'!$E$1, INDEX('Room Info'!$A$2:$A3446, MATCH(B1734,'Room Info'!$E$2:$E3446, 0)),if(G1734='Room Info'!$F$1, INDEX('Room Info'!$A$2:$A3446, MATCH(B1734,'Room Info'!$F$2:$F3446, 0)),if(G1734='Room Info'!$H$1, INDEX('Room Info'!$A$2:$A3446, MATCH(B1734,'Room Info'!$H$2:$H3446, 0)),if(G1734='Room Info'!$G$1, INDEX('Room Info'!$A$2:$A3446, MATCH(B1734,'Room Info'!$G$2:$G3446, 0)))))))))</f>
        <v>0</v>
      </c>
      <c r="B1734" s="101"/>
      <c r="C1734" s="141"/>
      <c r="D1734" s="141"/>
      <c r="E1734" s="142"/>
      <c r="F1734" s="138"/>
      <c r="G1734" s="101"/>
      <c r="H1734" s="105"/>
      <c r="I1734" s="105"/>
      <c r="J1734" s="44" t="str">
        <f t="shared" si="311"/>
        <v/>
      </c>
      <c r="K1734" s="139"/>
      <c r="L1734" s="140"/>
      <c r="M1734" s="67"/>
      <c r="N1734" s="33">
        <f t="shared" si="276"/>
        <v>0</v>
      </c>
      <c r="O1734" s="101"/>
      <c r="P1734" s="34" t="str">
        <f t="shared" si="277"/>
        <v/>
      </c>
      <c r="Q1734" s="60"/>
      <c r="R1734" s="36">
        <f t="shared" si="312"/>
        <v>0</v>
      </c>
      <c r="S1734" s="102"/>
      <c r="T1734" s="37">
        <f t="shared" si="302"/>
        <v>0</v>
      </c>
      <c r="U1734" s="62"/>
      <c r="V1734" s="63"/>
      <c r="W1734" s="63"/>
      <c r="X1734" s="35" t="str">
        <f t="shared" si="303"/>
        <v>#N/A</v>
      </c>
      <c r="Y1734" s="35" t="str">
        <f t="shared" si="304"/>
        <v>#N/A</v>
      </c>
      <c r="Z1734" s="40" t="str">
        <f t="shared" si="305"/>
        <v>#N/A</v>
      </c>
      <c r="AA1734" s="34" t="str">
        <f t="shared" si="306"/>
        <v>#N/A</v>
      </c>
      <c r="AB1734" s="41" t="str">
        <f t="shared" si="307"/>
        <v>#N/A</v>
      </c>
      <c r="AC1734" s="42" t="b">
        <v>0</v>
      </c>
      <c r="AD1734" s="66" t="str">
        <f t="shared" si="308"/>
        <v>USD</v>
      </c>
      <c r="AE1734" s="42"/>
      <c r="AF1734" s="42" t="str">
        <f t="array" ref="AF1734">INDEX('Deal Info'!D:D, MATCH(A1734,'Deal Info'!A:A, 0))</f>
        <v>#N/A</v>
      </c>
      <c r="AG1734" s="43" t="str">
        <f t="array" ref="AG1734">INDEX('Deal Info'!G:G, MATCH(A1734,'Deal Info'!A:A, 0))</f>
        <v>#N/A</v>
      </c>
    </row>
    <row r="1735" hidden="1">
      <c r="A1735" s="23" t="b">
        <f t="array" ref="A1735">if(G1735='Room Info'!$B$1, INDEX('Room Info'!$A$2:$A3446, MATCH(B1735,'Room Info'!$B$2:$B3446, 0)),if(G1735='Room Info'!$C$1, INDEX('Room Info'!$A$2:$A3446, MATCH(B1735,'Room Info'!$C$2:$C3446, 0)),if(G1735='Room Info'!$D$1, INDEX('Room Info'!$A$2:$A3446, MATCH(B1735,'Room Info'!$D$2:$D3446, 0)),if(G1735='Room Info'!$E$1, INDEX('Room Info'!$A$2:$A3446, MATCH(B1735,'Room Info'!$E$2:$E3446, 0)),if(G1735='Room Info'!$F$1, INDEX('Room Info'!$A$2:$A3446, MATCH(B1735,'Room Info'!$F$2:$F3446, 0)),if(G1735='Room Info'!$H$1, INDEX('Room Info'!$A$2:$A3446, MATCH(B1735,'Room Info'!$H$2:$H3446, 0)),if(G1735='Room Info'!$G$1, INDEX('Room Info'!$A$2:$A3446, MATCH(B1735,'Room Info'!$G$2:$G3446, 0)))))))))</f>
        <v>0</v>
      </c>
      <c r="B1735" s="101"/>
      <c r="C1735" s="141"/>
      <c r="D1735" s="141"/>
      <c r="E1735" s="142"/>
      <c r="F1735" s="138"/>
      <c r="G1735" s="101"/>
      <c r="H1735" s="105"/>
      <c r="I1735" s="105"/>
      <c r="J1735" s="44" t="str">
        <f t="shared" si="311"/>
        <v/>
      </c>
      <c r="K1735" s="139"/>
      <c r="L1735" s="140"/>
      <c r="M1735" s="67"/>
      <c r="N1735" s="33">
        <f t="shared" si="276"/>
        <v>0</v>
      </c>
      <c r="O1735" s="101"/>
      <c r="P1735" s="34" t="str">
        <f t="shared" si="277"/>
        <v/>
      </c>
      <c r="Q1735" s="60"/>
      <c r="R1735" s="36">
        <f t="shared" si="312"/>
        <v>0</v>
      </c>
      <c r="S1735" s="102"/>
      <c r="T1735" s="37">
        <f t="shared" si="302"/>
        <v>0</v>
      </c>
      <c r="U1735" s="62"/>
      <c r="V1735" s="63"/>
      <c r="W1735" s="63"/>
      <c r="X1735" s="35" t="str">
        <f t="shared" si="303"/>
        <v>#N/A</v>
      </c>
      <c r="Y1735" s="35" t="str">
        <f t="shared" si="304"/>
        <v>#N/A</v>
      </c>
      <c r="Z1735" s="40" t="str">
        <f t="shared" si="305"/>
        <v>#N/A</v>
      </c>
      <c r="AA1735" s="34" t="str">
        <f t="shared" si="306"/>
        <v>#N/A</v>
      </c>
      <c r="AB1735" s="41" t="str">
        <f t="shared" si="307"/>
        <v>#N/A</v>
      </c>
      <c r="AC1735" s="42" t="b">
        <v>0</v>
      </c>
      <c r="AD1735" s="66" t="str">
        <f t="shared" si="308"/>
        <v>USD</v>
      </c>
      <c r="AE1735" s="42"/>
      <c r="AF1735" s="42" t="str">
        <f t="array" ref="AF1735">INDEX('Deal Info'!D:D, MATCH(A1735,'Deal Info'!A:A, 0))</f>
        <v>#N/A</v>
      </c>
      <c r="AG1735" s="43" t="str">
        <f t="array" ref="AG1735">INDEX('Deal Info'!G:G, MATCH(A1735,'Deal Info'!A:A, 0))</f>
        <v>#N/A</v>
      </c>
    </row>
    <row r="1736" hidden="1">
      <c r="A1736" s="23" t="b">
        <f t="array" ref="A1736">if(G1736='Room Info'!$B$1, INDEX('Room Info'!$A$2:$A3446, MATCH(B1736,'Room Info'!$B$2:$B3446, 0)),if(G1736='Room Info'!$C$1, INDEX('Room Info'!$A$2:$A3446, MATCH(B1736,'Room Info'!$C$2:$C3446, 0)),if(G1736='Room Info'!$D$1, INDEX('Room Info'!$A$2:$A3446, MATCH(B1736,'Room Info'!$D$2:$D3446, 0)),if(G1736='Room Info'!$E$1, INDEX('Room Info'!$A$2:$A3446, MATCH(B1736,'Room Info'!$E$2:$E3446, 0)),if(G1736='Room Info'!$F$1, INDEX('Room Info'!$A$2:$A3446, MATCH(B1736,'Room Info'!$F$2:$F3446, 0)),if(G1736='Room Info'!$H$1, INDEX('Room Info'!$A$2:$A3446, MATCH(B1736,'Room Info'!$H$2:$H3446, 0)),if(G1736='Room Info'!$G$1, INDEX('Room Info'!$A$2:$A3446, MATCH(B1736,'Room Info'!$G$2:$G3446, 0)))))))))</f>
        <v>0</v>
      </c>
      <c r="B1736" s="101"/>
      <c r="C1736" s="115"/>
      <c r="D1736" s="115"/>
      <c r="E1736" s="85"/>
      <c r="F1736" s="138"/>
      <c r="G1736" s="70"/>
      <c r="H1736" s="114"/>
      <c r="I1736" s="114"/>
      <c r="J1736" s="44" t="str">
        <f t="shared" si="311"/>
        <v/>
      </c>
      <c r="K1736" s="116"/>
      <c r="L1736" s="117"/>
      <c r="M1736" s="67"/>
      <c r="N1736" s="33">
        <f t="shared" si="276"/>
        <v>0</v>
      </c>
      <c r="O1736" s="70"/>
      <c r="P1736" s="34" t="str">
        <f t="shared" si="277"/>
        <v/>
      </c>
      <c r="Q1736" s="60"/>
      <c r="R1736" s="36">
        <f t="shared" si="312"/>
        <v>0</v>
      </c>
      <c r="S1736" s="71"/>
      <c r="T1736" s="37">
        <f t="shared" si="302"/>
        <v>0</v>
      </c>
      <c r="U1736" s="62"/>
      <c r="V1736" s="63"/>
      <c r="W1736" s="63"/>
      <c r="X1736" s="35" t="str">
        <f t="shared" si="303"/>
        <v>#N/A</v>
      </c>
      <c r="Y1736" s="35" t="str">
        <f t="shared" si="304"/>
        <v>#N/A</v>
      </c>
      <c r="Z1736" s="40" t="str">
        <f t="shared" si="305"/>
        <v>#N/A</v>
      </c>
      <c r="AA1736" s="34" t="str">
        <f t="shared" si="306"/>
        <v>#N/A</v>
      </c>
      <c r="AB1736" s="41" t="str">
        <f t="shared" si="307"/>
        <v>#N/A</v>
      </c>
      <c r="AC1736" s="42" t="b">
        <v>0</v>
      </c>
      <c r="AD1736" s="66" t="str">
        <f t="shared" si="308"/>
        <v>USD</v>
      </c>
      <c r="AE1736" s="42"/>
      <c r="AF1736" s="42" t="str">
        <f t="array" ref="AF1736">INDEX('Deal Info'!D:D, MATCH(A1736,'Deal Info'!A:A, 0))</f>
        <v>#N/A</v>
      </c>
      <c r="AG1736" s="43" t="str">
        <f t="array" ref="AG1736">INDEX('Deal Info'!G:G, MATCH(A1736,'Deal Info'!A:A, 0))</f>
        <v>#N/A</v>
      </c>
    </row>
    <row r="1737" hidden="1">
      <c r="A1737" s="23" t="b">
        <f t="array" ref="A1737">if(G1737='Room Info'!$B$1, INDEX('Room Info'!$A$2:$A3446, MATCH(B1737,'Room Info'!$B$2:$B3446, 0)),if(G1737='Room Info'!$C$1, INDEX('Room Info'!$A$2:$A3446, MATCH(B1737,'Room Info'!$C$2:$C3446, 0)),if(G1737='Room Info'!$D$1, INDEX('Room Info'!$A$2:$A3446, MATCH(B1737,'Room Info'!$D$2:$D3446, 0)),if(G1737='Room Info'!$E$1, INDEX('Room Info'!$A$2:$A3446, MATCH(B1737,'Room Info'!$E$2:$E3446, 0)),if(G1737='Room Info'!$F$1, INDEX('Room Info'!$A$2:$A3446, MATCH(B1737,'Room Info'!$F$2:$F3446, 0)),if(G1737='Room Info'!$H$1, INDEX('Room Info'!$A$2:$A3446, MATCH(B1737,'Room Info'!$H$2:$H3446, 0)),if(G1737='Room Info'!$G$1, INDEX('Room Info'!$A$2:$A3446, MATCH(B1737,'Room Info'!$G$2:$G3446, 0)))))))))</f>
        <v>0</v>
      </c>
      <c r="B1737" s="101"/>
      <c r="C1737" s="115"/>
      <c r="D1737" s="115"/>
      <c r="E1737" s="85"/>
      <c r="F1737" s="138"/>
      <c r="G1737" s="70"/>
      <c r="H1737" s="114"/>
      <c r="I1737" s="114"/>
      <c r="J1737" s="44" t="str">
        <f t="shared" si="311"/>
        <v/>
      </c>
      <c r="K1737" s="116"/>
      <c r="L1737" s="117"/>
      <c r="M1737" s="67"/>
      <c r="N1737" s="33">
        <f t="shared" si="276"/>
        <v>0</v>
      </c>
      <c r="O1737" s="70"/>
      <c r="P1737" s="34" t="str">
        <f t="shared" si="277"/>
        <v/>
      </c>
      <c r="Q1737" s="60"/>
      <c r="R1737" s="36">
        <f t="shared" si="312"/>
        <v>0</v>
      </c>
      <c r="S1737" s="71"/>
      <c r="T1737" s="37">
        <f t="shared" si="302"/>
        <v>0</v>
      </c>
      <c r="U1737" s="62"/>
      <c r="V1737" s="63"/>
      <c r="W1737" s="63"/>
      <c r="X1737" s="35" t="str">
        <f t="shared" si="303"/>
        <v>#N/A</v>
      </c>
      <c r="Y1737" s="35" t="str">
        <f t="shared" si="304"/>
        <v>#N/A</v>
      </c>
      <c r="Z1737" s="40" t="str">
        <f t="shared" si="305"/>
        <v>#N/A</v>
      </c>
      <c r="AA1737" s="34" t="str">
        <f t="shared" si="306"/>
        <v>#N/A</v>
      </c>
      <c r="AB1737" s="41" t="str">
        <f t="shared" si="307"/>
        <v>#N/A</v>
      </c>
      <c r="AC1737" s="42" t="b">
        <v>0</v>
      </c>
      <c r="AD1737" s="66" t="str">
        <f t="shared" si="308"/>
        <v>USD</v>
      </c>
      <c r="AE1737" s="42"/>
      <c r="AF1737" s="42" t="str">
        <f t="array" ref="AF1737">INDEX('Deal Info'!D:D, MATCH(A1737,'Deal Info'!A:A, 0))</f>
        <v>#N/A</v>
      </c>
      <c r="AG1737" s="43" t="str">
        <f t="array" ref="AG1737">INDEX('Deal Info'!G:G, MATCH(A1737,'Deal Info'!A:A, 0))</f>
        <v>#N/A</v>
      </c>
    </row>
    <row r="1738" hidden="1">
      <c r="A1738" s="23" t="b">
        <f t="array" ref="A1738">if(G1738='Room Info'!$B$1, INDEX('Room Info'!$A$2:$A3446, MATCH(B1738,'Room Info'!$B$2:$B3446, 0)),if(G1738='Room Info'!$C$1, INDEX('Room Info'!$A$2:$A3446, MATCH(B1738,'Room Info'!$C$2:$C3446, 0)),if(G1738='Room Info'!$D$1, INDEX('Room Info'!$A$2:$A3446, MATCH(B1738,'Room Info'!$D$2:$D3446, 0)),if(G1738='Room Info'!$E$1, INDEX('Room Info'!$A$2:$A3446, MATCH(B1738,'Room Info'!$E$2:$E3446, 0)),if(G1738='Room Info'!$F$1, INDEX('Room Info'!$A$2:$A3446, MATCH(B1738,'Room Info'!$F$2:$F3446, 0)),if(G1738='Room Info'!$H$1, INDEX('Room Info'!$A$2:$A3446, MATCH(B1738,'Room Info'!$H$2:$H3446, 0)),if(G1738='Room Info'!$G$1, INDEX('Room Info'!$A$2:$A3446, MATCH(B1738,'Room Info'!$G$2:$G3446, 0)))))))))</f>
        <v>0</v>
      </c>
      <c r="B1738" s="101"/>
      <c r="C1738" s="115"/>
      <c r="D1738" s="115"/>
      <c r="E1738" s="85"/>
      <c r="F1738" s="138"/>
      <c r="G1738" s="70"/>
      <c r="H1738" s="114"/>
      <c r="I1738" s="114"/>
      <c r="J1738" s="44" t="str">
        <f t="shared" si="311"/>
        <v/>
      </c>
      <c r="K1738" s="116"/>
      <c r="L1738" s="117"/>
      <c r="M1738" s="67"/>
      <c r="N1738" s="33">
        <f t="shared" si="276"/>
        <v>0</v>
      </c>
      <c r="O1738" s="70"/>
      <c r="P1738" s="34" t="str">
        <f t="shared" si="277"/>
        <v/>
      </c>
      <c r="Q1738" s="60"/>
      <c r="R1738" s="36">
        <f t="shared" si="312"/>
        <v>0</v>
      </c>
      <c r="S1738" s="71"/>
      <c r="T1738" s="37">
        <f t="shared" si="302"/>
        <v>0</v>
      </c>
      <c r="U1738" s="62"/>
      <c r="V1738" s="63"/>
      <c r="W1738" s="63"/>
      <c r="X1738" s="35" t="str">
        <f t="shared" si="303"/>
        <v>#N/A</v>
      </c>
      <c r="Y1738" s="35" t="str">
        <f t="shared" si="304"/>
        <v>#N/A</v>
      </c>
      <c r="Z1738" s="40" t="str">
        <f t="shared" si="305"/>
        <v>#N/A</v>
      </c>
      <c r="AA1738" s="34" t="str">
        <f t="shared" si="306"/>
        <v>#N/A</v>
      </c>
      <c r="AB1738" s="41" t="str">
        <f t="shared" si="307"/>
        <v>#N/A</v>
      </c>
      <c r="AC1738" s="42" t="b">
        <v>0</v>
      </c>
      <c r="AD1738" s="66" t="str">
        <f t="shared" si="308"/>
        <v>USD</v>
      </c>
      <c r="AE1738" s="42"/>
      <c r="AF1738" s="42" t="str">
        <f t="array" ref="AF1738">INDEX('Deal Info'!D:D, MATCH(A1738,'Deal Info'!A:A, 0))</f>
        <v>#N/A</v>
      </c>
      <c r="AG1738" s="43" t="str">
        <f t="array" ref="AG1738">INDEX('Deal Info'!G:G, MATCH(A1738,'Deal Info'!A:A, 0))</f>
        <v>#N/A</v>
      </c>
    </row>
    <row r="1739" hidden="1">
      <c r="A1739" s="23" t="b">
        <f t="array" ref="A1739">if(G1739='Room Info'!$B$1, INDEX('Room Info'!$A$2:$A3446, MATCH(B1739,'Room Info'!$B$2:$B3446, 0)),if(G1739='Room Info'!$C$1, INDEX('Room Info'!$A$2:$A3446, MATCH(B1739,'Room Info'!$C$2:$C3446, 0)),if(G1739='Room Info'!$D$1, INDEX('Room Info'!$A$2:$A3446, MATCH(B1739,'Room Info'!$D$2:$D3446, 0)),if(G1739='Room Info'!$E$1, INDEX('Room Info'!$A$2:$A3446, MATCH(B1739,'Room Info'!$E$2:$E3446, 0)),if(G1739='Room Info'!$F$1, INDEX('Room Info'!$A$2:$A3446, MATCH(B1739,'Room Info'!$F$2:$F3446, 0)),if(G1739='Room Info'!$H$1, INDEX('Room Info'!$A$2:$A3446, MATCH(B1739,'Room Info'!$H$2:$H3446, 0)),if(G1739='Room Info'!$G$1, INDEX('Room Info'!$A$2:$A3446, MATCH(B1739,'Room Info'!$G$2:$G3446, 0)))))))))</f>
        <v>0</v>
      </c>
      <c r="B1739" s="101"/>
      <c r="C1739" s="115"/>
      <c r="D1739" s="115"/>
      <c r="E1739" s="85"/>
      <c r="F1739" s="138"/>
      <c r="G1739" s="70"/>
      <c r="H1739" s="114"/>
      <c r="I1739" s="114"/>
      <c r="J1739" s="44" t="str">
        <f t="shared" si="311"/>
        <v/>
      </c>
      <c r="K1739" s="116"/>
      <c r="L1739" s="117"/>
      <c r="M1739" s="67"/>
      <c r="N1739" s="33">
        <f t="shared" si="276"/>
        <v>0</v>
      </c>
      <c r="O1739" s="70"/>
      <c r="P1739" s="34" t="str">
        <f t="shared" si="277"/>
        <v/>
      </c>
      <c r="Q1739" s="60"/>
      <c r="R1739" s="36">
        <f t="shared" si="312"/>
        <v>0</v>
      </c>
      <c r="S1739" s="71"/>
      <c r="T1739" s="37">
        <f t="shared" si="302"/>
        <v>0</v>
      </c>
      <c r="U1739" s="62"/>
      <c r="V1739" s="63"/>
      <c r="W1739" s="63"/>
      <c r="X1739" s="35" t="str">
        <f t="shared" si="303"/>
        <v>#N/A</v>
      </c>
      <c r="Y1739" s="35" t="str">
        <f t="shared" si="304"/>
        <v>#N/A</v>
      </c>
      <c r="Z1739" s="40" t="str">
        <f t="shared" si="305"/>
        <v>#N/A</v>
      </c>
      <c r="AA1739" s="34" t="str">
        <f t="shared" si="306"/>
        <v>#N/A</v>
      </c>
      <c r="AB1739" s="41" t="str">
        <f t="shared" si="307"/>
        <v>#N/A</v>
      </c>
      <c r="AC1739" s="42" t="b">
        <v>0</v>
      </c>
      <c r="AD1739" s="66" t="str">
        <f t="shared" si="308"/>
        <v>USD</v>
      </c>
      <c r="AE1739" s="42"/>
      <c r="AF1739" s="42" t="str">
        <f t="array" ref="AF1739">INDEX('Deal Info'!D:D, MATCH(A1739,'Deal Info'!A:A, 0))</f>
        <v>#N/A</v>
      </c>
      <c r="AG1739" s="43" t="str">
        <f t="array" ref="AG1739">INDEX('Deal Info'!G:G, MATCH(A1739,'Deal Info'!A:A, 0))</f>
        <v>#N/A</v>
      </c>
    </row>
    <row r="1740" hidden="1">
      <c r="A1740" s="23" t="b">
        <f t="array" ref="A1740">if(G1740='Room Info'!$B$1, INDEX('Room Info'!$A$2:$A3446, MATCH(B1740,'Room Info'!$B$2:$B3446, 0)),if(G1740='Room Info'!$C$1, INDEX('Room Info'!$A$2:$A3446, MATCH(B1740,'Room Info'!$C$2:$C3446, 0)),if(G1740='Room Info'!$D$1, INDEX('Room Info'!$A$2:$A3446, MATCH(B1740,'Room Info'!$D$2:$D3446, 0)),if(G1740='Room Info'!$E$1, INDEX('Room Info'!$A$2:$A3446, MATCH(B1740,'Room Info'!$E$2:$E3446, 0)),if(G1740='Room Info'!$F$1, INDEX('Room Info'!$A$2:$A3446, MATCH(B1740,'Room Info'!$F$2:$F3446, 0)),if(G1740='Room Info'!$H$1, INDEX('Room Info'!$A$2:$A3446, MATCH(B1740,'Room Info'!$H$2:$H3446, 0)),if(G1740='Room Info'!$G$1, INDEX('Room Info'!$A$2:$A3446, MATCH(B1740,'Room Info'!$G$2:$G3446, 0)))))))))</f>
        <v>0</v>
      </c>
      <c r="B1740" s="101"/>
      <c r="C1740" s="141"/>
      <c r="D1740" s="141"/>
      <c r="E1740" s="142"/>
      <c r="F1740" s="138"/>
      <c r="G1740" s="101"/>
      <c r="H1740" s="105"/>
      <c r="I1740" s="105"/>
      <c r="J1740" s="44" t="str">
        <f t="shared" si="311"/>
        <v/>
      </c>
      <c r="K1740" s="139"/>
      <c r="L1740" s="140"/>
      <c r="M1740" s="84"/>
      <c r="N1740" s="33">
        <f t="shared" si="276"/>
        <v>0</v>
      </c>
      <c r="O1740" s="101"/>
      <c r="P1740" s="34" t="str">
        <f t="shared" si="277"/>
        <v/>
      </c>
      <c r="Q1740" s="60"/>
      <c r="R1740" s="36">
        <f t="shared" si="312"/>
        <v>0</v>
      </c>
      <c r="S1740" s="102"/>
      <c r="T1740" s="37">
        <f t="shared" si="302"/>
        <v>0</v>
      </c>
      <c r="U1740" s="62"/>
      <c r="V1740" s="63"/>
      <c r="W1740" s="63"/>
      <c r="X1740" s="35" t="str">
        <f t="shared" si="303"/>
        <v>#N/A</v>
      </c>
      <c r="Y1740" s="35" t="str">
        <f t="shared" si="304"/>
        <v>#N/A</v>
      </c>
      <c r="Z1740" s="40" t="str">
        <f t="shared" si="305"/>
        <v>#N/A</v>
      </c>
      <c r="AA1740" s="34" t="str">
        <f t="shared" si="306"/>
        <v>#N/A</v>
      </c>
      <c r="AB1740" s="41" t="str">
        <f t="shared" si="307"/>
        <v>#N/A</v>
      </c>
      <c r="AC1740" s="42" t="b">
        <v>0</v>
      </c>
      <c r="AD1740" s="66" t="str">
        <f t="shared" si="308"/>
        <v>USD</v>
      </c>
      <c r="AE1740" s="42"/>
      <c r="AF1740" s="42" t="str">
        <f t="array" ref="AF1740">INDEX('Deal Info'!D:D, MATCH(A1740,'Deal Info'!A:A, 0))</f>
        <v>#N/A</v>
      </c>
      <c r="AG1740" s="43" t="str">
        <f t="array" ref="AG1740">INDEX('Deal Info'!G:G, MATCH(A1740,'Deal Info'!A:A, 0))</f>
        <v>#N/A</v>
      </c>
    </row>
    <row r="1741" hidden="1">
      <c r="A1741" s="23" t="b">
        <f t="array" ref="A1741">if(G1741='Room Info'!$B$1, INDEX('Room Info'!$A$2:$A3446, MATCH(B1741,'Room Info'!$B$2:$B3446, 0)),if(G1741='Room Info'!$C$1, INDEX('Room Info'!$A$2:$A3446, MATCH(B1741,'Room Info'!$C$2:$C3446, 0)),if(G1741='Room Info'!$D$1, INDEX('Room Info'!$A$2:$A3446, MATCH(B1741,'Room Info'!$D$2:$D3446, 0)),if(G1741='Room Info'!$E$1, INDEX('Room Info'!$A$2:$A3446, MATCH(B1741,'Room Info'!$E$2:$E3446, 0)),if(G1741='Room Info'!$F$1, INDEX('Room Info'!$A$2:$A3446, MATCH(B1741,'Room Info'!$F$2:$F3446, 0)),if(G1741='Room Info'!$H$1, INDEX('Room Info'!$A$2:$A3446, MATCH(B1741,'Room Info'!$H$2:$H3446, 0)),if(G1741='Room Info'!$G$1, INDEX('Room Info'!$A$2:$A3446, MATCH(B1741,'Room Info'!$G$2:$G3446, 0)))))))))</f>
        <v>0</v>
      </c>
      <c r="B1741" s="101"/>
      <c r="C1741" s="141"/>
      <c r="D1741" s="141"/>
      <c r="E1741" s="142"/>
      <c r="F1741" s="138"/>
      <c r="G1741" s="101"/>
      <c r="H1741" s="105"/>
      <c r="I1741" s="105"/>
      <c r="J1741" s="44" t="str">
        <f t="shared" si="311"/>
        <v/>
      </c>
      <c r="K1741" s="139"/>
      <c r="L1741" s="140"/>
      <c r="M1741" s="84"/>
      <c r="N1741" s="33">
        <f t="shared" si="276"/>
        <v>0</v>
      </c>
      <c r="O1741" s="101"/>
      <c r="P1741" s="34" t="str">
        <f t="shared" si="277"/>
        <v/>
      </c>
      <c r="Q1741" s="60"/>
      <c r="R1741" s="36">
        <f t="shared" si="312"/>
        <v>0</v>
      </c>
      <c r="S1741" s="102"/>
      <c r="T1741" s="37">
        <f t="shared" si="302"/>
        <v>0</v>
      </c>
      <c r="U1741" s="62"/>
      <c r="V1741" s="63"/>
      <c r="W1741" s="63"/>
      <c r="X1741" s="35" t="str">
        <f t="shared" si="303"/>
        <v>#N/A</v>
      </c>
      <c r="Y1741" s="35" t="str">
        <f t="shared" si="304"/>
        <v>#N/A</v>
      </c>
      <c r="Z1741" s="40" t="str">
        <f t="shared" si="305"/>
        <v>#N/A</v>
      </c>
      <c r="AA1741" s="34" t="str">
        <f t="shared" si="306"/>
        <v>#N/A</v>
      </c>
      <c r="AB1741" s="41" t="str">
        <f t="shared" si="307"/>
        <v>#N/A</v>
      </c>
      <c r="AC1741" s="42" t="b">
        <v>0</v>
      </c>
      <c r="AD1741" s="66" t="str">
        <f t="shared" si="308"/>
        <v>USD</v>
      </c>
      <c r="AE1741" s="42"/>
      <c r="AF1741" s="42" t="str">
        <f t="array" ref="AF1741">INDEX('Deal Info'!D:D, MATCH(A1741,'Deal Info'!A:A, 0))</f>
        <v>#N/A</v>
      </c>
      <c r="AG1741" s="43" t="str">
        <f t="array" ref="AG1741">INDEX('Deal Info'!G:G, MATCH(A1741,'Deal Info'!A:A, 0))</f>
        <v>#N/A</v>
      </c>
    </row>
    <row r="1742" hidden="1">
      <c r="A1742" s="23" t="b">
        <f t="array" ref="A1742">if(G1742='Room Info'!$B$1, INDEX('Room Info'!$A$2:$A3446, MATCH(B1742,'Room Info'!$B$2:$B3446, 0)),if(G1742='Room Info'!$C$1, INDEX('Room Info'!$A$2:$A3446, MATCH(B1742,'Room Info'!$C$2:$C3446, 0)),if(G1742='Room Info'!$D$1, INDEX('Room Info'!$A$2:$A3446, MATCH(B1742,'Room Info'!$D$2:$D3446, 0)),if(G1742='Room Info'!$E$1, INDEX('Room Info'!$A$2:$A3446, MATCH(B1742,'Room Info'!$E$2:$E3446, 0)),if(G1742='Room Info'!$F$1, INDEX('Room Info'!$A$2:$A3446, MATCH(B1742,'Room Info'!$F$2:$F3446, 0)),if(G1742='Room Info'!$H$1, INDEX('Room Info'!$A$2:$A3446, MATCH(B1742,'Room Info'!$H$2:$H3446, 0)),if(G1742='Room Info'!$G$1, INDEX('Room Info'!$A$2:$A3446, MATCH(B1742,'Room Info'!$G$2:$G3446, 0)))))))))</f>
        <v>0</v>
      </c>
      <c r="B1742" s="101"/>
      <c r="C1742" s="141"/>
      <c r="D1742" s="141"/>
      <c r="E1742" s="142"/>
      <c r="F1742" s="138"/>
      <c r="G1742" s="101"/>
      <c r="H1742" s="105"/>
      <c r="I1742" s="105"/>
      <c r="J1742" s="44" t="str">
        <f t="shared" si="311"/>
        <v/>
      </c>
      <c r="K1742" s="139"/>
      <c r="L1742" s="140"/>
      <c r="M1742" s="84"/>
      <c r="N1742" s="33">
        <f t="shared" si="276"/>
        <v>0</v>
      </c>
      <c r="O1742" s="101"/>
      <c r="P1742" s="34" t="str">
        <f t="shared" si="277"/>
        <v/>
      </c>
      <c r="Q1742" s="60"/>
      <c r="R1742" s="36">
        <f t="shared" si="312"/>
        <v>0</v>
      </c>
      <c r="S1742" s="102"/>
      <c r="T1742" s="37">
        <f t="shared" si="302"/>
        <v>0</v>
      </c>
      <c r="U1742" s="62"/>
      <c r="V1742" s="63"/>
      <c r="W1742" s="63"/>
      <c r="X1742" s="35" t="str">
        <f t="shared" si="303"/>
        <v>#N/A</v>
      </c>
      <c r="Y1742" s="35" t="str">
        <f t="shared" si="304"/>
        <v>#N/A</v>
      </c>
      <c r="Z1742" s="40" t="str">
        <f t="shared" si="305"/>
        <v>#N/A</v>
      </c>
      <c r="AA1742" s="34" t="str">
        <f t="shared" si="306"/>
        <v>#N/A</v>
      </c>
      <c r="AB1742" s="41" t="str">
        <f t="shared" si="307"/>
        <v>#N/A</v>
      </c>
      <c r="AC1742" s="42" t="b">
        <v>0</v>
      </c>
      <c r="AD1742" s="66" t="str">
        <f t="shared" si="308"/>
        <v>USD</v>
      </c>
      <c r="AE1742" s="42"/>
      <c r="AF1742" s="42" t="str">
        <f t="array" ref="AF1742">INDEX('Deal Info'!D:D, MATCH(A1742,'Deal Info'!A:A, 0))</f>
        <v>#N/A</v>
      </c>
      <c r="AG1742" s="43" t="str">
        <f t="array" ref="AG1742">INDEX('Deal Info'!G:G, MATCH(A1742,'Deal Info'!A:A, 0))</f>
        <v>#N/A</v>
      </c>
    </row>
    <row r="1743" hidden="1">
      <c r="A1743" s="23" t="b">
        <f t="array" ref="A1743">if(G1743='Room Info'!$B$1, INDEX('Room Info'!$A$2:$A3446, MATCH(B1743,'Room Info'!$B$2:$B3446, 0)),if(G1743='Room Info'!$C$1, INDEX('Room Info'!$A$2:$A3446, MATCH(B1743,'Room Info'!$C$2:$C3446, 0)),if(G1743='Room Info'!$D$1, INDEX('Room Info'!$A$2:$A3446, MATCH(B1743,'Room Info'!$D$2:$D3446, 0)),if(G1743='Room Info'!$E$1, INDEX('Room Info'!$A$2:$A3446, MATCH(B1743,'Room Info'!$E$2:$E3446, 0)),if(G1743='Room Info'!$F$1, INDEX('Room Info'!$A$2:$A3446, MATCH(B1743,'Room Info'!$F$2:$F3446, 0)),if(G1743='Room Info'!$H$1, INDEX('Room Info'!$A$2:$A3446, MATCH(B1743,'Room Info'!$H$2:$H3446, 0)),if(G1743='Room Info'!$G$1, INDEX('Room Info'!$A$2:$A3446, MATCH(B1743,'Room Info'!$G$2:$G3446, 0)))))))))</f>
        <v>0</v>
      </c>
      <c r="B1743" s="101"/>
      <c r="C1743" s="115"/>
      <c r="D1743" s="115"/>
      <c r="E1743" s="85"/>
      <c r="F1743" s="138"/>
      <c r="G1743" s="101"/>
      <c r="H1743" s="114"/>
      <c r="I1743" s="114"/>
      <c r="J1743" s="44" t="str">
        <f t="shared" si="311"/>
        <v/>
      </c>
      <c r="K1743" s="116"/>
      <c r="L1743" s="117"/>
      <c r="M1743" s="67"/>
      <c r="N1743" s="33">
        <f t="shared" si="276"/>
        <v>0</v>
      </c>
      <c r="O1743" s="70"/>
      <c r="P1743" s="34" t="str">
        <f t="shared" si="277"/>
        <v/>
      </c>
      <c r="Q1743" s="60"/>
      <c r="R1743" s="36">
        <f t="shared" si="312"/>
        <v>0</v>
      </c>
      <c r="S1743" s="71"/>
      <c r="T1743" s="37">
        <f t="shared" si="302"/>
        <v>0</v>
      </c>
      <c r="U1743" s="62"/>
      <c r="V1743" s="63"/>
      <c r="W1743" s="63"/>
      <c r="X1743" s="35" t="str">
        <f t="shared" si="303"/>
        <v>#N/A</v>
      </c>
      <c r="Y1743" s="35" t="str">
        <f t="shared" si="304"/>
        <v>#N/A</v>
      </c>
      <c r="Z1743" s="40" t="str">
        <f t="shared" si="305"/>
        <v>#N/A</v>
      </c>
      <c r="AA1743" s="34" t="str">
        <f t="shared" si="306"/>
        <v>#N/A</v>
      </c>
      <c r="AB1743" s="41" t="str">
        <f t="shared" si="307"/>
        <v>#N/A</v>
      </c>
      <c r="AC1743" s="42" t="b">
        <v>0</v>
      </c>
      <c r="AD1743" s="66" t="str">
        <f t="shared" si="308"/>
        <v>USD</v>
      </c>
      <c r="AE1743" s="42"/>
      <c r="AF1743" s="42" t="str">
        <f t="array" ref="AF1743">INDEX('Deal Info'!D:D, MATCH(A1743,'Deal Info'!A:A, 0))</f>
        <v>#N/A</v>
      </c>
      <c r="AG1743" s="43" t="str">
        <f t="array" ref="AG1743">INDEX('Deal Info'!G:G, MATCH(A1743,'Deal Info'!A:A, 0))</f>
        <v>#N/A</v>
      </c>
    </row>
    <row r="1744" hidden="1">
      <c r="A1744" s="23" t="b">
        <f t="array" ref="A1744">if(G1744='Room Info'!$B$1, INDEX('Room Info'!$A$2:$A3446, MATCH(B1744,'Room Info'!$B$2:$B3446, 0)),if(G1744='Room Info'!$C$1, INDEX('Room Info'!$A$2:$A3446, MATCH(B1744,'Room Info'!$C$2:$C3446, 0)),if(G1744='Room Info'!$D$1, INDEX('Room Info'!$A$2:$A3446, MATCH(B1744,'Room Info'!$D$2:$D3446, 0)),if(G1744='Room Info'!$E$1, INDEX('Room Info'!$A$2:$A3446, MATCH(B1744,'Room Info'!$E$2:$E3446, 0)),if(G1744='Room Info'!$F$1, INDEX('Room Info'!$A$2:$A3446, MATCH(B1744,'Room Info'!$F$2:$F3446, 0)),if(G1744='Room Info'!$H$1, INDEX('Room Info'!$A$2:$A3446, MATCH(B1744,'Room Info'!$H$2:$H3446, 0)),if(G1744='Room Info'!$G$1, INDEX('Room Info'!$A$2:$A3446, MATCH(B1744,'Room Info'!$G$2:$G3446, 0)))))))))</f>
        <v>0</v>
      </c>
      <c r="B1744" s="101"/>
      <c r="C1744" s="115"/>
      <c r="D1744" s="115"/>
      <c r="E1744" s="85"/>
      <c r="F1744" s="138"/>
      <c r="G1744" s="101"/>
      <c r="H1744" s="114"/>
      <c r="I1744" s="114"/>
      <c r="J1744" s="44" t="str">
        <f t="shared" si="311"/>
        <v/>
      </c>
      <c r="K1744" s="116"/>
      <c r="L1744" s="117"/>
      <c r="M1744" s="67"/>
      <c r="N1744" s="33">
        <f t="shared" si="276"/>
        <v>0</v>
      </c>
      <c r="O1744" s="70"/>
      <c r="P1744" s="34" t="str">
        <f t="shared" si="277"/>
        <v/>
      </c>
      <c r="Q1744" s="60"/>
      <c r="R1744" s="36">
        <f t="shared" si="312"/>
        <v>0</v>
      </c>
      <c r="S1744" s="71"/>
      <c r="T1744" s="37">
        <f t="shared" si="302"/>
        <v>0</v>
      </c>
      <c r="U1744" s="62"/>
      <c r="V1744" s="63"/>
      <c r="W1744" s="63"/>
      <c r="X1744" s="35" t="str">
        <f t="shared" si="303"/>
        <v>#N/A</v>
      </c>
      <c r="Y1744" s="35" t="str">
        <f t="shared" si="304"/>
        <v>#N/A</v>
      </c>
      <c r="Z1744" s="40" t="str">
        <f t="shared" si="305"/>
        <v>#N/A</v>
      </c>
      <c r="AA1744" s="34" t="str">
        <f t="shared" si="306"/>
        <v>#N/A</v>
      </c>
      <c r="AB1744" s="41" t="str">
        <f t="shared" si="307"/>
        <v>#N/A</v>
      </c>
      <c r="AC1744" s="42" t="b">
        <v>0</v>
      </c>
      <c r="AD1744" s="66" t="str">
        <f t="shared" si="308"/>
        <v>USD</v>
      </c>
      <c r="AE1744" s="42"/>
      <c r="AF1744" s="42" t="str">
        <f t="array" ref="AF1744">INDEX('Deal Info'!D:D, MATCH(A1744,'Deal Info'!A:A, 0))</f>
        <v>#N/A</v>
      </c>
      <c r="AG1744" s="43" t="str">
        <f t="array" ref="AG1744">INDEX('Deal Info'!G:G, MATCH(A1744,'Deal Info'!A:A, 0))</f>
        <v>#N/A</v>
      </c>
    </row>
    <row r="1745" hidden="1">
      <c r="A1745" s="23" t="b">
        <f t="array" ref="A1745">if(G1745='Room Info'!$B$1, INDEX('Room Info'!$A$2:$A3446, MATCH(B1745,'Room Info'!$B$2:$B3446, 0)),if(G1745='Room Info'!$C$1, INDEX('Room Info'!$A$2:$A3446, MATCH(B1745,'Room Info'!$C$2:$C3446, 0)),if(G1745='Room Info'!$D$1, INDEX('Room Info'!$A$2:$A3446, MATCH(B1745,'Room Info'!$D$2:$D3446, 0)),if(G1745='Room Info'!$E$1, INDEX('Room Info'!$A$2:$A3446, MATCH(B1745,'Room Info'!$E$2:$E3446, 0)),if(G1745='Room Info'!$F$1, INDEX('Room Info'!$A$2:$A3446, MATCH(B1745,'Room Info'!$F$2:$F3446, 0)),if(G1745='Room Info'!$H$1, INDEX('Room Info'!$A$2:$A3446, MATCH(B1745,'Room Info'!$H$2:$H3446, 0)),if(G1745='Room Info'!$G$1, INDEX('Room Info'!$A$2:$A3446, MATCH(B1745,'Room Info'!$G$2:$G3446, 0)))))))))</f>
        <v>0</v>
      </c>
      <c r="B1745" s="101"/>
      <c r="C1745" s="115"/>
      <c r="D1745" s="115"/>
      <c r="E1745" s="85"/>
      <c r="F1745" s="138"/>
      <c r="G1745" s="101"/>
      <c r="H1745" s="114"/>
      <c r="I1745" s="114"/>
      <c r="J1745" s="44" t="str">
        <f t="shared" si="311"/>
        <v/>
      </c>
      <c r="K1745" s="116"/>
      <c r="L1745" s="117"/>
      <c r="M1745" s="67"/>
      <c r="N1745" s="33">
        <f t="shared" si="276"/>
        <v>0</v>
      </c>
      <c r="O1745" s="70"/>
      <c r="P1745" s="34" t="str">
        <f t="shared" si="277"/>
        <v/>
      </c>
      <c r="Q1745" s="60"/>
      <c r="R1745" s="36">
        <f t="shared" si="312"/>
        <v>0</v>
      </c>
      <c r="S1745" s="71"/>
      <c r="T1745" s="37">
        <f t="shared" si="302"/>
        <v>0</v>
      </c>
      <c r="U1745" s="62"/>
      <c r="V1745" s="63"/>
      <c r="W1745" s="63"/>
      <c r="X1745" s="35" t="str">
        <f t="shared" si="303"/>
        <v>#N/A</v>
      </c>
      <c r="Y1745" s="35" t="str">
        <f t="shared" si="304"/>
        <v>#N/A</v>
      </c>
      <c r="Z1745" s="40" t="str">
        <f t="shared" si="305"/>
        <v>#N/A</v>
      </c>
      <c r="AA1745" s="34" t="str">
        <f t="shared" si="306"/>
        <v>#N/A</v>
      </c>
      <c r="AB1745" s="41" t="str">
        <f t="shared" si="307"/>
        <v>#N/A</v>
      </c>
      <c r="AC1745" s="42" t="b">
        <v>0</v>
      </c>
      <c r="AD1745" s="66" t="str">
        <f t="shared" si="308"/>
        <v>USD</v>
      </c>
      <c r="AE1745" s="42"/>
      <c r="AF1745" s="42" t="str">
        <f t="array" ref="AF1745">INDEX('Deal Info'!D:D, MATCH(A1745,'Deal Info'!A:A, 0))</f>
        <v>#N/A</v>
      </c>
      <c r="AG1745" s="43" t="str">
        <f t="array" ref="AG1745">INDEX('Deal Info'!G:G, MATCH(A1745,'Deal Info'!A:A, 0))</f>
        <v>#N/A</v>
      </c>
    </row>
    <row r="1746" hidden="1">
      <c r="A1746" s="23" t="b">
        <f t="array" ref="A1746">if(G1746='Room Info'!$B$1, INDEX('Room Info'!$A$2:$A3446, MATCH(B1746,'Room Info'!$B$2:$B3446, 0)),if(G1746='Room Info'!$C$1, INDEX('Room Info'!$A$2:$A3446, MATCH(B1746,'Room Info'!$C$2:$C3446, 0)),if(G1746='Room Info'!$D$1, INDEX('Room Info'!$A$2:$A3446, MATCH(B1746,'Room Info'!$D$2:$D3446, 0)),if(G1746='Room Info'!$E$1, INDEX('Room Info'!$A$2:$A3446, MATCH(B1746,'Room Info'!$E$2:$E3446, 0)),if(G1746='Room Info'!$F$1, INDEX('Room Info'!$A$2:$A3446, MATCH(B1746,'Room Info'!$F$2:$F3446, 0)),if(G1746='Room Info'!$H$1, INDEX('Room Info'!$A$2:$A3446, MATCH(B1746,'Room Info'!$H$2:$H3446, 0)),if(G1746='Room Info'!$G$1, INDEX('Room Info'!$A$2:$A3446, MATCH(B1746,'Room Info'!$G$2:$G3446, 0)))))))))</f>
        <v>0</v>
      </c>
      <c r="B1746" s="101"/>
      <c r="C1746" s="115"/>
      <c r="D1746" s="115"/>
      <c r="E1746" s="85"/>
      <c r="F1746" s="138"/>
      <c r="G1746" s="101"/>
      <c r="H1746" s="114"/>
      <c r="I1746" s="114"/>
      <c r="J1746" s="44" t="str">
        <f t="shared" si="311"/>
        <v/>
      </c>
      <c r="K1746" s="116"/>
      <c r="L1746" s="117"/>
      <c r="M1746" s="67"/>
      <c r="N1746" s="33">
        <f t="shared" si="276"/>
        <v>0</v>
      </c>
      <c r="O1746" s="70"/>
      <c r="P1746" s="34" t="str">
        <f t="shared" si="277"/>
        <v/>
      </c>
      <c r="Q1746" s="60"/>
      <c r="R1746" s="36">
        <f t="shared" si="312"/>
        <v>0</v>
      </c>
      <c r="S1746" s="71"/>
      <c r="T1746" s="37">
        <f t="shared" si="302"/>
        <v>0</v>
      </c>
      <c r="U1746" s="62"/>
      <c r="V1746" s="63"/>
      <c r="W1746" s="63"/>
      <c r="X1746" s="35" t="str">
        <f t="shared" si="303"/>
        <v>#N/A</v>
      </c>
      <c r="Y1746" s="35" t="str">
        <f t="shared" si="304"/>
        <v>#N/A</v>
      </c>
      <c r="Z1746" s="40" t="str">
        <f t="shared" si="305"/>
        <v>#N/A</v>
      </c>
      <c r="AA1746" s="34" t="str">
        <f t="shared" si="306"/>
        <v>#N/A</v>
      </c>
      <c r="AB1746" s="41" t="str">
        <f t="shared" si="307"/>
        <v>#N/A</v>
      </c>
      <c r="AC1746" s="42" t="b">
        <v>0</v>
      </c>
      <c r="AD1746" s="66" t="str">
        <f t="shared" si="308"/>
        <v>USD</v>
      </c>
      <c r="AE1746" s="42"/>
      <c r="AF1746" s="42" t="str">
        <f t="array" ref="AF1746">INDEX('Deal Info'!D:D, MATCH(A1746,'Deal Info'!A:A, 0))</f>
        <v>#N/A</v>
      </c>
      <c r="AG1746" s="43" t="str">
        <f t="array" ref="AG1746">INDEX('Deal Info'!G:G, MATCH(A1746,'Deal Info'!A:A, 0))</f>
        <v>#N/A</v>
      </c>
    </row>
    <row r="1747" hidden="1">
      <c r="A1747" s="23" t="b">
        <f t="array" ref="A1747">if(G1747='Room Info'!$B$1, INDEX('Room Info'!$A$2:$A3446, MATCH(B1747,'Room Info'!$B$2:$B3446, 0)),if(G1747='Room Info'!$C$1, INDEX('Room Info'!$A$2:$A3446, MATCH(B1747,'Room Info'!$C$2:$C3446, 0)),if(G1747='Room Info'!$D$1, INDEX('Room Info'!$A$2:$A3446, MATCH(B1747,'Room Info'!$D$2:$D3446, 0)),if(G1747='Room Info'!$E$1, INDEX('Room Info'!$A$2:$A3446, MATCH(B1747,'Room Info'!$E$2:$E3446, 0)),if(G1747='Room Info'!$F$1, INDEX('Room Info'!$A$2:$A3446, MATCH(B1747,'Room Info'!$F$2:$F3446, 0)),if(G1747='Room Info'!$H$1, INDEX('Room Info'!$A$2:$A3446, MATCH(B1747,'Room Info'!$H$2:$H3446, 0)),if(G1747='Room Info'!$G$1, INDEX('Room Info'!$A$2:$A3446, MATCH(B1747,'Room Info'!$G$2:$G3446, 0)))))))))</f>
        <v>0</v>
      </c>
      <c r="B1747" s="101"/>
      <c r="C1747" s="115"/>
      <c r="D1747" s="115"/>
      <c r="E1747" s="85"/>
      <c r="F1747" s="138"/>
      <c r="G1747" s="101"/>
      <c r="H1747" s="114"/>
      <c r="I1747" s="114"/>
      <c r="J1747" s="44" t="str">
        <f t="shared" si="311"/>
        <v/>
      </c>
      <c r="K1747" s="116"/>
      <c r="L1747" s="117"/>
      <c r="M1747" s="67"/>
      <c r="N1747" s="33">
        <f t="shared" si="276"/>
        <v>0</v>
      </c>
      <c r="O1747" s="70"/>
      <c r="P1747" s="34" t="str">
        <f t="shared" si="277"/>
        <v/>
      </c>
      <c r="Q1747" s="60"/>
      <c r="R1747" s="36">
        <f t="shared" si="312"/>
        <v>0</v>
      </c>
      <c r="S1747" s="71"/>
      <c r="T1747" s="37">
        <f t="shared" si="302"/>
        <v>0</v>
      </c>
      <c r="U1747" s="62"/>
      <c r="V1747" s="63"/>
      <c r="W1747" s="63"/>
      <c r="X1747" s="35" t="str">
        <f t="shared" si="303"/>
        <v>#N/A</v>
      </c>
      <c r="Y1747" s="35" t="str">
        <f t="shared" si="304"/>
        <v>#N/A</v>
      </c>
      <c r="Z1747" s="40" t="str">
        <f t="shared" si="305"/>
        <v>#N/A</v>
      </c>
      <c r="AA1747" s="34" t="str">
        <f t="shared" si="306"/>
        <v>#N/A</v>
      </c>
      <c r="AB1747" s="41" t="str">
        <f t="shared" si="307"/>
        <v>#N/A</v>
      </c>
      <c r="AC1747" s="42" t="b">
        <v>0</v>
      </c>
      <c r="AD1747" s="66" t="str">
        <f t="shared" si="308"/>
        <v>USD</v>
      </c>
      <c r="AE1747" s="42"/>
      <c r="AF1747" s="42" t="str">
        <f t="array" ref="AF1747">INDEX('Deal Info'!D:D, MATCH(A1747,'Deal Info'!A:A, 0))</f>
        <v>#N/A</v>
      </c>
      <c r="AG1747" s="43" t="str">
        <f t="array" ref="AG1747">INDEX('Deal Info'!G:G, MATCH(A1747,'Deal Info'!A:A, 0))</f>
        <v>#N/A</v>
      </c>
    </row>
    <row r="1748" hidden="1">
      <c r="A1748" s="23" t="b">
        <f t="array" ref="A1748">if(G1748='Room Info'!$B$1, INDEX('Room Info'!$A$2:$A3446, MATCH(B1748,'Room Info'!$B$2:$B3446, 0)),if(G1748='Room Info'!$C$1, INDEX('Room Info'!$A$2:$A3446, MATCH(B1748,'Room Info'!$C$2:$C3446, 0)),if(G1748='Room Info'!$D$1, INDEX('Room Info'!$A$2:$A3446, MATCH(B1748,'Room Info'!$D$2:$D3446, 0)),if(G1748='Room Info'!$E$1, INDEX('Room Info'!$A$2:$A3446, MATCH(B1748,'Room Info'!$E$2:$E3446, 0)),if(G1748='Room Info'!$F$1, INDEX('Room Info'!$A$2:$A3446, MATCH(B1748,'Room Info'!$F$2:$F3446, 0)),if(G1748='Room Info'!$H$1, INDEX('Room Info'!$A$2:$A3446, MATCH(B1748,'Room Info'!$H$2:$H3446, 0)),if(G1748='Room Info'!$G$1, INDEX('Room Info'!$A$2:$A3446, MATCH(B1748,'Room Info'!$G$2:$G3446, 0)))))))))</f>
        <v>0</v>
      </c>
      <c r="B1748" s="101"/>
      <c r="C1748" s="115"/>
      <c r="D1748" s="115"/>
      <c r="E1748" s="85"/>
      <c r="F1748" s="138"/>
      <c r="G1748" s="101"/>
      <c r="H1748" s="114"/>
      <c r="I1748" s="114"/>
      <c r="J1748" s="44" t="str">
        <f t="shared" si="311"/>
        <v/>
      </c>
      <c r="K1748" s="116"/>
      <c r="L1748" s="117"/>
      <c r="M1748" s="67"/>
      <c r="N1748" s="33">
        <f t="shared" si="276"/>
        <v>0</v>
      </c>
      <c r="O1748" s="70"/>
      <c r="P1748" s="34" t="str">
        <f t="shared" si="277"/>
        <v/>
      </c>
      <c r="Q1748" s="60"/>
      <c r="R1748" s="36">
        <f t="shared" si="312"/>
        <v>0</v>
      </c>
      <c r="S1748" s="71"/>
      <c r="T1748" s="37">
        <f t="shared" si="302"/>
        <v>0</v>
      </c>
      <c r="U1748" s="62"/>
      <c r="V1748" s="63"/>
      <c r="W1748" s="63"/>
      <c r="X1748" s="35" t="str">
        <f t="shared" si="303"/>
        <v>#N/A</v>
      </c>
      <c r="Y1748" s="35" t="str">
        <f t="shared" si="304"/>
        <v>#N/A</v>
      </c>
      <c r="Z1748" s="40" t="str">
        <f t="shared" si="305"/>
        <v>#N/A</v>
      </c>
      <c r="AA1748" s="34" t="str">
        <f t="shared" si="306"/>
        <v>#N/A</v>
      </c>
      <c r="AB1748" s="41" t="str">
        <f t="shared" si="307"/>
        <v>#N/A</v>
      </c>
      <c r="AC1748" s="42" t="b">
        <v>0</v>
      </c>
      <c r="AD1748" s="66" t="str">
        <f t="shared" si="308"/>
        <v>USD</v>
      </c>
      <c r="AE1748" s="42"/>
      <c r="AF1748" s="42" t="str">
        <f t="array" ref="AF1748">INDEX('Deal Info'!D:D, MATCH(A1748,'Deal Info'!A:A, 0))</f>
        <v>#N/A</v>
      </c>
      <c r="AG1748" s="43" t="str">
        <f t="array" ref="AG1748">INDEX('Deal Info'!G:G, MATCH(A1748,'Deal Info'!A:A, 0))</f>
        <v>#N/A</v>
      </c>
    </row>
    <row r="1749" hidden="1">
      <c r="A1749" s="23" t="b">
        <f t="array" ref="A1749">if(G1749='Room Info'!$B$1, INDEX('Room Info'!$A$2:$A3446, MATCH(B1749,'Room Info'!$B$2:$B3446, 0)),if(G1749='Room Info'!$C$1, INDEX('Room Info'!$A$2:$A3446, MATCH(B1749,'Room Info'!$C$2:$C3446, 0)),if(G1749='Room Info'!$D$1, INDEX('Room Info'!$A$2:$A3446, MATCH(B1749,'Room Info'!$D$2:$D3446, 0)),if(G1749='Room Info'!$E$1, INDEX('Room Info'!$A$2:$A3446, MATCH(B1749,'Room Info'!$E$2:$E3446, 0)),if(G1749='Room Info'!$F$1, INDEX('Room Info'!$A$2:$A3446, MATCH(B1749,'Room Info'!$F$2:$F3446, 0)),if(G1749='Room Info'!$H$1, INDEX('Room Info'!$A$2:$A3446, MATCH(B1749,'Room Info'!$H$2:$H3446, 0)),if(G1749='Room Info'!$G$1, INDEX('Room Info'!$A$2:$A3446, MATCH(B1749,'Room Info'!$G$2:$G3446, 0)))))))))</f>
        <v>0</v>
      </c>
      <c r="B1749" s="101"/>
      <c r="C1749" s="115"/>
      <c r="D1749" s="115"/>
      <c r="E1749" s="85"/>
      <c r="F1749" s="101"/>
      <c r="G1749" s="70"/>
      <c r="H1749" s="114"/>
      <c r="I1749" s="114"/>
      <c r="J1749" s="44" t="str">
        <f t="shared" si="311"/>
        <v/>
      </c>
      <c r="K1749" s="116"/>
      <c r="L1749" s="117"/>
      <c r="M1749" s="67"/>
      <c r="N1749" s="33">
        <f t="shared" si="276"/>
        <v>0</v>
      </c>
      <c r="O1749" s="70"/>
      <c r="P1749" s="34" t="str">
        <f t="shared" si="277"/>
        <v/>
      </c>
      <c r="Q1749" s="60"/>
      <c r="R1749" s="36">
        <f t="shared" si="312"/>
        <v>0</v>
      </c>
      <c r="S1749" s="71"/>
      <c r="T1749" s="37">
        <f t="shared" si="302"/>
        <v>0</v>
      </c>
      <c r="U1749" s="62"/>
      <c r="V1749" s="63"/>
      <c r="W1749" s="63"/>
      <c r="X1749" s="35" t="str">
        <f t="shared" si="303"/>
        <v>#N/A</v>
      </c>
      <c r="Y1749" s="35" t="str">
        <f t="shared" si="304"/>
        <v>#N/A</v>
      </c>
      <c r="Z1749" s="40" t="str">
        <f t="shared" si="305"/>
        <v>#N/A</v>
      </c>
      <c r="AA1749" s="34" t="str">
        <f t="shared" si="306"/>
        <v>#N/A</v>
      </c>
      <c r="AB1749" s="41" t="str">
        <f t="shared" si="307"/>
        <v>#N/A</v>
      </c>
      <c r="AC1749" s="42" t="b">
        <v>0</v>
      </c>
      <c r="AD1749" s="66" t="str">
        <f t="shared" si="308"/>
        <v>USD</v>
      </c>
      <c r="AE1749" s="42"/>
      <c r="AF1749" s="42" t="str">
        <f t="array" ref="AF1749">INDEX('Deal Info'!D:D, MATCH(A1749,'Deal Info'!A:A, 0))</f>
        <v>#N/A</v>
      </c>
      <c r="AG1749" s="43" t="str">
        <f t="array" ref="AG1749">INDEX('Deal Info'!G:G, MATCH(A1749,'Deal Info'!A:A, 0))</f>
        <v>#N/A</v>
      </c>
    </row>
    <row r="1750" hidden="1">
      <c r="A1750" s="23" t="b">
        <f t="array" ref="A1750">if(G1750='Room Info'!$B$1, INDEX('Room Info'!$A$2:$A3446, MATCH(B1750,'Room Info'!$B$2:$B3446, 0)),if(G1750='Room Info'!$C$1, INDEX('Room Info'!$A$2:$A3446, MATCH(B1750,'Room Info'!$C$2:$C3446, 0)),if(G1750='Room Info'!$D$1, INDEX('Room Info'!$A$2:$A3446, MATCH(B1750,'Room Info'!$D$2:$D3446, 0)),if(G1750='Room Info'!$E$1, INDEX('Room Info'!$A$2:$A3446, MATCH(B1750,'Room Info'!$E$2:$E3446, 0)),if(G1750='Room Info'!$F$1, INDEX('Room Info'!$A$2:$A3446, MATCH(B1750,'Room Info'!$F$2:$F3446, 0)),if(G1750='Room Info'!$H$1, INDEX('Room Info'!$A$2:$A3446, MATCH(B1750,'Room Info'!$H$2:$H3446, 0)),if(G1750='Room Info'!$G$1, INDEX('Room Info'!$A$2:$A3446, MATCH(B1750,'Room Info'!$G$2:$G3446, 0)))))))))</f>
        <v>0</v>
      </c>
      <c r="B1750" s="101"/>
      <c r="C1750" s="141"/>
      <c r="D1750" s="141"/>
      <c r="E1750" s="142"/>
      <c r="F1750" s="138"/>
      <c r="G1750" s="101"/>
      <c r="H1750" s="105"/>
      <c r="I1750" s="105"/>
      <c r="J1750" s="44" t="str">
        <f t="shared" si="311"/>
        <v/>
      </c>
      <c r="K1750" s="139"/>
      <c r="L1750" s="140"/>
      <c r="M1750" s="84"/>
      <c r="N1750" s="33">
        <f t="shared" si="276"/>
        <v>0</v>
      </c>
      <c r="O1750" s="101"/>
      <c r="P1750" s="34" t="str">
        <f t="shared" si="277"/>
        <v/>
      </c>
      <c r="Q1750" s="60"/>
      <c r="R1750" s="36">
        <f t="shared" si="312"/>
        <v>0</v>
      </c>
      <c r="S1750" s="102"/>
      <c r="T1750" s="37">
        <f t="shared" si="302"/>
        <v>0</v>
      </c>
      <c r="U1750" s="62"/>
      <c r="V1750" s="63"/>
      <c r="W1750" s="63"/>
      <c r="X1750" s="35" t="str">
        <f t="shared" si="303"/>
        <v>#N/A</v>
      </c>
      <c r="Y1750" s="35" t="str">
        <f t="shared" si="304"/>
        <v>#N/A</v>
      </c>
      <c r="Z1750" s="40" t="str">
        <f t="shared" si="305"/>
        <v>#N/A</v>
      </c>
      <c r="AA1750" s="34" t="str">
        <f t="shared" si="306"/>
        <v>#N/A</v>
      </c>
      <c r="AB1750" s="41" t="str">
        <f t="shared" si="307"/>
        <v>#N/A</v>
      </c>
      <c r="AC1750" s="42" t="b">
        <v>0</v>
      </c>
      <c r="AD1750" s="66" t="str">
        <f t="shared" si="308"/>
        <v>USD</v>
      </c>
      <c r="AE1750" s="42"/>
      <c r="AF1750" s="42" t="str">
        <f t="array" ref="AF1750">INDEX('Deal Info'!D:D, MATCH(A1750,'Deal Info'!A:A, 0))</f>
        <v>#N/A</v>
      </c>
      <c r="AG1750" s="43" t="str">
        <f t="array" ref="AG1750">INDEX('Deal Info'!G:G, MATCH(A1750,'Deal Info'!A:A, 0))</f>
        <v>#N/A</v>
      </c>
    </row>
    <row r="1751" hidden="1">
      <c r="A1751" s="23" t="b">
        <f t="array" ref="A1751">if(G1751='Room Info'!$B$1, INDEX('Room Info'!$A$2:$A3446, MATCH(B1751,'Room Info'!$B$2:$B3446, 0)),if(G1751='Room Info'!$C$1, INDEX('Room Info'!$A$2:$A3446, MATCH(B1751,'Room Info'!$C$2:$C3446, 0)),if(G1751='Room Info'!$D$1, INDEX('Room Info'!$A$2:$A3446, MATCH(B1751,'Room Info'!$D$2:$D3446, 0)),if(G1751='Room Info'!$E$1, INDEX('Room Info'!$A$2:$A3446, MATCH(B1751,'Room Info'!$E$2:$E3446, 0)),if(G1751='Room Info'!$F$1, INDEX('Room Info'!$A$2:$A3446, MATCH(B1751,'Room Info'!$F$2:$F3446, 0)),if(G1751='Room Info'!$H$1, INDEX('Room Info'!$A$2:$A3446, MATCH(B1751,'Room Info'!$H$2:$H3446, 0)),if(G1751='Room Info'!$G$1, INDEX('Room Info'!$A$2:$A3446, MATCH(B1751,'Room Info'!$G$2:$G3446, 0)))))))))</f>
        <v>0</v>
      </c>
      <c r="B1751" s="101"/>
      <c r="C1751" s="141"/>
      <c r="D1751" s="141"/>
      <c r="E1751" s="142"/>
      <c r="F1751" s="138"/>
      <c r="G1751" s="101"/>
      <c r="H1751" s="105"/>
      <c r="I1751" s="105"/>
      <c r="J1751" s="44" t="str">
        <f t="shared" si="311"/>
        <v/>
      </c>
      <c r="K1751" s="139"/>
      <c r="L1751" s="140"/>
      <c r="M1751" s="84"/>
      <c r="N1751" s="33">
        <f t="shared" si="276"/>
        <v>0</v>
      </c>
      <c r="O1751" s="101"/>
      <c r="P1751" s="34" t="str">
        <f t="shared" si="277"/>
        <v/>
      </c>
      <c r="Q1751" s="60"/>
      <c r="R1751" s="36">
        <f t="shared" si="312"/>
        <v>0</v>
      </c>
      <c r="S1751" s="102"/>
      <c r="T1751" s="37">
        <f t="shared" si="302"/>
        <v>0</v>
      </c>
      <c r="U1751" s="62"/>
      <c r="V1751" s="63"/>
      <c r="W1751" s="63"/>
      <c r="X1751" s="35" t="str">
        <f t="shared" si="303"/>
        <v>#N/A</v>
      </c>
      <c r="Y1751" s="35" t="str">
        <f t="shared" si="304"/>
        <v>#N/A</v>
      </c>
      <c r="Z1751" s="40" t="str">
        <f t="shared" si="305"/>
        <v>#N/A</v>
      </c>
      <c r="AA1751" s="34" t="str">
        <f t="shared" si="306"/>
        <v>#N/A</v>
      </c>
      <c r="AB1751" s="41" t="str">
        <f t="shared" si="307"/>
        <v>#N/A</v>
      </c>
      <c r="AC1751" s="42" t="b">
        <v>0</v>
      </c>
      <c r="AD1751" s="66" t="str">
        <f t="shared" si="308"/>
        <v>USD</v>
      </c>
      <c r="AE1751" s="42"/>
      <c r="AF1751" s="42" t="str">
        <f t="array" ref="AF1751">INDEX('Deal Info'!D:D, MATCH(A1751,'Deal Info'!A:A, 0))</f>
        <v>#N/A</v>
      </c>
      <c r="AG1751" s="43" t="str">
        <f t="array" ref="AG1751">INDEX('Deal Info'!G:G, MATCH(A1751,'Deal Info'!A:A, 0))</f>
        <v>#N/A</v>
      </c>
    </row>
    <row r="1752" hidden="1">
      <c r="A1752" s="23" t="b">
        <f t="array" ref="A1752">if(G1752='Room Info'!$B$1, INDEX('Room Info'!$A$2:$A3446, MATCH(B1752,'Room Info'!$B$2:$B3446, 0)),if(G1752='Room Info'!$C$1, INDEX('Room Info'!$A$2:$A3446, MATCH(B1752,'Room Info'!$C$2:$C3446, 0)),if(G1752='Room Info'!$D$1, INDEX('Room Info'!$A$2:$A3446, MATCH(B1752,'Room Info'!$D$2:$D3446, 0)),if(G1752='Room Info'!$E$1, INDEX('Room Info'!$A$2:$A3446, MATCH(B1752,'Room Info'!$E$2:$E3446, 0)),if(G1752='Room Info'!$F$1, INDEX('Room Info'!$A$2:$A3446, MATCH(B1752,'Room Info'!$F$2:$F3446, 0)),if(G1752='Room Info'!$H$1, INDEX('Room Info'!$A$2:$A3446, MATCH(B1752,'Room Info'!$H$2:$H3446, 0)),if(G1752='Room Info'!$G$1, INDEX('Room Info'!$A$2:$A3446, MATCH(B1752,'Room Info'!$G$2:$G3446, 0)))))))))</f>
        <v>0</v>
      </c>
      <c r="B1752" s="101"/>
      <c r="C1752" s="141"/>
      <c r="D1752" s="141"/>
      <c r="E1752" s="142"/>
      <c r="F1752" s="138"/>
      <c r="G1752" s="101"/>
      <c r="H1752" s="114"/>
      <c r="I1752" s="114"/>
      <c r="J1752" s="44" t="str">
        <f t="shared" si="311"/>
        <v/>
      </c>
      <c r="K1752" s="139"/>
      <c r="L1752" s="140"/>
      <c r="M1752" s="84"/>
      <c r="N1752" s="33">
        <f t="shared" si="276"/>
        <v>0</v>
      </c>
      <c r="O1752" s="101"/>
      <c r="P1752" s="34" t="str">
        <f t="shared" si="277"/>
        <v/>
      </c>
      <c r="Q1752" s="60"/>
      <c r="R1752" s="36">
        <f t="shared" si="312"/>
        <v>0</v>
      </c>
      <c r="S1752" s="102"/>
      <c r="T1752" s="37">
        <f t="shared" si="302"/>
        <v>0</v>
      </c>
      <c r="U1752" s="62"/>
      <c r="V1752" s="63"/>
      <c r="W1752" s="63"/>
      <c r="X1752" s="35" t="str">
        <f t="shared" si="303"/>
        <v>#N/A</v>
      </c>
      <c r="Y1752" s="35" t="str">
        <f t="shared" si="304"/>
        <v>#N/A</v>
      </c>
      <c r="Z1752" s="40" t="str">
        <f t="shared" si="305"/>
        <v>#N/A</v>
      </c>
      <c r="AA1752" s="34" t="str">
        <f t="shared" si="306"/>
        <v>#N/A</v>
      </c>
      <c r="AB1752" s="41" t="str">
        <f t="shared" si="307"/>
        <v>#N/A</v>
      </c>
      <c r="AC1752" s="42" t="b">
        <v>0</v>
      </c>
      <c r="AD1752" s="66" t="str">
        <f t="shared" si="308"/>
        <v>USD</v>
      </c>
      <c r="AE1752" s="42"/>
      <c r="AF1752" s="42" t="str">
        <f t="array" ref="AF1752">INDEX('Deal Info'!D:D, MATCH(A1752,'Deal Info'!A:A, 0))</f>
        <v>#N/A</v>
      </c>
      <c r="AG1752" s="43" t="str">
        <f t="array" ref="AG1752">INDEX('Deal Info'!G:G, MATCH(A1752,'Deal Info'!A:A, 0))</f>
        <v>#N/A</v>
      </c>
    </row>
    <row r="1753" hidden="1">
      <c r="A1753" s="23" t="b">
        <f t="array" ref="A1753">if(G1753='Room Info'!$B$1, INDEX('Room Info'!$A$2:$A3446, MATCH(B1753,'Room Info'!$B$2:$B3446, 0)),if(G1753='Room Info'!$C$1, INDEX('Room Info'!$A$2:$A3446, MATCH(B1753,'Room Info'!$C$2:$C3446, 0)),if(G1753='Room Info'!$D$1, INDEX('Room Info'!$A$2:$A3446, MATCH(B1753,'Room Info'!$D$2:$D3446, 0)),if(G1753='Room Info'!$E$1, INDEX('Room Info'!$A$2:$A3446, MATCH(B1753,'Room Info'!$E$2:$E3446, 0)),if(G1753='Room Info'!$F$1, INDEX('Room Info'!$A$2:$A3446, MATCH(B1753,'Room Info'!$F$2:$F3446, 0)),if(G1753='Room Info'!$H$1, INDEX('Room Info'!$A$2:$A3446, MATCH(B1753,'Room Info'!$H$2:$H3446, 0)),if(G1753='Room Info'!$G$1, INDEX('Room Info'!$A$2:$A3446, MATCH(B1753,'Room Info'!$G$2:$G3446, 0)))))))))</f>
        <v>0</v>
      </c>
      <c r="B1753" s="101"/>
      <c r="C1753" s="141"/>
      <c r="D1753" s="141"/>
      <c r="E1753" s="142"/>
      <c r="F1753" s="138"/>
      <c r="G1753" s="70"/>
      <c r="H1753" s="105"/>
      <c r="I1753" s="105"/>
      <c r="J1753" s="44" t="str">
        <f t="shared" si="311"/>
        <v/>
      </c>
      <c r="K1753" s="139"/>
      <c r="L1753" s="140"/>
      <c r="M1753" s="67"/>
      <c r="N1753" s="33">
        <f t="shared" si="276"/>
        <v>0</v>
      </c>
      <c r="O1753" s="101"/>
      <c r="P1753" s="34" t="str">
        <f t="shared" si="277"/>
        <v/>
      </c>
      <c r="Q1753" s="60"/>
      <c r="R1753" s="36">
        <f t="shared" si="312"/>
        <v>0</v>
      </c>
      <c r="S1753" s="102"/>
      <c r="T1753" s="37">
        <f t="shared" si="302"/>
        <v>0</v>
      </c>
      <c r="U1753" s="62"/>
      <c r="V1753" s="63"/>
      <c r="W1753" s="63"/>
      <c r="X1753" s="35" t="str">
        <f t="shared" si="303"/>
        <v>#N/A</v>
      </c>
      <c r="Y1753" s="35" t="str">
        <f t="shared" si="304"/>
        <v>#N/A</v>
      </c>
      <c r="Z1753" s="40" t="str">
        <f t="shared" si="305"/>
        <v>#N/A</v>
      </c>
      <c r="AA1753" s="34" t="str">
        <f t="shared" si="306"/>
        <v>#N/A</v>
      </c>
      <c r="AB1753" s="41" t="str">
        <f t="shared" si="307"/>
        <v>#N/A</v>
      </c>
      <c r="AC1753" s="42" t="b">
        <v>0</v>
      </c>
      <c r="AD1753" s="66" t="str">
        <f t="shared" si="308"/>
        <v>USD</v>
      </c>
      <c r="AE1753" s="42"/>
      <c r="AF1753" s="42" t="str">
        <f t="array" ref="AF1753">INDEX('Deal Info'!D:D, MATCH(A1753,'Deal Info'!A:A, 0))</f>
        <v>#N/A</v>
      </c>
      <c r="AG1753" s="43" t="str">
        <f t="array" ref="AG1753">INDEX('Deal Info'!G:G, MATCH(A1753,'Deal Info'!A:A, 0))</f>
        <v>#N/A</v>
      </c>
    </row>
    <row r="1754" hidden="1">
      <c r="A1754" s="23" t="b">
        <f t="array" ref="A1754">if(G1754='Room Info'!$B$1, INDEX('Room Info'!$A$2:$A3446, MATCH(B1754,'Room Info'!$B$2:$B3446, 0)),if(G1754='Room Info'!$C$1, INDEX('Room Info'!$A$2:$A3446, MATCH(B1754,'Room Info'!$C$2:$C3446, 0)),if(G1754='Room Info'!$D$1, INDEX('Room Info'!$A$2:$A3446, MATCH(B1754,'Room Info'!$D$2:$D3446, 0)),if(G1754='Room Info'!$E$1, INDEX('Room Info'!$A$2:$A3446, MATCH(B1754,'Room Info'!$E$2:$E3446, 0)),if(G1754='Room Info'!$F$1, INDEX('Room Info'!$A$2:$A3446, MATCH(B1754,'Room Info'!$F$2:$F3446, 0)),if(G1754='Room Info'!$H$1, INDEX('Room Info'!$A$2:$A3446, MATCH(B1754,'Room Info'!$H$2:$H3446, 0)),if(G1754='Room Info'!$G$1, INDEX('Room Info'!$A$2:$A3446, MATCH(B1754,'Room Info'!$G$2:$G3446, 0)))))))))</f>
        <v>0</v>
      </c>
      <c r="B1754" s="101"/>
      <c r="C1754" s="115"/>
      <c r="D1754" s="115"/>
      <c r="E1754" s="85"/>
      <c r="F1754" s="101"/>
      <c r="G1754" s="70"/>
      <c r="H1754" s="114"/>
      <c r="I1754" s="114"/>
      <c r="J1754" s="44" t="str">
        <f t="shared" si="311"/>
        <v/>
      </c>
      <c r="K1754" s="116"/>
      <c r="L1754" s="117"/>
      <c r="M1754" s="67"/>
      <c r="N1754" s="33">
        <f t="shared" si="276"/>
        <v>0</v>
      </c>
      <c r="O1754" s="70"/>
      <c r="P1754" s="34" t="str">
        <f t="shared" si="277"/>
        <v/>
      </c>
      <c r="Q1754" s="60"/>
      <c r="R1754" s="36">
        <f t="shared" si="312"/>
        <v>0</v>
      </c>
      <c r="S1754" s="71"/>
      <c r="T1754" s="37">
        <f t="shared" si="302"/>
        <v>0</v>
      </c>
      <c r="U1754" s="62"/>
      <c r="V1754" s="63"/>
      <c r="W1754" s="63"/>
      <c r="X1754" s="35" t="str">
        <f t="shared" si="303"/>
        <v>#N/A</v>
      </c>
      <c r="Y1754" s="35" t="str">
        <f t="shared" si="304"/>
        <v>#N/A</v>
      </c>
      <c r="Z1754" s="40" t="str">
        <f t="shared" si="305"/>
        <v>#N/A</v>
      </c>
      <c r="AA1754" s="34" t="str">
        <f t="shared" si="306"/>
        <v>#N/A</v>
      </c>
      <c r="AB1754" s="41" t="str">
        <f t="shared" si="307"/>
        <v>#N/A</v>
      </c>
      <c r="AC1754" s="42" t="b">
        <v>0</v>
      </c>
      <c r="AD1754" s="66" t="str">
        <f t="shared" si="308"/>
        <v>USD</v>
      </c>
      <c r="AE1754" s="42"/>
      <c r="AF1754" s="42" t="str">
        <f t="array" ref="AF1754">INDEX('Deal Info'!D:D, MATCH(A1754,'Deal Info'!A:A, 0))</f>
        <v>#N/A</v>
      </c>
      <c r="AG1754" s="43" t="str">
        <f t="array" ref="AG1754">INDEX('Deal Info'!G:G, MATCH(A1754,'Deal Info'!A:A, 0))</f>
        <v>#N/A</v>
      </c>
    </row>
    <row r="1755" hidden="1">
      <c r="A1755" s="23" t="b">
        <f t="array" ref="A1755">if(G1755='Room Info'!$B$1, INDEX('Room Info'!$A$2:$A3446, MATCH(B1755,'Room Info'!$B$2:$B3446, 0)),if(G1755='Room Info'!$C$1, INDEX('Room Info'!$A$2:$A3446, MATCH(B1755,'Room Info'!$C$2:$C3446, 0)),if(G1755='Room Info'!$D$1, INDEX('Room Info'!$A$2:$A3446, MATCH(B1755,'Room Info'!$D$2:$D3446, 0)),if(G1755='Room Info'!$E$1, INDEX('Room Info'!$A$2:$A3446, MATCH(B1755,'Room Info'!$E$2:$E3446, 0)),if(G1755='Room Info'!$F$1, INDEX('Room Info'!$A$2:$A3446, MATCH(B1755,'Room Info'!$F$2:$F3446, 0)),if(G1755='Room Info'!$H$1, INDEX('Room Info'!$A$2:$A3446, MATCH(B1755,'Room Info'!$H$2:$H3446, 0)),if(G1755='Room Info'!$G$1, INDEX('Room Info'!$A$2:$A3446, MATCH(B1755,'Room Info'!$G$2:$G3446, 0)))))))))</f>
        <v>0</v>
      </c>
      <c r="B1755" s="101"/>
      <c r="C1755" s="115"/>
      <c r="D1755" s="115"/>
      <c r="E1755" s="85"/>
      <c r="F1755" s="101"/>
      <c r="G1755" s="70"/>
      <c r="H1755" s="114"/>
      <c r="I1755" s="114"/>
      <c r="J1755" s="44" t="str">
        <f t="shared" si="311"/>
        <v/>
      </c>
      <c r="K1755" s="116"/>
      <c r="L1755" s="117"/>
      <c r="M1755" s="67"/>
      <c r="N1755" s="33">
        <f t="shared" si="276"/>
        <v>0</v>
      </c>
      <c r="O1755" s="70"/>
      <c r="P1755" s="34" t="str">
        <f t="shared" si="277"/>
        <v/>
      </c>
      <c r="Q1755" s="60"/>
      <c r="R1755" s="36">
        <f t="shared" si="312"/>
        <v>0</v>
      </c>
      <c r="S1755" s="71"/>
      <c r="T1755" s="37">
        <f t="shared" si="302"/>
        <v>0</v>
      </c>
      <c r="U1755" s="62"/>
      <c r="V1755" s="63"/>
      <c r="W1755" s="63"/>
      <c r="X1755" s="35" t="str">
        <f t="shared" si="303"/>
        <v>#N/A</v>
      </c>
      <c r="Y1755" s="35" t="str">
        <f t="shared" si="304"/>
        <v>#N/A</v>
      </c>
      <c r="Z1755" s="40" t="str">
        <f t="shared" si="305"/>
        <v>#N/A</v>
      </c>
      <c r="AA1755" s="34" t="str">
        <f t="shared" si="306"/>
        <v>#N/A</v>
      </c>
      <c r="AB1755" s="41" t="str">
        <f t="shared" si="307"/>
        <v>#N/A</v>
      </c>
      <c r="AC1755" s="42" t="b">
        <v>0</v>
      </c>
      <c r="AD1755" s="66" t="str">
        <f t="shared" si="308"/>
        <v>USD</v>
      </c>
      <c r="AE1755" s="42"/>
      <c r="AF1755" s="42" t="str">
        <f t="array" ref="AF1755">INDEX('Deal Info'!D:D, MATCH(A1755,'Deal Info'!A:A, 0))</f>
        <v>#N/A</v>
      </c>
      <c r="AG1755" s="43" t="str">
        <f t="array" ref="AG1755">INDEX('Deal Info'!G:G, MATCH(A1755,'Deal Info'!A:A, 0))</f>
        <v>#N/A</v>
      </c>
    </row>
    <row r="1756" hidden="1">
      <c r="A1756" s="23" t="b">
        <f t="array" ref="A1756">if(G1756='Room Info'!$B$1, INDEX('Room Info'!$A$2:$A3446, MATCH(B1756,'Room Info'!$B$2:$B3446, 0)),if(G1756='Room Info'!$C$1, INDEX('Room Info'!$A$2:$A3446, MATCH(B1756,'Room Info'!$C$2:$C3446, 0)),if(G1756='Room Info'!$D$1, INDEX('Room Info'!$A$2:$A3446, MATCH(B1756,'Room Info'!$D$2:$D3446, 0)),if(G1756='Room Info'!$E$1, INDEX('Room Info'!$A$2:$A3446, MATCH(B1756,'Room Info'!$E$2:$E3446, 0)),if(G1756='Room Info'!$F$1, INDEX('Room Info'!$A$2:$A3446, MATCH(B1756,'Room Info'!$F$2:$F3446, 0)),if(G1756='Room Info'!$H$1, INDEX('Room Info'!$A$2:$A3446, MATCH(B1756,'Room Info'!$H$2:$H3446, 0)),if(G1756='Room Info'!$G$1, INDEX('Room Info'!$A$2:$A3446, MATCH(B1756,'Room Info'!$G$2:$G3446, 0)))))))))</f>
        <v>0</v>
      </c>
      <c r="B1756" s="101"/>
      <c r="C1756" s="115"/>
      <c r="D1756" s="115"/>
      <c r="E1756" s="85"/>
      <c r="F1756" s="138"/>
      <c r="G1756" s="70"/>
      <c r="H1756" s="114"/>
      <c r="I1756" s="114"/>
      <c r="J1756" s="44" t="str">
        <f t="shared" si="311"/>
        <v/>
      </c>
      <c r="K1756" s="116"/>
      <c r="L1756" s="117"/>
      <c r="M1756" s="67"/>
      <c r="N1756" s="33">
        <f t="shared" si="276"/>
        <v>0</v>
      </c>
      <c r="O1756" s="70"/>
      <c r="P1756" s="34" t="str">
        <f t="shared" si="277"/>
        <v/>
      </c>
      <c r="Q1756" s="60"/>
      <c r="R1756" s="36">
        <f t="shared" si="312"/>
        <v>0</v>
      </c>
      <c r="S1756" s="71"/>
      <c r="T1756" s="37">
        <f t="shared" si="302"/>
        <v>0</v>
      </c>
      <c r="U1756" s="62"/>
      <c r="V1756" s="63"/>
      <c r="W1756" s="63"/>
      <c r="X1756" s="35" t="str">
        <f t="shared" si="303"/>
        <v>#N/A</v>
      </c>
      <c r="Y1756" s="35" t="str">
        <f t="shared" si="304"/>
        <v>#N/A</v>
      </c>
      <c r="Z1756" s="40" t="str">
        <f t="shared" si="305"/>
        <v>#N/A</v>
      </c>
      <c r="AA1756" s="34" t="str">
        <f t="shared" si="306"/>
        <v>#N/A</v>
      </c>
      <c r="AB1756" s="41" t="str">
        <f t="shared" si="307"/>
        <v>#N/A</v>
      </c>
      <c r="AC1756" s="42" t="b">
        <v>0</v>
      </c>
      <c r="AD1756" s="66" t="str">
        <f t="shared" si="308"/>
        <v>USD</v>
      </c>
      <c r="AE1756" s="42"/>
      <c r="AF1756" s="42" t="str">
        <f t="array" ref="AF1756">INDEX('Deal Info'!D:D, MATCH(A1756,'Deal Info'!A:A, 0))</f>
        <v>#N/A</v>
      </c>
      <c r="AG1756" s="43" t="str">
        <f t="array" ref="AG1756">INDEX('Deal Info'!G:G, MATCH(A1756,'Deal Info'!A:A, 0))</f>
        <v>#N/A</v>
      </c>
    </row>
    <row r="1757" hidden="1">
      <c r="A1757" s="23" t="b">
        <f t="array" ref="A1757">if(G1757='Room Info'!$B$1, INDEX('Room Info'!$A$2:$A3446, MATCH(B1757,'Room Info'!$B$2:$B3446, 0)),if(G1757='Room Info'!$C$1, INDEX('Room Info'!$A$2:$A3446, MATCH(B1757,'Room Info'!$C$2:$C3446, 0)),if(G1757='Room Info'!$D$1, INDEX('Room Info'!$A$2:$A3446, MATCH(B1757,'Room Info'!$D$2:$D3446, 0)),if(G1757='Room Info'!$E$1, INDEX('Room Info'!$A$2:$A3446, MATCH(B1757,'Room Info'!$E$2:$E3446, 0)),if(G1757='Room Info'!$F$1, INDEX('Room Info'!$A$2:$A3446, MATCH(B1757,'Room Info'!$F$2:$F3446, 0)),if(G1757='Room Info'!$H$1, INDEX('Room Info'!$A$2:$A3446, MATCH(B1757,'Room Info'!$H$2:$H3446, 0)),if(G1757='Room Info'!$G$1, INDEX('Room Info'!$A$2:$A3446, MATCH(B1757,'Room Info'!$G$2:$G3446, 0)))))))))</f>
        <v>0</v>
      </c>
      <c r="B1757" s="101"/>
      <c r="C1757" s="115"/>
      <c r="D1757" s="115"/>
      <c r="E1757" s="85"/>
      <c r="F1757" s="138"/>
      <c r="G1757" s="70"/>
      <c r="H1757" s="114"/>
      <c r="I1757" s="114"/>
      <c r="J1757" s="44" t="str">
        <f t="shared" si="311"/>
        <v/>
      </c>
      <c r="K1757" s="116"/>
      <c r="L1757" s="117"/>
      <c r="M1757" s="67"/>
      <c r="N1757" s="33">
        <f t="shared" si="276"/>
        <v>0</v>
      </c>
      <c r="O1757" s="70"/>
      <c r="P1757" s="34" t="str">
        <f t="shared" si="277"/>
        <v/>
      </c>
      <c r="Q1757" s="60"/>
      <c r="R1757" s="36">
        <f t="shared" si="312"/>
        <v>0</v>
      </c>
      <c r="S1757" s="71"/>
      <c r="T1757" s="37">
        <f t="shared" si="302"/>
        <v>0</v>
      </c>
      <c r="U1757" s="62"/>
      <c r="V1757" s="63"/>
      <c r="W1757" s="63"/>
      <c r="X1757" s="35" t="str">
        <f t="shared" si="303"/>
        <v>#N/A</v>
      </c>
      <c r="Y1757" s="35" t="str">
        <f t="shared" si="304"/>
        <v>#N/A</v>
      </c>
      <c r="Z1757" s="40" t="str">
        <f t="shared" si="305"/>
        <v>#N/A</v>
      </c>
      <c r="AA1757" s="34" t="str">
        <f t="shared" si="306"/>
        <v>#N/A</v>
      </c>
      <c r="AB1757" s="41" t="str">
        <f t="shared" si="307"/>
        <v>#N/A</v>
      </c>
      <c r="AC1757" s="42" t="b">
        <v>0</v>
      </c>
      <c r="AD1757" s="66" t="str">
        <f t="shared" si="308"/>
        <v>USD</v>
      </c>
      <c r="AE1757" s="42"/>
      <c r="AF1757" s="42" t="str">
        <f t="array" ref="AF1757">INDEX('Deal Info'!D:D, MATCH(A1757,'Deal Info'!A:A, 0))</f>
        <v>#N/A</v>
      </c>
      <c r="AG1757" s="43" t="str">
        <f t="array" ref="AG1757">INDEX('Deal Info'!G:G, MATCH(A1757,'Deal Info'!A:A, 0))</f>
        <v>#N/A</v>
      </c>
    </row>
    <row r="1758" hidden="1">
      <c r="A1758" s="23" t="b">
        <f t="array" ref="A1758">if(G1758='Room Info'!$B$1, INDEX('Room Info'!$A$2:$A3446, MATCH(B1758,'Room Info'!$B$2:$B3446, 0)),if(G1758='Room Info'!$C$1, INDEX('Room Info'!$A$2:$A3446, MATCH(B1758,'Room Info'!$C$2:$C3446, 0)),if(G1758='Room Info'!$D$1, INDEX('Room Info'!$A$2:$A3446, MATCH(B1758,'Room Info'!$D$2:$D3446, 0)),if(G1758='Room Info'!$E$1, INDEX('Room Info'!$A$2:$A3446, MATCH(B1758,'Room Info'!$E$2:$E3446, 0)),if(G1758='Room Info'!$F$1, INDEX('Room Info'!$A$2:$A3446, MATCH(B1758,'Room Info'!$F$2:$F3446, 0)),if(G1758='Room Info'!$H$1, INDEX('Room Info'!$A$2:$A3446, MATCH(B1758,'Room Info'!$H$2:$H3446, 0)),if(G1758='Room Info'!$G$1, INDEX('Room Info'!$A$2:$A3446, MATCH(B1758,'Room Info'!$G$2:$G3446, 0)))))))))</f>
        <v>0</v>
      </c>
      <c r="B1758" s="101"/>
      <c r="C1758" s="115"/>
      <c r="D1758" s="115"/>
      <c r="E1758" s="85"/>
      <c r="F1758" s="138"/>
      <c r="G1758" s="101"/>
      <c r="H1758" s="114"/>
      <c r="I1758" s="114"/>
      <c r="J1758" s="44" t="str">
        <f t="shared" si="311"/>
        <v/>
      </c>
      <c r="K1758" s="116"/>
      <c r="L1758" s="117"/>
      <c r="M1758" s="67"/>
      <c r="N1758" s="33">
        <f t="shared" si="276"/>
        <v>0</v>
      </c>
      <c r="O1758" s="70"/>
      <c r="P1758" s="34" t="str">
        <f t="shared" si="277"/>
        <v/>
      </c>
      <c r="Q1758" s="60"/>
      <c r="R1758" s="36">
        <f t="shared" si="312"/>
        <v>0</v>
      </c>
      <c r="S1758" s="71"/>
      <c r="T1758" s="37">
        <f t="shared" si="302"/>
        <v>0</v>
      </c>
      <c r="U1758" s="62"/>
      <c r="V1758" s="63"/>
      <c r="W1758" s="63"/>
      <c r="X1758" s="35" t="str">
        <f t="shared" si="303"/>
        <v>#N/A</v>
      </c>
      <c r="Y1758" s="35" t="str">
        <f t="shared" si="304"/>
        <v>#N/A</v>
      </c>
      <c r="Z1758" s="40" t="str">
        <f t="shared" si="305"/>
        <v>#N/A</v>
      </c>
      <c r="AA1758" s="34" t="str">
        <f t="shared" si="306"/>
        <v>#N/A</v>
      </c>
      <c r="AB1758" s="41" t="str">
        <f t="shared" si="307"/>
        <v>#N/A</v>
      </c>
      <c r="AC1758" s="42" t="b">
        <v>0</v>
      </c>
      <c r="AD1758" s="66" t="str">
        <f t="shared" si="308"/>
        <v>USD</v>
      </c>
      <c r="AE1758" s="42"/>
      <c r="AF1758" s="42" t="str">
        <f t="array" ref="AF1758">INDEX('Deal Info'!D:D, MATCH(A1758,'Deal Info'!A:A, 0))</f>
        <v>#N/A</v>
      </c>
      <c r="AG1758" s="43" t="str">
        <f t="array" ref="AG1758">INDEX('Deal Info'!G:G, MATCH(A1758,'Deal Info'!A:A, 0))</f>
        <v>#N/A</v>
      </c>
    </row>
    <row r="1759" hidden="1">
      <c r="A1759" s="23" t="b">
        <f t="array" ref="A1759">if(G1759='Room Info'!$B$1, INDEX('Room Info'!$A$2:$A3446, MATCH(B1759,'Room Info'!$B$2:$B3446, 0)),if(G1759='Room Info'!$C$1, INDEX('Room Info'!$A$2:$A3446, MATCH(B1759,'Room Info'!$C$2:$C3446, 0)),if(G1759='Room Info'!$D$1, INDEX('Room Info'!$A$2:$A3446, MATCH(B1759,'Room Info'!$D$2:$D3446, 0)),if(G1759='Room Info'!$E$1, INDEX('Room Info'!$A$2:$A3446, MATCH(B1759,'Room Info'!$E$2:$E3446, 0)),if(G1759='Room Info'!$F$1, INDEX('Room Info'!$A$2:$A3446, MATCH(B1759,'Room Info'!$F$2:$F3446, 0)),if(G1759='Room Info'!$H$1, INDEX('Room Info'!$A$2:$A3446, MATCH(B1759,'Room Info'!$H$2:$H3446, 0)),if(G1759='Room Info'!$G$1, INDEX('Room Info'!$A$2:$A3446, MATCH(B1759,'Room Info'!$G$2:$G3446, 0)))))))))</f>
        <v>0</v>
      </c>
      <c r="B1759" s="101"/>
      <c r="C1759" s="115"/>
      <c r="D1759" s="115"/>
      <c r="E1759" s="85"/>
      <c r="F1759" s="138"/>
      <c r="G1759" s="101"/>
      <c r="H1759" s="114"/>
      <c r="I1759" s="114"/>
      <c r="J1759" s="44" t="str">
        <f t="shared" si="311"/>
        <v/>
      </c>
      <c r="K1759" s="116"/>
      <c r="L1759" s="117"/>
      <c r="M1759" s="67"/>
      <c r="N1759" s="33">
        <f t="shared" si="276"/>
        <v>0</v>
      </c>
      <c r="O1759" s="70"/>
      <c r="P1759" s="34" t="str">
        <f t="shared" si="277"/>
        <v/>
      </c>
      <c r="Q1759" s="60"/>
      <c r="R1759" s="36">
        <f t="shared" si="312"/>
        <v>0</v>
      </c>
      <c r="S1759" s="71"/>
      <c r="T1759" s="37">
        <f t="shared" si="302"/>
        <v>0</v>
      </c>
      <c r="U1759" s="62"/>
      <c r="V1759" s="63"/>
      <c r="W1759" s="63"/>
      <c r="X1759" s="35" t="str">
        <f t="shared" si="303"/>
        <v>#N/A</v>
      </c>
      <c r="Y1759" s="35" t="str">
        <f t="shared" si="304"/>
        <v>#N/A</v>
      </c>
      <c r="Z1759" s="40" t="str">
        <f t="shared" si="305"/>
        <v>#N/A</v>
      </c>
      <c r="AA1759" s="34" t="str">
        <f t="shared" si="306"/>
        <v>#N/A</v>
      </c>
      <c r="AB1759" s="41" t="str">
        <f t="shared" si="307"/>
        <v>#N/A</v>
      </c>
      <c r="AC1759" s="42" t="b">
        <v>0</v>
      </c>
      <c r="AD1759" s="66" t="str">
        <f t="shared" si="308"/>
        <v>USD</v>
      </c>
      <c r="AE1759" s="42"/>
      <c r="AF1759" s="42" t="str">
        <f t="array" ref="AF1759">INDEX('Deal Info'!D:D, MATCH(A1759,'Deal Info'!A:A, 0))</f>
        <v>#N/A</v>
      </c>
      <c r="AG1759" s="43" t="str">
        <f t="array" ref="AG1759">INDEX('Deal Info'!G:G, MATCH(A1759,'Deal Info'!A:A, 0))</f>
        <v>#N/A</v>
      </c>
    </row>
    <row r="1760" hidden="1">
      <c r="A1760" s="23" t="b">
        <f t="array" ref="A1760">if(G1760='Room Info'!$B$1, INDEX('Room Info'!$A$2:$A3446, MATCH(B1760,'Room Info'!$B$2:$B3446, 0)),if(G1760='Room Info'!$C$1, INDEX('Room Info'!$A$2:$A3446, MATCH(B1760,'Room Info'!$C$2:$C3446, 0)),if(G1760='Room Info'!$D$1, INDEX('Room Info'!$A$2:$A3446, MATCH(B1760,'Room Info'!$D$2:$D3446, 0)),if(G1760='Room Info'!$E$1, INDEX('Room Info'!$A$2:$A3446, MATCH(B1760,'Room Info'!$E$2:$E3446, 0)),if(G1760='Room Info'!$F$1, INDEX('Room Info'!$A$2:$A3446, MATCH(B1760,'Room Info'!$F$2:$F3446, 0)),if(G1760='Room Info'!$H$1, INDEX('Room Info'!$A$2:$A3446, MATCH(B1760,'Room Info'!$H$2:$H3446, 0)),if(G1760='Room Info'!$G$1, INDEX('Room Info'!$A$2:$A3446, MATCH(B1760,'Room Info'!$G$2:$G3446, 0)))))))))</f>
        <v>0</v>
      </c>
      <c r="B1760" s="101"/>
      <c r="C1760" s="115"/>
      <c r="D1760" s="115"/>
      <c r="E1760" s="85"/>
      <c r="F1760" s="138"/>
      <c r="G1760" s="101"/>
      <c r="H1760" s="114"/>
      <c r="I1760" s="114"/>
      <c r="J1760" s="44" t="str">
        <f t="shared" si="311"/>
        <v/>
      </c>
      <c r="K1760" s="116"/>
      <c r="L1760" s="117"/>
      <c r="M1760" s="67"/>
      <c r="N1760" s="33">
        <f t="shared" si="276"/>
        <v>0</v>
      </c>
      <c r="O1760" s="70"/>
      <c r="P1760" s="34" t="str">
        <f t="shared" si="277"/>
        <v/>
      </c>
      <c r="Q1760" s="60"/>
      <c r="R1760" s="36">
        <f t="shared" si="312"/>
        <v>0</v>
      </c>
      <c r="S1760" s="71"/>
      <c r="T1760" s="37">
        <f t="shared" si="302"/>
        <v>0</v>
      </c>
      <c r="U1760" s="62"/>
      <c r="V1760" s="63"/>
      <c r="W1760" s="63"/>
      <c r="X1760" s="35" t="str">
        <f t="shared" si="303"/>
        <v>#N/A</v>
      </c>
      <c r="Y1760" s="35" t="str">
        <f t="shared" si="304"/>
        <v>#N/A</v>
      </c>
      <c r="Z1760" s="40" t="str">
        <f t="shared" si="305"/>
        <v>#N/A</v>
      </c>
      <c r="AA1760" s="34" t="str">
        <f t="shared" si="306"/>
        <v>#N/A</v>
      </c>
      <c r="AB1760" s="41" t="str">
        <f t="shared" si="307"/>
        <v>#N/A</v>
      </c>
      <c r="AC1760" s="42" t="b">
        <v>0</v>
      </c>
      <c r="AD1760" s="66" t="str">
        <f t="shared" si="308"/>
        <v>USD</v>
      </c>
      <c r="AE1760" s="42"/>
      <c r="AF1760" s="42" t="str">
        <f t="array" ref="AF1760">INDEX('Deal Info'!D:D, MATCH(A1760,'Deal Info'!A:A, 0))</f>
        <v>#N/A</v>
      </c>
      <c r="AG1760" s="43" t="str">
        <f t="array" ref="AG1760">INDEX('Deal Info'!G:G, MATCH(A1760,'Deal Info'!A:A, 0))</f>
        <v>#N/A</v>
      </c>
    </row>
    <row r="1761" hidden="1">
      <c r="A1761" s="23" t="b">
        <f t="array" ref="A1761">if(G1761='Room Info'!$B$1, INDEX('Room Info'!$A$2:$A3446, MATCH(B1761,'Room Info'!$B$2:$B3446, 0)),if(G1761='Room Info'!$C$1, INDEX('Room Info'!$A$2:$A3446, MATCH(B1761,'Room Info'!$C$2:$C3446, 0)),if(G1761='Room Info'!$D$1, INDEX('Room Info'!$A$2:$A3446, MATCH(B1761,'Room Info'!$D$2:$D3446, 0)),if(G1761='Room Info'!$E$1, INDEX('Room Info'!$A$2:$A3446, MATCH(B1761,'Room Info'!$E$2:$E3446, 0)),if(G1761='Room Info'!$F$1, INDEX('Room Info'!$A$2:$A3446, MATCH(B1761,'Room Info'!$F$2:$F3446, 0)),if(G1761='Room Info'!$H$1, INDEX('Room Info'!$A$2:$A3446, MATCH(B1761,'Room Info'!$H$2:$H3446, 0)),if(G1761='Room Info'!$G$1, INDEX('Room Info'!$A$2:$A3446, MATCH(B1761,'Room Info'!$G$2:$G3446, 0)))))))))</f>
        <v>0</v>
      </c>
      <c r="B1761" s="101"/>
      <c r="C1761" s="115"/>
      <c r="D1761" s="115"/>
      <c r="E1761" s="85"/>
      <c r="F1761" s="138"/>
      <c r="G1761" s="101"/>
      <c r="H1761" s="114"/>
      <c r="I1761" s="114"/>
      <c r="J1761" s="44" t="str">
        <f t="shared" si="311"/>
        <v/>
      </c>
      <c r="K1761" s="116"/>
      <c r="L1761" s="117"/>
      <c r="M1761" s="67"/>
      <c r="N1761" s="33">
        <f t="shared" si="276"/>
        <v>0</v>
      </c>
      <c r="O1761" s="70"/>
      <c r="P1761" s="34" t="str">
        <f t="shared" si="277"/>
        <v/>
      </c>
      <c r="Q1761" s="60"/>
      <c r="R1761" s="36">
        <f t="shared" si="312"/>
        <v>0</v>
      </c>
      <c r="S1761" s="71"/>
      <c r="T1761" s="37">
        <f t="shared" si="302"/>
        <v>0</v>
      </c>
      <c r="U1761" s="62"/>
      <c r="V1761" s="63"/>
      <c r="W1761" s="63"/>
      <c r="X1761" s="35" t="str">
        <f t="shared" si="303"/>
        <v>#N/A</v>
      </c>
      <c r="Y1761" s="35" t="str">
        <f t="shared" si="304"/>
        <v>#N/A</v>
      </c>
      <c r="Z1761" s="40" t="str">
        <f t="shared" si="305"/>
        <v>#N/A</v>
      </c>
      <c r="AA1761" s="34" t="str">
        <f t="shared" si="306"/>
        <v>#N/A</v>
      </c>
      <c r="AB1761" s="41" t="str">
        <f t="shared" si="307"/>
        <v>#N/A</v>
      </c>
      <c r="AC1761" s="42" t="b">
        <v>0</v>
      </c>
      <c r="AD1761" s="66" t="str">
        <f t="shared" si="308"/>
        <v>USD</v>
      </c>
      <c r="AE1761" s="42"/>
      <c r="AF1761" s="42" t="str">
        <f t="array" ref="AF1761">INDEX('Deal Info'!D:D, MATCH(A1761,'Deal Info'!A:A, 0))</f>
        <v>#N/A</v>
      </c>
      <c r="AG1761" s="43" t="str">
        <f t="array" ref="AG1761">INDEX('Deal Info'!G:G, MATCH(A1761,'Deal Info'!A:A, 0))</f>
        <v>#N/A</v>
      </c>
    </row>
    <row r="1762" hidden="1">
      <c r="A1762" s="23" t="b">
        <f t="array" ref="A1762">if(G1762='Room Info'!$B$1, INDEX('Room Info'!$A$2:$A3446, MATCH(B1762,'Room Info'!$B$2:$B3446, 0)),if(G1762='Room Info'!$C$1, INDEX('Room Info'!$A$2:$A3446, MATCH(B1762,'Room Info'!$C$2:$C3446, 0)),if(G1762='Room Info'!$D$1, INDEX('Room Info'!$A$2:$A3446, MATCH(B1762,'Room Info'!$D$2:$D3446, 0)),if(G1762='Room Info'!$E$1, INDEX('Room Info'!$A$2:$A3446, MATCH(B1762,'Room Info'!$E$2:$E3446, 0)),if(G1762='Room Info'!$F$1, INDEX('Room Info'!$A$2:$A3446, MATCH(B1762,'Room Info'!$F$2:$F3446, 0)),if(G1762='Room Info'!$H$1, INDEX('Room Info'!$A$2:$A3446, MATCH(B1762,'Room Info'!$H$2:$H3446, 0)),if(G1762='Room Info'!$G$1, INDEX('Room Info'!$A$2:$A3446, MATCH(B1762,'Room Info'!$G$2:$G3446, 0)))))))))</f>
        <v>0</v>
      </c>
      <c r="B1762" s="101"/>
      <c r="C1762" s="115"/>
      <c r="D1762" s="115"/>
      <c r="E1762" s="85"/>
      <c r="F1762" s="138"/>
      <c r="G1762" s="101"/>
      <c r="H1762" s="114"/>
      <c r="I1762" s="114"/>
      <c r="J1762" s="44" t="str">
        <f t="shared" si="311"/>
        <v/>
      </c>
      <c r="K1762" s="116"/>
      <c r="L1762" s="117"/>
      <c r="M1762" s="67"/>
      <c r="N1762" s="33">
        <f t="shared" si="276"/>
        <v>0</v>
      </c>
      <c r="O1762" s="70"/>
      <c r="P1762" s="34" t="str">
        <f t="shared" si="277"/>
        <v/>
      </c>
      <c r="Q1762" s="60"/>
      <c r="R1762" s="36">
        <f t="shared" si="312"/>
        <v>0</v>
      </c>
      <c r="S1762" s="71"/>
      <c r="T1762" s="37">
        <f t="shared" si="302"/>
        <v>0</v>
      </c>
      <c r="U1762" s="62"/>
      <c r="V1762" s="63"/>
      <c r="W1762" s="63"/>
      <c r="X1762" s="35" t="str">
        <f t="shared" si="303"/>
        <v>#N/A</v>
      </c>
      <c r="Y1762" s="35" t="str">
        <f t="shared" si="304"/>
        <v>#N/A</v>
      </c>
      <c r="Z1762" s="40" t="str">
        <f t="shared" si="305"/>
        <v>#N/A</v>
      </c>
      <c r="AA1762" s="34" t="str">
        <f t="shared" si="306"/>
        <v>#N/A</v>
      </c>
      <c r="AB1762" s="41" t="str">
        <f t="shared" si="307"/>
        <v>#N/A</v>
      </c>
      <c r="AC1762" s="42" t="b">
        <v>0</v>
      </c>
      <c r="AD1762" s="66" t="str">
        <f t="shared" si="308"/>
        <v>USD</v>
      </c>
      <c r="AE1762" s="42"/>
      <c r="AF1762" s="42" t="str">
        <f t="array" ref="AF1762">INDEX('Deal Info'!D:D, MATCH(A1762,'Deal Info'!A:A, 0))</f>
        <v>#N/A</v>
      </c>
      <c r="AG1762" s="43" t="str">
        <f t="array" ref="AG1762">INDEX('Deal Info'!G:G, MATCH(A1762,'Deal Info'!A:A, 0))</f>
        <v>#N/A</v>
      </c>
    </row>
    <row r="1763" hidden="1">
      <c r="A1763" s="23" t="b">
        <f t="array" ref="A1763">if(G1763='Room Info'!$B$1, INDEX('Room Info'!$A$2:$A3446, MATCH(B1763,'Room Info'!$B$2:$B3446, 0)),if(G1763='Room Info'!$C$1, INDEX('Room Info'!$A$2:$A3446, MATCH(B1763,'Room Info'!$C$2:$C3446, 0)),if(G1763='Room Info'!$D$1, INDEX('Room Info'!$A$2:$A3446, MATCH(B1763,'Room Info'!$D$2:$D3446, 0)),if(G1763='Room Info'!$E$1, INDEX('Room Info'!$A$2:$A3446, MATCH(B1763,'Room Info'!$E$2:$E3446, 0)),if(G1763='Room Info'!$F$1, INDEX('Room Info'!$A$2:$A3446, MATCH(B1763,'Room Info'!$F$2:$F3446, 0)),if(G1763='Room Info'!$H$1, INDEX('Room Info'!$A$2:$A3446, MATCH(B1763,'Room Info'!$H$2:$H3446, 0)),if(G1763='Room Info'!$G$1, INDEX('Room Info'!$A$2:$A3446, MATCH(B1763,'Room Info'!$G$2:$G3446, 0)))))))))</f>
        <v>0</v>
      </c>
      <c r="B1763" s="101"/>
      <c r="C1763" s="115"/>
      <c r="D1763" s="115"/>
      <c r="E1763" s="85"/>
      <c r="F1763" s="138"/>
      <c r="G1763" s="101"/>
      <c r="H1763" s="114"/>
      <c r="I1763" s="114"/>
      <c r="J1763" s="44" t="str">
        <f t="shared" si="311"/>
        <v/>
      </c>
      <c r="K1763" s="116"/>
      <c r="L1763" s="117"/>
      <c r="M1763" s="67"/>
      <c r="N1763" s="33">
        <f t="shared" si="276"/>
        <v>0</v>
      </c>
      <c r="O1763" s="70"/>
      <c r="P1763" s="34" t="str">
        <f t="shared" si="277"/>
        <v/>
      </c>
      <c r="Q1763" s="60"/>
      <c r="R1763" s="36">
        <f t="shared" si="312"/>
        <v>0</v>
      </c>
      <c r="S1763" s="71"/>
      <c r="T1763" s="37">
        <f t="shared" si="302"/>
        <v>0</v>
      </c>
      <c r="U1763" s="62"/>
      <c r="V1763" s="63"/>
      <c r="W1763" s="63"/>
      <c r="X1763" s="35" t="str">
        <f t="shared" si="303"/>
        <v>#N/A</v>
      </c>
      <c r="Y1763" s="35" t="str">
        <f t="shared" si="304"/>
        <v>#N/A</v>
      </c>
      <c r="Z1763" s="40" t="str">
        <f t="shared" si="305"/>
        <v>#N/A</v>
      </c>
      <c r="AA1763" s="34" t="str">
        <f t="shared" si="306"/>
        <v>#N/A</v>
      </c>
      <c r="AB1763" s="41" t="str">
        <f t="shared" si="307"/>
        <v>#N/A</v>
      </c>
      <c r="AC1763" s="42" t="b">
        <v>0</v>
      </c>
      <c r="AD1763" s="66" t="str">
        <f t="shared" si="308"/>
        <v>USD</v>
      </c>
      <c r="AE1763" s="42"/>
      <c r="AF1763" s="42" t="str">
        <f t="array" ref="AF1763">INDEX('Deal Info'!D:D, MATCH(A1763,'Deal Info'!A:A, 0))</f>
        <v>#N/A</v>
      </c>
      <c r="AG1763" s="43" t="str">
        <f t="array" ref="AG1763">INDEX('Deal Info'!G:G, MATCH(A1763,'Deal Info'!A:A, 0))</f>
        <v>#N/A</v>
      </c>
    </row>
    <row r="1764" hidden="1">
      <c r="A1764" s="23" t="b">
        <f t="array" ref="A1764">if(G1764='Room Info'!$B$1, INDEX('Room Info'!$A$2:$A3446, MATCH(B1764,'Room Info'!$B$2:$B3446, 0)),if(G1764='Room Info'!$C$1, INDEX('Room Info'!$A$2:$A3446, MATCH(B1764,'Room Info'!$C$2:$C3446, 0)),if(G1764='Room Info'!$D$1, INDEX('Room Info'!$A$2:$A3446, MATCH(B1764,'Room Info'!$D$2:$D3446, 0)),if(G1764='Room Info'!$E$1, INDEX('Room Info'!$A$2:$A3446, MATCH(B1764,'Room Info'!$E$2:$E3446, 0)),if(G1764='Room Info'!$F$1, INDEX('Room Info'!$A$2:$A3446, MATCH(B1764,'Room Info'!$F$2:$F3446, 0)),if(G1764='Room Info'!$H$1, INDEX('Room Info'!$A$2:$A3446, MATCH(B1764,'Room Info'!$H$2:$H3446, 0)),if(G1764='Room Info'!$G$1, INDEX('Room Info'!$A$2:$A3446, MATCH(B1764,'Room Info'!$G$2:$G3446, 0)))))))))</f>
        <v>0</v>
      </c>
      <c r="B1764" s="101"/>
      <c r="C1764" s="115"/>
      <c r="D1764" s="115"/>
      <c r="E1764" s="85"/>
      <c r="F1764" s="138"/>
      <c r="G1764" s="101"/>
      <c r="H1764" s="114"/>
      <c r="I1764" s="114"/>
      <c r="J1764" s="44" t="str">
        <f t="shared" si="311"/>
        <v/>
      </c>
      <c r="K1764" s="116"/>
      <c r="L1764" s="117"/>
      <c r="M1764" s="67"/>
      <c r="N1764" s="33">
        <f t="shared" si="276"/>
        <v>0</v>
      </c>
      <c r="O1764" s="70"/>
      <c r="P1764" s="34" t="str">
        <f t="shared" si="277"/>
        <v/>
      </c>
      <c r="Q1764" s="60"/>
      <c r="R1764" s="36">
        <f t="shared" si="312"/>
        <v>0</v>
      </c>
      <c r="S1764" s="71"/>
      <c r="T1764" s="37">
        <f t="shared" si="302"/>
        <v>0</v>
      </c>
      <c r="U1764" s="62"/>
      <c r="V1764" s="63"/>
      <c r="W1764" s="63"/>
      <c r="X1764" s="35" t="str">
        <f t="shared" si="303"/>
        <v>#N/A</v>
      </c>
      <c r="Y1764" s="35" t="str">
        <f t="shared" si="304"/>
        <v>#N/A</v>
      </c>
      <c r="Z1764" s="40" t="str">
        <f t="shared" si="305"/>
        <v>#N/A</v>
      </c>
      <c r="AA1764" s="34" t="str">
        <f t="shared" si="306"/>
        <v>#N/A</v>
      </c>
      <c r="AB1764" s="41" t="str">
        <f t="shared" si="307"/>
        <v>#N/A</v>
      </c>
      <c r="AC1764" s="42" t="b">
        <v>0</v>
      </c>
      <c r="AD1764" s="66" t="str">
        <f t="shared" si="308"/>
        <v>USD</v>
      </c>
      <c r="AE1764" s="42"/>
      <c r="AF1764" s="42" t="str">
        <f t="array" ref="AF1764">INDEX('Deal Info'!D:D, MATCH(A1764,'Deal Info'!A:A, 0))</f>
        <v>#N/A</v>
      </c>
      <c r="AG1764" s="43" t="str">
        <f t="array" ref="AG1764">INDEX('Deal Info'!G:G, MATCH(A1764,'Deal Info'!A:A, 0))</f>
        <v>#N/A</v>
      </c>
    </row>
    <row r="1765" hidden="1">
      <c r="A1765" s="23" t="b">
        <f t="array" ref="A1765">if(G1765='Room Info'!$B$1, INDEX('Room Info'!$A$2:$A3446, MATCH(B1765,'Room Info'!$B$2:$B3446, 0)),if(G1765='Room Info'!$C$1, INDEX('Room Info'!$A$2:$A3446, MATCH(B1765,'Room Info'!$C$2:$C3446, 0)),if(G1765='Room Info'!$D$1, INDEX('Room Info'!$A$2:$A3446, MATCH(B1765,'Room Info'!$D$2:$D3446, 0)),if(G1765='Room Info'!$E$1, INDEX('Room Info'!$A$2:$A3446, MATCH(B1765,'Room Info'!$E$2:$E3446, 0)),if(G1765='Room Info'!$F$1, INDEX('Room Info'!$A$2:$A3446, MATCH(B1765,'Room Info'!$F$2:$F3446, 0)),if(G1765='Room Info'!$H$1, INDEX('Room Info'!$A$2:$A3446, MATCH(B1765,'Room Info'!$H$2:$H3446, 0)),if(G1765='Room Info'!$G$1, INDEX('Room Info'!$A$2:$A3446, MATCH(B1765,'Room Info'!$G$2:$G3446, 0)))))))))</f>
        <v>0</v>
      </c>
      <c r="B1765" s="101"/>
      <c r="C1765" s="115"/>
      <c r="D1765" s="115"/>
      <c r="E1765" s="85"/>
      <c r="F1765" s="138"/>
      <c r="G1765" s="101"/>
      <c r="H1765" s="114"/>
      <c r="I1765" s="114"/>
      <c r="J1765" s="44" t="str">
        <f t="shared" si="311"/>
        <v/>
      </c>
      <c r="K1765" s="116"/>
      <c r="L1765" s="117"/>
      <c r="M1765" s="67"/>
      <c r="N1765" s="33">
        <f t="shared" si="276"/>
        <v>0</v>
      </c>
      <c r="O1765" s="70"/>
      <c r="P1765" s="34" t="str">
        <f t="shared" si="277"/>
        <v/>
      </c>
      <c r="Q1765" s="60"/>
      <c r="R1765" s="36">
        <f t="shared" si="312"/>
        <v>0</v>
      </c>
      <c r="S1765" s="71"/>
      <c r="T1765" s="37">
        <f t="shared" si="302"/>
        <v>0</v>
      </c>
      <c r="U1765" s="62"/>
      <c r="V1765" s="63"/>
      <c r="W1765" s="63"/>
      <c r="X1765" s="35" t="str">
        <f t="shared" si="303"/>
        <v>#N/A</v>
      </c>
      <c r="Y1765" s="35" t="str">
        <f t="shared" si="304"/>
        <v>#N/A</v>
      </c>
      <c r="Z1765" s="40" t="str">
        <f t="shared" si="305"/>
        <v>#N/A</v>
      </c>
      <c r="AA1765" s="34" t="str">
        <f t="shared" si="306"/>
        <v>#N/A</v>
      </c>
      <c r="AB1765" s="41" t="str">
        <f t="shared" si="307"/>
        <v>#N/A</v>
      </c>
      <c r="AC1765" s="42" t="b">
        <v>0</v>
      </c>
      <c r="AD1765" s="66" t="str">
        <f t="shared" si="308"/>
        <v>USD</v>
      </c>
      <c r="AE1765" s="42"/>
      <c r="AF1765" s="42" t="str">
        <f t="array" ref="AF1765">INDEX('Deal Info'!D:D, MATCH(A1765,'Deal Info'!A:A, 0))</f>
        <v>#N/A</v>
      </c>
      <c r="AG1765" s="43" t="str">
        <f t="array" ref="AG1765">INDEX('Deal Info'!G:G, MATCH(A1765,'Deal Info'!A:A, 0))</f>
        <v>#N/A</v>
      </c>
    </row>
    <row r="1766" hidden="1">
      <c r="A1766" s="23" t="b">
        <f t="array" ref="A1766">if(G1766='Room Info'!$B$1, INDEX('Room Info'!$A$2:$A3446, MATCH(B1766,'Room Info'!$B$2:$B3446, 0)),if(G1766='Room Info'!$C$1, INDEX('Room Info'!$A$2:$A3446, MATCH(B1766,'Room Info'!$C$2:$C3446, 0)),if(G1766='Room Info'!$D$1, INDEX('Room Info'!$A$2:$A3446, MATCH(B1766,'Room Info'!$D$2:$D3446, 0)),if(G1766='Room Info'!$E$1, INDEX('Room Info'!$A$2:$A3446, MATCH(B1766,'Room Info'!$E$2:$E3446, 0)),if(G1766='Room Info'!$F$1, INDEX('Room Info'!$A$2:$A3446, MATCH(B1766,'Room Info'!$F$2:$F3446, 0)),if(G1766='Room Info'!$H$1, INDEX('Room Info'!$A$2:$A3446, MATCH(B1766,'Room Info'!$H$2:$H3446, 0)),if(G1766='Room Info'!$G$1, INDEX('Room Info'!$A$2:$A3446, MATCH(B1766,'Room Info'!$G$2:$G3446, 0)))))))))</f>
        <v>0</v>
      </c>
      <c r="B1766" s="101"/>
      <c r="C1766" s="115"/>
      <c r="D1766" s="115"/>
      <c r="E1766" s="85"/>
      <c r="F1766" s="138"/>
      <c r="G1766" s="101"/>
      <c r="H1766" s="114"/>
      <c r="I1766" s="114"/>
      <c r="J1766" s="44" t="str">
        <f t="shared" si="311"/>
        <v/>
      </c>
      <c r="K1766" s="116"/>
      <c r="L1766" s="117"/>
      <c r="M1766" s="67"/>
      <c r="N1766" s="33">
        <f t="shared" si="276"/>
        <v>0</v>
      </c>
      <c r="O1766" s="70"/>
      <c r="P1766" s="34" t="str">
        <f t="shared" si="277"/>
        <v/>
      </c>
      <c r="Q1766" s="60"/>
      <c r="R1766" s="36">
        <f t="shared" si="312"/>
        <v>0</v>
      </c>
      <c r="S1766" s="71"/>
      <c r="T1766" s="37">
        <f t="shared" si="302"/>
        <v>0</v>
      </c>
      <c r="U1766" s="62"/>
      <c r="V1766" s="63"/>
      <c r="W1766" s="63"/>
      <c r="X1766" s="35" t="str">
        <f t="shared" si="303"/>
        <v>#N/A</v>
      </c>
      <c r="Y1766" s="35" t="str">
        <f t="shared" si="304"/>
        <v>#N/A</v>
      </c>
      <c r="Z1766" s="40" t="str">
        <f t="shared" si="305"/>
        <v>#N/A</v>
      </c>
      <c r="AA1766" s="34" t="str">
        <f t="shared" si="306"/>
        <v>#N/A</v>
      </c>
      <c r="AB1766" s="41" t="str">
        <f t="shared" si="307"/>
        <v>#N/A</v>
      </c>
      <c r="AC1766" s="42" t="b">
        <v>0</v>
      </c>
      <c r="AD1766" s="66" t="str">
        <f t="shared" si="308"/>
        <v>USD</v>
      </c>
      <c r="AE1766" s="42"/>
      <c r="AF1766" s="42" t="str">
        <f t="array" ref="AF1766">INDEX('Deal Info'!D:D, MATCH(A1766,'Deal Info'!A:A, 0))</f>
        <v>#N/A</v>
      </c>
      <c r="AG1766" s="43" t="str">
        <f t="array" ref="AG1766">INDEX('Deal Info'!G:G, MATCH(A1766,'Deal Info'!A:A, 0))</f>
        <v>#N/A</v>
      </c>
    </row>
    <row r="1767" hidden="1">
      <c r="A1767" s="23" t="b">
        <f t="array" ref="A1767">if(G1767='Room Info'!$B$1, INDEX('Room Info'!$A$2:$A3446, MATCH(B1767,'Room Info'!$B$2:$B3446, 0)),if(G1767='Room Info'!$C$1, INDEX('Room Info'!$A$2:$A3446, MATCH(B1767,'Room Info'!$C$2:$C3446, 0)),if(G1767='Room Info'!$D$1, INDEX('Room Info'!$A$2:$A3446, MATCH(B1767,'Room Info'!$D$2:$D3446, 0)),if(G1767='Room Info'!$E$1, INDEX('Room Info'!$A$2:$A3446, MATCH(B1767,'Room Info'!$E$2:$E3446, 0)),if(G1767='Room Info'!$F$1, INDEX('Room Info'!$A$2:$A3446, MATCH(B1767,'Room Info'!$F$2:$F3446, 0)),if(G1767='Room Info'!$H$1, INDEX('Room Info'!$A$2:$A3446, MATCH(B1767,'Room Info'!$H$2:$H3446, 0)),if(G1767='Room Info'!$G$1, INDEX('Room Info'!$A$2:$A3446, MATCH(B1767,'Room Info'!$G$2:$G3446, 0)))))))))</f>
        <v>0</v>
      </c>
      <c r="B1767" s="101"/>
      <c r="C1767" s="115"/>
      <c r="D1767" s="115"/>
      <c r="E1767" s="85"/>
      <c r="F1767" s="138"/>
      <c r="G1767" s="101"/>
      <c r="H1767" s="114"/>
      <c r="I1767" s="114"/>
      <c r="J1767" s="44" t="str">
        <f t="shared" si="311"/>
        <v/>
      </c>
      <c r="K1767" s="116"/>
      <c r="L1767" s="117"/>
      <c r="M1767" s="67"/>
      <c r="N1767" s="33">
        <f t="shared" si="276"/>
        <v>0</v>
      </c>
      <c r="O1767" s="70"/>
      <c r="P1767" s="34" t="str">
        <f t="shared" si="277"/>
        <v/>
      </c>
      <c r="Q1767" s="60"/>
      <c r="R1767" s="36">
        <f t="shared" si="312"/>
        <v>0</v>
      </c>
      <c r="S1767" s="71"/>
      <c r="T1767" s="37">
        <f t="shared" si="302"/>
        <v>0</v>
      </c>
      <c r="U1767" s="62"/>
      <c r="V1767" s="63"/>
      <c r="W1767" s="63"/>
      <c r="X1767" s="35" t="str">
        <f t="shared" si="303"/>
        <v>#N/A</v>
      </c>
      <c r="Y1767" s="35" t="str">
        <f t="shared" si="304"/>
        <v>#N/A</v>
      </c>
      <c r="Z1767" s="40" t="str">
        <f t="shared" si="305"/>
        <v>#N/A</v>
      </c>
      <c r="AA1767" s="34" t="str">
        <f t="shared" si="306"/>
        <v>#N/A</v>
      </c>
      <c r="AB1767" s="41" t="str">
        <f t="shared" si="307"/>
        <v>#N/A</v>
      </c>
      <c r="AC1767" s="42" t="b">
        <v>0</v>
      </c>
      <c r="AD1767" s="66" t="str">
        <f t="shared" si="308"/>
        <v>USD</v>
      </c>
      <c r="AE1767" s="42"/>
      <c r="AF1767" s="42" t="str">
        <f t="array" ref="AF1767">INDEX('Deal Info'!D:D, MATCH(A1767,'Deal Info'!A:A, 0))</f>
        <v>#N/A</v>
      </c>
      <c r="AG1767" s="43" t="str">
        <f t="array" ref="AG1767">INDEX('Deal Info'!G:G, MATCH(A1767,'Deal Info'!A:A, 0))</f>
        <v>#N/A</v>
      </c>
    </row>
    <row r="1768" hidden="1">
      <c r="A1768" s="23" t="b">
        <f t="array" ref="A1768">if(G1768='Room Info'!$B$1, INDEX('Room Info'!$A$2:$A3446, MATCH(B1768,'Room Info'!$B$2:$B3446, 0)),if(G1768='Room Info'!$C$1, INDEX('Room Info'!$A$2:$A3446, MATCH(B1768,'Room Info'!$C$2:$C3446, 0)),if(G1768='Room Info'!$D$1, INDEX('Room Info'!$A$2:$A3446, MATCH(B1768,'Room Info'!$D$2:$D3446, 0)),if(G1768='Room Info'!$E$1, INDEX('Room Info'!$A$2:$A3446, MATCH(B1768,'Room Info'!$E$2:$E3446, 0)),if(G1768='Room Info'!$F$1, INDEX('Room Info'!$A$2:$A3446, MATCH(B1768,'Room Info'!$F$2:$F3446, 0)),if(G1768='Room Info'!$H$1, INDEX('Room Info'!$A$2:$A3446, MATCH(B1768,'Room Info'!$H$2:$H3446, 0)),if(G1768='Room Info'!$G$1, INDEX('Room Info'!$A$2:$A3446, MATCH(B1768,'Room Info'!$G$2:$G3446, 0)))))))))</f>
        <v>0</v>
      </c>
      <c r="B1768" s="101"/>
      <c r="C1768" s="115"/>
      <c r="D1768" s="115"/>
      <c r="E1768" s="85"/>
      <c r="F1768" s="138"/>
      <c r="G1768" s="70"/>
      <c r="H1768" s="70"/>
      <c r="I1768" s="70"/>
      <c r="J1768" s="44" t="str">
        <f t="shared" si="311"/>
        <v/>
      </c>
      <c r="K1768" s="116"/>
      <c r="L1768" s="117"/>
      <c r="M1768" s="67"/>
      <c r="N1768" s="33">
        <f t="shared" si="276"/>
        <v>0</v>
      </c>
      <c r="O1768" s="70"/>
      <c r="P1768" s="34" t="str">
        <f t="shared" si="277"/>
        <v/>
      </c>
      <c r="Q1768" s="60"/>
      <c r="R1768" s="36">
        <f t="shared" si="312"/>
        <v>0</v>
      </c>
      <c r="S1768" s="71"/>
      <c r="T1768" s="37">
        <f t="shared" si="302"/>
        <v>0</v>
      </c>
      <c r="U1768" s="62"/>
      <c r="V1768" s="63"/>
      <c r="W1768" s="63"/>
      <c r="X1768" s="35" t="str">
        <f t="shared" si="303"/>
        <v>#N/A</v>
      </c>
      <c r="Y1768" s="35" t="str">
        <f t="shared" si="304"/>
        <v>#N/A</v>
      </c>
      <c r="Z1768" s="40" t="str">
        <f t="shared" si="305"/>
        <v>#N/A</v>
      </c>
      <c r="AA1768" s="34" t="str">
        <f t="shared" si="306"/>
        <v>#N/A</v>
      </c>
      <c r="AB1768" s="41" t="str">
        <f t="shared" si="307"/>
        <v>#N/A</v>
      </c>
      <c r="AC1768" s="42" t="b">
        <v>0</v>
      </c>
      <c r="AD1768" s="66" t="str">
        <f t="shared" si="308"/>
        <v>USD</v>
      </c>
      <c r="AE1768" s="42"/>
      <c r="AF1768" s="42" t="str">
        <f t="array" ref="AF1768">INDEX('Deal Info'!D:D, MATCH(A1768,'Deal Info'!A:A, 0))</f>
        <v>#N/A</v>
      </c>
      <c r="AG1768" s="43" t="str">
        <f t="array" ref="AG1768">INDEX('Deal Info'!G:G, MATCH(A1768,'Deal Info'!A:A, 0))</f>
        <v>#N/A</v>
      </c>
    </row>
    <row r="1769" hidden="1">
      <c r="A1769" s="23" t="b">
        <f t="array" ref="A1769">if(G1769='Room Info'!$B$1, INDEX('Room Info'!$A$2:$A3446, MATCH(B1769,'Room Info'!$B$2:$B3446, 0)),if(G1769='Room Info'!$C$1, INDEX('Room Info'!$A$2:$A3446, MATCH(B1769,'Room Info'!$C$2:$C3446, 0)),if(G1769='Room Info'!$D$1, INDEX('Room Info'!$A$2:$A3446, MATCH(B1769,'Room Info'!$D$2:$D3446, 0)),if(G1769='Room Info'!$E$1, INDEX('Room Info'!$A$2:$A3446, MATCH(B1769,'Room Info'!$E$2:$E3446, 0)),if(G1769='Room Info'!$F$1, INDEX('Room Info'!$A$2:$A3446, MATCH(B1769,'Room Info'!$F$2:$F3446, 0)),if(G1769='Room Info'!$H$1, INDEX('Room Info'!$A$2:$A3446, MATCH(B1769,'Room Info'!$H$2:$H3446, 0)),if(G1769='Room Info'!$G$1, INDEX('Room Info'!$A$2:$A3446, MATCH(B1769,'Room Info'!$G$2:$G3446, 0)))))))))</f>
        <v>0</v>
      </c>
      <c r="B1769" s="101"/>
      <c r="C1769" s="115"/>
      <c r="D1769" s="115"/>
      <c r="E1769" s="85"/>
      <c r="F1769" s="138"/>
      <c r="G1769" s="70"/>
      <c r="H1769" s="70"/>
      <c r="I1769" s="70"/>
      <c r="J1769" s="44" t="str">
        <f t="shared" si="311"/>
        <v/>
      </c>
      <c r="K1769" s="116"/>
      <c r="L1769" s="117"/>
      <c r="M1769" s="67"/>
      <c r="N1769" s="33">
        <f t="shared" si="276"/>
        <v>0</v>
      </c>
      <c r="O1769" s="70"/>
      <c r="P1769" s="34" t="str">
        <f t="shared" si="277"/>
        <v/>
      </c>
      <c r="Q1769" s="60"/>
      <c r="R1769" s="36">
        <f t="shared" si="312"/>
        <v>0</v>
      </c>
      <c r="S1769" s="71"/>
      <c r="T1769" s="37">
        <f t="shared" si="302"/>
        <v>0</v>
      </c>
      <c r="U1769" s="62"/>
      <c r="V1769" s="63"/>
      <c r="W1769" s="63"/>
      <c r="X1769" s="35" t="str">
        <f t="shared" si="303"/>
        <v>#N/A</v>
      </c>
      <c r="Y1769" s="35" t="str">
        <f t="shared" si="304"/>
        <v>#N/A</v>
      </c>
      <c r="Z1769" s="40" t="str">
        <f t="shared" si="305"/>
        <v>#N/A</v>
      </c>
      <c r="AA1769" s="34" t="str">
        <f t="shared" si="306"/>
        <v>#N/A</v>
      </c>
      <c r="AB1769" s="41" t="str">
        <f t="shared" si="307"/>
        <v>#N/A</v>
      </c>
      <c r="AC1769" s="42" t="b">
        <v>0</v>
      </c>
      <c r="AD1769" s="66" t="str">
        <f t="shared" si="308"/>
        <v>USD</v>
      </c>
      <c r="AE1769" s="42"/>
      <c r="AF1769" s="42" t="str">
        <f t="array" ref="AF1769">INDEX('Deal Info'!D:D, MATCH(A1769,'Deal Info'!A:A, 0))</f>
        <v>#N/A</v>
      </c>
      <c r="AG1769" s="43" t="str">
        <f t="array" ref="AG1769">INDEX('Deal Info'!G:G, MATCH(A1769,'Deal Info'!A:A, 0))</f>
        <v>#N/A</v>
      </c>
    </row>
    <row r="1770" hidden="1">
      <c r="A1770" s="23" t="b">
        <f t="array" ref="A1770">if(G1770='Room Info'!$B$1, INDEX('Room Info'!$A$2:$A3446, MATCH(B1770,'Room Info'!$B$2:$B3446, 0)),if(G1770='Room Info'!$C$1, INDEX('Room Info'!$A$2:$A3446, MATCH(B1770,'Room Info'!$C$2:$C3446, 0)),if(G1770='Room Info'!$D$1, INDEX('Room Info'!$A$2:$A3446, MATCH(B1770,'Room Info'!$D$2:$D3446, 0)),if(G1770='Room Info'!$E$1, INDEX('Room Info'!$A$2:$A3446, MATCH(B1770,'Room Info'!$E$2:$E3446, 0)),if(G1770='Room Info'!$F$1, INDEX('Room Info'!$A$2:$A3446, MATCH(B1770,'Room Info'!$F$2:$F3446, 0)),if(G1770='Room Info'!$H$1, INDEX('Room Info'!$A$2:$A3446, MATCH(B1770,'Room Info'!$H$2:$H3446, 0)),if(G1770='Room Info'!$G$1, INDEX('Room Info'!$A$2:$A3446, MATCH(B1770,'Room Info'!$G$2:$G3446, 0)))))))))</f>
        <v>0</v>
      </c>
      <c r="B1770" s="70"/>
      <c r="C1770" s="115"/>
      <c r="D1770" s="115"/>
      <c r="E1770" s="85"/>
      <c r="F1770" s="101"/>
      <c r="G1770" s="70"/>
      <c r="H1770" s="114"/>
      <c r="I1770" s="114"/>
      <c r="J1770" s="44" t="str">
        <f t="shared" si="311"/>
        <v/>
      </c>
      <c r="K1770" s="139"/>
      <c r="L1770" s="140"/>
      <c r="M1770" s="67"/>
      <c r="N1770" s="33">
        <f t="shared" si="276"/>
        <v>0</v>
      </c>
      <c r="O1770" s="101"/>
      <c r="P1770" s="34" t="str">
        <f t="shared" si="277"/>
        <v/>
      </c>
      <c r="Q1770" s="60"/>
      <c r="R1770" s="36">
        <f t="shared" si="312"/>
        <v>0</v>
      </c>
      <c r="S1770" s="102"/>
      <c r="T1770" s="37">
        <f t="shared" si="302"/>
        <v>0</v>
      </c>
      <c r="U1770" s="62"/>
      <c r="V1770" s="63"/>
      <c r="W1770" s="63"/>
      <c r="X1770" s="35" t="str">
        <f t="shared" si="303"/>
        <v>#N/A</v>
      </c>
      <c r="Y1770" s="35" t="str">
        <f t="shared" si="304"/>
        <v>#N/A</v>
      </c>
      <c r="Z1770" s="40" t="str">
        <f t="shared" si="305"/>
        <v>#N/A</v>
      </c>
      <c r="AA1770" s="34" t="str">
        <f t="shared" si="306"/>
        <v>#N/A</v>
      </c>
      <c r="AB1770" s="41" t="str">
        <f t="shared" si="307"/>
        <v>#N/A</v>
      </c>
      <c r="AC1770" s="42" t="b">
        <v>0</v>
      </c>
      <c r="AD1770" s="66" t="str">
        <f t="shared" si="308"/>
        <v>USD</v>
      </c>
      <c r="AE1770" s="42"/>
      <c r="AF1770" s="42" t="str">
        <f t="array" ref="AF1770">INDEX('Deal Info'!D:D, MATCH(A1770,'Deal Info'!A:A, 0))</f>
        <v>#N/A</v>
      </c>
      <c r="AG1770" s="43" t="str">
        <f t="array" ref="AG1770">INDEX('Deal Info'!G:G, MATCH(A1770,'Deal Info'!A:A, 0))</f>
        <v>#N/A</v>
      </c>
    </row>
    <row r="1771" hidden="1">
      <c r="A1771" s="23" t="b">
        <f t="array" ref="A1771">if(G1771='Room Info'!$B$1, INDEX('Room Info'!$A$2:$A3446, MATCH(B1771,'Room Info'!$B$2:$B3446, 0)),if(G1771='Room Info'!$C$1, INDEX('Room Info'!$A$2:$A3446, MATCH(B1771,'Room Info'!$C$2:$C3446, 0)),if(G1771='Room Info'!$D$1, INDEX('Room Info'!$A$2:$A3446, MATCH(B1771,'Room Info'!$D$2:$D3446, 0)),if(G1771='Room Info'!$E$1, INDEX('Room Info'!$A$2:$A3446, MATCH(B1771,'Room Info'!$E$2:$E3446, 0)),if(G1771='Room Info'!$F$1, INDEX('Room Info'!$A$2:$A3446, MATCH(B1771,'Room Info'!$F$2:$F3446, 0)),if(G1771='Room Info'!$H$1, INDEX('Room Info'!$A$2:$A3446, MATCH(B1771,'Room Info'!$H$2:$H3446, 0)),if(G1771='Room Info'!$G$1, INDEX('Room Info'!$A$2:$A3446, MATCH(B1771,'Room Info'!$G$2:$G3446, 0)))))))))</f>
        <v>0</v>
      </c>
      <c r="B1771" s="101"/>
      <c r="C1771" s="115"/>
      <c r="D1771" s="115"/>
      <c r="E1771" s="85"/>
      <c r="F1771" s="138"/>
      <c r="G1771" s="70"/>
      <c r="H1771" s="114"/>
      <c r="I1771" s="114"/>
      <c r="J1771" s="44" t="str">
        <f t="shared" si="311"/>
        <v/>
      </c>
      <c r="K1771" s="139"/>
      <c r="L1771" s="140"/>
      <c r="M1771" s="67"/>
      <c r="N1771" s="33">
        <f t="shared" si="276"/>
        <v>0</v>
      </c>
      <c r="O1771" s="101"/>
      <c r="P1771" s="34" t="str">
        <f t="shared" si="277"/>
        <v/>
      </c>
      <c r="Q1771" s="60"/>
      <c r="R1771" s="36">
        <f t="shared" si="312"/>
        <v>0</v>
      </c>
      <c r="S1771" s="102"/>
      <c r="T1771" s="37">
        <f t="shared" si="302"/>
        <v>0</v>
      </c>
      <c r="U1771" s="62"/>
      <c r="V1771" s="63"/>
      <c r="W1771" s="63"/>
      <c r="X1771" s="35" t="str">
        <f t="shared" si="303"/>
        <v>#N/A</v>
      </c>
      <c r="Y1771" s="35" t="str">
        <f t="shared" si="304"/>
        <v>#N/A</v>
      </c>
      <c r="Z1771" s="40" t="str">
        <f t="shared" si="305"/>
        <v>#N/A</v>
      </c>
      <c r="AA1771" s="34" t="str">
        <f t="shared" si="306"/>
        <v>#N/A</v>
      </c>
      <c r="AB1771" s="41" t="str">
        <f t="shared" si="307"/>
        <v>#N/A</v>
      </c>
      <c r="AC1771" s="42" t="b">
        <v>0</v>
      </c>
      <c r="AD1771" s="66" t="str">
        <f t="shared" si="308"/>
        <v>USD</v>
      </c>
      <c r="AE1771" s="42"/>
      <c r="AF1771" s="42" t="str">
        <f t="array" ref="AF1771">INDEX('Deal Info'!D:D, MATCH(A1771,'Deal Info'!A:A, 0))</f>
        <v>#N/A</v>
      </c>
      <c r="AG1771" s="43" t="str">
        <f t="array" ref="AG1771">INDEX('Deal Info'!G:G, MATCH(A1771,'Deal Info'!A:A, 0))</f>
        <v>#N/A</v>
      </c>
    </row>
    <row r="1772" hidden="1">
      <c r="A1772" s="23" t="b">
        <f t="array" ref="A1772">if(G1772='Room Info'!$B$1, INDEX('Room Info'!$A$2:$A3446, MATCH(B1772,'Room Info'!$B$2:$B3446, 0)),if(G1772='Room Info'!$C$1, INDEX('Room Info'!$A$2:$A3446, MATCH(B1772,'Room Info'!$C$2:$C3446, 0)),if(G1772='Room Info'!$D$1, INDEX('Room Info'!$A$2:$A3446, MATCH(B1772,'Room Info'!$D$2:$D3446, 0)),if(G1772='Room Info'!$E$1, INDEX('Room Info'!$A$2:$A3446, MATCH(B1772,'Room Info'!$E$2:$E3446, 0)),if(G1772='Room Info'!$F$1, INDEX('Room Info'!$A$2:$A3446, MATCH(B1772,'Room Info'!$F$2:$F3446, 0)),if(G1772='Room Info'!$H$1, INDEX('Room Info'!$A$2:$A3446, MATCH(B1772,'Room Info'!$H$2:$H3446, 0)),if(G1772='Room Info'!$G$1, INDEX('Room Info'!$A$2:$A3446, MATCH(B1772,'Room Info'!$G$2:$G3446, 0)))))))))</f>
        <v>0</v>
      </c>
      <c r="B1772" s="101"/>
      <c r="C1772" s="115"/>
      <c r="D1772" s="115"/>
      <c r="E1772" s="85"/>
      <c r="F1772" s="138"/>
      <c r="G1772" s="70"/>
      <c r="H1772" s="114"/>
      <c r="I1772" s="114"/>
      <c r="J1772" s="44" t="str">
        <f t="shared" si="311"/>
        <v/>
      </c>
      <c r="K1772" s="139"/>
      <c r="L1772" s="140"/>
      <c r="M1772" s="67"/>
      <c r="N1772" s="33">
        <f t="shared" si="276"/>
        <v>0</v>
      </c>
      <c r="O1772" s="101"/>
      <c r="P1772" s="34" t="str">
        <f t="shared" si="277"/>
        <v/>
      </c>
      <c r="Q1772" s="60"/>
      <c r="R1772" s="36">
        <f t="shared" si="312"/>
        <v>0</v>
      </c>
      <c r="S1772" s="102"/>
      <c r="T1772" s="37">
        <f t="shared" si="302"/>
        <v>0</v>
      </c>
      <c r="U1772" s="62"/>
      <c r="V1772" s="63"/>
      <c r="W1772" s="63"/>
      <c r="X1772" s="35" t="str">
        <f t="shared" si="303"/>
        <v>#N/A</v>
      </c>
      <c r="Y1772" s="35" t="str">
        <f t="shared" si="304"/>
        <v>#N/A</v>
      </c>
      <c r="Z1772" s="40" t="str">
        <f t="shared" si="305"/>
        <v>#N/A</v>
      </c>
      <c r="AA1772" s="34" t="str">
        <f t="shared" si="306"/>
        <v>#N/A</v>
      </c>
      <c r="AB1772" s="41" t="str">
        <f t="shared" si="307"/>
        <v>#N/A</v>
      </c>
      <c r="AC1772" s="42" t="b">
        <v>0</v>
      </c>
      <c r="AD1772" s="66" t="str">
        <f t="shared" si="308"/>
        <v>USD</v>
      </c>
      <c r="AE1772" s="42"/>
      <c r="AF1772" s="42" t="str">
        <f t="array" ref="AF1772">INDEX('Deal Info'!D:D, MATCH(A1772,'Deal Info'!A:A, 0))</f>
        <v>#N/A</v>
      </c>
      <c r="AG1772" s="43" t="str">
        <f t="array" ref="AG1772">INDEX('Deal Info'!G:G, MATCH(A1772,'Deal Info'!A:A, 0))</f>
        <v>#N/A</v>
      </c>
    </row>
    <row r="1773" hidden="1">
      <c r="A1773" s="23" t="b">
        <f t="array" ref="A1773">if(G1773='Room Info'!$B$1, INDEX('Room Info'!$A$2:$A3446, MATCH(B1773,'Room Info'!$B$2:$B3446, 0)),if(G1773='Room Info'!$C$1, INDEX('Room Info'!$A$2:$A3446, MATCH(B1773,'Room Info'!$C$2:$C3446, 0)),if(G1773='Room Info'!$D$1, INDEX('Room Info'!$A$2:$A3446, MATCH(B1773,'Room Info'!$D$2:$D3446, 0)),if(G1773='Room Info'!$E$1, INDEX('Room Info'!$A$2:$A3446, MATCH(B1773,'Room Info'!$E$2:$E3446, 0)),if(G1773='Room Info'!$F$1, INDEX('Room Info'!$A$2:$A3446, MATCH(B1773,'Room Info'!$F$2:$F3446, 0)),if(G1773='Room Info'!$H$1, INDEX('Room Info'!$A$2:$A3446, MATCH(B1773,'Room Info'!$H$2:$H3446, 0)),if(G1773='Room Info'!$G$1, INDEX('Room Info'!$A$2:$A3446, MATCH(B1773,'Room Info'!$G$2:$G3446, 0)))))))))</f>
        <v>0</v>
      </c>
      <c r="B1773" s="101"/>
      <c r="C1773" s="115"/>
      <c r="D1773" s="115"/>
      <c r="E1773" s="85"/>
      <c r="F1773" s="138"/>
      <c r="G1773" s="70"/>
      <c r="H1773" s="114"/>
      <c r="I1773" s="114"/>
      <c r="J1773" s="44" t="str">
        <f t="shared" si="311"/>
        <v/>
      </c>
      <c r="K1773" s="139"/>
      <c r="L1773" s="140"/>
      <c r="M1773" s="67"/>
      <c r="N1773" s="33">
        <f t="shared" si="276"/>
        <v>0</v>
      </c>
      <c r="O1773" s="101"/>
      <c r="P1773" s="34" t="str">
        <f t="shared" si="277"/>
        <v/>
      </c>
      <c r="Q1773" s="60"/>
      <c r="R1773" s="36">
        <f t="shared" si="312"/>
        <v>0</v>
      </c>
      <c r="S1773" s="102"/>
      <c r="T1773" s="37">
        <f t="shared" si="302"/>
        <v>0</v>
      </c>
      <c r="U1773" s="62"/>
      <c r="V1773" s="63"/>
      <c r="W1773" s="63"/>
      <c r="X1773" s="35" t="str">
        <f t="shared" si="303"/>
        <v>#N/A</v>
      </c>
      <c r="Y1773" s="35" t="str">
        <f t="shared" si="304"/>
        <v>#N/A</v>
      </c>
      <c r="Z1773" s="40" t="str">
        <f t="shared" si="305"/>
        <v>#N/A</v>
      </c>
      <c r="AA1773" s="34" t="str">
        <f t="shared" si="306"/>
        <v>#N/A</v>
      </c>
      <c r="AB1773" s="41" t="str">
        <f t="shared" si="307"/>
        <v>#N/A</v>
      </c>
      <c r="AC1773" s="42" t="b">
        <v>0</v>
      </c>
      <c r="AD1773" s="66" t="str">
        <f t="shared" si="308"/>
        <v>USD</v>
      </c>
      <c r="AE1773" s="42"/>
      <c r="AF1773" s="42" t="str">
        <f t="array" ref="AF1773">INDEX('Deal Info'!D:D, MATCH(A1773,'Deal Info'!A:A, 0))</f>
        <v>#N/A</v>
      </c>
      <c r="AG1773" s="43" t="str">
        <f t="array" ref="AG1773">INDEX('Deal Info'!G:G, MATCH(A1773,'Deal Info'!A:A, 0))</f>
        <v>#N/A</v>
      </c>
    </row>
    <row r="1774" hidden="1">
      <c r="A1774" s="23" t="b">
        <f t="array" ref="A1774">if(G1774='Room Info'!$B$1, INDEX('Room Info'!$A$2:$A3446, MATCH(B1774,'Room Info'!$B$2:$B3446, 0)),if(G1774='Room Info'!$C$1, INDEX('Room Info'!$A$2:$A3446, MATCH(B1774,'Room Info'!$C$2:$C3446, 0)),if(G1774='Room Info'!$D$1, INDEX('Room Info'!$A$2:$A3446, MATCH(B1774,'Room Info'!$D$2:$D3446, 0)),if(G1774='Room Info'!$E$1, INDEX('Room Info'!$A$2:$A3446, MATCH(B1774,'Room Info'!$E$2:$E3446, 0)),if(G1774='Room Info'!$F$1, INDEX('Room Info'!$A$2:$A3446, MATCH(B1774,'Room Info'!$F$2:$F3446, 0)),if(G1774='Room Info'!$H$1, INDEX('Room Info'!$A$2:$A3446, MATCH(B1774,'Room Info'!$H$2:$H3446, 0)),if(G1774='Room Info'!$G$1, INDEX('Room Info'!$A$2:$A3446, MATCH(B1774,'Room Info'!$G$2:$G3446, 0)))))))))</f>
        <v>0</v>
      </c>
      <c r="B1774" s="101"/>
      <c r="C1774" s="141"/>
      <c r="D1774" s="141"/>
      <c r="E1774" s="142"/>
      <c r="F1774" s="138"/>
      <c r="G1774" s="101"/>
      <c r="H1774" s="105"/>
      <c r="I1774" s="105"/>
      <c r="J1774" s="44" t="str">
        <f t="shared" si="311"/>
        <v/>
      </c>
      <c r="K1774" s="139"/>
      <c r="L1774" s="140"/>
      <c r="M1774" s="84"/>
      <c r="N1774" s="33">
        <f t="shared" si="276"/>
        <v>0</v>
      </c>
      <c r="O1774" s="101"/>
      <c r="P1774" s="34" t="str">
        <f t="shared" si="277"/>
        <v/>
      </c>
      <c r="Q1774" s="60"/>
      <c r="R1774" s="36">
        <f t="shared" si="312"/>
        <v>0</v>
      </c>
      <c r="S1774" s="102"/>
      <c r="T1774" s="37">
        <f t="shared" si="302"/>
        <v>0</v>
      </c>
      <c r="U1774" s="62"/>
      <c r="V1774" s="63"/>
      <c r="W1774" s="63"/>
      <c r="X1774" s="35" t="str">
        <f t="shared" si="303"/>
        <v>#N/A</v>
      </c>
      <c r="Y1774" s="35" t="str">
        <f t="shared" si="304"/>
        <v>#N/A</v>
      </c>
      <c r="Z1774" s="40" t="str">
        <f t="shared" si="305"/>
        <v>#N/A</v>
      </c>
      <c r="AA1774" s="34" t="str">
        <f t="shared" si="306"/>
        <v>#N/A</v>
      </c>
      <c r="AB1774" s="41" t="str">
        <f t="shared" si="307"/>
        <v>#N/A</v>
      </c>
      <c r="AC1774" s="42" t="b">
        <v>0</v>
      </c>
      <c r="AD1774" s="66" t="str">
        <f t="shared" si="308"/>
        <v>USD</v>
      </c>
      <c r="AE1774" s="42"/>
      <c r="AF1774" s="42" t="str">
        <f t="array" ref="AF1774">INDEX('Deal Info'!D:D, MATCH(A1774,'Deal Info'!A:A, 0))</f>
        <v>#N/A</v>
      </c>
      <c r="AG1774" s="43" t="str">
        <f t="array" ref="AG1774">INDEX('Deal Info'!G:G, MATCH(A1774,'Deal Info'!A:A, 0))</f>
        <v>#N/A</v>
      </c>
    </row>
    <row r="1775" hidden="1">
      <c r="A1775" s="23" t="b">
        <f t="array" ref="A1775">if(G1775='Room Info'!$B$1, INDEX('Room Info'!$A$2:$A3446, MATCH(B1775,'Room Info'!$B$2:$B3446, 0)),if(G1775='Room Info'!$C$1, INDEX('Room Info'!$A$2:$A3446, MATCH(B1775,'Room Info'!$C$2:$C3446, 0)),if(G1775='Room Info'!$D$1, INDEX('Room Info'!$A$2:$A3446, MATCH(B1775,'Room Info'!$D$2:$D3446, 0)),if(G1775='Room Info'!$E$1, INDEX('Room Info'!$A$2:$A3446, MATCH(B1775,'Room Info'!$E$2:$E3446, 0)),if(G1775='Room Info'!$F$1, INDEX('Room Info'!$A$2:$A3446, MATCH(B1775,'Room Info'!$F$2:$F3446, 0)),if(G1775='Room Info'!$H$1, INDEX('Room Info'!$A$2:$A3446, MATCH(B1775,'Room Info'!$H$2:$H3446, 0)),if(G1775='Room Info'!$G$1, INDEX('Room Info'!$A$2:$A3446, MATCH(B1775,'Room Info'!$G$2:$G3446, 0)))))))))</f>
        <v>0</v>
      </c>
      <c r="B1775" s="101"/>
      <c r="C1775" s="141"/>
      <c r="D1775" s="141"/>
      <c r="E1775" s="142"/>
      <c r="F1775" s="138"/>
      <c r="G1775" s="101"/>
      <c r="H1775" s="105"/>
      <c r="I1775" s="105"/>
      <c r="J1775" s="44" t="str">
        <f t="shared" si="311"/>
        <v/>
      </c>
      <c r="K1775" s="139"/>
      <c r="L1775" s="140"/>
      <c r="M1775" s="84"/>
      <c r="N1775" s="33">
        <f t="shared" si="276"/>
        <v>0</v>
      </c>
      <c r="O1775" s="101"/>
      <c r="P1775" s="34" t="str">
        <f t="shared" si="277"/>
        <v/>
      </c>
      <c r="Q1775" s="60"/>
      <c r="R1775" s="36">
        <f t="shared" si="312"/>
        <v>0</v>
      </c>
      <c r="S1775" s="102"/>
      <c r="T1775" s="37">
        <f t="shared" si="302"/>
        <v>0</v>
      </c>
      <c r="U1775" s="62"/>
      <c r="V1775" s="63"/>
      <c r="W1775" s="63"/>
      <c r="X1775" s="35" t="str">
        <f t="shared" si="303"/>
        <v>#N/A</v>
      </c>
      <c r="Y1775" s="35" t="str">
        <f t="shared" si="304"/>
        <v>#N/A</v>
      </c>
      <c r="Z1775" s="40" t="str">
        <f t="shared" si="305"/>
        <v>#N/A</v>
      </c>
      <c r="AA1775" s="34" t="str">
        <f t="shared" si="306"/>
        <v>#N/A</v>
      </c>
      <c r="AB1775" s="41" t="str">
        <f t="shared" si="307"/>
        <v>#N/A</v>
      </c>
      <c r="AC1775" s="42" t="b">
        <v>0</v>
      </c>
      <c r="AD1775" s="66" t="str">
        <f t="shared" si="308"/>
        <v>USD</v>
      </c>
      <c r="AE1775" s="42"/>
      <c r="AF1775" s="42" t="str">
        <f t="array" ref="AF1775">INDEX('Deal Info'!D:D, MATCH(A1775,'Deal Info'!A:A, 0))</f>
        <v>#N/A</v>
      </c>
      <c r="AG1775" s="43" t="str">
        <f t="array" ref="AG1775">INDEX('Deal Info'!G:G, MATCH(A1775,'Deal Info'!A:A, 0))</f>
        <v>#N/A</v>
      </c>
    </row>
    <row r="1776" hidden="1">
      <c r="A1776" s="23" t="b">
        <f t="array" ref="A1776">if(G1776='Room Info'!$B$1, INDEX('Room Info'!$A$2:$A3446, MATCH(B1776,'Room Info'!$B$2:$B3446, 0)),if(G1776='Room Info'!$C$1, INDEX('Room Info'!$A$2:$A3446, MATCH(B1776,'Room Info'!$C$2:$C3446, 0)),if(G1776='Room Info'!$D$1, INDEX('Room Info'!$A$2:$A3446, MATCH(B1776,'Room Info'!$D$2:$D3446, 0)),if(G1776='Room Info'!$E$1, INDEX('Room Info'!$A$2:$A3446, MATCH(B1776,'Room Info'!$E$2:$E3446, 0)),if(G1776='Room Info'!$F$1, INDEX('Room Info'!$A$2:$A3446, MATCH(B1776,'Room Info'!$F$2:$F3446, 0)),if(G1776='Room Info'!$H$1, INDEX('Room Info'!$A$2:$A3446, MATCH(B1776,'Room Info'!$H$2:$H3446, 0)),if(G1776='Room Info'!$G$1, INDEX('Room Info'!$A$2:$A3446, MATCH(B1776,'Room Info'!$G$2:$G3446, 0)))))))))</f>
        <v>0</v>
      </c>
      <c r="B1776" s="101"/>
      <c r="C1776" s="115"/>
      <c r="D1776" s="115"/>
      <c r="E1776" s="85"/>
      <c r="F1776" s="138"/>
      <c r="G1776" s="70"/>
      <c r="H1776" s="114"/>
      <c r="I1776" s="114"/>
      <c r="J1776" s="44" t="str">
        <f t="shared" si="311"/>
        <v/>
      </c>
      <c r="K1776" s="116"/>
      <c r="L1776" s="117"/>
      <c r="M1776" s="67"/>
      <c r="N1776" s="33">
        <f t="shared" si="276"/>
        <v>0</v>
      </c>
      <c r="O1776" s="70"/>
      <c r="P1776" s="34" t="str">
        <f t="shared" si="277"/>
        <v/>
      </c>
      <c r="Q1776" s="60"/>
      <c r="R1776" s="36">
        <f t="shared" si="312"/>
        <v>0</v>
      </c>
      <c r="S1776" s="71"/>
      <c r="T1776" s="37">
        <f t="shared" si="302"/>
        <v>0</v>
      </c>
      <c r="U1776" s="62"/>
      <c r="V1776" s="63"/>
      <c r="W1776" s="63"/>
      <c r="X1776" s="35" t="str">
        <f t="shared" si="303"/>
        <v>#N/A</v>
      </c>
      <c r="Y1776" s="35" t="str">
        <f t="shared" si="304"/>
        <v>#N/A</v>
      </c>
      <c r="Z1776" s="40" t="str">
        <f t="shared" si="305"/>
        <v>#N/A</v>
      </c>
      <c r="AA1776" s="34" t="str">
        <f t="shared" si="306"/>
        <v>#N/A</v>
      </c>
      <c r="AB1776" s="41" t="str">
        <f t="shared" si="307"/>
        <v>#N/A</v>
      </c>
      <c r="AC1776" s="42" t="b">
        <v>0</v>
      </c>
      <c r="AD1776" s="66" t="str">
        <f t="shared" si="308"/>
        <v>USD</v>
      </c>
      <c r="AE1776" s="42"/>
      <c r="AF1776" s="42" t="str">
        <f t="array" ref="AF1776">INDEX('Deal Info'!D:D, MATCH(A1776,'Deal Info'!A:A, 0))</f>
        <v>#N/A</v>
      </c>
      <c r="AG1776" s="43" t="str">
        <f t="array" ref="AG1776">INDEX('Deal Info'!G:G, MATCH(A1776,'Deal Info'!A:A, 0))</f>
        <v>#N/A</v>
      </c>
    </row>
    <row r="1777" hidden="1">
      <c r="A1777" s="23" t="b">
        <f t="array" ref="A1777">if(G1777='Room Info'!$B$1, INDEX('Room Info'!$A$2:$A3446, MATCH(B1777,'Room Info'!$B$2:$B3446, 0)),if(G1777='Room Info'!$C$1, INDEX('Room Info'!$A$2:$A3446, MATCH(B1777,'Room Info'!$C$2:$C3446, 0)),if(G1777='Room Info'!$D$1, INDEX('Room Info'!$A$2:$A3446, MATCH(B1777,'Room Info'!$D$2:$D3446, 0)),if(G1777='Room Info'!$E$1, INDEX('Room Info'!$A$2:$A3446, MATCH(B1777,'Room Info'!$E$2:$E3446, 0)),if(G1777='Room Info'!$F$1, INDEX('Room Info'!$A$2:$A3446, MATCH(B1777,'Room Info'!$F$2:$F3446, 0)),if(G1777='Room Info'!$H$1, INDEX('Room Info'!$A$2:$A3446, MATCH(B1777,'Room Info'!$H$2:$H3446, 0)),if(G1777='Room Info'!$G$1, INDEX('Room Info'!$A$2:$A3446, MATCH(B1777,'Room Info'!$G$2:$G3446, 0)))))))))</f>
        <v>0</v>
      </c>
      <c r="B1777" s="101"/>
      <c r="C1777" s="115"/>
      <c r="D1777" s="115"/>
      <c r="E1777" s="85"/>
      <c r="F1777" s="138"/>
      <c r="G1777" s="101"/>
      <c r="H1777" s="114"/>
      <c r="I1777" s="114"/>
      <c r="J1777" s="44" t="str">
        <f t="shared" si="311"/>
        <v/>
      </c>
      <c r="K1777" s="116"/>
      <c r="L1777" s="117"/>
      <c r="M1777" s="67"/>
      <c r="N1777" s="33">
        <f t="shared" si="276"/>
        <v>0</v>
      </c>
      <c r="O1777" s="70"/>
      <c r="P1777" s="34" t="str">
        <f t="shared" si="277"/>
        <v/>
      </c>
      <c r="Q1777" s="60"/>
      <c r="R1777" s="36">
        <f t="shared" si="312"/>
        <v>0</v>
      </c>
      <c r="S1777" s="71"/>
      <c r="T1777" s="37">
        <f t="shared" si="302"/>
        <v>0</v>
      </c>
      <c r="U1777" s="62"/>
      <c r="V1777" s="63"/>
      <c r="W1777" s="63"/>
      <c r="X1777" s="35" t="str">
        <f t="shared" si="303"/>
        <v>#N/A</v>
      </c>
      <c r="Y1777" s="35" t="str">
        <f t="shared" si="304"/>
        <v>#N/A</v>
      </c>
      <c r="Z1777" s="40" t="str">
        <f t="shared" si="305"/>
        <v>#N/A</v>
      </c>
      <c r="AA1777" s="34" t="str">
        <f t="shared" si="306"/>
        <v>#N/A</v>
      </c>
      <c r="AB1777" s="41" t="str">
        <f t="shared" si="307"/>
        <v>#N/A</v>
      </c>
      <c r="AC1777" s="42" t="b">
        <v>0</v>
      </c>
      <c r="AD1777" s="66" t="str">
        <f t="shared" si="308"/>
        <v>USD</v>
      </c>
      <c r="AE1777" s="42"/>
      <c r="AF1777" s="42" t="str">
        <f t="array" ref="AF1777">INDEX('Deal Info'!D:D, MATCH(A1777,'Deal Info'!A:A, 0))</f>
        <v>#N/A</v>
      </c>
      <c r="AG1777" s="43" t="str">
        <f t="array" ref="AG1777">INDEX('Deal Info'!G:G, MATCH(A1777,'Deal Info'!A:A, 0))</f>
        <v>#N/A</v>
      </c>
    </row>
    <row r="1778" hidden="1">
      <c r="A1778" s="23" t="b">
        <f t="array" ref="A1778">if(G1778='Room Info'!$B$1, INDEX('Room Info'!$A$2:$A3446, MATCH(B1778,'Room Info'!$B$2:$B3446, 0)),if(G1778='Room Info'!$C$1, INDEX('Room Info'!$A$2:$A3446, MATCH(B1778,'Room Info'!$C$2:$C3446, 0)),if(G1778='Room Info'!$D$1, INDEX('Room Info'!$A$2:$A3446, MATCH(B1778,'Room Info'!$D$2:$D3446, 0)),if(G1778='Room Info'!$E$1, INDEX('Room Info'!$A$2:$A3446, MATCH(B1778,'Room Info'!$E$2:$E3446, 0)),if(G1778='Room Info'!$F$1, INDEX('Room Info'!$A$2:$A3446, MATCH(B1778,'Room Info'!$F$2:$F3446, 0)),if(G1778='Room Info'!$H$1, INDEX('Room Info'!$A$2:$A3446, MATCH(B1778,'Room Info'!$H$2:$H3446, 0)),if(G1778='Room Info'!$G$1, INDEX('Room Info'!$A$2:$A3446, MATCH(B1778,'Room Info'!$G$2:$G3446, 0)))))))))</f>
        <v>0</v>
      </c>
      <c r="B1778" s="101"/>
      <c r="C1778" s="115"/>
      <c r="D1778" s="115"/>
      <c r="E1778" s="85"/>
      <c r="F1778" s="138"/>
      <c r="G1778" s="101"/>
      <c r="H1778" s="114"/>
      <c r="I1778" s="114"/>
      <c r="J1778" s="44" t="str">
        <f t="shared" si="311"/>
        <v/>
      </c>
      <c r="K1778" s="116"/>
      <c r="L1778" s="117"/>
      <c r="M1778" s="67"/>
      <c r="N1778" s="33">
        <f t="shared" si="276"/>
        <v>0</v>
      </c>
      <c r="O1778" s="70"/>
      <c r="P1778" s="34" t="str">
        <f t="shared" si="277"/>
        <v/>
      </c>
      <c r="Q1778" s="60"/>
      <c r="R1778" s="36">
        <f t="shared" si="312"/>
        <v>0</v>
      </c>
      <c r="S1778" s="71"/>
      <c r="T1778" s="37">
        <f t="shared" si="302"/>
        <v>0</v>
      </c>
      <c r="U1778" s="62"/>
      <c r="V1778" s="63"/>
      <c r="W1778" s="63"/>
      <c r="X1778" s="35" t="str">
        <f t="shared" si="303"/>
        <v>#N/A</v>
      </c>
      <c r="Y1778" s="35" t="str">
        <f t="shared" si="304"/>
        <v>#N/A</v>
      </c>
      <c r="Z1778" s="40" t="str">
        <f t="shared" si="305"/>
        <v>#N/A</v>
      </c>
      <c r="AA1778" s="34" t="str">
        <f t="shared" si="306"/>
        <v>#N/A</v>
      </c>
      <c r="AB1778" s="41" t="str">
        <f t="shared" si="307"/>
        <v>#N/A</v>
      </c>
      <c r="AC1778" s="42" t="b">
        <v>0</v>
      </c>
      <c r="AD1778" s="66" t="str">
        <f t="shared" si="308"/>
        <v>USD</v>
      </c>
      <c r="AE1778" s="42"/>
      <c r="AF1778" s="42" t="str">
        <f t="array" ref="AF1778">INDEX('Deal Info'!D:D, MATCH(A1778,'Deal Info'!A:A, 0))</f>
        <v>#N/A</v>
      </c>
      <c r="AG1778" s="43" t="str">
        <f t="array" ref="AG1778">INDEX('Deal Info'!G:G, MATCH(A1778,'Deal Info'!A:A, 0))</f>
        <v>#N/A</v>
      </c>
    </row>
    <row r="1779" hidden="1">
      <c r="A1779" s="23" t="b">
        <f t="array" ref="A1779">if(G1779='Room Info'!$B$1, INDEX('Room Info'!$A$2:$A3446, MATCH(B1779,'Room Info'!$B$2:$B3446, 0)),if(G1779='Room Info'!$C$1, INDEX('Room Info'!$A$2:$A3446, MATCH(B1779,'Room Info'!$C$2:$C3446, 0)),if(G1779='Room Info'!$D$1, INDEX('Room Info'!$A$2:$A3446, MATCH(B1779,'Room Info'!$D$2:$D3446, 0)),if(G1779='Room Info'!$E$1, INDEX('Room Info'!$A$2:$A3446, MATCH(B1779,'Room Info'!$E$2:$E3446, 0)),if(G1779='Room Info'!$F$1, INDEX('Room Info'!$A$2:$A3446, MATCH(B1779,'Room Info'!$F$2:$F3446, 0)),if(G1779='Room Info'!$H$1, INDEX('Room Info'!$A$2:$A3446, MATCH(B1779,'Room Info'!$H$2:$H3446, 0)),if(G1779='Room Info'!$G$1, INDEX('Room Info'!$A$2:$A3446, MATCH(B1779,'Room Info'!$G$2:$G3446, 0)))))))))</f>
        <v>0</v>
      </c>
      <c r="B1779" s="101"/>
      <c r="C1779" s="115"/>
      <c r="D1779" s="115"/>
      <c r="E1779" s="85"/>
      <c r="F1779" s="138"/>
      <c r="G1779" s="101"/>
      <c r="H1779" s="114"/>
      <c r="I1779" s="114"/>
      <c r="J1779" s="44" t="str">
        <f t="shared" si="311"/>
        <v/>
      </c>
      <c r="K1779" s="116"/>
      <c r="L1779" s="117"/>
      <c r="M1779" s="67"/>
      <c r="N1779" s="33">
        <f t="shared" si="276"/>
        <v>0</v>
      </c>
      <c r="O1779" s="70"/>
      <c r="P1779" s="34" t="str">
        <f t="shared" si="277"/>
        <v/>
      </c>
      <c r="Q1779" s="60"/>
      <c r="R1779" s="36">
        <f t="shared" si="312"/>
        <v>0</v>
      </c>
      <c r="S1779" s="71"/>
      <c r="T1779" s="37">
        <f t="shared" si="302"/>
        <v>0</v>
      </c>
      <c r="U1779" s="62"/>
      <c r="V1779" s="63"/>
      <c r="W1779" s="63"/>
      <c r="X1779" s="35" t="str">
        <f t="shared" si="303"/>
        <v>#N/A</v>
      </c>
      <c r="Y1779" s="35" t="str">
        <f t="shared" si="304"/>
        <v>#N/A</v>
      </c>
      <c r="Z1779" s="40" t="str">
        <f t="shared" si="305"/>
        <v>#N/A</v>
      </c>
      <c r="AA1779" s="34" t="str">
        <f t="shared" si="306"/>
        <v>#N/A</v>
      </c>
      <c r="AB1779" s="41" t="str">
        <f t="shared" si="307"/>
        <v>#N/A</v>
      </c>
      <c r="AC1779" s="42" t="b">
        <v>0</v>
      </c>
      <c r="AD1779" s="66" t="str">
        <f t="shared" si="308"/>
        <v>USD</v>
      </c>
      <c r="AE1779" s="42"/>
      <c r="AF1779" s="42" t="str">
        <f t="array" ref="AF1779">INDEX('Deal Info'!D:D, MATCH(A1779,'Deal Info'!A:A, 0))</f>
        <v>#N/A</v>
      </c>
      <c r="AG1779" s="43" t="str">
        <f t="array" ref="AG1779">INDEX('Deal Info'!G:G, MATCH(A1779,'Deal Info'!A:A, 0))</f>
        <v>#N/A</v>
      </c>
    </row>
    <row r="1780" hidden="1">
      <c r="A1780" s="23" t="b">
        <f t="array" ref="A1780">if(G1780='Room Info'!$B$1, INDEX('Room Info'!$A$2:$A3446, MATCH(B1780,'Room Info'!$B$2:$B3446, 0)),if(G1780='Room Info'!$C$1, INDEX('Room Info'!$A$2:$A3446, MATCH(B1780,'Room Info'!$C$2:$C3446, 0)),if(G1780='Room Info'!$D$1, INDEX('Room Info'!$A$2:$A3446, MATCH(B1780,'Room Info'!$D$2:$D3446, 0)),if(G1780='Room Info'!$E$1, INDEX('Room Info'!$A$2:$A3446, MATCH(B1780,'Room Info'!$E$2:$E3446, 0)),if(G1780='Room Info'!$F$1, INDEX('Room Info'!$A$2:$A3446, MATCH(B1780,'Room Info'!$F$2:$F3446, 0)),if(G1780='Room Info'!$H$1, INDEX('Room Info'!$A$2:$A3446, MATCH(B1780,'Room Info'!$H$2:$H3446, 0)),if(G1780='Room Info'!$G$1, INDEX('Room Info'!$A$2:$A3446, MATCH(B1780,'Room Info'!$G$2:$G3446, 0)))))))))</f>
        <v>0</v>
      </c>
      <c r="B1780" s="101"/>
      <c r="C1780" s="115"/>
      <c r="D1780" s="115"/>
      <c r="E1780" s="85"/>
      <c r="F1780" s="138"/>
      <c r="G1780" s="101"/>
      <c r="H1780" s="114"/>
      <c r="I1780" s="114"/>
      <c r="J1780" s="44" t="str">
        <f t="shared" si="311"/>
        <v/>
      </c>
      <c r="K1780" s="116"/>
      <c r="L1780" s="117"/>
      <c r="M1780" s="67"/>
      <c r="N1780" s="33">
        <f t="shared" si="276"/>
        <v>0</v>
      </c>
      <c r="O1780" s="70"/>
      <c r="P1780" s="34" t="str">
        <f t="shared" si="277"/>
        <v/>
      </c>
      <c r="Q1780" s="60"/>
      <c r="R1780" s="36">
        <f t="shared" si="312"/>
        <v>0</v>
      </c>
      <c r="S1780" s="71"/>
      <c r="T1780" s="37">
        <f t="shared" si="302"/>
        <v>0</v>
      </c>
      <c r="U1780" s="62"/>
      <c r="V1780" s="63"/>
      <c r="W1780" s="63"/>
      <c r="X1780" s="35" t="str">
        <f t="shared" si="303"/>
        <v>#N/A</v>
      </c>
      <c r="Y1780" s="35" t="str">
        <f t="shared" si="304"/>
        <v>#N/A</v>
      </c>
      <c r="Z1780" s="40" t="str">
        <f t="shared" si="305"/>
        <v>#N/A</v>
      </c>
      <c r="AA1780" s="34" t="str">
        <f t="shared" si="306"/>
        <v>#N/A</v>
      </c>
      <c r="AB1780" s="41" t="str">
        <f t="shared" si="307"/>
        <v>#N/A</v>
      </c>
      <c r="AC1780" s="42" t="b">
        <v>0</v>
      </c>
      <c r="AD1780" s="66" t="str">
        <f t="shared" si="308"/>
        <v>USD</v>
      </c>
      <c r="AE1780" s="42"/>
      <c r="AF1780" s="42" t="str">
        <f t="array" ref="AF1780">INDEX('Deal Info'!D:D, MATCH(A1780,'Deal Info'!A:A, 0))</f>
        <v>#N/A</v>
      </c>
      <c r="AG1780" s="43" t="str">
        <f t="array" ref="AG1780">INDEX('Deal Info'!G:G, MATCH(A1780,'Deal Info'!A:A, 0))</f>
        <v>#N/A</v>
      </c>
    </row>
    <row r="1781" hidden="1">
      <c r="A1781" s="23" t="b">
        <f t="array" ref="A1781">if(G1781='Room Info'!$B$1, INDEX('Room Info'!$A$2:$A3446, MATCH(B1781,'Room Info'!$B$2:$B3446, 0)),if(G1781='Room Info'!$C$1, INDEX('Room Info'!$A$2:$A3446, MATCH(B1781,'Room Info'!$C$2:$C3446, 0)),if(G1781='Room Info'!$D$1, INDEX('Room Info'!$A$2:$A3446, MATCH(B1781,'Room Info'!$D$2:$D3446, 0)),if(G1781='Room Info'!$E$1, INDEX('Room Info'!$A$2:$A3446, MATCH(B1781,'Room Info'!$E$2:$E3446, 0)),if(G1781='Room Info'!$F$1, INDEX('Room Info'!$A$2:$A3446, MATCH(B1781,'Room Info'!$F$2:$F3446, 0)),if(G1781='Room Info'!$H$1, INDEX('Room Info'!$A$2:$A3446, MATCH(B1781,'Room Info'!$H$2:$H3446, 0)),if(G1781='Room Info'!$G$1, INDEX('Room Info'!$A$2:$A3446, MATCH(B1781,'Room Info'!$G$2:$G3446, 0)))))))))</f>
        <v>0</v>
      </c>
      <c r="B1781" s="101"/>
      <c r="C1781" s="115"/>
      <c r="D1781" s="115"/>
      <c r="E1781" s="85"/>
      <c r="F1781" s="101"/>
      <c r="G1781" s="70"/>
      <c r="H1781" s="105"/>
      <c r="I1781" s="105"/>
      <c r="J1781" s="44" t="str">
        <f t="shared" si="311"/>
        <v/>
      </c>
      <c r="K1781" s="139"/>
      <c r="L1781" s="140"/>
      <c r="M1781" s="67"/>
      <c r="N1781" s="33">
        <f t="shared" si="276"/>
        <v>0</v>
      </c>
      <c r="O1781" s="101"/>
      <c r="P1781" s="34" t="str">
        <f t="shared" si="277"/>
        <v/>
      </c>
      <c r="Q1781" s="60"/>
      <c r="R1781" s="36">
        <f t="shared" si="312"/>
        <v>0</v>
      </c>
      <c r="S1781" s="102"/>
      <c r="T1781" s="37">
        <f t="shared" si="302"/>
        <v>0</v>
      </c>
      <c r="U1781" s="62"/>
      <c r="V1781" s="63"/>
      <c r="W1781" s="63"/>
      <c r="X1781" s="35" t="str">
        <f t="shared" si="303"/>
        <v>#N/A</v>
      </c>
      <c r="Y1781" s="35" t="str">
        <f t="shared" si="304"/>
        <v>#N/A</v>
      </c>
      <c r="Z1781" s="40" t="str">
        <f t="shared" si="305"/>
        <v>#N/A</v>
      </c>
      <c r="AA1781" s="34" t="str">
        <f t="shared" si="306"/>
        <v>#N/A</v>
      </c>
      <c r="AB1781" s="41" t="str">
        <f t="shared" si="307"/>
        <v>#N/A</v>
      </c>
      <c r="AC1781" s="42" t="b">
        <v>0</v>
      </c>
      <c r="AD1781" s="66" t="str">
        <f t="shared" si="308"/>
        <v>USD</v>
      </c>
      <c r="AE1781" s="42"/>
      <c r="AF1781" s="42" t="str">
        <f t="array" ref="AF1781">INDEX('Deal Info'!D:D, MATCH(A1781,'Deal Info'!A:A, 0))</f>
        <v>#N/A</v>
      </c>
      <c r="AG1781" s="43" t="str">
        <f t="array" ref="AG1781">INDEX('Deal Info'!G:G, MATCH(A1781,'Deal Info'!A:A, 0))</f>
        <v>#N/A</v>
      </c>
    </row>
    <row r="1782" hidden="1">
      <c r="A1782" s="23" t="b">
        <f t="array" ref="A1782">if(G1782='Room Info'!$B$1, INDEX('Room Info'!$A$2:$A3446, MATCH(B1782,'Room Info'!$B$2:$B3446, 0)),if(G1782='Room Info'!$C$1, INDEX('Room Info'!$A$2:$A3446, MATCH(B1782,'Room Info'!$C$2:$C3446, 0)),if(G1782='Room Info'!$D$1, INDEX('Room Info'!$A$2:$A3446, MATCH(B1782,'Room Info'!$D$2:$D3446, 0)),if(G1782='Room Info'!$E$1, INDEX('Room Info'!$A$2:$A3446, MATCH(B1782,'Room Info'!$E$2:$E3446, 0)),if(G1782='Room Info'!$F$1, INDEX('Room Info'!$A$2:$A3446, MATCH(B1782,'Room Info'!$F$2:$F3446, 0)),if(G1782='Room Info'!$H$1, INDEX('Room Info'!$A$2:$A3446, MATCH(B1782,'Room Info'!$H$2:$H3446, 0)),if(G1782='Room Info'!$G$1, INDEX('Room Info'!$A$2:$A3446, MATCH(B1782,'Room Info'!$G$2:$G3446, 0)))))))))</f>
        <v>0</v>
      </c>
      <c r="B1782" s="101"/>
      <c r="C1782" s="115"/>
      <c r="D1782" s="115"/>
      <c r="E1782" s="85"/>
      <c r="F1782" s="101"/>
      <c r="G1782" s="70"/>
      <c r="H1782" s="105"/>
      <c r="I1782" s="105"/>
      <c r="J1782" s="44" t="str">
        <f t="shared" si="311"/>
        <v/>
      </c>
      <c r="K1782" s="139"/>
      <c r="L1782" s="140"/>
      <c r="M1782" s="67"/>
      <c r="N1782" s="33">
        <f t="shared" si="276"/>
        <v>0</v>
      </c>
      <c r="O1782" s="101"/>
      <c r="P1782" s="34" t="str">
        <f t="shared" si="277"/>
        <v/>
      </c>
      <c r="Q1782" s="60"/>
      <c r="R1782" s="36">
        <f t="shared" si="312"/>
        <v>0</v>
      </c>
      <c r="S1782" s="102"/>
      <c r="T1782" s="37">
        <f t="shared" si="302"/>
        <v>0</v>
      </c>
      <c r="U1782" s="62"/>
      <c r="V1782" s="63"/>
      <c r="W1782" s="63"/>
      <c r="X1782" s="35" t="str">
        <f t="shared" si="303"/>
        <v>#N/A</v>
      </c>
      <c r="Y1782" s="35" t="str">
        <f t="shared" si="304"/>
        <v>#N/A</v>
      </c>
      <c r="Z1782" s="40" t="str">
        <f t="shared" si="305"/>
        <v>#N/A</v>
      </c>
      <c r="AA1782" s="34" t="str">
        <f t="shared" si="306"/>
        <v>#N/A</v>
      </c>
      <c r="AB1782" s="41" t="str">
        <f t="shared" si="307"/>
        <v>#N/A</v>
      </c>
      <c r="AC1782" s="42" t="b">
        <v>0</v>
      </c>
      <c r="AD1782" s="66" t="str">
        <f t="shared" si="308"/>
        <v>USD</v>
      </c>
      <c r="AE1782" s="42"/>
      <c r="AF1782" s="42" t="str">
        <f t="array" ref="AF1782">INDEX('Deal Info'!D:D, MATCH(A1782,'Deal Info'!A:A, 0))</f>
        <v>#N/A</v>
      </c>
      <c r="AG1782" s="43" t="str">
        <f t="array" ref="AG1782">INDEX('Deal Info'!G:G, MATCH(A1782,'Deal Info'!A:A, 0))</f>
        <v>#N/A</v>
      </c>
    </row>
    <row r="1783" hidden="1">
      <c r="A1783" s="23" t="b">
        <f t="array" ref="A1783">if(G1783='Room Info'!$B$1, INDEX('Room Info'!$A$2:$A3446, MATCH(B1783,'Room Info'!$B$2:$B3446, 0)),if(G1783='Room Info'!$C$1, INDEX('Room Info'!$A$2:$A3446, MATCH(B1783,'Room Info'!$C$2:$C3446, 0)),if(G1783='Room Info'!$D$1, INDEX('Room Info'!$A$2:$A3446, MATCH(B1783,'Room Info'!$D$2:$D3446, 0)),if(G1783='Room Info'!$E$1, INDEX('Room Info'!$A$2:$A3446, MATCH(B1783,'Room Info'!$E$2:$E3446, 0)),if(G1783='Room Info'!$F$1, INDEX('Room Info'!$A$2:$A3446, MATCH(B1783,'Room Info'!$F$2:$F3446, 0)),if(G1783='Room Info'!$H$1, INDEX('Room Info'!$A$2:$A3446, MATCH(B1783,'Room Info'!$H$2:$H3446, 0)),if(G1783='Room Info'!$G$1, INDEX('Room Info'!$A$2:$A3446, MATCH(B1783,'Room Info'!$G$2:$G3446, 0)))))))))</f>
        <v>0</v>
      </c>
      <c r="B1783" s="101"/>
      <c r="C1783" s="115"/>
      <c r="D1783" s="115"/>
      <c r="E1783" s="85"/>
      <c r="F1783" s="101"/>
      <c r="G1783" s="70"/>
      <c r="H1783" s="105"/>
      <c r="I1783" s="105"/>
      <c r="J1783" s="44" t="str">
        <f t="shared" si="311"/>
        <v/>
      </c>
      <c r="K1783" s="139"/>
      <c r="L1783" s="140"/>
      <c r="M1783" s="67"/>
      <c r="N1783" s="33">
        <f t="shared" si="276"/>
        <v>0</v>
      </c>
      <c r="O1783" s="101"/>
      <c r="P1783" s="34" t="str">
        <f t="shared" si="277"/>
        <v/>
      </c>
      <c r="Q1783" s="60"/>
      <c r="R1783" s="36">
        <f t="shared" si="312"/>
        <v>0</v>
      </c>
      <c r="S1783" s="102"/>
      <c r="T1783" s="37">
        <f t="shared" si="302"/>
        <v>0</v>
      </c>
      <c r="U1783" s="62"/>
      <c r="V1783" s="63"/>
      <c r="W1783" s="63"/>
      <c r="X1783" s="35" t="str">
        <f t="shared" si="303"/>
        <v>#N/A</v>
      </c>
      <c r="Y1783" s="35" t="str">
        <f t="shared" si="304"/>
        <v>#N/A</v>
      </c>
      <c r="Z1783" s="40" t="str">
        <f t="shared" si="305"/>
        <v>#N/A</v>
      </c>
      <c r="AA1783" s="34" t="str">
        <f t="shared" si="306"/>
        <v>#N/A</v>
      </c>
      <c r="AB1783" s="41" t="str">
        <f t="shared" si="307"/>
        <v>#N/A</v>
      </c>
      <c r="AC1783" s="42" t="b">
        <v>0</v>
      </c>
      <c r="AD1783" s="66" t="str">
        <f t="shared" si="308"/>
        <v>USD</v>
      </c>
      <c r="AE1783" s="42"/>
      <c r="AF1783" s="42" t="str">
        <f t="array" ref="AF1783">INDEX('Deal Info'!D:D, MATCH(A1783,'Deal Info'!A:A, 0))</f>
        <v>#N/A</v>
      </c>
      <c r="AG1783" s="43" t="str">
        <f t="array" ref="AG1783">INDEX('Deal Info'!G:G, MATCH(A1783,'Deal Info'!A:A, 0))</f>
        <v>#N/A</v>
      </c>
    </row>
    <row r="1784" hidden="1">
      <c r="A1784" s="23" t="b">
        <f t="array" ref="A1784">if(G1784='Room Info'!$B$1, INDEX('Room Info'!$A$2:$A3446, MATCH(B1784,'Room Info'!$B$2:$B3446, 0)),if(G1784='Room Info'!$C$1, INDEX('Room Info'!$A$2:$A3446, MATCH(B1784,'Room Info'!$C$2:$C3446, 0)),if(G1784='Room Info'!$D$1, INDEX('Room Info'!$A$2:$A3446, MATCH(B1784,'Room Info'!$D$2:$D3446, 0)),if(G1784='Room Info'!$E$1, INDEX('Room Info'!$A$2:$A3446, MATCH(B1784,'Room Info'!$E$2:$E3446, 0)),if(G1784='Room Info'!$F$1, INDEX('Room Info'!$A$2:$A3446, MATCH(B1784,'Room Info'!$F$2:$F3446, 0)),if(G1784='Room Info'!$H$1, INDEX('Room Info'!$A$2:$A3446, MATCH(B1784,'Room Info'!$H$2:$H3446, 0)),if(G1784='Room Info'!$G$1, INDEX('Room Info'!$A$2:$A3446, MATCH(B1784,'Room Info'!$G$2:$G3446, 0)))))))))</f>
        <v>0</v>
      </c>
      <c r="B1784" s="101"/>
      <c r="C1784" s="115"/>
      <c r="D1784" s="115"/>
      <c r="E1784" s="85"/>
      <c r="F1784" s="101"/>
      <c r="G1784" s="70"/>
      <c r="H1784" s="105"/>
      <c r="I1784" s="105"/>
      <c r="J1784" s="44" t="str">
        <f t="shared" si="311"/>
        <v/>
      </c>
      <c r="K1784" s="116"/>
      <c r="L1784" s="117"/>
      <c r="M1784" s="67"/>
      <c r="N1784" s="33">
        <f t="shared" si="276"/>
        <v>0</v>
      </c>
      <c r="O1784" s="70"/>
      <c r="P1784" s="34" t="str">
        <f t="shared" si="277"/>
        <v/>
      </c>
      <c r="Q1784" s="60"/>
      <c r="R1784" s="36">
        <f t="shared" si="312"/>
        <v>0</v>
      </c>
      <c r="S1784" s="71"/>
      <c r="T1784" s="37">
        <f t="shared" si="302"/>
        <v>0</v>
      </c>
      <c r="U1784" s="62"/>
      <c r="V1784" s="63"/>
      <c r="W1784" s="63"/>
      <c r="X1784" s="35" t="str">
        <f t="shared" si="303"/>
        <v>#N/A</v>
      </c>
      <c r="Y1784" s="35" t="str">
        <f t="shared" si="304"/>
        <v>#N/A</v>
      </c>
      <c r="Z1784" s="40" t="str">
        <f t="shared" si="305"/>
        <v>#N/A</v>
      </c>
      <c r="AA1784" s="34" t="str">
        <f t="shared" si="306"/>
        <v>#N/A</v>
      </c>
      <c r="AB1784" s="41" t="str">
        <f t="shared" si="307"/>
        <v>#N/A</v>
      </c>
      <c r="AC1784" s="42" t="b">
        <v>0</v>
      </c>
      <c r="AD1784" s="66" t="str">
        <f t="shared" si="308"/>
        <v>USD</v>
      </c>
      <c r="AE1784" s="42"/>
      <c r="AF1784" s="42" t="str">
        <f t="array" ref="AF1784">INDEX('Deal Info'!D:D, MATCH(A1784,'Deal Info'!A:A, 0))</f>
        <v>#N/A</v>
      </c>
      <c r="AG1784" s="43" t="str">
        <f t="array" ref="AG1784">INDEX('Deal Info'!G:G, MATCH(A1784,'Deal Info'!A:A, 0))</f>
        <v>#N/A</v>
      </c>
    </row>
    <row r="1785" hidden="1">
      <c r="A1785" s="23" t="b">
        <f t="array" ref="A1785">if(G1785='Room Info'!$B$1, INDEX('Room Info'!$A$2:$A3446, MATCH(B1785,'Room Info'!$B$2:$B3446, 0)),if(G1785='Room Info'!$C$1, INDEX('Room Info'!$A$2:$A3446, MATCH(B1785,'Room Info'!$C$2:$C3446, 0)),if(G1785='Room Info'!$D$1, INDEX('Room Info'!$A$2:$A3446, MATCH(B1785,'Room Info'!$D$2:$D3446, 0)),if(G1785='Room Info'!$E$1, INDEX('Room Info'!$A$2:$A3446, MATCH(B1785,'Room Info'!$E$2:$E3446, 0)),if(G1785='Room Info'!$F$1, INDEX('Room Info'!$A$2:$A3446, MATCH(B1785,'Room Info'!$F$2:$F3446, 0)),if(G1785='Room Info'!$H$1, INDEX('Room Info'!$A$2:$A3446, MATCH(B1785,'Room Info'!$H$2:$H3446, 0)),if(G1785='Room Info'!$G$1, INDEX('Room Info'!$A$2:$A3446, MATCH(B1785,'Room Info'!$G$2:$G3446, 0)))))))))</f>
        <v>0</v>
      </c>
      <c r="B1785" s="101"/>
      <c r="C1785" s="115"/>
      <c r="D1785" s="115"/>
      <c r="E1785" s="85"/>
      <c r="F1785" s="101"/>
      <c r="G1785" s="70"/>
      <c r="H1785" s="105"/>
      <c r="I1785" s="105"/>
      <c r="J1785" s="44" t="str">
        <f t="shared" si="311"/>
        <v/>
      </c>
      <c r="K1785" s="116"/>
      <c r="L1785" s="117"/>
      <c r="M1785" s="67"/>
      <c r="N1785" s="33">
        <f t="shared" si="276"/>
        <v>0</v>
      </c>
      <c r="O1785" s="70"/>
      <c r="P1785" s="34" t="str">
        <f t="shared" si="277"/>
        <v/>
      </c>
      <c r="Q1785" s="60"/>
      <c r="R1785" s="36">
        <f t="shared" si="312"/>
        <v>0</v>
      </c>
      <c r="S1785" s="71"/>
      <c r="T1785" s="37">
        <f t="shared" si="302"/>
        <v>0</v>
      </c>
      <c r="U1785" s="62"/>
      <c r="V1785" s="63"/>
      <c r="W1785" s="63"/>
      <c r="X1785" s="35" t="str">
        <f t="shared" si="303"/>
        <v>#N/A</v>
      </c>
      <c r="Y1785" s="35" t="str">
        <f t="shared" si="304"/>
        <v>#N/A</v>
      </c>
      <c r="Z1785" s="40" t="str">
        <f t="shared" si="305"/>
        <v>#N/A</v>
      </c>
      <c r="AA1785" s="34" t="str">
        <f t="shared" si="306"/>
        <v>#N/A</v>
      </c>
      <c r="AB1785" s="41" t="str">
        <f t="shared" si="307"/>
        <v>#N/A</v>
      </c>
      <c r="AC1785" s="42" t="b">
        <v>0</v>
      </c>
      <c r="AD1785" s="66" t="str">
        <f t="shared" si="308"/>
        <v>USD</v>
      </c>
      <c r="AE1785" s="42"/>
      <c r="AF1785" s="42" t="str">
        <f t="array" ref="AF1785">INDEX('Deal Info'!D:D, MATCH(A1785,'Deal Info'!A:A, 0))</f>
        <v>#N/A</v>
      </c>
      <c r="AG1785" s="43" t="str">
        <f t="array" ref="AG1785">INDEX('Deal Info'!G:G, MATCH(A1785,'Deal Info'!A:A, 0))</f>
        <v>#N/A</v>
      </c>
    </row>
    <row r="1786" hidden="1">
      <c r="A1786" s="23" t="b">
        <f t="array" ref="A1786">if(G1786='Room Info'!$B$1, INDEX('Room Info'!$A$2:$A3446, MATCH(B1786,'Room Info'!$B$2:$B3446, 0)),if(G1786='Room Info'!$C$1, INDEX('Room Info'!$A$2:$A3446, MATCH(B1786,'Room Info'!$C$2:$C3446, 0)),if(G1786='Room Info'!$D$1, INDEX('Room Info'!$A$2:$A3446, MATCH(B1786,'Room Info'!$D$2:$D3446, 0)),if(G1786='Room Info'!$E$1, INDEX('Room Info'!$A$2:$A3446, MATCH(B1786,'Room Info'!$E$2:$E3446, 0)),if(G1786='Room Info'!$F$1, INDEX('Room Info'!$A$2:$A3446, MATCH(B1786,'Room Info'!$F$2:$F3446, 0)),if(G1786='Room Info'!$H$1, INDEX('Room Info'!$A$2:$A3446, MATCH(B1786,'Room Info'!$H$2:$H3446, 0)),if(G1786='Room Info'!$G$1, INDEX('Room Info'!$A$2:$A3446, MATCH(B1786,'Room Info'!$G$2:$G3446, 0)))))))))</f>
        <v>0</v>
      </c>
      <c r="B1786" s="101"/>
      <c r="C1786" s="115"/>
      <c r="D1786" s="115"/>
      <c r="E1786" s="85"/>
      <c r="F1786" s="101"/>
      <c r="G1786" s="70"/>
      <c r="H1786" s="114"/>
      <c r="I1786" s="114"/>
      <c r="J1786" s="44" t="str">
        <f t="shared" si="311"/>
        <v/>
      </c>
      <c r="K1786" s="116"/>
      <c r="L1786" s="117"/>
      <c r="M1786" s="67"/>
      <c r="N1786" s="33">
        <f t="shared" si="276"/>
        <v>0</v>
      </c>
      <c r="O1786" s="70"/>
      <c r="P1786" s="34" t="str">
        <f t="shared" si="277"/>
        <v/>
      </c>
      <c r="Q1786" s="60"/>
      <c r="R1786" s="36">
        <f t="shared" si="312"/>
        <v>0</v>
      </c>
      <c r="S1786" s="71"/>
      <c r="T1786" s="37">
        <f t="shared" si="302"/>
        <v>0</v>
      </c>
      <c r="U1786" s="62"/>
      <c r="V1786" s="63"/>
      <c r="W1786" s="63"/>
      <c r="X1786" s="35" t="str">
        <f t="shared" si="303"/>
        <v>#N/A</v>
      </c>
      <c r="Y1786" s="35" t="str">
        <f t="shared" si="304"/>
        <v>#N/A</v>
      </c>
      <c r="Z1786" s="40" t="str">
        <f t="shared" si="305"/>
        <v>#N/A</v>
      </c>
      <c r="AA1786" s="34" t="str">
        <f t="shared" si="306"/>
        <v>#N/A</v>
      </c>
      <c r="AB1786" s="41" t="str">
        <f t="shared" si="307"/>
        <v>#N/A</v>
      </c>
      <c r="AC1786" s="42" t="b">
        <v>0</v>
      </c>
      <c r="AD1786" s="66" t="str">
        <f t="shared" si="308"/>
        <v>USD</v>
      </c>
      <c r="AE1786" s="42"/>
      <c r="AF1786" s="42" t="str">
        <f t="array" ref="AF1786">INDEX('Deal Info'!D:D, MATCH(A1786,'Deal Info'!A:A, 0))</f>
        <v>#N/A</v>
      </c>
      <c r="AG1786" s="43" t="str">
        <f t="array" ref="AG1786">INDEX('Deal Info'!G:G, MATCH(A1786,'Deal Info'!A:A, 0))</f>
        <v>#N/A</v>
      </c>
    </row>
    <row r="1787" hidden="1">
      <c r="A1787" s="23" t="b">
        <f t="array" ref="A1787">if(G1787='Room Info'!$B$1, INDEX('Room Info'!$A$2:$A3446, MATCH(B1787,'Room Info'!$B$2:$B3446, 0)),if(G1787='Room Info'!$C$1, INDEX('Room Info'!$A$2:$A3446, MATCH(B1787,'Room Info'!$C$2:$C3446, 0)),if(G1787='Room Info'!$D$1, INDEX('Room Info'!$A$2:$A3446, MATCH(B1787,'Room Info'!$D$2:$D3446, 0)),if(G1787='Room Info'!$E$1, INDEX('Room Info'!$A$2:$A3446, MATCH(B1787,'Room Info'!$E$2:$E3446, 0)),if(G1787='Room Info'!$F$1, INDEX('Room Info'!$A$2:$A3446, MATCH(B1787,'Room Info'!$F$2:$F3446, 0)),if(G1787='Room Info'!$H$1, INDEX('Room Info'!$A$2:$A3446, MATCH(B1787,'Room Info'!$H$2:$H3446, 0)),if(G1787='Room Info'!$G$1, INDEX('Room Info'!$A$2:$A3446, MATCH(B1787,'Room Info'!$G$2:$G3446, 0)))))))))</f>
        <v>0</v>
      </c>
      <c r="B1787" s="101"/>
      <c r="C1787" s="115"/>
      <c r="D1787" s="115"/>
      <c r="E1787" s="85"/>
      <c r="F1787" s="101"/>
      <c r="G1787" s="70"/>
      <c r="H1787" s="114"/>
      <c r="I1787" s="114"/>
      <c r="J1787" s="44" t="str">
        <f t="shared" si="311"/>
        <v/>
      </c>
      <c r="K1787" s="116"/>
      <c r="L1787" s="117"/>
      <c r="M1787" s="67"/>
      <c r="N1787" s="33">
        <f t="shared" si="276"/>
        <v>0</v>
      </c>
      <c r="O1787" s="70"/>
      <c r="P1787" s="34" t="str">
        <f t="shared" si="277"/>
        <v/>
      </c>
      <c r="Q1787" s="60"/>
      <c r="R1787" s="36">
        <f t="shared" si="312"/>
        <v>0</v>
      </c>
      <c r="S1787" s="71"/>
      <c r="T1787" s="37">
        <f t="shared" si="302"/>
        <v>0</v>
      </c>
      <c r="U1787" s="62"/>
      <c r="V1787" s="63"/>
      <c r="W1787" s="63"/>
      <c r="X1787" s="35" t="str">
        <f t="shared" si="303"/>
        <v>#N/A</v>
      </c>
      <c r="Y1787" s="35" t="str">
        <f t="shared" si="304"/>
        <v>#N/A</v>
      </c>
      <c r="Z1787" s="40" t="str">
        <f t="shared" si="305"/>
        <v>#N/A</v>
      </c>
      <c r="AA1787" s="34" t="str">
        <f t="shared" si="306"/>
        <v>#N/A</v>
      </c>
      <c r="AB1787" s="41" t="str">
        <f t="shared" si="307"/>
        <v>#N/A</v>
      </c>
      <c r="AC1787" s="42" t="b">
        <v>0</v>
      </c>
      <c r="AD1787" s="66" t="str">
        <f t="shared" si="308"/>
        <v>USD</v>
      </c>
      <c r="AE1787" s="42"/>
      <c r="AF1787" s="42" t="str">
        <f t="array" ref="AF1787">INDEX('Deal Info'!D:D, MATCH(A1787,'Deal Info'!A:A, 0))</f>
        <v>#N/A</v>
      </c>
      <c r="AG1787" s="43" t="str">
        <f t="array" ref="AG1787">INDEX('Deal Info'!G:G, MATCH(A1787,'Deal Info'!A:A, 0))</f>
        <v>#N/A</v>
      </c>
    </row>
    <row r="1788" hidden="1">
      <c r="A1788" s="23" t="b">
        <f t="array" ref="A1788">if(G1788='Room Info'!$B$1, INDEX('Room Info'!$A$2:$A3446, MATCH(B1788,'Room Info'!$B$2:$B3446, 0)),if(G1788='Room Info'!$C$1, INDEX('Room Info'!$A$2:$A3446, MATCH(B1788,'Room Info'!$C$2:$C3446, 0)),if(G1788='Room Info'!$D$1, INDEX('Room Info'!$A$2:$A3446, MATCH(B1788,'Room Info'!$D$2:$D3446, 0)),if(G1788='Room Info'!$E$1, INDEX('Room Info'!$A$2:$A3446, MATCH(B1788,'Room Info'!$E$2:$E3446, 0)),if(G1788='Room Info'!$F$1, INDEX('Room Info'!$A$2:$A3446, MATCH(B1788,'Room Info'!$F$2:$F3446, 0)),if(G1788='Room Info'!$H$1, INDEX('Room Info'!$A$2:$A3446, MATCH(B1788,'Room Info'!$H$2:$H3446, 0)),if(G1788='Room Info'!$G$1, INDEX('Room Info'!$A$2:$A3446, MATCH(B1788,'Room Info'!$G$2:$G3446, 0)))))))))</f>
        <v>0</v>
      </c>
      <c r="B1788" s="101"/>
      <c r="C1788" s="115"/>
      <c r="D1788" s="115"/>
      <c r="E1788" s="85"/>
      <c r="F1788" s="101"/>
      <c r="G1788" s="70"/>
      <c r="H1788" s="114"/>
      <c r="I1788" s="114"/>
      <c r="J1788" s="44" t="str">
        <f t="shared" si="311"/>
        <v/>
      </c>
      <c r="K1788" s="116"/>
      <c r="L1788" s="117"/>
      <c r="M1788" s="67"/>
      <c r="N1788" s="33">
        <f t="shared" si="276"/>
        <v>0</v>
      </c>
      <c r="O1788" s="70"/>
      <c r="P1788" s="34" t="str">
        <f t="shared" si="277"/>
        <v/>
      </c>
      <c r="Q1788" s="60"/>
      <c r="R1788" s="36">
        <f t="shared" si="312"/>
        <v>0</v>
      </c>
      <c r="S1788" s="71"/>
      <c r="T1788" s="37">
        <f t="shared" si="302"/>
        <v>0</v>
      </c>
      <c r="U1788" s="62"/>
      <c r="V1788" s="63"/>
      <c r="W1788" s="63"/>
      <c r="X1788" s="35" t="str">
        <f t="shared" si="303"/>
        <v>#N/A</v>
      </c>
      <c r="Y1788" s="35" t="str">
        <f t="shared" si="304"/>
        <v>#N/A</v>
      </c>
      <c r="Z1788" s="40" t="str">
        <f t="shared" si="305"/>
        <v>#N/A</v>
      </c>
      <c r="AA1788" s="34" t="str">
        <f t="shared" si="306"/>
        <v>#N/A</v>
      </c>
      <c r="AB1788" s="41" t="str">
        <f t="shared" si="307"/>
        <v>#N/A</v>
      </c>
      <c r="AC1788" s="42" t="b">
        <v>0</v>
      </c>
      <c r="AD1788" s="66" t="str">
        <f t="shared" si="308"/>
        <v>USD</v>
      </c>
      <c r="AE1788" s="42"/>
      <c r="AF1788" s="42" t="str">
        <f t="array" ref="AF1788">INDEX('Deal Info'!D:D, MATCH(A1788,'Deal Info'!A:A, 0))</f>
        <v>#N/A</v>
      </c>
      <c r="AG1788" s="43" t="str">
        <f t="array" ref="AG1788">INDEX('Deal Info'!G:G, MATCH(A1788,'Deal Info'!A:A, 0))</f>
        <v>#N/A</v>
      </c>
    </row>
    <row r="1789" hidden="1">
      <c r="A1789" s="23" t="b">
        <f t="array" ref="A1789">if(G1789='Room Info'!$B$1, INDEX('Room Info'!$A$2:$A3446, MATCH(B1789,'Room Info'!$B$2:$B3446, 0)),if(G1789='Room Info'!$C$1, INDEX('Room Info'!$A$2:$A3446, MATCH(B1789,'Room Info'!$C$2:$C3446, 0)),if(G1789='Room Info'!$D$1, INDEX('Room Info'!$A$2:$A3446, MATCH(B1789,'Room Info'!$D$2:$D3446, 0)),if(G1789='Room Info'!$E$1, INDEX('Room Info'!$A$2:$A3446, MATCH(B1789,'Room Info'!$E$2:$E3446, 0)),if(G1789='Room Info'!$F$1, INDEX('Room Info'!$A$2:$A3446, MATCH(B1789,'Room Info'!$F$2:$F3446, 0)),if(G1789='Room Info'!$H$1, INDEX('Room Info'!$A$2:$A3446, MATCH(B1789,'Room Info'!$H$2:$H3446, 0)),if(G1789='Room Info'!$G$1, INDEX('Room Info'!$A$2:$A3446, MATCH(B1789,'Room Info'!$G$2:$G3446, 0)))))))))</f>
        <v>0</v>
      </c>
      <c r="B1789" s="101"/>
      <c r="C1789" s="115"/>
      <c r="D1789" s="115"/>
      <c r="E1789" s="85"/>
      <c r="F1789" s="101"/>
      <c r="G1789" s="70"/>
      <c r="H1789" s="114"/>
      <c r="I1789" s="114"/>
      <c r="J1789" s="44" t="str">
        <f t="shared" si="311"/>
        <v/>
      </c>
      <c r="K1789" s="116"/>
      <c r="L1789" s="117"/>
      <c r="M1789" s="67"/>
      <c r="N1789" s="33">
        <f t="shared" si="276"/>
        <v>0</v>
      </c>
      <c r="O1789" s="70"/>
      <c r="P1789" s="34" t="str">
        <f t="shared" si="277"/>
        <v/>
      </c>
      <c r="Q1789" s="60"/>
      <c r="R1789" s="36">
        <f t="shared" si="312"/>
        <v>0</v>
      </c>
      <c r="S1789" s="71"/>
      <c r="T1789" s="37">
        <f t="shared" si="302"/>
        <v>0</v>
      </c>
      <c r="U1789" s="62"/>
      <c r="V1789" s="63"/>
      <c r="W1789" s="63"/>
      <c r="X1789" s="35" t="str">
        <f t="shared" si="303"/>
        <v>#N/A</v>
      </c>
      <c r="Y1789" s="35" t="str">
        <f t="shared" si="304"/>
        <v>#N/A</v>
      </c>
      <c r="Z1789" s="40" t="str">
        <f t="shared" si="305"/>
        <v>#N/A</v>
      </c>
      <c r="AA1789" s="34" t="str">
        <f t="shared" si="306"/>
        <v>#N/A</v>
      </c>
      <c r="AB1789" s="41" t="str">
        <f t="shared" si="307"/>
        <v>#N/A</v>
      </c>
      <c r="AC1789" s="42" t="b">
        <v>0</v>
      </c>
      <c r="AD1789" s="66" t="str">
        <f t="shared" si="308"/>
        <v>USD</v>
      </c>
      <c r="AE1789" s="42"/>
      <c r="AF1789" s="42" t="str">
        <f t="array" ref="AF1789">INDEX('Deal Info'!D:D, MATCH(A1789,'Deal Info'!A:A, 0))</f>
        <v>#N/A</v>
      </c>
      <c r="AG1789" s="43" t="str">
        <f t="array" ref="AG1789">INDEX('Deal Info'!G:G, MATCH(A1789,'Deal Info'!A:A, 0))</f>
        <v>#N/A</v>
      </c>
    </row>
    <row r="1790" hidden="1">
      <c r="A1790" s="23" t="b">
        <f t="array" ref="A1790">if(G1790='Room Info'!$B$1, INDEX('Room Info'!$A$2:$A3446, MATCH(B1790,'Room Info'!$B$2:$B3446, 0)),if(G1790='Room Info'!$C$1, INDEX('Room Info'!$A$2:$A3446, MATCH(B1790,'Room Info'!$C$2:$C3446, 0)),if(G1790='Room Info'!$D$1, INDEX('Room Info'!$A$2:$A3446, MATCH(B1790,'Room Info'!$D$2:$D3446, 0)),if(G1790='Room Info'!$E$1, INDEX('Room Info'!$A$2:$A3446, MATCH(B1790,'Room Info'!$E$2:$E3446, 0)),if(G1790='Room Info'!$F$1, INDEX('Room Info'!$A$2:$A3446, MATCH(B1790,'Room Info'!$F$2:$F3446, 0)),if(G1790='Room Info'!$H$1, INDEX('Room Info'!$A$2:$A3446, MATCH(B1790,'Room Info'!$H$2:$H3446, 0)),if(G1790='Room Info'!$G$1, INDEX('Room Info'!$A$2:$A3446, MATCH(B1790,'Room Info'!$G$2:$G3446, 0)))))))))</f>
        <v>0</v>
      </c>
      <c r="B1790" s="70"/>
      <c r="C1790" s="115"/>
      <c r="D1790" s="115"/>
      <c r="E1790" s="85"/>
      <c r="F1790" s="101"/>
      <c r="G1790" s="70"/>
      <c r="H1790" s="114"/>
      <c r="I1790" s="114"/>
      <c r="J1790" s="44" t="str">
        <f t="shared" si="311"/>
        <v/>
      </c>
      <c r="K1790" s="116"/>
      <c r="L1790" s="117"/>
      <c r="M1790" s="67"/>
      <c r="N1790" s="33">
        <f t="shared" si="276"/>
        <v>0</v>
      </c>
      <c r="O1790" s="70"/>
      <c r="P1790" s="34" t="str">
        <f t="shared" si="277"/>
        <v/>
      </c>
      <c r="Q1790" s="60"/>
      <c r="R1790" s="36">
        <f t="shared" si="312"/>
        <v>0</v>
      </c>
      <c r="S1790" s="71"/>
      <c r="T1790" s="37">
        <f t="shared" si="302"/>
        <v>0</v>
      </c>
      <c r="U1790" s="62"/>
      <c r="V1790" s="63"/>
      <c r="W1790" s="63"/>
      <c r="X1790" s="35" t="str">
        <f t="shared" si="303"/>
        <v>#N/A</v>
      </c>
      <c r="Y1790" s="35" t="str">
        <f t="shared" si="304"/>
        <v>#N/A</v>
      </c>
      <c r="Z1790" s="40" t="str">
        <f t="shared" si="305"/>
        <v>#N/A</v>
      </c>
      <c r="AA1790" s="34" t="str">
        <f t="shared" si="306"/>
        <v>#N/A</v>
      </c>
      <c r="AB1790" s="41" t="str">
        <f t="shared" si="307"/>
        <v>#N/A</v>
      </c>
      <c r="AC1790" s="42" t="b">
        <v>0</v>
      </c>
      <c r="AD1790" s="66" t="str">
        <f t="shared" si="308"/>
        <v>USD</v>
      </c>
      <c r="AE1790" s="42"/>
      <c r="AF1790" s="42" t="str">
        <f t="array" ref="AF1790">INDEX('Deal Info'!D:D, MATCH(A1790,'Deal Info'!A:A, 0))</f>
        <v>#N/A</v>
      </c>
      <c r="AG1790" s="43" t="str">
        <f t="array" ref="AG1790">INDEX('Deal Info'!G:G, MATCH(A1790,'Deal Info'!A:A, 0))</f>
        <v>#N/A</v>
      </c>
    </row>
    <row r="1791" hidden="1">
      <c r="A1791" s="23" t="b">
        <f t="array" ref="A1791">if(G1791='Room Info'!$B$1, INDEX('Room Info'!$A$2:$A3446, MATCH(B1791,'Room Info'!$B$2:$B3446, 0)),if(G1791='Room Info'!$C$1, INDEX('Room Info'!$A$2:$A3446, MATCH(B1791,'Room Info'!$C$2:$C3446, 0)),if(G1791='Room Info'!$D$1, INDEX('Room Info'!$A$2:$A3446, MATCH(B1791,'Room Info'!$D$2:$D3446, 0)),if(G1791='Room Info'!$E$1, INDEX('Room Info'!$A$2:$A3446, MATCH(B1791,'Room Info'!$E$2:$E3446, 0)),if(G1791='Room Info'!$F$1, INDEX('Room Info'!$A$2:$A3446, MATCH(B1791,'Room Info'!$F$2:$F3446, 0)),if(G1791='Room Info'!$H$1, INDEX('Room Info'!$A$2:$A3446, MATCH(B1791,'Room Info'!$H$2:$H3446, 0)),if(G1791='Room Info'!$G$1, INDEX('Room Info'!$A$2:$A3446, MATCH(B1791,'Room Info'!$G$2:$G3446, 0)))))))))</f>
        <v>0</v>
      </c>
      <c r="B1791" s="70"/>
      <c r="C1791" s="115"/>
      <c r="D1791" s="115"/>
      <c r="E1791" s="85"/>
      <c r="F1791" s="101"/>
      <c r="G1791" s="70"/>
      <c r="H1791" s="114"/>
      <c r="I1791" s="114"/>
      <c r="J1791" s="44" t="str">
        <f t="shared" si="311"/>
        <v/>
      </c>
      <c r="K1791" s="116"/>
      <c r="L1791" s="143"/>
      <c r="M1791" s="67"/>
      <c r="N1791" s="33">
        <f t="shared" si="276"/>
        <v>0</v>
      </c>
      <c r="O1791" s="133"/>
      <c r="P1791" s="34" t="str">
        <f t="shared" si="277"/>
        <v/>
      </c>
      <c r="Q1791" s="60"/>
      <c r="R1791" s="36">
        <f t="shared" si="312"/>
        <v>0</v>
      </c>
      <c r="S1791" s="122"/>
      <c r="T1791" s="37">
        <f t="shared" si="302"/>
        <v>0</v>
      </c>
      <c r="U1791" s="62"/>
      <c r="V1791" s="63"/>
      <c r="W1791" s="63"/>
      <c r="X1791" s="35" t="str">
        <f t="shared" si="303"/>
        <v>#N/A</v>
      </c>
      <c r="Y1791" s="35" t="str">
        <f t="shared" si="304"/>
        <v>#N/A</v>
      </c>
      <c r="Z1791" s="40" t="str">
        <f t="shared" si="305"/>
        <v>#N/A</v>
      </c>
      <c r="AA1791" s="34" t="str">
        <f t="shared" si="306"/>
        <v>#N/A</v>
      </c>
      <c r="AB1791" s="41" t="str">
        <f t="shared" si="307"/>
        <v>#N/A</v>
      </c>
      <c r="AC1791" s="42" t="b">
        <v>0</v>
      </c>
      <c r="AD1791" s="66" t="str">
        <f t="shared" si="308"/>
        <v>USD</v>
      </c>
      <c r="AE1791" s="42"/>
      <c r="AF1791" s="42" t="str">
        <f t="array" ref="AF1791">INDEX('Deal Info'!D:D, MATCH(A1791,'Deal Info'!A:A, 0))</f>
        <v>#N/A</v>
      </c>
      <c r="AG1791" s="43" t="str">
        <f t="array" ref="AG1791">INDEX('Deal Info'!G:G, MATCH(A1791,'Deal Info'!A:A, 0))</f>
        <v>#N/A</v>
      </c>
    </row>
    <row r="1792" hidden="1">
      <c r="A1792" s="23" t="b">
        <f t="array" ref="A1792">if(G1792='Room Info'!$B$1, INDEX('Room Info'!$A$2:$A3446, MATCH(B1792,'Room Info'!$B$2:$B3446, 0)),if(G1792='Room Info'!$C$1, INDEX('Room Info'!$A$2:$A3446, MATCH(B1792,'Room Info'!$C$2:$C3446, 0)),if(G1792='Room Info'!$D$1, INDEX('Room Info'!$A$2:$A3446, MATCH(B1792,'Room Info'!$D$2:$D3446, 0)),if(G1792='Room Info'!$E$1, INDEX('Room Info'!$A$2:$A3446, MATCH(B1792,'Room Info'!$E$2:$E3446, 0)),if(G1792='Room Info'!$F$1, INDEX('Room Info'!$A$2:$A3446, MATCH(B1792,'Room Info'!$F$2:$F3446, 0)),if(G1792='Room Info'!$H$1, INDEX('Room Info'!$A$2:$A3446, MATCH(B1792,'Room Info'!$H$2:$H3446, 0)),if(G1792='Room Info'!$G$1, INDEX('Room Info'!$A$2:$A3446, MATCH(B1792,'Room Info'!$G$2:$G3446, 0)))))))))</f>
        <v>0</v>
      </c>
      <c r="B1792" s="70"/>
      <c r="C1792" s="115"/>
      <c r="D1792" s="115"/>
      <c r="E1792" s="85"/>
      <c r="F1792" s="101"/>
      <c r="G1792" s="70"/>
      <c r="H1792" s="114"/>
      <c r="I1792" s="114"/>
      <c r="J1792" s="44" t="str">
        <f t="shared" si="311"/>
        <v/>
      </c>
      <c r="K1792" s="116"/>
      <c r="L1792" s="143"/>
      <c r="M1792" s="67"/>
      <c r="N1792" s="33">
        <f t="shared" si="276"/>
        <v>0</v>
      </c>
      <c r="O1792" s="133"/>
      <c r="P1792" s="34" t="str">
        <f t="shared" si="277"/>
        <v/>
      </c>
      <c r="Q1792" s="60"/>
      <c r="R1792" s="36">
        <f t="shared" si="312"/>
        <v>0</v>
      </c>
      <c r="S1792" s="122"/>
      <c r="T1792" s="37">
        <f t="shared" si="302"/>
        <v>0</v>
      </c>
      <c r="U1792" s="62"/>
      <c r="V1792" s="63"/>
      <c r="W1792" s="63"/>
      <c r="X1792" s="35" t="str">
        <f t="shared" si="303"/>
        <v>#N/A</v>
      </c>
      <c r="Y1792" s="35" t="str">
        <f t="shared" si="304"/>
        <v>#N/A</v>
      </c>
      <c r="Z1792" s="40" t="str">
        <f t="shared" si="305"/>
        <v>#N/A</v>
      </c>
      <c r="AA1792" s="34" t="str">
        <f t="shared" si="306"/>
        <v>#N/A</v>
      </c>
      <c r="AB1792" s="41" t="str">
        <f t="shared" si="307"/>
        <v>#N/A</v>
      </c>
      <c r="AC1792" s="42" t="b">
        <v>0</v>
      </c>
      <c r="AD1792" s="66" t="str">
        <f t="shared" si="308"/>
        <v>USD</v>
      </c>
      <c r="AE1792" s="42"/>
      <c r="AF1792" s="42" t="str">
        <f t="array" ref="AF1792">INDEX('Deal Info'!D:D, MATCH(A1792,'Deal Info'!A:A, 0))</f>
        <v>#N/A</v>
      </c>
      <c r="AG1792" s="43" t="str">
        <f t="array" ref="AG1792">INDEX('Deal Info'!G:G, MATCH(A1792,'Deal Info'!A:A, 0))</f>
        <v>#N/A</v>
      </c>
    </row>
    <row r="1793" hidden="1">
      <c r="A1793" s="23" t="b">
        <f t="array" ref="A1793">if(G1793='Room Info'!$B$1, INDEX('Room Info'!$A$2:$A3446, MATCH(B1793,'Room Info'!$B$2:$B3446, 0)),if(G1793='Room Info'!$C$1, INDEX('Room Info'!$A$2:$A3446, MATCH(B1793,'Room Info'!$C$2:$C3446, 0)),if(G1793='Room Info'!$D$1, INDEX('Room Info'!$A$2:$A3446, MATCH(B1793,'Room Info'!$D$2:$D3446, 0)),if(G1793='Room Info'!$E$1, INDEX('Room Info'!$A$2:$A3446, MATCH(B1793,'Room Info'!$E$2:$E3446, 0)),if(G1793='Room Info'!$F$1, INDEX('Room Info'!$A$2:$A3446, MATCH(B1793,'Room Info'!$F$2:$F3446, 0)),if(G1793='Room Info'!$H$1, INDEX('Room Info'!$A$2:$A3446, MATCH(B1793,'Room Info'!$H$2:$H3446, 0)),if(G1793='Room Info'!$G$1, INDEX('Room Info'!$A$2:$A3446, MATCH(B1793,'Room Info'!$G$2:$G3446, 0)))))))))</f>
        <v>0</v>
      </c>
      <c r="B1793" s="70"/>
      <c r="C1793" s="115"/>
      <c r="D1793" s="115"/>
      <c r="E1793" s="85"/>
      <c r="F1793" s="101"/>
      <c r="G1793" s="70"/>
      <c r="H1793" s="114"/>
      <c r="I1793" s="114"/>
      <c r="J1793" s="44" t="str">
        <f t="shared" si="311"/>
        <v/>
      </c>
      <c r="K1793" s="116"/>
      <c r="L1793" s="117"/>
      <c r="M1793" s="67"/>
      <c r="N1793" s="33">
        <f t="shared" si="276"/>
        <v>0</v>
      </c>
      <c r="O1793" s="70"/>
      <c r="P1793" s="34" t="str">
        <f t="shared" si="277"/>
        <v/>
      </c>
      <c r="Q1793" s="60"/>
      <c r="R1793" s="36">
        <f t="shared" si="312"/>
        <v>0</v>
      </c>
      <c r="S1793" s="71"/>
      <c r="T1793" s="37">
        <f t="shared" si="302"/>
        <v>0</v>
      </c>
      <c r="U1793" s="62"/>
      <c r="V1793" s="63"/>
      <c r="W1793" s="63"/>
      <c r="X1793" s="35" t="str">
        <f t="shared" si="303"/>
        <v>#N/A</v>
      </c>
      <c r="Y1793" s="35" t="str">
        <f t="shared" si="304"/>
        <v>#N/A</v>
      </c>
      <c r="Z1793" s="40" t="str">
        <f t="shared" si="305"/>
        <v>#N/A</v>
      </c>
      <c r="AA1793" s="34" t="str">
        <f t="shared" si="306"/>
        <v>#N/A</v>
      </c>
      <c r="AB1793" s="41" t="str">
        <f t="shared" si="307"/>
        <v>#N/A</v>
      </c>
      <c r="AC1793" s="42" t="b">
        <v>0</v>
      </c>
      <c r="AD1793" s="66" t="str">
        <f t="shared" si="308"/>
        <v>USD</v>
      </c>
      <c r="AE1793" s="42"/>
      <c r="AF1793" s="42" t="str">
        <f t="array" ref="AF1793">INDEX('Deal Info'!D:D, MATCH(A1793,'Deal Info'!A:A, 0))</f>
        <v>#N/A</v>
      </c>
      <c r="AG1793" s="43" t="str">
        <f t="array" ref="AG1793">INDEX('Deal Info'!G:G, MATCH(A1793,'Deal Info'!A:A, 0))</f>
        <v>#N/A</v>
      </c>
    </row>
    <row r="1794" hidden="1">
      <c r="A1794" s="23" t="b">
        <f t="array" ref="A1794">if(G1794='Room Info'!$B$1, INDEX('Room Info'!$A$2:$A3446, MATCH(B1794,'Room Info'!$B$2:$B3446, 0)),if(G1794='Room Info'!$C$1, INDEX('Room Info'!$A$2:$A3446, MATCH(B1794,'Room Info'!$C$2:$C3446, 0)),if(G1794='Room Info'!$D$1, INDEX('Room Info'!$A$2:$A3446, MATCH(B1794,'Room Info'!$D$2:$D3446, 0)),if(G1794='Room Info'!$E$1, INDEX('Room Info'!$A$2:$A3446, MATCH(B1794,'Room Info'!$E$2:$E3446, 0)),if(G1794='Room Info'!$F$1, INDEX('Room Info'!$A$2:$A3446, MATCH(B1794,'Room Info'!$F$2:$F3446, 0)),if(G1794='Room Info'!$H$1, INDEX('Room Info'!$A$2:$A3446, MATCH(B1794,'Room Info'!$H$2:$H3446, 0)),if(G1794='Room Info'!$G$1, INDEX('Room Info'!$A$2:$A3446, MATCH(B1794,'Room Info'!$G$2:$G3446, 0)))))))))</f>
        <v>0</v>
      </c>
      <c r="B1794" s="70"/>
      <c r="C1794" s="115"/>
      <c r="D1794" s="115"/>
      <c r="E1794" s="85"/>
      <c r="F1794" s="101"/>
      <c r="G1794" s="70"/>
      <c r="H1794" s="114"/>
      <c r="I1794" s="114"/>
      <c r="J1794" s="44" t="str">
        <f t="shared" si="311"/>
        <v/>
      </c>
      <c r="K1794" s="116"/>
      <c r="L1794" s="117"/>
      <c r="M1794" s="67"/>
      <c r="N1794" s="33">
        <f t="shared" si="276"/>
        <v>0</v>
      </c>
      <c r="O1794" s="70"/>
      <c r="P1794" s="34" t="str">
        <f t="shared" si="277"/>
        <v/>
      </c>
      <c r="Q1794" s="60"/>
      <c r="R1794" s="36">
        <f t="shared" si="312"/>
        <v>0</v>
      </c>
      <c r="S1794" s="71"/>
      <c r="T1794" s="37">
        <f t="shared" si="302"/>
        <v>0</v>
      </c>
      <c r="U1794" s="62"/>
      <c r="V1794" s="63"/>
      <c r="W1794" s="63"/>
      <c r="X1794" s="35" t="str">
        <f t="shared" si="303"/>
        <v>#N/A</v>
      </c>
      <c r="Y1794" s="35" t="str">
        <f t="shared" si="304"/>
        <v>#N/A</v>
      </c>
      <c r="Z1794" s="40" t="str">
        <f t="shared" si="305"/>
        <v>#N/A</v>
      </c>
      <c r="AA1794" s="34" t="str">
        <f t="shared" si="306"/>
        <v>#N/A</v>
      </c>
      <c r="AB1794" s="41" t="str">
        <f t="shared" si="307"/>
        <v>#N/A</v>
      </c>
      <c r="AC1794" s="42" t="b">
        <v>0</v>
      </c>
      <c r="AD1794" s="66" t="str">
        <f t="shared" si="308"/>
        <v>USD</v>
      </c>
      <c r="AE1794" s="42"/>
      <c r="AF1794" s="42" t="str">
        <f t="array" ref="AF1794">INDEX('Deal Info'!D:D, MATCH(A1794,'Deal Info'!A:A, 0))</f>
        <v>#N/A</v>
      </c>
      <c r="AG1794" s="43" t="str">
        <f t="array" ref="AG1794">INDEX('Deal Info'!G:G, MATCH(A1794,'Deal Info'!A:A, 0))</f>
        <v>#N/A</v>
      </c>
    </row>
    <row r="1795" hidden="1">
      <c r="A1795" s="23" t="b">
        <f t="array" ref="A1795">if(G1795='Room Info'!$B$1, INDEX('Room Info'!$A$2:$A3446, MATCH(B1795,'Room Info'!$B$2:$B3446, 0)),if(G1795='Room Info'!$C$1, INDEX('Room Info'!$A$2:$A3446, MATCH(B1795,'Room Info'!$C$2:$C3446, 0)),if(G1795='Room Info'!$D$1, INDEX('Room Info'!$A$2:$A3446, MATCH(B1795,'Room Info'!$D$2:$D3446, 0)),if(G1795='Room Info'!$E$1, INDEX('Room Info'!$A$2:$A3446, MATCH(B1795,'Room Info'!$E$2:$E3446, 0)),if(G1795='Room Info'!$F$1, INDEX('Room Info'!$A$2:$A3446, MATCH(B1795,'Room Info'!$F$2:$F3446, 0)),if(G1795='Room Info'!$H$1, INDEX('Room Info'!$A$2:$A3446, MATCH(B1795,'Room Info'!$H$2:$H3446, 0)),if(G1795='Room Info'!$G$1, INDEX('Room Info'!$A$2:$A3446, MATCH(B1795,'Room Info'!$G$2:$G3446, 0)))))))))</f>
        <v>0</v>
      </c>
      <c r="B1795" s="70"/>
      <c r="C1795" s="115"/>
      <c r="D1795" s="115"/>
      <c r="E1795" s="85"/>
      <c r="F1795" s="101"/>
      <c r="G1795" s="70"/>
      <c r="H1795" s="114"/>
      <c r="I1795" s="114"/>
      <c r="J1795" s="44" t="str">
        <f t="shared" si="311"/>
        <v/>
      </c>
      <c r="K1795" s="116"/>
      <c r="L1795" s="117"/>
      <c r="M1795" s="67"/>
      <c r="N1795" s="33">
        <f t="shared" si="276"/>
        <v>0</v>
      </c>
      <c r="O1795" s="70"/>
      <c r="P1795" s="34" t="str">
        <f t="shared" si="277"/>
        <v/>
      </c>
      <c r="Q1795" s="60"/>
      <c r="R1795" s="36">
        <f t="shared" si="312"/>
        <v>0</v>
      </c>
      <c r="S1795" s="71"/>
      <c r="T1795" s="37">
        <f t="shared" si="302"/>
        <v>0</v>
      </c>
      <c r="U1795" s="62"/>
      <c r="V1795" s="63"/>
      <c r="W1795" s="63"/>
      <c r="X1795" s="35" t="str">
        <f t="shared" si="303"/>
        <v>#N/A</v>
      </c>
      <c r="Y1795" s="35" t="str">
        <f t="shared" si="304"/>
        <v>#N/A</v>
      </c>
      <c r="Z1795" s="40" t="str">
        <f t="shared" si="305"/>
        <v>#N/A</v>
      </c>
      <c r="AA1795" s="34" t="str">
        <f t="shared" si="306"/>
        <v>#N/A</v>
      </c>
      <c r="AB1795" s="41" t="str">
        <f t="shared" si="307"/>
        <v>#N/A</v>
      </c>
      <c r="AC1795" s="42" t="b">
        <v>0</v>
      </c>
      <c r="AD1795" s="66" t="str">
        <f t="shared" si="308"/>
        <v>USD</v>
      </c>
      <c r="AE1795" s="42"/>
      <c r="AF1795" s="42" t="str">
        <f t="array" ref="AF1795">INDEX('Deal Info'!D:D, MATCH(A1795,'Deal Info'!A:A, 0))</f>
        <v>#N/A</v>
      </c>
      <c r="AG1795" s="43" t="str">
        <f t="array" ref="AG1795">INDEX('Deal Info'!G:G, MATCH(A1795,'Deal Info'!A:A, 0))</f>
        <v>#N/A</v>
      </c>
    </row>
    <row r="1796" hidden="1">
      <c r="A1796" s="23" t="b">
        <f t="array" ref="A1796">if(G1796='Room Info'!$B$1, INDEX('Room Info'!$A$2:$A3446, MATCH(B1796,'Room Info'!$B$2:$B3446, 0)),if(G1796='Room Info'!$C$1, INDEX('Room Info'!$A$2:$A3446, MATCH(B1796,'Room Info'!$C$2:$C3446, 0)),if(G1796='Room Info'!$D$1, INDEX('Room Info'!$A$2:$A3446, MATCH(B1796,'Room Info'!$D$2:$D3446, 0)),if(G1796='Room Info'!$E$1, INDEX('Room Info'!$A$2:$A3446, MATCH(B1796,'Room Info'!$E$2:$E3446, 0)),if(G1796='Room Info'!$F$1, INDEX('Room Info'!$A$2:$A3446, MATCH(B1796,'Room Info'!$F$2:$F3446, 0)),if(G1796='Room Info'!$H$1, INDEX('Room Info'!$A$2:$A3446, MATCH(B1796,'Room Info'!$H$2:$H3446, 0)),if(G1796='Room Info'!$G$1, INDEX('Room Info'!$A$2:$A3446, MATCH(B1796,'Room Info'!$G$2:$G3446, 0)))))))))</f>
        <v>0</v>
      </c>
      <c r="B1796" s="70"/>
      <c r="C1796" s="115"/>
      <c r="D1796" s="115"/>
      <c r="E1796" s="85"/>
      <c r="F1796" s="101"/>
      <c r="G1796" s="70"/>
      <c r="H1796" s="114"/>
      <c r="I1796" s="114"/>
      <c r="J1796" s="44" t="str">
        <f t="shared" si="311"/>
        <v/>
      </c>
      <c r="K1796" s="116"/>
      <c r="L1796" s="117"/>
      <c r="M1796" s="67"/>
      <c r="N1796" s="33">
        <f t="shared" si="276"/>
        <v>0</v>
      </c>
      <c r="O1796" s="70"/>
      <c r="P1796" s="34" t="str">
        <f t="shared" si="277"/>
        <v/>
      </c>
      <c r="Q1796" s="60"/>
      <c r="R1796" s="36">
        <f t="shared" si="312"/>
        <v>0</v>
      </c>
      <c r="S1796" s="71"/>
      <c r="T1796" s="37">
        <f t="shared" si="302"/>
        <v>0</v>
      </c>
      <c r="U1796" s="62"/>
      <c r="V1796" s="63"/>
      <c r="W1796" s="63"/>
      <c r="X1796" s="35" t="str">
        <f t="shared" si="303"/>
        <v>#N/A</v>
      </c>
      <c r="Y1796" s="35" t="str">
        <f t="shared" si="304"/>
        <v>#N/A</v>
      </c>
      <c r="Z1796" s="40" t="str">
        <f t="shared" si="305"/>
        <v>#N/A</v>
      </c>
      <c r="AA1796" s="34" t="str">
        <f t="shared" si="306"/>
        <v>#N/A</v>
      </c>
      <c r="AB1796" s="41" t="str">
        <f t="shared" si="307"/>
        <v>#N/A</v>
      </c>
      <c r="AC1796" s="42" t="b">
        <v>0</v>
      </c>
      <c r="AD1796" s="66" t="str">
        <f t="shared" si="308"/>
        <v>USD</v>
      </c>
      <c r="AE1796" s="42"/>
      <c r="AF1796" s="42" t="str">
        <f t="array" ref="AF1796">INDEX('Deal Info'!D:D, MATCH(A1796,'Deal Info'!A:A, 0))</f>
        <v>#N/A</v>
      </c>
      <c r="AG1796" s="43" t="str">
        <f t="array" ref="AG1796">INDEX('Deal Info'!G:G, MATCH(A1796,'Deal Info'!A:A, 0))</f>
        <v>#N/A</v>
      </c>
    </row>
    <row r="1797" hidden="1">
      <c r="A1797" s="23" t="b">
        <f t="array" ref="A1797">if(G1797='Room Info'!$B$1, INDEX('Room Info'!$A$2:$A3446, MATCH(B1797,'Room Info'!$B$2:$B3446, 0)),if(G1797='Room Info'!$C$1, INDEX('Room Info'!$A$2:$A3446, MATCH(B1797,'Room Info'!$C$2:$C3446, 0)),if(G1797='Room Info'!$D$1, INDEX('Room Info'!$A$2:$A3446, MATCH(B1797,'Room Info'!$D$2:$D3446, 0)),if(G1797='Room Info'!$E$1, INDEX('Room Info'!$A$2:$A3446, MATCH(B1797,'Room Info'!$E$2:$E3446, 0)),if(G1797='Room Info'!$F$1, INDEX('Room Info'!$A$2:$A3446, MATCH(B1797,'Room Info'!$F$2:$F3446, 0)),if(G1797='Room Info'!$H$1, INDEX('Room Info'!$A$2:$A3446, MATCH(B1797,'Room Info'!$H$2:$H3446, 0)),if(G1797='Room Info'!$G$1, INDEX('Room Info'!$A$2:$A3446, MATCH(B1797,'Room Info'!$G$2:$G3446, 0)))))))))</f>
        <v>0</v>
      </c>
      <c r="B1797" s="70"/>
      <c r="C1797" s="115"/>
      <c r="D1797" s="115"/>
      <c r="E1797" s="85"/>
      <c r="F1797" s="101"/>
      <c r="G1797" s="70"/>
      <c r="H1797" s="114"/>
      <c r="I1797" s="114"/>
      <c r="J1797" s="44" t="str">
        <f t="shared" si="311"/>
        <v/>
      </c>
      <c r="K1797" s="116"/>
      <c r="L1797" s="117"/>
      <c r="M1797" s="67"/>
      <c r="N1797" s="33">
        <f t="shared" si="276"/>
        <v>0</v>
      </c>
      <c r="O1797" s="70"/>
      <c r="P1797" s="34" t="str">
        <f t="shared" si="277"/>
        <v/>
      </c>
      <c r="Q1797" s="60"/>
      <c r="R1797" s="36">
        <f t="shared" si="312"/>
        <v>0</v>
      </c>
      <c r="S1797" s="71"/>
      <c r="T1797" s="37">
        <f t="shared" si="302"/>
        <v>0</v>
      </c>
      <c r="U1797" s="62"/>
      <c r="V1797" s="63"/>
      <c r="W1797" s="63"/>
      <c r="X1797" s="35" t="str">
        <f t="shared" si="303"/>
        <v>#N/A</v>
      </c>
      <c r="Y1797" s="35" t="str">
        <f t="shared" si="304"/>
        <v>#N/A</v>
      </c>
      <c r="Z1797" s="40" t="str">
        <f t="shared" si="305"/>
        <v>#N/A</v>
      </c>
      <c r="AA1797" s="34" t="str">
        <f t="shared" si="306"/>
        <v>#N/A</v>
      </c>
      <c r="AB1797" s="41" t="str">
        <f t="shared" si="307"/>
        <v>#N/A</v>
      </c>
      <c r="AC1797" s="42" t="b">
        <v>0</v>
      </c>
      <c r="AD1797" s="66" t="str">
        <f t="shared" si="308"/>
        <v>USD</v>
      </c>
      <c r="AE1797" s="42"/>
      <c r="AF1797" s="42" t="str">
        <f t="array" ref="AF1797">INDEX('Deal Info'!D:D, MATCH(A1797,'Deal Info'!A:A, 0))</f>
        <v>#N/A</v>
      </c>
      <c r="AG1797" s="43" t="str">
        <f t="array" ref="AG1797">INDEX('Deal Info'!G:G, MATCH(A1797,'Deal Info'!A:A, 0))</f>
        <v>#N/A</v>
      </c>
    </row>
    <row r="1798" hidden="1">
      <c r="A1798" s="23" t="b">
        <f t="array" ref="A1798">if(G1798='Room Info'!$B$1, INDEX('Room Info'!$A$2:$A3446, MATCH(B1798,'Room Info'!$B$2:$B3446, 0)),if(G1798='Room Info'!$C$1, INDEX('Room Info'!$A$2:$A3446, MATCH(B1798,'Room Info'!$C$2:$C3446, 0)),if(G1798='Room Info'!$D$1, INDEX('Room Info'!$A$2:$A3446, MATCH(B1798,'Room Info'!$D$2:$D3446, 0)),if(G1798='Room Info'!$E$1, INDEX('Room Info'!$A$2:$A3446, MATCH(B1798,'Room Info'!$E$2:$E3446, 0)),if(G1798='Room Info'!$F$1, INDEX('Room Info'!$A$2:$A3446, MATCH(B1798,'Room Info'!$F$2:$F3446, 0)),if(G1798='Room Info'!$H$1, INDEX('Room Info'!$A$2:$A3446, MATCH(B1798,'Room Info'!$H$2:$H3446, 0)),if(G1798='Room Info'!$G$1, INDEX('Room Info'!$A$2:$A3446, MATCH(B1798,'Room Info'!$G$2:$G3446, 0)))))))))</f>
        <v>0</v>
      </c>
      <c r="B1798" s="101"/>
      <c r="C1798" s="115"/>
      <c r="D1798" s="115"/>
      <c r="E1798" s="85"/>
      <c r="F1798" s="138"/>
      <c r="G1798" s="101"/>
      <c r="H1798" s="114"/>
      <c r="I1798" s="114"/>
      <c r="J1798" s="44" t="str">
        <f t="shared" si="311"/>
        <v/>
      </c>
      <c r="K1798" s="116"/>
      <c r="L1798" s="117"/>
      <c r="M1798" s="67"/>
      <c r="N1798" s="33">
        <f t="shared" si="276"/>
        <v>0</v>
      </c>
      <c r="O1798" s="70"/>
      <c r="P1798" s="34" t="str">
        <f t="shared" si="277"/>
        <v/>
      </c>
      <c r="Q1798" s="60"/>
      <c r="R1798" s="36">
        <f t="shared" si="312"/>
        <v>0</v>
      </c>
      <c r="S1798" s="71"/>
      <c r="T1798" s="37">
        <f t="shared" si="302"/>
        <v>0</v>
      </c>
      <c r="U1798" s="62"/>
      <c r="V1798" s="63"/>
      <c r="W1798" s="63"/>
      <c r="X1798" s="35" t="str">
        <f t="shared" si="303"/>
        <v>#N/A</v>
      </c>
      <c r="Y1798" s="35" t="str">
        <f t="shared" si="304"/>
        <v>#N/A</v>
      </c>
      <c r="Z1798" s="40" t="str">
        <f t="shared" si="305"/>
        <v>#N/A</v>
      </c>
      <c r="AA1798" s="34" t="str">
        <f t="shared" si="306"/>
        <v>#N/A</v>
      </c>
      <c r="AB1798" s="41" t="str">
        <f t="shared" si="307"/>
        <v>#N/A</v>
      </c>
      <c r="AC1798" s="42" t="b">
        <v>0</v>
      </c>
      <c r="AD1798" s="66" t="str">
        <f t="shared" si="308"/>
        <v>USD</v>
      </c>
      <c r="AE1798" s="42"/>
      <c r="AF1798" s="42" t="str">
        <f t="array" ref="AF1798">INDEX('Deal Info'!D:D, MATCH(A1798,'Deal Info'!A:A, 0))</f>
        <v>#N/A</v>
      </c>
      <c r="AG1798" s="43" t="str">
        <f t="array" ref="AG1798">INDEX('Deal Info'!G:G, MATCH(A1798,'Deal Info'!A:A, 0))</f>
        <v>#N/A</v>
      </c>
    </row>
    <row r="1799" hidden="1">
      <c r="A1799" s="23" t="b">
        <f t="array" ref="A1799">if(G1799='Room Info'!$B$1, INDEX('Room Info'!$A$2:$A3446, MATCH(B1799,'Room Info'!$B$2:$B3446, 0)),if(G1799='Room Info'!$C$1, INDEX('Room Info'!$A$2:$A3446, MATCH(B1799,'Room Info'!$C$2:$C3446, 0)),if(G1799='Room Info'!$D$1, INDEX('Room Info'!$A$2:$A3446, MATCH(B1799,'Room Info'!$D$2:$D3446, 0)),if(G1799='Room Info'!$E$1, INDEX('Room Info'!$A$2:$A3446, MATCH(B1799,'Room Info'!$E$2:$E3446, 0)),if(G1799='Room Info'!$F$1, INDEX('Room Info'!$A$2:$A3446, MATCH(B1799,'Room Info'!$F$2:$F3446, 0)),if(G1799='Room Info'!$H$1, INDEX('Room Info'!$A$2:$A3446, MATCH(B1799,'Room Info'!$H$2:$H3446, 0)),if(G1799='Room Info'!$G$1, INDEX('Room Info'!$A$2:$A3446, MATCH(B1799,'Room Info'!$G$2:$G3446, 0)))))))))</f>
        <v>0</v>
      </c>
      <c r="B1799" s="101"/>
      <c r="C1799" s="115"/>
      <c r="D1799" s="115"/>
      <c r="E1799" s="85"/>
      <c r="F1799" s="138"/>
      <c r="G1799" s="101"/>
      <c r="H1799" s="114"/>
      <c r="I1799" s="114"/>
      <c r="J1799" s="44" t="str">
        <f t="shared" si="311"/>
        <v/>
      </c>
      <c r="K1799" s="116"/>
      <c r="L1799" s="117"/>
      <c r="M1799" s="67"/>
      <c r="N1799" s="33">
        <f t="shared" si="276"/>
        <v>0</v>
      </c>
      <c r="O1799" s="70"/>
      <c r="P1799" s="34" t="str">
        <f t="shared" si="277"/>
        <v/>
      </c>
      <c r="Q1799" s="60"/>
      <c r="R1799" s="36">
        <f t="shared" si="312"/>
        <v>0</v>
      </c>
      <c r="S1799" s="71"/>
      <c r="T1799" s="37">
        <f t="shared" si="302"/>
        <v>0</v>
      </c>
      <c r="U1799" s="62"/>
      <c r="V1799" s="63"/>
      <c r="W1799" s="63"/>
      <c r="X1799" s="35" t="str">
        <f t="shared" si="303"/>
        <v>#N/A</v>
      </c>
      <c r="Y1799" s="35" t="str">
        <f t="shared" si="304"/>
        <v>#N/A</v>
      </c>
      <c r="Z1799" s="40" t="str">
        <f t="shared" si="305"/>
        <v>#N/A</v>
      </c>
      <c r="AA1799" s="34" t="str">
        <f t="shared" si="306"/>
        <v>#N/A</v>
      </c>
      <c r="AB1799" s="41" t="str">
        <f t="shared" si="307"/>
        <v>#N/A</v>
      </c>
      <c r="AC1799" s="42" t="b">
        <v>0</v>
      </c>
      <c r="AD1799" s="66" t="str">
        <f t="shared" si="308"/>
        <v>USD</v>
      </c>
      <c r="AE1799" s="42"/>
      <c r="AF1799" s="42" t="str">
        <f t="array" ref="AF1799">INDEX('Deal Info'!D:D, MATCH(A1799,'Deal Info'!A:A, 0))</f>
        <v>#N/A</v>
      </c>
      <c r="AG1799" s="43" t="str">
        <f t="array" ref="AG1799">INDEX('Deal Info'!G:G, MATCH(A1799,'Deal Info'!A:A, 0))</f>
        <v>#N/A</v>
      </c>
    </row>
    <row r="1800" hidden="1">
      <c r="A1800" s="23" t="b">
        <f t="array" ref="A1800">if(G1800='Room Info'!$B$1, INDEX('Room Info'!$A$2:$A3446, MATCH(B1800,'Room Info'!$B$2:$B3446, 0)),if(G1800='Room Info'!$C$1, INDEX('Room Info'!$A$2:$A3446, MATCH(B1800,'Room Info'!$C$2:$C3446, 0)),if(G1800='Room Info'!$D$1, INDEX('Room Info'!$A$2:$A3446, MATCH(B1800,'Room Info'!$D$2:$D3446, 0)),if(G1800='Room Info'!$E$1, INDEX('Room Info'!$A$2:$A3446, MATCH(B1800,'Room Info'!$E$2:$E3446, 0)),if(G1800='Room Info'!$F$1, INDEX('Room Info'!$A$2:$A3446, MATCH(B1800,'Room Info'!$F$2:$F3446, 0)),if(G1800='Room Info'!$H$1, INDEX('Room Info'!$A$2:$A3446, MATCH(B1800,'Room Info'!$H$2:$H3446, 0)),if(G1800='Room Info'!$G$1, INDEX('Room Info'!$A$2:$A3446, MATCH(B1800,'Room Info'!$G$2:$G3446, 0)))))))))</f>
        <v>0</v>
      </c>
      <c r="B1800" s="101"/>
      <c r="C1800" s="115"/>
      <c r="D1800" s="115"/>
      <c r="E1800" s="85"/>
      <c r="F1800" s="138"/>
      <c r="G1800" s="101"/>
      <c r="H1800" s="114"/>
      <c r="I1800" s="114"/>
      <c r="J1800" s="44" t="str">
        <f t="shared" si="311"/>
        <v/>
      </c>
      <c r="K1800" s="116"/>
      <c r="L1800" s="117"/>
      <c r="M1800" s="67"/>
      <c r="N1800" s="33">
        <f t="shared" si="276"/>
        <v>0</v>
      </c>
      <c r="O1800" s="70"/>
      <c r="P1800" s="34" t="str">
        <f t="shared" si="277"/>
        <v/>
      </c>
      <c r="Q1800" s="60"/>
      <c r="R1800" s="36">
        <f t="shared" si="312"/>
        <v>0</v>
      </c>
      <c r="S1800" s="71"/>
      <c r="T1800" s="37">
        <f t="shared" si="302"/>
        <v>0</v>
      </c>
      <c r="U1800" s="62"/>
      <c r="V1800" s="63"/>
      <c r="W1800" s="63"/>
      <c r="X1800" s="35" t="str">
        <f t="shared" si="303"/>
        <v>#N/A</v>
      </c>
      <c r="Y1800" s="35" t="str">
        <f t="shared" si="304"/>
        <v>#N/A</v>
      </c>
      <c r="Z1800" s="40" t="str">
        <f t="shared" si="305"/>
        <v>#N/A</v>
      </c>
      <c r="AA1800" s="34" t="str">
        <f t="shared" si="306"/>
        <v>#N/A</v>
      </c>
      <c r="AB1800" s="41" t="str">
        <f t="shared" si="307"/>
        <v>#N/A</v>
      </c>
      <c r="AC1800" s="42" t="b">
        <v>0</v>
      </c>
      <c r="AD1800" s="66" t="str">
        <f t="shared" si="308"/>
        <v>USD</v>
      </c>
      <c r="AE1800" s="42"/>
      <c r="AF1800" s="42" t="str">
        <f t="array" ref="AF1800">INDEX('Deal Info'!D:D, MATCH(A1800,'Deal Info'!A:A, 0))</f>
        <v>#N/A</v>
      </c>
      <c r="AG1800" s="43" t="str">
        <f t="array" ref="AG1800">INDEX('Deal Info'!G:G, MATCH(A1800,'Deal Info'!A:A, 0))</f>
        <v>#N/A</v>
      </c>
    </row>
    <row r="1801" hidden="1">
      <c r="A1801" s="23" t="b">
        <f t="array" ref="A1801">if(G1801='Room Info'!$B$1, INDEX('Room Info'!$A$2:$A3446, MATCH(B1801,'Room Info'!$B$2:$B3446, 0)),if(G1801='Room Info'!$C$1, INDEX('Room Info'!$A$2:$A3446, MATCH(B1801,'Room Info'!$C$2:$C3446, 0)),if(G1801='Room Info'!$D$1, INDEX('Room Info'!$A$2:$A3446, MATCH(B1801,'Room Info'!$D$2:$D3446, 0)),if(G1801='Room Info'!$E$1, INDEX('Room Info'!$A$2:$A3446, MATCH(B1801,'Room Info'!$E$2:$E3446, 0)),if(G1801='Room Info'!$F$1, INDEX('Room Info'!$A$2:$A3446, MATCH(B1801,'Room Info'!$F$2:$F3446, 0)),if(G1801='Room Info'!$H$1, INDEX('Room Info'!$A$2:$A3446, MATCH(B1801,'Room Info'!$H$2:$H3446, 0)),if(G1801='Room Info'!$G$1, INDEX('Room Info'!$A$2:$A3446, MATCH(B1801,'Room Info'!$G$2:$G3446, 0)))))))))</f>
        <v>0</v>
      </c>
      <c r="B1801" s="101"/>
      <c r="C1801" s="115"/>
      <c r="D1801" s="115"/>
      <c r="E1801" s="85"/>
      <c r="F1801" s="138"/>
      <c r="G1801" s="101"/>
      <c r="H1801" s="114"/>
      <c r="I1801" s="114"/>
      <c r="J1801" s="44" t="str">
        <f t="shared" si="311"/>
        <v/>
      </c>
      <c r="K1801" s="116"/>
      <c r="L1801" s="117"/>
      <c r="M1801" s="67"/>
      <c r="N1801" s="33">
        <f t="shared" si="276"/>
        <v>0</v>
      </c>
      <c r="O1801" s="70"/>
      <c r="P1801" s="34" t="str">
        <f t="shared" si="277"/>
        <v/>
      </c>
      <c r="Q1801" s="60"/>
      <c r="R1801" s="36">
        <f t="shared" si="312"/>
        <v>0</v>
      </c>
      <c r="S1801" s="71"/>
      <c r="T1801" s="37">
        <f t="shared" si="302"/>
        <v>0</v>
      </c>
      <c r="U1801" s="62"/>
      <c r="V1801" s="63"/>
      <c r="W1801" s="63"/>
      <c r="X1801" s="35" t="str">
        <f t="shared" si="303"/>
        <v>#N/A</v>
      </c>
      <c r="Y1801" s="35" t="str">
        <f t="shared" si="304"/>
        <v>#N/A</v>
      </c>
      <c r="Z1801" s="40" t="str">
        <f t="shared" si="305"/>
        <v>#N/A</v>
      </c>
      <c r="AA1801" s="34" t="str">
        <f t="shared" si="306"/>
        <v>#N/A</v>
      </c>
      <c r="AB1801" s="41" t="str">
        <f t="shared" si="307"/>
        <v>#N/A</v>
      </c>
      <c r="AC1801" s="42" t="b">
        <v>0</v>
      </c>
      <c r="AD1801" s="66" t="str">
        <f t="shared" si="308"/>
        <v>USD</v>
      </c>
      <c r="AE1801" s="42"/>
      <c r="AF1801" s="42" t="str">
        <f t="array" ref="AF1801">INDEX('Deal Info'!D:D, MATCH(A1801,'Deal Info'!A:A, 0))</f>
        <v>#N/A</v>
      </c>
      <c r="AG1801" s="43" t="str">
        <f t="array" ref="AG1801">INDEX('Deal Info'!G:G, MATCH(A1801,'Deal Info'!A:A, 0))</f>
        <v>#N/A</v>
      </c>
    </row>
    <row r="1802" hidden="1">
      <c r="A1802" s="23" t="b">
        <f t="array" ref="A1802">if(G1802='Room Info'!$B$1, INDEX('Room Info'!$A$2:$A3446, MATCH(B1802,'Room Info'!$B$2:$B3446, 0)),if(G1802='Room Info'!$C$1, INDEX('Room Info'!$A$2:$A3446, MATCH(B1802,'Room Info'!$C$2:$C3446, 0)),if(G1802='Room Info'!$D$1, INDEX('Room Info'!$A$2:$A3446, MATCH(B1802,'Room Info'!$D$2:$D3446, 0)),if(G1802='Room Info'!$E$1, INDEX('Room Info'!$A$2:$A3446, MATCH(B1802,'Room Info'!$E$2:$E3446, 0)),if(G1802='Room Info'!$F$1, INDEX('Room Info'!$A$2:$A3446, MATCH(B1802,'Room Info'!$F$2:$F3446, 0)),if(G1802='Room Info'!$H$1, INDEX('Room Info'!$A$2:$A3446, MATCH(B1802,'Room Info'!$H$2:$H3446, 0)),if(G1802='Room Info'!$G$1, INDEX('Room Info'!$A$2:$A3446, MATCH(B1802,'Room Info'!$G$2:$G3446, 0)))))))))</f>
        <v>0</v>
      </c>
      <c r="B1802" s="101"/>
      <c r="C1802" s="141"/>
      <c r="D1802" s="141"/>
      <c r="E1802" s="142"/>
      <c r="F1802" s="138"/>
      <c r="G1802" s="101"/>
      <c r="H1802" s="105"/>
      <c r="I1802" s="105"/>
      <c r="J1802" s="44" t="str">
        <f t="shared" si="311"/>
        <v/>
      </c>
      <c r="K1802" s="139"/>
      <c r="L1802" s="140"/>
      <c r="M1802" s="84"/>
      <c r="N1802" s="33">
        <f t="shared" si="276"/>
        <v>0</v>
      </c>
      <c r="O1802" s="101"/>
      <c r="P1802" s="34" t="str">
        <f t="shared" si="277"/>
        <v/>
      </c>
      <c r="Q1802" s="60"/>
      <c r="R1802" s="36">
        <f t="shared" si="312"/>
        <v>0</v>
      </c>
      <c r="S1802" s="102"/>
      <c r="T1802" s="37">
        <f t="shared" si="302"/>
        <v>0</v>
      </c>
      <c r="U1802" s="62"/>
      <c r="V1802" s="63"/>
      <c r="W1802" s="63"/>
      <c r="X1802" s="35" t="str">
        <f t="shared" si="303"/>
        <v>#N/A</v>
      </c>
      <c r="Y1802" s="35" t="str">
        <f t="shared" si="304"/>
        <v>#N/A</v>
      </c>
      <c r="Z1802" s="40" t="str">
        <f t="shared" si="305"/>
        <v>#N/A</v>
      </c>
      <c r="AA1802" s="34" t="str">
        <f t="shared" si="306"/>
        <v>#N/A</v>
      </c>
      <c r="AB1802" s="41" t="str">
        <f t="shared" si="307"/>
        <v>#N/A</v>
      </c>
      <c r="AC1802" s="42" t="b">
        <v>0</v>
      </c>
      <c r="AD1802" s="66" t="str">
        <f t="shared" si="308"/>
        <v>USD</v>
      </c>
      <c r="AE1802" s="42"/>
      <c r="AF1802" s="42" t="str">
        <f t="array" ref="AF1802">INDEX('Deal Info'!D:D, MATCH(A1802,'Deal Info'!A:A, 0))</f>
        <v>#N/A</v>
      </c>
      <c r="AG1802" s="43" t="str">
        <f t="array" ref="AG1802">INDEX('Deal Info'!G:G, MATCH(A1802,'Deal Info'!A:A, 0))</f>
        <v>#N/A</v>
      </c>
    </row>
    <row r="1803" hidden="1">
      <c r="A1803" s="23" t="b">
        <f t="array" ref="A1803">if(G1803='Room Info'!$B$1, INDEX('Room Info'!$A$2:$A3446, MATCH(B1803,'Room Info'!$B$2:$B3446, 0)),if(G1803='Room Info'!$C$1, INDEX('Room Info'!$A$2:$A3446, MATCH(B1803,'Room Info'!$C$2:$C3446, 0)),if(G1803='Room Info'!$D$1, INDEX('Room Info'!$A$2:$A3446, MATCH(B1803,'Room Info'!$D$2:$D3446, 0)),if(G1803='Room Info'!$E$1, INDEX('Room Info'!$A$2:$A3446, MATCH(B1803,'Room Info'!$E$2:$E3446, 0)),if(G1803='Room Info'!$F$1, INDEX('Room Info'!$A$2:$A3446, MATCH(B1803,'Room Info'!$F$2:$F3446, 0)),if(G1803='Room Info'!$H$1, INDEX('Room Info'!$A$2:$A3446, MATCH(B1803,'Room Info'!$H$2:$H3446, 0)),if(G1803='Room Info'!$G$1, INDEX('Room Info'!$A$2:$A3446, MATCH(B1803,'Room Info'!$G$2:$G3446, 0)))))))))</f>
        <v>0</v>
      </c>
      <c r="B1803" s="101"/>
      <c r="C1803" s="141"/>
      <c r="D1803" s="141"/>
      <c r="E1803" s="142"/>
      <c r="F1803" s="138"/>
      <c r="G1803" s="101"/>
      <c r="H1803" s="105"/>
      <c r="I1803" s="105"/>
      <c r="J1803" s="44" t="str">
        <f t="shared" si="311"/>
        <v/>
      </c>
      <c r="K1803" s="139"/>
      <c r="L1803" s="140"/>
      <c r="M1803" s="84"/>
      <c r="N1803" s="33">
        <f t="shared" si="276"/>
        <v>0</v>
      </c>
      <c r="O1803" s="101"/>
      <c r="P1803" s="34" t="str">
        <f t="shared" si="277"/>
        <v/>
      </c>
      <c r="Q1803" s="60"/>
      <c r="R1803" s="36">
        <f t="shared" si="312"/>
        <v>0</v>
      </c>
      <c r="S1803" s="102"/>
      <c r="T1803" s="37">
        <f t="shared" si="302"/>
        <v>0</v>
      </c>
      <c r="U1803" s="62"/>
      <c r="V1803" s="63"/>
      <c r="W1803" s="63"/>
      <c r="X1803" s="35" t="str">
        <f t="shared" si="303"/>
        <v>#N/A</v>
      </c>
      <c r="Y1803" s="35" t="str">
        <f t="shared" si="304"/>
        <v>#N/A</v>
      </c>
      <c r="Z1803" s="40" t="str">
        <f t="shared" si="305"/>
        <v>#N/A</v>
      </c>
      <c r="AA1803" s="34" t="str">
        <f t="shared" si="306"/>
        <v>#N/A</v>
      </c>
      <c r="AB1803" s="41" t="str">
        <f t="shared" si="307"/>
        <v>#N/A</v>
      </c>
      <c r="AC1803" s="42" t="b">
        <v>0</v>
      </c>
      <c r="AD1803" s="66" t="str">
        <f t="shared" si="308"/>
        <v>USD</v>
      </c>
      <c r="AE1803" s="42"/>
      <c r="AF1803" s="42" t="str">
        <f t="array" ref="AF1803">INDEX('Deal Info'!D:D, MATCH(A1803,'Deal Info'!A:A, 0))</f>
        <v>#N/A</v>
      </c>
      <c r="AG1803" s="43" t="str">
        <f t="array" ref="AG1803">INDEX('Deal Info'!G:G, MATCH(A1803,'Deal Info'!A:A, 0))</f>
        <v>#N/A</v>
      </c>
    </row>
    <row r="1804" hidden="1">
      <c r="A1804" s="23" t="b">
        <f t="array" ref="A1804">if(G1804='Room Info'!$B$1, INDEX('Room Info'!$A$2:$A3446, MATCH(B1804,'Room Info'!$B$2:$B3446, 0)),if(G1804='Room Info'!$C$1, INDEX('Room Info'!$A$2:$A3446, MATCH(B1804,'Room Info'!$C$2:$C3446, 0)),if(G1804='Room Info'!$D$1, INDEX('Room Info'!$A$2:$A3446, MATCH(B1804,'Room Info'!$D$2:$D3446, 0)),if(G1804='Room Info'!$E$1, INDEX('Room Info'!$A$2:$A3446, MATCH(B1804,'Room Info'!$E$2:$E3446, 0)),if(G1804='Room Info'!$F$1, INDEX('Room Info'!$A$2:$A3446, MATCH(B1804,'Room Info'!$F$2:$F3446, 0)),if(G1804='Room Info'!$H$1, INDEX('Room Info'!$A$2:$A3446, MATCH(B1804,'Room Info'!$H$2:$H3446, 0)),if(G1804='Room Info'!$G$1, INDEX('Room Info'!$A$2:$A3446, MATCH(B1804,'Room Info'!$G$2:$G3446, 0)))))))))</f>
        <v>0</v>
      </c>
      <c r="B1804" s="101"/>
      <c r="C1804" s="141"/>
      <c r="D1804" s="141"/>
      <c r="E1804" s="142"/>
      <c r="F1804" s="138"/>
      <c r="G1804" s="101"/>
      <c r="H1804" s="105"/>
      <c r="I1804" s="105"/>
      <c r="J1804" s="44" t="str">
        <f t="shared" si="311"/>
        <v/>
      </c>
      <c r="K1804" s="139"/>
      <c r="L1804" s="140"/>
      <c r="M1804" s="84"/>
      <c r="N1804" s="33">
        <f t="shared" si="276"/>
        <v>0</v>
      </c>
      <c r="O1804" s="101"/>
      <c r="P1804" s="34" t="str">
        <f t="shared" si="277"/>
        <v/>
      </c>
      <c r="Q1804" s="60"/>
      <c r="R1804" s="36">
        <f t="shared" si="312"/>
        <v>0</v>
      </c>
      <c r="S1804" s="102"/>
      <c r="T1804" s="37">
        <f t="shared" si="302"/>
        <v>0</v>
      </c>
      <c r="U1804" s="62"/>
      <c r="V1804" s="63"/>
      <c r="W1804" s="63"/>
      <c r="X1804" s="35" t="str">
        <f t="shared" si="303"/>
        <v>#N/A</v>
      </c>
      <c r="Y1804" s="35" t="str">
        <f t="shared" si="304"/>
        <v>#N/A</v>
      </c>
      <c r="Z1804" s="40" t="str">
        <f t="shared" si="305"/>
        <v>#N/A</v>
      </c>
      <c r="AA1804" s="34" t="str">
        <f t="shared" si="306"/>
        <v>#N/A</v>
      </c>
      <c r="AB1804" s="41" t="str">
        <f t="shared" si="307"/>
        <v>#N/A</v>
      </c>
      <c r="AC1804" s="42" t="b">
        <v>0</v>
      </c>
      <c r="AD1804" s="66" t="str">
        <f t="shared" si="308"/>
        <v>USD</v>
      </c>
      <c r="AE1804" s="42"/>
      <c r="AF1804" s="42" t="str">
        <f t="array" ref="AF1804">INDEX('Deal Info'!D:D, MATCH(A1804,'Deal Info'!A:A, 0))</f>
        <v>#N/A</v>
      </c>
      <c r="AG1804" s="43" t="str">
        <f t="array" ref="AG1804">INDEX('Deal Info'!G:G, MATCH(A1804,'Deal Info'!A:A, 0))</f>
        <v>#N/A</v>
      </c>
    </row>
    <row r="1805" hidden="1">
      <c r="A1805" s="23" t="b">
        <f t="array" ref="A1805">if(G1805='Room Info'!$B$1, INDEX('Room Info'!$A$2:$A3446, MATCH(B1805,'Room Info'!$B$2:$B3446, 0)),if(G1805='Room Info'!$C$1, INDEX('Room Info'!$A$2:$A3446, MATCH(B1805,'Room Info'!$C$2:$C3446, 0)),if(G1805='Room Info'!$D$1, INDEX('Room Info'!$A$2:$A3446, MATCH(B1805,'Room Info'!$D$2:$D3446, 0)),if(G1805='Room Info'!$E$1, INDEX('Room Info'!$A$2:$A3446, MATCH(B1805,'Room Info'!$E$2:$E3446, 0)),if(G1805='Room Info'!$F$1, INDEX('Room Info'!$A$2:$A3446, MATCH(B1805,'Room Info'!$F$2:$F3446, 0)),if(G1805='Room Info'!$H$1, INDEX('Room Info'!$A$2:$A3446, MATCH(B1805,'Room Info'!$H$2:$H3446, 0)),if(G1805='Room Info'!$G$1, INDEX('Room Info'!$A$2:$A3446, MATCH(B1805,'Room Info'!$G$2:$G3446, 0)))))))))</f>
        <v>0</v>
      </c>
      <c r="B1805" s="101"/>
      <c r="C1805" s="141"/>
      <c r="D1805" s="141"/>
      <c r="E1805" s="142"/>
      <c r="F1805" s="138"/>
      <c r="G1805" s="101"/>
      <c r="H1805" s="105"/>
      <c r="I1805" s="105"/>
      <c r="J1805" s="44" t="str">
        <f t="shared" si="311"/>
        <v/>
      </c>
      <c r="K1805" s="139"/>
      <c r="L1805" s="140"/>
      <c r="M1805" s="84"/>
      <c r="N1805" s="33">
        <f t="shared" si="276"/>
        <v>0</v>
      </c>
      <c r="O1805" s="101"/>
      <c r="P1805" s="34" t="str">
        <f t="shared" si="277"/>
        <v/>
      </c>
      <c r="Q1805" s="60"/>
      <c r="R1805" s="36">
        <f t="shared" si="312"/>
        <v>0</v>
      </c>
      <c r="S1805" s="102"/>
      <c r="T1805" s="37">
        <f t="shared" si="302"/>
        <v>0</v>
      </c>
      <c r="U1805" s="62"/>
      <c r="V1805" s="63"/>
      <c r="W1805" s="63"/>
      <c r="X1805" s="35" t="str">
        <f t="shared" si="303"/>
        <v>#N/A</v>
      </c>
      <c r="Y1805" s="35" t="str">
        <f t="shared" si="304"/>
        <v>#N/A</v>
      </c>
      <c r="Z1805" s="40" t="str">
        <f t="shared" si="305"/>
        <v>#N/A</v>
      </c>
      <c r="AA1805" s="34" t="str">
        <f t="shared" si="306"/>
        <v>#N/A</v>
      </c>
      <c r="AB1805" s="41" t="str">
        <f t="shared" si="307"/>
        <v>#N/A</v>
      </c>
      <c r="AC1805" s="42" t="b">
        <v>0</v>
      </c>
      <c r="AD1805" s="66" t="str">
        <f t="shared" si="308"/>
        <v>USD</v>
      </c>
      <c r="AE1805" s="42"/>
      <c r="AF1805" s="42" t="str">
        <f t="array" ref="AF1805">INDEX('Deal Info'!D:D, MATCH(A1805,'Deal Info'!A:A, 0))</f>
        <v>#N/A</v>
      </c>
      <c r="AG1805" s="43" t="str">
        <f t="array" ref="AG1805">INDEX('Deal Info'!G:G, MATCH(A1805,'Deal Info'!A:A, 0))</f>
        <v>#N/A</v>
      </c>
    </row>
    <row r="1806" hidden="1">
      <c r="A1806" s="23" t="b">
        <f t="array" ref="A1806">if(G1806='Room Info'!$B$1, INDEX('Room Info'!$A$2:$A3446, MATCH(B1806,'Room Info'!$B$2:$B3446, 0)),if(G1806='Room Info'!$C$1, INDEX('Room Info'!$A$2:$A3446, MATCH(B1806,'Room Info'!$C$2:$C3446, 0)),if(G1806='Room Info'!$D$1, INDEX('Room Info'!$A$2:$A3446, MATCH(B1806,'Room Info'!$D$2:$D3446, 0)),if(G1806='Room Info'!$E$1, INDEX('Room Info'!$A$2:$A3446, MATCH(B1806,'Room Info'!$E$2:$E3446, 0)),if(G1806='Room Info'!$F$1, INDEX('Room Info'!$A$2:$A3446, MATCH(B1806,'Room Info'!$F$2:$F3446, 0)),if(G1806='Room Info'!$H$1, INDEX('Room Info'!$A$2:$A3446, MATCH(B1806,'Room Info'!$H$2:$H3446, 0)),if(G1806='Room Info'!$G$1, INDEX('Room Info'!$A$2:$A3446, MATCH(B1806,'Room Info'!$G$2:$G3446, 0)))))))))</f>
        <v>0</v>
      </c>
      <c r="B1806" s="101"/>
      <c r="C1806" s="141"/>
      <c r="D1806" s="141"/>
      <c r="E1806" s="142"/>
      <c r="F1806" s="138"/>
      <c r="G1806" s="101"/>
      <c r="H1806" s="105"/>
      <c r="I1806" s="105"/>
      <c r="J1806" s="44" t="str">
        <f t="shared" si="311"/>
        <v/>
      </c>
      <c r="K1806" s="139"/>
      <c r="L1806" s="140"/>
      <c r="M1806" s="84"/>
      <c r="N1806" s="33">
        <f t="shared" si="276"/>
        <v>0</v>
      </c>
      <c r="O1806" s="101"/>
      <c r="P1806" s="34" t="str">
        <f t="shared" si="277"/>
        <v/>
      </c>
      <c r="Q1806" s="60"/>
      <c r="R1806" s="36">
        <f t="shared" si="312"/>
        <v>0</v>
      </c>
      <c r="S1806" s="102"/>
      <c r="T1806" s="37">
        <f t="shared" si="302"/>
        <v>0</v>
      </c>
      <c r="U1806" s="62"/>
      <c r="V1806" s="63"/>
      <c r="W1806" s="63"/>
      <c r="X1806" s="35" t="str">
        <f t="shared" si="303"/>
        <v>#N/A</v>
      </c>
      <c r="Y1806" s="35" t="str">
        <f t="shared" si="304"/>
        <v>#N/A</v>
      </c>
      <c r="Z1806" s="40" t="str">
        <f t="shared" si="305"/>
        <v>#N/A</v>
      </c>
      <c r="AA1806" s="34" t="str">
        <f t="shared" si="306"/>
        <v>#N/A</v>
      </c>
      <c r="AB1806" s="41" t="str">
        <f t="shared" si="307"/>
        <v>#N/A</v>
      </c>
      <c r="AC1806" s="42" t="b">
        <v>0</v>
      </c>
      <c r="AD1806" s="66" t="str">
        <f t="shared" si="308"/>
        <v>USD</v>
      </c>
      <c r="AE1806" s="42"/>
      <c r="AF1806" s="42" t="str">
        <f t="array" ref="AF1806">INDEX('Deal Info'!D:D, MATCH(A1806,'Deal Info'!A:A, 0))</f>
        <v>#N/A</v>
      </c>
      <c r="AG1806" s="43" t="str">
        <f t="array" ref="AG1806">INDEX('Deal Info'!G:G, MATCH(A1806,'Deal Info'!A:A, 0))</f>
        <v>#N/A</v>
      </c>
    </row>
    <row r="1807" hidden="1">
      <c r="A1807" s="23" t="b">
        <f t="array" ref="A1807">if(G1807='Room Info'!$B$1, INDEX('Room Info'!$A$2:$A3446, MATCH(B1807,'Room Info'!$B$2:$B3446, 0)),if(G1807='Room Info'!$C$1, INDEX('Room Info'!$A$2:$A3446, MATCH(B1807,'Room Info'!$C$2:$C3446, 0)),if(G1807='Room Info'!$D$1, INDEX('Room Info'!$A$2:$A3446, MATCH(B1807,'Room Info'!$D$2:$D3446, 0)),if(G1807='Room Info'!$E$1, INDEX('Room Info'!$A$2:$A3446, MATCH(B1807,'Room Info'!$E$2:$E3446, 0)),if(G1807='Room Info'!$F$1, INDEX('Room Info'!$A$2:$A3446, MATCH(B1807,'Room Info'!$F$2:$F3446, 0)),if(G1807='Room Info'!$H$1, INDEX('Room Info'!$A$2:$A3446, MATCH(B1807,'Room Info'!$H$2:$H3446, 0)),if(G1807='Room Info'!$G$1, INDEX('Room Info'!$A$2:$A3446, MATCH(B1807,'Room Info'!$G$2:$G3446, 0)))))))))</f>
        <v>0</v>
      </c>
      <c r="B1807" s="101"/>
      <c r="C1807" s="141"/>
      <c r="D1807" s="141"/>
      <c r="E1807" s="142"/>
      <c r="F1807" s="138"/>
      <c r="G1807" s="101"/>
      <c r="H1807" s="105"/>
      <c r="I1807" s="105"/>
      <c r="J1807" s="44" t="str">
        <f t="shared" si="311"/>
        <v/>
      </c>
      <c r="K1807" s="139"/>
      <c r="L1807" s="140"/>
      <c r="M1807" s="84"/>
      <c r="N1807" s="33">
        <f t="shared" si="276"/>
        <v>0</v>
      </c>
      <c r="O1807" s="101"/>
      <c r="P1807" s="34" t="str">
        <f t="shared" si="277"/>
        <v/>
      </c>
      <c r="Q1807" s="60"/>
      <c r="R1807" s="36">
        <f t="shared" si="312"/>
        <v>0</v>
      </c>
      <c r="S1807" s="102"/>
      <c r="T1807" s="37">
        <f t="shared" si="302"/>
        <v>0</v>
      </c>
      <c r="U1807" s="62"/>
      <c r="V1807" s="63"/>
      <c r="W1807" s="63"/>
      <c r="X1807" s="35" t="str">
        <f t="shared" si="303"/>
        <v>#N/A</v>
      </c>
      <c r="Y1807" s="35" t="str">
        <f t="shared" si="304"/>
        <v>#N/A</v>
      </c>
      <c r="Z1807" s="40" t="str">
        <f t="shared" si="305"/>
        <v>#N/A</v>
      </c>
      <c r="AA1807" s="34" t="str">
        <f t="shared" si="306"/>
        <v>#N/A</v>
      </c>
      <c r="AB1807" s="41" t="str">
        <f t="shared" si="307"/>
        <v>#N/A</v>
      </c>
      <c r="AC1807" s="42" t="b">
        <v>0</v>
      </c>
      <c r="AD1807" s="66" t="str">
        <f t="shared" si="308"/>
        <v>USD</v>
      </c>
      <c r="AE1807" s="42"/>
      <c r="AF1807" s="42" t="str">
        <f t="array" ref="AF1807">INDEX('Deal Info'!D:D, MATCH(A1807,'Deal Info'!A:A, 0))</f>
        <v>#N/A</v>
      </c>
      <c r="AG1807" s="43" t="str">
        <f t="array" ref="AG1807">INDEX('Deal Info'!G:G, MATCH(A1807,'Deal Info'!A:A, 0))</f>
        <v>#N/A</v>
      </c>
    </row>
    <row r="1808" hidden="1">
      <c r="A1808" s="23" t="b">
        <f t="array" ref="A1808">if(G1808='Room Info'!$B$1, INDEX('Room Info'!$A$2:$A3446, MATCH(B1808,'Room Info'!$B$2:$B3446, 0)),if(G1808='Room Info'!$C$1, INDEX('Room Info'!$A$2:$A3446, MATCH(B1808,'Room Info'!$C$2:$C3446, 0)),if(G1808='Room Info'!$D$1, INDEX('Room Info'!$A$2:$A3446, MATCH(B1808,'Room Info'!$D$2:$D3446, 0)),if(G1808='Room Info'!$E$1, INDEX('Room Info'!$A$2:$A3446, MATCH(B1808,'Room Info'!$E$2:$E3446, 0)),if(G1808='Room Info'!$F$1, INDEX('Room Info'!$A$2:$A3446, MATCH(B1808,'Room Info'!$F$2:$F3446, 0)),if(G1808='Room Info'!$H$1, INDEX('Room Info'!$A$2:$A3446, MATCH(B1808,'Room Info'!$H$2:$H3446, 0)),if(G1808='Room Info'!$G$1, INDEX('Room Info'!$A$2:$A3446, MATCH(B1808,'Room Info'!$G$2:$G3446, 0)))))))))</f>
        <v>0</v>
      </c>
      <c r="B1808" s="101"/>
      <c r="C1808" s="115"/>
      <c r="D1808" s="115"/>
      <c r="E1808" s="85"/>
      <c r="F1808" s="138"/>
      <c r="G1808" s="101"/>
      <c r="H1808" s="114"/>
      <c r="I1808" s="114"/>
      <c r="J1808" s="44" t="str">
        <f t="shared" si="311"/>
        <v/>
      </c>
      <c r="K1808" s="116"/>
      <c r="L1808" s="117"/>
      <c r="M1808" s="67"/>
      <c r="N1808" s="33">
        <f t="shared" si="276"/>
        <v>0</v>
      </c>
      <c r="O1808" s="70"/>
      <c r="P1808" s="34" t="str">
        <f t="shared" si="277"/>
        <v/>
      </c>
      <c r="Q1808" s="60"/>
      <c r="R1808" s="36">
        <f t="shared" si="312"/>
        <v>0</v>
      </c>
      <c r="S1808" s="71"/>
      <c r="T1808" s="37">
        <f t="shared" si="302"/>
        <v>0</v>
      </c>
      <c r="U1808" s="62"/>
      <c r="V1808" s="63"/>
      <c r="W1808" s="63"/>
      <c r="X1808" s="35" t="str">
        <f t="shared" si="303"/>
        <v>#N/A</v>
      </c>
      <c r="Y1808" s="35" t="str">
        <f t="shared" si="304"/>
        <v>#N/A</v>
      </c>
      <c r="Z1808" s="40" t="str">
        <f t="shared" si="305"/>
        <v>#N/A</v>
      </c>
      <c r="AA1808" s="34" t="str">
        <f t="shared" si="306"/>
        <v>#N/A</v>
      </c>
      <c r="AB1808" s="41" t="str">
        <f t="shared" si="307"/>
        <v>#N/A</v>
      </c>
      <c r="AC1808" s="42" t="b">
        <v>0</v>
      </c>
      <c r="AD1808" s="66" t="str">
        <f t="shared" si="308"/>
        <v>USD</v>
      </c>
      <c r="AE1808" s="42"/>
      <c r="AF1808" s="42" t="str">
        <f t="array" ref="AF1808">INDEX('Deal Info'!D:D, MATCH(A1808,'Deal Info'!A:A, 0))</f>
        <v>#N/A</v>
      </c>
      <c r="AG1808" s="43" t="str">
        <f t="array" ref="AG1808">INDEX('Deal Info'!G:G, MATCH(A1808,'Deal Info'!A:A, 0))</f>
        <v>#N/A</v>
      </c>
    </row>
    <row r="1809" hidden="1">
      <c r="A1809" s="23" t="b">
        <f t="array" ref="A1809">if(G1809='Room Info'!$B$1, INDEX('Room Info'!$A$2:$A3446, MATCH(B1809,'Room Info'!$B$2:$B3446, 0)),if(G1809='Room Info'!$C$1, INDEX('Room Info'!$A$2:$A3446, MATCH(B1809,'Room Info'!$C$2:$C3446, 0)),if(G1809='Room Info'!$D$1, INDEX('Room Info'!$A$2:$A3446, MATCH(B1809,'Room Info'!$D$2:$D3446, 0)),if(G1809='Room Info'!$E$1, INDEX('Room Info'!$A$2:$A3446, MATCH(B1809,'Room Info'!$E$2:$E3446, 0)),if(G1809='Room Info'!$F$1, INDEX('Room Info'!$A$2:$A3446, MATCH(B1809,'Room Info'!$F$2:$F3446, 0)),if(G1809='Room Info'!$H$1, INDEX('Room Info'!$A$2:$A3446, MATCH(B1809,'Room Info'!$H$2:$H3446, 0)),if(G1809='Room Info'!$G$1, INDEX('Room Info'!$A$2:$A3446, MATCH(B1809,'Room Info'!$G$2:$G3446, 0)))))))))</f>
        <v>0</v>
      </c>
      <c r="B1809" s="101"/>
      <c r="C1809" s="115"/>
      <c r="D1809" s="115"/>
      <c r="E1809" s="85"/>
      <c r="F1809" s="138"/>
      <c r="G1809" s="101"/>
      <c r="H1809" s="114"/>
      <c r="I1809" s="114"/>
      <c r="J1809" s="44" t="str">
        <f t="shared" si="311"/>
        <v/>
      </c>
      <c r="K1809" s="116"/>
      <c r="L1809" s="117"/>
      <c r="M1809" s="67"/>
      <c r="N1809" s="33">
        <f t="shared" si="276"/>
        <v>0</v>
      </c>
      <c r="O1809" s="70"/>
      <c r="P1809" s="34" t="str">
        <f t="shared" si="277"/>
        <v/>
      </c>
      <c r="Q1809" s="60"/>
      <c r="R1809" s="36">
        <f t="shared" si="312"/>
        <v>0</v>
      </c>
      <c r="S1809" s="71"/>
      <c r="T1809" s="37">
        <f t="shared" si="302"/>
        <v>0</v>
      </c>
      <c r="U1809" s="62"/>
      <c r="V1809" s="63"/>
      <c r="W1809" s="63"/>
      <c r="X1809" s="35" t="str">
        <f t="shared" si="303"/>
        <v>#N/A</v>
      </c>
      <c r="Y1809" s="35" t="str">
        <f t="shared" si="304"/>
        <v>#N/A</v>
      </c>
      <c r="Z1809" s="40" t="str">
        <f t="shared" si="305"/>
        <v>#N/A</v>
      </c>
      <c r="AA1809" s="34" t="str">
        <f t="shared" si="306"/>
        <v>#N/A</v>
      </c>
      <c r="AB1809" s="41" t="str">
        <f t="shared" si="307"/>
        <v>#N/A</v>
      </c>
      <c r="AC1809" s="42" t="b">
        <v>0</v>
      </c>
      <c r="AD1809" s="66" t="str">
        <f t="shared" si="308"/>
        <v>USD</v>
      </c>
      <c r="AE1809" s="42"/>
      <c r="AF1809" s="42" t="str">
        <f t="array" ref="AF1809">INDEX('Deal Info'!D:D, MATCH(A1809,'Deal Info'!A:A, 0))</f>
        <v>#N/A</v>
      </c>
      <c r="AG1809" s="43" t="str">
        <f t="array" ref="AG1809">INDEX('Deal Info'!G:G, MATCH(A1809,'Deal Info'!A:A, 0))</f>
        <v>#N/A</v>
      </c>
    </row>
    <row r="1810" hidden="1">
      <c r="A1810" s="23" t="b">
        <f t="array" ref="A1810">if(G1810='Room Info'!$B$1, INDEX('Room Info'!$A$2:$A3446, MATCH(B1810,'Room Info'!$B$2:$B3446, 0)),if(G1810='Room Info'!$C$1, INDEX('Room Info'!$A$2:$A3446, MATCH(B1810,'Room Info'!$C$2:$C3446, 0)),if(G1810='Room Info'!$D$1, INDEX('Room Info'!$A$2:$A3446, MATCH(B1810,'Room Info'!$D$2:$D3446, 0)),if(G1810='Room Info'!$E$1, INDEX('Room Info'!$A$2:$A3446, MATCH(B1810,'Room Info'!$E$2:$E3446, 0)),if(G1810='Room Info'!$F$1, INDEX('Room Info'!$A$2:$A3446, MATCH(B1810,'Room Info'!$F$2:$F3446, 0)),if(G1810='Room Info'!$H$1, INDEX('Room Info'!$A$2:$A3446, MATCH(B1810,'Room Info'!$H$2:$H3446, 0)),if(G1810='Room Info'!$G$1, INDEX('Room Info'!$A$2:$A3446, MATCH(B1810,'Room Info'!$G$2:$G3446, 0)))))))))</f>
        <v>0</v>
      </c>
      <c r="B1810" s="101"/>
      <c r="C1810" s="115"/>
      <c r="D1810" s="115"/>
      <c r="E1810" s="85"/>
      <c r="F1810" s="138"/>
      <c r="G1810" s="101"/>
      <c r="H1810" s="114"/>
      <c r="I1810" s="114"/>
      <c r="J1810" s="44" t="str">
        <f t="shared" si="311"/>
        <v/>
      </c>
      <c r="K1810" s="116"/>
      <c r="L1810" s="117"/>
      <c r="M1810" s="67"/>
      <c r="N1810" s="33">
        <f t="shared" si="276"/>
        <v>0</v>
      </c>
      <c r="O1810" s="70"/>
      <c r="P1810" s="34" t="str">
        <f t="shared" si="277"/>
        <v/>
      </c>
      <c r="Q1810" s="60"/>
      <c r="R1810" s="36">
        <f t="shared" si="312"/>
        <v>0</v>
      </c>
      <c r="S1810" s="71"/>
      <c r="T1810" s="37">
        <f t="shared" si="302"/>
        <v>0</v>
      </c>
      <c r="U1810" s="62"/>
      <c r="V1810" s="63"/>
      <c r="W1810" s="63"/>
      <c r="X1810" s="35" t="str">
        <f t="shared" si="303"/>
        <v>#N/A</v>
      </c>
      <c r="Y1810" s="35" t="str">
        <f t="shared" si="304"/>
        <v>#N/A</v>
      </c>
      <c r="Z1810" s="40" t="str">
        <f t="shared" si="305"/>
        <v>#N/A</v>
      </c>
      <c r="AA1810" s="34" t="str">
        <f t="shared" si="306"/>
        <v>#N/A</v>
      </c>
      <c r="AB1810" s="41" t="str">
        <f t="shared" si="307"/>
        <v>#N/A</v>
      </c>
      <c r="AC1810" s="42" t="b">
        <v>0</v>
      </c>
      <c r="AD1810" s="66" t="str">
        <f t="shared" si="308"/>
        <v>USD</v>
      </c>
      <c r="AE1810" s="42"/>
      <c r="AF1810" s="42" t="str">
        <f t="array" ref="AF1810">INDEX('Deal Info'!D:D, MATCH(A1810,'Deal Info'!A:A, 0))</f>
        <v>#N/A</v>
      </c>
      <c r="AG1810" s="43" t="str">
        <f t="array" ref="AG1810">INDEX('Deal Info'!G:G, MATCH(A1810,'Deal Info'!A:A, 0))</f>
        <v>#N/A</v>
      </c>
    </row>
    <row r="1811" hidden="1">
      <c r="A1811" s="23" t="b">
        <f t="array" ref="A1811">if(G1811='Room Info'!$B$1, INDEX('Room Info'!$A$2:$A3446, MATCH(B1811,'Room Info'!$B$2:$B3446, 0)),if(G1811='Room Info'!$C$1, INDEX('Room Info'!$A$2:$A3446, MATCH(B1811,'Room Info'!$C$2:$C3446, 0)),if(G1811='Room Info'!$D$1, INDEX('Room Info'!$A$2:$A3446, MATCH(B1811,'Room Info'!$D$2:$D3446, 0)),if(G1811='Room Info'!$E$1, INDEX('Room Info'!$A$2:$A3446, MATCH(B1811,'Room Info'!$E$2:$E3446, 0)),if(G1811='Room Info'!$F$1, INDEX('Room Info'!$A$2:$A3446, MATCH(B1811,'Room Info'!$F$2:$F3446, 0)),if(G1811='Room Info'!$H$1, INDEX('Room Info'!$A$2:$A3446, MATCH(B1811,'Room Info'!$H$2:$H3446, 0)),if(G1811='Room Info'!$G$1, INDEX('Room Info'!$A$2:$A3446, MATCH(B1811,'Room Info'!$G$2:$G3446, 0)))))))))</f>
        <v>0</v>
      </c>
      <c r="B1811" s="101"/>
      <c r="C1811" s="115"/>
      <c r="D1811" s="115"/>
      <c r="E1811" s="85"/>
      <c r="F1811" s="138"/>
      <c r="G1811" s="101"/>
      <c r="H1811" s="114"/>
      <c r="I1811" s="114"/>
      <c r="J1811" s="44" t="str">
        <f t="shared" si="311"/>
        <v/>
      </c>
      <c r="K1811" s="116"/>
      <c r="L1811" s="117"/>
      <c r="M1811" s="67"/>
      <c r="N1811" s="33">
        <f t="shared" si="276"/>
        <v>0</v>
      </c>
      <c r="O1811" s="70"/>
      <c r="P1811" s="34" t="str">
        <f t="shared" si="277"/>
        <v/>
      </c>
      <c r="Q1811" s="60"/>
      <c r="R1811" s="36">
        <f t="shared" si="312"/>
        <v>0</v>
      </c>
      <c r="S1811" s="71"/>
      <c r="T1811" s="37">
        <f t="shared" si="302"/>
        <v>0</v>
      </c>
      <c r="U1811" s="62"/>
      <c r="V1811" s="63"/>
      <c r="W1811" s="63"/>
      <c r="X1811" s="35" t="str">
        <f t="shared" si="303"/>
        <v>#N/A</v>
      </c>
      <c r="Y1811" s="35" t="str">
        <f t="shared" si="304"/>
        <v>#N/A</v>
      </c>
      <c r="Z1811" s="40" t="str">
        <f t="shared" si="305"/>
        <v>#N/A</v>
      </c>
      <c r="AA1811" s="34" t="str">
        <f t="shared" si="306"/>
        <v>#N/A</v>
      </c>
      <c r="AB1811" s="41" t="str">
        <f t="shared" si="307"/>
        <v>#N/A</v>
      </c>
      <c r="AC1811" s="42" t="b">
        <v>0</v>
      </c>
      <c r="AD1811" s="66" t="str">
        <f t="shared" si="308"/>
        <v>USD</v>
      </c>
      <c r="AE1811" s="42"/>
      <c r="AF1811" s="42" t="str">
        <f t="array" ref="AF1811">INDEX('Deal Info'!D:D, MATCH(A1811,'Deal Info'!A:A, 0))</f>
        <v>#N/A</v>
      </c>
      <c r="AG1811" s="43" t="str">
        <f t="array" ref="AG1811">INDEX('Deal Info'!G:G, MATCH(A1811,'Deal Info'!A:A, 0))</f>
        <v>#N/A</v>
      </c>
    </row>
    <row r="1812" hidden="1">
      <c r="A1812" s="23" t="b">
        <f t="array" ref="A1812">if(G1812='Room Info'!$B$1, INDEX('Room Info'!$A$2:$A3446, MATCH(B1812,'Room Info'!$B$2:$B3446, 0)),if(G1812='Room Info'!$C$1, INDEX('Room Info'!$A$2:$A3446, MATCH(B1812,'Room Info'!$C$2:$C3446, 0)),if(G1812='Room Info'!$D$1, INDEX('Room Info'!$A$2:$A3446, MATCH(B1812,'Room Info'!$D$2:$D3446, 0)),if(G1812='Room Info'!$E$1, INDEX('Room Info'!$A$2:$A3446, MATCH(B1812,'Room Info'!$E$2:$E3446, 0)),if(G1812='Room Info'!$F$1, INDEX('Room Info'!$A$2:$A3446, MATCH(B1812,'Room Info'!$F$2:$F3446, 0)),if(G1812='Room Info'!$H$1, INDEX('Room Info'!$A$2:$A3446, MATCH(B1812,'Room Info'!$H$2:$H3446, 0)),if(G1812='Room Info'!$G$1, INDEX('Room Info'!$A$2:$A3446, MATCH(B1812,'Room Info'!$G$2:$G3446, 0)))))))))</f>
        <v>0</v>
      </c>
      <c r="B1812" s="101"/>
      <c r="C1812" s="115"/>
      <c r="D1812" s="115"/>
      <c r="E1812" s="85"/>
      <c r="F1812" s="138"/>
      <c r="G1812" s="101"/>
      <c r="H1812" s="114"/>
      <c r="I1812" s="114"/>
      <c r="J1812" s="44" t="str">
        <f t="shared" si="311"/>
        <v/>
      </c>
      <c r="K1812" s="116"/>
      <c r="L1812" s="117"/>
      <c r="M1812" s="67"/>
      <c r="N1812" s="33">
        <f t="shared" si="276"/>
        <v>0</v>
      </c>
      <c r="O1812" s="70"/>
      <c r="P1812" s="34" t="str">
        <f t="shared" si="277"/>
        <v/>
      </c>
      <c r="Q1812" s="60"/>
      <c r="R1812" s="36">
        <f t="shared" si="312"/>
        <v>0</v>
      </c>
      <c r="S1812" s="71"/>
      <c r="T1812" s="37">
        <f t="shared" si="302"/>
        <v>0</v>
      </c>
      <c r="U1812" s="62"/>
      <c r="V1812" s="63"/>
      <c r="W1812" s="63"/>
      <c r="X1812" s="35" t="str">
        <f t="shared" si="303"/>
        <v>#N/A</v>
      </c>
      <c r="Y1812" s="35" t="str">
        <f t="shared" si="304"/>
        <v>#N/A</v>
      </c>
      <c r="Z1812" s="40" t="str">
        <f t="shared" si="305"/>
        <v>#N/A</v>
      </c>
      <c r="AA1812" s="34" t="str">
        <f t="shared" si="306"/>
        <v>#N/A</v>
      </c>
      <c r="AB1812" s="41" t="str">
        <f t="shared" si="307"/>
        <v>#N/A</v>
      </c>
      <c r="AC1812" s="42" t="b">
        <v>0</v>
      </c>
      <c r="AD1812" s="66" t="str">
        <f t="shared" si="308"/>
        <v>USD</v>
      </c>
      <c r="AE1812" s="42"/>
      <c r="AF1812" s="42" t="str">
        <f t="array" ref="AF1812">INDEX('Deal Info'!D:D, MATCH(A1812,'Deal Info'!A:A, 0))</f>
        <v>#N/A</v>
      </c>
      <c r="AG1812" s="43" t="str">
        <f t="array" ref="AG1812">INDEX('Deal Info'!G:G, MATCH(A1812,'Deal Info'!A:A, 0))</f>
        <v>#N/A</v>
      </c>
    </row>
    <row r="1813" hidden="1">
      <c r="A1813" s="23" t="b">
        <f t="array" ref="A1813">if(G1813='Room Info'!$B$1, INDEX('Room Info'!$A$2:$A3446, MATCH(B1813,'Room Info'!$B$2:$B3446, 0)),if(G1813='Room Info'!$C$1, INDEX('Room Info'!$A$2:$A3446, MATCH(B1813,'Room Info'!$C$2:$C3446, 0)),if(G1813='Room Info'!$D$1, INDEX('Room Info'!$A$2:$A3446, MATCH(B1813,'Room Info'!$D$2:$D3446, 0)),if(G1813='Room Info'!$E$1, INDEX('Room Info'!$A$2:$A3446, MATCH(B1813,'Room Info'!$E$2:$E3446, 0)),if(G1813='Room Info'!$F$1, INDEX('Room Info'!$A$2:$A3446, MATCH(B1813,'Room Info'!$F$2:$F3446, 0)),if(G1813='Room Info'!$H$1, INDEX('Room Info'!$A$2:$A3446, MATCH(B1813,'Room Info'!$H$2:$H3446, 0)),if(G1813='Room Info'!$G$1, INDEX('Room Info'!$A$2:$A3446, MATCH(B1813,'Room Info'!$G$2:$G3446, 0)))))))))</f>
        <v>0</v>
      </c>
      <c r="B1813" s="101"/>
      <c r="C1813" s="115"/>
      <c r="D1813" s="115"/>
      <c r="E1813" s="85"/>
      <c r="F1813" s="138"/>
      <c r="G1813" s="101"/>
      <c r="H1813" s="114"/>
      <c r="I1813" s="114"/>
      <c r="J1813" s="44" t="str">
        <f t="shared" si="311"/>
        <v/>
      </c>
      <c r="K1813" s="116"/>
      <c r="L1813" s="117"/>
      <c r="M1813" s="67"/>
      <c r="N1813" s="33">
        <f t="shared" si="276"/>
        <v>0</v>
      </c>
      <c r="O1813" s="70"/>
      <c r="P1813" s="34" t="str">
        <f t="shared" si="277"/>
        <v/>
      </c>
      <c r="Q1813" s="60"/>
      <c r="R1813" s="36">
        <f t="shared" si="312"/>
        <v>0</v>
      </c>
      <c r="S1813" s="71"/>
      <c r="T1813" s="37">
        <f t="shared" si="302"/>
        <v>0</v>
      </c>
      <c r="U1813" s="62"/>
      <c r="V1813" s="63"/>
      <c r="W1813" s="63"/>
      <c r="X1813" s="35" t="str">
        <f t="shared" si="303"/>
        <v>#N/A</v>
      </c>
      <c r="Y1813" s="35" t="str">
        <f t="shared" si="304"/>
        <v>#N/A</v>
      </c>
      <c r="Z1813" s="40" t="str">
        <f t="shared" si="305"/>
        <v>#N/A</v>
      </c>
      <c r="AA1813" s="34" t="str">
        <f t="shared" si="306"/>
        <v>#N/A</v>
      </c>
      <c r="AB1813" s="41" t="str">
        <f t="shared" si="307"/>
        <v>#N/A</v>
      </c>
      <c r="AC1813" s="42" t="b">
        <v>0</v>
      </c>
      <c r="AD1813" s="66" t="str">
        <f t="shared" si="308"/>
        <v>USD</v>
      </c>
      <c r="AE1813" s="42"/>
      <c r="AF1813" s="42" t="str">
        <f t="array" ref="AF1813">INDEX('Deal Info'!D:D, MATCH(A1813,'Deal Info'!A:A, 0))</f>
        <v>#N/A</v>
      </c>
      <c r="AG1813" s="43" t="str">
        <f t="array" ref="AG1813">INDEX('Deal Info'!G:G, MATCH(A1813,'Deal Info'!A:A, 0))</f>
        <v>#N/A</v>
      </c>
    </row>
    <row r="1814" hidden="1">
      <c r="A1814" s="23" t="b">
        <f t="array" ref="A1814">if(G1814='Room Info'!$B$1, INDEX('Room Info'!$A$2:$A3446, MATCH(B1814,'Room Info'!$B$2:$B3446, 0)),if(G1814='Room Info'!$C$1, INDEX('Room Info'!$A$2:$A3446, MATCH(B1814,'Room Info'!$C$2:$C3446, 0)),if(G1814='Room Info'!$D$1, INDEX('Room Info'!$A$2:$A3446, MATCH(B1814,'Room Info'!$D$2:$D3446, 0)),if(G1814='Room Info'!$E$1, INDEX('Room Info'!$A$2:$A3446, MATCH(B1814,'Room Info'!$E$2:$E3446, 0)),if(G1814='Room Info'!$F$1, INDEX('Room Info'!$A$2:$A3446, MATCH(B1814,'Room Info'!$F$2:$F3446, 0)),if(G1814='Room Info'!$H$1, INDEX('Room Info'!$A$2:$A3446, MATCH(B1814,'Room Info'!$H$2:$H3446, 0)),if(G1814='Room Info'!$G$1, INDEX('Room Info'!$A$2:$A3446, MATCH(B1814,'Room Info'!$G$2:$G3446, 0)))))))))</f>
        <v>0</v>
      </c>
      <c r="B1814" s="101"/>
      <c r="C1814" s="115"/>
      <c r="D1814" s="115"/>
      <c r="E1814" s="85"/>
      <c r="F1814" s="138"/>
      <c r="G1814" s="101"/>
      <c r="H1814" s="114"/>
      <c r="I1814" s="114"/>
      <c r="J1814" s="44" t="str">
        <f t="shared" si="311"/>
        <v/>
      </c>
      <c r="K1814" s="116"/>
      <c r="L1814" s="117"/>
      <c r="M1814" s="67"/>
      <c r="N1814" s="33">
        <f t="shared" si="276"/>
        <v>0</v>
      </c>
      <c r="O1814" s="70"/>
      <c r="P1814" s="34" t="str">
        <f t="shared" si="277"/>
        <v/>
      </c>
      <c r="Q1814" s="60"/>
      <c r="R1814" s="36">
        <f t="shared" si="312"/>
        <v>0</v>
      </c>
      <c r="S1814" s="71"/>
      <c r="T1814" s="37">
        <f t="shared" si="302"/>
        <v>0</v>
      </c>
      <c r="U1814" s="62"/>
      <c r="V1814" s="63"/>
      <c r="W1814" s="63"/>
      <c r="X1814" s="35" t="str">
        <f t="shared" si="303"/>
        <v>#N/A</v>
      </c>
      <c r="Y1814" s="35" t="str">
        <f t="shared" si="304"/>
        <v>#N/A</v>
      </c>
      <c r="Z1814" s="40" t="str">
        <f t="shared" si="305"/>
        <v>#N/A</v>
      </c>
      <c r="AA1814" s="34" t="str">
        <f t="shared" si="306"/>
        <v>#N/A</v>
      </c>
      <c r="AB1814" s="41" t="str">
        <f t="shared" si="307"/>
        <v>#N/A</v>
      </c>
      <c r="AC1814" s="42" t="b">
        <v>0</v>
      </c>
      <c r="AD1814" s="66" t="str">
        <f t="shared" si="308"/>
        <v>USD</v>
      </c>
      <c r="AE1814" s="42"/>
      <c r="AF1814" s="42" t="str">
        <f t="array" ref="AF1814">INDEX('Deal Info'!D:D, MATCH(A1814,'Deal Info'!A:A, 0))</f>
        <v>#N/A</v>
      </c>
      <c r="AG1814" s="43" t="str">
        <f t="array" ref="AG1814">INDEX('Deal Info'!G:G, MATCH(A1814,'Deal Info'!A:A, 0))</f>
        <v>#N/A</v>
      </c>
    </row>
    <row r="1815" hidden="1">
      <c r="A1815" s="23" t="b">
        <f t="array" ref="A1815">if(G1815='Room Info'!$B$1, INDEX('Room Info'!$A$2:$A3446, MATCH(B1815,'Room Info'!$B$2:$B3446, 0)),if(G1815='Room Info'!$C$1, INDEX('Room Info'!$A$2:$A3446, MATCH(B1815,'Room Info'!$C$2:$C3446, 0)),if(G1815='Room Info'!$D$1, INDEX('Room Info'!$A$2:$A3446, MATCH(B1815,'Room Info'!$D$2:$D3446, 0)),if(G1815='Room Info'!$E$1, INDEX('Room Info'!$A$2:$A3446, MATCH(B1815,'Room Info'!$E$2:$E3446, 0)),if(G1815='Room Info'!$F$1, INDEX('Room Info'!$A$2:$A3446, MATCH(B1815,'Room Info'!$F$2:$F3446, 0)),if(G1815='Room Info'!$H$1, INDEX('Room Info'!$A$2:$A3446, MATCH(B1815,'Room Info'!$H$2:$H3446, 0)),if(G1815='Room Info'!$G$1, INDEX('Room Info'!$A$2:$A3446, MATCH(B1815,'Room Info'!$G$2:$G3446, 0)))))))))</f>
        <v>0</v>
      </c>
      <c r="B1815" s="101"/>
      <c r="C1815" s="115"/>
      <c r="D1815" s="115"/>
      <c r="E1815" s="85"/>
      <c r="F1815" s="138"/>
      <c r="G1815" s="70"/>
      <c r="H1815" s="105"/>
      <c r="I1815" s="105"/>
      <c r="J1815" s="44" t="str">
        <f t="shared" si="311"/>
        <v/>
      </c>
      <c r="K1815" s="116"/>
      <c r="L1815" s="117"/>
      <c r="M1815" s="67"/>
      <c r="N1815" s="33">
        <f t="shared" si="276"/>
        <v>0</v>
      </c>
      <c r="O1815" s="70"/>
      <c r="P1815" s="34" t="str">
        <f t="shared" si="277"/>
        <v/>
      </c>
      <c r="Q1815" s="60"/>
      <c r="R1815" s="36">
        <f t="shared" si="312"/>
        <v>0</v>
      </c>
      <c r="S1815" s="71"/>
      <c r="T1815" s="37">
        <f t="shared" si="302"/>
        <v>0</v>
      </c>
      <c r="U1815" s="62"/>
      <c r="V1815" s="63"/>
      <c r="W1815" s="63"/>
      <c r="X1815" s="35" t="str">
        <f t="shared" si="303"/>
        <v>#N/A</v>
      </c>
      <c r="Y1815" s="35" t="str">
        <f t="shared" si="304"/>
        <v>#N/A</v>
      </c>
      <c r="Z1815" s="40" t="str">
        <f t="shared" si="305"/>
        <v>#N/A</v>
      </c>
      <c r="AA1815" s="34" t="str">
        <f t="shared" si="306"/>
        <v>#N/A</v>
      </c>
      <c r="AB1815" s="41" t="str">
        <f t="shared" si="307"/>
        <v>#N/A</v>
      </c>
      <c r="AC1815" s="42" t="b">
        <v>0</v>
      </c>
      <c r="AD1815" s="66" t="str">
        <f t="shared" si="308"/>
        <v>USD</v>
      </c>
      <c r="AE1815" s="42"/>
      <c r="AF1815" s="42" t="str">
        <f t="array" ref="AF1815">INDEX('Deal Info'!D:D, MATCH(A1815,'Deal Info'!A:A, 0))</f>
        <v>#N/A</v>
      </c>
      <c r="AG1815" s="43" t="str">
        <f t="array" ref="AG1815">INDEX('Deal Info'!G:G, MATCH(A1815,'Deal Info'!A:A, 0))</f>
        <v>#N/A</v>
      </c>
    </row>
    <row r="1816" hidden="1">
      <c r="A1816" s="23" t="b">
        <f t="array" ref="A1816">if(G1816='Room Info'!$B$1, INDEX('Room Info'!$A$2:$A3446, MATCH(B1816,'Room Info'!$B$2:$B3446, 0)),if(G1816='Room Info'!$C$1, INDEX('Room Info'!$A$2:$A3446, MATCH(B1816,'Room Info'!$C$2:$C3446, 0)),if(G1816='Room Info'!$D$1, INDEX('Room Info'!$A$2:$A3446, MATCH(B1816,'Room Info'!$D$2:$D3446, 0)),if(G1816='Room Info'!$E$1, INDEX('Room Info'!$A$2:$A3446, MATCH(B1816,'Room Info'!$E$2:$E3446, 0)),if(G1816='Room Info'!$F$1, INDEX('Room Info'!$A$2:$A3446, MATCH(B1816,'Room Info'!$F$2:$F3446, 0)),if(G1816='Room Info'!$H$1, INDEX('Room Info'!$A$2:$A3446, MATCH(B1816,'Room Info'!$H$2:$H3446, 0)),if(G1816='Room Info'!$G$1, INDEX('Room Info'!$A$2:$A3446, MATCH(B1816,'Room Info'!$G$2:$G3446, 0)))))))))</f>
        <v>0</v>
      </c>
      <c r="B1816" s="101"/>
      <c r="C1816" s="115"/>
      <c r="D1816" s="115"/>
      <c r="E1816" s="85"/>
      <c r="F1816" s="138"/>
      <c r="G1816" s="70"/>
      <c r="H1816" s="105"/>
      <c r="I1816" s="105"/>
      <c r="J1816" s="44" t="str">
        <f t="shared" si="311"/>
        <v/>
      </c>
      <c r="K1816" s="116"/>
      <c r="L1816" s="117"/>
      <c r="M1816" s="67"/>
      <c r="N1816" s="33">
        <f t="shared" si="276"/>
        <v>0</v>
      </c>
      <c r="O1816" s="70"/>
      <c r="P1816" s="34" t="str">
        <f t="shared" si="277"/>
        <v/>
      </c>
      <c r="Q1816" s="60"/>
      <c r="R1816" s="36">
        <f t="shared" si="312"/>
        <v>0</v>
      </c>
      <c r="S1816" s="71"/>
      <c r="T1816" s="37">
        <f t="shared" si="302"/>
        <v>0</v>
      </c>
      <c r="U1816" s="62"/>
      <c r="V1816" s="63"/>
      <c r="W1816" s="63"/>
      <c r="X1816" s="35" t="str">
        <f t="shared" si="303"/>
        <v>#N/A</v>
      </c>
      <c r="Y1816" s="35" t="str">
        <f t="shared" si="304"/>
        <v>#N/A</v>
      </c>
      <c r="Z1816" s="40" t="str">
        <f t="shared" si="305"/>
        <v>#N/A</v>
      </c>
      <c r="AA1816" s="34" t="str">
        <f t="shared" si="306"/>
        <v>#N/A</v>
      </c>
      <c r="AB1816" s="41" t="str">
        <f t="shared" si="307"/>
        <v>#N/A</v>
      </c>
      <c r="AC1816" s="42" t="b">
        <v>0</v>
      </c>
      <c r="AD1816" s="66" t="str">
        <f t="shared" si="308"/>
        <v>USD</v>
      </c>
      <c r="AE1816" s="42"/>
      <c r="AF1816" s="42" t="str">
        <f t="array" ref="AF1816">INDEX('Deal Info'!D:D, MATCH(A1816,'Deal Info'!A:A, 0))</f>
        <v>#N/A</v>
      </c>
      <c r="AG1816" s="43" t="str">
        <f t="array" ref="AG1816">INDEX('Deal Info'!G:G, MATCH(A1816,'Deal Info'!A:A, 0))</f>
        <v>#N/A</v>
      </c>
    </row>
    <row r="1817" hidden="1">
      <c r="A1817" s="23" t="b">
        <f t="array" ref="A1817">if(G1817='Room Info'!$B$1, INDEX('Room Info'!$A$2:$A3446, MATCH(B1817,'Room Info'!$B$2:$B3446, 0)),if(G1817='Room Info'!$C$1, INDEX('Room Info'!$A$2:$A3446, MATCH(B1817,'Room Info'!$C$2:$C3446, 0)),if(G1817='Room Info'!$D$1, INDEX('Room Info'!$A$2:$A3446, MATCH(B1817,'Room Info'!$D$2:$D3446, 0)),if(G1817='Room Info'!$E$1, INDEX('Room Info'!$A$2:$A3446, MATCH(B1817,'Room Info'!$E$2:$E3446, 0)),if(G1817='Room Info'!$F$1, INDEX('Room Info'!$A$2:$A3446, MATCH(B1817,'Room Info'!$F$2:$F3446, 0)),if(G1817='Room Info'!$H$1, INDEX('Room Info'!$A$2:$A3446, MATCH(B1817,'Room Info'!$H$2:$H3446, 0)),if(G1817='Room Info'!$G$1, INDEX('Room Info'!$A$2:$A3446, MATCH(B1817,'Room Info'!$G$2:$G3446, 0)))))))))</f>
        <v>0</v>
      </c>
      <c r="B1817" s="101"/>
      <c r="C1817" s="115"/>
      <c r="D1817" s="115"/>
      <c r="E1817" s="85"/>
      <c r="F1817" s="138"/>
      <c r="G1817" s="70"/>
      <c r="H1817" s="114"/>
      <c r="I1817" s="114"/>
      <c r="J1817" s="44" t="str">
        <f t="shared" si="311"/>
        <v/>
      </c>
      <c r="K1817" s="116"/>
      <c r="L1817" s="117"/>
      <c r="M1817" s="67"/>
      <c r="N1817" s="33">
        <f t="shared" si="276"/>
        <v>0</v>
      </c>
      <c r="O1817" s="70"/>
      <c r="P1817" s="34" t="str">
        <f t="shared" si="277"/>
        <v/>
      </c>
      <c r="Q1817" s="60"/>
      <c r="R1817" s="36">
        <f t="shared" si="312"/>
        <v>0</v>
      </c>
      <c r="S1817" s="71"/>
      <c r="T1817" s="37">
        <f t="shared" si="302"/>
        <v>0</v>
      </c>
      <c r="U1817" s="62"/>
      <c r="V1817" s="63"/>
      <c r="W1817" s="63"/>
      <c r="X1817" s="35" t="str">
        <f t="shared" si="303"/>
        <v>#N/A</v>
      </c>
      <c r="Y1817" s="35" t="str">
        <f t="shared" si="304"/>
        <v>#N/A</v>
      </c>
      <c r="Z1817" s="40" t="str">
        <f t="shared" si="305"/>
        <v>#N/A</v>
      </c>
      <c r="AA1817" s="34" t="str">
        <f t="shared" si="306"/>
        <v>#N/A</v>
      </c>
      <c r="AB1817" s="41" t="str">
        <f t="shared" si="307"/>
        <v>#N/A</v>
      </c>
      <c r="AC1817" s="42" t="b">
        <v>0</v>
      </c>
      <c r="AD1817" s="66" t="str">
        <f t="shared" si="308"/>
        <v>USD</v>
      </c>
      <c r="AE1817" s="42"/>
      <c r="AF1817" s="42" t="str">
        <f t="array" ref="AF1817">INDEX('Deal Info'!D:D, MATCH(A1817,'Deal Info'!A:A, 0))</f>
        <v>#N/A</v>
      </c>
      <c r="AG1817" s="43" t="str">
        <f t="array" ref="AG1817">INDEX('Deal Info'!G:G, MATCH(A1817,'Deal Info'!A:A, 0))</f>
        <v>#N/A</v>
      </c>
    </row>
    <row r="1818" hidden="1">
      <c r="A1818" s="23" t="b">
        <f t="array" ref="A1818">if(G1818='Room Info'!$B$1, INDEX('Room Info'!$A$2:$A3446, MATCH(B1818,'Room Info'!$B$2:$B3446, 0)),if(G1818='Room Info'!$C$1, INDEX('Room Info'!$A$2:$A3446, MATCH(B1818,'Room Info'!$C$2:$C3446, 0)),if(G1818='Room Info'!$D$1, INDEX('Room Info'!$A$2:$A3446, MATCH(B1818,'Room Info'!$D$2:$D3446, 0)),if(G1818='Room Info'!$E$1, INDEX('Room Info'!$A$2:$A3446, MATCH(B1818,'Room Info'!$E$2:$E3446, 0)),if(G1818='Room Info'!$F$1, INDEX('Room Info'!$A$2:$A3446, MATCH(B1818,'Room Info'!$F$2:$F3446, 0)),if(G1818='Room Info'!$H$1, INDEX('Room Info'!$A$2:$A3446, MATCH(B1818,'Room Info'!$H$2:$H3446, 0)),if(G1818='Room Info'!$G$1, INDEX('Room Info'!$A$2:$A3446, MATCH(B1818,'Room Info'!$G$2:$G3446, 0)))))))))</f>
        <v>0</v>
      </c>
      <c r="B1818" s="101"/>
      <c r="C1818" s="115"/>
      <c r="D1818" s="115"/>
      <c r="E1818" s="85"/>
      <c r="F1818" s="138"/>
      <c r="G1818" s="101"/>
      <c r="H1818" s="105"/>
      <c r="I1818" s="105"/>
      <c r="J1818" s="44" t="str">
        <f t="shared" si="311"/>
        <v/>
      </c>
      <c r="K1818" s="116"/>
      <c r="L1818" s="117"/>
      <c r="M1818" s="67"/>
      <c r="N1818" s="33">
        <f t="shared" si="276"/>
        <v>0</v>
      </c>
      <c r="O1818" s="70"/>
      <c r="P1818" s="34" t="str">
        <f t="shared" si="277"/>
        <v/>
      </c>
      <c r="Q1818" s="60"/>
      <c r="R1818" s="36">
        <f t="shared" si="312"/>
        <v>0</v>
      </c>
      <c r="S1818" s="71"/>
      <c r="T1818" s="37">
        <f t="shared" si="302"/>
        <v>0</v>
      </c>
      <c r="U1818" s="62"/>
      <c r="V1818" s="63"/>
      <c r="W1818" s="63"/>
      <c r="X1818" s="35" t="str">
        <f t="shared" si="303"/>
        <v>#N/A</v>
      </c>
      <c r="Y1818" s="35" t="str">
        <f t="shared" si="304"/>
        <v>#N/A</v>
      </c>
      <c r="Z1818" s="40" t="str">
        <f t="shared" si="305"/>
        <v>#N/A</v>
      </c>
      <c r="AA1818" s="34" t="str">
        <f t="shared" si="306"/>
        <v>#N/A</v>
      </c>
      <c r="AB1818" s="41" t="str">
        <f t="shared" si="307"/>
        <v>#N/A</v>
      </c>
      <c r="AC1818" s="42" t="b">
        <v>0</v>
      </c>
      <c r="AD1818" s="66" t="str">
        <f t="shared" si="308"/>
        <v>USD</v>
      </c>
      <c r="AE1818" s="42"/>
      <c r="AF1818" s="42" t="str">
        <f t="array" ref="AF1818">INDEX('Deal Info'!D:D, MATCH(A1818,'Deal Info'!A:A, 0))</f>
        <v>#N/A</v>
      </c>
      <c r="AG1818" s="43" t="str">
        <f t="array" ref="AG1818">INDEX('Deal Info'!G:G, MATCH(A1818,'Deal Info'!A:A, 0))</f>
        <v>#N/A</v>
      </c>
    </row>
    <row r="1819" hidden="1">
      <c r="A1819" s="23" t="b">
        <f t="array" ref="A1819">if(G1819='Room Info'!$B$1, INDEX('Room Info'!$A$2:$A3446, MATCH(B1819,'Room Info'!$B$2:$B3446, 0)),if(G1819='Room Info'!$C$1, INDEX('Room Info'!$A$2:$A3446, MATCH(B1819,'Room Info'!$C$2:$C3446, 0)),if(G1819='Room Info'!$D$1, INDEX('Room Info'!$A$2:$A3446, MATCH(B1819,'Room Info'!$D$2:$D3446, 0)),if(G1819='Room Info'!$E$1, INDEX('Room Info'!$A$2:$A3446, MATCH(B1819,'Room Info'!$E$2:$E3446, 0)),if(G1819='Room Info'!$F$1, INDEX('Room Info'!$A$2:$A3446, MATCH(B1819,'Room Info'!$F$2:$F3446, 0)),if(G1819='Room Info'!$H$1, INDEX('Room Info'!$A$2:$A3446, MATCH(B1819,'Room Info'!$H$2:$H3446, 0)),if(G1819='Room Info'!$G$1, INDEX('Room Info'!$A$2:$A3446, MATCH(B1819,'Room Info'!$G$2:$G3446, 0)))))))))</f>
        <v>0</v>
      </c>
      <c r="B1819" s="101"/>
      <c r="C1819" s="141"/>
      <c r="D1819" s="141"/>
      <c r="E1819" s="142"/>
      <c r="F1819" s="138"/>
      <c r="G1819" s="101"/>
      <c r="H1819" s="105"/>
      <c r="I1819" s="105"/>
      <c r="J1819" s="44" t="str">
        <f t="shared" si="311"/>
        <v/>
      </c>
      <c r="K1819" s="139"/>
      <c r="L1819" s="140"/>
      <c r="M1819" s="84"/>
      <c r="N1819" s="33">
        <f t="shared" si="276"/>
        <v>0</v>
      </c>
      <c r="O1819" s="101"/>
      <c r="P1819" s="34" t="str">
        <f t="shared" si="277"/>
        <v/>
      </c>
      <c r="Q1819" s="60"/>
      <c r="R1819" s="36">
        <f t="shared" si="312"/>
        <v>0</v>
      </c>
      <c r="S1819" s="102"/>
      <c r="T1819" s="37">
        <f t="shared" si="302"/>
        <v>0</v>
      </c>
      <c r="U1819" s="62"/>
      <c r="V1819" s="63"/>
      <c r="W1819" s="63"/>
      <c r="X1819" s="35" t="str">
        <f t="shared" si="303"/>
        <v>#N/A</v>
      </c>
      <c r="Y1819" s="35" t="str">
        <f t="shared" si="304"/>
        <v>#N/A</v>
      </c>
      <c r="Z1819" s="40" t="str">
        <f t="shared" si="305"/>
        <v>#N/A</v>
      </c>
      <c r="AA1819" s="34" t="str">
        <f t="shared" si="306"/>
        <v>#N/A</v>
      </c>
      <c r="AB1819" s="41" t="str">
        <f t="shared" si="307"/>
        <v>#N/A</v>
      </c>
      <c r="AC1819" s="42" t="b">
        <v>0</v>
      </c>
      <c r="AD1819" s="66" t="str">
        <f t="shared" si="308"/>
        <v>USD</v>
      </c>
      <c r="AE1819" s="42"/>
      <c r="AF1819" s="42" t="str">
        <f t="array" ref="AF1819">INDEX('Deal Info'!D:D, MATCH(A1819,'Deal Info'!A:A, 0))</f>
        <v>#N/A</v>
      </c>
      <c r="AG1819" s="43" t="str">
        <f t="array" ref="AG1819">INDEX('Deal Info'!G:G, MATCH(A1819,'Deal Info'!A:A, 0))</f>
        <v>#N/A</v>
      </c>
    </row>
    <row r="1820" hidden="1">
      <c r="A1820" s="23" t="b">
        <f t="array" ref="A1820">if(G1820='Room Info'!$B$1, INDEX('Room Info'!$A$2:$A3446, MATCH(B1820,'Room Info'!$B$2:$B3446, 0)),if(G1820='Room Info'!$C$1, INDEX('Room Info'!$A$2:$A3446, MATCH(B1820,'Room Info'!$C$2:$C3446, 0)),if(G1820='Room Info'!$D$1, INDEX('Room Info'!$A$2:$A3446, MATCH(B1820,'Room Info'!$D$2:$D3446, 0)),if(G1820='Room Info'!$E$1, INDEX('Room Info'!$A$2:$A3446, MATCH(B1820,'Room Info'!$E$2:$E3446, 0)),if(G1820='Room Info'!$F$1, INDEX('Room Info'!$A$2:$A3446, MATCH(B1820,'Room Info'!$F$2:$F3446, 0)),if(G1820='Room Info'!$H$1, INDEX('Room Info'!$A$2:$A3446, MATCH(B1820,'Room Info'!$H$2:$H3446, 0)),if(G1820='Room Info'!$G$1, INDEX('Room Info'!$A$2:$A3446, MATCH(B1820,'Room Info'!$G$2:$G3446, 0)))))))))</f>
        <v>0</v>
      </c>
      <c r="B1820" s="70"/>
      <c r="C1820" s="115"/>
      <c r="D1820" s="115"/>
      <c r="E1820" s="85"/>
      <c r="F1820" s="101"/>
      <c r="G1820" s="70"/>
      <c r="H1820" s="105"/>
      <c r="I1820" s="105"/>
      <c r="J1820" s="44" t="str">
        <f t="shared" si="311"/>
        <v/>
      </c>
      <c r="K1820" s="116"/>
      <c r="L1820" s="117"/>
      <c r="M1820" s="67"/>
      <c r="N1820" s="33">
        <f t="shared" si="276"/>
        <v>0</v>
      </c>
      <c r="O1820" s="70"/>
      <c r="P1820" s="34" t="str">
        <f t="shared" si="277"/>
        <v/>
      </c>
      <c r="Q1820" s="60"/>
      <c r="R1820" s="36">
        <f t="shared" si="312"/>
        <v>0</v>
      </c>
      <c r="S1820" s="71"/>
      <c r="T1820" s="37">
        <f t="shared" si="302"/>
        <v>0</v>
      </c>
      <c r="U1820" s="62"/>
      <c r="V1820" s="63"/>
      <c r="W1820" s="63"/>
      <c r="X1820" s="35" t="str">
        <f t="shared" si="303"/>
        <v>#N/A</v>
      </c>
      <c r="Y1820" s="35" t="str">
        <f t="shared" si="304"/>
        <v>#N/A</v>
      </c>
      <c r="Z1820" s="40" t="str">
        <f t="shared" si="305"/>
        <v>#N/A</v>
      </c>
      <c r="AA1820" s="34" t="str">
        <f t="shared" si="306"/>
        <v>#N/A</v>
      </c>
      <c r="AB1820" s="41" t="str">
        <f t="shared" si="307"/>
        <v>#N/A</v>
      </c>
      <c r="AC1820" s="42" t="b">
        <v>0</v>
      </c>
      <c r="AD1820" s="66" t="str">
        <f t="shared" si="308"/>
        <v>USD</v>
      </c>
      <c r="AE1820" s="42"/>
      <c r="AF1820" s="42" t="str">
        <f t="array" ref="AF1820">INDEX('Deal Info'!D:D, MATCH(A1820,'Deal Info'!A:A, 0))</f>
        <v>#N/A</v>
      </c>
      <c r="AG1820" s="43" t="str">
        <f t="array" ref="AG1820">INDEX('Deal Info'!G:G, MATCH(A1820,'Deal Info'!A:A, 0))</f>
        <v>#N/A</v>
      </c>
    </row>
    <row r="1821" hidden="1">
      <c r="A1821" s="23" t="b">
        <f t="array" ref="A1821">if(G1821='Room Info'!$B$1, INDEX('Room Info'!$A$2:$A3446, MATCH(B1821,'Room Info'!$B$2:$B3446, 0)),if(G1821='Room Info'!$C$1, INDEX('Room Info'!$A$2:$A3446, MATCH(B1821,'Room Info'!$C$2:$C3446, 0)),if(G1821='Room Info'!$D$1, INDEX('Room Info'!$A$2:$A3446, MATCH(B1821,'Room Info'!$D$2:$D3446, 0)),if(G1821='Room Info'!$E$1, INDEX('Room Info'!$A$2:$A3446, MATCH(B1821,'Room Info'!$E$2:$E3446, 0)),if(G1821='Room Info'!$F$1, INDEX('Room Info'!$A$2:$A3446, MATCH(B1821,'Room Info'!$F$2:$F3446, 0)),if(G1821='Room Info'!$H$1, INDEX('Room Info'!$A$2:$A3446, MATCH(B1821,'Room Info'!$H$2:$H3446, 0)),if(G1821='Room Info'!$G$1, INDEX('Room Info'!$A$2:$A3446, MATCH(B1821,'Room Info'!$G$2:$G3446, 0)))))))))</f>
        <v>0</v>
      </c>
      <c r="B1821" s="101"/>
      <c r="C1821" s="141"/>
      <c r="D1821" s="141"/>
      <c r="E1821" s="142"/>
      <c r="F1821" s="138"/>
      <c r="G1821" s="101"/>
      <c r="H1821" s="105"/>
      <c r="I1821" s="105"/>
      <c r="J1821" s="44" t="str">
        <f t="shared" si="311"/>
        <v/>
      </c>
      <c r="K1821" s="139"/>
      <c r="L1821" s="140"/>
      <c r="M1821" s="84"/>
      <c r="N1821" s="33">
        <f t="shared" si="276"/>
        <v>0</v>
      </c>
      <c r="O1821" s="101"/>
      <c r="P1821" s="34" t="str">
        <f t="shared" si="277"/>
        <v/>
      </c>
      <c r="Q1821" s="60"/>
      <c r="R1821" s="36">
        <f t="shared" si="312"/>
        <v>0</v>
      </c>
      <c r="S1821" s="102"/>
      <c r="T1821" s="37">
        <f t="shared" si="302"/>
        <v>0</v>
      </c>
      <c r="U1821" s="62"/>
      <c r="V1821" s="63"/>
      <c r="W1821" s="63"/>
      <c r="X1821" s="35" t="str">
        <f t="shared" si="303"/>
        <v>#N/A</v>
      </c>
      <c r="Y1821" s="35" t="str">
        <f t="shared" si="304"/>
        <v>#N/A</v>
      </c>
      <c r="Z1821" s="40" t="str">
        <f t="shared" si="305"/>
        <v>#N/A</v>
      </c>
      <c r="AA1821" s="34" t="str">
        <f t="shared" si="306"/>
        <v>#N/A</v>
      </c>
      <c r="AB1821" s="41" t="str">
        <f t="shared" si="307"/>
        <v>#N/A</v>
      </c>
      <c r="AC1821" s="42" t="b">
        <v>0</v>
      </c>
      <c r="AD1821" s="66" t="str">
        <f t="shared" si="308"/>
        <v>USD</v>
      </c>
      <c r="AE1821" s="42"/>
      <c r="AF1821" s="42" t="str">
        <f t="array" ref="AF1821">INDEX('Deal Info'!D:D, MATCH(A1821,'Deal Info'!A:A, 0))</f>
        <v>#N/A</v>
      </c>
      <c r="AG1821" s="43" t="str">
        <f t="array" ref="AG1821">INDEX('Deal Info'!G:G, MATCH(A1821,'Deal Info'!A:A, 0))</f>
        <v>#N/A</v>
      </c>
    </row>
    <row r="1822" hidden="1">
      <c r="A1822" s="23" t="b">
        <f t="array" ref="A1822">if(G1822='Room Info'!$B$1, INDEX('Room Info'!$A$2:$A3446, MATCH(B1822,'Room Info'!$B$2:$B3446, 0)),if(G1822='Room Info'!$C$1, INDEX('Room Info'!$A$2:$A3446, MATCH(B1822,'Room Info'!$C$2:$C3446, 0)),if(G1822='Room Info'!$D$1, INDEX('Room Info'!$A$2:$A3446, MATCH(B1822,'Room Info'!$D$2:$D3446, 0)),if(G1822='Room Info'!$E$1, INDEX('Room Info'!$A$2:$A3446, MATCH(B1822,'Room Info'!$E$2:$E3446, 0)),if(G1822='Room Info'!$F$1, INDEX('Room Info'!$A$2:$A3446, MATCH(B1822,'Room Info'!$F$2:$F3446, 0)),if(G1822='Room Info'!$H$1, INDEX('Room Info'!$A$2:$A3446, MATCH(B1822,'Room Info'!$H$2:$H3446, 0)),if(G1822='Room Info'!$G$1, INDEX('Room Info'!$A$2:$A3446, MATCH(B1822,'Room Info'!$G$2:$G3446, 0)))))))))</f>
        <v>0</v>
      </c>
      <c r="B1822" s="101"/>
      <c r="C1822" s="141"/>
      <c r="D1822" s="141"/>
      <c r="E1822" s="142"/>
      <c r="F1822" s="138"/>
      <c r="G1822" s="101"/>
      <c r="H1822" s="105"/>
      <c r="I1822" s="105"/>
      <c r="J1822" s="44" t="str">
        <f t="shared" si="311"/>
        <v/>
      </c>
      <c r="K1822" s="139"/>
      <c r="L1822" s="140"/>
      <c r="M1822" s="84"/>
      <c r="N1822" s="33">
        <f t="shared" si="276"/>
        <v>0</v>
      </c>
      <c r="O1822" s="101"/>
      <c r="P1822" s="34" t="str">
        <f t="shared" si="277"/>
        <v/>
      </c>
      <c r="Q1822" s="60"/>
      <c r="R1822" s="36">
        <f t="shared" si="312"/>
        <v>0</v>
      </c>
      <c r="S1822" s="102"/>
      <c r="T1822" s="37">
        <f t="shared" si="302"/>
        <v>0</v>
      </c>
      <c r="U1822" s="62"/>
      <c r="V1822" s="63"/>
      <c r="W1822" s="63"/>
      <c r="X1822" s="35" t="str">
        <f t="shared" si="303"/>
        <v>#N/A</v>
      </c>
      <c r="Y1822" s="35" t="str">
        <f t="shared" si="304"/>
        <v>#N/A</v>
      </c>
      <c r="Z1822" s="40" t="str">
        <f t="shared" si="305"/>
        <v>#N/A</v>
      </c>
      <c r="AA1822" s="34" t="str">
        <f t="shared" si="306"/>
        <v>#N/A</v>
      </c>
      <c r="AB1822" s="41" t="str">
        <f t="shared" si="307"/>
        <v>#N/A</v>
      </c>
      <c r="AC1822" s="42" t="b">
        <v>0</v>
      </c>
      <c r="AD1822" s="66" t="str">
        <f t="shared" si="308"/>
        <v>USD</v>
      </c>
      <c r="AE1822" s="42"/>
      <c r="AF1822" s="42" t="str">
        <f t="array" ref="AF1822">INDEX('Deal Info'!D:D, MATCH(A1822,'Deal Info'!A:A, 0))</f>
        <v>#N/A</v>
      </c>
      <c r="AG1822" s="43" t="str">
        <f t="array" ref="AG1822">INDEX('Deal Info'!G:G, MATCH(A1822,'Deal Info'!A:A, 0))</f>
        <v>#N/A</v>
      </c>
    </row>
    <row r="1823" hidden="1">
      <c r="A1823" s="23" t="b">
        <f t="array" ref="A1823">if(G1823='Room Info'!$B$1, INDEX('Room Info'!$A$2:$A3446, MATCH(B1823,'Room Info'!$B$2:$B3446, 0)),if(G1823='Room Info'!$C$1, INDEX('Room Info'!$A$2:$A3446, MATCH(B1823,'Room Info'!$C$2:$C3446, 0)),if(G1823='Room Info'!$D$1, INDEX('Room Info'!$A$2:$A3446, MATCH(B1823,'Room Info'!$D$2:$D3446, 0)),if(G1823='Room Info'!$E$1, INDEX('Room Info'!$A$2:$A3446, MATCH(B1823,'Room Info'!$E$2:$E3446, 0)),if(G1823='Room Info'!$F$1, INDEX('Room Info'!$A$2:$A3446, MATCH(B1823,'Room Info'!$F$2:$F3446, 0)),if(G1823='Room Info'!$H$1, INDEX('Room Info'!$A$2:$A3446, MATCH(B1823,'Room Info'!$H$2:$H3446, 0)),if(G1823='Room Info'!$G$1, INDEX('Room Info'!$A$2:$A3446, MATCH(B1823,'Room Info'!$G$2:$G3446, 0)))))))))</f>
        <v>0</v>
      </c>
      <c r="B1823" s="70"/>
      <c r="C1823" s="115"/>
      <c r="D1823" s="115"/>
      <c r="E1823" s="85"/>
      <c r="F1823" s="138"/>
      <c r="G1823" s="70"/>
      <c r="H1823" s="114"/>
      <c r="I1823" s="114"/>
      <c r="J1823" s="44" t="str">
        <f t="shared" si="311"/>
        <v/>
      </c>
      <c r="K1823" s="116"/>
      <c r="L1823" s="143"/>
      <c r="M1823" s="67"/>
      <c r="N1823" s="33">
        <f t="shared" si="276"/>
        <v>0</v>
      </c>
      <c r="O1823" s="133"/>
      <c r="P1823" s="34" t="str">
        <f t="shared" si="277"/>
        <v/>
      </c>
      <c r="Q1823" s="60"/>
      <c r="R1823" s="36">
        <f t="shared" si="312"/>
        <v>0</v>
      </c>
      <c r="S1823" s="122"/>
      <c r="T1823" s="37">
        <f t="shared" si="302"/>
        <v>0</v>
      </c>
      <c r="U1823" s="62"/>
      <c r="V1823" s="63"/>
      <c r="W1823" s="63"/>
      <c r="X1823" s="35" t="str">
        <f t="shared" si="303"/>
        <v>#N/A</v>
      </c>
      <c r="Y1823" s="35" t="str">
        <f t="shared" si="304"/>
        <v>#N/A</v>
      </c>
      <c r="Z1823" s="40" t="str">
        <f t="shared" si="305"/>
        <v>#N/A</v>
      </c>
      <c r="AA1823" s="34" t="str">
        <f t="shared" si="306"/>
        <v>#N/A</v>
      </c>
      <c r="AB1823" s="41" t="str">
        <f t="shared" si="307"/>
        <v>#N/A</v>
      </c>
      <c r="AC1823" s="42" t="b">
        <v>0</v>
      </c>
      <c r="AD1823" s="66" t="str">
        <f t="shared" si="308"/>
        <v>USD</v>
      </c>
      <c r="AE1823" s="42"/>
      <c r="AF1823" s="42" t="str">
        <f t="array" ref="AF1823">INDEX('Deal Info'!D:D, MATCH(A1823,'Deal Info'!A:A, 0))</f>
        <v>#N/A</v>
      </c>
      <c r="AG1823" s="43" t="str">
        <f t="array" ref="AG1823">INDEX('Deal Info'!G:G, MATCH(A1823,'Deal Info'!A:A, 0))</f>
        <v>#N/A</v>
      </c>
    </row>
    <row r="1824" hidden="1">
      <c r="A1824" s="23" t="b">
        <f t="array" ref="A1824">if(G1824='Room Info'!$B$1, INDEX('Room Info'!$A$2:$A3446, MATCH(B1824,'Room Info'!$B$2:$B3446, 0)),if(G1824='Room Info'!$C$1, INDEX('Room Info'!$A$2:$A3446, MATCH(B1824,'Room Info'!$C$2:$C3446, 0)),if(G1824='Room Info'!$D$1, INDEX('Room Info'!$A$2:$A3446, MATCH(B1824,'Room Info'!$D$2:$D3446, 0)),if(G1824='Room Info'!$E$1, INDEX('Room Info'!$A$2:$A3446, MATCH(B1824,'Room Info'!$E$2:$E3446, 0)),if(G1824='Room Info'!$F$1, INDEX('Room Info'!$A$2:$A3446, MATCH(B1824,'Room Info'!$F$2:$F3446, 0)),if(G1824='Room Info'!$H$1, INDEX('Room Info'!$A$2:$A3446, MATCH(B1824,'Room Info'!$H$2:$H3446, 0)),if(G1824='Room Info'!$G$1, INDEX('Room Info'!$A$2:$A3446, MATCH(B1824,'Room Info'!$G$2:$G3446, 0)))))))))</f>
        <v>0</v>
      </c>
      <c r="B1824" s="70"/>
      <c r="C1824" s="115"/>
      <c r="D1824" s="115"/>
      <c r="E1824" s="85"/>
      <c r="F1824" s="138"/>
      <c r="G1824" s="70"/>
      <c r="H1824" s="114"/>
      <c r="I1824" s="114"/>
      <c r="J1824" s="44" t="str">
        <f t="shared" si="311"/>
        <v/>
      </c>
      <c r="K1824" s="116"/>
      <c r="L1824" s="143"/>
      <c r="M1824" s="67"/>
      <c r="N1824" s="33">
        <f t="shared" si="276"/>
        <v>0</v>
      </c>
      <c r="O1824" s="133"/>
      <c r="P1824" s="34" t="str">
        <f t="shared" si="277"/>
        <v/>
      </c>
      <c r="Q1824" s="60"/>
      <c r="R1824" s="36">
        <f t="shared" si="312"/>
        <v>0</v>
      </c>
      <c r="S1824" s="122"/>
      <c r="T1824" s="37">
        <f t="shared" si="302"/>
        <v>0</v>
      </c>
      <c r="U1824" s="62"/>
      <c r="V1824" s="63"/>
      <c r="W1824" s="63"/>
      <c r="X1824" s="35" t="str">
        <f t="shared" si="303"/>
        <v>#N/A</v>
      </c>
      <c r="Y1824" s="35" t="str">
        <f t="shared" si="304"/>
        <v>#N/A</v>
      </c>
      <c r="Z1824" s="40" t="str">
        <f t="shared" si="305"/>
        <v>#N/A</v>
      </c>
      <c r="AA1824" s="34" t="str">
        <f t="shared" si="306"/>
        <v>#N/A</v>
      </c>
      <c r="AB1824" s="41" t="str">
        <f t="shared" si="307"/>
        <v>#N/A</v>
      </c>
      <c r="AC1824" s="42" t="b">
        <v>0</v>
      </c>
      <c r="AD1824" s="66" t="str">
        <f t="shared" si="308"/>
        <v>USD</v>
      </c>
      <c r="AE1824" s="42"/>
      <c r="AF1824" s="42" t="str">
        <f t="array" ref="AF1824">INDEX('Deal Info'!D:D, MATCH(A1824,'Deal Info'!A:A, 0))</f>
        <v>#N/A</v>
      </c>
      <c r="AG1824" s="43" t="str">
        <f t="array" ref="AG1824">INDEX('Deal Info'!G:G, MATCH(A1824,'Deal Info'!A:A, 0))</f>
        <v>#N/A</v>
      </c>
    </row>
    <row r="1825" hidden="1">
      <c r="A1825" s="23" t="b">
        <f t="array" ref="A1825">if(G1825='Room Info'!$B$1, INDEX('Room Info'!$A$2:$A3446, MATCH(B1825,'Room Info'!$B$2:$B3446, 0)),if(G1825='Room Info'!$C$1, INDEX('Room Info'!$A$2:$A3446, MATCH(B1825,'Room Info'!$C$2:$C3446, 0)),if(G1825='Room Info'!$D$1, INDEX('Room Info'!$A$2:$A3446, MATCH(B1825,'Room Info'!$D$2:$D3446, 0)),if(G1825='Room Info'!$E$1, INDEX('Room Info'!$A$2:$A3446, MATCH(B1825,'Room Info'!$E$2:$E3446, 0)),if(G1825='Room Info'!$F$1, INDEX('Room Info'!$A$2:$A3446, MATCH(B1825,'Room Info'!$F$2:$F3446, 0)),if(G1825='Room Info'!$H$1, INDEX('Room Info'!$A$2:$A3446, MATCH(B1825,'Room Info'!$H$2:$H3446, 0)),if(G1825='Room Info'!$G$1, INDEX('Room Info'!$A$2:$A3446, MATCH(B1825,'Room Info'!$G$2:$G3446, 0)))))))))</f>
        <v>0</v>
      </c>
      <c r="B1825" s="70"/>
      <c r="C1825" s="115"/>
      <c r="D1825" s="115"/>
      <c r="E1825" s="85"/>
      <c r="F1825" s="138"/>
      <c r="G1825" s="70"/>
      <c r="H1825" s="114"/>
      <c r="I1825" s="114"/>
      <c r="J1825" s="44" t="str">
        <f t="shared" si="311"/>
        <v/>
      </c>
      <c r="K1825" s="116"/>
      <c r="L1825" s="143"/>
      <c r="M1825" s="67"/>
      <c r="N1825" s="33">
        <f t="shared" si="276"/>
        <v>0</v>
      </c>
      <c r="O1825" s="133"/>
      <c r="P1825" s="34" t="str">
        <f t="shared" si="277"/>
        <v/>
      </c>
      <c r="Q1825" s="60"/>
      <c r="R1825" s="36">
        <f t="shared" si="312"/>
        <v>0</v>
      </c>
      <c r="S1825" s="122"/>
      <c r="T1825" s="37">
        <f t="shared" si="302"/>
        <v>0</v>
      </c>
      <c r="U1825" s="62"/>
      <c r="V1825" s="63"/>
      <c r="W1825" s="63"/>
      <c r="X1825" s="35" t="str">
        <f t="shared" si="303"/>
        <v>#N/A</v>
      </c>
      <c r="Y1825" s="35" t="str">
        <f t="shared" si="304"/>
        <v>#N/A</v>
      </c>
      <c r="Z1825" s="40" t="str">
        <f t="shared" si="305"/>
        <v>#N/A</v>
      </c>
      <c r="AA1825" s="34" t="str">
        <f t="shared" si="306"/>
        <v>#N/A</v>
      </c>
      <c r="AB1825" s="41" t="str">
        <f t="shared" si="307"/>
        <v>#N/A</v>
      </c>
      <c r="AC1825" s="42" t="b">
        <v>0</v>
      </c>
      <c r="AD1825" s="66" t="str">
        <f t="shared" si="308"/>
        <v>USD</v>
      </c>
      <c r="AE1825" s="42"/>
      <c r="AF1825" s="42" t="str">
        <f t="array" ref="AF1825">INDEX('Deal Info'!D:D, MATCH(A1825,'Deal Info'!A:A, 0))</f>
        <v>#N/A</v>
      </c>
      <c r="AG1825" s="43" t="str">
        <f t="array" ref="AG1825">INDEX('Deal Info'!G:G, MATCH(A1825,'Deal Info'!A:A, 0))</f>
        <v>#N/A</v>
      </c>
    </row>
    <row r="1826" hidden="1">
      <c r="A1826" s="23" t="b">
        <f t="array" ref="A1826">if(G1826='Room Info'!$B$1, INDEX('Room Info'!$A$2:$A3446, MATCH(B1826,'Room Info'!$B$2:$B3446, 0)),if(G1826='Room Info'!$C$1, INDEX('Room Info'!$A$2:$A3446, MATCH(B1826,'Room Info'!$C$2:$C3446, 0)),if(G1826='Room Info'!$D$1, INDEX('Room Info'!$A$2:$A3446, MATCH(B1826,'Room Info'!$D$2:$D3446, 0)),if(G1826='Room Info'!$E$1, INDEX('Room Info'!$A$2:$A3446, MATCH(B1826,'Room Info'!$E$2:$E3446, 0)),if(G1826='Room Info'!$F$1, INDEX('Room Info'!$A$2:$A3446, MATCH(B1826,'Room Info'!$F$2:$F3446, 0)),if(G1826='Room Info'!$H$1, INDEX('Room Info'!$A$2:$A3446, MATCH(B1826,'Room Info'!$H$2:$H3446, 0)),if(G1826='Room Info'!$G$1, INDEX('Room Info'!$A$2:$A3446, MATCH(B1826,'Room Info'!$G$2:$G3446, 0)))))))))</f>
        <v>0</v>
      </c>
      <c r="B1826" s="70"/>
      <c r="C1826" s="115"/>
      <c r="D1826" s="115"/>
      <c r="E1826" s="85"/>
      <c r="F1826" s="138"/>
      <c r="G1826" s="70"/>
      <c r="H1826" s="114"/>
      <c r="I1826" s="114"/>
      <c r="J1826" s="44" t="str">
        <f t="shared" si="311"/>
        <v/>
      </c>
      <c r="K1826" s="116"/>
      <c r="L1826" s="143"/>
      <c r="M1826" s="67"/>
      <c r="N1826" s="33">
        <f t="shared" si="276"/>
        <v>0</v>
      </c>
      <c r="O1826" s="133"/>
      <c r="P1826" s="34" t="str">
        <f t="shared" si="277"/>
        <v/>
      </c>
      <c r="Q1826" s="60"/>
      <c r="R1826" s="36">
        <f t="shared" si="312"/>
        <v>0</v>
      </c>
      <c r="S1826" s="122"/>
      <c r="T1826" s="37">
        <f t="shared" si="302"/>
        <v>0</v>
      </c>
      <c r="U1826" s="62"/>
      <c r="V1826" s="63"/>
      <c r="W1826" s="63"/>
      <c r="X1826" s="35" t="str">
        <f t="shared" si="303"/>
        <v>#N/A</v>
      </c>
      <c r="Y1826" s="35" t="str">
        <f t="shared" si="304"/>
        <v>#N/A</v>
      </c>
      <c r="Z1826" s="40" t="str">
        <f t="shared" si="305"/>
        <v>#N/A</v>
      </c>
      <c r="AA1826" s="34" t="str">
        <f t="shared" si="306"/>
        <v>#N/A</v>
      </c>
      <c r="AB1826" s="41" t="str">
        <f t="shared" si="307"/>
        <v>#N/A</v>
      </c>
      <c r="AC1826" s="42" t="b">
        <v>0</v>
      </c>
      <c r="AD1826" s="66" t="str">
        <f t="shared" si="308"/>
        <v>USD</v>
      </c>
      <c r="AE1826" s="42"/>
      <c r="AF1826" s="42" t="str">
        <f t="array" ref="AF1826">INDEX('Deal Info'!D:D, MATCH(A1826,'Deal Info'!A:A, 0))</f>
        <v>#N/A</v>
      </c>
      <c r="AG1826" s="43" t="str">
        <f t="array" ref="AG1826">INDEX('Deal Info'!G:G, MATCH(A1826,'Deal Info'!A:A, 0))</f>
        <v>#N/A</v>
      </c>
    </row>
    <row r="1827" hidden="1">
      <c r="A1827" s="23" t="b">
        <f t="array" ref="A1827">if(G1827='Room Info'!$B$1, INDEX('Room Info'!$A$2:$A3446, MATCH(B1827,'Room Info'!$B$2:$B3446, 0)),if(G1827='Room Info'!$C$1, INDEX('Room Info'!$A$2:$A3446, MATCH(B1827,'Room Info'!$C$2:$C3446, 0)),if(G1827='Room Info'!$D$1, INDEX('Room Info'!$A$2:$A3446, MATCH(B1827,'Room Info'!$D$2:$D3446, 0)),if(G1827='Room Info'!$E$1, INDEX('Room Info'!$A$2:$A3446, MATCH(B1827,'Room Info'!$E$2:$E3446, 0)),if(G1827='Room Info'!$F$1, INDEX('Room Info'!$A$2:$A3446, MATCH(B1827,'Room Info'!$F$2:$F3446, 0)),if(G1827='Room Info'!$H$1, INDEX('Room Info'!$A$2:$A3446, MATCH(B1827,'Room Info'!$H$2:$H3446, 0)),if(G1827='Room Info'!$G$1, INDEX('Room Info'!$A$2:$A3446, MATCH(B1827,'Room Info'!$G$2:$G3446, 0)))))))))</f>
        <v>0</v>
      </c>
      <c r="B1827" s="70"/>
      <c r="C1827" s="115"/>
      <c r="D1827" s="115"/>
      <c r="E1827" s="85"/>
      <c r="F1827" s="138"/>
      <c r="G1827" s="70"/>
      <c r="H1827" s="114"/>
      <c r="I1827" s="114"/>
      <c r="J1827" s="44" t="str">
        <f t="shared" si="311"/>
        <v/>
      </c>
      <c r="K1827" s="116"/>
      <c r="L1827" s="143"/>
      <c r="M1827" s="67"/>
      <c r="N1827" s="33">
        <f t="shared" si="276"/>
        <v>0</v>
      </c>
      <c r="O1827" s="133"/>
      <c r="P1827" s="34" t="str">
        <f t="shared" si="277"/>
        <v/>
      </c>
      <c r="Q1827" s="60"/>
      <c r="R1827" s="36">
        <f t="shared" si="312"/>
        <v>0</v>
      </c>
      <c r="S1827" s="122"/>
      <c r="T1827" s="37">
        <f t="shared" si="302"/>
        <v>0</v>
      </c>
      <c r="U1827" s="62"/>
      <c r="V1827" s="63"/>
      <c r="W1827" s="63"/>
      <c r="X1827" s="35" t="str">
        <f t="shared" si="303"/>
        <v>#N/A</v>
      </c>
      <c r="Y1827" s="35" t="str">
        <f t="shared" si="304"/>
        <v>#N/A</v>
      </c>
      <c r="Z1827" s="40" t="str">
        <f t="shared" si="305"/>
        <v>#N/A</v>
      </c>
      <c r="AA1827" s="34" t="str">
        <f t="shared" si="306"/>
        <v>#N/A</v>
      </c>
      <c r="AB1827" s="41" t="str">
        <f t="shared" si="307"/>
        <v>#N/A</v>
      </c>
      <c r="AC1827" s="42" t="b">
        <v>0</v>
      </c>
      <c r="AD1827" s="66" t="str">
        <f t="shared" si="308"/>
        <v>USD</v>
      </c>
      <c r="AE1827" s="42"/>
      <c r="AF1827" s="42" t="str">
        <f t="array" ref="AF1827">INDEX('Deal Info'!D:D, MATCH(A1827,'Deal Info'!A:A, 0))</f>
        <v>#N/A</v>
      </c>
      <c r="AG1827" s="43" t="str">
        <f t="array" ref="AG1827">INDEX('Deal Info'!G:G, MATCH(A1827,'Deal Info'!A:A, 0))</f>
        <v>#N/A</v>
      </c>
    </row>
    <row r="1828" hidden="1">
      <c r="A1828" s="23" t="b">
        <f t="array" ref="A1828">if(G1828='Room Info'!$B$1, INDEX('Room Info'!$A$2:$A3446, MATCH(B1828,'Room Info'!$B$2:$B3446, 0)),if(G1828='Room Info'!$C$1, INDEX('Room Info'!$A$2:$A3446, MATCH(B1828,'Room Info'!$C$2:$C3446, 0)),if(G1828='Room Info'!$D$1, INDEX('Room Info'!$A$2:$A3446, MATCH(B1828,'Room Info'!$D$2:$D3446, 0)),if(G1828='Room Info'!$E$1, INDEX('Room Info'!$A$2:$A3446, MATCH(B1828,'Room Info'!$E$2:$E3446, 0)),if(G1828='Room Info'!$F$1, INDEX('Room Info'!$A$2:$A3446, MATCH(B1828,'Room Info'!$F$2:$F3446, 0)),if(G1828='Room Info'!$H$1, INDEX('Room Info'!$A$2:$A3446, MATCH(B1828,'Room Info'!$H$2:$H3446, 0)),if(G1828='Room Info'!$G$1, INDEX('Room Info'!$A$2:$A3446, MATCH(B1828,'Room Info'!$G$2:$G3446, 0)))))))))</f>
        <v>0</v>
      </c>
      <c r="B1828" s="70"/>
      <c r="C1828" s="115"/>
      <c r="D1828" s="115"/>
      <c r="E1828" s="85"/>
      <c r="F1828" s="138"/>
      <c r="G1828" s="70"/>
      <c r="H1828" s="114"/>
      <c r="I1828" s="114"/>
      <c r="J1828" s="44" t="str">
        <f t="shared" si="311"/>
        <v/>
      </c>
      <c r="K1828" s="116"/>
      <c r="L1828" s="143"/>
      <c r="M1828" s="67"/>
      <c r="N1828" s="33">
        <f t="shared" si="276"/>
        <v>0</v>
      </c>
      <c r="O1828" s="133"/>
      <c r="P1828" s="34" t="str">
        <f t="shared" si="277"/>
        <v/>
      </c>
      <c r="Q1828" s="60"/>
      <c r="R1828" s="36">
        <f t="shared" si="312"/>
        <v>0</v>
      </c>
      <c r="S1828" s="122"/>
      <c r="T1828" s="37">
        <f t="shared" si="302"/>
        <v>0</v>
      </c>
      <c r="U1828" s="62"/>
      <c r="V1828" s="63"/>
      <c r="W1828" s="63"/>
      <c r="X1828" s="35" t="str">
        <f t="shared" si="303"/>
        <v>#N/A</v>
      </c>
      <c r="Y1828" s="35" t="str">
        <f t="shared" si="304"/>
        <v>#N/A</v>
      </c>
      <c r="Z1828" s="40" t="str">
        <f t="shared" si="305"/>
        <v>#N/A</v>
      </c>
      <c r="AA1828" s="34" t="str">
        <f t="shared" si="306"/>
        <v>#N/A</v>
      </c>
      <c r="AB1828" s="41" t="str">
        <f t="shared" si="307"/>
        <v>#N/A</v>
      </c>
      <c r="AC1828" s="42" t="b">
        <v>0</v>
      </c>
      <c r="AD1828" s="66" t="str">
        <f t="shared" si="308"/>
        <v>USD</v>
      </c>
      <c r="AE1828" s="42"/>
      <c r="AF1828" s="42" t="str">
        <f t="array" ref="AF1828">INDEX('Deal Info'!D:D, MATCH(A1828,'Deal Info'!A:A, 0))</f>
        <v>#N/A</v>
      </c>
      <c r="AG1828" s="43" t="str">
        <f t="array" ref="AG1828">INDEX('Deal Info'!G:G, MATCH(A1828,'Deal Info'!A:A, 0))</f>
        <v>#N/A</v>
      </c>
    </row>
    <row r="1829" hidden="1">
      <c r="A1829" s="23" t="b">
        <f t="array" ref="A1829">if(G1829='Room Info'!$B$1, INDEX('Room Info'!$A$2:$A3446, MATCH(B1829,'Room Info'!$B$2:$B3446, 0)),if(G1829='Room Info'!$C$1, INDEX('Room Info'!$A$2:$A3446, MATCH(B1829,'Room Info'!$C$2:$C3446, 0)),if(G1829='Room Info'!$D$1, INDEX('Room Info'!$A$2:$A3446, MATCH(B1829,'Room Info'!$D$2:$D3446, 0)),if(G1829='Room Info'!$E$1, INDEX('Room Info'!$A$2:$A3446, MATCH(B1829,'Room Info'!$E$2:$E3446, 0)),if(G1829='Room Info'!$F$1, INDEX('Room Info'!$A$2:$A3446, MATCH(B1829,'Room Info'!$F$2:$F3446, 0)),if(G1829='Room Info'!$H$1, INDEX('Room Info'!$A$2:$A3446, MATCH(B1829,'Room Info'!$H$2:$H3446, 0)),if(G1829='Room Info'!$G$1, INDEX('Room Info'!$A$2:$A3446, MATCH(B1829,'Room Info'!$G$2:$G3446, 0)))))))))</f>
        <v>0</v>
      </c>
      <c r="B1829" s="70"/>
      <c r="C1829" s="115"/>
      <c r="D1829" s="115"/>
      <c r="E1829" s="85"/>
      <c r="F1829" s="138"/>
      <c r="G1829" s="70"/>
      <c r="H1829" s="114"/>
      <c r="I1829" s="114"/>
      <c r="J1829" s="44" t="str">
        <f t="shared" si="311"/>
        <v/>
      </c>
      <c r="K1829" s="116"/>
      <c r="L1829" s="143"/>
      <c r="M1829" s="67"/>
      <c r="N1829" s="33">
        <f t="shared" si="276"/>
        <v>0</v>
      </c>
      <c r="O1829" s="133"/>
      <c r="P1829" s="34" t="str">
        <f t="shared" si="277"/>
        <v/>
      </c>
      <c r="Q1829" s="60"/>
      <c r="R1829" s="36">
        <f t="shared" si="312"/>
        <v>0</v>
      </c>
      <c r="S1829" s="122"/>
      <c r="T1829" s="37">
        <f t="shared" si="302"/>
        <v>0</v>
      </c>
      <c r="U1829" s="62"/>
      <c r="V1829" s="63"/>
      <c r="W1829" s="63"/>
      <c r="X1829" s="35" t="str">
        <f t="shared" si="303"/>
        <v>#N/A</v>
      </c>
      <c r="Y1829" s="35" t="str">
        <f t="shared" si="304"/>
        <v>#N/A</v>
      </c>
      <c r="Z1829" s="40" t="str">
        <f t="shared" si="305"/>
        <v>#N/A</v>
      </c>
      <c r="AA1829" s="34" t="str">
        <f t="shared" si="306"/>
        <v>#N/A</v>
      </c>
      <c r="AB1829" s="41" t="str">
        <f t="shared" si="307"/>
        <v>#N/A</v>
      </c>
      <c r="AC1829" s="42" t="b">
        <v>0</v>
      </c>
      <c r="AD1829" s="66" t="str">
        <f t="shared" si="308"/>
        <v>USD</v>
      </c>
      <c r="AE1829" s="42"/>
      <c r="AF1829" s="42" t="str">
        <f t="array" ref="AF1829">INDEX('Deal Info'!D:D, MATCH(A1829,'Deal Info'!A:A, 0))</f>
        <v>#N/A</v>
      </c>
      <c r="AG1829" s="43" t="str">
        <f t="array" ref="AG1829">INDEX('Deal Info'!G:G, MATCH(A1829,'Deal Info'!A:A, 0))</f>
        <v>#N/A</v>
      </c>
    </row>
    <row r="1830" hidden="1">
      <c r="A1830" s="23" t="b">
        <f t="array" ref="A1830">if(G1830='Room Info'!$B$1, INDEX('Room Info'!$A$2:$A3446, MATCH(B1830,'Room Info'!$B$2:$B3446, 0)),if(G1830='Room Info'!$C$1, INDEX('Room Info'!$A$2:$A3446, MATCH(B1830,'Room Info'!$C$2:$C3446, 0)),if(G1830='Room Info'!$D$1, INDEX('Room Info'!$A$2:$A3446, MATCH(B1830,'Room Info'!$D$2:$D3446, 0)),if(G1830='Room Info'!$E$1, INDEX('Room Info'!$A$2:$A3446, MATCH(B1830,'Room Info'!$E$2:$E3446, 0)),if(G1830='Room Info'!$F$1, INDEX('Room Info'!$A$2:$A3446, MATCH(B1830,'Room Info'!$F$2:$F3446, 0)),if(G1830='Room Info'!$H$1, INDEX('Room Info'!$A$2:$A3446, MATCH(B1830,'Room Info'!$H$2:$H3446, 0)),if(G1830='Room Info'!$G$1, INDEX('Room Info'!$A$2:$A3446, MATCH(B1830,'Room Info'!$G$2:$G3446, 0)))))))))</f>
        <v>0</v>
      </c>
      <c r="B1830" s="101"/>
      <c r="C1830" s="141"/>
      <c r="D1830" s="141"/>
      <c r="E1830" s="142"/>
      <c r="F1830" s="138"/>
      <c r="G1830" s="101"/>
      <c r="H1830" s="105"/>
      <c r="I1830" s="105"/>
      <c r="J1830" s="44" t="str">
        <f t="shared" si="311"/>
        <v/>
      </c>
      <c r="K1830" s="139"/>
      <c r="L1830" s="140"/>
      <c r="M1830" s="84"/>
      <c r="N1830" s="33">
        <f t="shared" si="276"/>
        <v>0</v>
      </c>
      <c r="O1830" s="101"/>
      <c r="P1830" s="34" t="str">
        <f t="shared" si="277"/>
        <v/>
      </c>
      <c r="Q1830" s="60"/>
      <c r="R1830" s="36">
        <f t="shared" si="312"/>
        <v>0</v>
      </c>
      <c r="S1830" s="102"/>
      <c r="T1830" s="37">
        <f t="shared" si="302"/>
        <v>0</v>
      </c>
      <c r="U1830" s="62"/>
      <c r="V1830" s="63"/>
      <c r="W1830" s="63"/>
      <c r="X1830" s="35" t="str">
        <f t="shared" si="303"/>
        <v>#N/A</v>
      </c>
      <c r="Y1830" s="35" t="str">
        <f t="shared" si="304"/>
        <v>#N/A</v>
      </c>
      <c r="Z1830" s="40" t="str">
        <f t="shared" si="305"/>
        <v>#N/A</v>
      </c>
      <c r="AA1830" s="34" t="str">
        <f t="shared" si="306"/>
        <v>#N/A</v>
      </c>
      <c r="AB1830" s="41" t="str">
        <f t="shared" si="307"/>
        <v>#N/A</v>
      </c>
      <c r="AC1830" s="42" t="b">
        <v>0</v>
      </c>
      <c r="AD1830" s="66" t="str">
        <f t="shared" si="308"/>
        <v>USD</v>
      </c>
      <c r="AE1830" s="42"/>
      <c r="AF1830" s="42" t="str">
        <f t="array" ref="AF1830">INDEX('Deal Info'!D:D, MATCH(A1830,'Deal Info'!A:A, 0))</f>
        <v>#N/A</v>
      </c>
      <c r="AG1830" s="43" t="str">
        <f t="array" ref="AG1830">INDEX('Deal Info'!G:G, MATCH(A1830,'Deal Info'!A:A, 0))</f>
        <v>#N/A</v>
      </c>
    </row>
    <row r="1831" hidden="1">
      <c r="A1831" s="23" t="b">
        <f t="array" ref="A1831">if(G1831='Room Info'!$B$1, INDEX('Room Info'!$A$2:$A3446, MATCH(B1831,'Room Info'!$B$2:$B3446, 0)),if(G1831='Room Info'!$C$1, INDEX('Room Info'!$A$2:$A3446, MATCH(B1831,'Room Info'!$C$2:$C3446, 0)),if(G1831='Room Info'!$D$1, INDEX('Room Info'!$A$2:$A3446, MATCH(B1831,'Room Info'!$D$2:$D3446, 0)),if(G1831='Room Info'!$E$1, INDEX('Room Info'!$A$2:$A3446, MATCH(B1831,'Room Info'!$E$2:$E3446, 0)),if(G1831='Room Info'!$F$1, INDEX('Room Info'!$A$2:$A3446, MATCH(B1831,'Room Info'!$F$2:$F3446, 0)),if(G1831='Room Info'!$H$1, INDEX('Room Info'!$A$2:$A3446, MATCH(B1831,'Room Info'!$H$2:$H3446, 0)),if(G1831='Room Info'!$G$1, INDEX('Room Info'!$A$2:$A3446, MATCH(B1831,'Room Info'!$G$2:$G3446, 0)))))))))</f>
        <v>0</v>
      </c>
      <c r="B1831" s="101"/>
      <c r="C1831" s="141"/>
      <c r="D1831" s="141"/>
      <c r="E1831" s="142"/>
      <c r="F1831" s="138"/>
      <c r="G1831" s="101"/>
      <c r="H1831" s="105"/>
      <c r="I1831" s="105"/>
      <c r="J1831" s="44" t="str">
        <f t="shared" si="311"/>
        <v/>
      </c>
      <c r="K1831" s="139"/>
      <c r="L1831" s="140"/>
      <c r="M1831" s="84"/>
      <c r="N1831" s="33">
        <f t="shared" si="276"/>
        <v>0</v>
      </c>
      <c r="O1831" s="101"/>
      <c r="P1831" s="34" t="str">
        <f t="shared" si="277"/>
        <v/>
      </c>
      <c r="Q1831" s="60"/>
      <c r="R1831" s="36">
        <f t="shared" si="312"/>
        <v>0</v>
      </c>
      <c r="S1831" s="102"/>
      <c r="T1831" s="37">
        <f t="shared" si="302"/>
        <v>0</v>
      </c>
      <c r="U1831" s="62"/>
      <c r="V1831" s="63"/>
      <c r="W1831" s="63"/>
      <c r="X1831" s="35" t="str">
        <f t="shared" si="303"/>
        <v>#N/A</v>
      </c>
      <c r="Y1831" s="35" t="str">
        <f t="shared" si="304"/>
        <v>#N/A</v>
      </c>
      <c r="Z1831" s="40" t="str">
        <f t="shared" si="305"/>
        <v>#N/A</v>
      </c>
      <c r="AA1831" s="34" t="str">
        <f t="shared" si="306"/>
        <v>#N/A</v>
      </c>
      <c r="AB1831" s="41" t="str">
        <f t="shared" si="307"/>
        <v>#N/A</v>
      </c>
      <c r="AC1831" s="42" t="b">
        <v>0</v>
      </c>
      <c r="AD1831" s="66" t="str">
        <f t="shared" si="308"/>
        <v>USD</v>
      </c>
      <c r="AE1831" s="42"/>
      <c r="AF1831" s="42" t="str">
        <f t="array" ref="AF1831">INDEX('Deal Info'!D:D, MATCH(A1831,'Deal Info'!A:A, 0))</f>
        <v>#N/A</v>
      </c>
      <c r="AG1831" s="43" t="str">
        <f t="array" ref="AG1831">INDEX('Deal Info'!G:G, MATCH(A1831,'Deal Info'!A:A, 0))</f>
        <v>#N/A</v>
      </c>
    </row>
    <row r="1832" hidden="1">
      <c r="A1832" s="23" t="b">
        <f t="array" ref="A1832">if(G1832='Room Info'!$B$1, INDEX('Room Info'!$A$2:$A3446, MATCH(B1832,'Room Info'!$B$2:$B3446, 0)),if(G1832='Room Info'!$C$1, INDEX('Room Info'!$A$2:$A3446, MATCH(B1832,'Room Info'!$C$2:$C3446, 0)),if(G1832='Room Info'!$D$1, INDEX('Room Info'!$A$2:$A3446, MATCH(B1832,'Room Info'!$D$2:$D3446, 0)),if(G1832='Room Info'!$E$1, INDEX('Room Info'!$A$2:$A3446, MATCH(B1832,'Room Info'!$E$2:$E3446, 0)),if(G1832='Room Info'!$F$1, INDEX('Room Info'!$A$2:$A3446, MATCH(B1832,'Room Info'!$F$2:$F3446, 0)),if(G1832='Room Info'!$H$1, INDEX('Room Info'!$A$2:$A3446, MATCH(B1832,'Room Info'!$H$2:$H3446, 0)),if(G1832='Room Info'!$G$1, INDEX('Room Info'!$A$2:$A3446, MATCH(B1832,'Room Info'!$G$2:$G3446, 0)))))))))</f>
        <v>0</v>
      </c>
      <c r="B1832" s="101"/>
      <c r="C1832" s="141"/>
      <c r="D1832" s="141"/>
      <c r="E1832" s="142"/>
      <c r="F1832" s="138"/>
      <c r="G1832" s="101"/>
      <c r="H1832" s="105"/>
      <c r="I1832" s="105"/>
      <c r="J1832" s="44" t="str">
        <f t="shared" si="311"/>
        <v/>
      </c>
      <c r="K1832" s="116"/>
      <c r="L1832" s="117"/>
      <c r="M1832" s="67"/>
      <c r="N1832" s="33">
        <f t="shared" si="276"/>
        <v>0</v>
      </c>
      <c r="O1832" s="70"/>
      <c r="P1832" s="34" t="str">
        <f t="shared" si="277"/>
        <v/>
      </c>
      <c r="Q1832" s="60"/>
      <c r="R1832" s="36">
        <f t="shared" si="312"/>
        <v>0</v>
      </c>
      <c r="S1832" s="71"/>
      <c r="T1832" s="37">
        <f t="shared" si="302"/>
        <v>0</v>
      </c>
      <c r="U1832" s="62"/>
      <c r="V1832" s="63"/>
      <c r="W1832" s="63"/>
      <c r="X1832" s="35" t="str">
        <f t="shared" si="303"/>
        <v>#N/A</v>
      </c>
      <c r="Y1832" s="35" t="str">
        <f t="shared" si="304"/>
        <v>#N/A</v>
      </c>
      <c r="Z1832" s="40" t="str">
        <f t="shared" si="305"/>
        <v>#N/A</v>
      </c>
      <c r="AA1832" s="34" t="str">
        <f t="shared" si="306"/>
        <v>#N/A</v>
      </c>
      <c r="AB1832" s="41" t="str">
        <f t="shared" si="307"/>
        <v>#N/A</v>
      </c>
      <c r="AC1832" s="42" t="b">
        <v>0</v>
      </c>
      <c r="AD1832" s="66" t="str">
        <f t="shared" si="308"/>
        <v>USD</v>
      </c>
      <c r="AE1832" s="42"/>
      <c r="AF1832" s="42" t="str">
        <f t="array" ref="AF1832">INDEX('Deal Info'!D:D, MATCH(A1832,'Deal Info'!A:A, 0))</f>
        <v>#N/A</v>
      </c>
      <c r="AG1832" s="43" t="str">
        <f t="array" ref="AG1832">INDEX('Deal Info'!G:G, MATCH(A1832,'Deal Info'!A:A, 0))</f>
        <v>#N/A</v>
      </c>
    </row>
    <row r="1833" hidden="1">
      <c r="A1833" s="23" t="b">
        <f t="array" ref="A1833">if(G1833='Room Info'!$B$1, INDEX('Room Info'!$A$2:$A3446, MATCH(B1833,'Room Info'!$B$2:$B3446, 0)),if(G1833='Room Info'!$C$1, INDEX('Room Info'!$A$2:$A3446, MATCH(B1833,'Room Info'!$C$2:$C3446, 0)),if(G1833='Room Info'!$D$1, INDEX('Room Info'!$A$2:$A3446, MATCH(B1833,'Room Info'!$D$2:$D3446, 0)),if(G1833='Room Info'!$E$1, INDEX('Room Info'!$A$2:$A3446, MATCH(B1833,'Room Info'!$E$2:$E3446, 0)),if(G1833='Room Info'!$F$1, INDEX('Room Info'!$A$2:$A3446, MATCH(B1833,'Room Info'!$F$2:$F3446, 0)),if(G1833='Room Info'!$H$1, INDEX('Room Info'!$A$2:$A3446, MATCH(B1833,'Room Info'!$H$2:$H3446, 0)),if(G1833='Room Info'!$G$1, INDEX('Room Info'!$A$2:$A3446, MATCH(B1833,'Room Info'!$G$2:$G3446, 0)))))))))</f>
        <v>0</v>
      </c>
      <c r="B1833" s="101"/>
      <c r="C1833" s="115"/>
      <c r="D1833" s="115"/>
      <c r="E1833" s="85"/>
      <c r="F1833" s="101"/>
      <c r="G1833" s="70"/>
      <c r="H1833" s="114"/>
      <c r="I1833" s="114"/>
      <c r="J1833" s="44" t="str">
        <f t="shared" si="311"/>
        <v/>
      </c>
      <c r="K1833" s="116"/>
      <c r="L1833" s="117"/>
      <c r="M1833" s="67"/>
      <c r="N1833" s="33">
        <f t="shared" si="276"/>
        <v>0</v>
      </c>
      <c r="O1833" s="70"/>
      <c r="P1833" s="34" t="str">
        <f t="shared" si="277"/>
        <v/>
      </c>
      <c r="Q1833" s="60"/>
      <c r="R1833" s="36">
        <f t="shared" si="312"/>
        <v>0</v>
      </c>
      <c r="S1833" s="71"/>
      <c r="T1833" s="37">
        <f t="shared" si="302"/>
        <v>0</v>
      </c>
      <c r="U1833" s="62"/>
      <c r="V1833" s="63"/>
      <c r="W1833" s="63"/>
      <c r="X1833" s="35" t="str">
        <f t="shared" si="303"/>
        <v>#N/A</v>
      </c>
      <c r="Y1833" s="35" t="str">
        <f t="shared" si="304"/>
        <v>#N/A</v>
      </c>
      <c r="Z1833" s="40" t="str">
        <f t="shared" si="305"/>
        <v>#N/A</v>
      </c>
      <c r="AA1833" s="34" t="str">
        <f t="shared" si="306"/>
        <v>#N/A</v>
      </c>
      <c r="AB1833" s="41" t="str">
        <f t="shared" si="307"/>
        <v>#N/A</v>
      </c>
      <c r="AC1833" s="42" t="b">
        <v>0</v>
      </c>
      <c r="AD1833" s="66" t="str">
        <f t="shared" si="308"/>
        <v>USD</v>
      </c>
      <c r="AE1833" s="42"/>
      <c r="AF1833" s="42" t="str">
        <f t="array" ref="AF1833">INDEX('Deal Info'!D:D, MATCH(A1833,'Deal Info'!A:A, 0))</f>
        <v>#N/A</v>
      </c>
      <c r="AG1833" s="43" t="str">
        <f t="array" ref="AG1833">INDEX('Deal Info'!G:G, MATCH(A1833,'Deal Info'!A:A, 0))</f>
        <v>#N/A</v>
      </c>
    </row>
    <row r="1834" hidden="1">
      <c r="A1834" s="23" t="b">
        <f t="array" ref="A1834">if(G1834='Room Info'!$B$1, INDEX('Room Info'!$A$2:$A3446, MATCH(B1834,'Room Info'!$B$2:$B3446, 0)),if(G1834='Room Info'!$C$1, INDEX('Room Info'!$A$2:$A3446, MATCH(B1834,'Room Info'!$C$2:$C3446, 0)),if(G1834='Room Info'!$D$1, INDEX('Room Info'!$A$2:$A3446, MATCH(B1834,'Room Info'!$D$2:$D3446, 0)),if(G1834='Room Info'!$E$1, INDEX('Room Info'!$A$2:$A3446, MATCH(B1834,'Room Info'!$E$2:$E3446, 0)),if(G1834='Room Info'!$F$1, INDEX('Room Info'!$A$2:$A3446, MATCH(B1834,'Room Info'!$F$2:$F3446, 0)),if(G1834='Room Info'!$H$1, INDEX('Room Info'!$A$2:$A3446, MATCH(B1834,'Room Info'!$H$2:$H3446, 0)),if(G1834='Room Info'!$G$1, INDEX('Room Info'!$A$2:$A3446, MATCH(B1834,'Room Info'!$G$2:$G3446, 0)))))))))</f>
        <v>0</v>
      </c>
      <c r="B1834" s="101"/>
      <c r="C1834" s="141"/>
      <c r="D1834" s="141"/>
      <c r="E1834" s="142"/>
      <c r="F1834" s="138"/>
      <c r="G1834" s="101"/>
      <c r="H1834" s="105"/>
      <c r="I1834" s="105"/>
      <c r="J1834" s="44" t="str">
        <f t="shared" si="311"/>
        <v/>
      </c>
      <c r="K1834" s="139"/>
      <c r="L1834" s="140"/>
      <c r="M1834" s="84"/>
      <c r="N1834" s="33">
        <f t="shared" si="276"/>
        <v>0</v>
      </c>
      <c r="O1834" s="101"/>
      <c r="P1834" s="34" t="str">
        <f t="shared" si="277"/>
        <v/>
      </c>
      <c r="Q1834" s="60"/>
      <c r="R1834" s="36">
        <f t="shared" si="312"/>
        <v>0</v>
      </c>
      <c r="S1834" s="102"/>
      <c r="T1834" s="37">
        <f t="shared" si="302"/>
        <v>0</v>
      </c>
      <c r="U1834" s="62"/>
      <c r="V1834" s="63"/>
      <c r="W1834" s="63"/>
      <c r="X1834" s="35" t="str">
        <f t="shared" si="303"/>
        <v>#N/A</v>
      </c>
      <c r="Y1834" s="35" t="str">
        <f t="shared" si="304"/>
        <v>#N/A</v>
      </c>
      <c r="Z1834" s="40" t="str">
        <f t="shared" si="305"/>
        <v>#N/A</v>
      </c>
      <c r="AA1834" s="34" t="str">
        <f t="shared" si="306"/>
        <v>#N/A</v>
      </c>
      <c r="AB1834" s="41" t="str">
        <f t="shared" si="307"/>
        <v>#N/A</v>
      </c>
      <c r="AC1834" s="42" t="b">
        <v>0</v>
      </c>
      <c r="AD1834" s="66" t="str">
        <f t="shared" si="308"/>
        <v>USD</v>
      </c>
      <c r="AE1834" s="42"/>
      <c r="AF1834" s="42" t="str">
        <f t="array" ref="AF1834">INDEX('Deal Info'!D:D, MATCH(A1834,'Deal Info'!A:A, 0))</f>
        <v>#N/A</v>
      </c>
      <c r="AG1834" s="43" t="str">
        <f t="array" ref="AG1834">INDEX('Deal Info'!G:G, MATCH(A1834,'Deal Info'!A:A, 0))</f>
        <v>#N/A</v>
      </c>
    </row>
    <row r="1835" hidden="1">
      <c r="A1835" s="23" t="b">
        <f t="array" ref="A1835">if(G1835='Room Info'!$B$1, INDEX('Room Info'!$A$2:$A3446, MATCH(B1835,'Room Info'!$B$2:$B3446, 0)),if(G1835='Room Info'!$C$1, INDEX('Room Info'!$A$2:$A3446, MATCH(B1835,'Room Info'!$C$2:$C3446, 0)),if(G1835='Room Info'!$D$1, INDEX('Room Info'!$A$2:$A3446, MATCH(B1835,'Room Info'!$D$2:$D3446, 0)),if(G1835='Room Info'!$E$1, INDEX('Room Info'!$A$2:$A3446, MATCH(B1835,'Room Info'!$E$2:$E3446, 0)),if(G1835='Room Info'!$F$1, INDEX('Room Info'!$A$2:$A3446, MATCH(B1835,'Room Info'!$F$2:$F3446, 0)),if(G1835='Room Info'!$H$1, INDEX('Room Info'!$A$2:$A3446, MATCH(B1835,'Room Info'!$H$2:$H3446, 0)),if(G1835='Room Info'!$G$1, INDEX('Room Info'!$A$2:$A3446, MATCH(B1835,'Room Info'!$G$2:$G3446, 0)))))))))</f>
        <v>0</v>
      </c>
      <c r="B1835" s="101"/>
      <c r="C1835" s="115"/>
      <c r="D1835" s="115"/>
      <c r="E1835" s="85"/>
      <c r="F1835" s="138"/>
      <c r="G1835" s="70"/>
      <c r="H1835" s="114"/>
      <c r="I1835" s="114"/>
      <c r="J1835" s="44" t="str">
        <f t="shared" si="311"/>
        <v/>
      </c>
      <c r="K1835" s="116"/>
      <c r="L1835" s="117"/>
      <c r="M1835" s="67"/>
      <c r="N1835" s="33">
        <f t="shared" si="276"/>
        <v>0</v>
      </c>
      <c r="O1835" s="70"/>
      <c r="P1835" s="34" t="str">
        <f t="shared" si="277"/>
        <v/>
      </c>
      <c r="Q1835" s="60"/>
      <c r="R1835" s="36">
        <f t="shared" si="312"/>
        <v>0</v>
      </c>
      <c r="S1835" s="71"/>
      <c r="T1835" s="37">
        <f t="shared" si="302"/>
        <v>0</v>
      </c>
      <c r="U1835" s="62"/>
      <c r="V1835" s="63"/>
      <c r="W1835" s="63"/>
      <c r="X1835" s="35" t="str">
        <f t="shared" si="303"/>
        <v>#N/A</v>
      </c>
      <c r="Y1835" s="35" t="str">
        <f t="shared" si="304"/>
        <v>#N/A</v>
      </c>
      <c r="Z1835" s="40" t="str">
        <f t="shared" si="305"/>
        <v>#N/A</v>
      </c>
      <c r="AA1835" s="34" t="str">
        <f t="shared" si="306"/>
        <v>#N/A</v>
      </c>
      <c r="AB1835" s="41" t="str">
        <f t="shared" si="307"/>
        <v>#N/A</v>
      </c>
      <c r="AC1835" s="42" t="b">
        <v>0</v>
      </c>
      <c r="AD1835" s="66" t="str">
        <f t="shared" si="308"/>
        <v>USD</v>
      </c>
      <c r="AE1835" s="42"/>
      <c r="AF1835" s="42" t="str">
        <f t="array" ref="AF1835">INDEX('Deal Info'!D:D, MATCH(A1835,'Deal Info'!A:A, 0))</f>
        <v>#N/A</v>
      </c>
      <c r="AG1835" s="43" t="str">
        <f t="array" ref="AG1835">INDEX('Deal Info'!G:G, MATCH(A1835,'Deal Info'!A:A, 0))</f>
        <v>#N/A</v>
      </c>
    </row>
    <row r="1836" hidden="1">
      <c r="A1836" s="23" t="b">
        <f t="array" ref="A1836">if(G1836='Room Info'!$B$1, INDEX('Room Info'!$A$2:$A3446, MATCH(B1836,'Room Info'!$B$2:$B3446, 0)),if(G1836='Room Info'!$C$1, INDEX('Room Info'!$A$2:$A3446, MATCH(B1836,'Room Info'!$C$2:$C3446, 0)),if(G1836='Room Info'!$D$1, INDEX('Room Info'!$A$2:$A3446, MATCH(B1836,'Room Info'!$D$2:$D3446, 0)),if(G1836='Room Info'!$E$1, INDEX('Room Info'!$A$2:$A3446, MATCH(B1836,'Room Info'!$E$2:$E3446, 0)),if(G1836='Room Info'!$F$1, INDEX('Room Info'!$A$2:$A3446, MATCH(B1836,'Room Info'!$F$2:$F3446, 0)),if(G1836='Room Info'!$H$1, INDEX('Room Info'!$A$2:$A3446, MATCH(B1836,'Room Info'!$H$2:$H3446, 0)),if(G1836='Room Info'!$G$1, INDEX('Room Info'!$A$2:$A3446, MATCH(B1836,'Room Info'!$G$2:$G3446, 0)))))))))</f>
        <v>0</v>
      </c>
      <c r="B1836" s="101"/>
      <c r="C1836" s="115"/>
      <c r="D1836" s="115"/>
      <c r="E1836" s="85"/>
      <c r="F1836" s="138"/>
      <c r="G1836" s="70"/>
      <c r="H1836" s="114"/>
      <c r="I1836" s="114"/>
      <c r="J1836" s="44" t="str">
        <f t="shared" si="311"/>
        <v/>
      </c>
      <c r="K1836" s="116"/>
      <c r="L1836" s="117"/>
      <c r="M1836" s="67"/>
      <c r="N1836" s="33">
        <f t="shared" si="276"/>
        <v>0</v>
      </c>
      <c r="O1836" s="70"/>
      <c r="P1836" s="34" t="str">
        <f t="shared" si="277"/>
        <v/>
      </c>
      <c r="Q1836" s="60"/>
      <c r="R1836" s="36">
        <f t="shared" si="312"/>
        <v>0</v>
      </c>
      <c r="S1836" s="71"/>
      <c r="T1836" s="37">
        <f t="shared" si="302"/>
        <v>0</v>
      </c>
      <c r="U1836" s="62"/>
      <c r="V1836" s="63"/>
      <c r="W1836" s="63"/>
      <c r="X1836" s="35" t="str">
        <f t="shared" si="303"/>
        <v>#N/A</v>
      </c>
      <c r="Y1836" s="35" t="str">
        <f t="shared" si="304"/>
        <v>#N/A</v>
      </c>
      <c r="Z1836" s="40" t="str">
        <f t="shared" si="305"/>
        <v>#N/A</v>
      </c>
      <c r="AA1836" s="34" t="str">
        <f t="shared" si="306"/>
        <v>#N/A</v>
      </c>
      <c r="AB1836" s="41" t="str">
        <f t="shared" si="307"/>
        <v>#N/A</v>
      </c>
      <c r="AC1836" s="42" t="b">
        <v>0</v>
      </c>
      <c r="AD1836" s="66" t="str">
        <f t="shared" si="308"/>
        <v>USD</v>
      </c>
      <c r="AE1836" s="42"/>
      <c r="AF1836" s="42" t="str">
        <f t="array" ref="AF1836">INDEX('Deal Info'!D:D, MATCH(A1836,'Deal Info'!A:A, 0))</f>
        <v>#N/A</v>
      </c>
      <c r="AG1836" s="43" t="str">
        <f t="array" ref="AG1836">INDEX('Deal Info'!G:G, MATCH(A1836,'Deal Info'!A:A, 0))</f>
        <v>#N/A</v>
      </c>
    </row>
    <row r="1837" hidden="1">
      <c r="A1837" s="23" t="b">
        <f t="array" ref="A1837">if(G1837='Room Info'!$B$1, INDEX('Room Info'!$A$2:$A3446, MATCH(B1837,'Room Info'!$B$2:$B3446, 0)),if(G1837='Room Info'!$C$1, INDEX('Room Info'!$A$2:$A3446, MATCH(B1837,'Room Info'!$C$2:$C3446, 0)),if(G1837='Room Info'!$D$1, INDEX('Room Info'!$A$2:$A3446, MATCH(B1837,'Room Info'!$D$2:$D3446, 0)),if(G1837='Room Info'!$E$1, INDEX('Room Info'!$A$2:$A3446, MATCH(B1837,'Room Info'!$E$2:$E3446, 0)),if(G1837='Room Info'!$F$1, INDEX('Room Info'!$A$2:$A3446, MATCH(B1837,'Room Info'!$F$2:$F3446, 0)),if(G1837='Room Info'!$H$1, INDEX('Room Info'!$A$2:$A3446, MATCH(B1837,'Room Info'!$H$2:$H3446, 0)),if(G1837='Room Info'!$G$1, INDEX('Room Info'!$A$2:$A3446, MATCH(B1837,'Room Info'!$G$2:$G3446, 0)))))))))</f>
        <v>0</v>
      </c>
      <c r="B1837" s="101"/>
      <c r="C1837" s="115"/>
      <c r="D1837" s="115"/>
      <c r="E1837" s="85"/>
      <c r="F1837" s="138"/>
      <c r="G1837" s="70"/>
      <c r="H1837" s="114"/>
      <c r="I1837" s="114"/>
      <c r="J1837" s="44" t="str">
        <f t="shared" si="311"/>
        <v/>
      </c>
      <c r="K1837" s="116"/>
      <c r="L1837" s="117"/>
      <c r="M1837" s="67"/>
      <c r="N1837" s="33">
        <f t="shared" si="276"/>
        <v>0</v>
      </c>
      <c r="O1837" s="70"/>
      <c r="P1837" s="34" t="str">
        <f t="shared" si="277"/>
        <v/>
      </c>
      <c r="Q1837" s="60"/>
      <c r="R1837" s="36">
        <f t="shared" si="312"/>
        <v>0</v>
      </c>
      <c r="S1837" s="71"/>
      <c r="T1837" s="37">
        <f t="shared" si="302"/>
        <v>0</v>
      </c>
      <c r="U1837" s="62"/>
      <c r="V1837" s="63"/>
      <c r="W1837" s="63"/>
      <c r="X1837" s="35" t="str">
        <f t="shared" si="303"/>
        <v>#N/A</v>
      </c>
      <c r="Y1837" s="35" t="str">
        <f t="shared" si="304"/>
        <v>#N/A</v>
      </c>
      <c r="Z1837" s="40" t="str">
        <f t="shared" si="305"/>
        <v>#N/A</v>
      </c>
      <c r="AA1837" s="34" t="str">
        <f t="shared" si="306"/>
        <v>#N/A</v>
      </c>
      <c r="AB1837" s="41" t="str">
        <f t="shared" si="307"/>
        <v>#N/A</v>
      </c>
      <c r="AC1837" s="42" t="b">
        <v>0</v>
      </c>
      <c r="AD1837" s="66" t="str">
        <f t="shared" si="308"/>
        <v>USD</v>
      </c>
      <c r="AE1837" s="42"/>
      <c r="AF1837" s="42" t="str">
        <f t="array" ref="AF1837">INDEX('Deal Info'!D:D, MATCH(A1837,'Deal Info'!A:A, 0))</f>
        <v>#N/A</v>
      </c>
      <c r="AG1837" s="43" t="str">
        <f t="array" ref="AG1837">INDEX('Deal Info'!G:G, MATCH(A1837,'Deal Info'!A:A, 0))</f>
        <v>#N/A</v>
      </c>
    </row>
    <row r="1838" hidden="1">
      <c r="A1838" s="23" t="b">
        <f t="array" ref="A1838">if(G1838='Room Info'!$B$1, INDEX('Room Info'!$A$2:$A3446, MATCH(B1838,'Room Info'!$B$2:$B3446, 0)),if(G1838='Room Info'!$C$1, INDEX('Room Info'!$A$2:$A3446, MATCH(B1838,'Room Info'!$C$2:$C3446, 0)),if(G1838='Room Info'!$D$1, INDEX('Room Info'!$A$2:$A3446, MATCH(B1838,'Room Info'!$D$2:$D3446, 0)),if(G1838='Room Info'!$E$1, INDEX('Room Info'!$A$2:$A3446, MATCH(B1838,'Room Info'!$E$2:$E3446, 0)),if(G1838='Room Info'!$F$1, INDEX('Room Info'!$A$2:$A3446, MATCH(B1838,'Room Info'!$F$2:$F3446, 0)),if(G1838='Room Info'!$H$1, INDEX('Room Info'!$A$2:$A3446, MATCH(B1838,'Room Info'!$H$2:$H3446, 0)),if(G1838='Room Info'!$G$1, INDEX('Room Info'!$A$2:$A3446, MATCH(B1838,'Room Info'!$G$2:$G3446, 0)))))))))</f>
        <v>0</v>
      </c>
      <c r="B1838" s="101"/>
      <c r="C1838" s="141"/>
      <c r="D1838" s="141"/>
      <c r="E1838" s="142"/>
      <c r="F1838" s="138"/>
      <c r="G1838" s="101"/>
      <c r="H1838" s="114"/>
      <c r="I1838" s="114"/>
      <c r="J1838" s="44" t="str">
        <f t="shared" si="311"/>
        <v/>
      </c>
      <c r="K1838" s="139"/>
      <c r="L1838" s="140"/>
      <c r="M1838" s="84"/>
      <c r="N1838" s="33">
        <f t="shared" si="276"/>
        <v>0</v>
      </c>
      <c r="O1838" s="101"/>
      <c r="P1838" s="34" t="str">
        <f t="shared" si="277"/>
        <v/>
      </c>
      <c r="Q1838" s="60"/>
      <c r="R1838" s="36">
        <f t="shared" si="312"/>
        <v>0</v>
      </c>
      <c r="S1838" s="102"/>
      <c r="T1838" s="37">
        <f t="shared" si="302"/>
        <v>0</v>
      </c>
      <c r="U1838" s="62"/>
      <c r="V1838" s="63"/>
      <c r="W1838" s="63"/>
      <c r="X1838" s="35" t="str">
        <f t="shared" si="303"/>
        <v>#N/A</v>
      </c>
      <c r="Y1838" s="35" t="str">
        <f t="shared" si="304"/>
        <v>#N/A</v>
      </c>
      <c r="Z1838" s="40" t="str">
        <f t="shared" si="305"/>
        <v>#N/A</v>
      </c>
      <c r="AA1838" s="34" t="str">
        <f t="shared" si="306"/>
        <v>#N/A</v>
      </c>
      <c r="AB1838" s="41" t="str">
        <f t="shared" si="307"/>
        <v>#N/A</v>
      </c>
      <c r="AC1838" s="42" t="b">
        <v>0</v>
      </c>
      <c r="AD1838" s="66" t="str">
        <f t="shared" si="308"/>
        <v>USD</v>
      </c>
      <c r="AE1838" s="42"/>
      <c r="AF1838" s="42" t="str">
        <f t="array" ref="AF1838">INDEX('Deal Info'!D:D, MATCH(A1838,'Deal Info'!A:A, 0))</f>
        <v>#N/A</v>
      </c>
      <c r="AG1838" s="43" t="str">
        <f t="array" ref="AG1838">INDEX('Deal Info'!G:G, MATCH(A1838,'Deal Info'!A:A, 0))</f>
        <v>#N/A</v>
      </c>
    </row>
    <row r="1839" hidden="1">
      <c r="A1839" s="23" t="b">
        <f t="array" ref="A1839">if(G1839='Room Info'!$B$1, INDEX('Room Info'!$A$2:$A3446, MATCH(B1839,'Room Info'!$B$2:$B3446, 0)),if(G1839='Room Info'!$C$1, INDEX('Room Info'!$A$2:$A3446, MATCH(B1839,'Room Info'!$C$2:$C3446, 0)),if(G1839='Room Info'!$D$1, INDEX('Room Info'!$A$2:$A3446, MATCH(B1839,'Room Info'!$D$2:$D3446, 0)),if(G1839='Room Info'!$E$1, INDEX('Room Info'!$A$2:$A3446, MATCH(B1839,'Room Info'!$E$2:$E3446, 0)),if(G1839='Room Info'!$F$1, INDEX('Room Info'!$A$2:$A3446, MATCH(B1839,'Room Info'!$F$2:$F3446, 0)),if(G1839='Room Info'!$H$1, INDEX('Room Info'!$A$2:$A3446, MATCH(B1839,'Room Info'!$H$2:$H3446, 0)),if(G1839='Room Info'!$G$1, INDEX('Room Info'!$A$2:$A3446, MATCH(B1839,'Room Info'!$G$2:$G3446, 0)))))))))</f>
        <v>0</v>
      </c>
      <c r="B1839" s="101"/>
      <c r="C1839" s="141"/>
      <c r="D1839" s="141"/>
      <c r="E1839" s="142"/>
      <c r="F1839" s="138"/>
      <c r="G1839" s="101"/>
      <c r="H1839" s="114"/>
      <c r="I1839" s="114"/>
      <c r="J1839" s="44" t="str">
        <f t="shared" si="311"/>
        <v/>
      </c>
      <c r="K1839" s="139"/>
      <c r="L1839" s="140"/>
      <c r="M1839" s="84"/>
      <c r="N1839" s="33">
        <f t="shared" si="276"/>
        <v>0</v>
      </c>
      <c r="O1839" s="101"/>
      <c r="P1839" s="34" t="str">
        <f t="shared" si="277"/>
        <v/>
      </c>
      <c r="Q1839" s="60"/>
      <c r="R1839" s="36">
        <f t="shared" si="312"/>
        <v>0</v>
      </c>
      <c r="S1839" s="102"/>
      <c r="T1839" s="37">
        <f t="shared" si="302"/>
        <v>0</v>
      </c>
      <c r="U1839" s="62"/>
      <c r="V1839" s="63"/>
      <c r="W1839" s="63"/>
      <c r="X1839" s="35" t="str">
        <f t="shared" si="303"/>
        <v>#N/A</v>
      </c>
      <c r="Y1839" s="35" t="str">
        <f t="shared" si="304"/>
        <v>#N/A</v>
      </c>
      <c r="Z1839" s="40" t="str">
        <f t="shared" si="305"/>
        <v>#N/A</v>
      </c>
      <c r="AA1839" s="34" t="str">
        <f t="shared" si="306"/>
        <v>#N/A</v>
      </c>
      <c r="AB1839" s="41" t="str">
        <f t="shared" si="307"/>
        <v>#N/A</v>
      </c>
      <c r="AC1839" s="42" t="b">
        <v>0</v>
      </c>
      <c r="AD1839" s="66" t="str">
        <f t="shared" si="308"/>
        <v>USD</v>
      </c>
      <c r="AE1839" s="42"/>
      <c r="AF1839" s="42" t="str">
        <f t="array" ref="AF1839">INDEX('Deal Info'!D:D, MATCH(A1839,'Deal Info'!A:A, 0))</f>
        <v>#N/A</v>
      </c>
      <c r="AG1839" s="43" t="str">
        <f t="array" ref="AG1839">INDEX('Deal Info'!G:G, MATCH(A1839,'Deal Info'!A:A, 0))</f>
        <v>#N/A</v>
      </c>
    </row>
    <row r="1840" hidden="1">
      <c r="A1840" s="23" t="b">
        <f t="array" ref="A1840">if(G1840='Room Info'!$B$1, INDEX('Room Info'!$A$2:$A3446, MATCH(B1840,'Room Info'!$B$2:$B3446, 0)),if(G1840='Room Info'!$C$1, INDEX('Room Info'!$A$2:$A3446, MATCH(B1840,'Room Info'!$C$2:$C3446, 0)),if(G1840='Room Info'!$D$1, INDEX('Room Info'!$A$2:$A3446, MATCH(B1840,'Room Info'!$D$2:$D3446, 0)),if(G1840='Room Info'!$E$1, INDEX('Room Info'!$A$2:$A3446, MATCH(B1840,'Room Info'!$E$2:$E3446, 0)),if(G1840='Room Info'!$F$1, INDEX('Room Info'!$A$2:$A3446, MATCH(B1840,'Room Info'!$F$2:$F3446, 0)),if(G1840='Room Info'!$H$1, INDEX('Room Info'!$A$2:$A3446, MATCH(B1840,'Room Info'!$H$2:$H3446, 0)),if(G1840='Room Info'!$G$1, INDEX('Room Info'!$A$2:$A3446, MATCH(B1840,'Room Info'!$G$2:$G3446, 0)))))))))</f>
        <v>0</v>
      </c>
      <c r="B1840" s="101"/>
      <c r="C1840" s="115"/>
      <c r="D1840" s="115"/>
      <c r="E1840" s="85"/>
      <c r="F1840" s="101"/>
      <c r="G1840" s="101"/>
      <c r="H1840" s="114"/>
      <c r="I1840" s="114"/>
      <c r="J1840" s="44" t="str">
        <f t="shared" si="311"/>
        <v/>
      </c>
      <c r="K1840" s="116"/>
      <c r="L1840" s="117"/>
      <c r="M1840" s="67"/>
      <c r="N1840" s="33">
        <f t="shared" si="276"/>
        <v>0</v>
      </c>
      <c r="O1840" s="70"/>
      <c r="P1840" s="34" t="str">
        <f t="shared" si="277"/>
        <v/>
      </c>
      <c r="Q1840" s="60"/>
      <c r="R1840" s="36">
        <f t="shared" si="312"/>
        <v>0</v>
      </c>
      <c r="S1840" s="71"/>
      <c r="T1840" s="37">
        <f t="shared" si="302"/>
        <v>0</v>
      </c>
      <c r="U1840" s="62"/>
      <c r="V1840" s="63"/>
      <c r="W1840" s="63"/>
      <c r="X1840" s="35" t="str">
        <f t="shared" si="303"/>
        <v>#N/A</v>
      </c>
      <c r="Y1840" s="35" t="str">
        <f t="shared" si="304"/>
        <v>#N/A</v>
      </c>
      <c r="Z1840" s="40" t="str">
        <f t="shared" si="305"/>
        <v>#N/A</v>
      </c>
      <c r="AA1840" s="34" t="str">
        <f t="shared" si="306"/>
        <v>#N/A</v>
      </c>
      <c r="AB1840" s="41" t="str">
        <f t="shared" si="307"/>
        <v>#N/A</v>
      </c>
      <c r="AC1840" s="42" t="b">
        <v>0</v>
      </c>
      <c r="AD1840" s="66" t="str">
        <f t="shared" si="308"/>
        <v>USD</v>
      </c>
      <c r="AE1840" s="42"/>
      <c r="AF1840" s="42" t="str">
        <f t="array" ref="AF1840">INDEX('Deal Info'!D:D, MATCH(A1840,'Deal Info'!A:A, 0))</f>
        <v>#N/A</v>
      </c>
      <c r="AG1840" s="43" t="str">
        <f t="array" ref="AG1840">INDEX('Deal Info'!G:G, MATCH(A1840,'Deal Info'!A:A, 0))</f>
        <v>#N/A</v>
      </c>
    </row>
    <row r="1841" hidden="1">
      <c r="A1841" s="23" t="b">
        <f t="array" ref="A1841">if(G1841='Room Info'!$B$1, INDEX('Room Info'!$A$2:$A3446, MATCH(B1841,'Room Info'!$B$2:$B3446, 0)),if(G1841='Room Info'!$C$1, INDEX('Room Info'!$A$2:$A3446, MATCH(B1841,'Room Info'!$C$2:$C3446, 0)),if(G1841='Room Info'!$D$1, INDEX('Room Info'!$A$2:$A3446, MATCH(B1841,'Room Info'!$D$2:$D3446, 0)),if(G1841='Room Info'!$E$1, INDEX('Room Info'!$A$2:$A3446, MATCH(B1841,'Room Info'!$E$2:$E3446, 0)),if(G1841='Room Info'!$F$1, INDEX('Room Info'!$A$2:$A3446, MATCH(B1841,'Room Info'!$F$2:$F3446, 0)),if(G1841='Room Info'!$H$1, INDEX('Room Info'!$A$2:$A3446, MATCH(B1841,'Room Info'!$H$2:$H3446, 0)),if(G1841='Room Info'!$G$1, INDEX('Room Info'!$A$2:$A3446, MATCH(B1841,'Room Info'!$G$2:$G3446, 0)))))))))</f>
        <v>0</v>
      </c>
      <c r="B1841" s="101"/>
      <c r="C1841" s="141"/>
      <c r="D1841" s="141"/>
      <c r="E1841" s="142"/>
      <c r="F1841" s="138"/>
      <c r="G1841" s="101"/>
      <c r="H1841" s="105"/>
      <c r="I1841" s="105"/>
      <c r="J1841" s="44" t="str">
        <f t="shared" si="311"/>
        <v/>
      </c>
      <c r="K1841" s="139"/>
      <c r="L1841" s="140"/>
      <c r="M1841" s="84"/>
      <c r="N1841" s="33">
        <f t="shared" si="276"/>
        <v>0</v>
      </c>
      <c r="O1841" s="101"/>
      <c r="P1841" s="34" t="str">
        <f t="shared" si="277"/>
        <v/>
      </c>
      <c r="Q1841" s="60"/>
      <c r="R1841" s="36">
        <f t="shared" si="312"/>
        <v>0</v>
      </c>
      <c r="S1841" s="102"/>
      <c r="T1841" s="37">
        <f t="shared" si="302"/>
        <v>0</v>
      </c>
      <c r="U1841" s="62"/>
      <c r="V1841" s="63"/>
      <c r="W1841" s="63"/>
      <c r="X1841" s="35" t="str">
        <f t="shared" si="303"/>
        <v>#N/A</v>
      </c>
      <c r="Y1841" s="35" t="str">
        <f t="shared" si="304"/>
        <v>#N/A</v>
      </c>
      <c r="Z1841" s="40" t="str">
        <f t="shared" si="305"/>
        <v>#N/A</v>
      </c>
      <c r="AA1841" s="34" t="str">
        <f t="shared" si="306"/>
        <v>#N/A</v>
      </c>
      <c r="AB1841" s="41" t="str">
        <f t="shared" si="307"/>
        <v>#N/A</v>
      </c>
      <c r="AC1841" s="42" t="b">
        <v>0</v>
      </c>
      <c r="AD1841" s="66" t="str">
        <f t="shared" si="308"/>
        <v>USD</v>
      </c>
      <c r="AE1841" s="42"/>
      <c r="AF1841" s="42" t="str">
        <f t="array" ref="AF1841">INDEX('Deal Info'!D:D, MATCH(A1841,'Deal Info'!A:A, 0))</f>
        <v>#N/A</v>
      </c>
      <c r="AG1841" s="43" t="str">
        <f t="array" ref="AG1841">INDEX('Deal Info'!G:G, MATCH(A1841,'Deal Info'!A:A, 0))</f>
        <v>#N/A</v>
      </c>
    </row>
    <row r="1842" hidden="1">
      <c r="A1842" s="23" t="b">
        <f t="array" ref="A1842">if(G1842='Room Info'!$B$1, INDEX('Room Info'!$A$2:$A3446, MATCH(B1842,'Room Info'!$B$2:$B3446, 0)),if(G1842='Room Info'!$C$1, INDEX('Room Info'!$A$2:$A3446, MATCH(B1842,'Room Info'!$C$2:$C3446, 0)),if(G1842='Room Info'!$D$1, INDEX('Room Info'!$A$2:$A3446, MATCH(B1842,'Room Info'!$D$2:$D3446, 0)),if(G1842='Room Info'!$E$1, INDEX('Room Info'!$A$2:$A3446, MATCH(B1842,'Room Info'!$E$2:$E3446, 0)),if(G1842='Room Info'!$F$1, INDEX('Room Info'!$A$2:$A3446, MATCH(B1842,'Room Info'!$F$2:$F3446, 0)),if(G1842='Room Info'!$H$1, INDEX('Room Info'!$A$2:$A3446, MATCH(B1842,'Room Info'!$H$2:$H3446, 0)),if(G1842='Room Info'!$G$1, INDEX('Room Info'!$A$2:$A3446, MATCH(B1842,'Room Info'!$G$2:$G3446, 0)))))))))</f>
        <v>0</v>
      </c>
      <c r="B1842" s="101"/>
      <c r="C1842" s="141"/>
      <c r="D1842" s="141"/>
      <c r="E1842" s="142"/>
      <c r="F1842" s="138"/>
      <c r="G1842" s="101"/>
      <c r="H1842" s="105"/>
      <c r="I1842" s="105"/>
      <c r="J1842" s="44" t="str">
        <f t="shared" si="311"/>
        <v/>
      </c>
      <c r="K1842" s="139"/>
      <c r="L1842" s="140"/>
      <c r="M1842" s="84"/>
      <c r="N1842" s="33">
        <f t="shared" si="276"/>
        <v>0</v>
      </c>
      <c r="O1842" s="101"/>
      <c r="P1842" s="34" t="str">
        <f t="shared" si="277"/>
        <v/>
      </c>
      <c r="Q1842" s="60"/>
      <c r="R1842" s="36">
        <f t="shared" si="312"/>
        <v>0</v>
      </c>
      <c r="S1842" s="102"/>
      <c r="T1842" s="37">
        <f t="shared" si="302"/>
        <v>0</v>
      </c>
      <c r="U1842" s="62"/>
      <c r="V1842" s="63"/>
      <c r="W1842" s="63"/>
      <c r="X1842" s="35" t="str">
        <f t="shared" si="303"/>
        <v>#N/A</v>
      </c>
      <c r="Y1842" s="35" t="str">
        <f t="shared" si="304"/>
        <v>#N/A</v>
      </c>
      <c r="Z1842" s="40" t="str">
        <f t="shared" si="305"/>
        <v>#N/A</v>
      </c>
      <c r="AA1842" s="34" t="str">
        <f t="shared" si="306"/>
        <v>#N/A</v>
      </c>
      <c r="AB1842" s="41" t="str">
        <f t="shared" si="307"/>
        <v>#N/A</v>
      </c>
      <c r="AC1842" s="42" t="b">
        <v>0</v>
      </c>
      <c r="AD1842" s="66" t="str">
        <f t="shared" si="308"/>
        <v>USD</v>
      </c>
      <c r="AE1842" s="42"/>
      <c r="AF1842" s="42" t="str">
        <f t="array" ref="AF1842">INDEX('Deal Info'!D:D, MATCH(A1842,'Deal Info'!A:A, 0))</f>
        <v>#N/A</v>
      </c>
      <c r="AG1842" s="43" t="str">
        <f t="array" ref="AG1842">INDEX('Deal Info'!G:G, MATCH(A1842,'Deal Info'!A:A, 0))</f>
        <v>#N/A</v>
      </c>
    </row>
    <row r="1843" hidden="1">
      <c r="A1843" s="23" t="b">
        <f t="array" ref="A1843">if(G1843='Room Info'!$B$1, INDEX('Room Info'!$A$2:$A3446, MATCH(B1843,'Room Info'!$B$2:$B3446, 0)),if(G1843='Room Info'!$C$1, INDEX('Room Info'!$A$2:$A3446, MATCH(B1843,'Room Info'!$C$2:$C3446, 0)),if(G1843='Room Info'!$D$1, INDEX('Room Info'!$A$2:$A3446, MATCH(B1843,'Room Info'!$D$2:$D3446, 0)),if(G1843='Room Info'!$E$1, INDEX('Room Info'!$A$2:$A3446, MATCH(B1843,'Room Info'!$E$2:$E3446, 0)),if(G1843='Room Info'!$F$1, INDEX('Room Info'!$A$2:$A3446, MATCH(B1843,'Room Info'!$F$2:$F3446, 0)),if(G1843='Room Info'!$H$1, INDEX('Room Info'!$A$2:$A3446, MATCH(B1843,'Room Info'!$H$2:$H3446, 0)),if(G1843='Room Info'!$G$1, INDEX('Room Info'!$A$2:$A3446, MATCH(B1843,'Room Info'!$G$2:$G3446, 0)))))))))</f>
        <v>0</v>
      </c>
      <c r="B1843" s="101"/>
      <c r="C1843" s="141"/>
      <c r="D1843" s="141"/>
      <c r="E1843" s="142"/>
      <c r="F1843" s="138"/>
      <c r="G1843" s="101"/>
      <c r="H1843" s="105"/>
      <c r="I1843" s="105"/>
      <c r="J1843" s="44" t="str">
        <f t="shared" si="311"/>
        <v/>
      </c>
      <c r="K1843" s="139"/>
      <c r="L1843" s="140"/>
      <c r="M1843" s="84"/>
      <c r="N1843" s="33">
        <f t="shared" si="276"/>
        <v>0</v>
      </c>
      <c r="O1843" s="101"/>
      <c r="P1843" s="34" t="str">
        <f t="shared" si="277"/>
        <v/>
      </c>
      <c r="Q1843" s="60"/>
      <c r="R1843" s="36">
        <f t="shared" si="312"/>
        <v>0</v>
      </c>
      <c r="S1843" s="102"/>
      <c r="T1843" s="37">
        <f t="shared" si="302"/>
        <v>0</v>
      </c>
      <c r="U1843" s="62"/>
      <c r="V1843" s="63"/>
      <c r="W1843" s="63"/>
      <c r="X1843" s="35" t="str">
        <f t="shared" si="303"/>
        <v>#N/A</v>
      </c>
      <c r="Y1843" s="35" t="str">
        <f t="shared" si="304"/>
        <v>#N/A</v>
      </c>
      <c r="Z1843" s="40" t="str">
        <f t="shared" si="305"/>
        <v>#N/A</v>
      </c>
      <c r="AA1843" s="34" t="str">
        <f t="shared" si="306"/>
        <v>#N/A</v>
      </c>
      <c r="AB1843" s="41" t="str">
        <f t="shared" si="307"/>
        <v>#N/A</v>
      </c>
      <c r="AC1843" s="42" t="b">
        <v>0</v>
      </c>
      <c r="AD1843" s="66" t="str">
        <f t="shared" si="308"/>
        <v>USD</v>
      </c>
      <c r="AE1843" s="42"/>
      <c r="AF1843" s="42" t="str">
        <f t="array" ref="AF1843">INDEX('Deal Info'!D:D, MATCH(A1843,'Deal Info'!A:A, 0))</f>
        <v>#N/A</v>
      </c>
      <c r="AG1843" s="43" t="str">
        <f t="array" ref="AG1843">INDEX('Deal Info'!G:G, MATCH(A1843,'Deal Info'!A:A, 0))</f>
        <v>#N/A</v>
      </c>
    </row>
    <row r="1844" hidden="1">
      <c r="A1844" s="23" t="b">
        <f t="array" ref="A1844">if(G1844='Room Info'!$B$1, INDEX('Room Info'!$A$2:$A3446, MATCH(B1844,'Room Info'!$B$2:$B3446, 0)),if(G1844='Room Info'!$C$1, INDEX('Room Info'!$A$2:$A3446, MATCH(B1844,'Room Info'!$C$2:$C3446, 0)),if(G1844='Room Info'!$D$1, INDEX('Room Info'!$A$2:$A3446, MATCH(B1844,'Room Info'!$D$2:$D3446, 0)),if(G1844='Room Info'!$E$1, INDEX('Room Info'!$A$2:$A3446, MATCH(B1844,'Room Info'!$E$2:$E3446, 0)),if(G1844='Room Info'!$F$1, INDEX('Room Info'!$A$2:$A3446, MATCH(B1844,'Room Info'!$F$2:$F3446, 0)),if(G1844='Room Info'!$H$1, INDEX('Room Info'!$A$2:$A3446, MATCH(B1844,'Room Info'!$H$2:$H3446, 0)),if(G1844='Room Info'!$G$1, INDEX('Room Info'!$A$2:$A3446, MATCH(B1844,'Room Info'!$G$2:$G3446, 0)))))))))</f>
        <v>0</v>
      </c>
      <c r="B1844" s="101"/>
      <c r="C1844" s="115"/>
      <c r="D1844" s="115"/>
      <c r="E1844" s="85"/>
      <c r="F1844" s="101"/>
      <c r="G1844" s="70"/>
      <c r="H1844" s="114"/>
      <c r="I1844" s="114"/>
      <c r="J1844" s="44" t="str">
        <f t="shared" si="311"/>
        <v/>
      </c>
      <c r="K1844" s="116"/>
      <c r="L1844" s="117"/>
      <c r="M1844" s="67"/>
      <c r="N1844" s="33">
        <f t="shared" si="276"/>
        <v>0</v>
      </c>
      <c r="O1844" s="70"/>
      <c r="P1844" s="34" t="str">
        <f t="shared" si="277"/>
        <v/>
      </c>
      <c r="Q1844" s="60"/>
      <c r="R1844" s="36">
        <f t="shared" si="312"/>
        <v>0</v>
      </c>
      <c r="S1844" s="71"/>
      <c r="T1844" s="37">
        <f t="shared" si="302"/>
        <v>0</v>
      </c>
      <c r="U1844" s="62"/>
      <c r="V1844" s="63"/>
      <c r="W1844" s="63"/>
      <c r="X1844" s="35" t="str">
        <f t="shared" si="303"/>
        <v>#N/A</v>
      </c>
      <c r="Y1844" s="35" t="str">
        <f t="shared" si="304"/>
        <v>#N/A</v>
      </c>
      <c r="Z1844" s="40" t="str">
        <f t="shared" si="305"/>
        <v>#N/A</v>
      </c>
      <c r="AA1844" s="34" t="str">
        <f t="shared" si="306"/>
        <v>#N/A</v>
      </c>
      <c r="AB1844" s="41" t="str">
        <f t="shared" si="307"/>
        <v>#N/A</v>
      </c>
      <c r="AC1844" s="42" t="b">
        <v>0</v>
      </c>
      <c r="AD1844" s="66" t="str">
        <f t="shared" si="308"/>
        <v>USD</v>
      </c>
      <c r="AE1844" s="42"/>
      <c r="AF1844" s="42" t="str">
        <f t="array" ref="AF1844">INDEX('Deal Info'!D:D, MATCH(A1844,'Deal Info'!A:A, 0))</f>
        <v>#N/A</v>
      </c>
      <c r="AG1844" s="43" t="str">
        <f t="array" ref="AG1844">INDEX('Deal Info'!G:G, MATCH(A1844,'Deal Info'!A:A, 0))</f>
        <v>#N/A</v>
      </c>
    </row>
    <row r="1845" hidden="1">
      <c r="A1845" s="23" t="b">
        <f t="array" ref="A1845">if(G1845='Room Info'!$B$1, INDEX('Room Info'!$A$2:$A3446, MATCH(B1845,'Room Info'!$B$2:$B3446, 0)),if(G1845='Room Info'!$C$1, INDEX('Room Info'!$A$2:$A3446, MATCH(B1845,'Room Info'!$C$2:$C3446, 0)),if(G1845='Room Info'!$D$1, INDEX('Room Info'!$A$2:$A3446, MATCH(B1845,'Room Info'!$D$2:$D3446, 0)),if(G1845='Room Info'!$E$1, INDEX('Room Info'!$A$2:$A3446, MATCH(B1845,'Room Info'!$E$2:$E3446, 0)),if(G1845='Room Info'!$F$1, INDEX('Room Info'!$A$2:$A3446, MATCH(B1845,'Room Info'!$F$2:$F3446, 0)),if(G1845='Room Info'!$H$1, INDEX('Room Info'!$A$2:$A3446, MATCH(B1845,'Room Info'!$H$2:$H3446, 0)),if(G1845='Room Info'!$G$1, INDEX('Room Info'!$A$2:$A3446, MATCH(B1845,'Room Info'!$G$2:$G3446, 0)))))))))</f>
        <v>0</v>
      </c>
      <c r="B1845" s="101"/>
      <c r="C1845" s="141"/>
      <c r="D1845" s="141"/>
      <c r="E1845" s="142"/>
      <c r="F1845" s="138"/>
      <c r="G1845" s="101"/>
      <c r="H1845" s="105"/>
      <c r="I1845" s="105"/>
      <c r="J1845" s="44" t="str">
        <f t="shared" si="311"/>
        <v/>
      </c>
      <c r="K1845" s="139"/>
      <c r="L1845" s="140"/>
      <c r="M1845" s="84"/>
      <c r="N1845" s="33">
        <f t="shared" si="276"/>
        <v>0</v>
      </c>
      <c r="O1845" s="101"/>
      <c r="P1845" s="34" t="str">
        <f t="shared" si="277"/>
        <v/>
      </c>
      <c r="Q1845" s="60"/>
      <c r="R1845" s="36">
        <f t="shared" si="312"/>
        <v>0</v>
      </c>
      <c r="S1845" s="102"/>
      <c r="T1845" s="37">
        <f t="shared" si="302"/>
        <v>0</v>
      </c>
      <c r="U1845" s="62"/>
      <c r="V1845" s="63"/>
      <c r="W1845" s="63"/>
      <c r="X1845" s="35" t="str">
        <f t="shared" si="303"/>
        <v>#N/A</v>
      </c>
      <c r="Y1845" s="35" t="str">
        <f t="shared" si="304"/>
        <v>#N/A</v>
      </c>
      <c r="Z1845" s="40" t="str">
        <f t="shared" si="305"/>
        <v>#N/A</v>
      </c>
      <c r="AA1845" s="34" t="str">
        <f t="shared" si="306"/>
        <v>#N/A</v>
      </c>
      <c r="AB1845" s="41" t="str">
        <f t="shared" si="307"/>
        <v>#N/A</v>
      </c>
      <c r="AC1845" s="42" t="b">
        <v>0</v>
      </c>
      <c r="AD1845" s="66" t="str">
        <f t="shared" si="308"/>
        <v>USD</v>
      </c>
      <c r="AE1845" s="42"/>
      <c r="AF1845" s="42" t="str">
        <f t="array" ref="AF1845">INDEX('Deal Info'!D:D, MATCH(A1845,'Deal Info'!A:A, 0))</f>
        <v>#N/A</v>
      </c>
      <c r="AG1845" s="43" t="str">
        <f t="array" ref="AG1845">INDEX('Deal Info'!G:G, MATCH(A1845,'Deal Info'!A:A, 0))</f>
        <v>#N/A</v>
      </c>
    </row>
    <row r="1846" hidden="1">
      <c r="A1846" s="23" t="b">
        <f t="array" ref="A1846">if(G1846='Room Info'!$B$1, INDEX('Room Info'!$A$2:$A3446, MATCH(B1846,'Room Info'!$B$2:$B3446, 0)),if(G1846='Room Info'!$C$1, INDEX('Room Info'!$A$2:$A3446, MATCH(B1846,'Room Info'!$C$2:$C3446, 0)),if(G1846='Room Info'!$D$1, INDEX('Room Info'!$A$2:$A3446, MATCH(B1846,'Room Info'!$D$2:$D3446, 0)),if(G1846='Room Info'!$E$1, INDEX('Room Info'!$A$2:$A3446, MATCH(B1846,'Room Info'!$E$2:$E3446, 0)),if(G1846='Room Info'!$F$1, INDEX('Room Info'!$A$2:$A3446, MATCH(B1846,'Room Info'!$F$2:$F3446, 0)),if(G1846='Room Info'!$H$1, INDEX('Room Info'!$A$2:$A3446, MATCH(B1846,'Room Info'!$H$2:$H3446, 0)),if(G1846='Room Info'!$G$1, INDEX('Room Info'!$A$2:$A3446, MATCH(B1846,'Room Info'!$G$2:$G3446, 0)))))))))</f>
        <v>0</v>
      </c>
      <c r="B1846" s="101"/>
      <c r="C1846" s="141"/>
      <c r="D1846" s="141"/>
      <c r="E1846" s="142"/>
      <c r="F1846" s="138"/>
      <c r="G1846" s="101"/>
      <c r="H1846" s="105"/>
      <c r="I1846" s="105"/>
      <c r="J1846" s="44" t="str">
        <f t="shared" si="311"/>
        <v/>
      </c>
      <c r="K1846" s="139"/>
      <c r="L1846" s="140"/>
      <c r="M1846" s="84"/>
      <c r="N1846" s="33">
        <f t="shared" si="276"/>
        <v>0</v>
      </c>
      <c r="O1846" s="101"/>
      <c r="P1846" s="34" t="str">
        <f t="shared" si="277"/>
        <v/>
      </c>
      <c r="Q1846" s="60"/>
      <c r="R1846" s="36">
        <f t="shared" si="312"/>
        <v>0</v>
      </c>
      <c r="S1846" s="102"/>
      <c r="T1846" s="37">
        <f t="shared" si="302"/>
        <v>0</v>
      </c>
      <c r="U1846" s="62"/>
      <c r="V1846" s="63"/>
      <c r="W1846" s="63"/>
      <c r="X1846" s="35" t="str">
        <f t="shared" si="303"/>
        <v>#N/A</v>
      </c>
      <c r="Y1846" s="35" t="str">
        <f t="shared" si="304"/>
        <v>#N/A</v>
      </c>
      <c r="Z1846" s="40" t="str">
        <f t="shared" si="305"/>
        <v>#N/A</v>
      </c>
      <c r="AA1846" s="34" t="str">
        <f t="shared" si="306"/>
        <v>#N/A</v>
      </c>
      <c r="AB1846" s="41" t="str">
        <f t="shared" si="307"/>
        <v>#N/A</v>
      </c>
      <c r="AC1846" s="42" t="b">
        <v>0</v>
      </c>
      <c r="AD1846" s="66" t="str">
        <f t="shared" si="308"/>
        <v>USD</v>
      </c>
      <c r="AE1846" s="42"/>
      <c r="AF1846" s="42" t="str">
        <f t="array" ref="AF1846">INDEX('Deal Info'!D:D, MATCH(A1846,'Deal Info'!A:A, 0))</f>
        <v>#N/A</v>
      </c>
      <c r="AG1846" s="43" t="str">
        <f t="array" ref="AG1846">INDEX('Deal Info'!G:G, MATCH(A1846,'Deal Info'!A:A, 0))</f>
        <v>#N/A</v>
      </c>
    </row>
    <row r="1847" hidden="1">
      <c r="A1847" s="23" t="b">
        <f t="array" ref="A1847">if(G1847='Room Info'!$B$1, INDEX('Room Info'!$A$2:$A3446, MATCH(B1847,'Room Info'!$B$2:$B3446, 0)),if(G1847='Room Info'!$C$1, INDEX('Room Info'!$A$2:$A3446, MATCH(B1847,'Room Info'!$C$2:$C3446, 0)),if(G1847='Room Info'!$D$1, INDEX('Room Info'!$A$2:$A3446, MATCH(B1847,'Room Info'!$D$2:$D3446, 0)),if(G1847='Room Info'!$E$1, INDEX('Room Info'!$A$2:$A3446, MATCH(B1847,'Room Info'!$E$2:$E3446, 0)),if(G1847='Room Info'!$F$1, INDEX('Room Info'!$A$2:$A3446, MATCH(B1847,'Room Info'!$F$2:$F3446, 0)),if(G1847='Room Info'!$H$1, INDEX('Room Info'!$A$2:$A3446, MATCH(B1847,'Room Info'!$H$2:$H3446, 0)),if(G1847='Room Info'!$G$1, INDEX('Room Info'!$A$2:$A3446, MATCH(B1847,'Room Info'!$G$2:$G3446, 0)))))))))</f>
        <v>0</v>
      </c>
      <c r="B1847" s="101"/>
      <c r="C1847" s="115"/>
      <c r="D1847" s="115"/>
      <c r="E1847" s="85"/>
      <c r="F1847" s="138"/>
      <c r="G1847" s="70"/>
      <c r="H1847" s="114"/>
      <c r="I1847" s="114"/>
      <c r="J1847" s="44" t="str">
        <f t="shared" si="311"/>
        <v/>
      </c>
      <c r="K1847" s="116"/>
      <c r="L1847" s="117"/>
      <c r="M1847" s="67"/>
      <c r="N1847" s="33">
        <f t="shared" si="276"/>
        <v>0</v>
      </c>
      <c r="O1847" s="70"/>
      <c r="P1847" s="34" t="str">
        <f t="shared" si="277"/>
        <v/>
      </c>
      <c r="Q1847" s="60"/>
      <c r="R1847" s="36">
        <f t="shared" si="312"/>
        <v>0</v>
      </c>
      <c r="S1847" s="71"/>
      <c r="T1847" s="37">
        <f t="shared" si="302"/>
        <v>0</v>
      </c>
      <c r="U1847" s="62"/>
      <c r="V1847" s="63"/>
      <c r="W1847" s="63"/>
      <c r="X1847" s="35" t="str">
        <f t="shared" si="303"/>
        <v>#N/A</v>
      </c>
      <c r="Y1847" s="35" t="str">
        <f t="shared" si="304"/>
        <v>#N/A</v>
      </c>
      <c r="Z1847" s="40" t="str">
        <f t="shared" si="305"/>
        <v>#N/A</v>
      </c>
      <c r="AA1847" s="34" t="str">
        <f t="shared" si="306"/>
        <v>#N/A</v>
      </c>
      <c r="AB1847" s="41" t="str">
        <f t="shared" si="307"/>
        <v>#N/A</v>
      </c>
      <c r="AC1847" s="42" t="b">
        <v>0</v>
      </c>
      <c r="AD1847" s="66" t="str">
        <f t="shared" si="308"/>
        <v>USD</v>
      </c>
      <c r="AE1847" s="42"/>
      <c r="AF1847" s="42" t="str">
        <f t="array" ref="AF1847">INDEX('Deal Info'!D:D, MATCH(A1847,'Deal Info'!A:A, 0))</f>
        <v>#N/A</v>
      </c>
      <c r="AG1847" s="43" t="str">
        <f t="array" ref="AG1847">INDEX('Deal Info'!G:G, MATCH(A1847,'Deal Info'!A:A, 0))</f>
        <v>#N/A</v>
      </c>
    </row>
    <row r="1848" hidden="1">
      <c r="A1848" s="23" t="b">
        <f t="array" ref="A1848">if(G1848='Room Info'!$B$1, INDEX('Room Info'!$A$2:$A3446, MATCH(B1848,'Room Info'!$B$2:$B3446, 0)),if(G1848='Room Info'!$C$1, INDEX('Room Info'!$A$2:$A3446, MATCH(B1848,'Room Info'!$C$2:$C3446, 0)),if(G1848='Room Info'!$D$1, INDEX('Room Info'!$A$2:$A3446, MATCH(B1848,'Room Info'!$D$2:$D3446, 0)),if(G1848='Room Info'!$E$1, INDEX('Room Info'!$A$2:$A3446, MATCH(B1848,'Room Info'!$E$2:$E3446, 0)),if(G1848='Room Info'!$F$1, INDEX('Room Info'!$A$2:$A3446, MATCH(B1848,'Room Info'!$F$2:$F3446, 0)),if(G1848='Room Info'!$H$1, INDEX('Room Info'!$A$2:$A3446, MATCH(B1848,'Room Info'!$H$2:$H3446, 0)),if(G1848='Room Info'!$G$1, INDEX('Room Info'!$A$2:$A3446, MATCH(B1848,'Room Info'!$G$2:$G3446, 0)))))))))</f>
        <v>0</v>
      </c>
      <c r="B1848" s="101"/>
      <c r="C1848" s="115"/>
      <c r="D1848" s="115"/>
      <c r="E1848" s="85"/>
      <c r="F1848" s="138"/>
      <c r="G1848" s="70"/>
      <c r="H1848" s="114"/>
      <c r="I1848" s="114"/>
      <c r="J1848" s="44" t="str">
        <f t="shared" si="311"/>
        <v/>
      </c>
      <c r="K1848" s="116"/>
      <c r="L1848" s="117"/>
      <c r="M1848" s="67"/>
      <c r="N1848" s="33">
        <f t="shared" si="276"/>
        <v>0</v>
      </c>
      <c r="O1848" s="70"/>
      <c r="P1848" s="34" t="str">
        <f t="shared" si="277"/>
        <v/>
      </c>
      <c r="Q1848" s="60"/>
      <c r="R1848" s="36">
        <f t="shared" si="312"/>
        <v>0</v>
      </c>
      <c r="S1848" s="71"/>
      <c r="T1848" s="37">
        <f t="shared" si="302"/>
        <v>0</v>
      </c>
      <c r="U1848" s="62"/>
      <c r="V1848" s="63"/>
      <c r="W1848" s="63"/>
      <c r="X1848" s="35" t="str">
        <f t="shared" si="303"/>
        <v>#N/A</v>
      </c>
      <c r="Y1848" s="35" t="str">
        <f t="shared" si="304"/>
        <v>#N/A</v>
      </c>
      <c r="Z1848" s="40" t="str">
        <f t="shared" si="305"/>
        <v>#N/A</v>
      </c>
      <c r="AA1848" s="34" t="str">
        <f t="shared" si="306"/>
        <v>#N/A</v>
      </c>
      <c r="AB1848" s="41" t="str">
        <f t="shared" si="307"/>
        <v>#N/A</v>
      </c>
      <c r="AC1848" s="42" t="b">
        <v>0</v>
      </c>
      <c r="AD1848" s="66" t="str">
        <f t="shared" si="308"/>
        <v>USD</v>
      </c>
      <c r="AE1848" s="42"/>
      <c r="AF1848" s="42" t="str">
        <f t="array" ref="AF1848">INDEX('Deal Info'!D:D, MATCH(A1848,'Deal Info'!A:A, 0))</f>
        <v>#N/A</v>
      </c>
      <c r="AG1848" s="43" t="str">
        <f t="array" ref="AG1848">INDEX('Deal Info'!G:G, MATCH(A1848,'Deal Info'!A:A, 0))</f>
        <v>#N/A</v>
      </c>
    </row>
    <row r="1849" hidden="1">
      <c r="A1849" s="23" t="b">
        <f t="array" ref="A1849">if(G1849='Room Info'!$B$1, INDEX('Room Info'!$A$2:$A3446, MATCH(B1849,'Room Info'!$B$2:$B3446, 0)),if(G1849='Room Info'!$C$1, INDEX('Room Info'!$A$2:$A3446, MATCH(B1849,'Room Info'!$C$2:$C3446, 0)),if(G1849='Room Info'!$D$1, INDEX('Room Info'!$A$2:$A3446, MATCH(B1849,'Room Info'!$D$2:$D3446, 0)),if(G1849='Room Info'!$E$1, INDEX('Room Info'!$A$2:$A3446, MATCH(B1849,'Room Info'!$E$2:$E3446, 0)),if(G1849='Room Info'!$F$1, INDEX('Room Info'!$A$2:$A3446, MATCH(B1849,'Room Info'!$F$2:$F3446, 0)),if(G1849='Room Info'!$H$1, INDEX('Room Info'!$A$2:$A3446, MATCH(B1849,'Room Info'!$H$2:$H3446, 0)),if(G1849='Room Info'!$G$1, INDEX('Room Info'!$A$2:$A3446, MATCH(B1849,'Room Info'!$G$2:$G3446, 0)))))))))</f>
        <v>0</v>
      </c>
      <c r="B1849" s="101"/>
      <c r="C1849" s="115"/>
      <c r="D1849" s="115"/>
      <c r="E1849" s="85"/>
      <c r="F1849" s="138"/>
      <c r="G1849" s="70"/>
      <c r="H1849" s="114"/>
      <c r="I1849" s="114"/>
      <c r="J1849" s="44" t="str">
        <f t="shared" si="311"/>
        <v/>
      </c>
      <c r="K1849" s="116"/>
      <c r="L1849" s="117"/>
      <c r="M1849" s="67"/>
      <c r="N1849" s="33">
        <f t="shared" si="276"/>
        <v>0</v>
      </c>
      <c r="O1849" s="70"/>
      <c r="P1849" s="34" t="str">
        <f t="shared" si="277"/>
        <v/>
      </c>
      <c r="Q1849" s="60"/>
      <c r="R1849" s="36">
        <f t="shared" si="312"/>
        <v>0</v>
      </c>
      <c r="S1849" s="71"/>
      <c r="T1849" s="37">
        <f t="shared" si="302"/>
        <v>0</v>
      </c>
      <c r="U1849" s="62"/>
      <c r="V1849" s="63"/>
      <c r="W1849" s="63"/>
      <c r="X1849" s="35" t="str">
        <f t="shared" si="303"/>
        <v>#N/A</v>
      </c>
      <c r="Y1849" s="35" t="str">
        <f t="shared" si="304"/>
        <v>#N/A</v>
      </c>
      <c r="Z1849" s="40" t="str">
        <f t="shared" si="305"/>
        <v>#N/A</v>
      </c>
      <c r="AA1849" s="34" t="str">
        <f t="shared" si="306"/>
        <v>#N/A</v>
      </c>
      <c r="AB1849" s="41" t="str">
        <f t="shared" si="307"/>
        <v>#N/A</v>
      </c>
      <c r="AC1849" s="42" t="b">
        <v>0</v>
      </c>
      <c r="AD1849" s="66" t="str">
        <f t="shared" si="308"/>
        <v>USD</v>
      </c>
      <c r="AE1849" s="42"/>
      <c r="AF1849" s="42" t="str">
        <f t="array" ref="AF1849">INDEX('Deal Info'!D:D, MATCH(A1849,'Deal Info'!A:A, 0))</f>
        <v>#N/A</v>
      </c>
      <c r="AG1849" s="43" t="str">
        <f t="array" ref="AG1849">INDEX('Deal Info'!G:G, MATCH(A1849,'Deal Info'!A:A, 0))</f>
        <v>#N/A</v>
      </c>
    </row>
    <row r="1850" hidden="1">
      <c r="A1850" s="23" t="b">
        <f t="array" ref="A1850">if(G1850='Room Info'!$B$1, INDEX('Room Info'!$A$2:$A3446, MATCH(B1850,'Room Info'!$B$2:$B3446, 0)),if(G1850='Room Info'!$C$1, INDEX('Room Info'!$A$2:$A3446, MATCH(B1850,'Room Info'!$C$2:$C3446, 0)),if(G1850='Room Info'!$D$1, INDEX('Room Info'!$A$2:$A3446, MATCH(B1850,'Room Info'!$D$2:$D3446, 0)),if(G1850='Room Info'!$E$1, INDEX('Room Info'!$A$2:$A3446, MATCH(B1850,'Room Info'!$E$2:$E3446, 0)),if(G1850='Room Info'!$F$1, INDEX('Room Info'!$A$2:$A3446, MATCH(B1850,'Room Info'!$F$2:$F3446, 0)),if(G1850='Room Info'!$H$1, INDEX('Room Info'!$A$2:$A3446, MATCH(B1850,'Room Info'!$H$2:$H3446, 0)),if(G1850='Room Info'!$G$1, INDEX('Room Info'!$A$2:$A3446, MATCH(B1850,'Room Info'!$G$2:$G3446, 0)))))))))</f>
        <v>0</v>
      </c>
      <c r="B1850" s="101"/>
      <c r="C1850" s="115"/>
      <c r="D1850" s="115"/>
      <c r="E1850" s="85"/>
      <c r="F1850" s="138"/>
      <c r="G1850" s="70"/>
      <c r="H1850" s="114"/>
      <c r="I1850" s="114"/>
      <c r="J1850" s="44" t="str">
        <f t="shared" si="311"/>
        <v/>
      </c>
      <c r="K1850" s="116"/>
      <c r="L1850" s="117"/>
      <c r="M1850" s="67"/>
      <c r="N1850" s="33">
        <f t="shared" si="276"/>
        <v>0</v>
      </c>
      <c r="O1850" s="70"/>
      <c r="P1850" s="34" t="str">
        <f t="shared" si="277"/>
        <v/>
      </c>
      <c r="Q1850" s="60"/>
      <c r="R1850" s="36">
        <f t="shared" si="312"/>
        <v>0</v>
      </c>
      <c r="S1850" s="71"/>
      <c r="T1850" s="37">
        <f t="shared" si="302"/>
        <v>0</v>
      </c>
      <c r="U1850" s="62"/>
      <c r="V1850" s="63"/>
      <c r="W1850" s="63"/>
      <c r="X1850" s="35" t="str">
        <f t="shared" si="303"/>
        <v>#N/A</v>
      </c>
      <c r="Y1850" s="35" t="str">
        <f t="shared" si="304"/>
        <v>#N/A</v>
      </c>
      <c r="Z1850" s="40" t="str">
        <f t="shared" si="305"/>
        <v>#N/A</v>
      </c>
      <c r="AA1850" s="34" t="str">
        <f t="shared" si="306"/>
        <v>#N/A</v>
      </c>
      <c r="AB1850" s="41" t="str">
        <f t="shared" si="307"/>
        <v>#N/A</v>
      </c>
      <c r="AC1850" s="42" t="b">
        <v>0</v>
      </c>
      <c r="AD1850" s="66" t="str">
        <f t="shared" si="308"/>
        <v>USD</v>
      </c>
      <c r="AE1850" s="42"/>
      <c r="AF1850" s="42" t="str">
        <f t="array" ref="AF1850">INDEX('Deal Info'!D:D, MATCH(A1850,'Deal Info'!A:A, 0))</f>
        <v>#N/A</v>
      </c>
      <c r="AG1850" s="43" t="str">
        <f t="array" ref="AG1850">INDEX('Deal Info'!G:G, MATCH(A1850,'Deal Info'!A:A, 0))</f>
        <v>#N/A</v>
      </c>
    </row>
    <row r="1851" hidden="1">
      <c r="A1851" s="23" t="b">
        <f t="array" ref="A1851">if(G1851='Room Info'!$B$1, INDEX('Room Info'!$A$2:$A3446, MATCH(B1851,'Room Info'!$B$2:$B3446, 0)),if(G1851='Room Info'!$C$1, INDEX('Room Info'!$A$2:$A3446, MATCH(B1851,'Room Info'!$C$2:$C3446, 0)),if(G1851='Room Info'!$D$1, INDEX('Room Info'!$A$2:$A3446, MATCH(B1851,'Room Info'!$D$2:$D3446, 0)),if(G1851='Room Info'!$E$1, INDEX('Room Info'!$A$2:$A3446, MATCH(B1851,'Room Info'!$E$2:$E3446, 0)),if(G1851='Room Info'!$F$1, INDEX('Room Info'!$A$2:$A3446, MATCH(B1851,'Room Info'!$F$2:$F3446, 0)),if(G1851='Room Info'!$H$1, INDEX('Room Info'!$A$2:$A3446, MATCH(B1851,'Room Info'!$H$2:$H3446, 0)),if(G1851='Room Info'!$G$1, INDEX('Room Info'!$A$2:$A3446, MATCH(B1851,'Room Info'!$G$2:$G3446, 0)))))))))</f>
        <v>0</v>
      </c>
      <c r="B1851" s="101"/>
      <c r="C1851" s="115"/>
      <c r="D1851" s="115"/>
      <c r="E1851" s="85"/>
      <c r="F1851" s="138"/>
      <c r="G1851" s="70"/>
      <c r="H1851" s="114"/>
      <c r="I1851" s="114"/>
      <c r="J1851" s="44" t="str">
        <f t="shared" si="311"/>
        <v/>
      </c>
      <c r="K1851" s="116"/>
      <c r="L1851" s="117"/>
      <c r="M1851" s="67"/>
      <c r="N1851" s="33">
        <f t="shared" si="276"/>
        <v>0</v>
      </c>
      <c r="O1851" s="70"/>
      <c r="P1851" s="34" t="str">
        <f t="shared" si="277"/>
        <v/>
      </c>
      <c r="Q1851" s="60"/>
      <c r="R1851" s="36">
        <f t="shared" si="312"/>
        <v>0</v>
      </c>
      <c r="S1851" s="71"/>
      <c r="T1851" s="37">
        <f t="shared" si="302"/>
        <v>0</v>
      </c>
      <c r="U1851" s="62"/>
      <c r="V1851" s="63"/>
      <c r="W1851" s="63"/>
      <c r="X1851" s="35" t="str">
        <f t="shared" si="303"/>
        <v>#N/A</v>
      </c>
      <c r="Y1851" s="35" t="str">
        <f t="shared" si="304"/>
        <v>#N/A</v>
      </c>
      <c r="Z1851" s="40" t="str">
        <f t="shared" si="305"/>
        <v>#N/A</v>
      </c>
      <c r="AA1851" s="34" t="str">
        <f t="shared" si="306"/>
        <v>#N/A</v>
      </c>
      <c r="AB1851" s="41" t="str">
        <f t="shared" si="307"/>
        <v>#N/A</v>
      </c>
      <c r="AC1851" s="42" t="b">
        <v>0</v>
      </c>
      <c r="AD1851" s="66" t="str">
        <f t="shared" si="308"/>
        <v>USD</v>
      </c>
      <c r="AE1851" s="42"/>
      <c r="AF1851" s="42" t="str">
        <f t="array" ref="AF1851">INDEX('Deal Info'!D:D, MATCH(A1851,'Deal Info'!A:A, 0))</f>
        <v>#N/A</v>
      </c>
      <c r="AG1851" s="43" t="str">
        <f t="array" ref="AG1851">INDEX('Deal Info'!G:G, MATCH(A1851,'Deal Info'!A:A, 0))</f>
        <v>#N/A</v>
      </c>
    </row>
    <row r="1852" hidden="1">
      <c r="A1852" s="23" t="b">
        <f t="array" ref="A1852">if(G1852='Room Info'!$B$1, INDEX('Room Info'!$A$2:$A3446, MATCH(B1852,'Room Info'!$B$2:$B3446, 0)),if(G1852='Room Info'!$C$1, INDEX('Room Info'!$A$2:$A3446, MATCH(B1852,'Room Info'!$C$2:$C3446, 0)),if(G1852='Room Info'!$D$1, INDEX('Room Info'!$A$2:$A3446, MATCH(B1852,'Room Info'!$D$2:$D3446, 0)),if(G1852='Room Info'!$E$1, INDEX('Room Info'!$A$2:$A3446, MATCH(B1852,'Room Info'!$E$2:$E3446, 0)),if(G1852='Room Info'!$F$1, INDEX('Room Info'!$A$2:$A3446, MATCH(B1852,'Room Info'!$F$2:$F3446, 0)),if(G1852='Room Info'!$H$1, INDEX('Room Info'!$A$2:$A3446, MATCH(B1852,'Room Info'!$H$2:$H3446, 0)),if(G1852='Room Info'!$G$1, INDEX('Room Info'!$A$2:$A3446, MATCH(B1852,'Room Info'!$G$2:$G3446, 0)))))))))</f>
        <v>0</v>
      </c>
      <c r="B1852" s="101"/>
      <c r="C1852" s="115"/>
      <c r="D1852" s="115"/>
      <c r="E1852" s="85"/>
      <c r="F1852" s="138"/>
      <c r="G1852" s="70"/>
      <c r="H1852" s="114"/>
      <c r="I1852" s="114"/>
      <c r="J1852" s="44" t="str">
        <f t="shared" si="311"/>
        <v/>
      </c>
      <c r="K1852" s="116"/>
      <c r="L1852" s="117"/>
      <c r="M1852" s="67"/>
      <c r="N1852" s="33">
        <f t="shared" si="276"/>
        <v>0</v>
      </c>
      <c r="O1852" s="70"/>
      <c r="P1852" s="34" t="str">
        <f t="shared" si="277"/>
        <v/>
      </c>
      <c r="Q1852" s="60"/>
      <c r="R1852" s="36">
        <f t="shared" si="312"/>
        <v>0</v>
      </c>
      <c r="S1852" s="71"/>
      <c r="T1852" s="37">
        <f t="shared" si="302"/>
        <v>0</v>
      </c>
      <c r="U1852" s="62"/>
      <c r="V1852" s="63"/>
      <c r="W1852" s="63"/>
      <c r="X1852" s="35" t="str">
        <f t="shared" si="303"/>
        <v>#N/A</v>
      </c>
      <c r="Y1852" s="35" t="str">
        <f t="shared" si="304"/>
        <v>#N/A</v>
      </c>
      <c r="Z1852" s="40" t="str">
        <f t="shared" si="305"/>
        <v>#N/A</v>
      </c>
      <c r="AA1852" s="34" t="str">
        <f t="shared" si="306"/>
        <v>#N/A</v>
      </c>
      <c r="AB1852" s="41" t="str">
        <f t="shared" si="307"/>
        <v>#N/A</v>
      </c>
      <c r="AC1852" s="42" t="b">
        <v>0</v>
      </c>
      <c r="AD1852" s="66" t="str">
        <f t="shared" si="308"/>
        <v>USD</v>
      </c>
      <c r="AE1852" s="42"/>
      <c r="AF1852" s="42" t="str">
        <f t="array" ref="AF1852">INDEX('Deal Info'!D:D, MATCH(A1852,'Deal Info'!A:A, 0))</f>
        <v>#N/A</v>
      </c>
      <c r="AG1852" s="43" t="str">
        <f t="array" ref="AG1852">INDEX('Deal Info'!G:G, MATCH(A1852,'Deal Info'!A:A, 0))</f>
        <v>#N/A</v>
      </c>
    </row>
    <row r="1853" hidden="1">
      <c r="A1853" s="23" t="b">
        <f t="array" ref="A1853">if(G1853='Room Info'!$B$1, INDEX('Room Info'!$A$2:$A3446, MATCH(B1853,'Room Info'!$B$2:$B3446, 0)),if(G1853='Room Info'!$C$1, INDEX('Room Info'!$A$2:$A3446, MATCH(B1853,'Room Info'!$C$2:$C3446, 0)),if(G1853='Room Info'!$D$1, INDEX('Room Info'!$A$2:$A3446, MATCH(B1853,'Room Info'!$D$2:$D3446, 0)),if(G1853='Room Info'!$E$1, INDEX('Room Info'!$A$2:$A3446, MATCH(B1853,'Room Info'!$E$2:$E3446, 0)),if(G1853='Room Info'!$F$1, INDEX('Room Info'!$A$2:$A3446, MATCH(B1853,'Room Info'!$F$2:$F3446, 0)),if(G1853='Room Info'!$H$1, INDEX('Room Info'!$A$2:$A3446, MATCH(B1853,'Room Info'!$H$2:$H3446, 0)),if(G1853='Room Info'!$G$1, INDEX('Room Info'!$A$2:$A3446, MATCH(B1853,'Room Info'!$G$2:$G3446, 0)))))))))</f>
        <v>0</v>
      </c>
      <c r="B1853" s="101"/>
      <c r="C1853" s="115"/>
      <c r="D1853" s="115"/>
      <c r="E1853" s="85"/>
      <c r="F1853" s="138"/>
      <c r="G1853" s="70"/>
      <c r="H1853" s="114"/>
      <c r="I1853" s="114"/>
      <c r="J1853" s="44" t="str">
        <f t="shared" si="311"/>
        <v/>
      </c>
      <c r="K1853" s="116"/>
      <c r="L1853" s="117"/>
      <c r="M1853" s="67"/>
      <c r="N1853" s="33">
        <f t="shared" si="276"/>
        <v>0</v>
      </c>
      <c r="O1853" s="70"/>
      <c r="P1853" s="34" t="str">
        <f t="shared" si="277"/>
        <v/>
      </c>
      <c r="Q1853" s="60"/>
      <c r="R1853" s="36">
        <f t="shared" si="312"/>
        <v>0</v>
      </c>
      <c r="S1853" s="71"/>
      <c r="T1853" s="37">
        <f t="shared" si="302"/>
        <v>0</v>
      </c>
      <c r="U1853" s="62"/>
      <c r="V1853" s="63"/>
      <c r="W1853" s="63"/>
      <c r="X1853" s="35" t="str">
        <f t="shared" si="303"/>
        <v>#N/A</v>
      </c>
      <c r="Y1853" s="35" t="str">
        <f t="shared" si="304"/>
        <v>#N/A</v>
      </c>
      <c r="Z1853" s="40" t="str">
        <f t="shared" si="305"/>
        <v>#N/A</v>
      </c>
      <c r="AA1853" s="34" t="str">
        <f t="shared" si="306"/>
        <v>#N/A</v>
      </c>
      <c r="AB1853" s="41" t="str">
        <f t="shared" si="307"/>
        <v>#N/A</v>
      </c>
      <c r="AC1853" s="42" t="b">
        <v>0</v>
      </c>
      <c r="AD1853" s="66" t="str">
        <f t="shared" si="308"/>
        <v>USD</v>
      </c>
      <c r="AE1853" s="42"/>
      <c r="AF1853" s="42" t="str">
        <f t="array" ref="AF1853">INDEX('Deal Info'!D:D, MATCH(A1853,'Deal Info'!A:A, 0))</f>
        <v>#N/A</v>
      </c>
      <c r="AG1853" s="43" t="str">
        <f t="array" ref="AG1853">INDEX('Deal Info'!G:G, MATCH(A1853,'Deal Info'!A:A, 0))</f>
        <v>#N/A</v>
      </c>
    </row>
    <row r="1854" hidden="1">
      <c r="A1854" s="23" t="b">
        <f t="array" ref="A1854">if(G1854='Room Info'!$B$1, INDEX('Room Info'!$A$2:$A3446, MATCH(B1854,'Room Info'!$B$2:$B3446, 0)),if(G1854='Room Info'!$C$1, INDEX('Room Info'!$A$2:$A3446, MATCH(B1854,'Room Info'!$C$2:$C3446, 0)),if(G1854='Room Info'!$D$1, INDEX('Room Info'!$A$2:$A3446, MATCH(B1854,'Room Info'!$D$2:$D3446, 0)),if(G1854='Room Info'!$E$1, INDEX('Room Info'!$A$2:$A3446, MATCH(B1854,'Room Info'!$E$2:$E3446, 0)),if(G1854='Room Info'!$F$1, INDEX('Room Info'!$A$2:$A3446, MATCH(B1854,'Room Info'!$F$2:$F3446, 0)),if(G1854='Room Info'!$H$1, INDEX('Room Info'!$A$2:$A3446, MATCH(B1854,'Room Info'!$H$2:$H3446, 0)),if(G1854='Room Info'!$G$1, INDEX('Room Info'!$A$2:$A3446, MATCH(B1854,'Room Info'!$G$2:$G3446, 0)))))))))</f>
        <v>0</v>
      </c>
      <c r="B1854" s="101"/>
      <c r="C1854" s="141"/>
      <c r="D1854" s="141"/>
      <c r="E1854" s="142"/>
      <c r="F1854" s="138"/>
      <c r="G1854" s="101"/>
      <c r="H1854" s="105"/>
      <c r="I1854" s="105"/>
      <c r="J1854" s="44" t="str">
        <f t="shared" si="311"/>
        <v/>
      </c>
      <c r="K1854" s="139"/>
      <c r="L1854" s="140"/>
      <c r="M1854" s="84"/>
      <c r="N1854" s="33">
        <f t="shared" si="276"/>
        <v>0</v>
      </c>
      <c r="O1854" s="101"/>
      <c r="P1854" s="34" t="str">
        <f t="shared" si="277"/>
        <v/>
      </c>
      <c r="Q1854" s="60"/>
      <c r="R1854" s="36">
        <f t="shared" si="312"/>
        <v>0</v>
      </c>
      <c r="S1854" s="102"/>
      <c r="T1854" s="37">
        <f t="shared" si="302"/>
        <v>0</v>
      </c>
      <c r="U1854" s="62"/>
      <c r="V1854" s="63"/>
      <c r="W1854" s="63"/>
      <c r="X1854" s="35" t="str">
        <f t="shared" si="303"/>
        <v>#N/A</v>
      </c>
      <c r="Y1854" s="35" t="str">
        <f t="shared" si="304"/>
        <v>#N/A</v>
      </c>
      <c r="Z1854" s="40" t="str">
        <f t="shared" si="305"/>
        <v>#N/A</v>
      </c>
      <c r="AA1854" s="34" t="str">
        <f t="shared" si="306"/>
        <v>#N/A</v>
      </c>
      <c r="AB1854" s="41" t="str">
        <f t="shared" si="307"/>
        <v>#N/A</v>
      </c>
      <c r="AC1854" s="42" t="b">
        <v>0</v>
      </c>
      <c r="AD1854" s="66" t="str">
        <f t="shared" si="308"/>
        <v>USD</v>
      </c>
      <c r="AE1854" s="42"/>
      <c r="AF1854" s="42" t="str">
        <f t="array" ref="AF1854">INDEX('Deal Info'!D:D, MATCH(A1854,'Deal Info'!A:A, 0))</f>
        <v>#N/A</v>
      </c>
      <c r="AG1854" s="43" t="str">
        <f t="array" ref="AG1854">INDEX('Deal Info'!G:G, MATCH(A1854,'Deal Info'!A:A, 0))</f>
        <v>#N/A</v>
      </c>
    </row>
    <row r="1855" hidden="1">
      <c r="A1855" s="23" t="b">
        <f t="array" ref="A1855">if(G1855='Room Info'!$B$1, INDEX('Room Info'!$A$2:$A3446, MATCH(B1855,'Room Info'!$B$2:$B3446, 0)),if(G1855='Room Info'!$C$1, INDEX('Room Info'!$A$2:$A3446, MATCH(B1855,'Room Info'!$C$2:$C3446, 0)),if(G1855='Room Info'!$D$1, INDEX('Room Info'!$A$2:$A3446, MATCH(B1855,'Room Info'!$D$2:$D3446, 0)),if(G1855='Room Info'!$E$1, INDEX('Room Info'!$A$2:$A3446, MATCH(B1855,'Room Info'!$E$2:$E3446, 0)),if(G1855='Room Info'!$F$1, INDEX('Room Info'!$A$2:$A3446, MATCH(B1855,'Room Info'!$F$2:$F3446, 0)),if(G1855='Room Info'!$H$1, INDEX('Room Info'!$A$2:$A3446, MATCH(B1855,'Room Info'!$H$2:$H3446, 0)),if(G1855='Room Info'!$G$1, INDEX('Room Info'!$A$2:$A3446, MATCH(B1855,'Room Info'!$G$2:$G3446, 0)))))))))</f>
        <v>0</v>
      </c>
      <c r="B1855" s="101"/>
      <c r="C1855" s="141"/>
      <c r="D1855" s="141"/>
      <c r="E1855" s="142"/>
      <c r="F1855" s="138"/>
      <c r="G1855" s="101"/>
      <c r="H1855" s="105"/>
      <c r="I1855" s="105"/>
      <c r="J1855" s="44" t="str">
        <f t="shared" si="311"/>
        <v/>
      </c>
      <c r="K1855" s="139"/>
      <c r="L1855" s="140"/>
      <c r="M1855" s="84"/>
      <c r="N1855" s="33">
        <f t="shared" si="276"/>
        <v>0</v>
      </c>
      <c r="O1855" s="101"/>
      <c r="P1855" s="34" t="str">
        <f t="shared" si="277"/>
        <v/>
      </c>
      <c r="Q1855" s="60"/>
      <c r="R1855" s="36">
        <f t="shared" si="312"/>
        <v>0</v>
      </c>
      <c r="S1855" s="102"/>
      <c r="T1855" s="37">
        <f t="shared" si="302"/>
        <v>0</v>
      </c>
      <c r="U1855" s="62"/>
      <c r="V1855" s="63"/>
      <c r="W1855" s="63"/>
      <c r="X1855" s="35" t="str">
        <f t="shared" si="303"/>
        <v>#N/A</v>
      </c>
      <c r="Y1855" s="35" t="str">
        <f t="shared" si="304"/>
        <v>#N/A</v>
      </c>
      <c r="Z1855" s="40" t="str">
        <f t="shared" si="305"/>
        <v>#N/A</v>
      </c>
      <c r="AA1855" s="34" t="str">
        <f t="shared" si="306"/>
        <v>#N/A</v>
      </c>
      <c r="AB1855" s="41" t="str">
        <f t="shared" si="307"/>
        <v>#N/A</v>
      </c>
      <c r="AC1855" s="42" t="b">
        <v>0</v>
      </c>
      <c r="AD1855" s="66" t="str">
        <f t="shared" si="308"/>
        <v>USD</v>
      </c>
      <c r="AE1855" s="42"/>
      <c r="AF1855" s="42" t="str">
        <f t="array" ref="AF1855">INDEX('Deal Info'!D:D, MATCH(A1855,'Deal Info'!A:A, 0))</f>
        <v>#N/A</v>
      </c>
      <c r="AG1855" s="43" t="str">
        <f t="array" ref="AG1855">INDEX('Deal Info'!G:G, MATCH(A1855,'Deal Info'!A:A, 0))</f>
        <v>#N/A</v>
      </c>
    </row>
    <row r="1856" hidden="1">
      <c r="A1856" s="23" t="b">
        <f t="array" ref="A1856">if(G1856='Room Info'!$B$1, INDEX('Room Info'!$A$2:$A3446, MATCH(B1856,'Room Info'!$B$2:$B3446, 0)),if(G1856='Room Info'!$C$1, INDEX('Room Info'!$A$2:$A3446, MATCH(B1856,'Room Info'!$C$2:$C3446, 0)),if(G1856='Room Info'!$D$1, INDEX('Room Info'!$A$2:$A3446, MATCH(B1856,'Room Info'!$D$2:$D3446, 0)),if(G1856='Room Info'!$E$1, INDEX('Room Info'!$A$2:$A3446, MATCH(B1856,'Room Info'!$E$2:$E3446, 0)),if(G1856='Room Info'!$F$1, INDEX('Room Info'!$A$2:$A3446, MATCH(B1856,'Room Info'!$F$2:$F3446, 0)),if(G1856='Room Info'!$H$1, INDEX('Room Info'!$A$2:$A3446, MATCH(B1856,'Room Info'!$H$2:$H3446, 0)),if(G1856='Room Info'!$G$1, INDEX('Room Info'!$A$2:$A3446, MATCH(B1856,'Room Info'!$G$2:$G3446, 0)))))))))</f>
        <v>0</v>
      </c>
      <c r="B1856" s="101"/>
      <c r="C1856" s="115"/>
      <c r="D1856" s="115"/>
      <c r="E1856" s="85"/>
      <c r="F1856" s="138"/>
      <c r="G1856" s="101"/>
      <c r="H1856" s="114"/>
      <c r="I1856" s="114"/>
      <c r="J1856" s="44" t="str">
        <f t="shared" si="311"/>
        <v/>
      </c>
      <c r="K1856" s="116"/>
      <c r="L1856" s="117"/>
      <c r="M1856" s="67"/>
      <c r="N1856" s="33">
        <f t="shared" si="276"/>
        <v>0</v>
      </c>
      <c r="O1856" s="70"/>
      <c r="P1856" s="34" t="str">
        <f t="shared" si="277"/>
        <v/>
      </c>
      <c r="Q1856" s="60"/>
      <c r="R1856" s="36">
        <f t="shared" si="312"/>
        <v>0</v>
      </c>
      <c r="S1856" s="71"/>
      <c r="T1856" s="37">
        <f t="shared" si="302"/>
        <v>0</v>
      </c>
      <c r="U1856" s="62"/>
      <c r="V1856" s="63"/>
      <c r="W1856" s="63"/>
      <c r="X1856" s="35" t="str">
        <f t="shared" si="303"/>
        <v>#N/A</v>
      </c>
      <c r="Y1856" s="35" t="str">
        <f t="shared" si="304"/>
        <v>#N/A</v>
      </c>
      <c r="Z1856" s="40" t="str">
        <f t="shared" si="305"/>
        <v>#N/A</v>
      </c>
      <c r="AA1856" s="34" t="str">
        <f t="shared" si="306"/>
        <v>#N/A</v>
      </c>
      <c r="AB1856" s="41" t="str">
        <f t="shared" si="307"/>
        <v>#N/A</v>
      </c>
      <c r="AC1856" s="42" t="b">
        <v>0</v>
      </c>
      <c r="AD1856" s="66" t="str">
        <f t="shared" si="308"/>
        <v>USD</v>
      </c>
      <c r="AE1856" s="42"/>
      <c r="AF1856" s="42" t="str">
        <f t="array" ref="AF1856">INDEX('Deal Info'!D:D, MATCH(A1856,'Deal Info'!A:A, 0))</f>
        <v>#N/A</v>
      </c>
      <c r="AG1856" s="43" t="str">
        <f t="array" ref="AG1856">INDEX('Deal Info'!G:G, MATCH(A1856,'Deal Info'!A:A, 0))</f>
        <v>#N/A</v>
      </c>
    </row>
    <row r="1857" hidden="1">
      <c r="A1857" s="23" t="b">
        <f t="array" ref="A1857">if(G1857='Room Info'!$B$1, INDEX('Room Info'!$A$2:$A3446, MATCH(B1857,'Room Info'!$B$2:$B3446, 0)),if(G1857='Room Info'!$C$1, INDEX('Room Info'!$A$2:$A3446, MATCH(B1857,'Room Info'!$C$2:$C3446, 0)),if(G1857='Room Info'!$D$1, INDEX('Room Info'!$A$2:$A3446, MATCH(B1857,'Room Info'!$D$2:$D3446, 0)),if(G1857='Room Info'!$E$1, INDEX('Room Info'!$A$2:$A3446, MATCH(B1857,'Room Info'!$E$2:$E3446, 0)),if(G1857='Room Info'!$F$1, INDEX('Room Info'!$A$2:$A3446, MATCH(B1857,'Room Info'!$F$2:$F3446, 0)),if(G1857='Room Info'!$H$1, INDEX('Room Info'!$A$2:$A3446, MATCH(B1857,'Room Info'!$H$2:$H3446, 0)),if(G1857='Room Info'!$G$1, INDEX('Room Info'!$A$2:$A3446, MATCH(B1857,'Room Info'!$G$2:$G3446, 0)))))))))</f>
        <v>0</v>
      </c>
      <c r="B1857" s="101"/>
      <c r="C1857" s="115"/>
      <c r="D1857" s="115"/>
      <c r="E1857" s="85"/>
      <c r="F1857" s="138"/>
      <c r="G1857" s="101"/>
      <c r="H1857" s="114"/>
      <c r="I1857" s="114"/>
      <c r="J1857" s="44" t="str">
        <f t="shared" si="311"/>
        <v/>
      </c>
      <c r="K1857" s="116"/>
      <c r="L1857" s="117"/>
      <c r="M1857" s="67"/>
      <c r="N1857" s="33">
        <f t="shared" si="276"/>
        <v>0</v>
      </c>
      <c r="O1857" s="70"/>
      <c r="P1857" s="34" t="str">
        <f t="shared" si="277"/>
        <v/>
      </c>
      <c r="Q1857" s="60"/>
      <c r="R1857" s="36">
        <f t="shared" si="312"/>
        <v>0</v>
      </c>
      <c r="S1857" s="71"/>
      <c r="T1857" s="37">
        <f t="shared" si="302"/>
        <v>0</v>
      </c>
      <c r="U1857" s="62"/>
      <c r="V1857" s="63"/>
      <c r="W1857" s="63"/>
      <c r="X1857" s="35" t="str">
        <f t="shared" si="303"/>
        <v>#N/A</v>
      </c>
      <c r="Y1857" s="35" t="str">
        <f t="shared" si="304"/>
        <v>#N/A</v>
      </c>
      <c r="Z1857" s="40" t="str">
        <f t="shared" si="305"/>
        <v>#N/A</v>
      </c>
      <c r="AA1857" s="34" t="str">
        <f t="shared" si="306"/>
        <v>#N/A</v>
      </c>
      <c r="AB1857" s="41" t="str">
        <f t="shared" si="307"/>
        <v>#N/A</v>
      </c>
      <c r="AC1857" s="42" t="b">
        <v>0</v>
      </c>
      <c r="AD1857" s="66" t="str">
        <f t="shared" si="308"/>
        <v>USD</v>
      </c>
      <c r="AE1857" s="42"/>
      <c r="AF1857" s="42" t="str">
        <f t="array" ref="AF1857">INDEX('Deal Info'!D:D, MATCH(A1857,'Deal Info'!A:A, 0))</f>
        <v>#N/A</v>
      </c>
      <c r="AG1857" s="43" t="str">
        <f t="array" ref="AG1857">INDEX('Deal Info'!G:G, MATCH(A1857,'Deal Info'!A:A, 0))</f>
        <v>#N/A</v>
      </c>
    </row>
    <row r="1858" hidden="1">
      <c r="A1858" s="23" t="b">
        <f t="array" ref="A1858">if(G1858='Room Info'!$B$1, INDEX('Room Info'!$A$2:$A3446, MATCH(B1858,'Room Info'!$B$2:$B3446, 0)),if(G1858='Room Info'!$C$1, INDEX('Room Info'!$A$2:$A3446, MATCH(B1858,'Room Info'!$C$2:$C3446, 0)),if(G1858='Room Info'!$D$1, INDEX('Room Info'!$A$2:$A3446, MATCH(B1858,'Room Info'!$D$2:$D3446, 0)),if(G1858='Room Info'!$E$1, INDEX('Room Info'!$A$2:$A3446, MATCH(B1858,'Room Info'!$E$2:$E3446, 0)),if(G1858='Room Info'!$F$1, INDEX('Room Info'!$A$2:$A3446, MATCH(B1858,'Room Info'!$F$2:$F3446, 0)),if(G1858='Room Info'!$H$1, INDEX('Room Info'!$A$2:$A3446, MATCH(B1858,'Room Info'!$H$2:$H3446, 0)),if(G1858='Room Info'!$G$1, INDEX('Room Info'!$A$2:$A3446, MATCH(B1858,'Room Info'!$G$2:$G3446, 0)))))))))</f>
        <v>0</v>
      </c>
      <c r="B1858" s="101"/>
      <c r="C1858" s="115"/>
      <c r="D1858" s="115"/>
      <c r="E1858" s="85"/>
      <c r="F1858" s="138"/>
      <c r="G1858" s="101"/>
      <c r="H1858" s="114"/>
      <c r="I1858" s="114"/>
      <c r="J1858" s="44" t="str">
        <f t="shared" si="311"/>
        <v/>
      </c>
      <c r="K1858" s="116"/>
      <c r="L1858" s="117"/>
      <c r="M1858" s="67"/>
      <c r="N1858" s="33">
        <f t="shared" si="276"/>
        <v>0</v>
      </c>
      <c r="O1858" s="70"/>
      <c r="P1858" s="34" t="str">
        <f t="shared" si="277"/>
        <v/>
      </c>
      <c r="Q1858" s="60"/>
      <c r="R1858" s="36">
        <f t="shared" si="312"/>
        <v>0</v>
      </c>
      <c r="S1858" s="71"/>
      <c r="T1858" s="37">
        <f t="shared" si="302"/>
        <v>0</v>
      </c>
      <c r="U1858" s="62"/>
      <c r="V1858" s="63"/>
      <c r="W1858" s="63"/>
      <c r="X1858" s="35" t="str">
        <f t="shared" si="303"/>
        <v>#N/A</v>
      </c>
      <c r="Y1858" s="35" t="str">
        <f t="shared" si="304"/>
        <v>#N/A</v>
      </c>
      <c r="Z1858" s="40" t="str">
        <f t="shared" si="305"/>
        <v>#N/A</v>
      </c>
      <c r="AA1858" s="34" t="str">
        <f t="shared" si="306"/>
        <v>#N/A</v>
      </c>
      <c r="AB1858" s="41" t="str">
        <f t="shared" si="307"/>
        <v>#N/A</v>
      </c>
      <c r="AC1858" s="42" t="b">
        <v>0</v>
      </c>
      <c r="AD1858" s="66" t="str">
        <f t="shared" si="308"/>
        <v>USD</v>
      </c>
      <c r="AE1858" s="42"/>
      <c r="AF1858" s="42" t="str">
        <f t="array" ref="AF1858">INDEX('Deal Info'!D:D, MATCH(A1858,'Deal Info'!A:A, 0))</f>
        <v>#N/A</v>
      </c>
      <c r="AG1858" s="43" t="str">
        <f t="array" ref="AG1858">INDEX('Deal Info'!G:G, MATCH(A1858,'Deal Info'!A:A, 0))</f>
        <v>#N/A</v>
      </c>
    </row>
    <row r="1859" hidden="1">
      <c r="A1859" s="23" t="b">
        <f t="array" ref="A1859">if(G1859='Room Info'!$B$1, INDEX('Room Info'!$A$2:$A3446, MATCH(B1859,'Room Info'!$B$2:$B3446, 0)),if(G1859='Room Info'!$C$1, INDEX('Room Info'!$A$2:$A3446, MATCH(B1859,'Room Info'!$C$2:$C3446, 0)),if(G1859='Room Info'!$D$1, INDEX('Room Info'!$A$2:$A3446, MATCH(B1859,'Room Info'!$D$2:$D3446, 0)),if(G1859='Room Info'!$E$1, INDEX('Room Info'!$A$2:$A3446, MATCH(B1859,'Room Info'!$E$2:$E3446, 0)),if(G1859='Room Info'!$F$1, INDEX('Room Info'!$A$2:$A3446, MATCH(B1859,'Room Info'!$F$2:$F3446, 0)),if(G1859='Room Info'!$H$1, INDEX('Room Info'!$A$2:$A3446, MATCH(B1859,'Room Info'!$H$2:$H3446, 0)),if(G1859='Room Info'!$G$1, INDEX('Room Info'!$A$2:$A3446, MATCH(B1859,'Room Info'!$G$2:$G3446, 0)))))))))</f>
        <v>0</v>
      </c>
      <c r="B1859" s="101"/>
      <c r="C1859" s="115"/>
      <c r="D1859" s="115"/>
      <c r="E1859" s="85"/>
      <c r="F1859" s="138"/>
      <c r="G1859" s="101"/>
      <c r="H1859" s="114"/>
      <c r="I1859" s="114"/>
      <c r="J1859" s="44" t="str">
        <f t="shared" si="311"/>
        <v/>
      </c>
      <c r="K1859" s="116"/>
      <c r="L1859" s="117"/>
      <c r="M1859" s="67"/>
      <c r="N1859" s="33">
        <f t="shared" si="276"/>
        <v>0</v>
      </c>
      <c r="O1859" s="70"/>
      <c r="P1859" s="34" t="str">
        <f t="shared" si="277"/>
        <v/>
      </c>
      <c r="Q1859" s="60"/>
      <c r="R1859" s="36">
        <f t="shared" si="312"/>
        <v>0</v>
      </c>
      <c r="S1859" s="71"/>
      <c r="T1859" s="37">
        <f t="shared" si="302"/>
        <v>0</v>
      </c>
      <c r="U1859" s="62"/>
      <c r="V1859" s="63"/>
      <c r="W1859" s="63"/>
      <c r="X1859" s="35" t="str">
        <f t="shared" si="303"/>
        <v>#N/A</v>
      </c>
      <c r="Y1859" s="35" t="str">
        <f t="shared" si="304"/>
        <v>#N/A</v>
      </c>
      <c r="Z1859" s="40" t="str">
        <f t="shared" si="305"/>
        <v>#N/A</v>
      </c>
      <c r="AA1859" s="34" t="str">
        <f t="shared" si="306"/>
        <v>#N/A</v>
      </c>
      <c r="AB1859" s="41" t="str">
        <f t="shared" si="307"/>
        <v>#N/A</v>
      </c>
      <c r="AC1859" s="42" t="b">
        <v>0</v>
      </c>
      <c r="AD1859" s="66" t="str">
        <f t="shared" si="308"/>
        <v>USD</v>
      </c>
      <c r="AE1859" s="42"/>
      <c r="AF1859" s="42" t="str">
        <f t="array" ref="AF1859">INDEX('Deal Info'!D:D, MATCH(A1859,'Deal Info'!A:A, 0))</f>
        <v>#N/A</v>
      </c>
      <c r="AG1859" s="43" t="str">
        <f t="array" ref="AG1859">INDEX('Deal Info'!G:G, MATCH(A1859,'Deal Info'!A:A, 0))</f>
        <v>#N/A</v>
      </c>
    </row>
    <row r="1860" hidden="1">
      <c r="A1860" s="23" t="b">
        <f t="array" ref="A1860">if(G1860='Room Info'!$B$1, INDEX('Room Info'!$A$2:$A3446, MATCH(B1860,'Room Info'!$B$2:$B3446, 0)),if(G1860='Room Info'!$C$1, INDEX('Room Info'!$A$2:$A3446, MATCH(B1860,'Room Info'!$C$2:$C3446, 0)),if(G1860='Room Info'!$D$1, INDEX('Room Info'!$A$2:$A3446, MATCH(B1860,'Room Info'!$D$2:$D3446, 0)),if(G1860='Room Info'!$E$1, INDEX('Room Info'!$A$2:$A3446, MATCH(B1860,'Room Info'!$E$2:$E3446, 0)),if(G1860='Room Info'!$F$1, INDEX('Room Info'!$A$2:$A3446, MATCH(B1860,'Room Info'!$F$2:$F3446, 0)),if(G1860='Room Info'!$H$1, INDEX('Room Info'!$A$2:$A3446, MATCH(B1860,'Room Info'!$H$2:$H3446, 0)),if(G1860='Room Info'!$G$1, INDEX('Room Info'!$A$2:$A3446, MATCH(B1860,'Room Info'!$G$2:$G3446, 0)))))))))</f>
        <v>0</v>
      </c>
      <c r="B1860" s="101"/>
      <c r="C1860" s="115"/>
      <c r="D1860" s="115"/>
      <c r="E1860" s="85"/>
      <c r="F1860" s="138"/>
      <c r="G1860" s="101"/>
      <c r="H1860" s="114"/>
      <c r="I1860" s="114"/>
      <c r="J1860" s="44" t="str">
        <f t="shared" si="311"/>
        <v/>
      </c>
      <c r="K1860" s="116"/>
      <c r="L1860" s="117"/>
      <c r="M1860" s="67"/>
      <c r="N1860" s="33">
        <f t="shared" si="276"/>
        <v>0</v>
      </c>
      <c r="O1860" s="70"/>
      <c r="P1860" s="34" t="str">
        <f t="shared" si="277"/>
        <v/>
      </c>
      <c r="Q1860" s="60"/>
      <c r="R1860" s="36">
        <f t="shared" si="312"/>
        <v>0</v>
      </c>
      <c r="S1860" s="71"/>
      <c r="T1860" s="37">
        <f t="shared" si="302"/>
        <v>0</v>
      </c>
      <c r="U1860" s="62"/>
      <c r="V1860" s="63"/>
      <c r="W1860" s="63"/>
      <c r="X1860" s="35" t="str">
        <f t="shared" si="303"/>
        <v>#N/A</v>
      </c>
      <c r="Y1860" s="35" t="str">
        <f t="shared" si="304"/>
        <v>#N/A</v>
      </c>
      <c r="Z1860" s="40" t="str">
        <f t="shared" si="305"/>
        <v>#N/A</v>
      </c>
      <c r="AA1860" s="34" t="str">
        <f t="shared" si="306"/>
        <v>#N/A</v>
      </c>
      <c r="AB1860" s="41" t="str">
        <f t="shared" si="307"/>
        <v>#N/A</v>
      </c>
      <c r="AC1860" s="42" t="b">
        <v>0</v>
      </c>
      <c r="AD1860" s="66" t="str">
        <f t="shared" si="308"/>
        <v>USD</v>
      </c>
      <c r="AE1860" s="42"/>
      <c r="AF1860" s="42" t="str">
        <f t="array" ref="AF1860">INDEX('Deal Info'!D:D, MATCH(A1860,'Deal Info'!A:A, 0))</f>
        <v>#N/A</v>
      </c>
      <c r="AG1860" s="43" t="str">
        <f t="array" ref="AG1860">INDEX('Deal Info'!G:G, MATCH(A1860,'Deal Info'!A:A, 0))</f>
        <v>#N/A</v>
      </c>
    </row>
    <row r="1861" hidden="1">
      <c r="A1861" s="23" t="b">
        <f t="array" ref="A1861">if(G1861='Room Info'!$B$1, INDEX('Room Info'!$A$2:$A3446, MATCH(B1861,'Room Info'!$B$2:$B3446, 0)),if(G1861='Room Info'!$C$1, INDEX('Room Info'!$A$2:$A3446, MATCH(B1861,'Room Info'!$C$2:$C3446, 0)),if(G1861='Room Info'!$D$1, INDEX('Room Info'!$A$2:$A3446, MATCH(B1861,'Room Info'!$D$2:$D3446, 0)),if(G1861='Room Info'!$E$1, INDEX('Room Info'!$A$2:$A3446, MATCH(B1861,'Room Info'!$E$2:$E3446, 0)),if(G1861='Room Info'!$F$1, INDEX('Room Info'!$A$2:$A3446, MATCH(B1861,'Room Info'!$F$2:$F3446, 0)),if(G1861='Room Info'!$H$1, INDEX('Room Info'!$A$2:$A3446, MATCH(B1861,'Room Info'!$H$2:$H3446, 0)),if(G1861='Room Info'!$G$1, INDEX('Room Info'!$A$2:$A3446, MATCH(B1861,'Room Info'!$G$2:$G3446, 0)))))))))</f>
        <v>0</v>
      </c>
      <c r="B1861" s="101"/>
      <c r="C1861" s="115"/>
      <c r="D1861" s="115"/>
      <c r="E1861" s="85"/>
      <c r="F1861" s="101"/>
      <c r="G1861" s="70"/>
      <c r="H1861" s="114"/>
      <c r="I1861" s="114"/>
      <c r="J1861" s="44" t="str">
        <f t="shared" si="311"/>
        <v/>
      </c>
      <c r="K1861" s="139"/>
      <c r="L1861" s="140"/>
      <c r="M1861" s="67"/>
      <c r="N1861" s="33">
        <f t="shared" si="276"/>
        <v>0</v>
      </c>
      <c r="O1861" s="101"/>
      <c r="P1861" s="34" t="str">
        <f t="shared" si="277"/>
        <v/>
      </c>
      <c r="Q1861" s="60"/>
      <c r="R1861" s="36">
        <f t="shared" si="312"/>
        <v>0</v>
      </c>
      <c r="S1861" s="102"/>
      <c r="T1861" s="37">
        <f t="shared" si="302"/>
        <v>0</v>
      </c>
      <c r="U1861" s="62"/>
      <c r="V1861" s="63"/>
      <c r="W1861" s="63"/>
      <c r="X1861" s="35" t="str">
        <f t="shared" si="303"/>
        <v>#N/A</v>
      </c>
      <c r="Y1861" s="35" t="str">
        <f t="shared" si="304"/>
        <v>#N/A</v>
      </c>
      <c r="Z1861" s="40" t="str">
        <f t="shared" si="305"/>
        <v>#N/A</v>
      </c>
      <c r="AA1861" s="34" t="str">
        <f t="shared" si="306"/>
        <v>#N/A</v>
      </c>
      <c r="AB1861" s="41" t="str">
        <f t="shared" si="307"/>
        <v>#N/A</v>
      </c>
      <c r="AC1861" s="42" t="b">
        <v>0</v>
      </c>
      <c r="AD1861" s="66" t="str">
        <f t="shared" si="308"/>
        <v>USD</v>
      </c>
      <c r="AE1861" s="42"/>
      <c r="AF1861" s="42" t="str">
        <f t="array" ref="AF1861">INDEX('Deal Info'!D:D, MATCH(A1861,'Deal Info'!A:A, 0))</f>
        <v>#N/A</v>
      </c>
      <c r="AG1861" s="43" t="str">
        <f t="array" ref="AG1861">INDEX('Deal Info'!G:G, MATCH(A1861,'Deal Info'!A:A, 0))</f>
        <v>#N/A</v>
      </c>
    </row>
    <row r="1862" hidden="1">
      <c r="A1862" s="23" t="b">
        <f t="array" ref="A1862">if(G1862='Room Info'!$B$1, INDEX('Room Info'!$A$2:$A3446, MATCH(B1862,'Room Info'!$B$2:$B3446, 0)),if(G1862='Room Info'!$C$1, INDEX('Room Info'!$A$2:$A3446, MATCH(B1862,'Room Info'!$C$2:$C3446, 0)),if(G1862='Room Info'!$D$1, INDEX('Room Info'!$A$2:$A3446, MATCH(B1862,'Room Info'!$D$2:$D3446, 0)),if(G1862='Room Info'!$E$1, INDEX('Room Info'!$A$2:$A3446, MATCH(B1862,'Room Info'!$E$2:$E3446, 0)),if(G1862='Room Info'!$F$1, INDEX('Room Info'!$A$2:$A3446, MATCH(B1862,'Room Info'!$F$2:$F3446, 0)),if(G1862='Room Info'!$H$1, INDEX('Room Info'!$A$2:$A3446, MATCH(B1862,'Room Info'!$H$2:$H3446, 0)),if(G1862='Room Info'!$G$1, INDEX('Room Info'!$A$2:$A3446, MATCH(B1862,'Room Info'!$G$2:$G3446, 0)))))))))</f>
        <v>0</v>
      </c>
      <c r="B1862" s="101"/>
      <c r="C1862" s="115"/>
      <c r="D1862" s="115"/>
      <c r="E1862" s="85"/>
      <c r="F1862" s="101"/>
      <c r="G1862" s="70"/>
      <c r="H1862" s="114"/>
      <c r="I1862" s="114"/>
      <c r="J1862" s="44" t="str">
        <f t="shared" si="311"/>
        <v/>
      </c>
      <c r="K1862" s="139"/>
      <c r="L1862" s="140"/>
      <c r="M1862" s="67"/>
      <c r="N1862" s="33">
        <f t="shared" si="276"/>
        <v>0</v>
      </c>
      <c r="O1862" s="101"/>
      <c r="P1862" s="34" t="str">
        <f t="shared" si="277"/>
        <v/>
      </c>
      <c r="Q1862" s="60"/>
      <c r="R1862" s="36">
        <f t="shared" si="312"/>
        <v>0</v>
      </c>
      <c r="S1862" s="102"/>
      <c r="T1862" s="37">
        <f t="shared" si="302"/>
        <v>0</v>
      </c>
      <c r="U1862" s="62"/>
      <c r="V1862" s="63"/>
      <c r="W1862" s="63"/>
      <c r="X1862" s="35" t="str">
        <f t="shared" si="303"/>
        <v>#N/A</v>
      </c>
      <c r="Y1862" s="35" t="str">
        <f t="shared" si="304"/>
        <v>#N/A</v>
      </c>
      <c r="Z1862" s="40" t="str">
        <f t="shared" si="305"/>
        <v>#N/A</v>
      </c>
      <c r="AA1862" s="34" t="str">
        <f t="shared" si="306"/>
        <v>#N/A</v>
      </c>
      <c r="AB1862" s="41" t="str">
        <f t="shared" si="307"/>
        <v>#N/A</v>
      </c>
      <c r="AC1862" s="42" t="b">
        <v>0</v>
      </c>
      <c r="AD1862" s="66" t="str">
        <f t="shared" si="308"/>
        <v>USD</v>
      </c>
      <c r="AE1862" s="42"/>
      <c r="AF1862" s="42" t="str">
        <f t="array" ref="AF1862">INDEX('Deal Info'!D:D, MATCH(A1862,'Deal Info'!A:A, 0))</f>
        <v>#N/A</v>
      </c>
      <c r="AG1862" s="43" t="str">
        <f t="array" ref="AG1862">INDEX('Deal Info'!G:G, MATCH(A1862,'Deal Info'!A:A, 0))</f>
        <v>#N/A</v>
      </c>
    </row>
    <row r="1863" hidden="1">
      <c r="A1863" s="23" t="b">
        <f t="array" ref="A1863">if(G1863='Room Info'!$B$1, INDEX('Room Info'!$A$2:$A3446, MATCH(B1863,'Room Info'!$B$2:$B3446, 0)),if(G1863='Room Info'!$C$1, INDEX('Room Info'!$A$2:$A3446, MATCH(B1863,'Room Info'!$C$2:$C3446, 0)),if(G1863='Room Info'!$D$1, INDEX('Room Info'!$A$2:$A3446, MATCH(B1863,'Room Info'!$D$2:$D3446, 0)),if(G1863='Room Info'!$E$1, INDEX('Room Info'!$A$2:$A3446, MATCH(B1863,'Room Info'!$E$2:$E3446, 0)),if(G1863='Room Info'!$F$1, INDEX('Room Info'!$A$2:$A3446, MATCH(B1863,'Room Info'!$F$2:$F3446, 0)),if(G1863='Room Info'!$H$1, INDEX('Room Info'!$A$2:$A3446, MATCH(B1863,'Room Info'!$H$2:$H3446, 0)),if(G1863='Room Info'!$G$1, INDEX('Room Info'!$A$2:$A3446, MATCH(B1863,'Room Info'!$G$2:$G3446, 0)))))))))</f>
        <v>0</v>
      </c>
      <c r="B1863" s="101"/>
      <c r="C1863" s="115"/>
      <c r="D1863" s="115"/>
      <c r="E1863" s="85"/>
      <c r="F1863" s="138"/>
      <c r="G1863" s="101"/>
      <c r="H1863" s="114"/>
      <c r="I1863" s="114"/>
      <c r="J1863" s="44" t="str">
        <f t="shared" si="311"/>
        <v/>
      </c>
      <c r="K1863" s="116"/>
      <c r="L1863" s="117"/>
      <c r="M1863" s="67"/>
      <c r="N1863" s="33">
        <f t="shared" si="276"/>
        <v>0</v>
      </c>
      <c r="O1863" s="70"/>
      <c r="P1863" s="34" t="str">
        <f t="shared" si="277"/>
        <v/>
      </c>
      <c r="Q1863" s="60"/>
      <c r="R1863" s="36">
        <f t="shared" si="312"/>
        <v>0</v>
      </c>
      <c r="S1863" s="71"/>
      <c r="T1863" s="37">
        <f t="shared" si="302"/>
        <v>0</v>
      </c>
      <c r="U1863" s="62"/>
      <c r="V1863" s="63"/>
      <c r="W1863" s="63"/>
      <c r="X1863" s="35" t="str">
        <f t="shared" si="303"/>
        <v>#N/A</v>
      </c>
      <c r="Y1863" s="35" t="str">
        <f t="shared" si="304"/>
        <v>#N/A</v>
      </c>
      <c r="Z1863" s="40" t="str">
        <f t="shared" si="305"/>
        <v>#N/A</v>
      </c>
      <c r="AA1863" s="34" t="str">
        <f t="shared" si="306"/>
        <v>#N/A</v>
      </c>
      <c r="AB1863" s="41" t="str">
        <f t="shared" si="307"/>
        <v>#N/A</v>
      </c>
      <c r="AC1863" s="42" t="b">
        <v>0</v>
      </c>
      <c r="AD1863" s="66" t="str">
        <f t="shared" si="308"/>
        <v>USD</v>
      </c>
      <c r="AE1863" s="42"/>
      <c r="AF1863" s="42" t="str">
        <f t="array" ref="AF1863">INDEX('Deal Info'!D:D, MATCH(A1863,'Deal Info'!A:A, 0))</f>
        <v>#N/A</v>
      </c>
      <c r="AG1863" s="43" t="str">
        <f t="array" ref="AG1863">INDEX('Deal Info'!G:G, MATCH(A1863,'Deal Info'!A:A, 0))</f>
        <v>#N/A</v>
      </c>
    </row>
    <row r="1864" hidden="1">
      <c r="A1864" s="23" t="b">
        <f t="array" ref="A1864">if(G1864='Room Info'!$B$1, INDEX('Room Info'!$A$2:$A3446, MATCH(B1864,'Room Info'!$B$2:$B3446, 0)),if(G1864='Room Info'!$C$1, INDEX('Room Info'!$A$2:$A3446, MATCH(B1864,'Room Info'!$C$2:$C3446, 0)),if(G1864='Room Info'!$D$1, INDEX('Room Info'!$A$2:$A3446, MATCH(B1864,'Room Info'!$D$2:$D3446, 0)),if(G1864='Room Info'!$E$1, INDEX('Room Info'!$A$2:$A3446, MATCH(B1864,'Room Info'!$E$2:$E3446, 0)),if(G1864='Room Info'!$F$1, INDEX('Room Info'!$A$2:$A3446, MATCH(B1864,'Room Info'!$F$2:$F3446, 0)),if(G1864='Room Info'!$H$1, INDEX('Room Info'!$A$2:$A3446, MATCH(B1864,'Room Info'!$H$2:$H3446, 0)),if(G1864='Room Info'!$G$1, INDEX('Room Info'!$A$2:$A3446, MATCH(B1864,'Room Info'!$G$2:$G3446, 0)))))))))</f>
        <v>0</v>
      </c>
      <c r="B1864" s="101"/>
      <c r="C1864" s="115"/>
      <c r="D1864" s="115"/>
      <c r="E1864" s="85"/>
      <c r="F1864" s="138"/>
      <c r="G1864" s="101"/>
      <c r="H1864" s="114"/>
      <c r="I1864" s="114"/>
      <c r="J1864" s="44" t="str">
        <f t="shared" si="311"/>
        <v/>
      </c>
      <c r="K1864" s="116"/>
      <c r="L1864" s="117"/>
      <c r="M1864" s="67"/>
      <c r="N1864" s="33">
        <f t="shared" si="276"/>
        <v>0</v>
      </c>
      <c r="O1864" s="70"/>
      <c r="P1864" s="34" t="str">
        <f t="shared" si="277"/>
        <v/>
      </c>
      <c r="Q1864" s="60"/>
      <c r="R1864" s="36">
        <f t="shared" si="312"/>
        <v>0</v>
      </c>
      <c r="S1864" s="71"/>
      <c r="T1864" s="37">
        <f t="shared" si="302"/>
        <v>0</v>
      </c>
      <c r="U1864" s="62"/>
      <c r="V1864" s="63"/>
      <c r="W1864" s="63"/>
      <c r="X1864" s="35" t="str">
        <f t="shared" si="303"/>
        <v>#N/A</v>
      </c>
      <c r="Y1864" s="35" t="str">
        <f t="shared" si="304"/>
        <v>#N/A</v>
      </c>
      <c r="Z1864" s="40" t="str">
        <f t="shared" si="305"/>
        <v>#N/A</v>
      </c>
      <c r="AA1864" s="34" t="str">
        <f t="shared" si="306"/>
        <v>#N/A</v>
      </c>
      <c r="AB1864" s="41" t="str">
        <f t="shared" si="307"/>
        <v>#N/A</v>
      </c>
      <c r="AC1864" s="42" t="b">
        <v>0</v>
      </c>
      <c r="AD1864" s="66" t="str">
        <f t="shared" si="308"/>
        <v>USD</v>
      </c>
      <c r="AE1864" s="42"/>
      <c r="AF1864" s="42" t="str">
        <f t="array" ref="AF1864">INDEX('Deal Info'!D:D, MATCH(A1864,'Deal Info'!A:A, 0))</f>
        <v>#N/A</v>
      </c>
      <c r="AG1864" s="43" t="str">
        <f t="array" ref="AG1864">INDEX('Deal Info'!G:G, MATCH(A1864,'Deal Info'!A:A, 0))</f>
        <v>#N/A</v>
      </c>
    </row>
    <row r="1865" hidden="1">
      <c r="A1865" s="23" t="b">
        <f t="array" ref="A1865">if(G1865='Room Info'!$B$1, INDEX('Room Info'!$A$2:$A3446, MATCH(B1865,'Room Info'!$B$2:$B3446, 0)),if(G1865='Room Info'!$C$1, INDEX('Room Info'!$A$2:$A3446, MATCH(B1865,'Room Info'!$C$2:$C3446, 0)),if(G1865='Room Info'!$D$1, INDEX('Room Info'!$A$2:$A3446, MATCH(B1865,'Room Info'!$D$2:$D3446, 0)),if(G1865='Room Info'!$E$1, INDEX('Room Info'!$A$2:$A3446, MATCH(B1865,'Room Info'!$E$2:$E3446, 0)),if(G1865='Room Info'!$F$1, INDEX('Room Info'!$A$2:$A3446, MATCH(B1865,'Room Info'!$F$2:$F3446, 0)),if(G1865='Room Info'!$H$1, INDEX('Room Info'!$A$2:$A3446, MATCH(B1865,'Room Info'!$H$2:$H3446, 0)),if(G1865='Room Info'!$G$1, INDEX('Room Info'!$A$2:$A3446, MATCH(B1865,'Room Info'!$G$2:$G3446, 0)))))))))</f>
        <v>0</v>
      </c>
      <c r="B1865" s="101"/>
      <c r="C1865" s="115"/>
      <c r="D1865" s="115"/>
      <c r="E1865" s="85"/>
      <c r="F1865" s="138"/>
      <c r="G1865" s="101"/>
      <c r="H1865" s="114"/>
      <c r="I1865" s="114"/>
      <c r="J1865" s="44" t="str">
        <f t="shared" si="311"/>
        <v/>
      </c>
      <c r="K1865" s="116"/>
      <c r="L1865" s="117"/>
      <c r="M1865" s="67"/>
      <c r="N1865" s="33">
        <f t="shared" si="276"/>
        <v>0</v>
      </c>
      <c r="O1865" s="70"/>
      <c r="P1865" s="34" t="str">
        <f t="shared" si="277"/>
        <v/>
      </c>
      <c r="Q1865" s="60"/>
      <c r="R1865" s="36">
        <f t="shared" si="312"/>
        <v>0</v>
      </c>
      <c r="S1865" s="71"/>
      <c r="T1865" s="37">
        <f t="shared" si="302"/>
        <v>0</v>
      </c>
      <c r="U1865" s="62"/>
      <c r="V1865" s="63"/>
      <c r="W1865" s="63"/>
      <c r="X1865" s="35" t="str">
        <f t="shared" si="303"/>
        <v>#N/A</v>
      </c>
      <c r="Y1865" s="35" t="str">
        <f t="shared" si="304"/>
        <v>#N/A</v>
      </c>
      <c r="Z1865" s="40" t="str">
        <f t="shared" si="305"/>
        <v>#N/A</v>
      </c>
      <c r="AA1865" s="34" t="str">
        <f t="shared" si="306"/>
        <v>#N/A</v>
      </c>
      <c r="AB1865" s="41" t="str">
        <f t="shared" si="307"/>
        <v>#N/A</v>
      </c>
      <c r="AC1865" s="42" t="b">
        <v>0</v>
      </c>
      <c r="AD1865" s="66" t="str">
        <f t="shared" si="308"/>
        <v>USD</v>
      </c>
      <c r="AE1865" s="42"/>
      <c r="AF1865" s="42" t="str">
        <f t="array" ref="AF1865">INDEX('Deal Info'!D:D, MATCH(A1865,'Deal Info'!A:A, 0))</f>
        <v>#N/A</v>
      </c>
      <c r="AG1865" s="43" t="str">
        <f t="array" ref="AG1865">INDEX('Deal Info'!G:G, MATCH(A1865,'Deal Info'!A:A, 0))</f>
        <v>#N/A</v>
      </c>
    </row>
    <row r="1866" hidden="1">
      <c r="A1866" s="23" t="b">
        <f t="array" ref="A1866">if(G1866='Room Info'!$B$1, INDEX('Room Info'!$A$2:$A3446, MATCH(B1866,'Room Info'!$B$2:$B3446, 0)),if(G1866='Room Info'!$C$1, INDEX('Room Info'!$A$2:$A3446, MATCH(B1866,'Room Info'!$C$2:$C3446, 0)),if(G1866='Room Info'!$D$1, INDEX('Room Info'!$A$2:$A3446, MATCH(B1866,'Room Info'!$D$2:$D3446, 0)),if(G1866='Room Info'!$E$1, INDEX('Room Info'!$A$2:$A3446, MATCH(B1866,'Room Info'!$E$2:$E3446, 0)),if(G1866='Room Info'!$F$1, INDEX('Room Info'!$A$2:$A3446, MATCH(B1866,'Room Info'!$F$2:$F3446, 0)),if(G1866='Room Info'!$H$1, INDEX('Room Info'!$A$2:$A3446, MATCH(B1866,'Room Info'!$H$2:$H3446, 0)),if(G1866='Room Info'!$G$1, INDEX('Room Info'!$A$2:$A3446, MATCH(B1866,'Room Info'!$G$2:$G3446, 0)))))))))</f>
        <v>0</v>
      </c>
      <c r="B1866" s="101"/>
      <c r="C1866" s="115"/>
      <c r="D1866" s="115"/>
      <c r="E1866" s="85"/>
      <c r="F1866" s="138"/>
      <c r="G1866" s="101"/>
      <c r="H1866" s="114"/>
      <c r="I1866" s="114"/>
      <c r="J1866" s="44" t="str">
        <f t="shared" si="311"/>
        <v/>
      </c>
      <c r="K1866" s="116"/>
      <c r="L1866" s="117"/>
      <c r="M1866" s="67"/>
      <c r="N1866" s="33">
        <f t="shared" si="276"/>
        <v>0</v>
      </c>
      <c r="O1866" s="70"/>
      <c r="P1866" s="34" t="str">
        <f t="shared" si="277"/>
        <v/>
      </c>
      <c r="Q1866" s="60"/>
      <c r="R1866" s="36">
        <f t="shared" si="312"/>
        <v>0</v>
      </c>
      <c r="S1866" s="71"/>
      <c r="T1866" s="37">
        <f t="shared" si="302"/>
        <v>0</v>
      </c>
      <c r="U1866" s="62"/>
      <c r="V1866" s="63"/>
      <c r="W1866" s="63"/>
      <c r="X1866" s="35" t="str">
        <f t="shared" si="303"/>
        <v>#N/A</v>
      </c>
      <c r="Y1866" s="35" t="str">
        <f t="shared" si="304"/>
        <v>#N/A</v>
      </c>
      <c r="Z1866" s="40" t="str">
        <f t="shared" si="305"/>
        <v>#N/A</v>
      </c>
      <c r="AA1866" s="34" t="str">
        <f t="shared" si="306"/>
        <v>#N/A</v>
      </c>
      <c r="AB1866" s="41" t="str">
        <f t="shared" si="307"/>
        <v>#N/A</v>
      </c>
      <c r="AC1866" s="42" t="b">
        <v>0</v>
      </c>
      <c r="AD1866" s="66" t="str">
        <f t="shared" si="308"/>
        <v>USD</v>
      </c>
      <c r="AE1866" s="42"/>
      <c r="AF1866" s="42" t="str">
        <f t="array" ref="AF1866">INDEX('Deal Info'!D:D, MATCH(A1866,'Deal Info'!A:A, 0))</f>
        <v>#N/A</v>
      </c>
      <c r="AG1866" s="43" t="str">
        <f t="array" ref="AG1866">INDEX('Deal Info'!G:G, MATCH(A1866,'Deal Info'!A:A, 0))</f>
        <v>#N/A</v>
      </c>
    </row>
    <row r="1867" hidden="1">
      <c r="A1867" s="23" t="b">
        <f t="array" ref="A1867">if(G1867='Room Info'!$B$1, INDEX('Room Info'!$A$2:$A3446, MATCH(B1867,'Room Info'!$B$2:$B3446, 0)),if(G1867='Room Info'!$C$1, INDEX('Room Info'!$A$2:$A3446, MATCH(B1867,'Room Info'!$C$2:$C3446, 0)),if(G1867='Room Info'!$D$1, INDEX('Room Info'!$A$2:$A3446, MATCH(B1867,'Room Info'!$D$2:$D3446, 0)),if(G1867='Room Info'!$E$1, INDEX('Room Info'!$A$2:$A3446, MATCH(B1867,'Room Info'!$E$2:$E3446, 0)),if(G1867='Room Info'!$F$1, INDEX('Room Info'!$A$2:$A3446, MATCH(B1867,'Room Info'!$F$2:$F3446, 0)),if(G1867='Room Info'!$H$1, INDEX('Room Info'!$A$2:$A3446, MATCH(B1867,'Room Info'!$H$2:$H3446, 0)),if(G1867='Room Info'!$G$1, INDEX('Room Info'!$A$2:$A3446, MATCH(B1867,'Room Info'!$G$2:$G3446, 0)))))))))</f>
        <v>0</v>
      </c>
      <c r="B1867" s="101"/>
      <c r="C1867" s="141"/>
      <c r="D1867" s="141"/>
      <c r="E1867" s="142"/>
      <c r="F1867" s="138"/>
      <c r="G1867" s="101"/>
      <c r="H1867" s="105"/>
      <c r="I1867" s="105"/>
      <c r="J1867" s="44" t="str">
        <f t="shared" si="311"/>
        <v/>
      </c>
      <c r="K1867" s="139"/>
      <c r="L1867" s="140"/>
      <c r="M1867" s="84"/>
      <c r="N1867" s="33">
        <f t="shared" si="276"/>
        <v>0</v>
      </c>
      <c r="O1867" s="101"/>
      <c r="P1867" s="34" t="str">
        <f t="shared" si="277"/>
        <v/>
      </c>
      <c r="Q1867" s="60"/>
      <c r="R1867" s="36">
        <f t="shared" si="312"/>
        <v>0</v>
      </c>
      <c r="S1867" s="102"/>
      <c r="T1867" s="37">
        <f t="shared" si="302"/>
        <v>0</v>
      </c>
      <c r="U1867" s="62"/>
      <c r="V1867" s="63"/>
      <c r="W1867" s="63"/>
      <c r="X1867" s="35" t="str">
        <f t="shared" si="303"/>
        <v>#N/A</v>
      </c>
      <c r="Y1867" s="35" t="str">
        <f t="shared" si="304"/>
        <v>#N/A</v>
      </c>
      <c r="Z1867" s="40" t="str">
        <f t="shared" si="305"/>
        <v>#N/A</v>
      </c>
      <c r="AA1867" s="34" t="str">
        <f t="shared" si="306"/>
        <v>#N/A</v>
      </c>
      <c r="AB1867" s="41" t="str">
        <f t="shared" si="307"/>
        <v>#N/A</v>
      </c>
      <c r="AC1867" s="42" t="b">
        <v>0</v>
      </c>
      <c r="AD1867" s="66" t="str">
        <f t="shared" si="308"/>
        <v>USD</v>
      </c>
      <c r="AE1867" s="42"/>
      <c r="AF1867" s="42" t="str">
        <f t="array" ref="AF1867">INDEX('Deal Info'!D:D, MATCH(A1867,'Deal Info'!A:A, 0))</f>
        <v>#N/A</v>
      </c>
      <c r="AG1867" s="43" t="str">
        <f t="array" ref="AG1867">INDEX('Deal Info'!G:G, MATCH(A1867,'Deal Info'!A:A, 0))</f>
        <v>#N/A</v>
      </c>
    </row>
    <row r="1868" hidden="1">
      <c r="A1868" s="23" t="b">
        <f t="array" ref="A1868">if(G1868='Room Info'!$B$1, INDEX('Room Info'!$A$2:$A3446, MATCH(B1868,'Room Info'!$B$2:$B3446, 0)),if(G1868='Room Info'!$C$1, INDEX('Room Info'!$A$2:$A3446, MATCH(B1868,'Room Info'!$C$2:$C3446, 0)),if(G1868='Room Info'!$D$1, INDEX('Room Info'!$A$2:$A3446, MATCH(B1868,'Room Info'!$D$2:$D3446, 0)),if(G1868='Room Info'!$E$1, INDEX('Room Info'!$A$2:$A3446, MATCH(B1868,'Room Info'!$E$2:$E3446, 0)),if(G1868='Room Info'!$F$1, INDEX('Room Info'!$A$2:$A3446, MATCH(B1868,'Room Info'!$F$2:$F3446, 0)),if(G1868='Room Info'!$H$1, INDEX('Room Info'!$A$2:$A3446, MATCH(B1868,'Room Info'!$H$2:$H3446, 0)),if(G1868='Room Info'!$G$1, INDEX('Room Info'!$A$2:$A3446, MATCH(B1868,'Room Info'!$G$2:$G3446, 0)))))))))</f>
        <v>0</v>
      </c>
      <c r="B1868" s="101"/>
      <c r="C1868" s="141"/>
      <c r="D1868" s="141"/>
      <c r="E1868" s="142"/>
      <c r="F1868" s="138"/>
      <c r="G1868" s="101"/>
      <c r="H1868" s="105"/>
      <c r="I1868" s="105"/>
      <c r="J1868" s="44" t="str">
        <f t="shared" si="311"/>
        <v/>
      </c>
      <c r="K1868" s="139"/>
      <c r="L1868" s="140"/>
      <c r="M1868" s="84"/>
      <c r="N1868" s="33">
        <f t="shared" si="276"/>
        <v>0</v>
      </c>
      <c r="O1868" s="101"/>
      <c r="P1868" s="34" t="str">
        <f t="shared" si="277"/>
        <v/>
      </c>
      <c r="Q1868" s="60"/>
      <c r="R1868" s="36">
        <f t="shared" si="312"/>
        <v>0</v>
      </c>
      <c r="S1868" s="102"/>
      <c r="T1868" s="37">
        <f t="shared" si="302"/>
        <v>0</v>
      </c>
      <c r="U1868" s="62"/>
      <c r="V1868" s="63"/>
      <c r="W1868" s="63"/>
      <c r="X1868" s="35" t="str">
        <f t="shared" si="303"/>
        <v>#N/A</v>
      </c>
      <c r="Y1868" s="35" t="str">
        <f t="shared" si="304"/>
        <v>#N/A</v>
      </c>
      <c r="Z1868" s="40" t="str">
        <f t="shared" si="305"/>
        <v>#N/A</v>
      </c>
      <c r="AA1868" s="34" t="str">
        <f t="shared" si="306"/>
        <v>#N/A</v>
      </c>
      <c r="AB1868" s="41" t="str">
        <f t="shared" si="307"/>
        <v>#N/A</v>
      </c>
      <c r="AC1868" s="42" t="b">
        <v>0</v>
      </c>
      <c r="AD1868" s="66" t="str">
        <f t="shared" si="308"/>
        <v>USD</v>
      </c>
      <c r="AE1868" s="42"/>
      <c r="AF1868" s="42" t="str">
        <f t="array" ref="AF1868">INDEX('Deal Info'!D:D, MATCH(A1868,'Deal Info'!A:A, 0))</f>
        <v>#N/A</v>
      </c>
      <c r="AG1868" s="43" t="str">
        <f t="array" ref="AG1868">INDEX('Deal Info'!G:G, MATCH(A1868,'Deal Info'!A:A, 0))</f>
        <v>#N/A</v>
      </c>
    </row>
    <row r="1869" hidden="1">
      <c r="A1869" s="23" t="b">
        <f t="array" ref="A1869">if(G1869='Room Info'!$B$1, INDEX('Room Info'!$A$2:$A3446, MATCH(B1869,'Room Info'!$B$2:$B3446, 0)),if(G1869='Room Info'!$C$1, INDEX('Room Info'!$A$2:$A3446, MATCH(B1869,'Room Info'!$C$2:$C3446, 0)),if(G1869='Room Info'!$D$1, INDEX('Room Info'!$A$2:$A3446, MATCH(B1869,'Room Info'!$D$2:$D3446, 0)),if(G1869='Room Info'!$E$1, INDEX('Room Info'!$A$2:$A3446, MATCH(B1869,'Room Info'!$E$2:$E3446, 0)),if(G1869='Room Info'!$F$1, INDEX('Room Info'!$A$2:$A3446, MATCH(B1869,'Room Info'!$F$2:$F3446, 0)),if(G1869='Room Info'!$H$1, INDEX('Room Info'!$A$2:$A3446, MATCH(B1869,'Room Info'!$H$2:$H3446, 0)),if(G1869='Room Info'!$G$1, INDEX('Room Info'!$A$2:$A3446, MATCH(B1869,'Room Info'!$G$2:$G3446, 0)))))))))</f>
        <v>0</v>
      </c>
      <c r="B1869" s="101"/>
      <c r="C1869" s="141"/>
      <c r="D1869" s="141"/>
      <c r="E1869" s="142"/>
      <c r="F1869" s="138"/>
      <c r="G1869" s="101"/>
      <c r="H1869" s="105"/>
      <c r="I1869" s="105"/>
      <c r="J1869" s="44" t="str">
        <f t="shared" si="311"/>
        <v/>
      </c>
      <c r="K1869" s="139"/>
      <c r="L1869" s="140"/>
      <c r="M1869" s="84"/>
      <c r="N1869" s="33">
        <f t="shared" si="276"/>
        <v>0</v>
      </c>
      <c r="O1869" s="101"/>
      <c r="P1869" s="34" t="str">
        <f t="shared" si="277"/>
        <v/>
      </c>
      <c r="Q1869" s="60"/>
      <c r="R1869" s="36">
        <f t="shared" si="312"/>
        <v>0</v>
      </c>
      <c r="S1869" s="102"/>
      <c r="T1869" s="37">
        <f t="shared" si="302"/>
        <v>0</v>
      </c>
      <c r="U1869" s="62"/>
      <c r="V1869" s="63"/>
      <c r="W1869" s="63"/>
      <c r="X1869" s="35" t="str">
        <f t="shared" si="303"/>
        <v>#N/A</v>
      </c>
      <c r="Y1869" s="35" t="str">
        <f t="shared" si="304"/>
        <v>#N/A</v>
      </c>
      <c r="Z1869" s="40" t="str">
        <f t="shared" si="305"/>
        <v>#N/A</v>
      </c>
      <c r="AA1869" s="34" t="str">
        <f t="shared" si="306"/>
        <v>#N/A</v>
      </c>
      <c r="AB1869" s="41" t="str">
        <f t="shared" si="307"/>
        <v>#N/A</v>
      </c>
      <c r="AC1869" s="42" t="b">
        <v>0</v>
      </c>
      <c r="AD1869" s="66" t="str">
        <f t="shared" si="308"/>
        <v>USD</v>
      </c>
      <c r="AE1869" s="42"/>
      <c r="AF1869" s="42" t="str">
        <f t="array" ref="AF1869">INDEX('Deal Info'!D:D, MATCH(A1869,'Deal Info'!A:A, 0))</f>
        <v>#N/A</v>
      </c>
      <c r="AG1869" s="43" t="str">
        <f t="array" ref="AG1869">INDEX('Deal Info'!G:G, MATCH(A1869,'Deal Info'!A:A, 0))</f>
        <v>#N/A</v>
      </c>
    </row>
    <row r="1870" hidden="1">
      <c r="A1870" s="23" t="b">
        <f t="array" ref="A1870">if(G1870='Room Info'!$B$1, INDEX('Room Info'!$A$2:$A3446, MATCH(B1870,'Room Info'!$B$2:$B3446, 0)),if(G1870='Room Info'!$C$1, INDEX('Room Info'!$A$2:$A3446, MATCH(B1870,'Room Info'!$C$2:$C3446, 0)),if(G1870='Room Info'!$D$1, INDEX('Room Info'!$A$2:$A3446, MATCH(B1870,'Room Info'!$D$2:$D3446, 0)),if(G1870='Room Info'!$E$1, INDEX('Room Info'!$A$2:$A3446, MATCH(B1870,'Room Info'!$E$2:$E3446, 0)),if(G1870='Room Info'!$F$1, INDEX('Room Info'!$A$2:$A3446, MATCH(B1870,'Room Info'!$F$2:$F3446, 0)),if(G1870='Room Info'!$H$1, INDEX('Room Info'!$A$2:$A3446, MATCH(B1870,'Room Info'!$H$2:$H3446, 0)),if(G1870='Room Info'!$G$1, INDEX('Room Info'!$A$2:$A3446, MATCH(B1870,'Room Info'!$G$2:$G3446, 0)))))))))</f>
        <v>0</v>
      </c>
      <c r="B1870" s="101"/>
      <c r="C1870" s="141"/>
      <c r="D1870" s="141"/>
      <c r="E1870" s="142"/>
      <c r="F1870" s="138"/>
      <c r="G1870" s="101"/>
      <c r="H1870" s="105"/>
      <c r="I1870" s="105"/>
      <c r="J1870" s="44" t="str">
        <f t="shared" si="311"/>
        <v/>
      </c>
      <c r="K1870" s="139"/>
      <c r="L1870" s="140"/>
      <c r="M1870" s="84"/>
      <c r="N1870" s="33">
        <f t="shared" si="276"/>
        <v>0</v>
      </c>
      <c r="O1870" s="101"/>
      <c r="P1870" s="34" t="str">
        <f t="shared" si="277"/>
        <v/>
      </c>
      <c r="Q1870" s="60"/>
      <c r="R1870" s="36">
        <f t="shared" si="312"/>
        <v>0</v>
      </c>
      <c r="S1870" s="102"/>
      <c r="T1870" s="37">
        <f t="shared" si="302"/>
        <v>0</v>
      </c>
      <c r="U1870" s="62"/>
      <c r="V1870" s="63"/>
      <c r="W1870" s="63"/>
      <c r="X1870" s="35" t="str">
        <f t="shared" si="303"/>
        <v>#N/A</v>
      </c>
      <c r="Y1870" s="35" t="str">
        <f t="shared" si="304"/>
        <v>#N/A</v>
      </c>
      <c r="Z1870" s="40" t="str">
        <f t="shared" si="305"/>
        <v>#N/A</v>
      </c>
      <c r="AA1870" s="34" t="str">
        <f t="shared" si="306"/>
        <v>#N/A</v>
      </c>
      <c r="AB1870" s="41" t="str">
        <f t="shared" si="307"/>
        <v>#N/A</v>
      </c>
      <c r="AC1870" s="42" t="b">
        <v>0</v>
      </c>
      <c r="AD1870" s="66" t="str">
        <f t="shared" si="308"/>
        <v>USD</v>
      </c>
      <c r="AE1870" s="42"/>
      <c r="AF1870" s="42" t="str">
        <f t="array" ref="AF1870">INDEX('Deal Info'!D:D, MATCH(A1870,'Deal Info'!A:A, 0))</f>
        <v>#N/A</v>
      </c>
      <c r="AG1870" s="43" t="str">
        <f t="array" ref="AG1870">INDEX('Deal Info'!G:G, MATCH(A1870,'Deal Info'!A:A, 0))</f>
        <v>#N/A</v>
      </c>
    </row>
    <row r="1871" hidden="1">
      <c r="A1871" s="23" t="b">
        <f t="array" ref="A1871">if(G1871='Room Info'!$B$1, INDEX('Room Info'!$A$2:$A3446, MATCH(B1871,'Room Info'!$B$2:$B3446, 0)),if(G1871='Room Info'!$C$1, INDEX('Room Info'!$A$2:$A3446, MATCH(B1871,'Room Info'!$C$2:$C3446, 0)),if(G1871='Room Info'!$D$1, INDEX('Room Info'!$A$2:$A3446, MATCH(B1871,'Room Info'!$D$2:$D3446, 0)),if(G1871='Room Info'!$E$1, INDEX('Room Info'!$A$2:$A3446, MATCH(B1871,'Room Info'!$E$2:$E3446, 0)),if(G1871='Room Info'!$F$1, INDEX('Room Info'!$A$2:$A3446, MATCH(B1871,'Room Info'!$F$2:$F3446, 0)),if(G1871='Room Info'!$H$1, INDEX('Room Info'!$A$2:$A3446, MATCH(B1871,'Room Info'!$H$2:$H3446, 0)),if(G1871='Room Info'!$G$1, INDEX('Room Info'!$A$2:$A3446, MATCH(B1871,'Room Info'!$G$2:$G3446, 0)))))))))</f>
        <v>0</v>
      </c>
      <c r="B1871" s="101"/>
      <c r="C1871" s="115"/>
      <c r="D1871" s="115"/>
      <c r="E1871" s="85"/>
      <c r="F1871" s="101"/>
      <c r="G1871" s="70"/>
      <c r="H1871" s="114"/>
      <c r="I1871" s="114"/>
      <c r="J1871" s="44" t="str">
        <f t="shared" si="311"/>
        <v/>
      </c>
      <c r="K1871" s="116"/>
      <c r="L1871" s="117"/>
      <c r="M1871" s="67"/>
      <c r="N1871" s="33">
        <f t="shared" si="276"/>
        <v>0</v>
      </c>
      <c r="O1871" s="70"/>
      <c r="P1871" s="34" t="str">
        <f t="shared" si="277"/>
        <v/>
      </c>
      <c r="Q1871" s="60"/>
      <c r="R1871" s="36">
        <f t="shared" si="312"/>
        <v>0</v>
      </c>
      <c r="S1871" s="71"/>
      <c r="T1871" s="37">
        <f t="shared" si="302"/>
        <v>0</v>
      </c>
      <c r="U1871" s="62"/>
      <c r="V1871" s="63"/>
      <c r="W1871" s="63"/>
      <c r="X1871" s="35" t="str">
        <f t="shared" si="303"/>
        <v>#N/A</v>
      </c>
      <c r="Y1871" s="35" t="str">
        <f t="shared" si="304"/>
        <v>#N/A</v>
      </c>
      <c r="Z1871" s="40" t="str">
        <f t="shared" si="305"/>
        <v>#N/A</v>
      </c>
      <c r="AA1871" s="34" t="str">
        <f t="shared" si="306"/>
        <v>#N/A</v>
      </c>
      <c r="AB1871" s="41" t="str">
        <f t="shared" si="307"/>
        <v>#N/A</v>
      </c>
      <c r="AC1871" s="42" t="b">
        <v>0</v>
      </c>
      <c r="AD1871" s="66" t="str">
        <f t="shared" si="308"/>
        <v>USD</v>
      </c>
      <c r="AE1871" s="42"/>
      <c r="AF1871" s="42" t="str">
        <f t="array" ref="AF1871">INDEX('Deal Info'!D:D, MATCH(A1871,'Deal Info'!A:A, 0))</f>
        <v>#N/A</v>
      </c>
      <c r="AG1871" s="43" t="str">
        <f t="array" ref="AG1871">INDEX('Deal Info'!G:G, MATCH(A1871,'Deal Info'!A:A, 0))</f>
        <v>#N/A</v>
      </c>
    </row>
    <row r="1872" hidden="1">
      <c r="A1872" s="23" t="b">
        <f t="array" ref="A1872">if(G1872='Room Info'!$B$1, INDEX('Room Info'!$A$2:$A3446, MATCH(B1872,'Room Info'!$B$2:$B3446, 0)),if(G1872='Room Info'!$C$1, INDEX('Room Info'!$A$2:$A3446, MATCH(B1872,'Room Info'!$C$2:$C3446, 0)),if(G1872='Room Info'!$D$1, INDEX('Room Info'!$A$2:$A3446, MATCH(B1872,'Room Info'!$D$2:$D3446, 0)),if(G1872='Room Info'!$E$1, INDEX('Room Info'!$A$2:$A3446, MATCH(B1872,'Room Info'!$E$2:$E3446, 0)),if(G1872='Room Info'!$F$1, INDEX('Room Info'!$A$2:$A3446, MATCH(B1872,'Room Info'!$F$2:$F3446, 0)),if(G1872='Room Info'!$H$1, INDEX('Room Info'!$A$2:$A3446, MATCH(B1872,'Room Info'!$H$2:$H3446, 0)),if(G1872='Room Info'!$G$1, INDEX('Room Info'!$A$2:$A3446, MATCH(B1872,'Room Info'!$G$2:$G3446, 0)))))))))</f>
        <v>0</v>
      </c>
      <c r="B1872" s="101"/>
      <c r="C1872" s="115"/>
      <c r="D1872" s="115"/>
      <c r="E1872" s="85"/>
      <c r="F1872" s="101"/>
      <c r="G1872" s="70"/>
      <c r="H1872" s="114"/>
      <c r="I1872" s="114"/>
      <c r="J1872" s="44" t="str">
        <f t="shared" si="311"/>
        <v/>
      </c>
      <c r="K1872" s="116"/>
      <c r="L1872" s="117"/>
      <c r="M1872" s="67"/>
      <c r="N1872" s="33">
        <f t="shared" si="276"/>
        <v>0</v>
      </c>
      <c r="O1872" s="70"/>
      <c r="P1872" s="34" t="str">
        <f t="shared" si="277"/>
        <v/>
      </c>
      <c r="Q1872" s="60"/>
      <c r="R1872" s="36">
        <f t="shared" si="312"/>
        <v>0</v>
      </c>
      <c r="S1872" s="71"/>
      <c r="T1872" s="37">
        <f t="shared" si="302"/>
        <v>0</v>
      </c>
      <c r="U1872" s="62"/>
      <c r="V1872" s="63"/>
      <c r="W1872" s="63"/>
      <c r="X1872" s="35" t="str">
        <f t="shared" si="303"/>
        <v>#N/A</v>
      </c>
      <c r="Y1872" s="35" t="str">
        <f t="shared" si="304"/>
        <v>#N/A</v>
      </c>
      <c r="Z1872" s="40" t="str">
        <f t="shared" si="305"/>
        <v>#N/A</v>
      </c>
      <c r="AA1872" s="34" t="str">
        <f t="shared" si="306"/>
        <v>#N/A</v>
      </c>
      <c r="AB1872" s="41" t="str">
        <f t="shared" si="307"/>
        <v>#N/A</v>
      </c>
      <c r="AC1872" s="42" t="b">
        <v>0</v>
      </c>
      <c r="AD1872" s="66" t="str">
        <f t="shared" si="308"/>
        <v>USD</v>
      </c>
      <c r="AE1872" s="42"/>
      <c r="AF1872" s="42" t="str">
        <f t="array" ref="AF1872">INDEX('Deal Info'!D:D, MATCH(A1872,'Deal Info'!A:A, 0))</f>
        <v>#N/A</v>
      </c>
      <c r="AG1872" s="43" t="str">
        <f t="array" ref="AG1872">INDEX('Deal Info'!G:G, MATCH(A1872,'Deal Info'!A:A, 0))</f>
        <v>#N/A</v>
      </c>
    </row>
    <row r="1873" hidden="1">
      <c r="A1873" s="23" t="b">
        <f t="array" ref="A1873">if(G1873='Room Info'!$B$1, INDEX('Room Info'!$A$2:$A3446, MATCH(B1873,'Room Info'!$B$2:$B3446, 0)),if(G1873='Room Info'!$C$1, INDEX('Room Info'!$A$2:$A3446, MATCH(B1873,'Room Info'!$C$2:$C3446, 0)),if(G1873='Room Info'!$D$1, INDEX('Room Info'!$A$2:$A3446, MATCH(B1873,'Room Info'!$D$2:$D3446, 0)),if(G1873='Room Info'!$E$1, INDEX('Room Info'!$A$2:$A3446, MATCH(B1873,'Room Info'!$E$2:$E3446, 0)),if(G1873='Room Info'!$F$1, INDEX('Room Info'!$A$2:$A3446, MATCH(B1873,'Room Info'!$F$2:$F3446, 0)),if(G1873='Room Info'!$H$1, INDEX('Room Info'!$A$2:$A3446, MATCH(B1873,'Room Info'!$H$2:$H3446, 0)),if(G1873='Room Info'!$G$1, INDEX('Room Info'!$A$2:$A3446, MATCH(B1873,'Room Info'!$G$2:$G3446, 0)))))))))</f>
        <v>0</v>
      </c>
      <c r="B1873" s="101"/>
      <c r="C1873" s="115"/>
      <c r="D1873" s="115"/>
      <c r="E1873" s="85"/>
      <c r="F1873" s="101"/>
      <c r="G1873" s="70"/>
      <c r="H1873" s="114"/>
      <c r="I1873" s="114"/>
      <c r="J1873" s="44" t="str">
        <f t="shared" si="311"/>
        <v/>
      </c>
      <c r="K1873" s="116"/>
      <c r="L1873" s="117"/>
      <c r="M1873" s="67"/>
      <c r="N1873" s="33">
        <f t="shared" si="276"/>
        <v>0</v>
      </c>
      <c r="O1873" s="70"/>
      <c r="P1873" s="34" t="str">
        <f t="shared" si="277"/>
        <v/>
      </c>
      <c r="Q1873" s="60"/>
      <c r="R1873" s="36">
        <f t="shared" si="312"/>
        <v>0</v>
      </c>
      <c r="S1873" s="71"/>
      <c r="T1873" s="37">
        <f t="shared" si="302"/>
        <v>0</v>
      </c>
      <c r="U1873" s="62"/>
      <c r="V1873" s="63"/>
      <c r="W1873" s="63"/>
      <c r="X1873" s="35" t="str">
        <f t="shared" si="303"/>
        <v>#N/A</v>
      </c>
      <c r="Y1873" s="35" t="str">
        <f t="shared" si="304"/>
        <v>#N/A</v>
      </c>
      <c r="Z1873" s="40" t="str">
        <f t="shared" si="305"/>
        <v>#N/A</v>
      </c>
      <c r="AA1873" s="34" t="str">
        <f t="shared" si="306"/>
        <v>#N/A</v>
      </c>
      <c r="AB1873" s="41" t="str">
        <f t="shared" si="307"/>
        <v>#N/A</v>
      </c>
      <c r="AC1873" s="42" t="b">
        <v>0</v>
      </c>
      <c r="AD1873" s="66" t="str">
        <f t="shared" si="308"/>
        <v>USD</v>
      </c>
      <c r="AE1873" s="42"/>
      <c r="AF1873" s="42" t="str">
        <f t="array" ref="AF1873">INDEX('Deal Info'!D:D, MATCH(A1873,'Deal Info'!A:A, 0))</f>
        <v>#N/A</v>
      </c>
      <c r="AG1873" s="43" t="str">
        <f t="array" ref="AG1873">INDEX('Deal Info'!G:G, MATCH(A1873,'Deal Info'!A:A, 0))</f>
        <v>#N/A</v>
      </c>
    </row>
    <row r="1874" hidden="1">
      <c r="A1874" s="23" t="b">
        <f t="array" ref="A1874">if(G1874='Room Info'!$B$1, INDEX('Room Info'!$A$2:$A3446, MATCH(B1874,'Room Info'!$B$2:$B3446, 0)),if(G1874='Room Info'!$C$1, INDEX('Room Info'!$A$2:$A3446, MATCH(B1874,'Room Info'!$C$2:$C3446, 0)),if(G1874='Room Info'!$D$1, INDEX('Room Info'!$A$2:$A3446, MATCH(B1874,'Room Info'!$D$2:$D3446, 0)),if(G1874='Room Info'!$E$1, INDEX('Room Info'!$A$2:$A3446, MATCH(B1874,'Room Info'!$E$2:$E3446, 0)),if(G1874='Room Info'!$F$1, INDEX('Room Info'!$A$2:$A3446, MATCH(B1874,'Room Info'!$F$2:$F3446, 0)),if(G1874='Room Info'!$H$1, INDEX('Room Info'!$A$2:$A3446, MATCH(B1874,'Room Info'!$H$2:$H3446, 0)),if(G1874='Room Info'!$G$1, INDEX('Room Info'!$A$2:$A3446, MATCH(B1874,'Room Info'!$G$2:$G3446, 0)))))))))</f>
        <v>0</v>
      </c>
      <c r="B1874" s="101"/>
      <c r="C1874" s="115"/>
      <c r="D1874" s="115"/>
      <c r="E1874" s="85"/>
      <c r="F1874" s="138"/>
      <c r="G1874" s="70"/>
      <c r="H1874" s="114"/>
      <c r="I1874" s="114"/>
      <c r="J1874" s="44" t="str">
        <f t="shared" si="311"/>
        <v/>
      </c>
      <c r="K1874" s="116"/>
      <c r="L1874" s="117"/>
      <c r="M1874" s="67"/>
      <c r="N1874" s="33">
        <f t="shared" si="276"/>
        <v>0</v>
      </c>
      <c r="O1874" s="70"/>
      <c r="P1874" s="34" t="str">
        <f t="shared" si="277"/>
        <v/>
      </c>
      <c r="Q1874" s="60"/>
      <c r="R1874" s="36">
        <f t="shared" si="312"/>
        <v>0</v>
      </c>
      <c r="S1874" s="71"/>
      <c r="T1874" s="37">
        <f t="shared" si="302"/>
        <v>0</v>
      </c>
      <c r="U1874" s="62"/>
      <c r="V1874" s="63"/>
      <c r="W1874" s="63"/>
      <c r="X1874" s="35" t="str">
        <f t="shared" si="303"/>
        <v>#N/A</v>
      </c>
      <c r="Y1874" s="35" t="str">
        <f t="shared" si="304"/>
        <v>#N/A</v>
      </c>
      <c r="Z1874" s="40" t="str">
        <f t="shared" si="305"/>
        <v>#N/A</v>
      </c>
      <c r="AA1874" s="34" t="str">
        <f t="shared" si="306"/>
        <v>#N/A</v>
      </c>
      <c r="AB1874" s="41" t="str">
        <f t="shared" si="307"/>
        <v>#N/A</v>
      </c>
      <c r="AC1874" s="42" t="b">
        <v>0</v>
      </c>
      <c r="AD1874" s="66" t="str">
        <f t="shared" si="308"/>
        <v>USD</v>
      </c>
      <c r="AE1874" s="42"/>
      <c r="AF1874" s="42" t="str">
        <f t="array" ref="AF1874">INDEX('Deal Info'!D:D, MATCH(A1874,'Deal Info'!A:A, 0))</f>
        <v>#N/A</v>
      </c>
      <c r="AG1874" s="43" t="str">
        <f t="array" ref="AG1874">INDEX('Deal Info'!G:G, MATCH(A1874,'Deal Info'!A:A, 0))</f>
        <v>#N/A</v>
      </c>
    </row>
    <row r="1875" hidden="1">
      <c r="A1875" s="23" t="b">
        <f t="array" ref="A1875">if(G1875='Room Info'!$B$1, INDEX('Room Info'!$A$2:$A3446, MATCH(B1875,'Room Info'!$B$2:$B3446, 0)),if(G1875='Room Info'!$C$1, INDEX('Room Info'!$A$2:$A3446, MATCH(B1875,'Room Info'!$C$2:$C3446, 0)),if(G1875='Room Info'!$D$1, INDEX('Room Info'!$A$2:$A3446, MATCH(B1875,'Room Info'!$D$2:$D3446, 0)),if(G1875='Room Info'!$E$1, INDEX('Room Info'!$A$2:$A3446, MATCH(B1875,'Room Info'!$E$2:$E3446, 0)),if(G1875='Room Info'!$F$1, INDEX('Room Info'!$A$2:$A3446, MATCH(B1875,'Room Info'!$F$2:$F3446, 0)),if(G1875='Room Info'!$H$1, INDEX('Room Info'!$A$2:$A3446, MATCH(B1875,'Room Info'!$H$2:$H3446, 0)),if(G1875='Room Info'!$G$1, INDEX('Room Info'!$A$2:$A3446, MATCH(B1875,'Room Info'!$G$2:$G3446, 0)))))))))</f>
        <v>0</v>
      </c>
      <c r="B1875" s="101"/>
      <c r="C1875" s="115"/>
      <c r="D1875" s="115"/>
      <c r="E1875" s="85"/>
      <c r="F1875" s="138"/>
      <c r="G1875" s="70"/>
      <c r="H1875" s="114"/>
      <c r="I1875" s="114"/>
      <c r="J1875" s="44" t="str">
        <f t="shared" si="311"/>
        <v/>
      </c>
      <c r="K1875" s="116"/>
      <c r="L1875" s="117"/>
      <c r="M1875" s="67"/>
      <c r="N1875" s="33">
        <f t="shared" si="276"/>
        <v>0</v>
      </c>
      <c r="O1875" s="70"/>
      <c r="P1875" s="34" t="str">
        <f t="shared" si="277"/>
        <v/>
      </c>
      <c r="Q1875" s="60"/>
      <c r="R1875" s="36">
        <f t="shared" si="312"/>
        <v>0</v>
      </c>
      <c r="S1875" s="71"/>
      <c r="T1875" s="37">
        <f t="shared" si="302"/>
        <v>0</v>
      </c>
      <c r="U1875" s="62"/>
      <c r="V1875" s="63"/>
      <c r="W1875" s="63"/>
      <c r="X1875" s="35" t="str">
        <f t="shared" si="303"/>
        <v>#N/A</v>
      </c>
      <c r="Y1875" s="35" t="str">
        <f t="shared" si="304"/>
        <v>#N/A</v>
      </c>
      <c r="Z1875" s="40" t="str">
        <f t="shared" si="305"/>
        <v>#N/A</v>
      </c>
      <c r="AA1875" s="34" t="str">
        <f t="shared" si="306"/>
        <v>#N/A</v>
      </c>
      <c r="AB1875" s="41" t="str">
        <f t="shared" si="307"/>
        <v>#N/A</v>
      </c>
      <c r="AC1875" s="42" t="b">
        <v>0</v>
      </c>
      <c r="AD1875" s="66" t="str">
        <f t="shared" si="308"/>
        <v>USD</v>
      </c>
      <c r="AE1875" s="42"/>
      <c r="AF1875" s="42" t="str">
        <f t="array" ref="AF1875">INDEX('Deal Info'!D:D, MATCH(A1875,'Deal Info'!A:A, 0))</f>
        <v>#N/A</v>
      </c>
      <c r="AG1875" s="43" t="str">
        <f t="array" ref="AG1875">INDEX('Deal Info'!G:G, MATCH(A1875,'Deal Info'!A:A, 0))</f>
        <v>#N/A</v>
      </c>
    </row>
    <row r="1876" hidden="1">
      <c r="A1876" s="23" t="b">
        <f t="array" ref="A1876">if(G1876='Room Info'!$B$1, INDEX('Room Info'!$A$2:$A3446, MATCH(B1876,'Room Info'!$B$2:$B3446, 0)),if(G1876='Room Info'!$C$1, INDEX('Room Info'!$A$2:$A3446, MATCH(B1876,'Room Info'!$C$2:$C3446, 0)),if(G1876='Room Info'!$D$1, INDEX('Room Info'!$A$2:$A3446, MATCH(B1876,'Room Info'!$D$2:$D3446, 0)),if(G1876='Room Info'!$E$1, INDEX('Room Info'!$A$2:$A3446, MATCH(B1876,'Room Info'!$E$2:$E3446, 0)),if(G1876='Room Info'!$F$1, INDEX('Room Info'!$A$2:$A3446, MATCH(B1876,'Room Info'!$F$2:$F3446, 0)),if(G1876='Room Info'!$H$1, INDEX('Room Info'!$A$2:$A3446, MATCH(B1876,'Room Info'!$H$2:$H3446, 0)),if(G1876='Room Info'!$G$1, INDEX('Room Info'!$A$2:$A3446, MATCH(B1876,'Room Info'!$G$2:$G3446, 0)))))))))</f>
        <v>0</v>
      </c>
      <c r="B1876" s="101"/>
      <c r="C1876" s="141"/>
      <c r="D1876" s="115"/>
      <c r="E1876" s="85"/>
      <c r="F1876" s="138"/>
      <c r="G1876" s="70"/>
      <c r="H1876" s="105"/>
      <c r="I1876" s="105"/>
      <c r="J1876" s="44" t="str">
        <f t="shared" si="311"/>
        <v/>
      </c>
      <c r="K1876" s="139"/>
      <c r="L1876" s="140"/>
      <c r="M1876" s="67"/>
      <c r="N1876" s="33">
        <f t="shared" si="276"/>
        <v>0</v>
      </c>
      <c r="O1876" s="101"/>
      <c r="P1876" s="34" t="str">
        <f t="shared" si="277"/>
        <v/>
      </c>
      <c r="Q1876" s="60"/>
      <c r="R1876" s="36">
        <f t="shared" si="312"/>
        <v>0</v>
      </c>
      <c r="S1876" s="102"/>
      <c r="T1876" s="37">
        <f t="shared" si="302"/>
        <v>0</v>
      </c>
      <c r="U1876" s="62"/>
      <c r="V1876" s="63"/>
      <c r="W1876" s="63"/>
      <c r="X1876" s="35" t="str">
        <f t="shared" si="303"/>
        <v>#N/A</v>
      </c>
      <c r="Y1876" s="35" t="str">
        <f t="shared" si="304"/>
        <v>#N/A</v>
      </c>
      <c r="Z1876" s="40" t="str">
        <f t="shared" si="305"/>
        <v>#N/A</v>
      </c>
      <c r="AA1876" s="34" t="str">
        <f t="shared" si="306"/>
        <v>#N/A</v>
      </c>
      <c r="AB1876" s="41" t="str">
        <f t="shared" si="307"/>
        <v>#N/A</v>
      </c>
      <c r="AC1876" s="42" t="b">
        <v>0</v>
      </c>
      <c r="AD1876" s="66" t="str">
        <f t="shared" si="308"/>
        <v>USD</v>
      </c>
      <c r="AE1876" s="42"/>
      <c r="AF1876" s="42" t="str">
        <f t="array" ref="AF1876">INDEX('Deal Info'!D:D, MATCH(A1876,'Deal Info'!A:A, 0))</f>
        <v>#N/A</v>
      </c>
      <c r="AG1876" s="43" t="str">
        <f t="array" ref="AG1876">INDEX('Deal Info'!G:G, MATCH(A1876,'Deal Info'!A:A, 0))</f>
        <v>#N/A</v>
      </c>
    </row>
    <row r="1877" hidden="1">
      <c r="A1877" s="23" t="b">
        <f t="array" ref="A1877">if(G1877='Room Info'!$B$1, INDEX('Room Info'!$A$2:$A3446, MATCH(B1877,'Room Info'!$B$2:$B3446, 0)),if(G1877='Room Info'!$C$1, INDEX('Room Info'!$A$2:$A3446, MATCH(B1877,'Room Info'!$C$2:$C3446, 0)),if(G1877='Room Info'!$D$1, INDEX('Room Info'!$A$2:$A3446, MATCH(B1877,'Room Info'!$D$2:$D3446, 0)),if(G1877='Room Info'!$E$1, INDEX('Room Info'!$A$2:$A3446, MATCH(B1877,'Room Info'!$E$2:$E3446, 0)),if(G1877='Room Info'!$F$1, INDEX('Room Info'!$A$2:$A3446, MATCH(B1877,'Room Info'!$F$2:$F3446, 0)),if(G1877='Room Info'!$H$1, INDEX('Room Info'!$A$2:$A3446, MATCH(B1877,'Room Info'!$H$2:$H3446, 0)),if(G1877='Room Info'!$G$1, INDEX('Room Info'!$A$2:$A3446, MATCH(B1877,'Room Info'!$G$2:$G3446, 0)))))))))</f>
        <v>0</v>
      </c>
      <c r="B1877" s="101"/>
      <c r="C1877" s="141"/>
      <c r="D1877" s="115"/>
      <c r="E1877" s="85"/>
      <c r="F1877" s="138"/>
      <c r="G1877" s="70"/>
      <c r="H1877" s="105"/>
      <c r="I1877" s="105"/>
      <c r="J1877" s="44" t="str">
        <f t="shared" si="311"/>
        <v/>
      </c>
      <c r="K1877" s="139"/>
      <c r="L1877" s="140"/>
      <c r="M1877" s="67"/>
      <c r="N1877" s="33">
        <f t="shared" si="276"/>
        <v>0</v>
      </c>
      <c r="O1877" s="101"/>
      <c r="P1877" s="34" t="str">
        <f t="shared" si="277"/>
        <v/>
      </c>
      <c r="Q1877" s="60"/>
      <c r="R1877" s="36">
        <f t="shared" si="312"/>
        <v>0</v>
      </c>
      <c r="S1877" s="102"/>
      <c r="T1877" s="37">
        <f t="shared" si="302"/>
        <v>0</v>
      </c>
      <c r="U1877" s="62"/>
      <c r="V1877" s="63"/>
      <c r="W1877" s="63"/>
      <c r="X1877" s="35" t="str">
        <f t="shared" si="303"/>
        <v>#N/A</v>
      </c>
      <c r="Y1877" s="35" t="str">
        <f t="shared" si="304"/>
        <v>#N/A</v>
      </c>
      <c r="Z1877" s="40" t="str">
        <f t="shared" si="305"/>
        <v>#N/A</v>
      </c>
      <c r="AA1877" s="34" t="str">
        <f t="shared" si="306"/>
        <v>#N/A</v>
      </c>
      <c r="AB1877" s="41" t="str">
        <f t="shared" si="307"/>
        <v>#N/A</v>
      </c>
      <c r="AC1877" s="42" t="b">
        <v>0</v>
      </c>
      <c r="AD1877" s="66" t="str">
        <f t="shared" si="308"/>
        <v>USD</v>
      </c>
      <c r="AE1877" s="42"/>
      <c r="AF1877" s="42" t="str">
        <f t="array" ref="AF1877">INDEX('Deal Info'!D:D, MATCH(A1877,'Deal Info'!A:A, 0))</f>
        <v>#N/A</v>
      </c>
      <c r="AG1877" s="43" t="str">
        <f t="array" ref="AG1877">INDEX('Deal Info'!G:G, MATCH(A1877,'Deal Info'!A:A, 0))</f>
        <v>#N/A</v>
      </c>
    </row>
    <row r="1878" hidden="1">
      <c r="A1878" s="23" t="b">
        <f t="array" ref="A1878">if(G1878='Room Info'!$B$1, INDEX('Room Info'!$A$2:$A3446, MATCH(B1878,'Room Info'!$B$2:$B3446, 0)),if(G1878='Room Info'!$C$1, INDEX('Room Info'!$A$2:$A3446, MATCH(B1878,'Room Info'!$C$2:$C3446, 0)),if(G1878='Room Info'!$D$1, INDEX('Room Info'!$A$2:$A3446, MATCH(B1878,'Room Info'!$D$2:$D3446, 0)),if(G1878='Room Info'!$E$1, INDEX('Room Info'!$A$2:$A3446, MATCH(B1878,'Room Info'!$E$2:$E3446, 0)),if(G1878='Room Info'!$F$1, INDEX('Room Info'!$A$2:$A3446, MATCH(B1878,'Room Info'!$F$2:$F3446, 0)),if(G1878='Room Info'!$H$1, INDEX('Room Info'!$A$2:$A3446, MATCH(B1878,'Room Info'!$H$2:$H3446, 0)),if(G1878='Room Info'!$G$1, INDEX('Room Info'!$A$2:$A3446, MATCH(B1878,'Room Info'!$G$2:$G3446, 0)))))))))</f>
        <v>0</v>
      </c>
      <c r="B1878" s="101"/>
      <c r="C1878" s="141"/>
      <c r="D1878" s="115"/>
      <c r="E1878" s="85"/>
      <c r="F1878" s="138"/>
      <c r="G1878" s="70"/>
      <c r="H1878" s="105"/>
      <c r="I1878" s="105"/>
      <c r="J1878" s="44" t="str">
        <f t="shared" si="311"/>
        <v/>
      </c>
      <c r="K1878" s="116"/>
      <c r="L1878" s="117"/>
      <c r="M1878" s="67"/>
      <c r="N1878" s="33">
        <f t="shared" si="276"/>
        <v>0</v>
      </c>
      <c r="O1878" s="70"/>
      <c r="P1878" s="34" t="str">
        <f t="shared" si="277"/>
        <v/>
      </c>
      <c r="Q1878" s="60"/>
      <c r="R1878" s="36">
        <f t="shared" si="312"/>
        <v>0</v>
      </c>
      <c r="S1878" s="71"/>
      <c r="T1878" s="37">
        <f t="shared" si="302"/>
        <v>0</v>
      </c>
      <c r="U1878" s="62"/>
      <c r="V1878" s="63"/>
      <c r="W1878" s="63"/>
      <c r="X1878" s="35" t="str">
        <f t="shared" si="303"/>
        <v>#N/A</v>
      </c>
      <c r="Y1878" s="35" t="str">
        <f t="shared" si="304"/>
        <v>#N/A</v>
      </c>
      <c r="Z1878" s="40" t="str">
        <f t="shared" si="305"/>
        <v>#N/A</v>
      </c>
      <c r="AA1878" s="34" t="str">
        <f t="shared" si="306"/>
        <v>#N/A</v>
      </c>
      <c r="AB1878" s="41" t="str">
        <f t="shared" si="307"/>
        <v>#N/A</v>
      </c>
      <c r="AC1878" s="42" t="b">
        <v>0</v>
      </c>
      <c r="AD1878" s="66" t="str">
        <f t="shared" si="308"/>
        <v>USD</v>
      </c>
      <c r="AE1878" s="42"/>
      <c r="AF1878" s="42" t="str">
        <f t="array" ref="AF1878">INDEX('Deal Info'!D:D, MATCH(A1878,'Deal Info'!A:A, 0))</f>
        <v>#N/A</v>
      </c>
      <c r="AG1878" s="43" t="str">
        <f t="array" ref="AG1878">INDEX('Deal Info'!G:G, MATCH(A1878,'Deal Info'!A:A, 0))</f>
        <v>#N/A</v>
      </c>
    </row>
    <row r="1879" hidden="1">
      <c r="A1879" s="23" t="b">
        <f t="array" ref="A1879">if(G1879='Room Info'!$B$1, INDEX('Room Info'!$A$2:$A3446, MATCH(B1879,'Room Info'!$B$2:$B3446, 0)),if(G1879='Room Info'!$C$1, INDEX('Room Info'!$A$2:$A3446, MATCH(B1879,'Room Info'!$C$2:$C3446, 0)),if(G1879='Room Info'!$D$1, INDEX('Room Info'!$A$2:$A3446, MATCH(B1879,'Room Info'!$D$2:$D3446, 0)),if(G1879='Room Info'!$E$1, INDEX('Room Info'!$A$2:$A3446, MATCH(B1879,'Room Info'!$E$2:$E3446, 0)),if(G1879='Room Info'!$F$1, INDEX('Room Info'!$A$2:$A3446, MATCH(B1879,'Room Info'!$F$2:$F3446, 0)),if(G1879='Room Info'!$H$1, INDEX('Room Info'!$A$2:$A3446, MATCH(B1879,'Room Info'!$H$2:$H3446, 0)),if(G1879='Room Info'!$G$1, INDEX('Room Info'!$A$2:$A3446, MATCH(B1879,'Room Info'!$G$2:$G3446, 0)))))))))</f>
        <v>0</v>
      </c>
      <c r="B1879" s="101"/>
      <c r="C1879" s="141"/>
      <c r="D1879" s="115"/>
      <c r="E1879" s="85"/>
      <c r="F1879" s="138"/>
      <c r="G1879" s="70"/>
      <c r="H1879" s="105"/>
      <c r="I1879" s="105"/>
      <c r="J1879" s="44" t="str">
        <f t="shared" si="311"/>
        <v/>
      </c>
      <c r="K1879" s="139"/>
      <c r="L1879" s="140"/>
      <c r="M1879" s="67"/>
      <c r="N1879" s="33">
        <f t="shared" si="276"/>
        <v>0</v>
      </c>
      <c r="O1879" s="101"/>
      <c r="P1879" s="34" t="str">
        <f t="shared" si="277"/>
        <v/>
      </c>
      <c r="Q1879" s="60"/>
      <c r="R1879" s="36">
        <f t="shared" si="312"/>
        <v>0</v>
      </c>
      <c r="S1879" s="102"/>
      <c r="T1879" s="37">
        <f t="shared" si="302"/>
        <v>0</v>
      </c>
      <c r="U1879" s="62"/>
      <c r="V1879" s="63"/>
      <c r="W1879" s="63"/>
      <c r="X1879" s="35" t="str">
        <f t="shared" si="303"/>
        <v>#N/A</v>
      </c>
      <c r="Y1879" s="35" t="str">
        <f t="shared" si="304"/>
        <v>#N/A</v>
      </c>
      <c r="Z1879" s="40" t="str">
        <f t="shared" si="305"/>
        <v>#N/A</v>
      </c>
      <c r="AA1879" s="34" t="str">
        <f t="shared" si="306"/>
        <v>#N/A</v>
      </c>
      <c r="AB1879" s="41" t="str">
        <f t="shared" si="307"/>
        <v>#N/A</v>
      </c>
      <c r="AC1879" s="42" t="b">
        <v>0</v>
      </c>
      <c r="AD1879" s="66" t="str">
        <f t="shared" si="308"/>
        <v>USD</v>
      </c>
      <c r="AE1879" s="42"/>
      <c r="AF1879" s="42" t="str">
        <f t="array" ref="AF1879">INDEX('Deal Info'!D:D, MATCH(A1879,'Deal Info'!A:A, 0))</f>
        <v>#N/A</v>
      </c>
      <c r="AG1879" s="43" t="str">
        <f t="array" ref="AG1879">INDEX('Deal Info'!G:G, MATCH(A1879,'Deal Info'!A:A, 0))</f>
        <v>#N/A</v>
      </c>
    </row>
    <row r="1880" hidden="1">
      <c r="A1880" s="23" t="b">
        <f t="array" ref="A1880">if(G1880='Room Info'!$B$1, INDEX('Room Info'!$A$2:$A3446, MATCH(B1880,'Room Info'!$B$2:$B3446, 0)),if(G1880='Room Info'!$C$1, INDEX('Room Info'!$A$2:$A3446, MATCH(B1880,'Room Info'!$C$2:$C3446, 0)),if(G1880='Room Info'!$D$1, INDEX('Room Info'!$A$2:$A3446, MATCH(B1880,'Room Info'!$D$2:$D3446, 0)),if(G1880='Room Info'!$E$1, INDEX('Room Info'!$A$2:$A3446, MATCH(B1880,'Room Info'!$E$2:$E3446, 0)),if(G1880='Room Info'!$F$1, INDEX('Room Info'!$A$2:$A3446, MATCH(B1880,'Room Info'!$F$2:$F3446, 0)),if(G1880='Room Info'!$H$1, INDEX('Room Info'!$A$2:$A3446, MATCH(B1880,'Room Info'!$H$2:$H3446, 0)),if(G1880='Room Info'!$G$1, INDEX('Room Info'!$A$2:$A3446, MATCH(B1880,'Room Info'!$G$2:$G3446, 0)))))))))</f>
        <v>0</v>
      </c>
      <c r="B1880" s="101"/>
      <c r="C1880" s="141"/>
      <c r="D1880" s="115"/>
      <c r="E1880" s="85"/>
      <c r="F1880" s="138"/>
      <c r="G1880" s="70"/>
      <c r="H1880" s="105"/>
      <c r="I1880" s="105"/>
      <c r="J1880" s="44" t="str">
        <f t="shared" si="311"/>
        <v/>
      </c>
      <c r="K1880" s="139"/>
      <c r="L1880" s="140"/>
      <c r="M1880" s="67"/>
      <c r="N1880" s="33">
        <f t="shared" si="276"/>
        <v>0</v>
      </c>
      <c r="O1880" s="101"/>
      <c r="P1880" s="34" t="str">
        <f t="shared" si="277"/>
        <v/>
      </c>
      <c r="Q1880" s="60"/>
      <c r="R1880" s="36">
        <f t="shared" si="312"/>
        <v>0</v>
      </c>
      <c r="S1880" s="102"/>
      <c r="T1880" s="37">
        <f t="shared" si="302"/>
        <v>0</v>
      </c>
      <c r="U1880" s="62"/>
      <c r="V1880" s="63"/>
      <c r="W1880" s="63"/>
      <c r="X1880" s="35" t="str">
        <f t="shared" si="303"/>
        <v>#N/A</v>
      </c>
      <c r="Y1880" s="35" t="str">
        <f t="shared" si="304"/>
        <v>#N/A</v>
      </c>
      <c r="Z1880" s="40" t="str">
        <f t="shared" si="305"/>
        <v>#N/A</v>
      </c>
      <c r="AA1880" s="34" t="str">
        <f t="shared" si="306"/>
        <v>#N/A</v>
      </c>
      <c r="AB1880" s="41" t="str">
        <f t="shared" si="307"/>
        <v>#N/A</v>
      </c>
      <c r="AC1880" s="42" t="b">
        <v>0</v>
      </c>
      <c r="AD1880" s="66" t="str">
        <f t="shared" si="308"/>
        <v>USD</v>
      </c>
      <c r="AE1880" s="42"/>
      <c r="AF1880" s="42" t="str">
        <f t="array" ref="AF1880">INDEX('Deal Info'!D:D, MATCH(A1880,'Deal Info'!A:A, 0))</f>
        <v>#N/A</v>
      </c>
      <c r="AG1880" s="43" t="str">
        <f t="array" ref="AG1880">INDEX('Deal Info'!G:G, MATCH(A1880,'Deal Info'!A:A, 0))</f>
        <v>#N/A</v>
      </c>
    </row>
    <row r="1881" hidden="1">
      <c r="A1881" s="23" t="b">
        <f t="array" ref="A1881">if(G1881='Room Info'!$B$1, INDEX('Room Info'!$A$2:$A3446, MATCH(B1881,'Room Info'!$B$2:$B3446, 0)),if(G1881='Room Info'!$C$1, INDEX('Room Info'!$A$2:$A3446, MATCH(B1881,'Room Info'!$C$2:$C3446, 0)),if(G1881='Room Info'!$D$1, INDEX('Room Info'!$A$2:$A3446, MATCH(B1881,'Room Info'!$D$2:$D3446, 0)),if(G1881='Room Info'!$E$1, INDEX('Room Info'!$A$2:$A3446, MATCH(B1881,'Room Info'!$E$2:$E3446, 0)),if(G1881='Room Info'!$F$1, INDEX('Room Info'!$A$2:$A3446, MATCH(B1881,'Room Info'!$F$2:$F3446, 0)),if(G1881='Room Info'!$H$1, INDEX('Room Info'!$A$2:$A3446, MATCH(B1881,'Room Info'!$H$2:$H3446, 0)),if(G1881='Room Info'!$G$1, INDEX('Room Info'!$A$2:$A3446, MATCH(B1881,'Room Info'!$G$2:$G3446, 0)))))))))</f>
        <v>0</v>
      </c>
      <c r="B1881" s="101"/>
      <c r="C1881" s="141"/>
      <c r="D1881" s="115"/>
      <c r="E1881" s="85"/>
      <c r="F1881" s="138"/>
      <c r="G1881" s="70"/>
      <c r="H1881" s="105"/>
      <c r="I1881" s="105"/>
      <c r="J1881" s="44" t="str">
        <f t="shared" si="311"/>
        <v/>
      </c>
      <c r="K1881" s="139"/>
      <c r="L1881" s="140"/>
      <c r="M1881" s="67"/>
      <c r="N1881" s="33">
        <f t="shared" si="276"/>
        <v>0</v>
      </c>
      <c r="O1881" s="101"/>
      <c r="P1881" s="34" t="str">
        <f t="shared" si="277"/>
        <v/>
      </c>
      <c r="Q1881" s="60"/>
      <c r="R1881" s="36">
        <f t="shared" si="312"/>
        <v>0</v>
      </c>
      <c r="S1881" s="102"/>
      <c r="T1881" s="37">
        <f t="shared" si="302"/>
        <v>0</v>
      </c>
      <c r="U1881" s="62"/>
      <c r="V1881" s="63"/>
      <c r="W1881" s="63"/>
      <c r="X1881" s="35" t="str">
        <f t="shared" si="303"/>
        <v>#N/A</v>
      </c>
      <c r="Y1881" s="35" t="str">
        <f t="shared" si="304"/>
        <v>#N/A</v>
      </c>
      <c r="Z1881" s="40" t="str">
        <f t="shared" si="305"/>
        <v>#N/A</v>
      </c>
      <c r="AA1881" s="34" t="str">
        <f t="shared" si="306"/>
        <v>#N/A</v>
      </c>
      <c r="AB1881" s="41" t="str">
        <f t="shared" si="307"/>
        <v>#N/A</v>
      </c>
      <c r="AC1881" s="42" t="b">
        <v>0</v>
      </c>
      <c r="AD1881" s="66" t="str">
        <f t="shared" si="308"/>
        <v>USD</v>
      </c>
      <c r="AE1881" s="42"/>
      <c r="AF1881" s="42" t="str">
        <f t="array" ref="AF1881">INDEX('Deal Info'!D:D, MATCH(A1881,'Deal Info'!A:A, 0))</f>
        <v>#N/A</v>
      </c>
      <c r="AG1881" s="43" t="str">
        <f t="array" ref="AG1881">INDEX('Deal Info'!G:G, MATCH(A1881,'Deal Info'!A:A, 0))</f>
        <v>#N/A</v>
      </c>
    </row>
    <row r="1882" hidden="1">
      <c r="A1882" s="23" t="b">
        <f t="array" ref="A1882">if(G1882='Room Info'!$B$1, INDEX('Room Info'!$A$2:$A3446, MATCH(B1882,'Room Info'!$B$2:$B3446, 0)),if(G1882='Room Info'!$C$1, INDEX('Room Info'!$A$2:$A3446, MATCH(B1882,'Room Info'!$C$2:$C3446, 0)),if(G1882='Room Info'!$D$1, INDEX('Room Info'!$A$2:$A3446, MATCH(B1882,'Room Info'!$D$2:$D3446, 0)),if(G1882='Room Info'!$E$1, INDEX('Room Info'!$A$2:$A3446, MATCH(B1882,'Room Info'!$E$2:$E3446, 0)),if(G1882='Room Info'!$F$1, INDEX('Room Info'!$A$2:$A3446, MATCH(B1882,'Room Info'!$F$2:$F3446, 0)),if(G1882='Room Info'!$H$1, INDEX('Room Info'!$A$2:$A3446, MATCH(B1882,'Room Info'!$H$2:$H3446, 0)),if(G1882='Room Info'!$G$1, INDEX('Room Info'!$A$2:$A3446, MATCH(B1882,'Room Info'!$G$2:$G3446, 0)))))))))</f>
        <v>0</v>
      </c>
      <c r="B1882" s="101"/>
      <c r="C1882" s="115"/>
      <c r="D1882" s="115"/>
      <c r="E1882" s="85"/>
      <c r="F1882" s="138"/>
      <c r="G1882" s="101"/>
      <c r="H1882" s="114"/>
      <c r="I1882" s="114"/>
      <c r="J1882" s="44" t="str">
        <f t="shared" si="311"/>
        <v/>
      </c>
      <c r="K1882" s="116"/>
      <c r="L1882" s="117"/>
      <c r="M1882" s="67"/>
      <c r="N1882" s="33">
        <f t="shared" si="276"/>
        <v>0</v>
      </c>
      <c r="O1882" s="70"/>
      <c r="P1882" s="34" t="str">
        <f t="shared" si="277"/>
        <v/>
      </c>
      <c r="Q1882" s="60"/>
      <c r="R1882" s="36">
        <f t="shared" si="312"/>
        <v>0</v>
      </c>
      <c r="S1882" s="71"/>
      <c r="T1882" s="37">
        <f t="shared" si="302"/>
        <v>0</v>
      </c>
      <c r="U1882" s="62"/>
      <c r="V1882" s="63"/>
      <c r="W1882" s="63"/>
      <c r="X1882" s="35" t="str">
        <f t="shared" si="303"/>
        <v>#N/A</v>
      </c>
      <c r="Y1882" s="35" t="str">
        <f t="shared" si="304"/>
        <v>#N/A</v>
      </c>
      <c r="Z1882" s="40" t="str">
        <f t="shared" si="305"/>
        <v>#N/A</v>
      </c>
      <c r="AA1882" s="34" t="str">
        <f t="shared" si="306"/>
        <v>#N/A</v>
      </c>
      <c r="AB1882" s="41" t="str">
        <f t="shared" si="307"/>
        <v>#N/A</v>
      </c>
      <c r="AC1882" s="42" t="b">
        <v>0</v>
      </c>
      <c r="AD1882" s="66" t="str">
        <f t="shared" si="308"/>
        <v>USD</v>
      </c>
      <c r="AE1882" s="42"/>
      <c r="AF1882" s="42" t="str">
        <f t="array" ref="AF1882">INDEX('Deal Info'!D:D, MATCH(A1882,'Deal Info'!A:A, 0))</f>
        <v>#N/A</v>
      </c>
      <c r="AG1882" s="43" t="str">
        <f t="array" ref="AG1882">INDEX('Deal Info'!G:G, MATCH(A1882,'Deal Info'!A:A, 0))</f>
        <v>#N/A</v>
      </c>
    </row>
    <row r="1883" hidden="1">
      <c r="A1883" s="23" t="b">
        <f t="array" ref="A1883">if(G1883='Room Info'!$B$1, INDEX('Room Info'!$A$2:$A3446, MATCH(B1883,'Room Info'!$B$2:$B3446, 0)),if(G1883='Room Info'!$C$1, INDEX('Room Info'!$A$2:$A3446, MATCH(B1883,'Room Info'!$C$2:$C3446, 0)),if(G1883='Room Info'!$D$1, INDEX('Room Info'!$A$2:$A3446, MATCH(B1883,'Room Info'!$D$2:$D3446, 0)),if(G1883='Room Info'!$E$1, INDEX('Room Info'!$A$2:$A3446, MATCH(B1883,'Room Info'!$E$2:$E3446, 0)),if(G1883='Room Info'!$F$1, INDEX('Room Info'!$A$2:$A3446, MATCH(B1883,'Room Info'!$F$2:$F3446, 0)),if(G1883='Room Info'!$H$1, INDEX('Room Info'!$A$2:$A3446, MATCH(B1883,'Room Info'!$H$2:$H3446, 0)),if(G1883='Room Info'!$G$1, INDEX('Room Info'!$A$2:$A3446, MATCH(B1883,'Room Info'!$G$2:$G3446, 0)))))))))</f>
        <v>0</v>
      </c>
      <c r="B1883" s="101"/>
      <c r="C1883" s="115"/>
      <c r="D1883" s="115"/>
      <c r="E1883" s="85"/>
      <c r="F1883" s="138"/>
      <c r="G1883" s="101"/>
      <c r="H1883" s="114"/>
      <c r="I1883" s="114"/>
      <c r="J1883" s="44" t="str">
        <f t="shared" si="311"/>
        <v/>
      </c>
      <c r="K1883" s="116"/>
      <c r="L1883" s="117"/>
      <c r="M1883" s="67"/>
      <c r="N1883" s="33">
        <f t="shared" si="276"/>
        <v>0</v>
      </c>
      <c r="O1883" s="70"/>
      <c r="P1883" s="34" t="str">
        <f t="shared" si="277"/>
        <v/>
      </c>
      <c r="Q1883" s="60"/>
      <c r="R1883" s="36">
        <f t="shared" si="312"/>
        <v>0</v>
      </c>
      <c r="S1883" s="71"/>
      <c r="T1883" s="37">
        <f t="shared" si="302"/>
        <v>0</v>
      </c>
      <c r="U1883" s="62"/>
      <c r="V1883" s="63"/>
      <c r="W1883" s="63"/>
      <c r="X1883" s="35" t="str">
        <f t="shared" si="303"/>
        <v>#N/A</v>
      </c>
      <c r="Y1883" s="35" t="str">
        <f t="shared" si="304"/>
        <v>#N/A</v>
      </c>
      <c r="Z1883" s="40" t="str">
        <f t="shared" si="305"/>
        <v>#N/A</v>
      </c>
      <c r="AA1883" s="34" t="str">
        <f t="shared" si="306"/>
        <v>#N/A</v>
      </c>
      <c r="AB1883" s="41" t="str">
        <f t="shared" si="307"/>
        <v>#N/A</v>
      </c>
      <c r="AC1883" s="42" t="b">
        <v>0</v>
      </c>
      <c r="AD1883" s="66" t="str">
        <f t="shared" si="308"/>
        <v>USD</v>
      </c>
      <c r="AE1883" s="42"/>
      <c r="AF1883" s="42" t="str">
        <f t="array" ref="AF1883">INDEX('Deal Info'!D:D, MATCH(A1883,'Deal Info'!A:A, 0))</f>
        <v>#N/A</v>
      </c>
      <c r="AG1883" s="43" t="str">
        <f t="array" ref="AG1883">INDEX('Deal Info'!G:G, MATCH(A1883,'Deal Info'!A:A, 0))</f>
        <v>#N/A</v>
      </c>
    </row>
    <row r="1884" hidden="1">
      <c r="A1884" s="23" t="b">
        <f t="array" ref="A1884">if(G1884='Room Info'!$B$1, INDEX('Room Info'!$A$2:$A3446, MATCH(B1884,'Room Info'!$B$2:$B3446, 0)),if(G1884='Room Info'!$C$1, INDEX('Room Info'!$A$2:$A3446, MATCH(B1884,'Room Info'!$C$2:$C3446, 0)),if(G1884='Room Info'!$D$1, INDEX('Room Info'!$A$2:$A3446, MATCH(B1884,'Room Info'!$D$2:$D3446, 0)),if(G1884='Room Info'!$E$1, INDEX('Room Info'!$A$2:$A3446, MATCH(B1884,'Room Info'!$E$2:$E3446, 0)),if(G1884='Room Info'!$F$1, INDEX('Room Info'!$A$2:$A3446, MATCH(B1884,'Room Info'!$F$2:$F3446, 0)),if(G1884='Room Info'!$H$1, INDEX('Room Info'!$A$2:$A3446, MATCH(B1884,'Room Info'!$H$2:$H3446, 0)),if(G1884='Room Info'!$G$1, INDEX('Room Info'!$A$2:$A3446, MATCH(B1884,'Room Info'!$G$2:$G3446, 0)))))))))</f>
        <v>0</v>
      </c>
      <c r="B1884" s="101"/>
      <c r="C1884" s="115"/>
      <c r="D1884" s="115"/>
      <c r="E1884" s="85"/>
      <c r="F1884" s="138"/>
      <c r="G1884" s="101"/>
      <c r="H1884" s="114"/>
      <c r="I1884" s="114"/>
      <c r="J1884" s="44" t="str">
        <f t="shared" si="311"/>
        <v/>
      </c>
      <c r="K1884" s="116"/>
      <c r="L1884" s="117"/>
      <c r="M1884" s="67"/>
      <c r="N1884" s="33">
        <f t="shared" si="276"/>
        <v>0</v>
      </c>
      <c r="O1884" s="70"/>
      <c r="P1884" s="34" t="str">
        <f t="shared" si="277"/>
        <v/>
      </c>
      <c r="Q1884" s="60"/>
      <c r="R1884" s="36">
        <f t="shared" si="312"/>
        <v>0</v>
      </c>
      <c r="S1884" s="71"/>
      <c r="T1884" s="37">
        <f t="shared" si="302"/>
        <v>0</v>
      </c>
      <c r="U1884" s="62"/>
      <c r="V1884" s="63"/>
      <c r="W1884" s="63"/>
      <c r="X1884" s="35" t="str">
        <f t="shared" si="303"/>
        <v>#N/A</v>
      </c>
      <c r="Y1884" s="35" t="str">
        <f t="shared" si="304"/>
        <v>#N/A</v>
      </c>
      <c r="Z1884" s="40" t="str">
        <f t="shared" si="305"/>
        <v>#N/A</v>
      </c>
      <c r="AA1884" s="34" t="str">
        <f t="shared" si="306"/>
        <v>#N/A</v>
      </c>
      <c r="AB1884" s="41" t="str">
        <f t="shared" si="307"/>
        <v>#N/A</v>
      </c>
      <c r="AC1884" s="42" t="b">
        <v>0</v>
      </c>
      <c r="AD1884" s="66" t="str">
        <f t="shared" si="308"/>
        <v>USD</v>
      </c>
      <c r="AE1884" s="42"/>
      <c r="AF1884" s="42" t="str">
        <f t="array" ref="AF1884">INDEX('Deal Info'!D:D, MATCH(A1884,'Deal Info'!A:A, 0))</f>
        <v>#N/A</v>
      </c>
      <c r="AG1884" s="43" t="str">
        <f t="array" ref="AG1884">INDEX('Deal Info'!G:G, MATCH(A1884,'Deal Info'!A:A, 0))</f>
        <v>#N/A</v>
      </c>
    </row>
    <row r="1885" hidden="1">
      <c r="A1885" s="23" t="b">
        <f t="array" ref="A1885">if(G1885='Room Info'!$B$1, INDEX('Room Info'!$A$2:$A3446, MATCH(B1885,'Room Info'!$B$2:$B3446, 0)),if(G1885='Room Info'!$C$1, INDEX('Room Info'!$A$2:$A3446, MATCH(B1885,'Room Info'!$C$2:$C3446, 0)),if(G1885='Room Info'!$D$1, INDEX('Room Info'!$A$2:$A3446, MATCH(B1885,'Room Info'!$D$2:$D3446, 0)),if(G1885='Room Info'!$E$1, INDEX('Room Info'!$A$2:$A3446, MATCH(B1885,'Room Info'!$E$2:$E3446, 0)),if(G1885='Room Info'!$F$1, INDEX('Room Info'!$A$2:$A3446, MATCH(B1885,'Room Info'!$F$2:$F3446, 0)),if(G1885='Room Info'!$H$1, INDEX('Room Info'!$A$2:$A3446, MATCH(B1885,'Room Info'!$H$2:$H3446, 0)),if(G1885='Room Info'!$G$1, INDEX('Room Info'!$A$2:$A3446, MATCH(B1885,'Room Info'!$G$2:$G3446, 0)))))))))</f>
        <v>0</v>
      </c>
      <c r="B1885" s="101"/>
      <c r="C1885" s="115"/>
      <c r="D1885" s="115"/>
      <c r="E1885" s="85"/>
      <c r="F1885" s="138"/>
      <c r="G1885" s="101"/>
      <c r="H1885" s="114"/>
      <c r="I1885" s="114"/>
      <c r="J1885" s="44" t="str">
        <f t="shared" si="311"/>
        <v/>
      </c>
      <c r="K1885" s="116"/>
      <c r="L1885" s="117"/>
      <c r="M1885" s="67"/>
      <c r="N1885" s="33">
        <f t="shared" si="276"/>
        <v>0</v>
      </c>
      <c r="O1885" s="70"/>
      <c r="P1885" s="34" t="str">
        <f t="shared" si="277"/>
        <v/>
      </c>
      <c r="Q1885" s="60"/>
      <c r="R1885" s="36">
        <f t="shared" si="312"/>
        <v>0</v>
      </c>
      <c r="S1885" s="71"/>
      <c r="T1885" s="37">
        <f t="shared" si="302"/>
        <v>0</v>
      </c>
      <c r="U1885" s="62"/>
      <c r="V1885" s="63"/>
      <c r="W1885" s="63"/>
      <c r="X1885" s="35" t="str">
        <f t="shared" si="303"/>
        <v>#N/A</v>
      </c>
      <c r="Y1885" s="35" t="str">
        <f t="shared" si="304"/>
        <v>#N/A</v>
      </c>
      <c r="Z1885" s="40" t="str">
        <f t="shared" si="305"/>
        <v>#N/A</v>
      </c>
      <c r="AA1885" s="34" t="str">
        <f t="shared" si="306"/>
        <v>#N/A</v>
      </c>
      <c r="AB1885" s="41" t="str">
        <f t="shared" si="307"/>
        <v>#N/A</v>
      </c>
      <c r="AC1885" s="42" t="b">
        <v>0</v>
      </c>
      <c r="AD1885" s="66" t="str">
        <f t="shared" si="308"/>
        <v>USD</v>
      </c>
      <c r="AE1885" s="42"/>
      <c r="AF1885" s="42" t="str">
        <f t="array" ref="AF1885">INDEX('Deal Info'!D:D, MATCH(A1885,'Deal Info'!A:A, 0))</f>
        <v>#N/A</v>
      </c>
      <c r="AG1885" s="43" t="str">
        <f t="array" ref="AG1885">INDEX('Deal Info'!G:G, MATCH(A1885,'Deal Info'!A:A, 0))</f>
        <v>#N/A</v>
      </c>
    </row>
    <row r="1886" hidden="1">
      <c r="A1886" s="23" t="b">
        <f t="array" ref="A1886">if(G1886='Room Info'!$B$1, INDEX('Room Info'!$A$2:$A3446, MATCH(B1886,'Room Info'!$B$2:$B3446, 0)),if(G1886='Room Info'!$C$1, INDEX('Room Info'!$A$2:$A3446, MATCH(B1886,'Room Info'!$C$2:$C3446, 0)),if(G1886='Room Info'!$D$1, INDEX('Room Info'!$A$2:$A3446, MATCH(B1886,'Room Info'!$D$2:$D3446, 0)),if(G1886='Room Info'!$E$1, INDEX('Room Info'!$A$2:$A3446, MATCH(B1886,'Room Info'!$E$2:$E3446, 0)),if(G1886='Room Info'!$F$1, INDEX('Room Info'!$A$2:$A3446, MATCH(B1886,'Room Info'!$F$2:$F3446, 0)),if(G1886='Room Info'!$H$1, INDEX('Room Info'!$A$2:$A3446, MATCH(B1886,'Room Info'!$H$2:$H3446, 0)),if(G1886='Room Info'!$G$1, INDEX('Room Info'!$A$2:$A3446, MATCH(B1886,'Room Info'!$G$2:$G3446, 0)))))))))</f>
        <v>0</v>
      </c>
      <c r="B1886" s="101"/>
      <c r="C1886" s="115"/>
      <c r="D1886" s="115"/>
      <c r="E1886" s="85"/>
      <c r="F1886" s="138"/>
      <c r="G1886" s="101"/>
      <c r="H1886" s="114"/>
      <c r="I1886" s="114"/>
      <c r="J1886" s="44" t="str">
        <f t="shared" si="311"/>
        <v/>
      </c>
      <c r="K1886" s="116"/>
      <c r="L1886" s="117"/>
      <c r="M1886" s="67"/>
      <c r="N1886" s="33">
        <f t="shared" si="276"/>
        <v>0</v>
      </c>
      <c r="O1886" s="70"/>
      <c r="P1886" s="34" t="str">
        <f t="shared" si="277"/>
        <v/>
      </c>
      <c r="Q1886" s="60"/>
      <c r="R1886" s="36">
        <f t="shared" si="312"/>
        <v>0</v>
      </c>
      <c r="S1886" s="71"/>
      <c r="T1886" s="37">
        <f t="shared" si="302"/>
        <v>0</v>
      </c>
      <c r="U1886" s="62"/>
      <c r="V1886" s="63"/>
      <c r="W1886" s="63"/>
      <c r="X1886" s="35" t="str">
        <f t="shared" si="303"/>
        <v>#N/A</v>
      </c>
      <c r="Y1886" s="35" t="str">
        <f t="shared" si="304"/>
        <v>#N/A</v>
      </c>
      <c r="Z1886" s="40" t="str">
        <f t="shared" si="305"/>
        <v>#N/A</v>
      </c>
      <c r="AA1886" s="34" t="str">
        <f t="shared" si="306"/>
        <v>#N/A</v>
      </c>
      <c r="AB1886" s="41" t="str">
        <f t="shared" si="307"/>
        <v>#N/A</v>
      </c>
      <c r="AC1886" s="42" t="b">
        <v>0</v>
      </c>
      <c r="AD1886" s="66" t="str">
        <f t="shared" si="308"/>
        <v>USD</v>
      </c>
      <c r="AE1886" s="42"/>
      <c r="AF1886" s="42" t="str">
        <f t="array" ref="AF1886">INDEX('Deal Info'!D:D, MATCH(A1886,'Deal Info'!A:A, 0))</f>
        <v>#N/A</v>
      </c>
      <c r="AG1886" s="43" t="str">
        <f t="array" ref="AG1886">INDEX('Deal Info'!G:G, MATCH(A1886,'Deal Info'!A:A, 0))</f>
        <v>#N/A</v>
      </c>
    </row>
    <row r="1887" hidden="1">
      <c r="A1887" s="23" t="b">
        <f t="array" ref="A1887">if(G1887='Room Info'!$B$1, INDEX('Room Info'!$A$2:$A3446, MATCH(B1887,'Room Info'!$B$2:$B3446, 0)),if(G1887='Room Info'!$C$1, INDEX('Room Info'!$A$2:$A3446, MATCH(B1887,'Room Info'!$C$2:$C3446, 0)),if(G1887='Room Info'!$D$1, INDEX('Room Info'!$A$2:$A3446, MATCH(B1887,'Room Info'!$D$2:$D3446, 0)),if(G1887='Room Info'!$E$1, INDEX('Room Info'!$A$2:$A3446, MATCH(B1887,'Room Info'!$E$2:$E3446, 0)),if(G1887='Room Info'!$F$1, INDEX('Room Info'!$A$2:$A3446, MATCH(B1887,'Room Info'!$F$2:$F3446, 0)),if(G1887='Room Info'!$H$1, INDEX('Room Info'!$A$2:$A3446, MATCH(B1887,'Room Info'!$H$2:$H3446, 0)),if(G1887='Room Info'!$G$1, INDEX('Room Info'!$A$2:$A3446, MATCH(B1887,'Room Info'!$G$2:$G3446, 0)))))))))</f>
        <v>0</v>
      </c>
      <c r="B1887" s="101"/>
      <c r="C1887" s="115"/>
      <c r="D1887" s="115"/>
      <c r="E1887" s="85"/>
      <c r="F1887" s="138"/>
      <c r="G1887" s="101"/>
      <c r="H1887" s="114"/>
      <c r="I1887" s="114"/>
      <c r="J1887" s="44" t="str">
        <f t="shared" si="311"/>
        <v/>
      </c>
      <c r="K1887" s="116"/>
      <c r="L1887" s="117"/>
      <c r="M1887" s="67"/>
      <c r="N1887" s="33">
        <f t="shared" si="276"/>
        <v>0</v>
      </c>
      <c r="O1887" s="70"/>
      <c r="P1887" s="34" t="str">
        <f t="shared" si="277"/>
        <v/>
      </c>
      <c r="Q1887" s="60"/>
      <c r="R1887" s="36">
        <f t="shared" si="312"/>
        <v>0</v>
      </c>
      <c r="S1887" s="71"/>
      <c r="T1887" s="37">
        <f t="shared" si="302"/>
        <v>0</v>
      </c>
      <c r="U1887" s="62"/>
      <c r="V1887" s="63"/>
      <c r="W1887" s="63"/>
      <c r="X1887" s="35" t="str">
        <f t="shared" si="303"/>
        <v>#N/A</v>
      </c>
      <c r="Y1887" s="35" t="str">
        <f t="shared" si="304"/>
        <v>#N/A</v>
      </c>
      <c r="Z1887" s="40" t="str">
        <f t="shared" si="305"/>
        <v>#N/A</v>
      </c>
      <c r="AA1887" s="34" t="str">
        <f t="shared" si="306"/>
        <v>#N/A</v>
      </c>
      <c r="AB1887" s="41" t="str">
        <f t="shared" si="307"/>
        <v>#N/A</v>
      </c>
      <c r="AC1887" s="42" t="b">
        <v>0</v>
      </c>
      <c r="AD1887" s="66" t="str">
        <f t="shared" si="308"/>
        <v>USD</v>
      </c>
      <c r="AE1887" s="42"/>
      <c r="AF1887" s="42" t="str">
        <f t="array" ref="AF1887">INDEX('Deal Info'!D:D, MATCH(A1887,'Deal Info'!A:A, 0))</f>
        <v>#N/A</v>
      </c>
      <c r="AG1887" s="43" t="str">
        <f t="array" ref="AG1887">INDEX('Deal Info'!G:G, MATCH(A1887,'Deal Info'!A:A, 0))</f>
        <v>#N/A</v>
      </c>
    </row>
    <row r="1888" hidden="1">
      <c r="A1888" s="23" t="b">
        <f t="array" ref="A1888">if(G1888='Room Info'!$B$1, INDEX('Room Info'!$A$2:$A3446, MATCH(B1888,'Room Info'!$B$2:$B3446, 0)),if(G1888='Room Info'!$C$1, INDEX('Room Info'!$A$2:$A3446, MATCH(B1888,'Room Info'!$C$2:$C3446, 0)),if(G1888='Room Info'!$D$1, INDEX('Room Info'!$A$2:$A3446, MATCH(B1888,'Room Info'!$D$2:$D3446, 0)),if(G1888='Room Info'!$E$1, INDEX('Room Info'!$A$2:$A3446, MATCH(B1888,'Room Info'!$E$2:$E3446, 0)),if(G1888='Room Info'!$F$1, INDEX('Room Info'!$A$2:$A3446, MATCH(B1888,'Room Info'!$F$2:$F3446, 0)),if(G1888='Room Info'!$H$1, INDEX('Room Info'!$A$2:$A3446, MATCH(B1888,'Room Info'!$H$2:$H3446, 0)),if(G1888='Room Info'!$G$1, INDEX('Room Info'!$A$2:$A3446, MATCH(B1888,'Room Info'!$G$2:$G3446, 0)))))))))</f>
        <v>0</v>
      </c>
      <c r="B1888" s="101"/>
      <c r="C1888" s="115"/>
      <c r="D1888" s="115"/>
      <c r="E1888" s="85"/>
      <c r="F1888" s="138"/>
      <c r="G1888" s="101"/>
      <c r="H1888" s="114"/>
      <c r="I1888" s="114"/>
      <c r="J1888" s="44" t="str">
        <f t="shared" si="311"/>
        <v/>
      </c>
      <c r="K1888" s="116"/>
      <c r="L1888" s="117"/>
      <c r="M1888" s="67"/>
      <c r="N1888" s="33">
        <f t="shared" si="276"/>
        <v>0</v>
      </c>
      <c r="O1888" s="70"/>
      <c r="P1888" s="34" t="str">
        <f t="shared" si="277"/>
        <v/>
      </c>
      <c r="Q1888" s="60"/>
      <c r="R1888" s="36">
        <f t="shared" si="312"/>
        <v>0</v>
      </c>
      <c r="S1888" s="71"/>
      <c r="T1888" s="37">
        <f t="shared" si="302"/>
        <v>0</v>
      </c>
      <c r="U1888" s="62"/>
      <c r="V1888" s="63"/>
      <c r="W1888" s="63"/>
      <c r="X1888" s="35" t="str">
        <f t="shared" si="303"/>
        <v>#N/A</v>
      </c>
      <c r="Y1888" s="35" t="str">
        <f t="shared" si="304"/>
        <v>#N/A</v>
      </c>
      <c r="Z1888" s="40" t="str">
        <f t="shared" si="305"/>
        <v>#N/A</v>
      </c>
      <c r="AA1888" s="34" t="str">
        <f t="shared" si="306"/>
        <v>#N/A</v>
      </c>
      <c r="AB1888" s="41" t="str">
        <f t="shared" si="307"/>
        <v>#N/A</v>
      </c>
      <c r="AC1888" s="42" t="b">
        <v>0</v>
      </c>
      <c r="AD1888" s="66" t="str">
        <f t="shared" si="308"/>
        <v>USD</v>
      </c>
      <c r="AE1888" s="42"/>
      <c r="AF1888" s="42" t="str">
        <f t="array" ref="AF1888">INDEX('Deal Info'!D:D, MATCH(A1888,'Deal Info'!A:A, 0))</f>
        <v>#N/A</v>
      </c>
      <c r="AG1888" s="43" t="str">
        <f t="array" ref="AG1888">INDEX('Deal Info'!G:G, MATCH(A1888,'Deal Info'!A:A, 0))</f>
        <v>#N/A</v>
      </c>
    </row>
    <row r="1889" hidden="1">
      <c r="A1889" s="23" t="b">
        <f t="array" ref="A1889">if(G1889='Room Info'!$B$1, INDEX('Room Info'!$A$2:$A3446, MATCH(B1889,'Room Info'!$B$2:$B3446, 0)),if(G1889='Room Info'!$C$1, INDEX('Room Info'!$A$2:$A3446, MATCH(B1889,'Room Info'!$C$2:$C3446, 0)),if(G1889='Room Info'!$D$1, INDEX('Room Info'!$A$2:$A3446, MATCH(B1889,'Room Info'!$D$2:$D3446, 0)),if(G1889='Room Info'!$E$1, INDEX('Room Info'!$A$2:$A3446, MATCH(B1889,'Room Info'!$E$2:$E3446, 0)),if(G1889='Room Info'!$F$1, INDEX('Room Info'!$A$2:$A3446, MATCH(B1889,'Room Info'!$F$2:$F3446, 0)),if(G1889='Room Info'!$H$1, INDEX('Room Info'!$A$2:$A3446, MATCH(B1889,'Room Info'!$H$2:$H3446, 0)),if(G1889='Room Info'!$G$1, INDEX('Room Info'!$A$2:$A3446, MATCH(B1889,'Room Info'!$G$2:$G3446, 0)))))))))</f>
        <v>0</v>
      </c>
      <c r="B1889" s="101"/>
      <c r="C1889" s="115"/>
      <c r="D1889" s="115"/>
      <c r="E1889" s="85"/>
      <c r="F1889" s="138"/>
      <c r="G1889" s="101"/>
      <c r="H1889" s="114"/>
      <c r="I1889" s="114"/>
      <c r="J1889" s="44" t="str">
        <f t="shared" si="311"/>
        <v/>
      </c>
      <c r="K1889" s="116"/>
      <c r="L1889" s="117"/>
      <c r="M1889" s="67"/>
      <c r="N1889" s="33">
        <f t="shared" si="276"/>
        <v>0</v>
      </c>
      <c r="O1889" s="70"/>
      <c r="P1889" s="34" t="str">
        <f t="shared" si="277"/>
        <v/>
      </c>
      <c r="Q1889" s="60"/>
      <c r="R1889" s="36">
        <f t="shared" si="312"/>
        <v>0</v>
      </c>
      <c r="S1889" s="71"/>
      <c r="T1889" s="37">
        <f t="shared" si="302"/>
        <v>0</v>
      </c>
      <c r="U1889" s="62"/>
      <c r="V1889" s="63"/>
      <c r="W1889" s="63"/>
      <c r="X1889" s="35" t="str">
        <f t="shared" si="303"/>
        <v>#N/A</v>
      </c>
      <c r="Y1889" s="35" t="str">
        <f t="shared" si="304"/>
        <v>#N/A</v>
      </c>
      <c r="Z1889" s="40" t="str">
        <f t="shared" si="305"/>
        <v>#N/A</v>
      </c>
      <c r="AA1889" s="34" t="str">
        <f t="shared" si="306"/>
        <v>#N/A</v>
      </c>
      <c r="AB1889" s="41" t="str">
        <f t="shared" si="307"/>
        <v>#N/A</v>
      </c>
      <c r="AC1889" s="42" t="b">
        <v>0</v>
      </c>
      <c r="AD1889" s="66" t="str">
        <f t="shared" si="308"/>
        <v>USD</v>
      </c>
      <c r="AE1889" s="42"/>
      <c r="AF1889" s="42" t="str">
        <f t="array" ref="AF1889">INDEX('Deal Info'!D:D, MATCH(A1889,'Deal Info'!A:A, 0))</f>
        <v>#N/A</v>
      </c>
      <c r="AG1889" s="43" t="str">
        <f t="array" ref="AG1889">INDEX('Deal Info'!G:G, MATCH(A1889,'Deal Info'!A:A, 0))</f>
        <v>#N/A</v>
      </c>
    </row>
    <row r="1890" hidden="1">
      <c r="A1890" s="23" t="b">
        <f t="array" ref="A1890">if(G1890='Room Info'!$B$1, INDEX('Room Info'!$A$2:$A3446, MATCH(B1890,'Room Info'!$B$2:$B3446, 0)),if(G1890='Room Info'!$C$1, INDEX('Room Info'!$A$2:$A3446, MATCH(B1890,'Room Info'!$C$2:$C3446, 0)),if(G1890='Room Info'!$D$1, INDEX('Room Info'!$A$2:$A3446, MATCH(B1890,'Room Info'!$D$2:$D3446, 0)),if(G1890='Room Info'!$E$1, INDEX('Room Info'!$A$2:$A3446, MATCH(B1890,'Room Info'!$E$2:$E3446, 0)),if(G1890='Room Info'!$F$1, INDEX('Room Info'!$A$2:$A3446, MATCH(B1890,'Room Info'!$F$2:$F3446, 0)),if(G1890='Room Info'!$H$1, INDEX('Room Info'!$A$2:$A3446, MATCH(B1890,'Room Info'!$H$2:$H3446, 0)),if(G1890='Room Info'!$G$1, INDEX('Room Info'!$A$2:$A3446, MATCH(B1890,'Room Info'!$G$2:$G3446, 0)))))))))</f>
        <v>0</v>
      </c>
      <c r="B1890" s="101"/>
      <c r="C1890" s="115"/>
      <c r="D1890" s="115"/>
      <c r="E1890" s="85"/>
      <c r="F1890" s="138"/>
      <c r="G1890" s="70"/>
      <c r="H1890" s="70"/>
      <c r="I1890" s="70"/>
      <c r="J1890" s="44" t="str">
        <f t="shared" si="311"/>
        <v/>
      </c>
      <c r="K1890" s="116"/>
      <c r="L1890" s="117"/>
      <c r="M1890" s="67"/>
      <c r="N1890" s="33">
        <f t="shared" si="276"/>
        <v>0</v>
      </c>
      <c r="O1890" s="70"/>
      <c r="P1890" s="34" t="str">
        <f t="shared" si="277"/>
        <v/>
      </c>
      <c r="Q1890" s="60"/>
      <c r="R1890" s="36">
        <f t="shared" si="312"/>
        <v>0</v>
      </c>
      <c r="S1890" s="71"/>
      <c r="T1890" s="37">
        <f t="shared" si="302"/>
        <v>0</v>
      </c>
      <c r="U1890" s="62"/>
      <c r="V1890" s="63"/>
      <c r="W1890" s="63"/>
      <c r="X1890" s="35" t="str">
        <f t="shared" si="303"/>
        <v>#N/A</v>
      </c>
      <c r="Y1890" s="35" t="str">
        <f t="shared" si="304"/>
        <v>#N/A</v>
      </c>
      <c r="Z1890" s="40" t="str">
        <f t="shared" si="305"/>
        <v>#N/A</v>
      </c>
      <c r="AA1890" s="34" t="str">
        <f t="shared" si="306"/>
        <v>#N/A</v>
      </c>
      <c r="AB1890" s="41" t="str">
        <f t="shared" si="307"/>
        <v>#N/A</v>
      </c>
      <c r="AC1890" s="42" t="b">
        <v>0</v>
      </c>
      <c r="AD1890" s="66" t="str">
        <f t="shared" si="308"/>
        <v>USD</v>
      </c>
      <c r="AE1890" s="42"/>
      <c r="AF1890" s="42" t="str">
        <f t="array" ref="AF1890">INDEX('Deal Info'!D:D, MATCH(A1890,'Deal Info'!A:A, 0))</f>
        <v>#N/A</v>
      </c>
      <c r="AG1890" s="43" t="str">
        <f t="array" ref="AG1890">INDEX('Deal Info'!G:G, MATCH(A1890,'Deal Info'!A:A, 0))</f>
        <v>#N/A</v>
      </c>
    </row>
    <row r="1891" hidden="1">
      <c r="A1891" s="23" t="b">
        <f t="array" ref="A1891">if(G1891='Room Info'!$B$1, INDEX('Room Info'!$A$2:$A3446, MATCH(B1891,'Room Info'!$B$2:$B3446, 0)),if(G1891='Room Info'!$C$1, INDEX('Room Info'!$A$2:$A3446, MATCH(B1891,'Room Info'!$C$2:$C3446, 0)),if(G1891='Room Info'!$D$1, INDEX('Room Info'!$A$2:$A3446, MATCH(B1891,'Room Info'!$D$2:$D3446, 0)),if(G1891='Room Info'!$E$1, INDEX('Room Info'!$A$2:$A3446, MATCH(B1891,'Room Info'!$E$2:$E3446, 0)),if(G1891='Room Info'!$F$1, INDEX('Room Info'!$A$2:$A3446, MATCH(B1891,'Room Info'!$F$2:$F3446, 0)),if(G1891='Room Info'!$H$1, INDEX('Room Info'!$A$2:$A3446, MATCH(B1891,'Room Info'!$H$2:$H3446, 0)),if(G1891='Room Info'!$G$1, INDEX('Room Info'!$A$2:$A3446, MATCH(B1891,'Room Info'!$G$2:$G3446, 0)))))))))</f>
        <v>0</v>
      </c>
      <c r="B1891" s="101"/>
      <c r="C1891" s="115"/>
      <c r="D1891" s="115"/>
      <c r="E1891" s="85"/>
      <c r="F1891" s="138"/>
      <c r="G1891" s="70"/>
      <c r="H1891" s="70"/>
      <c r="I1891" s="70"/>
      <c r="J1891" s="44" t="str">
        <f t="shared" si="311"/>
        <v/>
      </c>
      <c r="K1891" s="116"/>
      <c r="L1891" s="117"/>
      <c r="M1891" s="67"/>
      <c r="N1891" s="33">
        <f t="shared" si="276"/>
        <v>0</v>
      </c>
      <c r="O1891" s="70"/>
      <c r="P1891" s="34" t="str">
        <f t="shared" si="277"/>
        <v/>
      </c>
      <c r="Q1891" s="60"/>
      <c r="R1891" s="36">
        <f t="shared" si="312"/>
        <v>0</v>
      </c>
      <c r="S1891" s="71"/>
      <c r="T1891" s="37">
        <f t="shared" si="302"/>
        <v>0</v>
      </c>
      <c r="U1891" s="62"/>
      <c r="V1891" s="63"/>
      <c r="W1891" s="63"/>
      <c r="X1891" s="35" t="str">
        <f t="shared" si="303"/>
        <v>#N/A</v>
      </c>
      <c r="Y1891" s="35" t="str">
        <f t="shared" si="304"/>
        <v>#N/A</v>
      </c>
      <c r="Z1891" s="40" t="str">
        <f t="shared" si="305"/>
        <v>#N/A</v>
      </c>
      <c r="AA1891" s="34" t="str">
        <f t="shared" si="306"/>
        <v>#N/A</v>
      </c>
      <c r="AB1891" s="41" t="str">
        <f t="shared" si="307"/>
        <v>#N/A</v>
      </c>
      <c r="AC1891" s="42" t="b">
        <v>0</v>
      </c>
      <c r="AD1891" s="66" t="str">
        <f t="shared" si="308"/>
        <v>USD</v>
      </c>
      <c r="AE1891" s="42"/>
      <c r="AF1891" s="42" t="str">
        <f t="array" ref="AF1891">INDEX('Deal Info'!D:D, MATCH(A1891,'Deal Info'!A:A, 0))</f>
        <v>#N/A</v>
      </c>
      <c r="AG1891" s="43" t="str">
        <f t="array" ref="AG1891">INDEX('Deal Info'!G:G, MATCH(A1891,'Deal Info'!A:A, 0))</f>
        <v>#N/A</v>
      </c>
    </row>
    <row r="1892" hidden="1">
      <c r="A1892" s="23" t="b">
        <f t="array" ref="A1892">if(G1892='Room Info'!$B$1, INDEX('Room Info'!$A$2:$A3446, MATCH(B1892,'Room Info'!$B$2:$B3446, 0)),if(G1892='Room Info'!$C$1, INDEX('Room Info'!$A$2:$A3446, MATCH(B1892,'Room Info'!$C$2:$C3446, 0)),if(G1892='Room Info'!$D$1, INDEX('Room Info'!$A$2:$A3446, MATCH(B1892,'Room Info'!$D$2:$D3446, 0)),if(G1892='Room Info'!$E$1, INDEX('Room Info'!$A$2:$A3446, MATCH(B1892,'Room Info'!$E$2:$E3446, 0)),if(G1892='Room Info'!$F$1, INDEX('Room Info'!$A$2:$A3446, MATCH(B1892,'Room Info'!$F$2:$F3446, 0)),if(G1892='Room Info'!$H$1, INDEX('Room Info'!$A$2:$A3446, MATCH(B1892,'Room Info'!$H$2:$H3446, 0)),if(G1892='Room Info'!$G$1, INDEX('Room Info'!$A$2:$A3446, MATCH(B1892,'Room Info'!$G$2:$G3446, 0)))))))))</f>
        <v>0</v>
      </c>
      <c r="B1892" s="101"/>
      <c r="C1892" s="115"/>
      <c r="D1892" s="115"/>
      <c r="E1892" s="85"/>
      <c r="F1892" s="138"/>
      <c r="G1892" s="70"/>
      <c r="H1892" s="70"/>
      <c r="I1892" s="70"/>
      <c r="J1892" s="44" t="str">
        <f t="shared" si="311"/>
        <v/>
      </c>
      <c r="K1892" s="116"/>
      <c r="L1892" s="117"/>
      <c r="M1892" s="67"/>
      <c r="N1892" s="33">
        <f t="shared" si="276"/>
        <v>0</v>
      </c>
      <c r="O1892" s="70"/>
      <c r="P1892" s="34" t="str">
        <f t="shared" si="277"/>
        <v/>
      </c>
      <c r="Q1892" s="60"/>
      <c r="R1892" s="36">
        <f t="shared" si="312"/>
        <v>0</v>
      </c>
      <c r="S1892" s="71"/>
      <c r="T1892" s="37">
        <f t="shared" si="302"/>
        <v>0</v>
      </c>
      <c r="U1892" s="62"/>
      <c r="V1892" s="63"/>
      <c r="W1892" s="63"/>
      <c r="X1892" s="35" t="str">
        <f t="shared" si="303"/>
        <v>#N/A</v>
      </c>
      <c r="Y1892" s="35" t="str">
        <f t="shared" si="304"/>
        <v>#N/A</v>
      </c>
      <c r="Z1892" s="40" t="str">
        <f t="shared" si="305"/>
        <v>#N/A</v>
      </c>
      <c r="AA1892" s="34" t="str">
        <f t="shared" si="306"/>
        <v>#N/A</v>
      </c>
      <c r="AB1892" s="41" t="str">
        <f t="shared" si="307"/>
        <v>#N/A</v>
      </c>
      <c r="AC1892" s="42" t="b">
        <v>0</v>
      </c>
      <c r="AD1892" s="66" t="str">
        <f t="shared" si="308"/>
        <v>USD</v>
      </c>
      <c r="AE1892" s="42"/>
      <c r="AF1892" s="42" t="str">
        <f t="array" ref="AF1892">INDEX('Deal Info'!D:D, MATCH(A1892,'Deal Info'!A:A, 0))</f>
        <v>#N/A</v>
      </c>
      <c r="AG1892" s="43" t="str">
        <f t="array" ref="AG1892">INDEX('Deal Info'!G:G, MATCH(A1892,'Deal Info'!A:A, 0))</f>
        <v>#N/A</v>
      </c>
    </row>
    <row r="1893" hidden="1">
      <c r="A1893" s="23" t="b">
        <f t="array" ref="A1893">if(G1893='Room Info'!$B$1, INDEX('Room Info'!$A$2:$A3446, MATCH(B1893,'Room Info'!$B$2:$B3446, 0)),if(G1893='Room Info'!$C$1, INDEX('Room Info'!$A$2:$A3446, MATCH(B1893,'Room Info'!$C$2:$C3446, 0)),if(G1893='Room Info'!$D$1, INDEX('Room Info'!$A$2:$A3446, MATCH(B1893,'Room Info'!$D$2:$D3446, 0)),if(G1893='Room Info'!$E$1, INDEX('Room Info'!$A$2:$A3446, MATCH(B1893,'Room Info'!$E$2:$E3446, 0)),if(G1893='Room Info'!$F$1, INDEX('Room Info'!$A$2:$A3446, MATCH(B1893,'Room Info'!$F$2:$F3446, 0)),if(G1893='Room Info'!$H$1, INDEX('Room Info'!$A$2:$A3446, MATCH(B1893,'Room Info'!$H$2:$H3446, 0)),if(G1893='Room Info'!$G$1, INDEX('Room Info'!$A$2:$A3446, MATCH(B1893,'Room Info'!$G$2:$G3446, 0)))))))))</f>
        <v>0</v>
      </c>
      <c r="B1893" s="70"/>
      <c r="C1893" s="115"/>
      <c r="D1893" s="115"/>
      <c r="E1893" s="85"/>
      <c r="F1893" s="101"/>
      <c r="G1893" s="70"/>
      <c r="H1893" s="114"/>
      <c r="I1893" s="114"/>
      <c r="J1893" s="44" t="str">
        <f t="shared" si="311"/>
        <v/>
      </c>
      <c r="K1893" s="139"/>
      <c r="L1893" s="140"/>
      <c r="M1893" s="67"/>
      <c r="N1893" s="33">
        <f t="shared" si="276"/>
        <v>0</v>
      </c>
      <c r="O1893" s="101"/>
      <c r="P1893" s="34" t="str">
        <f t="shared" si="277"/>
        <v/>
      </c>
      <c r="Q1893" s="60"/>
      <c r="R1893" s="36">
        <f t="shared" si="312"/>
        <v>0</v>
      </c>
      <c r="S1893" s="102"/>
      <c r="T1893" s="37">
        <f t="shared" si="302"/>
        <v>0</v>
      </c>
      <c r="U1893" s="62"/>
      <c r="V1893" s="63"/>
      <c r="W1893" s="63"/>
      <c r="X1893" s="35" t="str">
        <f t="shared" si="303"/>
        <v>#N/A</v>
      </c>
      <c r="Y1893" s="35" t="str">
        <f t="shared" si="304"/>
        <v>#N/A</v>
      </c>
      <c r="Z1893" s="40" t="str">
        <f t="shared" si="305"/>
        <v>#N/A</v>
      </c>
      <c r="AA1893" s="34" t="str">
        <f t="shared" si="306"/>
        <v>#N/A</v>
      </c>
      <c r="AB1893" s="41" t="str">
        <f t="shared" si="307"/>
        <v>#N/A</v>
      </c>
      <c r="AC1893" s="42" t="b">
        <v>0</v>
      </c>
      <c r="AD1893" s="66" t="str">
        <f t="shared" si="308"/>
        <v>USD</v>
      </c>
      <c r="AE1893" s="42"/>
      <c r="AF1893" s="42" t="str">
        <f t="array" ref="AF1893">INDEX('Deal Info'!D:D, MATCH(A1893,'Deal Info'!A:A, 0))</f>
        <v>#N/A</v>
      </c>
      <c r="AG1893" s="43" t="str">
        <f t="array" ref="AG1893">INDEX('Deal Info'!G:G, MATCH(A1893,'Deal Info'!A:A, 0))</f>
        <v>#N/A</v>
      </c>
    </row>
    <row r="1894" hidden="1">
      <c r="A1894" s="23" t="b">
        <f t="array" ref="A1894">if(G1894='Room Info'!$B$1, INDEX('Room Info'!$A$2:$A3446, MATCH(B1894,'Room Info'!$B$2:$B3446, 0)),if(G1894='Room Info'!$C$1, INDEX('Room Info'!$A$2:$A3446, MATCH(B1894,'Room Info'!$C$2:$C3446, 0)),if(G1894='Room Info'!$D$1, INDEX('Room Info'!$A$2:$A3446, MATCH(B1894,'Room Info'!$D$2:$D3446, 0)),if(G1894='Room Info'!$E$1, INDEX('Room Info'!$A$2:$A3446, MATCH(B1894,'Room Info'!$E$2:$E3446, 0)),if(G1894='Room Info'!$F$1, INDEX('Room Info'!$A$2:$A3446, MATCH(B1894,'Room Info'!$F$2:$F3446, 0)),if(G1894='Room Info'!$H$1, INDEX('Room Info'!$A$2:$A3446, MATCH(B1894,'Room Info'!$H$2:$H3446, 0)),if(G1894='Room Info'!$G$1, INDEX('Room Info'!$A$2:$A3446, MATCH(B1894,'Room Info'!$G$2:$G3446, 0)))))))))</f>
        <v>0</v>
      </c>
      <c r="B1894" s="70"/>
      <c r="C1894" s="115"/>
      <c r="D1894" s="115"/>
      <c r="E1894" s="85"/>
      <c r="F1894" s="101"/>
      <c r="G1894" s="70"/>
      <c r="H1894" s="114"/>
      <c r="I1894" s="114"/>
      <c r="J1894" s="44" t="str">
        <f t="shared" si="311"/>
        <v/>
      </c>
      <c r="K1894" s="139"/>
      <c r="L1894" s="140"/>
      <c r="M1894" s="67"/>
      <c r="N1894" s="33">
        <f t="shared" si="276"/>
        <v>0</v>
      </c>
      <c r="O1894" s="101"/>
      <c r="P1894" s="34" t="str">
        <f t="shared" si="277"/>
        <v/>
      </c>
      <c r="Q1894" s="60"/>
      <c r="R1894" s="36">
        <f t="shared" si="312"/>
        <v>0</v>
      </c>
      <c r="S1894" s="102"/>
      <c r="T1894" s="37">
        <f t="shared" si="302"/>
        <v>0</v>
      </c>
      <c r="U1894" s="62"/>
      <c r="V1894" s="63"/>
      <c r="W1894" s="63"/>
      <c r="X1894" s="35" t="str">
        <f t="shared" si="303"/>
        <v>#N/A</v>
      </c>
      <c r="Y1894" s="35" t="str">
        <f t="shared" si="304"/>
        <v>#N/A</v>
      </c>
      <c r="Z1894" s="40" t="str">
        <f t="shared" si="305"/>
        <v>#N/A</v>
      </c>
      <c r="AA1894" s="34" t="str">
        <f t="shared" si="306"/>
        <v>#N/A</v>
      </c>
      <c r="AB1894" s="41" t="str">
        <f t="shared" si="307"/>
        <v>#N/A</v>
      </c>
      <c r="AC1894" s="42" t="b">
        <v>0</v>
      </c>
      <c r="AD1894" s="66" t="str">
        <f t="shared" si="308"/>
        <v>USD</v>
      </c>
      <c r="AE1894" s="42"/>
      <c r="AF1894" s="42" t="str">
        <f t="array" ref="AF1894">INDEX('Deal Info'!D:D, MATCH(A1894,'Deal Info'!A:A, 0))</f>
        <v>#N/A</v>
      </c>
      <c r="AG1894" s="43" t="str">
        <f t="array" ref="AG1894">INDEX('Deal Info'!G:G, MATCH(A1894,'Deal Info'!A:A, 0))</f>
        <v>#N/A</v>
      </c>
    </row>
    <row r="1895" hidden="1">
      <c r="A1895" s="23" t="b">
        <f t="array" ref="A1895">if(G1895='Room Info'!$B$1, INDEX('Room Info'!$A$2:$A3446, MATCH(B1895,'Room Info'!$B$2:$B3446, 0)),if(G1895='Room Info'!$C$1, INDEX('Room Info'!$A$2:$A3446, MATCH(B1895,'Room Info'!$C$2:$C3446, 0)),if(G1895='Room Info'!$D$1, INDEX('Room Info'!$A$2:$A3446, MATCH(B1895,'Room Info'!$D$2:$D3446, 0)),if(G1895='Room Info'!$E$1, INDEX('Room Info'!$A$2:$A3446, MATCH(B1895,'Room Info'!$E$2:$E3446, 0)),if(G1895='Room Info'!$F$1, INDEX('Room Info'!$A$2:$A3446, MATCH(B1895,'Room Info'!$F$2:$F3446, 0)),if(G1895='Room Info'!$H$1, INDEX('Room Info'!$A$2:$A3446, MATCH(B1895,'Room Info'!$H$2:$H3446, 0)),if(G1895='Room Info'!$G$1, INDEX('Room Info'!$A$2:$A3446, MATCH(B1895,'Room Info'!$G$2:$G3446, 0)))))))))</f>
        <v>0</v>
      </c>
      <c r="B1895" s="70"/>
      <c r="C1895" s="115"/>
      <c r="D1895" s="115"/>
      <c r="E1895" s="85"/>
      <c r="F1895" s="101"/>
      <c r="G1895" s="70"/>
      <c r="H1895" s="114"/>
      <c r="I1895" s="114"/>
      <c r="J1895" s="44" t="str">
        <f t="shared" si="311"/>
        <v/>
      </c>
      <c r="K1895" s="139"/>
      <c r="L1895" s="140"/>
      <c r="M1895" s="67"/>
      <c r="N1895" s="33">
        <f t="shared" si="276"/>
        <v>0</v>
      </c>
      <c r="O1895" s="101"/>
      <c r="P1895" s="34" t="str">
        <f t="shared" si="277"/>
        <v/>
      </c>
      <c r="Q1895" s="60"/>
      <c r="R1895" s="36">
        <f t="shared" si="312"/>
        <v>0</v>
      </c>
      <c r="S1895" s="102"/>
      <c r="T1895" s="37">
        <f t="shared" si="302"/>
        <v>0</v>
      </c>
      <c r="U1895" s="62"/>
      <c r="V1895" s="63"/>
      <c r="W1895" s="63"/>
      <c r="X1895" s="35" t="str">
        <f t="shared" si="303"/>
        <v>#N/A</v>
      </c>
      <c r="Y1895" s="35" t="str">
        <f t="shared" si="304"/>
        <v>#N/A</v>
      </c>
      <c r="Z1895" s="40" t="str">
        <f t="shared" si="305"/>
        <v>#N/A</v>
      </c>
      <c r="AA1895" s="34" t="str">
        <f t="shared" si="306"/>
        <v>#N/A</v>
      </c>
      <c r="AB1895" s="41" t="str">
        <f t="shared" si="307"/>
        <v>#N/A</v>
      </c>
      <c r="AC1895" s="42" t="b">
        <v>0</v>
      </c>
      <c r="AD1895" s="66" t="str">
        <f t="shared" si="308"/>
        <v>USD</v>
      </c>
      <c r="AE1895" s="42"/>
      <c r="AF1895" s="42" t="str">
        <f t="array" ref="AF1895">INDEX('Deal Info'!D:D, MATCH(A1895,'Deal Info'!A:A, 0))</f>
        <v>#N/A</v>
      </c>
      <c r="AG1895" s="43" t="str">
        <f t="array" ref="AG1895">INDEX('Deal Info'!G:G, MATCH(A1895,'Deal Info'!A:A, 0))</f>
        <v>#N/A</v>
      </c>
    </row>
    <row r="1896" hidden="1">
      <c r="A1896" s="23" t="b">
        <f t="array" ref="A1896">if(G1896='Room Info'!$B$1, INDEX('Room Info'!$A$2:$A3446, MATCH(B1896,'Room Info'!$B$2:$B3446, 0)),if(G1896='Room Info'!$C$1, INDEX('Room Info'!$A$2:$A3446, MATCH(B1896,'Room Info'!$C$2:$C3446, 0)),if(G1896='Room Info'!$D$1, INDEX('Room Info'!$A$2:$A3446, MATCH(B1896,'Room Info'!$D$2:$D3446, 0)),if(G1896='Room Info'!$E$1, INDEX('Room Info'!$A$2:$A3446, MATCH(B1896,'Room Info'!$E$2:$E3446, 0)),if(G1896='Room Info'!$F$1, INDEX('Room Info'!$A$2:$A3446, MATCH(B1896,'Room Info'!$F$2:$F3446, 0)),if(G1896='Room Info'!$H$1, INDEX('Room Info'!$A$2:$A3446, MATCH(B1896,'Room Info'!$H$2:$H3446, 0)),if(G1896='Room Info'!$G$1, INDEX('Room Info'!$A$2:$A3446, MATCH(B1896,'Room Info'!$G$2:$G3446, 0)))))))))</f>
        <v>0</v>
      </c>
      <c r="B1896" s="101"/>
      <c r="C1896" s="115"/>
      <c r="D1896" s="115"/>
      <c r="E1896" s="85"/>
      <c r="F1896" s="101"/>
      <c r="G1896" s="70"/>
      <c r="H1896" s="114"/>
      <c r="I1896" s="114"/>
      <c r="J1896" s="44" t="str">
        <f t="shared" si="311"/>
        <v/>
      </c>
      <c r="K1896" s="139"/>
      <c r="L1896" s="140"/>
      <c r="M1896" s="67"/>
      <c r="N1896" s="33">
        <f t="shared" si="276"/>
        <v>0</v>
      </c>
      <c r="O1896" s="101"/>
      <c r="P1896" s="34" t="str">
        <f t="shared" si="277"/>
        <v/>
      </c>
      <c r="Q1896" s="60"/>
      <c r="R1896" s="36">
        <f t="shared" si="312"/>
        <v>0</v>
      </c>
      <c r="S1896" s="102"/>
      <c r="T1896" s="37">
        <f t="shared" si="302"/>
        <v>0</v>
      </c>
      <c r="U1896" s="62"/>
      <c r="V1896" s="63"/>
      <c r="W1896" s="63"/>
      <c r="X1896" s="35" t="str">
        <f t="shared" si="303"/>
        <v>#N/A</v>
      </c>
      <c r="Y1896" s="35" t="str">
        <f t="shared" si="304"/>
        <v>#N/A</v>
      </c>
      <c r="Z1896" s="40" t="str">
        <f t="shared" si="305"/>
        <v>#N/A</v>
      </c>
      <c r="AA1896" s="34" t="str">
        <f t="shared" si="306"/>
        <v>#N/A</v>
      </c>
      <c r="AB1896" s="41" t="str">
        <f t="shared" si="307"/>
        <v>#N/A</v>
      </c>
      <c r="AC1896" s="42" t="b">
        <v>0</v>
      </c>
      <c r="AD1896" s="66" t="str">
        <f t="shared" si="308"/>
        <v>USD</v>
      </c>
      <c r="AE1896" s="42"/>
      <c r="AF1896" s="42" t="str">
        <f t="array" ref="AF1896">INDEX('Deal Info'!D:D, MATCH(A1896,'Deal Info'!A:A, 0))</f>
        <v>#N/A</v>
      </c>
      <c r="AG1896" s="43" t="str">
        <f t="array" ref="AG1896">INDEX('Deal Info'!G:G, MATCH(A1896,'Deal Info'!A:A, 0))</f>
        <v>#N/A</v>
      </c>
    </row>
    <row r="1897" hidden="1">
      <c r="A1897" s="23" t="b">
        <f t="array" ref="A1897">if(G1897='Room Info'!$B$1, INDEX('Room Info'!$A$2:$A3446, MATCH(B1897,'Room Info'!$B$2:$B3446, 0)),if(G1897='Room Info'!$C$1, INDEX('Room Info'!$A$2:$A3446, MATCH(B1897,'Room Info'!$C$2:$C3446, 0)),if(G1897='Room Info'!$D$1, INDEX('Room Info'!$A$2:$A3446, MATCH(B1897,'Room Info'!$D$2:$D3446, 0)),if(G1897='Room Info'!$E$1, INDEX('Room Info'!$A$2:$A3446, MATCH(B1897,'Room Info'!$E$2:$E3446, 0)),if(G1897='Room Info'!$F$1, INDEX('Room Info'!$A$2:$A3446, MATCH(B1897,'Room Info'!$F$2:$F3446, 0)),if(G1897='Room Info'!$H$1, INDEX('Room Info'!$A$2:$A3446, MATCH(B1897,'Room Info'!$H$2:$H3446, 0)),if(G1897='Room Info'!$G$1, INDEX('Room Info'!$A$2:$A3446, MATCH(B1897,'Room Info'!$G$2:$G3446, 0)))))))))</f>
        <v>0</v>
      </c>
      <c r="B1897" s="101"/>
      <c r="C1897" s="115"/>
      <c r="D1897" s="115"/>
      <c r="E1897" s="85"/>
      <c r="F1897" s="101"/>
      <c r="G1897" s="70"/>
      <c r="H1897" s="114"/>
      <c r="I1897" s="114"/>
      <c r="J1897" s="44" t="str">
        <f t="shared" si="311"/>
        <v/>
      </c>
      <c r="K1897" s="139"/>
      <c r="L1897" s="140"/>
      <c r="M1897" s="67"/>
      <c r="N1897" s="33">
        <f t="shared" si="276"/>
        <v>0</v>
      </c>
      <c r="O1897" s="101"/>
      <c r="P1897" s="34" t="str">
        <f t="shared" si="277"/>
        <v/>
      </c>
      <c r="Q1897" s="60"/>
      <c r="R1897" s="36">
        <f t="shared" si="312"/>
        <v>0</v>
      </c>
      <c r="S1897" s="102"/>
      <c r="T1897" s="37">
        <f t="shared" si="302"/>
        <v>0</v>
      </c>
      <c r="U1897" s="62"/>
      <c r="V1897" s="63"/>
      <c r="W1897" s="63"/>
      <c r="X1897" s="35" t="str">
        <f t="shared" si="303"/>
        <v>#N/A</v>
      </c>
      <c r="Y1897" s="35" t="str">
        <f t="shared" si="304"/>
        <v>#N/A</v>
      </c>
      <c r="Z1897" s="40" t="str">
        <f t="shared" si="305"/>
        <v>#N/A</v>
      </c>
      <c r="AA1897" s="34" t="str">
        <f t="shared" si="306"/>
        <v>#N/A</v>
      </c>
      <c r="AB1897" s="41" t="str">
        <f t="shared" si="307"/>
        <v>#N/A</v>
      </c>
      <c r="AC1897" s="42" t="b">
        <v>0</v>
      </c>
      <c r="AD1897" s="66" t="str">
        <f t="shared" si="308"/>
        <v>USD</v>
      </c>
      <c r="AE1897" s="42"/>
      <c r="AF1897" s="42" t="str">
        <f t="array" ref="AF1897">INDEX('Deal Info'!D:D, MATCH(A1897,'Deal Info'!A:A, 0))</f>
        <v>#N/A</v>
      </c>
      <c r="AG1897" s="43" t="str">
        <f t="array" ref="AG1897">INDEX('Deal Info'!G:G, MATCH(A1897,'Deal Info'!A:A, 0))</f>
        <v>#N/A</v>
      </c>
    </row>
    <row r="1898" hidden="1">
      <c r="A1898" s="23" t="b">
        <f t="array" ref="A1898">if(G1898='Room Info'!$B$1, INDEX('Room Info'!$A$2:$A3446, MATCH(B1898,'Room Info'!$B$2:$B3446, 0)),if(G1898='Room Info'!$C$1, INDEX('Room Info'!$A$2:$A3446, MATCH(B1898,'Room Info'!$C$2:$C3446, 0)),if(G1898='Room Info'!$D$1, INDEX('Room Info'!$A$2:$A3446, MATCH(B1898,'Room Info'!$D$2:$D3446, 0)),if(G1898='Room Info'!$E$1, INDEX('Room Info'!$A$2:$A3446, MATCH(B1898,'Room Info'!$E$2:$E3446, 0)),if(G1898='Room Info'!$F$1, INDEX('Room Info'!$A$2:$A3446, MATCH(B1898,'Room Info'!$F$2:$F3446, 0)),if(G1898='Room Info'!$H$1, INDEX('Room Info'!$A$2:$A3446, MATCH(B1898,'Room Info'!$H$2:$H3446, 0)),if(G1898='Room Info'!$G$1, INDEX('Room Info'!$A$2:$A3446, MATCH(B1898,'Room Info'!$G$2:$G3446, 0)))))))))</f>
        <v>0</v>
      </c>
      <c r="B1898" s="101"/>
      <c r="C1898" s="141"/>
      <c r="D1898" s="115"/>
      <c r="E1898" s="85"/>
      <c r="F1898" s="101"/>
      <c r="G1898" s="70"/>
      <c r="H1898" s="114"/>
      <c r="I1898" s="114"/>
      <c r="J1898" s="44" t="str">
        <f t="shared" si="311"/>
        <v/>
      </c>
      <c r="K1898" s="139"/>
      <c r="L1898" s="140"/>
      <c r="M1898" s="67"/>
      <c r="N1898" s="33">
        <f t="shared" si="276"/>
        <v>0</v>
      </c>
      <c r="O1898" s="101"/>
      <c r="P1898" s="34" t="str">
        <f t="shared" si="277"/>
        <v/>
      </c>
      <c r="Q1898" s="60"/>
      <c r="R1898" s="36">
        <f t="shared" si="312"/>
        <v>0</v>
      </c>
      <c r="S1898" s="102"/>
      <c r="T1898" s="37">
        <f t="shared" si="302"/>
        <v>0</v>
      </c>
      <c r="U1898" s="62"/>
      <c r="V1898" s="63"/>
      <c r="W1898" s="63"/>
      <c r="X1898" s="35" t="str">
        <f t="shared" si="303"/>
        <v>#N/A</v>
      </c>
      <c r="Y1898" s="35" t="str">
        <f t="shared" si="304"/>
        <v>#N/A</v>
      </c>
      <c r="Z1898" s="40" t="str">
        <f t="shared" si="305"/>
        <v>#N/A</v>
      </c>
      <c r="AA1898" s="34" t="str">
        <f t="shared" si="306"/>
        <v>#N/A</v>
      </c>
      <c r="AB1898" s="41" t="str">
        <f t="shared" si="307"/>
        <v>#N/A</v>
      </c>
      <c r="AC1898" s="42" t="b">
        <v>0</v>
      </c>
      <c r="AD1898" s="66" t="str">
        <f t="shared" si="308"/>
        <v>USD</v>
      </c>
      <c r="AE1898" s="42"/>
      <c r="AF1898" s="42" t="str">
        <f t="array" ref="AF1898">INDEX('Deal Info'!D:D, MATCH(A1898,'Deal Info'!A:A, 0))</f>
        <v>#N/A</v>
      </c>
      <c r="AG1898" s="43" t="str">
        <f t="array" ref="AG1898">INDEX('Deal Info'!G:G, MATCH(A1898,'Deal Info'!A:A, 0))</f>
        <v>#N/A</v>
      </c>
    </row>
    <row r="1899" hidden="1">
      <c r="A1899" s="23" t="b">
        <f t="array" ref="A1899">if(G1899='Room Info'!$B$1, INDEX('Room Info'!$A$2:$A3446, MATCH(B1899,'Room Info'!$B$2:$B3446, 0)),if(G1899='Room Info'!$C$1, INDEX('Room Info'!$A$2:$A3446, MATCH(B1899,'Room Info'!$C$2:$C3446, 0)),if(G1899='Room Info'!$D$1, INDEX('Room Info'!$A$2:$A3446, MATCH(B1899,'Room Info'!$D$2:$D3446, 0)),if(G1899='Room Info'!$E$1, INDEX('Room Info'!$A$2:$A3446, MATCH(B1899,'Room Info'!$E$2:$E3446, 0)),if(G1899='Room Info'!$F$1, INDEX('Room Info'!$A$2:$A3446, MATCH(B1899,'Room Info'!$F$2:$F3446, 0)),if(G1899='Room Info'!$H$1, INDEX('Room Info'!$A$2:$A3446, MATCH(B1899,'Room Info'!$H$2:$H3446, 0)),if(G1899='Room Info'!$G$1, INDEX('Room Info'!$A$2:$A3446, MATCH(B1899,'Room Info'!$G$2:$G3446, 0)))))))))</f>
        <v>0</v>
      </c>
      <c r="B1899" s="101"/>
      <c r="C1899" s="141"/>
      <c r="D1899" s="141"/>
      <c r="E1899" s="142"/>
      <c r="F1899" s="138"/>
      <c r="G1899" s="101"/>
      <c r="H1899" s="105"/>
      <c r="I1899" s="105"/>
      <c r="J1899" s="44" t="str">
        <f t="shared" si="311"/>
        <v/>
      </c>
      <c r="K1899" s="139"/>
      <c r="L1899" s="140"/>
      <c r="M1899" s="84"/>
      <c r="N1899" s="33">
        <f t="shared" si="276"/>
        <v>0</v>
      </c>
      <c r="O1899" s="101"/>
      <c r="P1899" s="34" t="str">
        <f t="shared" si="277"/>
        <v/>
      </c>
      <c r="Q1899" s="60"/>
      <c r="R1899" s="36">
        <f t="shared" si="312"/>
        <v>0</v>
      </c>
      <c r="S1899" s="102"/>
      <c r="T1899" s="37">
        <f t="shared" si="302"/>
        <v>0</v>
      </c>
      <c r="U1899" s="62"/>
      <c r="V1899" s="63"/>
      <c r="W1899" s="63"/>
      <c r="X1899" s="35" t="str">
        <f t="shared" si="303"/>
        <v>#N/A</v>
      </c>
      <c r="Y1899" s="35" t="str">
        <f t="shared" si="304"/>
        <v>#N/A</v>
      </c>
      <c r="Z1899" s="40" t="str">
        <f t="shared" si="305"/>
        <v>#N/A</v>
      </c>
      <c r="AA1899" s="34" t="str">
        <f t="shared" si="306"/>
        <v>#N/A</v>
      </c>
      <c r="AB1899" s="41" t="str">
        <f t="shared" si="307"/>
        <v>#N/A</v>
      </c>
      <c r="AC1899" s="42" t="b">
        <v>0</v>
      </c>
      <c r="AD1899" s="66" t="str">
        <f t="shared" si="308"/>
        <v>USD</v>
      </c>
      <c r="AE1899" s="42"/>
      <c r="AF1899" s="42" t="str">
        <f t="array" ref="AF1899">INDEX('Deal Info'!D:D, MATCH(A1899,'Deal Info'!A:A, 0))</f>
        <v>#N/A</v>
      </c>
      <c r="AG1899" s="43" t="str">
        <f t="array" ref="AG1899">INDEX('Deal Info'!G:G, MATCH(A1899,'Deal Info'!A:A, 0))</f>
        <v>#N/A</v>
      </c>
    </row>
    <row r="1900" hidden="1">
      <c r="A1900" s="23" t="b">
        <f t="array" ref="A1900">if(G1900='Room Info'!$B$1, INDEX('Room Info'!$A$2:$A3446, MATCH(B1900,'Room Info'!$B$2:$B3446, 0)),if(G1900='Room Info'!$C$1, INDEX('Room Info'!$A$2:$A3446, MATCH(B1900,'Room Info'!$C$2:$C3446, 0)),if(G1900='Room Info'!$D$1, INDEX('Room Info'!$A$2:$A3446, MATCH(B1900,'Room Info'!$D$2:$D3446, 0)),if(G1900='Room Info'!$E$1, INDEX('Room Info'!$A$2:$A3446, MATCH(B1900,'Room Info'!$E$2:$E3446, 0)),if(G1900='Room Info'!$F$1, INDEX('Room Info'!$A$2:$A3446, MATCH(B1900,'Room Info'!$F$2:$F3446, 0)),if(G1900='Room Info'!$H$1, INDEX('Room Info'!$A$2:$A3446, MATCH(B1900,'Room Info'!$H$2:$H3446, 0)),if(G1900='Room Info'!$G$1, INDEX('Room Info'!$A$2:$A3446, MATCH(B1900,'Room Info'!$G$2:$G3446, 0)))))))))</f>
        <v>0</v>
      </c>
      <c r="B1900" s="101"/>
      <c r="C1900" s="141"/>
      <c r="D1900" s="141"/>
      <c r="E1900" s="142"/>
      <c r="F1900" s="138"/>
      <c r="G1900" s="101"/>
      <c r="H1900" s="105"/>
      <c r="I1900" s="105"/>
      <c r="J1900" s="44" t="str">
        <f t="shared" si="311"/>
        <v/>
      </c>
      <c r="K1900" s="139"/>
      <c r="L1900" s="140"/>
      <c r="M1900" s="84"/>
      <c r="N1900" s="33">
        <f t="shared" si="276"/>
        <v>0</v>
      </c>
      <c r="O1900" s="101"/>
      <c r="P1900" s="34" t="str">
        <f t="shared" si="277"/>
        <v/>
      </c>
      <c r="Q1900" s="60"/>
      <c r="R1900" s="36">
        <f t="shared" si="312"/>
        <v>0</v>
      </c>
      <c r="S1900" s="102"/>
      <c r="T1900" s="37">
        <f t="shared" si="302"/>
        <v>0</v>
      </c>
      <c r="U1900" s="62"/>
      <c r="V1900" s="63"/>
      <c r="W1900" s="63"/>
      <c r="X1900" s="35" t="str">
        <f t="shared" si="303"/>
        <v>#N/A</v>
      </c>
      <c r="Y1900" s="35" t="str">
        <f t="shared" si="304"/>
        <v>#N/A</v>
      </c>
      <c r="Z1900" s="40" t="str">
        <f t="shared" si="305"/>
        <v>#N/A</v>
      </c>
      <c r="AA1900" s="34" t="str">
        <f t="shared" si="306"/>
        <v>#N/A</v>
      </c>
      <c r="AB1900" s="41" t="str">
        <f t="shared" si="307"/>
        <v>#N/A</v>
      </c>
      <c r="AC1900" s="42" t="b">
        <v>0</v>
      </c>
      <c r="AD1900" s="66" t="str">
        <f t="shared" si="308"/>
        <v>USD</v>
      </c>
      <c r="AE1900" s="42"/>
      <c r="AF1900" s="42" t="str">
        <f t="array" ref="AF1900">INDEX('Deal Info'!D:D, MATCH(A1900,'Deal Info'!A:A, 0))</f>
        <v>#N/A</v>
      </c>
      <c r="AG1900" s="43" t="str">
        <f t="array" ref="AG1900">INDEX('Deal Info'!G:G, MATCH(A1900,'Deal Info'!A:A, 0))</f>
        <v>#N/A</v>
      </c>
    </row>
    <row r="1901" hidden="1">
      <c r="A1901" s="23" t="b">
        <f t="array" ref="A1901">if(G1901='Room Info'!$B$1, INDEX('Room Info'!$A$2:$A3446, MATCH(B1901,'Room Info'!$B$2:$B3446, 0)),if(G1901='Room Info'!$C$1, INDEX('Room Info'!$A$2:$A3446, MATCH(B1901,'Room Info'!$C$2:$C3446, 0)),if(G1901='Room Info'!$D$1, INDEX('Room Info'!$A$2:$A3446, MATCH(B1901,'Room Info'!$D$2:$D3446, 0)),if(G1901='Room Info'!$E$1, INDEX('Room Info'!$A$2:$A3446, MATCH(B1901,'Room Info'!$E$2:$E3446, 0)),if(G1901='Room Info'!$F$1, INDEX('Room Info'!$A$2:$A3446, MATCH(B1901,'Room Info'!$F$2:$F3446, 0)),if(G1901='Room Info'!$H$1, INDEX('Room Info'!$A$2:$A3446, MATCH(B1901,'Room Info'!$H$2:$H3446, 0)),if(G1901='Room Info'!$G$1, INDEX('Room Info'!$A$2:$A3446, MATCH(B1901,'Room Info'!$G$2:$G3446, 0)))))))))</f>
        <v>0</v>
      </c>
      <c r="B1901" s="101"/>
      <c r="C1901" s="115"/>
      <c r="D1901" s="115"/>
      <c r="E1901" s="85"/>
      <c r="F1901" s="138"/>
      <c r="G1901" s="70"/>
      <c r="H1901" s="114"/>
      <c r="I1901" s="114"/>
      <c r="J1901" s="44" t="str">
        <f t="shared" si="311"/>
        <v/>
      </c>
      <c r="K1901" s="116"/>
      <c r="L1901" s="117"/>
      <c r="M1901" s="67"/>
      <c r="N1901" s="33">
        <f t="shared" si="276"/>
        <v>0</v>
      </c>
      <c r="O1901" s="70"/>
      <c r="P1901" s="34" t="str">
        <f t="shared" si="277"/>
        <v/>
      </c>
      <c r="Q1901" s="60"/>
      <c r="R1901" s="36">
        <f t="shared" si="312"/>
        <v>0</v>
      </c>
      <c r="S1901" s="71"/>
      <c r="T1901" s="37">
        <f t="shared" si="302"/>
        <v>0</v>
      </c>
      <c r="U1901" s="62"/>
      <c r="V1901" s="63"/>
      <c r="W1901" s="63"/>
      <c r="X1901" s="35" t="str">
        <f t="shared" si="303"/>
        <v>#N/A</v>
      </c>
      <c r="Y1901" s="35" t="str">
        <f t="shared" si="304"/>
        <v>#N/A</v>
      </c>
      <c r="Z1901" s="40" t="str">
        <f t="shared" si="305"/>
        <v>#N/A</v>
      </c>
      <c r="AA1901" s="34" t="str">
        <f t="shared" si="306"/>
        <v>#N/A</v>
      </c>
      <c r="AB1901" s="41" t="str">
        <f t="shared" si="307"/>
        <v>#N/A</v>
      </c>
      <c r="AC1901" s="42" t="b">
        <v>0</v>
      </c>
      <c r="AD1901" s="66" t="str">
        <f t="shared" si="308"/>
        <v>USD</v>
      </c>
      <c r="AE1901" s="42"/>
      <c r="AF1901" s="42" t="str">
        <f t="array" ref="AF1901">INDEX('Deal Info'!D:D, MATCH(A1901,'Deal Info'!A:A, 0))</f>
        <v>#N/A</v>
      </c>
      <c r="AG1901" s="43" t="str">
        <f t="array" ref="AG1901">INDEX('Deal Info'!G:G, MATCH(A1901,'Deal Info'!A:A, 0))</f>
        <v>#N/A</v>
      </c>
    </row>
    <row r="1902" hidden="1">
      <c r="A1902" s="23" t="b">
        <f t="array" ref="A1902">if(G1902='Room Info'!$B$1, INDEX('Room Info'!$A$2:$A3446, MATCH(B1902,'Room Info'!$B$2:$B3446, 0)),if(G1902='Room Info'!$C$1, INDEX('Room Info'!$A$2:$A3446, MATCH(B1902,'Room Info'!$C$2:$C3446, 0)),if(G1902='Room Info'!$D$1, INDEX('Room Info'!$A$2:$A3446, MATCH(B1902,'Room Info'!$D$2:$D3446, 0)),if(G1902='Room Info'!$E$1, INDEX('Room Info'!$A$2:$A3446, MATCH(B1902,'Room Info'!$E$2:$E3446, 0)),if(G1902='Room Info'!$F$1, INDEX('Room Info'!$A$2:$A3446, MATCH(B1902,'Room Info'!$F$2:$F3446, 0)),if(G1902='Room Info'!$H$1, INDEX('Room Info'!$A$2:$A3446, MATCH(B1902,'Room Info'!$H$2:$H3446, 0)),if(G1902='Room Info'!$G$1, INDEX('Room Info'!$A$2:$A3446, MATCH(B1902,'Room Info'!$G$2:$G3446, 0)))))))))</f>
        <v>0</v>
      </c>
      <c r="B1902" s="101"/>
      <c r="C1902" s="115"/>
      <c r="D1902" s="115"/>
      <c r="E1902" s="85"/>
      <c r="F1902" s="138"/>
      <c r="G1902" s="70"/>
      <c r="H1902" s="114"/>
      <c r="I1902" s="114"/>
      <c r="J1902" s="44" t="str">
        <f t="shared" si="311"/>
        <v/>
      </c>
      <c r="K1902" s="116"/>
      <c r="L1902" s="117"/>
      <c r="M1902" s="67"/>
      <c r="N1902" s="33">
        <f t="shared" si="276"/>
        <v>0</v>
      </c>
      <c r="O1902" s="70"/>
      <c r="P1902" s="34" t="str">
        <f t="shared" si="277"/>
        <v/>
      </c>
      <c r="Q1902" s="60"/>
      <c r="R1902" s="36">
        <f t="shared" si="312"/>
        <v>0</v>
      </c>
      <c r="S1902" s="71"/>
      <c r="T1902" s="37">
        <f t="shared" si="302"/>
        <v>0</v>
      </c>
      <c r="U1902" s="62"/>
      <c r="V1902" s="63"/>
      <c r="W1902" s="63"/>
      <c r="X1902" s="35" t="str">
        <f t="shared" si="303"/>
        <v>#N/A</v>
      </c>
      <c r="Y1902" s="35" t="str">
        <f t="shared" si="304"/>
        <v>#N/A</v>
      </c>
      <c r="Z1902" s="40" t="str">
        <f t="shared" si="305"/>
        <v>#N/A</v>
      </c>
      <c r="AA1902" s="34" t="str">
        <f t="shared" si="306"/>
        <v>#N/A</v>
      </c>
      <c r="AB1902" s="41" t="str">
        <f t="shared" si="307"/>
        <v>#N/A</v>
      </c>
      <c r="AC1902" s="42" t="b">
        <v>0</v>
      </c>
      <c r="AD1902" s="66" t="str">
        <f t="shared" si="308"/>
        <v>USD</v>
      </c>
      <c r="AE1902" s="42"/>
      <c r="AF1902" s="42" t="str">
        <f t="array" ref="AF1902">INDEX('Deal Info'!D:D, MATCH(A1902,'Deal Info'!A:A, 0))</f>
        <v>#N/A</v>
      </c>
      <c r="AG1902" s="43" t="str">
        <f t="array" ref="AG1902">INDEX('Deal Info'!G:G, MATCH(A1902,'Deal Info'!A:A, 0))</f>
        <v>#N/A</v>
      </c>
    </row>
    <row r="1903" hidden="1">
      <c r="A1903" s="23" t="b">
        <f t="array" ref="A1903">if(G1903='Room Info'!$B$1, INDEX('Room Info'!$A$2:$A3446, MATCH(B1903,'Room Info'!$B$2:$B3446, 0)),if(G1903='Room Info'!$C$1, INDEX('Room Info'!$A$2:$A3446, MATCH(B1903,'Room Info'!$C$2:$C3446, 0)),if(G1903='Room Info'!$D$1, INDEX('Room Info'!$A$2:$A3446, MATCH(B1903,'Room Info'!$D$2:$D3446, 0)),if(G1903='Room Info'!$E$1, INDEX('Room Info'!$A$2:$A3446, MATCH(B1903,'Room Info'!$E$2:$E3446, 0)),if(G1903='Room Info'!$F$1, INDEX('Room Info'!$A$2:$A3446, MATCH(B1903,'Room Info'!$F$2:$F3446, 0)),if(G1903='Room Info'!$H$1, INDEX('Room Info'!$A$2:$A3446, MATCH(B1903,'Room Info'!$H$2:$H3446, 0)),if(G1903='Room Info'!$G$1, INDEX('Room Info'!$A$2:$A3446, MATCH(B1903,'Room Info'!$G$2:$G3446, 0)))))))))</f>
        <v>0</v>
      </c>
      <c r="B1903" s="101"/>
      <c r="C1903" s="115"/>
      <c r="D1903" s="115"/>
      <c r="E1903" s="85"/>
      <c r="F1903" s="138"/>
      <c r="G1903" s="101"/>
      <c r="H1903" s="114"/>
      <c r="I1903" s="114"/>
      <c r="J1903" s="44" t="str">
        <f t="shared" si="311"/>
        <v/>
      </c>
      <c r="K1903" s="116"/>
      <c r="L1903" s="117"/>
      <c r="M1903" s="67"/>
      <c r="N1903" s="33">
        <f t="shared" si="276"/>
        <v>0</v>
      </c>
      <c r="O1903" s="70"/>
      <c r="P1903" s="34" t="str">
        <f t="shared" si="277"/>
        <v/>
      </c>
      <c r="Q1903" s="60"/>
      <c r="R1903" s="36">
        <f t="shared" si="312"/>
        <v>0</v>
      </c>
      <c r="S1903" s="71"/>
      <c r="T1903" s="37">
        <f t="shared" si="302"/>
        <v>0</v>
      </c>
      <c r="U1903" s="62"/>
      <c r="V1903" s="63"/>
      <c r="W1903" s="63"/>
      <c r="X1903" s="35" t="str">
        <f t="shared" si="303"/>
        <v>#N/A</v>
      </c>
      <c r="Y1903" s="35" t="str">
        <f t="shared" si="304"/>
        <v>#N/A</v>
      </c>
      <c r="Z1903" s="40" t="str">
        <f t="shared" si="305"/>
        <v>#N/A</v>
      </c>
      <c r="AA1903" s="34" t="str">
        <f t="shared" si="306"/>
        <v>#N/A</v>
      </c>
      <c r="AB1903" s="41" t="str">
        <f t="shared" si="307"/>
        <v>#N/A</v>
      </c>
      <c r="AC1903" s="42" t="b">
        <v>0</v>
      </c>
      <c r="AD1903" s="66" t="str">
        <f t="shared" si="308"/>
        <v>USD</v>
      </c>
      <c r="AE1903" s="42"/>
      <c r="AF1903" s="42" t="str">
        <f t="array" ref="AF1903">INDEX('Deal Info'!D:D, MATCH(A1903,'Deal Info'!A:A, 0))</f>
        <v>#N/A</v>
      </c>
      <c r="AG1903" s="43" t="str">
        <f t="array" ref="AG1903">INDEX('Deal Info'!G:G, MATCH(A1903,'Deal Info'!A:A, 0))</f>
        <v>#N/A</v>
      </c>
    </row>
    <row r="1904" hidden="1">
      <c r="A1904" s="23" t="b">
        <f t="array" ref="A1904">if(G1904='Room Info'!$B$1, INDEX('Room Info'!$A$2:$A3446, MATCH(B1904,'Room Info'!$B$2:$B3446, 0)),if(G1904='Room Info'!$C$1, INDEX('Room Info'!$A$2:$A3446, MATCH(B1904,'Room Info'!$C$2:$C3446, 0)),if(G1904='Room Info'!$D$1, INDEX('Room Info'!$A$2:$A3446, MATCH(B1904,'Room Info'!$D$2:$D3446, 0)),if(G1904='Room Info'!$E$1, INDEX('Room Info'!$A$2:$A3446, MATCH(B1904,'Room Info'!$E$2:$E3446, 0)),if(G1904='Room Info'!$F$1, INDEX('Room Info'!$A$2:$A3446, MATCH(B1904,'Room Info'!$F$2:$F3446, 0)),if(G1904='Room Info'!$H$1, INDEX('Room Info'!$A$2:$A3446, MATCH(B1904,'Room Info'!$H$2:$H3446, 0)),if(G1904='Room Info'!$G$1, INDEX('Room Info'!$A$2:$A3446, MATCH(B1904,'Room Info'!$G$2:$G3446, 0)))))))))</f>
        <v>0</v>
      </c>
      <c r="B1904" s="101"/>
      <c r="C1904" s="115"/>
      <c r="D1904" s="115"/>
      <c r="E1904" s="85"/>
      <c r="F1904" s="138"/>
      <c r="G1904" s="101"/>
      <c r="H1904" s="114"/>
      <c r="I1904" s="114"/>
      <c r="J1904" s="44" t="str">
        <f t="shared" si="311"/>
        <v/>
      </c>
      <c r="K1904" s="116"/>
      <c r="L1904" s="117"/>
      <c r="M1904" s="67"/>
      <c r="N1904" s="33">
        <f t="shared" si="276"/>
        <v>0</v>
      </c>
      <c r="O1904" s="70"/>
      <c r="P1904" s="34" t="str">
        <f t="shared" si="277"/>
        <v/>
      </c>
      <c r="Q1904" s="60"/>
      <c r="R1904" s="36">
        <f t="shared" si="312"/>
        <v>0</v>
      </c>
      <c r="S1904" s="71"/>
      <c r="T1904" s="37">
        <f t="shared" si="302"/>
        <v>0</v>
      </c>
      <c r="U1904" s="62"/>
      <c r="V1904" s="63"/>
      <c r="W1904" s="63"/>
      <c r="X1904" s="35" t="str">
        <f t="shared" si="303"/>
        <v>#N/A</v>
      </c>
      <c r="Y1904" s="35" t="str">
        <f t="shared" si="304"/>
        <v>#N/A</v>
      </c>
      <c r="Z1904" s="40" t="str">
        <f t="shared" si="305"/>
        <v>#N/A</v>
      </c>
      <c r="AA1904" s="34" t="str">
        <f t="shared" si="306"/>
        <v>#N/A</v>
      </c>
      <c r="AB1904" s="41" t="str">
        <f t="shared" si="307"/>
        <v>#N/A</v>
      </c>
      <c r="AC1904" s="42" t="b">
        <v>0</v>
      </c>
      <c r="AD1904" s="66" t="str">
        <f t="shared" si="308"/>
        <v>USD</v>
      </c>
      <c r="AE1904" s="42"/>
      <c r="AF1904" s="42" t="str">
        <f t="array" ref="AF1904">INDEX('Deal Info'!D:D, MATCH(A1904,'Deal Info'!A:A, 0))</f>
        <v>#N/A</v>
      </c>
      <c r="AG1904" s="43" t="str">
        <f t="array" ref="AG1904">INDEX('Deal Info'!G:G, MATCH(A1904,'Deal Info'!A:A, 0))</f>
        <v>#N/A</v>
      </c>
    </row>
    <row r="1905" hidden="1">
      <c r="A1905" s="23" t="b">
        <f t="array" ref="A1905">if(G1905='Room Info'!$B$1, INDEX('Room Info'!$A$2:$A3446, MATCH(B1905,'Room Info'!$B$2:$B3446, 0)),if(G1905='Room Info'!$C$1, INDEX('Room Info'!$A$2:$A3446, MATCH(B1905,'Room Info'!$C$2:$C3446, 0)),if(G1905='Room Info'!$D$1, INDEX('Room Info'!$A$2:$A3446, MATCH(B1905,'Room Info'!$D$2:$D3446, 0)),if(G1905='Room Info'!$E$1, INDEX('Room Info'!$A$2:$A3446, MATCH(B1905,'Room Info'!$E$2:$E3446, 0)),if(G1905='Room Info'!$F$1, INDEX('Room Info'!$A$2:$A3446, MATCH(B1905,'Room Info'!$F$2:$F3446, 0)),if(G1905='Room Info'!$H$1, INDEX('Room Info'!$A$2:$A3446, MATCH(B1905,'Room Info'!$H$2:$H3446, 0)),if(G1905='Room Info'!$G$1, INDEX('Room Info'!$A$2:$A3446, MATCH(B1905,'Room Info'!$G$2:$G3446, 0)))))))))</f>
        <v>0</v>
      </c>
      <c r="B1905" s="70"/>
      <c r="C1905" s="115"/>
      <c r="D1905" s="115"/>
      <c r="E1905" s="85"/>
      <c r="F1905" s="101"/>
      <c r="G1905" s="70"/>
      <c r="H1905" s="114"/>
      <c r="I1905" s="114"/>
      <c r="J1905" s="44" t="str">
        <f t="shared" si="311"/>
        <v/>
      </c>
      <c r="K1905" s="116"/>
      <c r="L1905" s="117"/>
      <c r="M1905" s="67"/>
      <c r="N1905" s="33">
        <f t="shared" si="276"/>
        <v>0</v>
      </c>
      <c r="O1905" s="70"/>
      <c r="P1905" s="34" t="str">
        <f t="shared" si="277"/>
        <v/>
      </c>
      <c r="Q1905" s="60"/>
      <c r="R1905" s="36">
        <f t="shared" si="312"/>
        <v>0</v>
      </c>
      <c r="S1905" s="71"/>
      <c r="T1905" s="37">
        <f t="shared" si="302"/>
        <v>0</v>
      </c>
      <c r="U1905" s="62"/>
      <c r="V1905" s="63"/>
      <c r="W1905" s="63"/>
      <c r="X1905" s="35" t="str">
        <f t="shared" si="303"/>
        <v>#N/A</v>
      </c>
      <c r="Y1905" s="35" t="str">
        <f t="shared" si="304"/>
        <v>#N/A</v>
      </c>
      <c r="Z1905" s="40" t="str">
        <f t="shared" si="305"/>
        <v>#N/A</v>
      </c>
      <c r="AA1905" s="34" t="str">
        <f t="shared" si="306"/>
        <v>#N/A</v>
      </c>
      <c r="AB1905" s="41" t="str">
        <f t="shared" si="307"/>
        <v>#N/A</v>
      </c>
      <c r="AC1905" s="42" t="b">
        <v>0</v>
      </c>
      <c r="AD1905" s="66" t="str">
        <f t="shared" si="308"/>
        <v>USD</v>
      </c>
      <c r="AE1905" s="42"/>
      <c r="AF1905" s="42" t="str">
        <f t="array" ref="AF1905">INDEX('Deal Info'!D:D, MATCH(A1905,'Deal Info'!A:A, 0))</f>
        <v>#N/A</v>
      </c>
      <c r="AG1905" s="43" t="str">
        <f t="array" ref="AG1905">INDEX('Deal Info'!G:G, MATCH(A1905,'Deal Info'!A:A, 0))</f>
        <v>#N/A</v>
      </c>
    </row>
    <row r="1906" hidden="1">
      <c r="A1906" s="23" t="b">
        <f t="array" ref="A1906">if(G1906='Room Info'!$B$1, INDEX('Room Info'!$A$2:$A3446, MATCH(B1906,'Room Info'!$B$2:$B3446, 0)),if(G1906='Room Info'!$C$1, INDEX('Room Info'!$A$2:$A3446, MATCH(B1906,'Room Info'!$C$2:$C3446, 0)),if(G1906='Room Info'!$D$1, INDEX('Room Info'!$A$2:$A3446, MATCH(B1906,'Room Info'!$D$2:$D3446, 0)),if(G1906='Room Info'!$E$1, INDEX('Room Info'!$A$2:$A3446, MATCH(B1906,'Room Info'!$E$2:$E3446, 0)),if(G1906='Room Info'!$F$1, INDEX('Room Info'!$A$2:$A3446, MATCH(B1906,'Room Info'!$F$2:$F3446, 0)),if(G1906='Room Info'!$H$1, INDEX('Room Info'!$A$2:$A3446, MATCH(B1906,'Room Info'!$H$2:$H3446, 0)),if(G1906='Room Info'!$G$1, INDEX('Room Info'!$A$2:$A3446, MATCH(B1906,'Room Info'!$G$2:$G3446, 0)))))))))</f>
        <v>0</v>
      </c>
      <c r="B1906" s="70"/>
      <c r="C1906" s="115"/>
      <c r="D1906" s="115"/>
      <c r="E1906" s="85"/>
      <c r="F1906" s="101"/>
      <c r="G1906" s="70"/>
      <c r="H1906" s="114"/>
      <c r="I1906" s="114"/>
      <c r="J1906" s="44" t="str">
        <f t="shared" si="311"/>
        <v/>
      </c>
      <c r="K1906" s="116"/>
      <c r="L1906" s="117"/>
      <c r="M1906" s="67"/>
      <c r="N1906" s="33">
        <f t="shared" si="276"/>
        <v>0</v>
      </c>
      <c r="O1906" s="70"/>
      <c r="P1906" s="34" t="str">
        <f t="shared" si="277"/>
        <v/>
      </c>
      <c r="Q1906" s="60"/>
      <c r="R1906" s="36">
        <f t="shared" si="312"/>
        <v>0</v>
      </c>
      <c r="S1906" s="71"/>
      <c r="T1906" s="37">
        <f t="shared" si="302"/>
        <v>0</v>
      </c>
      <c r="U1906" s="62"/>
      <c r="V1906" s="63"/>
      <c r="W1906" s="63"/>
      <c r="X1906" s="35" t="str">
        <f t="shared" si="303"/>
        <v>#N/A</v>
      </c>
      <c r="Y1906" s="35" t="str">
        <f t="shared" si="304"/>
        <v>#N/A</v>
      </c>
      <c r="Z1906" s="40" t="str">
        <f t="shared" si="305"/>
        <v>#N/A</v>
      </c>
      <c r="AA1906" s="34" t="str">
        <f t="shared" si="306"/>
        <v>#N/A</v>
      </c>
      <c r="AB1906" s="41" t="str">
        <f t="shared" si="307"/>
        <v>#N/A</v>
      </c>
      <c r="AC1906" s="42" t="b">
        <v>0</v>
      </c>
      <c r="AD1906" s="66" t="str">
        <f t="shared" si="308"/>
        <v>USD</v>
      </c>
      <c r="AE1906" s="42"/>
      <c r="AF1906" s="42" t="str">
        <f t="array" ref="AF1906">INDEX('Deal Info'!D:D, MATCH(A1906,'Deal Info'!A:A, 0))</f>
        <v>#N/A</v>
      </c>
      <c r="AG1906" s="43" t="str">
        <f t="array" ref="AG1906">INDEX('Deal Info'!G:G, MATCH(A1906,'Deal Info'!A:A, 0))</f>
        <v>#N/A</v>
      </c>
    </row>
    <row r="1907" hidden="1">
      <c r="A1907" s="23" t="b">
        <f t="array" ref="A1907">if(G1907='Room Info'!$B$1, INDEX('Room Info'!$A$2:$A3446, MATCH(B1907,'Room Info'!$B$2:$B3446, 0)),if(G1907='Room Info'!$C$1, INDEX('Room Info'!$A$2:$A3446, MATCH(B1907,'Room Info'!$C$2:$C3446, 0)),if(G1907='Room Info'!$D$1, INDEX('Room Info'!$A$2:$A3446, MATCH(B1907,'Room Info'!$D$2:$D3446, 0)),if(G1907='Room Info'!$E$1, INDEX('Room Info'!$A$2:$A3446, MATCH(B1907,'Room Info'!$E$2:$E3446, 0)),if(G1907='Room Info'!$F$1, INDEX('Room Info'!$A$2:$A3446, MATCH(B1907,'Room Info'!$F$2:$F3446, 0)),if(G1907='Room Info'!$H$1, INDEX('Room Info'!$A$2:$A3446, MATCH(B1907,'Room Info'!$H$2:$H3446, 0)),if(G1907='Room Info'!$G$1, INDEX('Room Info'!$A$2:$A3446, MATCH(B1907,'Room Info'!$G$2:$G3446, 0)))))))))</f>
        <v>0</v>
      </c>
      <c r="B1907" s="70"/>
      <c r="C1907" s="115"/>
      <c r="D1907" s="115"/>
      <c r="E1907" s="85"/>
      <c r="F1907" s="101"/>
      <c r="G1907" s="70"/>
      <c r="H1907" s="114"/>
      <c r="I1907" s="114"/>
      <c r="J1907" s="44" t="str">
        <f t="shared" si="311"/>
        <v/>
      </c>
      <c r="K1907" s="116"/>
      <c r="L1907" s="117"/>
      <c r="M1907" s="67"/>
      <c r="N1907" s="33">
        <f t="shared" si="276"/>
        <v>0</v>
      </c>
      <c r="O1907" s="70"/>
      <c r="P1907" s="34" t="str">
        <f t="shared" si="277"/>
        <v/>
      </c>
      <c r="Q1907" s="60"/>
      <c r="R1907" s="36">
        <f t="shared" si="312"/>
        <v>0</v>
      </c>
      <c r="S1907" s="71"/>
      <c r="T1907" s="37">
        <f t="shared" si="302"/>
        <v>0</v>
      </c>
      <c r="U1907" s="62"/>
      <c r="V1907" s="63"/>
      <c r="W1907" s="63"/>
      <c r="X1907" s="35" t="str">
        <f t="shared" si="303"/>
        <v>#N/A</v>
      </c>
      <c r="Y1907" s="35" t="str">
        <f t="shared" si="304"/>
        <v>#N/A</v>
      </c>
      <c r="Z1907" s="40" t="str">
        <f t="shared" si="305"/>
        <v>#N/A</v>
      </c>
      <c r="AA1907" s="34" t="str">
        <f t="shared" si="306"/>
        <v>#N/A</v>
      </c>
      <c r="AB1907" s="41" t="str">
        <f t="shared" si="307"/>
        <v>#N/A</v>
      </c>
      <c r="AC1907" s="42" t="b">
        <v>0</v>
      </c>
      <c r="AD1907" s="66" t="str">
        <f t="shared" si="308"/>
        <v>USD</v>
      </c>
      <c r="AE1907" s="42"/>
      <c r="AF1907" s="42" t="str">
        <f t="array" ref="AF1907">INDEX('Deal Info'!D:D, MATCH(A1907,'Deal Info'!A:A, 0))</f>
        <v>#N/A</v>
      </c>
      <c r="AG1907" s="43" t="str">
        <f t="array" ref="AG1907">INDEX('Deal Info'!G:G, MATCH(A1907,'Deal Info'!A:A, 0))</f>
        <v>#N/A</v>
      </c>
    </row>
    <row r="1908" hidden="1">
      <c r="A1908" s="23" t="b">
        <f t="array" ref="A1908">if(G1908='Room Info'!$B$1, INDEX('Room Info'!$A$2:$A3446, MATCH(B1908,'Room Info'!$B$2:$B3446, 0)),if(G1908='Room Info'!$C$1, INDEX('Room Info'!$A$2:$A3446, MATCH(B1908,'Room Info'!$C$2:$C3446, 0)),if(G1908='Room Info'!$D$1, INDEX('Room Info'!$A$2:$A3446, MATCH(B1908,'Room Info'!$D$2:$D3446, 0)),if(G1908='Room Info'!$E$1, INDEX('Room Info'!$A$2:$A3446, MATCH(B1908,'Room Info'!$E$2:$E3446, 0)),if(G1908='Room Info'!$F$1, INDEX('Room Info'!$A$2:$A3446, MATCH(B1908,'Room Info'!$F$2:$F3446, 0)),if(G1908='Room Info'!$H$1, INDEX('Room Info'!$A$2:$A3446, MATCH(B1908,'Room Info'!$H$2:$H3446, 0)),if(G1908='Room Info'!$G$1, INDEX('Room Info'!$A$2:$A3446, MATCH(B1908,'Room Info'!$G$2:$G3446, 0)))))))))</f>
        <v>0</v>
      </c>
      <c r="B1908" s="70"/>
      <c r="C1908" s="115"/>
      <c r="D1908" s="115"/>
      <c r="E1908" s="85"/>
      <c r="F1908" s="101"/>
      <c r="G1908" s="70"/>
      <c r="H1908" s="114"/>
      <c r="I1908" s="114"/>
      <c r="J1908" s="44" t="str">
        <f t="shared" si="311"/>
        <v/>
      </c>
      <c r="K1908" s="116"/>
      <c r="L1908" s="117"/>
      <c r="M1908" s="67"/>
      <c r="N1908" s="33">
        <f t="shared" si="276"/>
        <v>0</v>
      </c>
      <c r="O1908" s="70"/>
      <c r="P1908" s="34" t="str">
        <f t="shared" si="277"/>
        <v/>
      </c>
      <c r="Q1908" s="60"/>
      <c r="R1908" s="36">
        <f t="shared" si="312"/>
        <v>0</v>
      </c>
      <c r="S1908" s="71"/>
      <c r="T1908" s="37">
        <f t="shared" si="302"/>
        <v>0</v>
      </c>
      <c r="U1908" s="62"/>
      <c r="V1908" s="63"/>
      <c r="W1908" s="63"/>
      <c r="X1908" s="35" t="str">
        <f t="shared" si="303"/>
        <v>#N/A</v>
      </c>
      <c r="Y1908" s="35" t="str">
        <f t="shared" si="304"/>
        <v>#N/A</v>
      </c>
      <c r="Z1908" s="40" t="str">
        <f t="shared" si="305"/>
        <v>#N/A</v>
      </c>
      <c r="AA1908" s="34" t="str">
        <f t="shared" si="306"/>
        <v>#N/A</v>
      </c>
      <c r="AB1908" s="41" t="str">
        <f t="shared" si="307"/>
        <v>#N/A</v>
      </c>
      <c r="AC1908" s="42" t="b">
        <v>0</v>
      </c>
      <c r="AD1908" s="66" t="str">
        <f t="shared" si="308"/>
        <v>USD</v>
      </c>
      <c r="AE1908" s="42"/>
      <c r="AF1908" s="42" t="str">
        <f t="array" ref="AF1908">INDEX('Deal Info'!D:D, MATCH(A1908,'Deal Info'!A:A, 0))</f>
        <v>#N/A</v>
      </c>
      <c r="AG1908" s="43" t="str">
        <f t="array" ref="AG1908">INDEX('Deal Info'!G:G, MATCH(A1908,'Deal Info'!A:A, 0))</f>
        <v>#N/A</v>
      </c>
    </row>
    <row r="1909" hidden="1">
      <c r="A1909" s="23" t="b">
        <f t="array" ref="A1909">if(G1909='Room Info'!$B$1, INDEX('Room Info'!$A$2:$A3446, MATCH(B1909,'Room Info'!$B$2:$B3446, 0)),if(G1909='Room Info'!$C$1, INDEX('Room Info'!$A$2:$A3446, MATCH(B1909,'Room Info'!$C$2:$C3446, 0)),if(G1909='Room Info'!$D$1, INDEX('Room Info'!$A$2:$A3446, MATCH(B1909,'Room Info'!$D$2:$D3446, 0)),if(G1909='Room Info'!$E$1, INDEX('Room Info'!$A$2:$A3446, MATCH(B1909,'Room Info'!$E$2:$E3446, 0)),if(G1909='Room Info'!$F$1, INDEX('Room Info'!$A$2:$A3446, MATCH(B1909,'Room Info'!$F$2:$F3446, 0)),if(G1909='Room Info'!$H$1, INDEX('Room Info'!$A$2:$A3446, MATCH(B1909,'Room Info'!$H$2:$H3446, 0)),if(G1909='Room Info'!$G$1, INDEX('Room Info'!$A$2:$A3446, MATCH(B1909,'Room Info'!$G$2:$G3446, 0)))))))))</f>
        <v>0</v>
      </c>
      <c r="B1909" s="70"/>
      <c r="C1909" s="115"/>
      <c r="D1909" s="115"/>
      <c r="E1909" s="85"/>
      <c r="F1909" s="101"/>
      <c r="G1909" s="70"/>
      <c r="H1909" s="114"/>
      <c r="I1909" s="114"/>
      <c r="J1909" s="44" t="str">
        <f t="shared" si="311"/>
        <v/>
      </c>
      <c r="K1909" s="116"/>
      <c r="L1909" s="117"/>
      <c r="M1909" s="67"/>
      <c r="N1909" s="33">
        <f t="shared" si="276"/>
        <v>0</v>
      </c>
      <c r="O1909" s="70"/>
      <c r="P1909" s="34" t="str">
        <f t="shared" si="277"/>
        <v/>
      </c>
      <c r="Q1909" s="60"/>
      <c r="R1909" s="36">
        <f t="shared" si="312"/>
        <v>0</v>
      </c>
      <c r="S1909" s="71"/>
      <c r="T1909" s="37">
        <f t="shared" si="302"/>
        <v>0</v>
      </c>
      <c r="U1909" s="62"/>
      <c r="V1909" s="63"/>
      <c r="W1909" s="63"/>
      <c r="X1909" s="35" t="str">
        <f t="shared" si="303"/>
        <v>#N/A</v>
      </c>
      <c r="Y1909" s="35" t="str">
        <f t="shared" si="304"/>
        <v>#N/A</v>
      </c>
      <c r="Z1909" s="40" t="str">
        <f t="shared" si="305"/>
        <v>#N/A</v>
      </c>
      <c r="AA1909" s="34" t="str">
        <f t="shared" si="306"/>
        <v>#N/A</v>
      </c>
      <c r="AB1909" s="41" t="str">
        <f t="shared" si="307"/>
        <v>#N/A</v>
      </c>
      <c r="AC1909" s="42" t="b">
        <v>0</v>
      </c>
      <c r="AD1909" s="66" t="str">
        <f t="shared" si="308"/>
        <v>USD</v>
      </c>
      <c r="AE1909" s="42"/>
      <c r="AF1909" s="42" t="str">
        <f t="array" ref="AF1909">INDEX('Deal Info'!D:D, MATCH(A1909,'Deal Info'!A:A, 0))</f>
        <v>#N/A</v>
      </c>
      <c r="AG1909" s="43" t="str">
        <f t="array" ref="AG1909">INDEX('Deal Info'!G:G, MATCH(A1909,'Deal Info'!A:A, 0))</f>
        <v>#N/A</v>
      </c>
    </row>
    <row r="1910" hidden="1">
      <c r="A1910" s="23" t="b">
        <f t="array" ref="A1910">if(G1910='Room Info'!$B$1, INDEX('Room Info'!$A$2:$A3446, MATCH(B1910,'Room Info'!$B$2:$B3446, 0)),if(G1910='Room Info'!$C$1, INDEX('Room Info'!$A$2:$A3446, MATCH(B1910,'Room Info'!$C$2:$C3446, 0)),if(G1910='Room Info'!$D$1, INDEX('Room Info'!$A$2:$A3446, MATCH(B1910,'Room Info'!$D$2:$D3446, 0)),if(G1910='Room Info'!$E$1, INDEX('Room Info'!$A$2:$A3446, MATCH(B1910,'Room Info'!$E$2:$E3446, 0)),if(G1910='Room Info'!$F$1, INDEX('Room Info'!$A$2:$A3446, MATCH(B1910,'Room Info'!$F$2:$F3446, 0)),if(G1910='Room Info'!$H$1, INDEX('Room Info'!$A$2:$A3446, MATCH(B1910,'Room Info'!$H$2:$H3446, 0)),if(G1910='Room Info'!$G$1, INDEX('Room Info'!$A$2:$A3446, MATCH(B1910,'Room Info'!$G$2:$G3446, 0)))))))))</f>
        <v>0</v>
      </c>
      <c r="B1910" s="70"/>
      <c r="C1910" s="115"/>
      <c r="D1910" s="115"/>
      <c r="E1910" s="85"/>
      <c r="F1910" s="101"/>
      <c r="G1910" s="70"/>
      <c r="H1910" s="114"/>
      <c r="I1910" s="114"/>
      <c r="J1910" s="44" t="str">
        <f t="shared" si="311"/>
        <v/>
      </c>
      <c r="K1910" s="116"/>
      <c r="L1910" s="117"/>
      <c r="M1910" s="67"/>
      <c r="N1910" s="33">
        <f t="shared" si="276"/>
        <v>0</v>
      </c>
      <c r="O1910" s="70"/>
      <c r="P1910" s="34" t="str">
        <f t="shared" si="277"/>
        <v/>
      </c>
      <c r="Q1910" s="60"/>
      <c r="R1910" s="36">
        <f t="shared" si="312"/>
        <v>0</v>
      </c>
      <c r="S1910" s="71"/>
      <c r="T1910" s="37">
        <f t="shared" si="302"/>
        <v>0</v>
      </c>
      <c r="U1910" s="62"/>
      <c r="V1910" s="63"/>
      <c r="W1910" s="63"/>
      <c r="X1910" s="35" t="str">
        <f t="shared" si="303"/>
        <v>#N/A</v>
      </c>
      <c r="Y1910" s="35" t="str">
        <f t="shared" si="304"/>
        <v>#N/A</v>
      </c>
      <c r="Z1910" s="40" t="str">
        <f t="shared" si="305"/>
        <v>#N/A</v>
      </c>
      <c r="AA1910" s="34" t="str">
        <f t="shared" si="306"/>
        <v>#N/A</v>
      </c>
      <c r="AB1910" s="41" t="str">
        <f t="shared" si="307"/>
        <v>#N/A</v>
      </c>
      <c r="AC1910" s="42" t="b">
        <v>0</v>
      </c>
      <c r="AD1910" s="66" t="str">
        <f t="shared" si="308"/>
        <v>USD</v>
      </c>
      <c r="AE1910" s="42"/>
      <c r="AF1910" s="42" t="str">
        <f t="array" ref="AF1910">INDEX('Deal Info'!D:D, MATCH(A1910,'Deal Info'!A:A, 0))</f>
        <v>#N/A</v>
      </c>
      <c r="AG1910" s="43" t="str">
        <f t="array" ref="AG1910">INDEX('Deal Info'!G:G, MATCH(A1910,'Deal Info'!A:A, 0))</f>
        <v>#N/A</v>
      </c>
    </row>
    <row r="1911" hidden="1">
      <c r="A1911" s="23" t="b">
        <f t="array" ref="A1911">if(G1911='Room Info'!$B$1, INDEX('Room Info'!$A$2:$A3446, MATCH(B1911,'Room Info'!$B$2:$B3446, 0)),if(G1911='Room Info'!$C$1, INDEX('Room Info'!$A$2:$A3446, MATCH(B1911,'Room Info'!$C$2:$C3446, 0)),if(G1911='Room Info'!$D$1, INDEX('Room Info'!$A$2:$A3446, MATCH(B1911,'Room Info'!$D$2:$D3446, 0)),if(G1911='Room Info'!$E$1, INDEX('Room Info'!$A$2:$A3446, MATCH(B1911,'Room Info'!$E$2:$E3446, 0)),if(G1911='Room Info'!$F$1, INDEX('Room Info'!$A$2:$A3446, MATCH(B1911,'Room Info'!$F$2:$F3446, 0)),if(G1911='Room Info'!$H$1, INDEX('Room Info'!$A$2:$A3446, MATCH(B1911,'Room Info'!$H$2:$H3446, 0)),if(G1911='Room Info'!$G$1, INDEX('Room Info'!$A$2:$A3446, MATCH(B1911,'Room Info'!$G$2:$G3446, 0)))))))))</f>
        <v>0</v>
      </c>
      <c r="B1911" s="101"/>
      <c r="C1911" s="115"/>
      <c r="D1911" s="115"/>
      <c r="E1911" s="85"/>
      <c r="F1911" s="138"/>
      <c r="G1911" s="101"/>
      <c r="H1911" s="114"/>
      <c r="I1911" s="114"/>
      <c r="J1911" s="44" t="str">
        <f t="shared" si="311"/>
        <v/>
      </c>
      <c r="K1911" s="116"/>
      <c r="L1911" s="117"/>
      <c r="M1911" s="67"/>
      <c r="N1911" s="33">
        <f t="shared" si="276"/>
        <v>0</v>
      </c>
      <c r="O1911" s="70"/>
      <c r="P1911" s="34" t="str">
        <f t="shared" si="277"/>
        <v/>
      </c>
      <c r="Q1911" s="60"/>
      <c r="R1911" s="36">
        <f t="shared" si="312"/>
        <v>0</v>
      </c>
      <c r="S1911" s="71"/>
      <c r="T1911" s="37">
        <f t="shared" si="302"/>
        <v>0</v>
      </c>
      <c r="U1911" s="62"/>
      <c r="V1911" s="63"/>
      <c r="W1911" s="63"/>
      <c r="X1911" s="35" t="str">
        <f t="shared" si="303"/>
        <v>#N/A</v>
      </c>
      <c r="Y1911" s="35" t="str">
        <f t="shared" si="304"/>
        <v>#N/A</v>
      </c>
      <c r="Z1911" s="40" t="str">
        <f t="shared" si="305"/>
        <v>#N/A</v>
      </c>
      <c r="AA1911" s="34" t="str">
        <f t="shared" si="306"/>
        <v>#N/A</v>
      </c>
      <c r="AB1911" s="41" t="str">
        <f t="shared" si="307"/>
        <v>#N/A</v>
      </c>
      <c r="AC1911" s="42" t="b">
        <v>0</v>
      </c>
      <c r="AD1911" s="66" t="str">
        <f t="shared" si="308"/>
        <v>USD</v>
      </c>
      <c r="AE1911" s="42"/>
      <c r="AF1911" s="42" t="str">
        <f t="array" ref="AF1911">INDEX('Deal Info'!D:D, MATCH(A1911,'Deal Info'!A:A, 0))</f>
        <v>#N/A</v>
      </c>
      <c r="AG1911" s="43" t="str">
        <f t="array" ref="AG1911">INDEX('Deal Info'!G:G, MATCH(A1911,'Deal Info'!A:A, 0))</f>
        <v>#N/A</v>
      </c>
    </row>
    <row r="1912" hidden="1">
      <c r="A1912" s="23" t="b">
        <f t="array" ref="A1912">if(G1912='Room Info'!$B$1, INDEX('Room Info'!$A$2:$A3446, MATCH(B1912,'Room Info'!$B$2:$B3446, 0)),if(G1912='Room Info'!$C$1, INDEX('Room Info'!$A$2:$A3446, MATCH(B1912,'Room Info'!$C$2:$C3446, 0)),if(G1912='Room Info'!$D$1, INDEX('Room Info'!$A$2:$A3446, MATCH(B1912,'Room Info'!$D$2:$D3446, 0)),if(G1912='Room Info'!$E$1, INDEX('Room Info'!$A$2:$A3446, MATCH(B1912,'Room Info'!$E$2:$E3446, 0)),if(G1912='Room Info'!$F$1, INDEX('Room Info'!$A$2:$A3446, MATCH(B1912,'Room Info'!$F$2:$F3446, 0)),if(G1912='Room Info'!$H$1, INDEX('Room Info'!$A$2:$A3446, MATCH(B1912,'Room Info'!$H$2:$H3446, 0)),if(G1912='Room Info'!$G$1, INDEX('Room Info'!$A$2:$A3446, MATCH(B1912,'Room Info'!$G$2:$G3446, 0)))))))))</f>
        <v>0</v>
      </c>
      <c r="B1912" s="101"/>
      <c r="C1912" s="115"/>
      <c r="D1912" s="115"/>
      <c r="E1912" s="85"/>
      <c r="F1912" s="138"/>
      <c r="G1912" s="101"/>
      <c r="H1912" s="114"/>
      <c r="I1912" s="114"/>
      <c r="J1912" s="44" t="str">
        <f t="shared" si="311"/>
        <v/>
      </c>
      <c r="K1912" s="116"/>
      <c r="L1912" s="117"/>
      <c r="M1912" s="67"/>
      <c r="N1912" s="33">
        <f t="shared" si="276"/>
        <v>0</v>
      </c>
      <c r="O1912" s="70"/>
      <c r="P1912" s="34" t="str">
        <f t="shared" si="277"/>
        <v/>
      </c>
      <c r="Q1912" s="60"/>
      <c r="R1912" s="36">
        <f t="shared" si="312"/>
        <v>0</v>
      </c>
      <c r="S1912" s="71"/>
      <c r="T1912" s="37">
        <f t="shared" si="302"/>
        <v>0</v>
      </c>
      <c r="U1912" s="62"/>
      <c r="V1912" s="63"/>
      <c r="W1912" s="63"/>
      <c r="X1912" s="35" t="str">
        <f t="shared" si="303"/>
        <v>#N/A</v>
      </c>
      <c r="Y1912" s="35" t="str">
        <f t="shared" si="304"/>
        <v>#N/A</v>
      </c>
      <c r="Z1912" s="40" t="str">
        <f t="shared" si="305"/>
        <v>#N/A</v>
      </c>
      <c r="AA1912" s="34" t="str">
        <f t="shared" si="306"/>
        <v>#N/A</v>
      </c>
      <c r="AB1912" s="41" t="str">
        <f t="shared" si="307"/>
        <v>#N/A</v>
      </c>
      <c r="AC1912" s="42" t="b">
        <v>0</v>
      </c>
      <c r="AD1912" s="66" t="str">
        <f t="shared" si="308"/>
        <v>USD</v>
      </c>
      <c r="AE1912" s="42"/>
      <c r="AF1912" s="42" t="str">
        <f t="array" ref="AF1912">INDEX('Deal Info'!D:D, MATCH(A1912,'Deal Info'!A:A, 0))</f>
        <v>#N/A</v>
      </c>
      <c r="AG1912" s="43" t="str">
        <f t="array" ref="AG1912">INDEX('Deal Info'!G:G, MATCH(A1912,'Deal Info'!A:A, 0))</f>
        <v>#N/A</v>
      </c>
    </row>
    <row r="1913" hidden="1">
      <c r="A1913" s="23" t="b">
        <f t="array" ref="A1913">if(G1913='Room Info'!$B$1, INDEX('Room Info'!$A$2:$A3446, MATCH(B1913,'Room Info'!$B$2:$B3446, 0)),if(G1913='Room Info'!$C$1, INDEX('Room Info'!$A$2:$A3446, MATCH(B1913,'Room Info'!$C$2:$C3446, 0)),if(G1913='Room Info'!$D$1, INDEX('Room Info'!$A$2:$A3446, MATCH(B1913,'Room Info'!$D$2:$D3446, 0)),if(G1913='Room Info'!$E$1, INDEX('Room Info'!$A$2:$A3446, MATCH(B1913,'Room Info'!$E$2:$E3446, 0)),if(G1913='Room Info'!$F$1, INDEX('Room Info'!$A$2:$A3446, MATCH(B1913,'Room Info'!$F$2:$F3446, 0)),if(G1913='Room Info'!$H$1, INDEX('Room Info'!$A$2:$A3446, MATCH(B1913,'Room Info'!$H$2:$H3446, 0)),if(G1913='Room Info'!$G$1, INDEX('Room Info'!$A$2:$A3446, MATCH(B1913,'Room Info'!$G$2:$G3446, 0)))))))))</f>
        <v>0</v>
      </c>
      <c r="B1913" s="101"/>
      <c r="C1913" s="115"/>
      <c r="D1913" s="115"/>
      <c r="E1913" s="85"/>
      <c r="F1913" s="101"/>
      <c r="G1913" s="70"/>
      <c r="H1913" s="105"/>
      <c r="I1913" s="105"/>
      <c r="J1913" s="44" t="str">
        <f t="shared" si="311"/>
        <v/>
      </c>
      <c r="K1913" s="139"/>
      <c r="L1913" s="140"/>
      <c r="M1913" s="67"/>
      <c r="N1913" s="33">
        <f t="shared" si="276"/>
        <v>0</v>
      </c>
      <c r="O1913" s="101"/>
      <c r="P1913" s="34" t="str">
        <f t="shared" si="277"/>
        <v/>
      </c>
      <c r="Q1913" s="60"/>
      <c r="R1913" s="36">
        <f t="shared" si="312"/>
        <v>0</v>
      </c>
      <c r="S1913" s="102"/>
      <c r="T1913" s="37">
        <f t="shared" si="302"/>
        <v>0</v>
      </c>
      <c r="U1913" s="62"/>
      <c r="V1913" s="63"/>
      <c r="W1913" s="63"/>
      <c r="X1913" s="35" t="str">
        <f t="shared" si="303"/>
        <v>#N/A</v>
      </c>
      <c r="Y1913" s="35" t="str">
        <f t="shared" si="304"/>
        <v>#N/A</v>
      </c>
      <c r="Z1913" s="40" t="str">
        <f t="shared" si="305"/>
        <v>#N/A</v>
      </c>
      <c r="AA1913" s="34" t="str">
        <f t="shared" si="306"/>
        <v>#N/A</v>
      </c>
      <c r="AB1913" s="41" t="str">
        <f t="shared" si="307"/>
        <v>#N/A</v>
      </c>
      <c r="AC1913" s="42" t="b">
        <v>0</v>
      </c>
      <c r="AD1913" s="66" t="str">
        <f t="shared" si="308"/>
        <v>USD</v>
      </c>
      <c r="AE1913" s="42"/>
      <c r="AF1913" s="42" t="str">
        <f t="array" ref="AF1913">INDEX('Deal Info'!D:D, MATCH(A1913,'Deal Info'!A:A, 0))</f>
        <v>#N/A</v>
      </c>
      <c r="AG1913" s="43" t="str">
        <f t="array" ref="AG1913">INDEX('Deal Info'!G:G, MATCH(A1913,'Deal Info'!A:A, 0))</f>
        <v>#N/A</v>
      </c>
    </row>
    <row r="1914" hidden="1">
      <c r="A1914" s="23" t="b">
        <f t="array" ref="A1914">if(G1914='Room Info'!$B$1, INDEX('Room Info'!$A$2:$A3446, MATCH(B1914,'Room Info'!$B$2:$B3446, 0)),if(G1914='Room Info'!$C$1, INDEX('Room Info'!$A$2:$A3446, MATCH(B1914,'Room Info'!$C$2:$C3446, 0)),if(G1914='Room Info'!$D$1, INDEX('Room Info'!$A$2:$A3446, MATCH(B1914,'Room Info'!$D$2:$D3446, 0)),if(G1914='Room Info'!$E$1, INDEX('Room Info'!$A$2:$A3446, MATCH(B1914,'Room Info'!$E$2:$E3446, 0)),if(G1914='Room Info'!$F$1, INDEX('Room Info'!$A$2:$A3446, MATCH(B1914,'Room Info'!$F$2:$F3446, 0)),if(G1914='Room Info'!$H$1, INDEX('Room Info'!$A$2:$A3446, MATCH(B1914,'Room Info'!$H$2:$H3446, 0)),if(G1914='Room Info'!$G$1, INDEX('Room Info'!$A$2:$A3446, MATCH(B1914,'Room Info'!$G$2:$G3446, 0)))))))))</f>
        <v>0</v>
      </c>
      <c r="B1914" s="101"/>
      <c r="C1914" s="115"/>
      <c r="D1914" s="115"/>
      <c r="E1914" s="85"/>
      <c r="F1914" s="101"/>
      <c r="G1914" s="70"/>
      <c r="H1914" s="114"/>
      <c r="I1914" s="114"/>
      <c r="J1914" s="44" t="str">
        <f t="shared" si="311"/>
        <v/>
      </c>
      <c r="K1914" s="116"/>
      <c r="L1914" s="117"/>
      <c r="M1914" s="67"/>
      <c r="N1914" s="33">
        <f t="shared" si="276"/>
        <v>0</v>
      </c>
      <c r="O1914" s="70"/>
      <c r="P1914" s="34" t="str">
        <f t="shared" si="277"/>
        <v/>
      </c>
      <c r="Q1914" s="60"/>
      <c r="R1914" s="36">
        <f t="shared" si="312"/>
        <v>0</v>
      </c>
      <c r="S1914" s="71"/>
      <c r="T1914" s="37">
        <f t="shared" si="302"/>
        <v>0</v>
      </c>
      <c r="U1914" s="62"/>
      <c r="V1914" s="63"/>
      <c r="W1914" s="63"/>
      <c r="X1914" s="35" t="str">
        <f t="shared" si="303"/>
        <v>#N/A</v>
      </c>
      <c r="Y1914" s="35" t="str">
        <f t="shared" si="304"/>
        <v>#N/A</v>
      </c>
      <c r="Z1914" s="40" t="str">
        <f t="shared" si="305"/>
        <v>#N/A</v>
      </c>
      <c r="AA1914" s="34" t="str">
        <f t="shared" si="306"/>
        <v>#N/A</v>
      </c>
      <c r="AB1914" s="41" t="str">
        <f t="shared" si="307"/>
        <v>#N/A</v>
      </c>
      <c r="AC1914" s="42" t="b">
        <v>0</v>
      </c>
      <c r="AD1914" s="66" t="str">
        <f t="shared" si="308"/>
        <v>USD</v>
      </c>
      <c r="AE1914" s="42"/>
      <c r="AF1914" s="42" t="str">
        <f t="array" ref="AF1914">INDEX('Deal Info'!D:D, MATCH(A1914,'Deal Info'!A:A, 0))</f>
        <v>#N/A</v>
      </c>
      <c r="AG1914" s="43" t="str">
        <f t="array" ref="AG1914">INDEX('Deal Info'!G:G, MATCH(A1914,'Deal Info'!A:A, 0))</f>
        <v>#N/A</v>
      </c>
    </row>
    <row r="1915" hidden="1">
      <c r="A1915" s="23" t="b">
        <f t="array" ref="A1915">if(G1915='Room Info'!$B$1, INDEX('Room Info'!$A$2:$A3446, MATCH(B1915,'Room Info'!$B$2:$B3446, 0)),if(G1915='Room Info'!$C$1, INDEX('Room Info'!$A$2:$A3446, MATCH(B1915,'Room Info'!$C$2:$C3446, 0)),if(G1915='Room Info'!$D$1, INDEX('Room Info'!$A$2:$A3446, MATCH(B1915,'Room Info'!$D$2:$D3446, 0)),if(G1915='Room Info'!$E$1, INDEX('Room Info'!$A$2:$A3446, MATCH(B1915,'Room Info'!$E$2:$E3446, 0)),if(G1915='Room Info'!$F$1, INDEX('Room Info'!$A$2:$A3446, MATCH(B1915,'Room Info'!$F$2:$F3446, 0)),if(G1915='Room Info'!$H$1, INDEX('Room Info'!$A$2:$A3446, MATCH(B1915,'Room Info'!$H$2:$H3446, 0)),if(G1915='Room Info'!$G$1, INDEX('Room Info'!$A$2:$A3446, MATCH(B1915,'Room Info'!$G$2:$G3446, 0)))))))))</f>
        <v>0</v>
      </c>
      <c r="B1915" s="101"/>
      <c r="C1915" s="115"/>
      <c r="D1915" s="115"/>
      <c r="E1915" s="85"/>
      <c r="F1915" s="101"/>
      <c r="G1915" s="70"/>
      <c r="H1915" s="114"/>
      <c r="I1915" s="114"/>
      <c r="J1915" s="44" t="str">
        <f t="shared" si="311"/>
        <v/>
      </c>
      <c r="K1915" s="116"/>
      <c r="L1915" s="117"/>
      <c r="M1915" s="67"/>
      <c r="N1915" s="33">
        <f t="shared" si="276"/>
        <v>0</v>
      </c>
      <c r="O1915" s="70"/>
      <c r="P1915" s="34" t="str">
        <f t="shared" si="277"/>
        <v/>
      </c>
      <c r="Q1915" s="60"/>
      <c r="R1915" s="36">
        <f t="shared" si="312"/>
        <v>0</v>
      </c>
      <c r="S1915" s="71"/>
      <c r="T1915" s="37">
        <f t="shared" si="302"/>
        <v>0</v>
      </c>
      <c r="U1915" s="62"/>
      <c r="V1915" s="63"/>
      <c r="W1915" s="63"/>
      <c r="X1915" s="35" t="str">
        <f t="shared" si="303"/>
        <v>#N/A</v>
      </c>
      <c r="Y1915" s="35" t="str">
        <f t="shared" si="304"/>
        <v>#N/A</v>
      </c>
      <c r="Z1915" s="40" t="str">
        <f t="shared" si="305"/>
        <v>#N/A</v>
      </c>
      <c r="AA1915" s="34" t="str">
        <f t="shared" si="306"/>
        <v>#N/A</v>
      </c>
      <c r="AB1915" s="41" t="str">
        <f t="shared" si="307"/>
        <v>#N/A</v>
      </c>
      <c r="AC1915" s="42" t="b">
        <v>0</v>
      </c>
      <c r="AD1915" s="66" t="str">
        <f t="shared" si="308"/>
        <v>USD</v>
      </c>
      <c r="AE1915" s="42"/>
      <c r="AF1915" s="42" t="str">
        <f t="array" ref="AF1915">INDEX('Deal Info'!D:D, MATCH(A1915,'Deal Info'!A:A, 0))</f>
        <v>#N/A</v>
      </c>
      <c r="AG1915" s="43" t="str">
        <f t="array" ref="AG1915">INDEX('Deal Info'!G:G, MATCH(A1915,'Deal Info'!A:A, 0))</f>
        <v>#N/A</v>
      </c>
    </row>
    <row r="1916" hidden="1">
      <c r="A1916" s="23" t="b">
        <f t="array" ref="A1916">if(G1916='Room Info'!$B$1, INDEX('Room Info'!$A$2:$A3446, MATCH(B1916,'Room Info'!$B$2:$B3446, 0)),if(G1916='Room Info'!$C$1, INDEX('Room Info'!$A$2:$A3446, MATCH(B1916,'Room Info'!$C$2:$C3446, 0)),if(G1916='Room Info'!$D$1, INDEX('Room Info'!$A$2:$A3446, MATCH(B1916,'Room Info'!$D$2:$D3446, 0)),if(G1916='Room Info'!$E$1, INDEX('Room Info'!$A$2:$A3446, MATCH(B1916,'Room Info'!$E$2:$E3446, 0)),if(G1916='Room Info'!$F$1, INDEX('Room Info'!$A$2:$A3446, MATCH(B1916,'Room Info'!$F$2:$F3446, 0)),if(G1916='Room Info'!$H$1, INDEX('Room Info'!$A$2:$A3446, MATCH(B1916,'Room Info'!$H$2:$H3446, 0)),if(G1916='Room Info'!$G$1, INDEX('Room Info'!$A$2:$A3446, MATCH(B1916,'Room Info'!$G$2:$G3446, 0)))))))))</f>
        <v>0</v>
      </c>
      <c r="B1916" s="101"/>
      <c r="C1916" s="115"/>
      <c r="D1916" s="115"/>
      <c r="E1916" s="85"/>
      <c r="F1916" s="101"/>
      <c r="G1916" s="70"/>
      <c r="H1916" s="114"/>
      <c r="I1916" s="114"/>
      <c r="J1916" s="44" t="str">
        <f t="shared" si="311"/>
        <v/>
      </c>
      <c r="K1916" s="116"/>
      <c r="L1916" s="117"/>
      <c r="M1916" s="67"/>
      <c r="N1916" s="33">
        <f t="shared" si="276"/>
        <v>0</v>
      </c>
      <c r="O1916" s="70"/>
      <c r="P1916" s="34" t="str">
        <f t="shared" si="277"/>
        <v/>
      </c>
      <c r="Q1916" s="60"/>
      <c r="R1916" s="36">
        <f t="shared" si="312"/>
        <v>0</v>
      </c>
      <c r="S1916" s="71"/>
      <c r="T1916" s="37">
        <f t="shared" si="302"/>
        <v>0</v>
      </c>
      <c r="U1916" s="62"/>
      <c r="V1916" s="63"/>
      <c r="W1916" s="63"/>
      <c r="X1916" s="35" t="str">
        <f t="shared" si="303"/>
        <v>#N/A</v>
      </c>
      <c r="Y1916" s="35" t="str">
        <f t="shared" si="304"/>
        <v>#N/A</v>
      </c>
      <c r="Z1916" s="40" t="str">
        <f t="shared" si="305"/>
        <v>#N/A</v>
      </c>
      <c r="AA1916" s="34" t="str">
        <f t="shared" si="306"/>
        <v>#N/A</v>
      </c>
      <c r="AB1916" s="41" t="str">
        <f t="shared" si="307"/>
        <v>#N/A</v>
      </c>
      <c r="AC1916" s="42" t="b">
        <v>0</v>
      </c>
      <c r="AD1916" s="66" t="str">
        <f t="shared" si="308"/>
        <v>USD</v>
      </c>
      <c r="AE1916" s="42"/>
      <c r="AF1916" s="42" t="str">
        <f t="array" ref="AF1916">INDEX('Deal Info'!D:D, MATCH(A1916,'Deal Info'!A:A, 0))</f>
        <v>#N/A</v>
      </c>
      <c r="AG1916" s="43" t="str">
        <f t="array" ref="AG1916">INDEX('Deal Info'!G:G, MATCH(A1916,'Deal Info'!A:A, 0))</f>
        <v>#N/A</v>
      </c>
    </row>
    <row r="1917" hidden="1">
      <c r="A1917" s="23" t="b">
        <f t="array" ref="A1917">if(G1917='Room Info'!$B$1, INDEX('Room Info'!$A$2:$A3446, MATCH(B1917,'Room Info'!$B$2:$B3446, 0)),if(G1917='Room Info'!$C$1, INDEX('Room Info'!$A$2:$A3446, MATCH(B1917,'Room Info'!$C$2:$C3446, 0)),if(G1917='Room Info'!$D$1, INDEX('Room Info'!$A$2:$A3446, MATCH(B1917,'Room Info'!$D$2:$D3446, 0)),if(G1917='Room Info'!$E$1, INDEX('Room Info'!$A$2:$A3446, MATCH(B1917,'Room Info'!$E$2:$E3446, 0)),if(G1917='Room Info'!$F$1, INDEX('Room Info'!$A$2:$A3446, MATCH(B1917,'Room Info'!$F$2:$F3446, 0)),if(G1917='Room Info'!$H$1, INDEX('Room Info'!$A$2:$A3446, MATCH(B1917,'Room Info'!$H$2:$H3446, 0)),if(G1917='Room Info'!$G$1, INDEX('Room Info'!$A$2:$A3446, MATCH(B1917,'Room Info'!$G$2:$G3446, 0)))))))))</f>
        <v>0</v>
      </c>
      <c r="B1917" s="101"/>
      <c r="C1917" s="115"/>
      <c r="D1917" s="115"/>
      <c r="E1917" s="85"/>
      <c r="F1917" s="101"/>
      <c r="G1917" s="70"/>
      <c r="H1917" s="114"/>
      <c r="I1917" s="114"/>
      <c r="J1917" s="44" t="str">
        <f t="shared" si="311"/>
        <v/>
      </c>
      <c r="K1917" s="116"/>
      <c r="L1917" s="117"/>
      <c r="M1917" s="67"/>
      <c r="N1917" s="33">
        <f t="shared" si="276"/>
        <v>0</v>
      </c>
      <c r="O1917" s="70"/>
      <c r="P1917" s="34" t="str">
        <f t="shared" si="277"/>
        <v/>
      </c>
      <c r="Q1917" s="60"/>
      <c r="R1917" s="36">
        <f t="shared" si="312"/>
        <v>0</v>
      </c>
      <c r="S1917" s="71"/>
      <c r="T1917" s="37">
        <f t="shared" si="302"/>
        <v>0</v>
      </c>
      <c r="U1917" s="62"/>
      <c r="V1917" s="63"/>
      <c r="W1917" s="63"/>
      <c r="X1917" s="35" t="str">
        <f t="shared" si="303"/>
        <v>#N/A</v>
      </c>
      <c r="Y1917" s="35" t="str">
        <f t="shared" si="304"/>
        <v>#N/A</v>
      </c>
      <c r="Z1917" s="40" t="str">
        <f t="shared" si="305"/>
        <v>#N/A</v>
      </c>
      <c r="AA1917" s="34" t="str">
        <f t="shared" si="306"/>
        <v>#N/A</v>
      </c>
      <c r="AB1917" s="41" t="str">
        <f t="shared" si="307"/>
        <v>#N/A</v>
      </c>
      <c r="AC1917" s="42" t="b">
        <v>0</v>
      </c>
      <c r="AD1917" s="66" t="str">
        <f t="shared" si="308"/>
        <v>USD</v>
      </c>
      <c r="AE1917" s="42"/>
      <c r="AF1917" s="42" t="str">
        <f t="array" ref="AF1917">INDEX('Deal Info'!D:D, MATCH(A1917,'Deal Info'!A:A, 0))</f>
        <v>#N/A</v>
      </c>
      <c r="AG1917" s="43" t="str">
        <f t="array" ref="AG1917">INDEX('Deal Info'!G:G, MATCH(A1917,'Deal Info'!A:A, 0))</f>
        <v>#N/A</v>
      </c>
    </row>
    <row r="1918" hidden="1">
      <c r="A1918" s="23" t="b">
        <f t="array" ref="A1918">if(G1918='Room Info'!$B$1, INDEX('Room Info'!$A$2:$A3446, MATCH(B1918,'Room Info'!$B$2:$B3446, 0)),if(G1918='Room Info'!$C$1, INDEX('Room Info'!$A$2:$A3446, MATCH(B1918,'Room Info'!$C$2:$C3446, 0)),if(G1918='Room Info'!$D$1, INDEX('Room Info'!$A$2:$A3446, MATCH(B1918,'Room Info'!$D$2:$D3446, 0)),if(G1918='Room Info'!$E$1, INDEX('Room Info'!$A$2:$A3446, MATCH(B1918,'Room Info'!$E$2:$E3446, 0)),if(G1918='Room Info'!$F$1, INDEX('Room Info'!$A$2:$A3446, MATCH(B1918,'Room Info'!$F$2:$F3446, 0)),if(G1918='Room Info'!$H$1, INDEX('Room Info'!$A$2:$A3446, MATCH(B1918,'Room Info'!$H$2:$H3446, 0)),if(G1918='Room Info'!$G$1, INDEX('Room Info'!$A$2:$A3446, MATCH(B1918,'Room Info'!$G$2:$G3446, 0)))))))))</f>
        <v>0</v>
      </c>
      <c r="B1918" s="70"/>
      <c r="C1918" s="115"/>
      <c r="D1918" s="115"/>
      <c r="E1918" s="85"/>
      <c r="F1918" s="101"/>
      <c r="G1918" s="70"/>
      <c r="H1918" s="114"/>
      <c r="I1918" s="114"/>
      <c r="J1918" s="44" t="str">
        <f t="shared" si="311"/>
        <v/>
      </c>
      <c r="K1918" s="116"/>
      <c r="L1918" s="117"/>
      <c r="M1918" s="67"/>
      <c r="N1918" s="33">
        <f t="shared" si="276"/>
        <v>0</v>
      </c>
      <c r="O1918" s="70"/>
      <c r="P1918" s="34" t="str">
        <f t="shared" si="277"/>
        <v/>
      </c>
      <c r="Q1918" s="60"/>
      <c r="R1918" s="36">
        <f t="shared" si="312"/>
        <v>0</v>
      </c>
      <c r="S1918" s="71"/>
      <c r="T1918" s="37">
        <f t="shared" si="302"/>
        <v>0</v>
      </c>
      <c r="U1918" s="62"/>
      <c r="V1918" s="63"/>
      <c r="W1918" s="63"/>
      <c r="X1918" s="35" t="str">
        <f t="shared" si="303"/>
        <v>#N/A</v>
      </c>
      <c r="Y1918" s="35" t="str">
        <f t="shared" si="304"/>
        <v>#N/A</v>
      </c>
      <c r="Z1918" s="40" t="str">
        <f t="shared" si="305"/>
        <v>#N/A</v>
      </c>
      <c r="AA1918" s="34" t="str">
        <f t="shared" si="306"/>
        <v>#N/A</v>
      </c>
      <c r="AB1918" s="41" t="str">
        <f t="shared" si="307"/>
        <v>#N/A</v>
      </c>
      <c r="AC1918" s="42" t="b">
        <v>0</v>
      </c>
      <c r="AD1918" s="66" t="str">
        <f t="shared" si="308"/>
        <v>USD</v>
      </c>
      <c r="AE1918" s="42"/>
      <c r="AF1918" s="42" t="str">
        <f t="array" ref="AF1918">INDEX('Deal Info'!D:D, MATCH(A1918,'Deal Info'!A:A, 0))</f>
        <v>#N/A</v>
      </c>
      <c r="AG1918" s="43" t="str">
        <f t="array" ref="AG1918">INDEX('Deal Info'!G:G, MATCH(A1918,'Deal Info'!A:A, 0))</f>
        <v>#N/A</v>
      </c>
    </row>
    <row r="1919" hidden="1">
      <c r="A1919" s="23" t="b">
        <f t="array" ref="A1919">if(G1919='Room Info'!$B$1, INDEX('Room Info'!$A$2:$A3446, MATCH(B1919,'Room Info'!$B$2:$B3446, 0)),if(G1919='Room Info'!$C$1, INDEX('Room Info'!$A$2:$A3446, MATCH(B1919,'Room Info'!$C$2:$C3446, 0)),if(G1919='Room Info'!$D$1, INDEX('Room Info'!$A$2:$A3446, MATCH(B1919,'Room Info'!$D$2:$D3446, 0)),if(G1919='Room Info'!$E$1, INDEX('Room Info'!$A$2:$A3446, MATCH(B1919,'Room Info'!$E$2:$E3446, 0)),if(G1919='Room Info'!$F$1, INDEX('Room Info'!$A$2:$A3446, MATCH(B1919,'Room Info'!$F$2:$F3446, 0)),if(G1919='Room Info'!$H$1, INDEX('Room Info'!$A$2:$A3446, MATCH(B1919,'Room Info'!$H$2:$H3446, 0)),if(G1919='Room Info'!$G$1, INDEX('Room Info'!$A$2:$A3446, MATCH(B1919,'Room Info'!$G$2:$G3446, 0)))))))))</f>
        <v>0</v>
      </c>
      <c r="B1919" s="70"/>
      <c r="C1919" s="115"/>
      <c r="D1919" s="115"/>
      <c r="E1919" s="85"/>
      <c r="F1919" s="101"/>
      <c r="G1919" s="70"/>
      <c r="H1919" s="114"/>
      <c r="I1919" s="114"/>
      <c r="J1919" s="44" t="str">
        <f t="shared" si="311"/>
        <v/>
      </c>
      <c r="K1919" s="116"/>
      <c r="L1919" s="117"/>
      <c r="M1919" s="67"/>
      <c r="N1919" s="33">
        <f t="shared" si="276"/>
        <v>0</v>
      </c>
      <c r="O1919" s="70"/>
      <c r="P1919" s="34" t="str">
        <f t="shared" si="277"/>
        <v/>
      </c>
      <c r="Q1919" s="60"/>
      <c r="R1919" s="36">
        <f t="shared" si="312"/>
        <v>0</v>
      </c>
      <c r="S1919" s="71"/>
      <c r="T1919" s="37">
        <f t="shared" si="302"/>
        <v>0</v>
      </c>
      <c r="U1919" s="62"/>
      <c r="V1919" s="63"/>
      <c r="W1919" s="63"/>
      <c r="X1919" s="35" t="str">
        <f t="shared" si="303"/>
        <v>#N/A</v>
      </c>
      <c r="Y1919" s="35" t="str">
        <f t="shared" si="304"/>
        <v>#N/A</v>
      </c>
      <c r="Z1919" s="40" t="str">
        <f t="shared" si="305"/>
        <v>#N/A</v>
      </c>
      <c r="AA1919" s="34" t="str">
        <f t="shared" si="306"/>
        <v>#N/A</v>
      </c>
      <c r="AB1919" s="41" t="str">
        <f t="shared" si="307"/>
        <v>#N/A</v>
      </c>
      <c r="AC1919" s="42" t="b">
        <v>0</v>
      </c>
      <c r="AD1919" s="66" t="str">
        <f t="shared" si="308"/>
        <v>USD</v>
      </c>
      <c r="AE1919" s="42"/>
      <c r="AF1919" s="42" t="str">
        <f t="array" ref="AF1919">INDEX('Deal Info'!D:D, MATCH(A1919,'Deal Info'!A:A, 0))</f>
        <v>#N/A</v>
      </c>
      <c r="AG1919" s="43" t="str">
        <f t="array" ref="AG1919">INDEX('Deal Info'!G:G, MATCH(A1919,'Deal Info'!A:A, 0))</f>
        <v>#N/A</v>
      </c>
    </row>
    <row r="1920" hidden="1">
      <c r="A1920" s="23" t="b">
        <f t="array" ref="A1920">if(G1920='Room Info'!$B$1, INDEX('Room Info'!$A$2:$A3446, MATCH(B1920,'Room Info'!$B$2:$B3446, 0)),if(G1920='Room Info'!$C$1, INDEX('Room Info'!$A$2:$A3446, MATCH(B1920,'Room Info'!$C$2:$C3446, 0)),if(G1920='Room Info'!$D$1, INDEX('Room Info'!$A$2:$A3446, MATCH(B1920,'Room Info'!$D$2:$D3446, 0)),if(G1920='Room Info'!$E$1, INDEX('Room Info'!$A$2:$A3446, MATCH(B1920,'Room Info'!$E$2:$E3446, 0)),if(G1920='Room Info'!$F$1, INDEX('Room Info'!$A$2:$A3446, MATCH(B1920,'Room Info'!$F$2:$F3446, 0)),if(G1920='Room Info'!$H$1, INDEX('Room Info'!$A$2:$A3446, MATCH(B1920,'Room Info'!$H$2:$H3446, 0)),if(G1920='Room Info'!$G$1, INDEX('Room Info'!$A$2:$A3446, MATCH(B1920,'Room Info'!$G$2:$G3446, 0)))))))))</f>
        <v>0</v>
      </c>
      <c r="B1920" s="70"/>
      <c r="C1920" s="115"/>
      <c r="D1920" s="115"/>
      <c r="E1920" s="85"/>
      <c r="F1920" s="101"/>
      <c r="G1920" s="70"/>
      <c r="H1920" s="114"/>
      <c r="I1920" s="114"/>
      <c r="J1920" s="44" t="str">
        <f t="shared" si="311"/>
        <v/>
      </c>
      <c r="K1920" s="116"/>
      <c r="L1920" s="117"/>
      <c r="M1920" s="67"/>
      <c r="N1920" s="33">
        <f t="shared" si="276"/>
        <v>0</v>
      </c>
      <c r="O1920" s="70"/>
      <c r="P1920" s="34" t="str">
        <f t="shared" si="277"/>
        <v/>
      </c>
      <c r="Q1920" s="60"/>
      <c r="R1920" s="36">
        <f t="shared" si="312"/>
        <v>0</v>
      </c>
      <c r="S1920" s="71"/>
      <c r="T1920" s="37">
        <f t="shared" si="302"/>
        <v>0</v>
      </c>
      <c r="U1920" s="62"/>
      <c r="V1920" s="63"/>
      <c r="W1920" s="63"/>
      <c r="X1920" s="35" t="str">
        <f t="shared" si="303"/>
        <v>#N/A</v>
      </c>
      <c r="Y1920" s="35" t="str">
        <f t="shared" si="304"/>
        <v>#N/A</v>
      </c>
      <c r="Z1920" s="40" t="str">
        <f t="shared" si="305"/>
        <v>#N/A</v>
      </c>
      <c r="AA1920" s="34" t="str">
        <f t="shared" si="306"/>
        <v>#N/A</v>
      </c>
      <c r="AB1920" s="41" t="str">
        <f t="shared" si="307"/>
        <v>#N/A</v>
      </c>
      <c r="AC1920" s="42" t="b">
        <v>0</v>
      </c>
      <c r="AD1920" s="66" t="str">
        <f t="shared" si="308"/>
        <v>USD</v>
      </c>
      <c r="AE1920" s="42"/>
      <c r="AF1920" s="42" t="str">
        <f t="array" ref="AF1920">INDEX('Deal Info'!D:D, MATCH(A1920,'Deal Info'!A:A, 0))</f>
        <v>#N/A</v>
      </c>
      <c r="AG1920" s="43" t="str">
        <f t="array" ref="AG1920">INDEX('Deal Info'!G:G, MATCH(A1920,'Deal Info'!A:A, 0))</f>
        <v>#N/A</v>
      </c>
    </row>
    <row r="1921" hidden="1">
      <c r="A1921" s="23" t="b">
        <f t="array" ref="A1921">if(G1921='Room Info'!$B$1, INDEX('Room Info'!$A$2:$A3446, MATCH(B1921,'Room Info'!$B$2:$B3446, 0)),if(G1921='Room Info'!$C$1, INDEX('Room Info'!$A$2:$A3446, MATCH(B1921,'Room Info'!$C$2:$C3446, 0)),if(G1921='Room Info'!$D$1, INDEX('Room Info'!$A$2:$A3446, MATCH(B1921,'Room Info'!$D$2:$D3446, 0)),if(G1921='Room Info'!$E$1, INDEX('Room Info'!$A$2:$A3446, MATCH(B1921,'Room Info'!$E$2:$E3446, 0)),if(G1921='Room Info'!$F$1, INDEX('Room Info'!$A$2:$A3446, MATCH(B1921,'Room Info'!$F$2:$F3446, 0)),if(G1921='Room Info'!$H$1, INDEX('Room Info'!$A$2:$A3446, MATCH(B1921,'Room Info'!$H$2:$H3446, 0)),if(G1921='Room Info'!$G$1, INDEX('Room Info'!$A$2:$A3446, MATCH(B1921,'Room Info'!$G$2:$G3446, 0)))))))))</f>
        <v>0</v>
      </c>
      <c r="B1921" s="101"/>
      <c r="C1921" s="115"/>
      <c r="D1921" s="115"/>
      <c r="E1921" s="85"/>
      <c r="F1921" s="138"/>
      <c r="G1921" s="101"/>
      <c r="H1921" s="114"/>
      <c r="I1921" s="114"/>
      <c r="J1921" s="44" t="str">
        <f t="shared" si="311"/>
        <v/>
      </c>
      <c r="K1921" s="116"/>
      <c r="L1921" s="117"/>
      <c r="M1921" s="67"/>
      <c r="N1921" s="33">
        <f t="shared" si="276"/>
        <v>0</v>
      </c>
      <c r="O1921" s="70"/>
      <c r="P1921" s="34" t="str">
        <f t="shared" si="277"/>
        <v/>
      </c>
      <c r="Q1921" s="60"/>
      <c r="R1921" s="36">
        <f t="shared" si="312"/>
        <v>0</v>
      </c>
      <c r="S1921" s="71"/>
      <c r="T1921" s="37">
        <f t="shared" si="302"/>
        <v>0</v>
      </c>
      <c r="U1921" s="62"/>
      <c r="V1921" s="63"/>
      <c r="W1921" s="63"/>
      <c r="X1921" s="35" t="str">
        <f t="shared" si="303"/>
        <v>#N/A</v>
      </c>
      <c r="Y1921" s="35" t="str">
        <f t="shared" si="304"/>
        <v>#N/A</v>
      </c>
      <c r="Z1921" s="40" t="str">
        <f t="shared" si="305"/>
        <v>#N/A</v>
      </c>
      <c r="AA1921" s="34" t="str">
        <f t="shared" si="306"/>
        <v>#N/A</v>
      </c>
      <c r="AB1921" s="41" t="str">
        <f t="shared" si="307"/>
        <v>#N/A</v>
      </c>
      <c r="AC1921" s="42" t="b">
        <v>0</v>
      </c>
      <c r="AD1921" s="66" t="str">
        <f t="shared" si="308"/>
        <v>USD</v>
      </c>
      <c r="AE1921" s="42"/>
      <c r="AF1921" s="42" t="str">
        <f t="array" ref="AF1921">INDEX('Deal Info'!D:D, MATCH(A1921,'Deal Info'!A:A, 0))</f>
        <v>#N/A</v>
      </c>
      <c r="AG1921" s="43" t="str">
        <f t="array" ref="AG1921">INDEX('Deal Info'!G:G, MATCH(A1921,'Deal Info'!A:A, 0))</f>
        <v>#N/A</v>
      </c>
    </row>
    <row r="1922" hidden="1">
      <c r="A1922" s="23" t="b">
        <f t="array" ref="A1922">if(G1922='Room Info'!$B$1, INDEX('Room Info'!$A$2:$A3446, MATCH(B1922,'Room Info'!$B$2:$B3446, 0)),if(G1922='Room Info'!$C$1, INDEX('Room Info'!$A$2:$A3446, MATCH(B1922,'Room Info'!$C$2:$C3446, 0)),if(G1922='Room Info'!$D$1, INDEX('Room Info'!$A$2:$A3446, MATCH(B1922,'Room Info'!$D$2:$D3446, 0)),if(G1922='Room Info'!$E$1, INDEX('Room Info'!$A$2:$A3446, MATCH(B1922,'Room Info'!$E$2:$E3446, 0)),if(G1922='Room Info'!$F$1, INDEX('Room Info'!$A$2:$A3446, MATCH(B1922,'Room Info'!$F$2:$F3446, 0)),if(G1922='Room Info'!$H$1, INDEX('Room Info'!$A$2:$A3446, MATCH(B1922,'Room Info'!$H$2:$H3446, 0)),if(G1922='Room Info'!$G$1, INDEX('Room Info'!$A$2:$A3446, MATCH(B1922,'Room Info'!$G$2:$G3446, 0)))))))))</f>
        <v>0</v>
      </c>
      <c r="B1922" s="101"/>
      <c r="C1922" s="115"/>
      <c r="D1922" s="115"/>
      <c r="E1922" s="85"/>
      <c r="F1922" s="138"/>
      <c r="G1922" s="101"/>
      <c r="H1922" s="114"/>
      <c r="I1922" s="114"/>
      <c r="J1922" s="44" t="str">
        <f t="shared" si="311"/>
        <v/>
      </c>
      <c r="K1922" s="116"/>
      <c r="L1922" s="117"/>
      <c r="M1922" s="67"/>
      <c r="N1922" s="33">
        <f t="shared" si="276"/>
        <v>0</v>
      </c>
      <c r="O1922" s="70"/>
      <c r="P1922" s="34" t="str">
        <f t="shared" si="277"/>
        <v/>
      </c>
      <c r="Q1922" s="60"/>
      <c r="R1922" s="36">
        <f t="shared" si="312"/>
        <v>0</v>
      </c>
      <c r="S1922" s="71"/>
      <c r="T1922" s="37">
        <f t="shared" si="302"/>
        <v>0</v>
      </c>
      <c r="U1922" s="62"/>
      <c r="V1922" s="63"/>
      <c r="W1922" s="63"/>
      <c r="X1922" s="35" t="str">
        <f t="shared" si="303"/>
        <v>#N/A</v>
      </c>
      <c r="Y1922" s="35" t="str">
        <f t="shared" si="304"/>
        <v>#N/A</v>
      </c>
      <c r="Z1922" s="40" t="str">
        <f t="shared" si="305"/>
        <v>#N/A</v>
      </c>
      <c r="AA1922" s="34" t="str">
        <f t="shared" si="306"/>
        <v>#N/A</v>
      </c>
      <c r="AB1922" s="41" t="str">
        <f t="shared" si="307"/>
        <v>#N/A</v>
      </c>
      <c r="AC1922" s="42" t="b">
        <v>0</v>
      </c>
      <c r="AD1922" s="66" t="str">
        <f t="shared" si="308"/>
        <v>USD</v>
      </c>
      <c r="AE1922" s="42"/>
      <c r="AF1922" s="42" t="str">
        <f t="array" ref="AF1922">INDEX('Deal Info'!D:D, MATCH(A1922,'Deal Info'!A:A, 0))</f>
        <v>#N/A</v>
      </c>
      <c r="AG1922" s="43" t="str">
        <f t="array" ref="AG1922">INDEX('Deal Info'!G:G, MATCH(A1922,'Deal Info'!A:A, 0))</f>
        <v>#N/A</v>
      </c>
    </row>
    <row r="1923" hidden="1">
      <c r="A1923" s="23" t="b">
        <f t="array" ref="A1923">if(G1923='Room Info'!$B$1, INDEX('Room Info'!$A$2:$A3446, MATCH(B1923,'Room Info'!$B$2:$B3446, 0)),if(G1923='Room Info'!$C$1, INDEX('Room Info'!$A$2:$A3446, MATCH(B1923,'Room Info'!$C$2:$C3446, 0)),if(G1923='Room Info'!$D$1, INDEX('Room Info'!$A$2:$A3446, MATCH(B1923,'Room Info'!$D$2:$D3446, 0)),if(G1923='Room Info'!$E$1, INDEX('Room Info'!$A$2:$A3446, MATCH(B1923,'Room Info'!$E$2:$E3446, 0)),if(G1923='Room Info'!$F$1, INDEX('Room Info'!$A$2:$A3446, MATCH(B1923,'Room Info'!$F$2:$F3446, 0)),if(G1923='Room Info'!$H$1, INDEX('Room Info'!$A$2:$A3446, MATCH(B1923,'Room Info'!$H$2:$H3446, 0)),if(G1923='Room Info'!$G$1, INDEX('Room Info'!$A$2:$A3446, MATCH(B1923,'Room Info'!$G$2:$G3446, 0)))))))))</f>
        <v>0</v>
      </c>
      <c r="B1923" s="101"/>
      <c r="C1923" s="115"/>
      <c r="D1923" s="115"/>
      <c r="E1923" s="85"/>
      <c r="F1923" s="138"/>
      <c r="G1923" s="101"/>
      <c r="H1923" s="114"/>
      <c r="I1923" s="114"/>
      <c r="J1923" s="44" t="str">
        <f t="shared" si="311"/>
        <v/>
      </c>
      <c r="K1923" s="116"/>
      <c r="L1923" s="117"/>
      <c r="M1923" s="67"/>
      <c r="N1923" s="33">
        <f t="shared" si="276"/>
        <v>0</v>
      </c>
      <c r="O1923" s="70"/>
      <c r="P1923" s="34" t="str">
        <f t="shared" si="277"/>
        <v/>
      </c>
      <c r="Q1923" s="60"/>
      <c r="R1923" s="36">
        <f t="shared" si="312"/>
        <v>0</v>
      </c>
      <c r="S1923" s="71"/>
      <c r="T1923" s="37">
        <f t="shared" si="302"/>
        <v>0</v>
      </c>
      <c r="U1923" s="62"/>
      <c r="V1923" s="63"/>
      <c r="W1923" s="63"/>
      <c r="X1923" s="35" t="str">
        <f t="shared" si="303"/>
        <v>#N/A</v>
      </c>
      <c r="Y1923" s="35" t="str">
        <f t="shared" si="304"/>
        <v>#N/A</v>
      </c>
      <c r="Z1923" s="40" t="str">
        <f t="shared" si="305"/>
        <v>#N/A</v>
      </c>
      <c r="AA1923" s="34" t="str">
        <f t="shared" si="306"/>
        <v>#N/A</v>
      </c>
      <c r="AB1923" s="41" t="str">
        <f t="shared" si="307"/>
        <v>#N/A</v>
      </c>
      <c r="AC1923" s="42" t="b">
        <v>0</v>
      </c>
      <c r="AD1923" s="66" t="str">
        <f t="shared" si="308"/>
        <v>USD</v>
      </c>
      <c r="AE1923" s="42"/>
      <c r="AF1923" s="42" t="str">
        <f t="array" ref="AF1923">INDEX('Deal Info'!D:D, MATCH(A1923,'Deal Info'!A:A, 0))</f>
        <v>#N/A</v>
      </c>
      <c r="AG1923" s="43" t="str">
        <f t="array" ref="AG1923">INDEX('Deal Info'!G:G, MATCH(A1923,'Deal Info'!A:A, 0))</f>
        <v>#N/A</v>
      </c>
    </row>
    <row r="1924" hidden="1">
      <c r="A1924" s="23" t="b">
        <f t="array" ref="A1924">if(G1924='Room Info'!$B$1, INDEX('Room Info'!$A$2:$A3446, MATCH(B1924,'Room Info'!$B$2:$B3446, 0)),if(G1924='Room Info'!$C$1, INDEX('Room Info'!$A$2:$A3446, MATCH(B1924,'Room Info'!$C$2:$C3446, 0)),if(G1924='Room Info'!$D$1, INDEX('Room Info'!$A$2:$A3446, MATCH(B1924,'Room Info'!$D$2:$D3446, 0)),if(G1924='Room Info'!$E$1, INDEX('Room Info'!$A$2:$A3446, MATCH(B1924,'Room Info'!$E$2:$E3446, 0)),if(G1924='Room Info'!$F$1, INDEX('Room Info'!$A$2:$A3446, MATCH(B1924,'Room Info'!$F$2:$F3446, 0)),if(G1924='Room Info'!$H$1, INDEX('Room Info'!$A$2:$A3446, MATCH(B1924,'Room Info'!$H$2:$H3446, 0)),if(G1924='Room Info'!$G$1, INDEX('Room Info'!$A$2:$A3446, MATCH(B1924,'Room Info'!$G$2:$G3446, 0)))))))))</f>
        <v>0</v>
      </c>
      <c r="B1924" s="101"/>
      <c r="C1924" s="115"/>
      <c r="D1924" s="115"/>
      <c r="E1924" s="85"/>
      <c r="F1924" s="138"/>
      <c r="G1924" s="101"/>
      <c r="H1924" s="114"/>
      <c r="I1924" s="114"/>
      <c r="J1924" s="44" t="str">
        <f t="shared" si="311"/>
        <v/>
      </c>
      <c r="K1924" s="116"/>
      <c r="L1924" s="117"/>
      <c r="M1924" s="67"/>
      <c r="N1924" s="33">
        <f t="shared" si="276"/>
        <v>0</v>
      </c>
      <c r="O1924" s="70"/>
      <c r="P1924" s="34" t="str">
        <f t="shared" si="277"/>
        <v/>
      </c>
      <c r="Q1924" s="60"/>
      <c r="R1924" s="36">
        <f t="shared" si="312"/>
        <v>0</v>
      </c>
      <c r="S1924" s="71"/>
      <c r="T1924" s="37">
        <f t="shared" si="302"/>
        <v>0</v>
      </c>
      <c r="U1924" s="62"/>
      <c r="V1924" s="63"/>
      <c r="W1924" s="63"/>
      <c r="X1924" s="35" t="str">
        <f t="shared" si="303"/>
        <v>#N/A</v>
      </c>
      <c r="Y1924" s="35" t="str">
        <f t="shared" si="304"/>
        <v>#N/A</v>
      </c>
      <c r="Z1924" s="40" t="str">
        <f t="shared" si="305"/>
        <v>#N/A</v>
      </c>
      <c r="AA1924" s="34" t="str">
        <f t="shared" si="306"/>
        <v>#N/A</v>
      </c>
      <c r="AB1924" s="41" t="str">
        <f t="shared" si="307"/>
        <v>#N/A</v>
      </c>
      <c r="AC1924" s="42" t="b">
        <v>0</v>
      </c>
      <c r="AD1924" s="66" t="str">
        <f t="shared" si="308"/>
        <v>USD</v>
      </c>
      <c r="AE1924" s="42"/>
      <c r="AF1924" s="42" t="str">
        <f t="array" ref="AF1924">INDEX('Deal Info'!D:D, MATCH(A1924,'Deal Info'!A:A, 0))</f>
        <v>#N/A</v>
      </c>
      <c r="AG1924" s="43" t="str">
        <f t="array" ref="AG1924">INDEX('Deal Info'!G:G, MATCH(A1924,'Deal Info'!A:A, 0))</f>
        <v>#N/A</v>
      </c>
    </row>
    <row r="1925" hidden="1">
      <c r="A1925" s="23" t="b">
        <f t="array" ref="A1925">if(G1925='Room Info'!$B$1, INDEX('Room Info'!$A$2:$A3446, MATCH(B1925,'Room Info'!$B$2:$B3446, 0)),if(G1925='Room Info'!$C$1, INDEX('Room Info'!$A$2:$A3446, MATCH(B1925,'Room Info'!$C$2:$C3446, 0)),if(G1925='Room Info'!$D$1, INDEX('Room Info'!$A$2:$A3446, MATCH(B1925,'Room Info'!$D$2:$D3446, 0)),if(G1925='Room Info'!$E$1, INDEX('Room Info'!$A$2:$A3446, MATCH(B1925,'Room Info'!$E$2:$E3446, 0)),if(G1925='Room Info'!$F$1, INDEX('Room Info'!$A$2:$A3446, MATCH(B1925,'Room Info'!$F$2:$F3446, 0)),if(G1925='Room Info'!$H$1, INDEX('Room Info'!$A$2:$A3446, MATCH(B1925,'Room Info'!$H$2:$H3446, 0)),if(G1925='Room Info'!$G$1, INDEX('Room Info'!$A$2:$A3446, MATCH(B1925,'Room Info'!$G$2:$G3446, 0)))))))))</f>
        <v>0</v>
      </c>
      <c r="B1925" s="101"/>
      <c r="C1925" s="141"/>
      <c r="D1925" s="141"/>
      <c r="E1925" s="142"/>
      <c r="F1925" s="138"/>
      <c r="G1925" s="101"/>
      <c r="H1925" s="105"/>
      <c r="I1925" s="105"/>
      <c r="J1925" s="44" t="str">
        <f t="shared" si="311"/>
        <v/>
      </c>
      <c r="K1925" s="139"/>
      <c r="L1925" s="140"/>
      <c r="M1925" s="84"/>
      <c r="N1925" s="33">
        <f t="shared" si="276"/>
        <v>0</v>
      </c>
      <c r="O1925" s="101"/>
      <c r="P1925" s="34" t="str">
        <f t="shared" si="277"/>
        <v/>
      </c>
      <c r="Q1925" s="60"/>
      <c r="R1925" s="36">
        <f t="shared" si="312"/>
        <v>0</v>
      </c>
      <c r="S1925" s="102"/>
      <c r="T1925" s="37">
        <f t="shared" si="302"/>
        <v>0</v>
      </c>
      <c r="U1925" s="62"/>
      <c r="V1925" s="63"/>
      <c r="W1925" s="63"/>
      <c r="X1925" s="35" t="str">
        <f t="shared" si="303"/>
        <v>#N/A</v>
      </c>
      <c r="Y1925" s="35" t="str">
        <f t="shared" si="304"/>
        <v>#N/A</v>
      </c>
      <c r="Z1925" s="40" t="str">
        <f t="shared" si="305"/>
        <v>#N/A</v>
      </c>
      <c r="AA1925" s="34" t="str">
        <f t="shared" si="306"/>
        <v>#N/A</v>
      </c>
      <c r="AB1925" s="41" t="str">
        <f t="shared" si="307"/>
        <v>#N/A</v>
      </c>
      <c r="AC1925" s="42" t="b">
        <v>0</v>
      </c>
      <c r="AD1925" s="66" t="str">
        <f t="shared" si="308"/>
        <v>USD</v>
      </c>
      <c r="AE1925" s="42"/>
      <c r="AF1925" s="42" t="str">
        <f t="array" ref="AF1925">INDEX('Deal Info'!D:D, MATCH(A1925,'Deal Info'!A:A, 0))</f>
        <v>#N/A</v>
      </c>
      <c r="AG1925" s="43" t="str">
        <f t="array" ref="AG1925">INDEX('Deal Info'!G:G, MATCH(A1925,'Deal Info'!A:A, 0))</f>
        <v>#N/A</v>
      </c>
    </row>
    <row r="1926" hidden="1">
      <c r="A1926" s="23" t="b">
        <f t="array" ref="A1926">if(G1926='Room Info'!$B$1, INDEX('Room Info'!$A$2:$A3446, MATCH(B1926,'Room Info'!$B$2:$B3446, 0)),if(G1926='Room Info'!$C$1, INDEX('Room Info'!$A$2:$A3446, MATCH(B1926,'Room Info'!$C$2:$C3446, 0)),if(G1926='Room Info'!$D$1, INDEX('Room Info'!$A$2:$A3446, MATCH(B1926,'Room Info'!$D$2:$D3446, 0)),if(G1926='Room Info'!$E$1, INDEX('Room Info'!$A$2:$A3446, MATCH(B1926,'Room Info'!$E$2:$E3446, 0)),if(G1926='Room Info'!$F$1, INDEX('Room Info'!$A$2:$A3446, MATCH(B1926,'Room Info'!$F$2:$F3446, 0)),if(G1926='Room Info'!$H$1, INDEX('Room Info'!$A$2:$A3446, MATCH(B1926,'Room Info'!$H$2:$H3446, 0)),if(G1926='Room Info'!$G$1, INDEX('Room Info'!$A$2:$A3446, MATCH(B1926,'Room Info'!$G$2:$G3446, 0)))))))))</f>
        <v>0</v>
      </c>
      <c r="B1926" s="101"/>
      <c r="C1926" s="141"/>
      <c r="D1926" s="141"/>
      <c r="E1926" s="142"/>
      <c r="F1926" s="138"/>
      <c r="G1926" s="101"/>
      <c r="H1926" s="105"/>
      <c r="I1926" s="105"/>
      <c r="J1926" s="44" t="str">
        <f t="shared" si="311"/>
        <v/>
      </c>
      <c r="K1926" s="139"/>
      <c r="L1926" s="140"/>
      <c r="M1926" s="84"/>
      <c r="N1926" s="33">
        <f t="shared" si="276"/>
        <v>0</v>
      </c>
      <c r="O1926" s="101"/>
      <c r="P1926" s="34" t="str">
        <f t="shared" si="277"/>
        <v/>
      </c>
      <c r="Q1926" s="60"/>
      <c r="R1926" s="36">
        <f t="shared" si="312"/>
        <v>0</v>
      </c>
      <c r="S1926" s="102"/>
      <c r="T1926" s="37">
        <f t="shared" si="302"/>
        <v>0</v>
      </c>
      <c r="U1926" s="62"/>
      <c r="V1926" s="63"/>
      <c r="W1926" s="63"/>
      <c r="X1926" s="35" t="str">
        <f t="shared" si="303"/>
        <v>#N/A</v>
      </c>
      <c r="Y1926" s="35" t="str">
        <f t="shared" si="304"/>
        <v>#N/A</v>
      </c>
      <c r="Z1926" s="40" t="str">
        <f t="shared" si="305"/>
        <v>#N/A</v>
      </c>
      <c r="AA1926" s="34" t="str">
        <f t="shared" si="306"/>
        <v>#N/A</v>
      </c>
      <c r="AB1926" s="41" t="str">
        <f t="shared" si="307"/>
        <v>#N/A</v>
      </c>
      <c r="AC1926" s="42" t="b">
        <v>0</v>
      </c>
      <c r="AD1926" s="66" t="str">
        <f t="shared" si="308"/>
        <v>USD</v>
      </c>
      <c r="AE1926" s="42"/>
      <c r="AF1926" s="42" t="str">
        <f t="array" ref="AF1926">INDEX('Deal Info'!D:D, MATCH(A1926,'Deal Info'!A:A, 0))</f>
        <v>#N/A</v>
      </c>
      <c r="AG1926" s="43" t="str">
        <f t="array" ref="AG1926">INDEX('Deal Info'!G:G, MATCH(A1926,'Deal Info'!A:A, 0))</f>
        <v>#N/A</v>
      </c>
    </row>
    <row r="1927" hidden="1">
      <c r="A1927" s="23" t="b">
        <f t="array" ref="A1927">if(G1927='Room Info'!$B$1, INDEX('Room Info'!$A$2:$A3446, MATCH(B1927,'Room Info'!$B$2:$B3446, 0)),if(G1927='Room Info'!$C$1, INDEX('Room Info'!$A$2:$A3446, MATCH(B1927,'Room Info'!$C$2:$C3446, 0)),if(G1927='Room Info'!$D$1, INDEX('Room Info'!$A$2:$A3446, MATCH(B1927,'Room Info'!$D$2:$D3446, 0)),if(G1927='Room Info'!$E$1, INDEX('Room Info'!$A$2:$A3446, MATCH(B1927,'Room Info'!$E$2:$E3446, 0)),if(G1927='Room Info'!$F$1, INDEX('Room Info'!$A$2:$A3446, MATCH(B1927,'Room Info'!$F$2:$F3446, 0)),if(G1927='Room Info'!$H$1, INDEX('Room Info'!$A$2:$A3446, MATCH(B1927,'Room Info'!$H$2:$H3446, 0)),if(G1927='Room Info'!$G$1, INDEX('Room Info'!$A$2:$A3446, MATCH(B1927,'Room Info'!$G$2:$G3446, 0)))))))))</f>
        <v>0</v>
      </c>
      <c r="B1927" s="101"/>
      <c r="C1927" s="141"/>
      <c r="D1927" s="141"/>
      <c r="E1927" s="142"/>
      <c r="F1927" s="138"/>
      <c r="G1927" s="101"/>
      <c r="H1927" s="105"/>
      <c r="I1927" s="105"/>
      <c r="J1927" s="44" t="str">
        <f t="shared" si="311"/>
        <v/>
      </c>
      <c r="K1927" s="139"/>
      <c r="L1927" s="140"/>
      <c r="M1927" s="84"/>
      <c r="N1927" s="33">
        <f t="shared" si="276"/>
        <v>0</v>
      </c>
      <c r="O1927" s="101"/>
      <c r="P1927" s="34" t="str">
        <f t="shared" si="277"/>
        <v/>
      </c>
      <c r="Q1927" s="60"/>
      <c r="R1927" s="36">
        <f t="shared" si="312"/>
        <v>0</v>
      </c>
      <c r="S1927" s="102"/>
      <c r="T1927" s="37">
        <f t="shared" si="302"/>
        <v>0</v>
      </c>
      <c r="U1927" s="62"/>
      <c r="V1927" s="63"/>
      <c r="W1927" s="63"/>
      <c r="X1927" s="35" t="str">
        <f t="shared" si="303"/>
        <v>#N/A</v>
      </c>
      <c r="Y1927" s="35" t="str">
        <f t="shared" si="304"/>
        <v>#N/A</v>
      </c>
      <c r="Z1927" s="40" t="str">
        <f t="shared" si="305"/>
        <v>#N/A</v>
      </c>
      <c r="AA1927" s="34" t="str">
        <f t="shared" si="306"/>
        <v>#N/A</v>
      </c>
      <c r="AB1927" s="41" t="str">
        <f t="shared" si="307"/>
        <v>#N/A</v>
      </c>
      <c r="AC1927" s="42" t="b">
        <v>0</v>
      </c>
      <c r="AD1927" s="66" t="str">
        <f t="shared" si="308"/>
        <v>USD</v>
      </c>
      <c r="AE1927" s="42"/>
      <c r="AF1927" s="42" t="str">
        <f t="array" ref="AF1927">INDEX('Deal Info'!D:D, MATCH(A1927,'Deal Info'!A:A, 0))</f>
        <v>#N/A</v>
      </c>
      <c r="AG1927" s="43" t="str">
        <f t="array" ref="AG1927">INDEX('Deal Info'!G:G, MATCH(A1927,'Deal Info'!A:A, 0))</f>
        <v>#N/A</v>
      </c>
    </row>
    <row r="1928" hidden="1">
      <c r="A1928" s="23" t="b">
        <f t="array" ref="A1928">if(G1928='Room Info'!$B$1, INDEX('Room Info'!$A$2:$A3446, MATCH(B1928,'Room Info'!$B$2:$B3446, 0)),if(G1928='Room Info'!$C$1, INDEX('Room Info'!$A$2:$A3446, MATCH(B1928,'Room Info'!$C$2:$C3446, 0)),if(G1928='Room Info'!$D$1, INDEX('Room Info'!$A$2:$A3446, MATCH(B1928,'Room Info'!$D$2:$D3446, 0)),if(G1928='Room Info'!$E$1, INDEX('Room Info'!$A$2:$A3446, MATCH(B1928,'Room Info'!$E$2:$E3446, 0)),if(G1928='Room Info'!$F$1, INDEX('Room Info'!$A$2:$A3446, MATCH(B1928,'Room Info'!$F$2:$F3446, 0)),if(G1928='Room Info'!$H$1, INDEX('Room Info'!$A$2:$A3446, MATCH(B1928,'Room Info'!$H$2:$H3446, 0)),if(G1928='Room Info'!$G$1, INDEX('Room Info'!$A$2:$A3446, MATCH(B1928,'Room Info'!$G$2:$G3446, 0)))))))))</f>
        <v>0</v>
      </c>
      <c r="B1928" s="101"/>
      <c r="C1928" s="115"/>
      <c r="D1928" s="115"/>
      <c r="E1928" s="85"/>
      <c r="F1928" s="138"/>
      <c r="G1928" s="101"/>
      <c r="H1928" s="114"/>
      <c r="I1928" s="114"/>
      <c r="J1928" s="44" t="str">
        <f t="shared" si="311"/>
        <v/>
      </c>
      <c r="K1928" s="116"/>
      <c r="L1928" s="117"/>
      <c r="M1928" s="67"/>
      <c r="N1928" s="33">
        <f t="shared" si="276"/>
        <v>0</v>
      </c>
      <c r="O1928" s="70"/>
      <c r="P1928" s="34" t="str">
        <f t="shared" si="277"/>
        <v/>
      </c>
      <c r="Q1928" s="60"/>
      <c r="R1928" s="36">
        <f t="shared" si="312"/>
        <v>0</v>
      </c>
      <c r="S1928" s="71"/>
      <c r="T1928" s="37">
        <f t="shared" si="302"/>
        <v>0</v>
      </c>
      <c r="U1928" s="62"/>
      <c r="V1928" s="63"/>
      <c r="W1928" s="63"/>
      <c r="X1928" s="35" t="str">
        <f t="shared" si="303"/>
        <v>#N/A</v>
      </c>
      <c r="Y1928" s="35" t="str">
        <f t="shared" si="304"/>
        <v>#N/A</v>
      </c>
      <c r="Z1928" s="40" t="str">
        <f t="shared" si="305"/>
        <v>#N/A</v>
      </c>
      <c r="AA1928" s="34" t="str">
        <f t="shared" si="306"/>
        <v>#N/A</v>
      </c>
      <c r="AB1928" s="41" t="str">
        <f t="shared" si="307"/>
        <v>#N/A</v>
      </c>
      <c r="AC1928" s="42" t="b">
        <v>0</v>
      </c>
      <c r="AD1928" s="66" t="str">
        <f t="shared" si="308"/>
        <v>USD</v>
      </c>
      <c r="AE1928" s="42"/>
      <c r="AF1928" s="42" t="str">
        <f t="array" ref="AF1928">INDEX('Deal Info'!D:D, MATCH(A1928,'Deal Info'!A:A, 0))</f>
        <v>#N/A</v>
      </c>
      <c r="AG1928" s="43" t="str">
        <f t="array" ref="AG1928">INDEX('Deal Info'!G:G, MATCH(A1928,'Deal Info'!A:A, 0))</f>
        <v>#N/A</v>
      </c>
    </row>
    <row r="1929" hidden="1">
      <c r="A1929" s="23" t="b">
        <f t="array" ref="A1929">if(G1929='Room Info'!$B$1, INDEX('Room Info'!$A$2:$A3446, MATCH(B1929,'Room Info'!$B$2:$B3446, 0)),if(G1929='Room Info'!$C$1, INDEX('Room Info'!$A$2:$A3446, MATCH(B1929,'Room Info'!$C$2:$C3446, 0)),if(G1929='Room Info'!$D$1, INDEX('Room Info'!$A$2:$A3446, MATCH(B1929,'Room Info'!$D$2:$D3446, 0)),if(G1929='Room Info'!$E$1, INDEX('Room Info'!$A$2:$A3446, MATCH(B1929,'Room Info'!$E$2:$E3446, 0)),if(G1929='Room Info'!$F$1, INDEX('Room Info'!$A$2:$A3446, MATCH(B1929,'Room Info'!$F$2:$F3446, 0)),if(G1929='Room Info'!$H$1, INDEX('Room Info'!$A$2:$A3446, MATCH(B1929,'Room Info'!$H$2:$H3446, 0)),if(G1929='Room Info'!$G$1, INDEX('Room Info'!$A$2:$A3446, MATCH(B1929,'Room Info'!$G$2:$G3446, 0)))))))))</f>
        <v>0</v>
      </c>
      <c r="B1929" s="101"/>
      <c r="C1929" s="115"/>
      <c r="D1929" s="115"/>
      <c r="E1929" s="85"/>
      <c r="F1929" s="138"/>
      <c r="G1929" s="101"/>
      <c r="H1929" s="114"/>
      <c r="I1929" s="114"/>
      <c r="J1929" s="44" t="str">
        <f t="shared" si="311"/>
        <v/>
      </c>
      <c r="K1929" s="116"/>
      <c r="L1929" s="117"/>
      <c r="M1929" s="67"/>
      <c r="N1929" s="33">
        <f t="shared" si="276"/>
        <v>0</v>
      </c>
      <c r="O1929" s="70"/>
      <c r="P1929" s="34" t="str">
        <f t="shared" si="277"/>
        <v/>
      </c>
      <c r="Q1929" s="60"/>
      <c r="R1929" s="36">
        <f t="shared" si="312"/>
        <v>0</v>
      </c>
      <c r="S1929" s="71"/>
      <c r="T1929" s="37">
        <f t="shared" si="302"/>
        <v>0</v>
      </c>
      <c r="U1929" s="62"/>
      <c r="V1929" s="63"/>
      <c r="W1929" s="63"/>
      <c r="X1929" s="35" t="str">
        <f t="shared" si="303"/>
        <v>#N/A</v>
      </c>
      <c r="Y1929" s="35" t="str">
        <f t="shared" si="304"/>
        <v>#N/A</v>
      </c>
      <c r="Z1929" s="40" t="str">
        <f t="shared" si="305"/>
        <v>#N/A</v>
      </c>
      <c r="AA1929" s="34" t="str">
        <f t="shared" si="306"/>
        <v>#N/A</v>
      </c>
      <c r="AB1929" s="41" t="str">
        <f t="shared" si="307"/>
        <v>#N/A</v>
      </c>
      <c r="AC1929" s="42" t="b">
        <v>0</v>
      </c>
      <c r="AD1929" s="66" t="str">
        <f t="shared" si="308"/>
        <v>USD</v>
      </c>
      <c r="AE1929" s="42"/>
      <c r="AF1929" s="42" t="str">
        <f t="array" ref="AF1929">INDEX('Deal Info'!D:D, MATCH(A1929,'Deal Info'!A:A, 0))</f>
        <v>#N/A</v>
      </c>
      <c r="AG1929" s="43" t="str">
        <f t="array" ref="AG1929">INDEX('Deal Info'!G:G, MATCH(A1929,'Deal Info'!A:A, 0))</f>
        <v>#N/A</v>
      </c>
    </row>
    <row r="1930" hidden="1">
      <c r="A1930" s="23" t="b">
        <f t="array" ref="A1930">if(G1930='Room Info'!$B$1, INDEX('Room Info'!$A$2:$A3446, MATCH(B1930,'Room Info'!$B$2:$B3446, 0)),if(G1930='Room Info'!$C$1, INDEX('Room Info'!$A$2:$A3446, MATCH(B1930,'Room Info'!$C$2:$C3446, 0)),if(G1930='Room Info'!$D$1, INDEX('Room Info'!$A$2:$A3446, MATCH(B1930,'Room Info'!$D$2:$D3446, 0)),if(G1930='Room Info'!$E$1, INDEX('Room Info'!$A$2:$A3446, MATCH(B1930,'Room Info'!$E$2:$E3446, 0)),if(G1930='Room Info'!$F$1, INDEX('Room Info'!$A$2:$A3446, MATCH(B1930,'Room Info'!$F$2:$F3446, 0)),if(G1930='Room Info'!$H$1, INDEX('Room Info'!$A$2:$A3446, MATCH(B1930,'Room Info'!$H$2:$H3446, 0)),if(G1930='Room Info'!$G$1, INDEX('Room Info'!$A$2:$A3446, MATCH(B1930,'Room Info'!$G$2:$G3446, 0)))))))))</f>
        <v>0</v>
      </c>
      <c r="B1930" s="101"/>
      <c r="C1930" s="115"/>
      <c r="D1930" s="115"/>
      <c r="E1930" s="85"/>
      <c r="F1930" s="138"/>
      <c r="G1930" s="101"/>
      <c r="H1930" s="114"/>
      <c r="I1930" s="114"/>
      <c r="J1930" s="44" t="str">
        <f t="shared" si="311"/>
        <v/>
      </c>
      <c r="K1930" s="116"/>
      <c r="L1930" s="117"/>
      <c r="M1930" s="67"/>
      <c r="N1930" s="33">
        <f t="shared" si="276"/>
        <v>0</v>
      </c>
      <c r="O1930" s="70"/>
      <c r="P1930" s="34" t="str">
        <f t="shared" si="277"/>
        <v/>
      </c>
      <c r="Q1930" s="60"/>
      <c r="R1930" s="36">
        <f t="shared" si="312"/>
        <v>0</v>
      </c>
      <c r="S1930" s="71"/>
      <c r="T1930" s="37">
        <f t="shared" si="302"/>
        <v>0</v>
      </c>
      <c r="U1930" s="62"/>
      <c r="V1930" s="63"/>
      <c r="W1930" s="63"/>
      <c r="X1930" s="35" t="str">
        <f t="shared" si="303"/>
        <v>#N/A</v>
      </c>
      <c r="Y1930" s="35" t="str">
        <f t="shared" si="304"/>
        <v>#N/A</v>
      </c>
      <c r="Z1930" s="40" t="str">
        <f t="shared" si="305"/>
        <v>#N/A</v>
      </c>
      <c r="AA1930" s="34" t="str">
        <f t="shared" si="306"/>
        <v>#N/A</v>
      </c>
      <c r="AB1930" s="41" t="str">
        <f t="shared" si="307"/>
        <v>#N/A</v>
      </c>
      <c r="AC1930" s="42" t="b">
        <v>0</v>
      </c>
      <c r="AD1930" s="66" t="str">
        <f t="shared" si="308"/>
        <v>USD</v>
      </c>
      <c r="AE1930" s="42"/>
      <c r="AF1930" s="42" t="str">
        <f t="array" ref="AF1930">INDEX('Deal Info'!D:D, MATCH(A1930,'Deal Info'!A:A, 0))</f>
        <v>#N/A</v>
      </c>
      <c r="AG1930" s="43" t="str">
        <f t="array" ref="AG1930">INDEX('Deal Info'!G:G, MATCH(A1930,'Deal Info'!A:A, 0))</f>
        <v>#N/A</v>
      </c>
    </row>
    <row r="1931" hidden="1">
      <c r="A1931" s="23" t="b">
        <f t="array" ref="A1931">if(G1931='Room Info'!$B$1, INDEX('Room Info'!$A$2:$A3446, MATCH(B1931,'Room Info'!$B$2:$B3446, 0)),if(G1931='Room Info'!$C$1, INDEX('Room Info'!$A$2:$A3446, MATCH(B1931,'Room Info'!$C$2:$C3446, 0)),if(G1931='Room Info'!$D$1, INDEX('Room Info'!$A$2:$A3446, MATCH(B1931,'Room Info'!$D$2:$D3446, 0)),if(G1931='Room Info'!$E$1, INDEX('Room Info'!$A$2:$A3446, MATCH(B1931,'Room Info'!$E$2:$E3446, 0)),if(G1931='Room Info'!$F$1, INDEX('Room Info'!$A$2:$A3446, MATCH(B1931,'Room Info'!$F$2:$F3446, 0)),if(G1931='Room Info'!$H$1, INDEX('Room Info'!$A$2:$A3446, MATCH(B1931,'Room Info'!$H$2:$H3446, 0)),if(G1931='Room Info'!$G$1, INDEX('Room Info'!$A$2:$A3446, MATCH(B1931,'Room Info'!$G$2:$G3446, 0)))))))))</f>
        <v>0</v>
      </c>
      <c r="B1931" s="101"/>
      <c r="C1931" s="115"/>
      <c r="D1931" s="115"/>
      <c r="E1931" s="85"/>
      <c r="F1931" s="138"/>
      <c r="G1931" s="101"/>
      <c r="H1931" s="114"/>
      <c r="I1931" s="114"/>
      <c r="J1931" s="44" t="str">
        <f t="shared" si="311"/>
        <v/>
      </c>
      <c r="K1931" s="116"/>
      <c r="L1931" s="117"/>
      <c r="M1931" s="67"/>
      <c r="N1931" s="33">
        <f t="shared" si="276"/>
        <v>0</v>
      </c>
      <c r="O1931" s="70"/>
      <c r="P1931" s="34" t="str">
        <f t="shared" si="277"/>
        <v/>
      </c>
      <c r="Q1931" s="60"/>
      <c r="R1931" s="36">
        <f t="shared" si="312"/>
        <v>0</v>
      </c>
      <c r="S1931" s="71"/>
      <c r="T1931" s="37">
        <f t="shared" si="302"/>
        <v>0</v>
      </c>
      <c r="U1931" s="62"/>
      <c r="V1931" s="63"/>
      <c r="W1931" s="63"/>
      <c r="X1931" s="35" t="str">
        <f t="shared" si="303"/>
        <v>#N/A</v>
      </c>
      <c r="Y1931" s="35" t="str">
        <f t="shared" si="304"/>
        <v>#N/A</v>
      </c>
      <c r="Z1931" s="40" t="str">
        <f t="shared" si="305"/>
        <v>#N/A</v>
      </c>
      <c r="AA1931" s="34" t="str">
        <f t="shared" si="306"/>
        <v>#N/A</v>
      </c>
      <c r="AB1931" s="41" t="str">
        <f t="shared" si="307"/>
        <v>#N/A</v>
      </c>
      <c r="AC1931" s="42" t="b">
        <v>0</v>
      </c>
      <c r="AD1931" s="66" t="str">
        <f t="shared" si="308"/>
        <v>USD</v>
      </c>
      <c r="AE1931" s="42"/>
      <c r="AF1931" s="42" t="str">
        <f t="array" ref="AF1931">INDEX('Deal Info'!D:D, MATCH(A1931,'Deal Info'!A:A, 0))</f>
        <v>#N/A</v>
      </c>
      <c r="AG1931" s="43" t="str">
        <f t="array" ref="AG1931">INDEX('Deal Info'!G:G, MATCH(A1931,'Deal Info'!A:A, 0))</f>
        <v>#N/A</v>
      </c>
    </row>
    <row r="1932" hidden="1">
      <c r="A1932" s="23" t="b">
        <f t="array" ref="A1932">if(G1932='Room Info'!$B$1, INDEX('Room Info'!$A$2:$A3446, MATCH(B1932,'Room Info'!$B$2:$B3446, 0)),if(G1932='Room Info'!$C$1, INDEX('Room Info'!$A$2:$A3446, MATCH(B1932,'Room Info'!$C$2:$C3446, 0)),if(G1932='Room Info'!$D$1, INDEX('Room Info'!$A$2:$A3446, MATCH(B1932,'Room Info'!$D$2:$D3446, 0)),if(G1932='Room Info'!$E$1, INDEX('Room Info'!$A$2:$A3446, MATCH(B1932,'Room Info'!$E$2:$E3446, 0)),if(G1932='Room Info'!$F$1, INDEX('Room Info'!$A$2:$A3446, MATCH(B1932,'Room Info'!$F$2:$F3446, 0)),if(G1932='Room Info'!$H$1, INDEX('Room Info'!$A$2:$A3446, MATCH(B1932,'Room Info'!$H$2:$H3446, 0)),if(G1932='Room Info'!$G$1, INDEX('Room Info'!$A$2:$A3446, MATCH(B1932,'Room Info'!$G$2:$G3446, 0)))))))))</f>
        <v>0</v>
      </c>
      <c r="B1932" s="101"/>
      <c r="C1932" s="115"/>
      <c r="D1932" s="115"/>
      <c r="E1932" s="85"/>
      <c r="F1932" s="138"/>
      <c r="G1932" s="101"/>
      <c r="H1932" s="114"/>
      <c r="I1932" s="114"/>
      <c r="J1932" s="44" t="str">
        <f t="shared" si="311"/>
        <v/>
      </c>
      <c r="K1932" s="116"/>
      <c r="L1932" s="117"/>
      <c r="M1932" s="67"/>
      <c r="N1932" s="33">
        <f t="shared" si="276"/>
        <v>0</v>
      </c>
      <c r="O1932" s="70"/>
      <c r="P1932" s="34" t="str">
        <f t="shared" si="277"/>
        <v/>
      </c>
      <c r="Q1932" s="60"/>
      <c r="R1932" s="36">
        <f t="shared" si="312"/>
        <v>0</v>
      </c>
      <c r="S1932" s="71"/>
      <c r="T1932" s="37">
        <f t="shared" si="302"/>
        <v>0</v>
      </c>
      <c r="U1932" s="62"/>
      <c r="V1932" s="63"/>
      <c r="W1932" s="63"/>
      <c r="X1932" s="35" t="str">
        <f t="shared" si="303"/>
        <v>#N/A</v>
      </c>
      <c r="Y1932" s="35" t="str">
        <f t="shared" si="304"/>
        <v>#N/A</v>
      </c>
      <c r="Z1932" s="40" t="str">
        <f t="shared" si="305"/>
        <v>#N/A</v>
      </c>
      <c r="AA1932" s="34" t="str">
        <f t="shared" si="306"/>
        <v>#N/A</v>
      </c>
      <c r="AB1932" s="41" t="str">
        <f t="shared" si="307"/>
        <v>#N/A</v>
      </c>
      <c r="AC1932" s="42" t="b">
        <v>0</v>
      </c>
      <c r="AD1932" s="66" t="str">
        <f t="shared" si="308"/>
        <v>USD</v>
      </c>
      <c r="AE1932" s="42"/>
      <c r="AF1932" s="42" t="str">
        <f t="array" ref="AF1932">INDEX('Deal Info'!D:D, MATCH(A1932,'Deal Info'!A:A, 0))</f>
        <v>#N/A</v>
      </c>
      <c r="AG1932" s="43" t="str">
        <f t="array" ref="AG1932">INDEX('Deal Info'!G:G, MATCH(A1932,'Deal Info'!A:A, 0))</f>
        <v>#N/A</v>
      </c>
    </row>
    <row r="1933" hidden="1">
      <c r="A1933" s="23" t="b">
        <f t="array" ref="A1933">if(G1933='Room Info'!$B$1, INDEX('Room Info'!$A$2:$A3446, MATCH(B1933,'Room Info'!$B$2:$B3446, 0)),if(G1933='Room Info'!$C$1, INDEX('Room Info'!$A$2:$A3446, MATCH(B1933,'Room Info'!$C$2:$C3446, 0)),if(G1933='Room Info'!$D$1, INDEX('Room Info'!$A$2:$A3446, MATCH(B1933,'Room Info'!$D$2:$D3446, 0)),if(G1933='Room Info'!$E$1, INDEX('Room Info'!$A$2:$A3446, MATCH(B1933,'Room Info'!$E$2:$E3446, 0)),if(G1933='Room Info'!$F$1, INDEX('Room Info'!$A$2:$A3446, MATCH(B1933,'Room Info'!$F$2:$F3446, 0)),if(G1933='Room Info'!$H$1, INDEX('Room Info'!$A$2:$A3446, MATCH(B1933,'Room Info'!$H$2:$H3446, 0)),if(G1933='Room Info'!$G$1, INDEX('Room Info'!$A$2:$A3446, MATCH(B1933,'Room Info'!$G$2:$G3446, 0)))))))))</f>
        <v>0</v>
      </c>
      <c r="B1933" s="101"/>
      <c r="C1933" s="115"/>
      <c r="D1933" s="115"/>
      <c r="E1933" s="85"/>
      <c r="F1933" s="138"/>
      <c r="G1933" s="101"/>
      <c r="H1933" s="114"/>
      <c r="I1933" s="114"/>
      <c r="J1933" s="44" t="str">
        <f t="shared" si="311"/>
        <v/>
      </c>
      <c r="K1933" s="116"/>
      <c r="L1933" s="117"/>
      <c r="M1933" s="67"/>
      <c r="N1933" s="33">
        <f t="shared" si="276"/>
        <v>0</v>
      </c>
      <c r="O1933" s="70"/>
      <c r="P1933" s="34" t="str">
        <f t="shared" si="277"/>
        <v/>
      </c>
      <c r="Q1933" s="60"/>
      <c r="R1933" s="36">
        <f t="shared" si="312"/>
        <v>0</v>
      </c>
      <c r="S1933" s="71"/>
      <c r="T1933" s="37">
        <f t="shared" si="302"/>
        <v>0</v>
      </c>
      <c r="U1933" s="62"/>
      <c r="V1933" s="63"/>
      <c r="W1933" s="63"/>
      <c r="X1933" s="35" t="str">
        <f t="shared" si="303"/>
        <v>#N/A</v>
      </c>
      <c r="Y1933" s="35" t="str">
        <f t="shared" si="304"/>
        <v>#N/A</v>
      </c>
      <c r="Z1933" s="40" t="str">
        <f t="shared" si="305"/>
        <v>#N/A</v>
      </c>
      <c r="AA1933" s="34" t="str">
        <f t="shared" si="306"/>
        <v>#N/A</v>
      </c>
      <c r="AB1933" s="41" t="str">
        <f t="shared" si="307"/>
        <v>#N/A</v>
      </c>
      <c r="AC1933" s="42" t="b">
        <v>0</v>
      </c>
      <c r="AD1933" s="66" t="str">
        <f t="shared" si="308"/>
        <v>USD</v>
      </c>
      <c r="AE1933" s="42"/>
      <c r="AF1933" s="42" t="str">
        <f t="array" ref="AF1933">INDEX('Deal Info'!D:D, MATCH(A1933,'Deal Info'!A:A, 0))</f>
        <v>#N/A</v>
      </c>
      <c r="AG1933" s="43" t="str">
        <f t="array" ref="AG1933">INDEX('Deal Info'!G:G, MATCH(A1933,'Deal Info'!A:A, 0))</f>
        <v>#N/A</v>
      </c>
    </row>
    <row r="1934" hidden="1">
      <c r="A1934" s="23" t="b">
        <f t="array" ref="A1934">if(G1934='Room Info'!$B$1, INDEX('Room Info'!$A$2:$A3446, MATCH(B1934,'Room Info'!$B$2:$B3446, 0)),if(G1934='Room Info'!$C$1, INDEX('Room Info'!$A$2:$A3446, MATCH(B1934,'Room Info'!$C$2:$C3446, 0)),if(G1934='Room Info'!$D$1, INDEX('Room Info'!$A$2:$A3446, MATCH(B1934,'Room Info'!$D$2:$D3446, 0)),if(G1934='Room Info'!$E$1, INDEX('Room Info'!$A$2:$A3446, MATCH(B1934,'Room Info'!$E$2:$E3446, 0)),if(G1934='Room Info'!$F$1, INDEX('Room Info'!$A$2:$A3446, MATCH(B1934,'Room Info'!$F$2:$F3446, 0)),if(G1934='Room Info'!$H$1, INDEX('Room Info'!$A$2:$A3446, MATCH(B1934,'Room Info'!$H$2:$H3446, 0)),if(G1934='Room Info'!$G$1, INDEX('Room Info'!$A$2:$A3446, MATCH(B1934,'Room Info'!$G$2:$G3446, 0)))))))))</f>
        <v>0</v>
      </c>
      <c r="B1934" s="101"/>
      <c r="C1934" s="115"/>
      <c r="D1934" s="115"/>
      <c r="E1934" s="85"/>
      <c r="F1934" s="138"/>
      <c r="G1934" s="101"/>
      <c r="H1934" s="114"/>
      <c r="I1934" s="114"/>
      <c r="J1934" s="44" t="str">
        <f t="shared" si="311"/>
        <v/>
      </c>
      <c r="K1934" s="116"/>
      <c r="L1934" s="117"/>
      <c r="M1934" s="67"/>
      <c r="N1934" s="33">
        <f t="shared" si="276"/>
        <v>0</v>
      </c>
      <c r="O1934" s="70"/>
      <c r="P1934" s="34" t="str">
        <f t="shared" si="277"/>
        <v/>
      </c>
      <c r="Q1934" s="60"/>
      <c r="R1934" s="36">
        <f t="shared" si="312"/>
        <v>0</v>
      </c>
      <c r="S1934" s="71"/>
      <c r="T1934" s="37">
        <f t="shared" si="302"/>
        <v>0</v>
      </c>
      <c r="U1934" s="62"/>
      <c r="V1934" s="63"/>
      <c r="W1934" s="63"/>
      <c r="X1934" s="35" t="str">
        <f t="shared" si="303"/>
        <v>#N/A</v>
      </c>
      <c r="Y1934" s="35" t="str">
        <f t="shared" si="304"/>
        <v>#N/A</v>
      </c>
      <c r="Z1934" s="40" t="str">
        <f t="shared" si="305"/>
        <v>#N/A</v>
      </c>
      <c r="AA1934" s="34" t="str">
        <f t="shared" si="306"/>
        <v>#N/A</v>
      </c>
      <c r="AB1934" s="41" t="str">
        <f t="shared" si="307"/>
        <v>#N/A</v>
      </c>
      <c r="AC1934" s="42" t="b">
        <v>0</v>
      </c>
      <c r="AD1934" s="66" t="str">
        <f t="shared" si="308"/>
        <v>USD</v>
      </c>
      <c r="AE1934" s="42"/>
      <c r="AF1934" s="42" t="str">
        <f t="array" ref="AF1934">INDEX('Deal Info'!D:D, MATCH(A1934,'Deal Info'!A:A, 0))</f>
        <v>#N/A</v>
      </c>
      <c r="AG1934" s="43" t="str">
        <f t="array" ref="AG1934">INDEX('Deal Info'!G:G, MATCH(A1934,'Deal Info'!A:A, 0))</f>
        <v>#N/A</v>
      </c>
    </row>
    <row r="1935" hidden="1">
      <c r="A1935" s="23" t="b">
        <f t="array" ref="A1935">if(G1935='Room Info'!$B$1, INDEX('Room Info'!$A$2:$A3446, MATCH(B1935,'Room Info'!$B$2:$B3446, 0)),if(G1935='Room Info'!$C$1, INDEX('Room Info'!$A$2:$A3446, MATCH(B1935,'Room Info'!$C$2:$C3446, 0)),if(G1935='Room Info'!$D$1, INDEX('Room Info'!$A$2:$A3446, MATCH(B1935,'Room Info'!$D$2:$D3446, 0)),if(G1935='Room Info'!$E$1, INDEX('Room Info'!$A$2:$A3446, MATCH(B1935,'Room Info'!$E$2:$E3446, 0)),if(G1935='Room Info'!$F$1, INDEX('Room Info'!$A$2:$A3446, MATCH(B1935,'Room Info'!$F$2:$F3446, 0)),if(G1935='Room Info'!$H$1, INDEX('Room Info'!$A$2:$A3446, MATCH(B1935,'Room Info'!$H$2:$H3446, 0)),if(G1935='Room Info'!$G$1, INDEX('Room Info'!$A$2:$A3446, MATCH(B1935,'Room Info'!$G$2:$G3446, 0)))))))))</f>
        <v>0</v>
      </c>
      <c r="B1935" s="101"/>
      <c r="C1935" s="115"/>
      <c r="D1935" s="115"/>
      <c r="E1935" s="85"/>
      <c r="F1935" s="138"/>
      <c r="G1935" s="70"/>
      <c r="H1935" s="105"/>
      <c r="I1935" s="105"/>
      <c r="J1935" s="44" t="str">
        <f t="shared" si="311"/>
        <v/>
      </c>
      <c r="K1935" s="116"/>
      <c r="L1935" s="117"/>
      <c r="M1935" s="67"/>
      <c r="N1935" s="33">
        <f t="shared" si="276"/>
        <v>0</v>
      </c>
      <c r="O1935" s="70"/>
      <c r="P1935" s="34" t="str">
        <f t="shared" si="277"/>
        <v/>
      </c>
      <c r="Q1935" s="60"/>
      <c r="R1935" s="36">
        <f t="shared" si="312"/>
        <v>0</v>
      </c>
      <c r="S1935" s="71"/>
      <c r="T1935" s="37">
        <f t="shared" si="302"/>
        <v>0</v>
      </c>
      <c r="U1935" s="62"/>
      <c r="V1935" s="63"/>
      <c r="W1935" s="63"/>
      <c r="X1935" s="35" t="str">
        <f t="shared" si="303"/>
        <v>#N/A</v>
      </c>
      <c r="Y1935" s="35" t="str">
        <f t="shared" si="304"/>
        <v>#N/A</v>
      </c>
      <c r="Z1935" s="40" t="str">
        <f t="shared" si="305"/>
        <v>#N/A</v>
      </c>
      <c r="AA1935" s="34" t="str">
        <f t="shared" si="306"/>
        <v>#N/A</v>
      </c>
      <c r="AB1935" s="41" t="str">
        <f t="shared" si="307"/>
        <v>#N/A</v>
      </c>
      <c r="AC1935" s="42" t="b">
        <v>0</v>
      </c>
      <c r="AD1935" s="66" t="str">
        <f t="shared" si="308"/>
        <v>USD</v>
      </c>
      <c r="AE1935" s="42"/>
      <c r="AF1935" s="42" t="str">
        <f t="array" ref="AF1935">INDEX('Deal Info'!D:D, MATCH(A1935,'Deal Info'!A:A, 0))</f>
        <v>#N/A</v>
      </c>
      <c r="AG1935" s="43" t="str">
        <f t="array" ref="AG1935">INDEX('Deal Info'!G:G, MATCH(A1935,'Deal Info'!A:A, 0))</f>
        <v>#N/A</v>
      </c>
    </row>
    <row r="1936" hidden="1">
      <c r="A1936" s="23" t="b">
        <f t="array" ref="A1936">if(G1936='Room Info'!$B$1, INDEX('Room Info'!$A$2:$A3446, MATCH(B1936,'Room Info'!$B$2:$B3446, 0)),if(G1936='Room Info'!$C$1, INDEX('Room Info'!$A$2:$A3446, MATCH(B1936,'Room Info'!$C$2:$C3446, 0)),if(G1936='Room Info'!$D$1, INDEX('Room Info'!$A$2:$A3446, MATCH(B1936,'Room Info'!$D$2:$D3446, 0)),if(G1936='Room Info'!$E$1, INDEX('Room Info'!$A$2:$A3446, MATCH(B1936,'Room Info'!$E$2:$E3446, 0)),if(G1936='Room Info'!$F$1, INDEX('Room Info'!$A$2:$A3446, MATCH(B1936,'Room Info'!$F$2:$F3446, 0)),if(G1936='Room Info'!$H$1, INDEX('Room Info'!$A$2:$A3446, MATCH(B1936,'Room Info'!$H$2:$H3446, 0)),if(G1936='Room Info'!$G$1, INDEX('Room Info'!$A$2:$A3446, MATCH(B1936,'Room Info'!$G$2:$G3446, 0)))))))))</f>
        <v>0</v>
      </c>
      <c r="B1936" s="101"/>
      <c r="C1936" s="115"/>
      <c r="D1936" s="115"/>
      <c r="E1936" s="85"/>
      <c r="F1936" s="138"/>
      <c r="G1936" s="101"/>
      <c r="H1936" s="105"/>
      <c r="I1936" s="105"/>
      <c r="J1936" s="44" t="str">
        <f t="shared" si="311"/>
        <v/>
      </c>
      <c r="K1936" s="116"/>
      <c r="L1936" s="117"/>
      <c r="M1936" s="67"/>
      <c r="N1936" s="33">
        <f t="shared" si="276"/>
        <v>0</v>
      </c>
      <c r="O1936" s="70"/>
      <c r="P1936" s="34" t="str">
        <f t="shared" si="277"/>
        <v/>
      </c>
      <c r="Q1936" s="60"/>
      <c r="R1936" s="36">
        <f t="shared" si="312"/>
        <v>0</v>
      </c>
      <c r="S1936" s="71"/>
      <c r="T1936" s="37">
        <f t="shared" si="302"/>
        <v>0</v>
      </c>
      <c r="U1936" s="62"/>
      <c r="V1936" s="63"/>
      <c r="W1936" s="63"/>
      <c r="X1936" s="35" t="str">
        <f t="shared" si="303"/>
        <v>#N/A</v>
      </c>
      <c r="Y1936" s="35" t="str">
        <f t="shared" si="304"/>
        <v>#N/A</v>
      </c>
      <c r="Z1936" s="40" t="str">
        <f t="shared" si="305"/>
        <v>#N/A</v>
      </c>
      <c r="AA1936" s="34" t="str">
        <f t="shared" si="306"/>
        <v>#N/A</v>
      </c>
      <c r="AB1936" s="41" t="str">
        <f t="shared" si="307"/>
        <v>#N/A</v>
      </c>
      <c r="AC1936" s="42" t="b">
        <v>0</v>
      </c>
      <c r="AD1936" s="66" t="str">
        <f t="shared" si="308"/>
        <v>USD</v>
      </c>
      <c r="AE1936" s="42"/>
      <c r="AF1936" s="42" t="str">
        <f t="array" ref="AF1936">INDEX('Deal Info'!D:D, MATCH(A1936,'Deal Info'!A:A, 0))</f>
        <v>#N/A</v>
      </c>
      <c r="AG1936" s="43" t="str">
        <f t="array" ref="AG1936">INDEX('Deal Info'!G:G, MATCH(A1936,'Deal Info'!A:A, 0))</f>
        <v>#N/A</v>
      </c>
    </row>
    <row r="1937" hidden="1">
      <c r="A1937" s="23" t="b">
        <f t="array" ref="A1937">if(G1937='Room Info'!$B$1, INDEX('Room Info'!$A$2:$A3446, MATCH(B1937,'Room Info'!$B$2:$B3446, 0)),if(G1937='Room Info'!$C$1, INDEX('Room Info'!$A$2:$A3446, MATCH(B1937,'Room Info'!$C$2:$C3446, 0)),if(G1937='Room Info'!$D$1, INDEX('Room Info'!$A$2:$A3446, MATCH(B1937,'Room Info'!$D$2:$D3446, 0)),if(G1937='Room Info'!$E$1, INDEX('Room Info'!$A$2:$A3446, MATCH(B1937,'Room Info'!$E$2:$E3446, 0)),if(G1937='Room Info'!$F$1, INDEX('Room Info'!$A$2:$A3446, MATCH(B1937,'Room Info'!$F$2:$F3446, 0)),if(G1937='Room Info'!$H$1, INDEX('Room Info'!$A$2:$A3446, MATCH(B1937,'Room Info'!$H$2:$H3446, 0)),if(G1937='Room Info'!$G$1, INDEX('Room Info'!$A$2:$A3446, MATCH(B1937,'Room Info'!$G$2:$G3446, 0)))))))))</f>
        <v>0</v>
      </c>
      <c r="B1937" s="101"/>
      <c r="C1937" s="141"/>
      <c r="D1937" s="141"/>
      <c r="E1937" s="142"/>
      <c r="F1937" s="138"/>
      <c r="G1937" s="101"/>
      <c r="H1937" s="105"/>
      <c r="I1937" s="105"/>
      <c r="J1937" s="44" t="str">
        <f t="shared" si="311"/>
        <v/>
      </c>
      <c r="K1937" s="139"/>
      <c r="L1937" s="140"/>
      <c r="M1937" s="84"/>
      <c r="N1937" s="33">
        <f t="shared" si="276"/>
        <v>0</v>
      </c>
      <c r="O1937" s="101"/>
      <c r="P1937" s="34" t="str">
        <f t="shared" si="277"/>
        <v/>
      </c>
      <c r="Q1937" s="60"/>
      <c r="R1937" s="36">
        <f t="shared" si="312"/>
        <v>0</v>
      </c>
      <c r="S1937" s="102"/>
      <c r="T1937" s="37">
        <f t="shared" si="302"/>
        <v>0</v>
      </c>
      <c r="U1937" s="62"/>
      <c r="V1937" s="63"/>
      <c r="W1937" s="63"/>
      <c r="X1937" s="35" t="str">
        <f t="shared" si="303"/>
        <v>#N/A</v>
      </c>
      <c r="Y1937" s="35" t="str">
        <f t="shared" si="304"/>
        <v>#N/A</v>
      </c>
      <c r="Z1937" s="40" t="str">
        <f t="shared" si="305"/>
        <v>#N/A</v>
      </c>
      <c r="AA1937" s="34" t="str">
        <f t="shared" si="306"/>
        <v>#N/A</v>
      </c>
      <c r="AB1937" s="41" t="str">
        <f t="shared" si="307"/>
        <v>#N/A</v>
      </c>
      <c r="AC1937" s="42" t="b">
        <v>0</v>
      </c>
      <c r="AD1937" s="66" t="str">
        <f t="shared" si="308"/>
        <v>USD</v>
      </c>
      <c r="AE1937" s="42"/>
      <c r="AF1937" s="42" t="str">
        <f t="array" ref="AF1937">INDEX('Deal Info'!D:D, MATCH(A1937,'Deal Info'!A:A, 0))</f>
        <v>#N/A</v>
      </c>
      <c r="AG1937" s="43" t="str">
        <f t="array" ref="AG1937">INDEX('Deal Info'!G:G, MATCH(A1937,'Deal Info'!A:A, 0))</f>
        <v>#N/A</v>
      </c>
    </row>
    <row r="1938" hidden="1">
      <c r="A1938" s="23" t="b">
        <f t="array" ref="A1938">if(G1938='Room Info'!$B$1, INDEX('Room Info'!$A$2:$A3446, MATCH(B1938,'Room Info'!$B$2:$B3446, 0)),if(G1938='Room Info'!$C$1, INDEX('Room Info'!$A$2:$A3446, MATCH(B1938,'Room Info'!$C$2:$C3446, 0)),if(G1938='Room Info'!$D$1, INDEX('Room Info'!$A$2:$A3446, MATCH(B1938,'Room Info'!$D$2:$D3446, 0)),if(G1938='Room Info'!$E$1, INDEX('Room Info'!$A$2:$A3446, MATCH(B1938,'Room Info'!$E$2:$E3446, 0)),if(G1938='Room Info'!$F$1, INDEX('Room Info'!$A$2:$A3446, MATCH(B1938,'Room Info'!$F$2:$F3446, 0)),if(G1938='Room Info'!$H$1, INDEX('Room Info'!$A$2:$A3446, MATCH(B1938,'Room Info'!$H$2:$H3446, 0)),if(G1938='Room Info'!$G$1, INDEX('Room Info'!$A$2:$A3446, MATCH(B1938,'Room Info'!$G$2:$G3446, 0)))))))))</f>
        <v>0</v>
      </c>
      <c r="B1938" s="101"/>
      <c r="C1938" s="141"/>
      <c r="D1938" s="141"/>
      <c r="E1938" s="142"/>
      <c r="F1938" s="138"/>
      <c r="G1938" s="101"/>
      <c r="H1938" s="105"/>
      <c r="I1938" s="105"/>
      <c r="J1938" s="44" t="str">
        <f t="shared" si="311"/>
        <v/>
      </c>
      <c r="K1938" s="139"/>
      <c r="L1938" s="140"/>
      <c r="M1938" s="84"/>
      <c r="N1938" s="33">
        <f t="shared" si="276"/>
        <v>0</v>
      </c>
      <c r="O1938" s="101"/>
      <c r="P1938" s="34" t="str">
        <f t="shared" si="277"/>
        <v/>
      </c>
      <c r="Q1938" s="60"/>
      <c r="R1938" s="36">
        <f t="shared" si="312"/>
        <v>0</v>
      </c>
      <c r="S1938" s="102"/>
      <c r="T1938" s="37">
        <f t="shared" si="302"/>
        <v>0</v>
      </c>
      <c r="U1938" s="62"/>
      <c r="V1938" s="63"/>
      <c r="W1938" s="63"/>
      <c r="X1938" s="35" t="str">
        <f t="shared" si="303"/>
        <v>#N/A</v>
      </c>
      <c r="Y1938" s="35" t="str">
        <f t="shared" si="304"/>
        <v>#N/A</v>
      </c>
      <c r="Z1938" s="40" t="str">
        <f t="shared" si="305"/>
        <v>#N/A</v>
      </c>
      <c r="AA1938" s="34" t="str">
        <f t="shared" si="306"/>
        <v>#N/A</v>
      </c>
      <c r="AB1938" s="41" t="str">
        <f t="shared" si="307"/>
        <v>#N/A</v>
      </c>
      <c r="AC1938" s="42" t="b">
        <v>0</v>
      </c>
      <c r="AD1938" s="66" t="str">
        <f t="shared" si="308"/>
        <v>USD</v>
      </c>
      <c r="AE1938" s="42"/>
      <c r="AF1938" s="42" t="str">
        <f t="array" ref="AF1938">INDEX('Deal Info'!D:D, MATCH(A1938,'Deal Info'!A:A, 0))</f>
        <v>#N/A</v>
      </c>
      <c r="AG1938" s="43" t="str">
        <f t="array" ref="AG1938">INDEX('Deal Info'!G:G, MATCH(A1938,'Deal Info'!A:A, 0))</f>
        <v>#N/A</v>
      </c>
    </row>
    <row r="1939" hidden="1">
      <c r="A1939" s="23" t="b">
        <f t="array" ref="A1939">if(G1939='Room Info'!$B$1, INDEX('Room Info'!$A$2:$A3446, MATCH(B1939,'Room Info'!$B$2:$B3446, 0)),if(G1939='Room Info'!$C$1, INDEX('Room Info'!$A$2:$A3446, MATCH(B1939,'Room Info'!$C$2:$C3446, 0)),if(G1939='Room Info'!$D$1, INDEX('Room Info'!$A$2:$A3446, MATCH(B1939,'Room Info'!$D$2:$D3446, 0)),if(G1939='Room Info'!$E$1, INDEX('Room Info'!$A$2:$A3446, MATCH(B1939,'Room Info'!$E$2:$E3446, 0)),if(G1939='Room Info'!$F$1, INDEX('Room Info'!$A$2:$A3446, MATCH(B1939,'Room Info'!$F$2:$F3446, 0)),if(G1939='Room Info'!$H$1, INDEX('Room Info'!$A$2:$A3446, MATCH(B1939,'Room Info'!$H$2:$H3446, 0)),if(G1939='Room Info'!$G$1, INDEX('Room Info'!$A$2:$A3446, MATCH(B1939,'Room Info'!$G$2:$G3446, 0)))))))))</f>
        <v>0</v>
      </c>
      <c r="B1939" s="101"/>
      <c r="C1939" s="141"/>
      <c r="D1939" s="141"/>
      <c r="E1939" s="142"/>
      <c r="F1939" s="138"/>
      <c r="G1939" s="101"/>
      <c r="H1939" s="105"/>
      <c r="I1939" s="105"/>
      <c r="J1939" s="44" t="str">
        <f t="shared" si="311"/>
        <v/>
      </c>
      <c r="K1939" s="139"/>
      <c r="L1939" s="140"/>
      <c r="M1939" s="84"/>
      <c r="N1939" s="33">
        <f t="shared" si="276"/>
        <v>0</v>
      </c>
      <c r="O1939" s="101"/>
      <c r="P1939" s="34" t="str">
        <f t="shared" si="277"/>
        <v/>
      </c>
      <c r="Q1939" s="60"/>
      <c r="R1939" s="36">
        <f t="shared" si="312"/>
        <v>0</v>
      </c>
      <c r="S1939" s="102"/>
      <c r="T1939" s="37">
        <f t="shared" si="302"/>
        <v>0</v>
      </c>
      <c r="U1939" s="62"/>
      <c r="V1939" s="63"/>
      <c r="W1939" s="63"/>
      <c r="X1939" s="35" t="str">
        <f t="shared" si="303"/>
        <v>#N/A</v>
      </c>
      <c r="Y1939" s="35" t="str">
        <f t="shared" si="304"/>
        <v>#N/A</v>
      </c>
      <c r="Z1939" s="40" t="str">
        <f t="shared" si="305"/>
        <v>#N/A</v>
      </c>
      <c r="AA1939" s="34" t="str">
        <f t="shared" si="306"/>
        <v>#N/A</v>
      </c>
      <c r="AB1939" s="41" t="str">
        <f t="shared" si="307"/>
        <v>#N/A</v>
      </c>
      <c r="AC1939" s="42" t="b">
        <v>0</v>
      </c>
      <c r="AD1939" s="66" t="str">
        <f t="shared" si="308"/>
        <v>USD</v>
      </c>
      <c r="AE1939" s="42"/>
      <c r="AF1939" s="42" t="str">
        <f t="array" ref="AF1939">INDEX('Deal Info'!D:D, MATCH(A1939,'Deal Info'!A:A, 0))</f>
        <v>#N/A</v>
      </c>
      <c r="AG1939" s="43" t="str">
        <f t="array" ref="AG1939">INDEX('Deal Info'!G:G, MATCH(A1939,'Deal Info'!A:A, 0))</f>
        <v>#N/A</v>
      </c>
    </row>
    <row r="1940" hidden="1">
      <c r="A1940" s="23" t="b">
        <f t="array" ref="A1940">if(G1940='Room Info'!$B$1, INDEX('Room Info'!$A$2:$A3446, MATCH(B1940,'Room Info'!$B$2:$B3446, 0)),if(G1940='Room Info'!$C$1, INDEX('Room Info'!$A$2:$A3446, MATCH(B1940,'Room Info'!$C$2:$C3446, 0)),if(G1940='Room Info'!$D$1, INDEX('Room Info'!$A$2:$A3446, MATCH(B1940,'Room Info'!$D$2:$D3446, 0)),if(G1940='Room Info'!$E$1, INDEX('Room Info'!$A$2:$A3446, MATCH(B1940,'Room Info'!$E$2:$E3446, 0)),if(G1940='Room Info'!$F$1, INDEX('Room Info'!$A$2:$A3446, MATCH(B1940,'Room Info'!$F$2:$F3446, 0)),if(G1940='Room Info'!$H$1, INDEX('Room Info'!$A$2:$A3446, MATCH(B1940,'Room Info'!$H$2:$H3446, 0)),if(G1940='Room Info'!$G$1, INDEX('Room Info'!$A$2:$A3446, MATCH(B1940,'Room Info'!$G$2:$G3446, 0)))))))))</f>
        <v>0</v>
      </c>
      <c r="B1940" s="101"/>
      <c r="C1940" s="141"/>
      <c r="D1940" s="141"/>
      <c r="E1940" s="142"/>
      <c r="F1940" s="138"/>
      <c r="G1940" s="101"/>
      <c r="H1940" s="105"/>
      <c r="I1940" s="105"/>
      <c r="J1940" s="44" t="str">
        <f t="shared" si="311"/>
        <v/>
      </c>
      <c r="K1940" s="139"/>
      <c r="L1940" s="140"/>
      <c r="M1940" s="67"/>
      <c r="N1940" s="33">
        <f t="shared" si="276"/>
        <v>0</v>
      </c>
      <c r="O1940" s="101"/>
      <c r="P1940" s="34" t="str">
        <f t="shared" si="277"/>
        <v/>
      </c>
      <c r="Q1940" s="60"/>
      <c r="R1940" s="36">
        <f t="shared" si="312"/>
        <v>0</v>
      </c>
      <c r="S1940" s="102"/>
      <c r="T1940" s="37">
        <f t="shared" si="302"/>
        <v>0</v>
      </c>
      <c r="U1940" s="62"/>
      <c r="V1940" s="63"/>
      <c r="W1940" s="63"/>
      <c r="X1940" s="35" t="str">
        <f t="shared" si="303"/>
        <v>#N/A</v>
      </c>
      <c r="Y1940" s="35" t="str">
        <f t="shared" si="304"/>
        <v>#N/A</v>
      </c>
      <c r="Z1940" s="40" t="str">
        <f t="shared" si="305"/>
        <v>#N/A</v>
      </c>
      <c r="AA1940" s="34" t="str">
        <f t="shared" si="306"/>
        <v>#N/A</v>
      </c>
      <c r="AB1940" s="41" t="str">
        <f t="shared" si="307"/>
        <v>#N/A</v>
      </c>
      <c r="AC1940" s="42" t="b">
        <v>0</v>
      </c>
      <c r="AD1940" s="66" t="str">
        <f t="shared" si="308"/>
        <v>USD</v>
      </c>
      <c r="AE1940" s="42"/>
      <c r="AF1940" s="42" t="str">
        <f t="array" ref="AF1940">INDEX('Deal Info'!D:D, MATCH(A1940,'Deal Info'!A:A, 0))</f>
        <v>#N/A</v>
      </c>
      <c r="AG1940" s="43" t="str">
        <f t="array" ref="AG1940">INDEX('Deal Info'!G:G, MATCH(A1940,'Deal Info'!A:A, 0))</f>
        <v>#N/A</v>
      </c>
    </row>
    <row r="1941" hidden="1">
      <c r="A1941" s="23" t="b">
        <f t="array" ref="A1941">if(G1941='Room Info'!$B$1, INDEX('Room Info'!$A$2:$A3446, MATCH(B1941,'Room Info'!$B$2:$B3446, 0)),if(G1941='Room Info'!$C$1, INDEX('Room Info'!$A$2:$A3446, MATCH(B1941,'Room Info'!$C$2:$C3446, 0)),if(G1941='Room Info'!$D$1, INDEX('Room Info'!$A$2:$A3446, MATCH(B1941,'Room Info'!$D$2:$D3446, 0)),if(G1941='Room Info'!$E$1, INDEX('Room Info'!$A$2:$A3446, MATCH(B1941,'Room Info'!$E$2:$E3446, 0)),if(G1941='Room Info'!$F$1, INDEX('Room Info'!$A$2:$A3446, MATCH(B1941,'Room Info'!$F$2:$F3446, 0)),if(G1941='Room Info'!$H$1, INDEX('Room Info'!$A$2:$A3446, MATCH(B1941,'Room Info'!$H$2:$H3446, 0)),if(G1941='Room Info'!$G$1, INDEX('Room Info'!$A$2:$A3446, MATCH(B1941,'Room Info'!$G$2:$G3446, 0)))))))))</f>
        <v>0</v>
      </c>
      <c r="B1941" s="101"/>
      <c r="C1941" s="141"/>
      <c r="D1941" s="141"/>
      <c r="E1941" s="142"/>
      <c r="F1941" s="138"/>
      <c r="G1941" s="101"/>
      <c r="H1941" s="105"/>
      <c r="I1941" s="105"/>
      <c r="J1941" s="44" t="str">
        <f t="shared" si="311"/>
        <v/>
      </c>
      <c r="K1941" s="139"/>
      <c r="L1941" s="140"/>
      <c r="M1941" s="67"/>
      <c r="N1941" s="33">
        <f t="shared" si="276"/>
        <v>0</v>
      </c>
      <c r="O1941" s="101"/>
      <c r="P1941" s="34" t="str">
        <f t="shared" si="277"/>
        <v/>
      </c>
      <c r="Q1941" s="60"/>
      <c r="R1941" s="36">
        <f t="shared" si="312"/>
        <v>0</v>
      </c>
      <c r="S1941" s="102"/>
      <c r="T1941" s="37">
        <f t="shared" si="302"/>
        <v>0</v>
      </c>
      <c r="U1941" s="62"/>
      <c r="V1941" s="63"/>
      <c r="W1941" s="63"/>
      <c r="X1941" s="35" t="str">
        <f t="shared" si="303"/>
        <v>#N/A</v>
      </c>
      <c r="Y1941" s="35" t="str">
        <f t="shared" si="304"/>
        <v>#N/A</v>
      </c>
      <c r="Z1941" s="40" t="str">
        <f t="shared" si="305"/>
        <v>#N/A</v>
      </c>
      <c r="AA1941" s="34" t="str">
        <f t="shared" si="306"/>
        <v>#N/A</v>
      </c>
      <c r="AB1941" s="41" t="str">
        <f t="shared" si="307"/>
        <v>#N/A</v>
      </c>
      <c r="AC1941" s="42" t="b">
        <v>0</v>
      </c>
      <c r="AD1941" s="66" t="str">
        <f t="shared" si="308"/>
        <v>USD</v>
      </c>
      <c r="AE1941" s="42"/>
      <c r="AF1941" s="42" t="str">
        <f t="array" ref="AF1941">INDEX('Deal Info'!D:D, MATCH(A1941,'Deal Info'!A:A, 0))</f>
        <v>#N/A</v>
      </c>
      <c r="AG1941" s="43" t="str">
        <f t="array" ref="AG1941">INDEX('Deal Info'!G:G, MATCH(A1941,'Deal Info'!A:A, 0))</f>
        <v>#N/A</v>
      </c>
    </row>
    <row r="1942" hidden="1">
      <c r="A1942" s="23" t="b">
        <f t="array" ref="A1942">if(G1942='Room Info'!$B$1, INDEX('Room Info'!$A$2:$A3446, MATCH(B1942,'Room Info'!$B$2:$B3446, 0)),if(G1942='Room Info'!$C$1, INDEX('Room Info'!$A$2:$A3446, MATCH(B1942,'Room Info'!$C$2:$C3446, 0)),if(G1942='Room Info'!$D$1, INDEX('Room Info'!$A$2:$A3446, MATCH(B1942,'Room Info'!$D$2:$D3446, 0)),if(G1942='Room Info'!$E$1, INDEX('Room Info'!$A$2:$A3446, MATCH(B1942,'Room Info'!$E$2:$E3446, 0)),if(G1942='Room Info'!$F$1, INDEX('Room Info'!$A$2:$A3446, MATCH(B1942,'Room Info'!$F$2:$F3446, 0)),if(G1942='Room Info'!$H$1, INDEX('Room Info'!$A$2:$A3446, MATCH(B1942,'Room Info'!$H$2:$H3446, 0)),if(G1942='Room Info'!$G$1, INDEX('Room Info'!$A$2:$A3446, MATCH(B1942,'Room Info'!$G$2:$G3446, 0)))))))))</f>
        <v>0</v>
      </c>
      <c r="B1942" s="101"/>
      <c r="C1942" s="141"/>
      <c r="D1942" s="141"/>
      <c r="E1942" s="142"/>
      <c r="F1942" s="138"/>
      <c r="G1942" s="101"/>
      <c r="H1942" s="105"/>
      <c r="I1942" s="105"/>
      <c r="J1942" s="44" t="str">
        <f t="shared" si="311"/>
        <v/>
      </c>
      <c r="K1942" s="139"/>
      <c r="L1942" s="140"/>
      <c r="M1942" s="67"/>
      <c r="N1942" s="33">
        <f t="shared" si="276"/>
        <v>0</v>
      </c>
      <c r="O1942" s="101"/>
      <c r="P1942" s="34" t="str">
        <f t="shared" si="277"/>
        <v/>
      </c>
      <c r="Q1942" s="60"/>
      <c r="R1942" s="36">
        <f t="shared" si="312"/>
        <v>0</v>
      </c>
      <c r="S1942" s="102"/>
      <c r="T1942" s="37">
        <f t="shared" si="302"/>
        <v>0</v>
      </c>
      <c r="U1942" s="62"/>
      <c r="V1942" s="63"/>
      <c r="W1942" s="63"/>
      <c r="X1942" s="35" t="str">
        <f t="shared" si="303"/>
        <v>#N/A</v>
      </c>
      <c r="Y1942" s="35" t="str">
        <f t="shared" si="304"/>
        <v>#N/A</v>
      </c>
      <c r="Z1942" s="40" t="str">
        <f t="shared" si="305"/>
        <v>#N/A</v>
      </c>
      <c r="AA1942" s="34" t="str">
        <f t="shared" si="306"/>
        <v>#N/A</v>
      </c>
      <c r="AB1942" s="41" t="str">
        <f t="shared" si="307"/>
        <v>#N/A</v>
      </c>
      <c r="AC1942" s="42" t="b">
        <v>0</v>
      </c>
      <c r="AD1942" s="66" t="str">
        <f t="shared" si="308"/>
        <v>USD</v>
      </c>
      <c r="AE1942" s="42"/>
      <c r="AF1942" s="42" t="str">
        <f t="array" ref="AF1942">INDEX('Deal Info'!D:D, MATCH(A1942,'Deal Info'!A:A, 0))</f>
        <v>#N/A</v>
      </c>
      <c r="AG1942" s="43" t="str">
        <f t="array" ref="AG1942">INDEX('Deal Info'!G:G, MATCH(A1942,'Deal Info'!A:A, 0))</f>
        <v>#N/A</v>
      </c>
    </row>
    <row r="1943" hidden="1">
      <c r="A1943" s="23" t="b">
        <f t="array" ref="A1943">if(G1943='Room Info'!$B$1, INDEX('Room Info'!$A$2:$A3446, MATCH(B1943,'Room Info'!$B$2:$B3446, 0)),if(G1943='Room Info'!$C$1, INDEX('Room Info'!$A$2:$A3446, MATCH(B1943,'Room Info'!$C$2:$C3446, 0)),if(G1943='Room Info'!$D$1, INDEX('Room Info'!$A$2:$A3446, MATCH(B1943,'Room Info'!$D$2:$D3446, 0)),if(G1943='Room Info'!$E$1, INDEX('Room Info'!$A$2:$A3446, MATCH(B1943,'Room Info'!$E$2:$E3446, 0)),if(G1943='Room Info'!$F$1, INDEX('Room Info'!$A$2:$A3446, MATCH(B1943,'Room Info'!$F$2:$F3446, 0)),if(G1943='Room Info'!$H$1, INDEX('Room Info'!$A$2:$A3446, MATCH(B1943,'Room Info'!$H$2:$H3446, 0)),if(G1943='Room Info'!$G$1, INDEX('Room Info'!$A$2:$A3446, MATCH(B1943,'Room Info'!$G$2:$G3446, 0)))))))))</f>
        <v>0</v>
      </c>
      <c r="B1943" s="101"/>
      <c r="C1943" s="141"/>
      <c r="D1943" s="141"/>
      <c r="E1943" s="142"/>
      <c r="F1943" s="138"/>
      <c r="G1943" s="101"/>
      <c r="H1943" s="105"/>
      <c r="I1943" s="105"/>
      <c r="J1943" s="44" t="str">
        <f t="shared" si="311"/>
        <v/>
      </c>
      <c r="K1943" s="139"/>
      <c r="L1943" s="140"/>
      <c r="M1943" s="67"/>
      <c r="N1943" s="33">
        <f t="shared" si="276"/>
        <v>0</v>
      </c>
      <c r="O1943" s="101"/>
      <c r="P1943" s="34" t="str">
        <f t="shared" si="277"/>
        <v/>
      </c>
      <c r="Q1943" s="60"/>
      <c r="R1943" s="36">
        <f t="shared" si="312"/>
        <v>0</v>
      </c>
      <c r="S1943" s="102"/>
      <c r="T1943" s="37">
        <f t="shared" si="302"/>
        <v>0</v>
      </c>
      <c r="U1943" s="62"/>
      <c r="V1943" s="63"/>
      <c r="W1943" s="63"/>
      <c r="X1943" s="35" t="str">
        <f t="shared" si="303"/>
        <v>#N/A</v>
      </c>
      <c r="Y1943" s="35" t="str">
        <f t="shared" si="304"/>
        <v>#N/A</v>
      </c>
      <c r="Z1943" s="40" t="str">
        <f t="shared" si="305"/>
        <v>#N/A</v>
      </c>
      <c r="AA1943" s="34" t="str">
        <f t="shared" si="306"/>
        <v>#N/A</v>
      </c>
      <c r="AB1943" s="41" t="str">
        <f t="shared" si="307"/>
        <v>#N/A</v>
      </c>
      <c r="AC1943" s="42" t="b">
        <v>0</v>
      </c>
      <c r="AD1943" s="66" t="str">
        <f t="shared" si="308"/>
        <v>USD</v>
      </c>
      <c r="AE1943" s="42"/>
      <c r="AF1943" s="42" t="str">
        <f t="array" ref="AF1943">INDEX('Deal Info'!D:D, MATCH(A1943,'Deal Info'!A:A, 0))</f>
        <v>#N/A</v>
      </c>
      <c r="AG1943" s="43" t="str">
        <f t="array" ref="AG1943">INDEX('Deal Info'!G:G, MATCH(A1943,'Deal Info'!A:A, 0))</f>
        <v>#N/A</v>
      </c>
    </row>
    <row r="1944" hidden="1">
      <c r="A1944" s="23" t="b">
        <f t="array" ref="A1944">if(G1944='Room Info'!$B$1, INDEX('Room Info'!$A$2:$A3446, MATCH(B1944,'Room Info'!$B$2:$B3446, 0)),if(G1944='Room Info'!$C$1, INDEX('Room Info'!$A$2:$A3446, MATCH(B1944,'Room Info'!$C$2:$C3446, 0)),if(G1944='Room Info'!$D$1, INDEX('Room Info'!$A$2:$A3446, MATCH(B1944,'Room Info'!$D$2:$D3446, 0)),if(G1944='Room Info'!$E$1, INDEX('Room Info'!$A$2:$A3446, MATCH(B1944,'Room Info'!$E$2:$E3446, 0)),if(G1944='Room Info'!$F$1, INDEX('Room Info'!$A$2:$A3446, MATCH(B1944,'Room Info'!$F$2:$F3446, 0)),if(G1944='Room Info'!$H$1, INDEX('Room Info'!$A$2:$A3446, MATCH(B1944,'Room Info'!$H$2:$H3446, 0)),if(G1944='Room Info'!$G$1, INDEX('Room Info'!$A$2:$A3446, MATCH(B1944,'Room Info'!$G$2:$G3446, 0)))))))))</f>
        <v>0</v>
      </c>
      <c r="B1944" s="101"/>
      <c r="C1944" s="141"/>
      <c r="D1944" s="141"/>
      <c r="E1944" s="142"/>
      <c r="F1944" s="138"/>
      <c r="G1944" s="101"/>
      <c r="H1944" s="105"/>
      <c r="I1944" s="105"/>
      <c r="J1944" s="44" t="str">
        <f t="shared" si="311"/>
        <v/>
      </c>
      <c r="K1944" s="139"/>
      <c r="L1944" s="140"/>
      <c r="M1944" s="67"/>
      <c r="N1944" s="33">
        <f t="shared" si="276"/>
        <v>0</v>
      </c>
      <c r="O1944" s="101"/>
      <c r="P1944" s="34" t="str">
        <f t="shared" si="277"/>
        <v/>
      </c>
      <c r="Q1944" s="60"/>
      <c r="R1944" s="36">
        <f t="shared" si="312"/>
        <v>0</v>
      </c>
      <c r="S1944" s="102"/>
      <c r="T1944" s="37">
        <f t="shared" si="302"/>
        <v>0</v>
      </c>
      <c r="U1944" s="62"/>
      <c r="V1944" s="63"/>
      <c r="W1944" s="63"/>
      <c r="X1944" s="35" t="str">
        <f t="shared" si="303"/>
        <v>#N/A</v>
      </c>
      <c r="Y1944" s="35" t="str">
        <f t="shared" si="304"/>
        <v>#N/A</v>
      </c>
      <c r="Z1944" s="40" t="str">
        <f t="shared" si="305"/>
        <v>#N/A</v>
      </c>
      <c r="AA1944" s="34" t="str">
        <f t="shared" si="306"/>
        <v>#N/A</v>
      </c>
      <c r="AB1944" s="41" t="str">
        <f t="shared" si="307"/>
        <v>#N/A</v>
      </c>
      <c r="AC1944" s="42" t="b">
        <v>0</v>
      </c>
      <c r="AD1944" s="66" t="str">
        <f t="shared" si="308"/>
        <v>USD</v>
      </c>
      <c r="AE1944" s="42"/>
      <c r="AF1944" s="42" t="str">
        <f t="array" ref="AF1944">INDEX('Deal Info'!D:D, MATCH(A1944,'Deal Info'!A:A, 0))</f>
        <v>#N/A</v>
      </c>
      <c r="AG1944" s="43" t="str">
        <f t="array" ref="AG1944">INDEX('Deal Info'!G:G, MATCH(A1944,'Deal Info'!A:A, 0))</f>
        <v>#N/A</v>
      </c>
    </row>
    <row r="1945" hidden="1">
      <c r="A1945" s="23" t="b">
        <f t="array" ref="A1945">if(G1945='Room Info'!$B$1, INDEX('Room Info'!$A$2:$A3446, MATCH(B1945,'Room Info'!$B$2:$B3446, 0)),if(G1945='Room Info'!$C$1, INDEX('Room Info'!$A$2:$A3446, MATCH(B1945,'Room Info'!$C$2:$C3446, 0)),if(G1945='Room Info'!$D$1, INDEX('Room Info'!$A$2:$A3446, MATCH(B1945,'Room Info'!$D$2:$D3446, 0)),if(G1945='Room Info'!$E$1, INDEX('Room Info'!$A$2:$A3446, MATCH(B1945,'Room Info'!$E$2:$E3446, 0)),if(G1945='Room Info'!$F$1, INDEX('Room Info'!$A$2:$A3446, MATCH(B1945,'Room Info'!$F$2:$F3446, 0)),if(G1945='Room Info'!$H$1, INDEX('Room Info'!$A$2:$A3446, MATCH(B1945,'Room Info'!$H$2:$H3446, 0)),if(G1945='Room Info'!$G$1, INDEX('Room Info'!$A$2:$A3446, MATCH(B1945,'Room Info'!$G$2:$G3446, 0)))))))))</f>
        <v>0</v>
      </c>
      <c r="B1945" s="70"/>
      <c r="C1945" s="115"/>
      <c r="D1945" s="115"/>
      <c r="E1945" s="85"/>
      <c r="F1945" s="138"/>
      <c r="G1945" s="70"/>
      <c r="H1945" s="114"/>
      <c r="I1945" s="114"/>
      <c r="J1945" s="44" t="str">
        <f t="shared" si="311"/>
        <v/>
      </c>
      <c r="K1945" s="116"/>
      <c r="L1945" s="117"/>
      <c r="M1945" s="67"/>
      <c r="N1945" s="33">
        <f t="shared" si="276"/>
        <v>0</v>
      </c>
      <c r="O1945" s="70"/>
      <c r="P1945" s="34" t="str">
        <f t="shared" si="277"/>
        <v/>
      </c>
      <c r="Q1945" s="60"/>
      <c r="R1945" s="36">
        <f t="shared" si="312"/>
        <v>0</v>
      </c>
      <c r="S1945" s="71"/>
      <c r="T1945" s="37">
        <f t="shared" si="302"/>
        <v>0</v>
      </c>
      <c r="U1945" s="62"/>
      <c r="V1945" s="63"/>
      <c r="W1945" s="63"/>
      <c r="X1945" s="35" t="str">
        <f t="shared" si="303"/>
        <v>#N/A</v>
      </c>
      <c r="Y1945" s="35" t="str">
        <f t="shared" si="304"/>
        <v>#N/A</v>
      </c>
      <c r="Z1945" s="40" t="str">
        <f t="shared" si="305"/>
        <v>#N/A</v>
      </c>
      <c r="AA1945" s="34" t="str">
        <f t="shared" si="306"/>
        <v>#N/A</v>
      </c>
      <c r="AB1945" s="41" t="str">
        <f t="shared" si="307"/>
        <v>#N/A</v>
      </c>
      <c r="AC1945" s="42" t="b">
        <v>0</v>
      </c>
      <c r="AD1945" s="66" t="str">
        <f t="shared" si="308"/>
        <v>USD</v>
      </c>
      <c r="AE1945" s="42"/>
      <c r="AF1945" s="42" t="str">
        <f t="array" ref="AF1945">INDEX('Deal Info'!D:D, MATCH(A1945,'Deal Info'!A:A, 0))</f>
        <v>#N/A</v>
      </c>
      <c r="AG1945" s="43" t="str">
        <f t="array" ref="AG1945">INDEX('Deal Info'!G:G, MATCH(A1945,'Deal Info'!A:A, 0))</f>
        <v>#N/A</v>
      </c>
    </row>
    <row r="1946" hidden="1">
      <c r="A1946" s="23" t="b">
        <f t="array" ref="A1946">if(G1946='Room Info'!$B$1, INDEX('Room Info'!$A$2:$A3446, MATCH(B1946,'Room Info'!$B$2:$B3446, 0)),if(G1946='Room Info'!$C$1, INDEX('Room Info'!$A$2:$A3446, MATCH(B1946,'Room Info'!$C$2:$C3446, 0)),if(G1946='Room Info'!$D$1, INDEX('Room Info'!$A$2:$A3446, MATCH(B1946,'Room Info'!$D$2:$D3446, 0)),if(G1946='Room Info'!$E$1, INDEX('Room Info'!$A$2:$A3446, MATCH(B1946,'Room Info'!$E$2:$E3446, 0)),if(G1946='Room Info'!$F$1, INDEX('Room Info'!$A$2:$A3446, MATCH(B1946,'Room Info'!$F$2:$F3446, 0)),if(G1946='Room Info'!$H$1, INDEX('Room Info'!$A$2:$A3446, MATCH(B1946,'Room Info'!$H$2:$H3446, 0)),if(G1946='Room Info'!$G$1, INDEX('Room Info'!$A$2:$A3446, MATCH(B1946,'Room Info'!$G$2:$G3446, 0)))))))))</f>
        <v>0</v>
      </c>
      <c r="B1946" s="70"/>
      <c r="C1946" s="115"/>
      <c r="D1946" s="115"/>
      <c r="E1946" s="85"/>
      <c r="F1946" s="138"/>
      <c r="G1946" s="70"/>
      <c r="H1946" s="114"/>
      <c r="I1946" s="114"/>
      <c r="J1946" s="44" t="str">
        <f t="shared" si="311"/>
        <v/>
      </c>
      <c r="K1946" s="116"/>
      <c r="L1946" s="117"/>
      <c r="M1946" s="67"/>
      <c r="N1946" s="33">
        <f t="shared" si="276"/>
        <v>0</v>
      </c>
      <c r="O1946" s="70"/>
      <c r="P1946" s="34" t="str">
        <f t="shared" si="277"/>
        <v/>
      </c>
      <c r="Q1946" s="60"/>
      <c r="R1946" s="36">
        <f t="shared" si="312"/>
        <v>0</v>
      </c>
      <c r="S1946" s="71"/>
      <c r="T1946" s="37">
        <f t="shared" si="302"/>
        <v>0</v>
      </c>
      <c r="U1946" s="62"/>
      <c r="V1946" s="63"/>
      <c r="W1946" s="63"/>
      <c r="X1946" s="35" t="str">
        <f t="shared" si="303"/>
        <v>#N/A</v>
      </c>
      <c r="Y1946" s="35" t="str">
        <f t="shared" si="304"/>
        <v>#N/A</v>
      </c>
      <c r="Z1946" s="40" t="str">
        <f t="shared" si="305"/>
        <v>#N/A</v>
      </c>
      <c r="AA1946" s="34" t="str">
        <f t="shared" si="306"/>
        <v>#N/A</v>
      </c>
      <c r="AB1946" s="41" t="str">
        <f t="shared" si="307"/>
        <v>#N/A</v>
      </c>
      <c r="AC1946" s="42" t="b">
        <v>0</v>
      </c>
      <c r="AD1946" s="66" t="str">
        <f t="shared" si="308"/>
        <v>USD</v>
      </c>
      <c r="AE1946" s="42"/>
      <c r="AF1946" s="42" t="str">
        <f t="array" ref="AF1946">INDEX('Deal Info'!D:D, MATCH(A1946,'Deal Info'!A:A, 0))</f>
        <v>#N/A</v>
      </c>
      <c r="AG1946" s="43" t="str">
        <f t="array" ref="AG1946">INDEX('Deal Info'!G:G, MATCH(A1946,'Deal Info'!A:A, 0))</f>
        <v>#N/A</v>
      </c>
    </row>
    <row r="1947" hidden="1">
      <c r="A1947" s="23" t="b">
        <f t="array" ref="A1947">if(G1947='Room Info'!$B$1, INDEX('Room Info'!$A$2:$A3446, MATCH(B1947,'Room Info'!$B$2:$B3446, 0)),if(G1947='Room Info'!$C$1, INDEX('Room Info'!$A$2:$A3446, MATCH(B1947,'Room Info'!$C$2:$C3446, 0)),if(G1947='Room Info'!$D$1, INDEX('Room Info'!$A$2:$A3446, MATCH(B1947,'Room Info'!$D$2:$D3446, 0)),if(G1947='Room Info'!$E$1, INDEX('Room Info'!$A$2:$A3446, MATCH(B1947,'Room Info'!$E$2:$E3446, 0)),if(G1947='Room Info'!$F$1, INDEX('Room Info'!$A$2:$A3446, MATCH(B1947,'Room Info'!$F$2:$F3446, 0)),if(G1947='Room Info'!$H$1, INDEX('Room Info'!$A$2:$A3446, MATCH(B1947,'Room Info'!$H$2:$H3446, 0)),if(G1947='Room Info'!$G$1, INDEX('Room Info'!$A$2:$A3446, MATCH(B1947,'Room Info'!$G$2:$G3446, 0)))))))))</f>
        <v>0</v>
      </c>
      <c r="B1947" s="70"/>
      <c r="C1947" s="115"/>
      <c r="D1947" s="115"/>
      <c r="E1947" s="85"/>
      <c r="F1947" s="138"/>
      <c r="G1947" s="70"/>
      <c r="H1947" s="114"/>
      <c r="I1947" s="114"/>
      <c r="J1947" s="44" t="str">
        <f t="shared" si="311"/>
        <v/>
      </c>
      <c r="K1947" s="116"/>
      <c r="L1947" s="117"/>
      <c r="M1947" s="67"/>
      <c r="N1947" s="33">
        <f t="shared" si="276"/>
        <v>0</v>
      </c>
      <c r="O1947" s="70"/>
      <c r="P1947" s="34" t="str">
        <f t="shared" si="277"/>
        <v/>
      </c>
      <c r="Q1947" s="60"/>
      <c r="R1947" s="36">
        <f t="shared" si="312"/>
        <v>0</v>
      </c>
      <c r="S1947" s="71"/>
      <c r="T1947" s="37">
        <f t="shared" si="302"/>
        <v>0</v>
      </c>
      <c r="U1947" s="62"/>
      <c r="V1947" s="63"/>
      <c r="W1947" s="63"/>
      <c r="X1947" s="35" t="str">
        <f t="shared" si="303"/>
        <v>#N/A</v>
      </c>
      <c r="Y1947" s="35" t="str">
        <f t="shared" si="304"/>
        <v>#N/A</v>
      </c>
      <c r="Z1947" s="40" t="str">
        <f t="shared" si="305"/>
        <v>#N/A</v>
      </c>
      <c r="AA1947" s="34" t="str">
        <f t="shared" si="306"/>
        <v>#N/A</v>
      </c>
      <c r="AB1947" s="41" t="str">
        <f t="shared" si="307"/>
        <v>#N/A</v>
      </c>
      <c r="AC1947" s="42" t="b">
        <v>0</v>
      </c>
      <c r="AD1947" s="66" t="str">
        <f t="shared" si="308"/>
        <v>USD</v>
      </c>
      <c r="AE1947" s="42"/>
      <c r="AF1947" s="42" t="str">
        <f t="array" ref="AF1947">INDEX('Deal Info'!D:D, MATCH(A1947,'Deal Info'!A:A, 0))</f>
        <v>#N/A</v>
      </c>
      <c r="AG1947" s="43" t="str">
        <f t="array" ref="AG1947">INDEX('Deal Info'!G:G, MATCH(A1947,'Deal Info'!A:A, 0))</f>
        <v>#N/A</v>
      </c>
    </row>
    <row r="1948" hidden="1">
      <c r="A1948" s="23" t="b">
        <f t="array" ref="A1948">if(G1948='Room Info'!$B$1, INDEX('Room Info'!$A$2:$A3446, MATCH(B1948,'Room Info'!$B$2:$B3446, 0)),if(G1948='Room Info'!$C$1, INDEX('Room Info'!$A$2:$A3446, MATCH(B1948,'Room Info'!$C$2:$C3446, 0)),if(G1948='Room Info'!$D$1, INDEX('Room Info'!$A$2:$A3446, MATCH(B1948,'Room Info'!$D$2:$D3446, 0)),if(G1948='Room Info'!$E$1, INDEX('Room Info'!$A$2:$A3446, MATCH(B1948,'Room Info'!$E$2:$E3446, 0)),if(G1948='Room Info'!$F$1, INDEX('Room Info'!$A$2:$A3446, MATCH(B1948,'Room Info'!$F$2:$F3446, 0)),if(G1948='Room Info'!$H$1, INDEX('Room Info'!$A$2:$A3446, MATCH(B1948,'Room Info'!$H$2:$H3446, 0)),if(G1948='Room Info'!$G$1, INDEX('Room Info'!$A$2:$A3446, MATCH(B1948,'Room Info'!$G$2:$G3446, 0)))))))))</f>
        <v>0</v>
      </c>
      <c r="B1948" s="70"/>
      <c r="C1948" s="115"/>
      <c r="D1948" s="115"/>
      <c r="E1948" s="85"/>
      <c r="F1948" s="138"/>
      <c r="G1948" s="70"/>
      <c r="H1948" s="114"/>
      <c r="I1948" s="114"/>
      <c r="J1948" s="44" t="str">
        <f t="shared" si="311"/>
        <v/>
      </c>
      <c r="K1948" s="116"/>
      <c r="L1948" s="117"/>
      <c r="M1948" s="67"/>
      <c r="N1948" s="33">
        <f t="shared" si="276"/>
        <v>0</v>
      </c>
      <c r="O1948" s="70"/>
      <c r="P1948" s="34" t="str">
        <f t="shared" si="277"/>
        <v/>
      </c>
      <c r="Q1948" s="60"/>
      <c r="R1948" s="36">
        <f t="shared" si="312"/>
        <v>0</v>
      </c>
      <c r="S1948" s="71"/>
      <c r="T1948" s="37">
        <f t="shared" si="302"/>
        <v>0</v>
      </c>
      <c r="U1948" s="62"/>
      <c r="V1948" s="63"/>
      <c r="W1948" s="63"/>
      <c r="X1948" s="35" t="str">
        <f t="shared" si="303"/>
        <v>#N/A</v>
      </c>
      <c r="Y1948" s="35" t="str">
        <f t="shared" si="304"/>
        <v>#N/A</v>
      </c>
      <c r="Z1948" s="40" t="str">
        <f t="shared" si="305"/>
        <v>#N/A</v>
      </c>
      <c r="AA1948" s="34" t="str">
        <f t="shared" si="306"/>
        <v>#N/A</v>
      </c>
      <c r="AB1948" s="41" t="str">
        <f t="shared" si="307"/>
        <v>#N/A</v>
      </c>
      <c r="AC1948" s="42" t="b">
        <v>0</v>
      </c>
      <c r="AD1948" s="66" t="str">
        <f t="shared" si="308"/>
        <v>USD</v>
      </c>
      <c r="AE1948" s="42"/>
      <c r="AF1948" s="42" t="str">
        <f t="array" ref="AF1948">INDEX('Deal Info'!D:D, MATCH(A1948,'Deal Info'!A:A, 0))</f>
        <v>#N/A</v>
      </c>
      <c r="AG1948" s="43" t="str">
        <f t="array" ref="AG1948">INDEX('Deal Info'!G:G, MATCH(A1948,'Deal Info'!A:A, 0))</f>
        <v>#N/A</v>
      </c>
    </row>
    <row r="1949" hidden="1">
      <c r="A1949" s="23" t="b">
        <f t="array" ref="A1949">if(G1949='Room Info'!$B$1, INDEX('Room Info'!$A$2:$A3446, MATCH(B1949,'Room Info'!$B$2:$B3446, 0)),if(G1949='Room Info'!$C$1, INDEX('Room Info'!$A$2:$A3446, MATCH(B1949,'Room Info'!$C$2:$C3446, 0)),if(G1949='Room Info'!$D$1, INDEX('Room Info'!$A$2:$A3446, MATCH(B1949,'Room Info'!$D$2:$D3446, 0)),if(G1949='Room Info'!$E$1, INDEX('Room Info'!$A$2:$A3446, MATCH(B1949,'Room Info'!$E$2:$E3446, 0)),if(G1949='Room Info'!$F$1, INDEX('Room Info'!$A$2:$A3446, MATCH(B1949,'Room Info'!$F$2:$F3446, 0)),if(G1949='Room Info'!$H$1, INDEX('Room Info'!$A$2:$A3446, MATCH(B1949,'Room Info'!$H$2:$H3446, 0)),if(G1949='Room Info'!$G$1, INDEX('Room Info'!$A$2:$A3446, MATCH(B1949,'Room Info'!$G$2:$G3446, 0)))))))))</f>
        <v>0</v>
      </c>
      <c r="B1949" s="70"/>
      <c r="C1949" s="115"/>
      <c r="D1949" s="115"/>
      <c r="E1949" s="85"/>
      <c r="F1949" s="138"/>
      <c r="G1949" s="70"/>
      <c r="H1949" s="114"/>
      <c r="I1949" s="114"/>
      <c r="J1949" s="44" t="str">
        <f t="shared" si="311"/>
        <v/>
      </c>
      <c r="K1949" s="116"/>
      <c r="L1949" s="117"/>
      <c r="M1949" s="67"/>
      <c r="N1949" s="33">
        <f t="shared" si="276"/>
        <v>0</v>
      </c>
      <c r="O1949" s="70"/>
      <c r="P1949" s="34" t="str">
        <f t="shared" si="277"/>
        <v/>
      </c>
      <c r="Q1949" s="60"/>
      <c r="R1949" s="36">
        <f t="shared" si="312"/>
        <v>0</v>
      </c>
      <c r="S1949" s="71"/>
      <c r="T1949" s="37">
        <f t="shared" si="302"/>
        <v>0</v>
      </c>
      <c r="U1949" s="62"/>
      <c r="V1949" s="63"/>
      <c r="W1949" s="63"/>
      <c r="X1949" s="35" t="str">
        <f t="shared" si="303"/>
        <v>#N/A</v>
      </c>
      <c r="Y1949" s="35" t="str">
        <f t="shared" si="304"/>
        <v>#N/A</v>
      </c>
      <c r="Z1949" s="40" t="str">
        <f t="shared" si="305"/>
        <v>#N/A</v>
      </c>
      <c r="AA1949" s="34" t="str">
        <f t="shared" si="306"/>
        <v>#N/A</v>
      </c>
      <c r="AB1949" s="41" t="str">
        <f t="shared" si="307"/>
        <v>#N/A</v>
      </c>
      <c r="AC1949" s="42" t="b">
        <v>0</v>
      </c>
      <c r="AD1949" s="66" t="str">
        <f t="shared" si="308"/>
        <v>USD</v>
      </c>
      <c r="AE1949" s="42"/>
      <c r="AF1949" s="42" t="str">
        <f t="array" ref="AF1949">INDEX('Deal Info'!D:D, MATCH(A1949,'Deal Info'!A:A, 0))</f>
        <v>#N/A</v>
      </c>
      <c r="AG1949" s="43" t="str">
        <f t="array" ref="AG1949">INDEX('Deal Info'!G:G, MATCH(A1949,'Deal Info'!A:A, 0))</f>
        <v>#N/A</v>
      </c>
    </row>
    <row r="1950" hidden="1">
      <c r="A1950" s="23" t="b">
        <f t="array" ref="A1950">if(G1950='Room Info'!$B$1, INDEX('Room Info'!$A$2:$A3446, MATCH(B1950,'Room Info'!$B$2:$B3446, 0)),if(G1950='Room Info'!$C$1, INDEX('Room Info'!$A$2:$A3446, MATCH(B1950,'Room Info'!$C$2:$C3446, 0)),if(G1950='Room Info'!$D$1, INDEX('Room Info'!$A$2:$A3446, MATCH(B1950,'Room Info'!$D$2:$D3446, 0)),if(G1950='Room Info'!$E$1, INDEX('Room Info'!$A$2:$A3446, MATCH(B1950,'Room Info'!$E$2:$E3446, 0)),if(G1950='Room Info'!$F$1, INDEX('Room Info'!$A$2:$A3446, MATCH(B1950,'Room Info'!$F$2:$F3446, 0)),if(G1950='Room Info'!$H$1, INDEX('Room Info'!$A$2:$A3446, MATCH(B1950,'Room Info'!$H$2:$H3446, 0)),if(G1950='Room Info'!$G$1, INDEX('Room Info'!$A$2:$A3446, MATCH(B1950,'Room Info'!$G$2:$G3446, 0)))))))))</f>
        <v>0</v>
      </c>
      <c r="B1950" s="70"/>
      <c r="C1950" s="115"/>
      <c r="D1950" s="115"/>
      <c r="E1950" s="85"/>
      <c r="F1950" s="138"/>
      <c r="G1950" s="70"/>
      <c r="H1950" s="114"/>
      <c r="I1950" s="114"/>
      <c r="J1950" s="44" t="str">
        <f t="shared" si="311"/>
        <v/>
      </c>
      <c r="K1950" s="116"/>
      <c r="L1950" s="117"/>
      <c r="M1950" s="67"/>
      <c r="N1950" s="33">
        <f t="shared" si="276"/>
        <v>0</v>
      </c>
      <c r="O1950" s="70"/>
      <c r="P1950" s="34" t="str">
        <f t="shared" si="277"/>
        <v/>
      </c>
      <c r="Q1950" s="60"/>
      <c r="R1950" s="36">
        <f t="shared" si="312"/>
        <v>0</v>
      </c>
      <c r="S1950" s="71"/>
      <c r="T1950" s="37">
        <f t="shared" si="302"/>
        <v>0</v>
      </c>
      <c r="U1950" s="62"/>
      <c r="V1950" s="63"/>
      <c r="W1950" s="63"/>
      <c r="X1950" s="35" t="str">
        <f t="shared" si="303"/>
        <v>#N/A</v>
      </c>
      <c r="Y1950" s="35" t="str">
        <f t="shared" si="304"/>
        <v>#N/A</v>
      </c>
      <c r="Z1950" s="40" t="str">
        <f t="shared" si="305"/>
        <v>#N/A</v>
      </c>
      <c r="AA1950" s="34" t="str">
        <f t="shared" si="306"/>
        <v>#N/A</v>
      </c>
      <c r="AB1950" s="41" t="str">
        <f t="shared" si="307"/>
        <v>#N/A</v>
      </c>
      <c r="AC1950" s="42" t="b">
        <v>0</v>
      </c>
      <c r="AD1950" s="66" t="str">
        <f t="shared" si="308"/>
        <v>USD</v>
      </c>
      <c r="AE1950" s="42"/>
      <c r="AF1950" s="42" t="str">
        <f t="array" ref="AF1950">INDEX('Deal Info'!D:D, MATCH(A1950,'Deal Info'!A:A, 0))</f>
        <v>#N/A</v>
      </c>
      <c r="AG1950" s="43" t="str">
        <f t="array" ref="AG1950">INDEX('Deal Info'!G:G, MATCH(A1950,'Deal Info'!A:A, 0))</f>
        <v>#N/A</v>
      </c>
    </row>
    <row r="1951" hidden="1">
      <c r="A1951" s="23" t="b">
        <f t="array" ref="A1951">if(G1951='Room Info'!$B$1, INDEX('Room Info'!$A$2:$A3446, MATCH(B1951,'Room Info'!$B$2:$B3446, 0)),if(G1951='Room Info'!$C$1, INDEX('Room Info'!$A$2:$A3446, MATCH(B1951,'Room Info'!$C$2:$C3446, 0)),if(G1951='Room Info'!$D$1, INDEX('Room Info'!$A$2:$A3446, MATCH(B1951,'Room Info'!$D$2:$D3446, 0)),if(G1951='Room Info'!$E$1, INDEX('Room Info'!$A$2:$A3446, MATCH(B1951,'Room Info'!$E$2:$E3446, 0)),if(G1951='Room Info'!$F$1, INDEX('Room Info'!$A$2:$A3446, MATCH(B1951,'Room Info'!$F$2:$F3446, 0)),if(G1951='Room Info'!$H$1, INDEX('Room Info'!$A$2:$A3446, MATCH(B1951,'Room Info'!$H$2:$H3446, 0)),if(G1951='Room Info'!$G$1, INDEX('Room Info'!$A$2:$A3446, MATCH(B1951,'Room Info'!$G$2:$G3446, 0)))))))))</f>
        <v>0</v>
      </c>
      <c r="B1951" s="70"/>
      <c r="C1951" s="115"/>
      <c r="D1951" s="115"/>
      <c r="E1951" s="85"/>
      <c r="F1951" s="138"/>
      <c r="G1951" s="70"/>
      <c r="H1951" s="114"/>
      <c r="I1951" s="114"/>
      <c r="J1951" s="44" t="str">
        <f t="shared" si="311"/>
        <v/>
      </c>
      <c r="K1951" s="116"/>
      <c r="L1951" s="117"/>
      <c r="M1951" s="67"/>
      <c r="N1951" s="33">
        <f t="shared" si="276"/>
        <v>0</v>
      </c>
      <c r="O1951" s="70"/>
      <c r="P1951" s="34" t="str">
        <f t="shared" si="277"/>
        <v/>
      </c>
      <c r="Q1951" s="60"/>
      <c r="R1951" s="36">
        <f t="shared" si="312"/>
        <v>0</v>
      </c>
      <c r="S1951" s="71"/>
      <c r="T1951" s="37">
        <f t="shared" si="302"/>
        <v>0</v>
      </c>
      <c r="U1951" s="62"/>
      <c r="V1951" s="63"/>
      <c r="W1951" s="63"/>
      <c r="X1951" s="35" t="str">
        <f t="shared" si="303"/>
        <v>#N/A</v>
      </c>
      <c r="Y1951" s="35" t="str">
        <f t="shared" si="304"/>
        <v>#N/A</v>
      </c>
      <c r="Z1951" s="40" t="str">
        <f t="shared" si="305"/>
        <v>#N/A</v>
      </c>
      <c r="AA1951" s="34" t="str">
        <f t="shared" si="306"/>
        <v>#N/A</v>
      </c>
      <c r="AB1951" s="41" t="str">
        <f t="shared" si="307"/>
        <v>#N/A</v>
      </c>
      <c r="AC1951" s="42" t="b">
        <v>0</v>
      </c>
      <c r="AD1951" s="66" t="str">
        <f t="shared" si="308"/>
        <v>USD</v>
      </c>
      <c r="AE1951" s="42"/>
      <c r="AF1951" s="42" t="str">
        <f t="array" ref="AF1951">INDEX('Deal Info'!D:D, MATCH(A1951,'Deal Info'!A:A, 0))</f>
        <v>#N/A</v>
      </c>
      <c r="AG1951" s="43" t="str">
        <f t="array" ref="AG1951">INDEX('Deal Info'!G:G, MATCH(A1951,'Deal Info'!A:A, 0))</f>
        <v>#N/A</v>
      </c>
    </row>
    <row r="1952" hidden="1">
      <c r="A1952" s="23" t="b">
        <f t="array" ref="A1952">if(G1952='Room Info'!$B$1, INDEX('Room Info'!$A$2:$A3446, MATCH(B1952,'Room Info'!$B$2:$B3446, 0)),if(G1952='Room Info'!$C$1, INDEX('Room Info'!$A$2:$A3446, MATCH(B1952,'Room Info'!$C$2:$C3446, 0)),if(G1952='Room Info'!$D$1, INDEX('Room Info'!$A$2:$A3446, MATCH(B1952,'Room Info'!$D$2:$D3446, 0)),if(G1952='Room Info'!$E$1, INDEX('Room Info'!$A$2:$A3446, MATCH(B1952,'Room Info'!$E$2:$E3446, 0)),if(G1952='Room Info'!$F$1, INDEX('Room Info'!$A$2:$A3446, MATCH(B1952,'Room Info'!$F$2:$F3446, 0)),if(G1952='Room Info'!$H$1, INDEX('Room Info'!$A$2:$A3446, MATCH(B1952,'Room Info'!$H$2:$H3446, 0)),if(G1952='Room Info'!$G$1, INDEX('Room Info'!$A$2:$A3446, MATCH(B1952,'Room Info'!$G$2:$G3446, 0)))))))))</f>
        <v>0</v>
      </c>
      <c r="B1952" s="70"/>
      <c r="C1952" s="115"/>
      <c r="D1952" s="115"/>
      <c r="E1952" s="85"/>
      <c r="F1952" s="138"/>
      <c r="G1952" s="70"/>
      <c r="H1952" s="114"/>
      <c r="I1952" s="114"/>
      <c r="J1952" s="44" t="str">
        <f t="shared" si="311"/>
        <v/>
      </c>
      <c r="K1952" s="116"/>
      <c r="L1952" s="117"/>
      <c r="M1952" s="67"/>
      <c r="N1952" s="33">
        <f t="shared" si="276"/>
        <v>0</v>
      </c>
      <c r="O1952" s="70"/>
      <c r="P1952" s="34" t="str">
        <f t="shared" si="277"/>
        <v/>
      </c>
      <c r="Q1952" s="60"/>
      <c r="R1952" s="36">
        <f t="shared" si="312"/>
        <v>0</v>
      </c>
      <c r="S1952" s="71"/>
      <c r="T1952" s="37">
        <f t="shared" si="302"/>
        <v>0</v>
      </c>
      <c r="U1952" s="62"/>
      <c r="V1952" s="63"/>
      <c r="W1952" s="63"/>
      <c r="X1952" s="35" t="str">
        <f t="shared" si="303"/>
        <v>#N/A</v>
      </c>
      <c r="Y1952" s="35" t="str">
        <f t="shared" si="304"/>
        <v>#N/A</v>
      </c>
      <c r="Z1952" s="40" t="str">
        <f t="shared" si="305"/>
        <v>#N/A</v>
      </c>
      <c r="AA1952" s="34" t="str">
        <f t="shared" si="306"/>
        <v>#N/A</v>
      </c>
      <c r="AB1952" s="41" t="str">
        <f t="shared" si="307"/>
        <v>#N/A</v>
      </c>
      <c r="AC1952" s="42" t="b">
        <v>0</v>
      </c>
      <c r="AD1952" s="66" t="str">
        <f t="shared" si="308"/>
        <v>USD</v>
      </c>
      <c r="AE1952" s="42"/>
      <c r="AF1952" s="42" t="str">
        <f t="array" ref="AF1952">INDEX('Deal Info'!D:D, MATCH(A1952,'Deal Info'!A:A, 0))</f>
        <v>#N/A</v>
      </c>
      <c r="AG1952" s="43" t="str">
        <f t="array" ref="AG1952">INDEX('Deal Info'!G:G, MATCH(A1952,'Deal Info'!A:A, 0))</f>
        <v>#N/A</v>
      </c>
    </row>
    <row r="1953" hidden="1">
      <c r="A1953" s="23" t="b">
        <f t="array" ref="A1953">if(G1953='Room Info'!$B$1, INDEX('Room Info'!$A$2:$A3446, MATCH(B1953,'Room Info'!$B$2:$B3446, 0)),if(G1953='Room Info'!$C$1, INDEX('Room Info'!$A$2:$A3446, MATCH(B1953,'Room Info'!$C$2:$C3446, 0)),if(G1953='Room Info'!$D$1, INDEX('Room Info'!$A$2:$A3446, MATCH(B1953,'Room Info'!$D$2:$D3446, 0)),if(G1953='Room Info'!$E$1, INDEX('Room Info'!$A$2:$A3446, MATCH(B1953,'Room Info'!$E$2:$E3446, 0)),if(G1953='Room Info'!$F$1, INDEX('Room Info'!$A$2:$A3446, MATCH(B1953,'Room Info'!$F$2:$F3446, 0)),if(G1953='Room Info'!$H$1, INDEX('Room Info'!$A$2:$A3446, MATCH(B1953,'Room Info'!$H$2:$H3446, 0)),if(G1953='Room Info'!$G$1, INDEX('Room Info'!$A$2:$A3446, MATCH(B1953,'Room Info'!$G$2:$G3446, 0)))))))))</f>
        <v>0</v>
      </c>
      <c r="B1953" s="101"/>
      <c r="C1953" s="141"/>
      <c r="D1953" s="141"/>
      <c r="E1953" s="142"/>
      <c r="F1953" s="138"/>
      <c r="G1953" s="101"/>
      <c r="H1953" s="105"/>
      <c r="I1953" s="105"/>
      <c r="J1953" s="44" t="str">
        <f t="shared" si="311"/>
        <v/>
      </c>
      <c r="K1953" s="139"/>
      <c r="L1953" s="140"/>
      <c r="M1953" s="84"/>
      <c r="N1953" s="33">
        <f t="shared" si="276"/>
        <v>0</v>
      </c>
      <c r="O1953" s="101"/>
      <c r="P1953" s="34" t="str">
        <f t="shared" si="277"/>
        <v/>
      </c>
      <c r="Q1953" s="60"/>
      <c r="R1953" s="36">
        <f t="shared" si="312"/>
        <v>0</v>
      </c>
      <c r="S1953" s="102"/>
      <c r="T1953" s="37">
        <f t="shared" si="302"/>
        <v>0</v>
      </c>
      <c r="U1953" s="62"/>
      <c r="V1953" s="63"/>
      <c r="W1953" s="63"/>
      <c r="X1953" s="35" t="str">
        <f t="shared" si="303"/>
        <v>#N/A</v>
      </c>
      <c r="Y1953" s="35" t="str">
        <f t="shared" si="304"/>
        <v>#N/A</v>
      </c>
      <c r="Z1953" s="40" t="str">
        <f t="shared" si="305"/>
        <v>#N/A</v>
      </c>
      <c r="AA1953" s="34" t="str">
        <f t="shared" si="306"/>
        <v>#N/A</v>
      </c>
      <c r="AB1953" s="41" t="str">
        <f t="shared" si="307"/>
        <v>#N/A</v>
      </c>
      <c r="AC1953" s="42" t="b">
        <v>0</v>
      </c>
      <c r="AD1953" s="66" t="str">
        <f t="shared" si="308"/>
        <v>USD</v>
      </c>
      <c r="AE1953" s="42"/>
      <c r="AF1953" s="42" t="str">
        <f t="array" ref="AF1953">INDEX('Deal Info'!D:D, MATCH(A1953,'Deal Info'!A:A, 0))</f>
        <v>#N/A</v>
      </c>
      <c r="AG1953" s="43" t="str">
        <f t="array" ref="AG1953">INDEX('Deal Info'!G:G, MATCH(A1953,'Deal Info'!A:A, 0))</f>
        <v>#N/A</v>
      </c>
    </row>
    <row r="1954" hidden="1">
      <c r="A1954" s="23" t="b">
        <f t="array" ref="A1954">if(G1954='Room Info'!$B$1, INDEX('Room Info'!$A$2:$A3446, MATCH(B1954,'Room Info'!$B$2:$B3446, 0)),if(G1954='Room Info'!$C$1, INDEX('Room Info'!$A$2:$A3446, MATCH(B1954,'Room Info'!$C$2:$C3446, 0)),if(G1954='Room Info'!$D$1, INDEX('Room Info'!$A$2:$A3446, MATCH(B1954,'Room Info'!$D$2:$D3446, 0)),if(G1954='Room Info'!$E$1, INDEX('Room Info'!$A$2:$A3446, MATCH(B1954,'Room Info'!$E$2:$E3446, 0)),if(G1954='Room Info'!$F$1, INDEX('Room Info'!$A$2:$A3446, MATCH(B1954,'Room Info'!$F$2:$F3446, 0)),if(G1954='Room Info'!$H$1, INDEX('Room Info'!$A$2:$A3446, MATCH(B1954,'Room Info'!$H$2:$H3446, 0)),if(G1954='Room Info'!$G$1, INDEX('Room Info'!$A$2:$A3446, MATCH(B1954,'Room Info'!$G$2:$G3446, 0)))))))))</f>
        <v>0</v>
      </c>
      <c r="B1954" s="101"/>
      <c r="C1954" s="141"/>
      <c r="D1954" s="141"/>
      <c r="E1954" s="142"/>
      <c r="F1954" s="138"/>
      <c r="G1954" s="101"/>
      <c r="H1954" s="105"/>
      <c r="I1954" s="105"/>
      <c r="J1954" s="44" t="str">
        <f t="shared" si="311"/>
        <v/>
      </c>
      <c r="K1954" s="139"/>
      <c r="L1954" s="140"/>
      <c r="M1954" s="84"/>
      <c r="N1954" s="33">
        <f t="shared" si="276"/>
        <v>0</v>
      </c>
      <c r="O1954" s="101"/>
      <c r="P1954" s="34" t="str">
        <f t="shared" si="277"/>
        <v/>
      </c>
      <c r="Q1954" s="60"/>
      <c r="R1954" s="36">
        <f t="shared" si="312"/>
        <v>0</v>
      </c>
      <c r="S1954" s="102"/>
      <c r="T1954" s="37">
        <f t="shared" si="302"/>
        <v>0</v>
      </c>
      <c r="U1954" s="62"/>
      <c r="V1954" s="63"/>
      <c r="W1954" s="63"/>
      <c r="X1954" s="35" t="str">
        <f t="shared" si="303"/>
        <v>#N/A</v>
      </c>
      <c r="Y1954" s="35" t="str">
        <f t="shared" si="304"/>
        <v>#N/A</v>
      </c>
      <c r="Z1954" s="40" t="str">
        <f t="shared" si="305"/>
        <v>#N/A</v>
      </c>
      <c r="AA1954" s="34" t="str">
        <f t="shared" si="306"/>
        <v>#N/A</v>
      </c>
      <c r="AB1954" s="41" t="str">
        <f t="shared" si="307"/>
        <v>#N/A</v>
      </c>
      <c r="AC1954" s="42" t="b">
        <v>0</v>
      </c>
      <c r="AD1954" s="66" t="str">
        <f t="shared" si="308"/>
        <v>USD</v>
      </c>
      <c r="AE1954" s="42"/>
      <c r="AF1954" s="42" t="str">
        <f t="array" ref="AF1954">INDEX('Deal Info'!D:D, MATCH(A1954,'Deal Info'!A:A, 0))</f>
        <v>#N/A</v>
      </c>
      <c r="AG1954" s="43" t="str">
        <f t="array" ref="AG1954">INDEX('Deal Info'!G:G, MATCH(A1954,'Deal Info'!A:A, 0))</f>
        <v>#N/A</v>
      </c>
    </row>
    <row r="1955" hidden="1">
      <c r="A1955" s="23" t="b">
        <f t="array" ref="A1955">if(G1955='Room Info'!$B$1, INDEX('Room Info'!$A$2:$A3446, MATCH(B1955,'Room Info'!$B$2:$B3446, 0)),if(G1955='Room Info'!$C$1, INDEX('Room Info'!$A$2:$A3446, MATCH(B1955,'Room Info'!$C$2:$C3446, 0)),if(G1955='Room Info'!$D$1, INDEX('Room Info'!$A$2:$A3446, MATCH(B1955,'Room Info'!$D$2:$D3446, 0)),if(G1955='Room Info'!$E$1, INDEX('Room Info'!$A$2:$A3446, MATCH(B1955,'Room Info'!$E$2:$E3446, 0)),if(G1955='Room Info'!$F$1, INDEX('Room Info'!$A$2:$A3446, MATCH(B1955,'Room Info'!$F$2:$F3446, 0)),if(G1955='Room Info'!$H$1, INDEX('Room Info'!$A$2:$A3446, MATCH(B1955,'Room Info'!$H$2:$H3446, 0)),if(G1955='Room Info'!$G$1, INDEX('Room Info'!$A$2:$A3446, MATCH(B1955,'Room Info'!$G$2:$G3446, 0)))))))))</f>
        <v>0</v>
      </c>
      <c r="B1955" s="101"/>
      <c r="C1955" s="141"/>
      <c r="D1955" s="141"/>
      <c r="E1955" s="142"/>
      <c r="F1955" s="138"/>
      <c r="G1955" s="101"/>
      <c r="H1955" s="105"/>
      <c r="I1955" s="105"/>
      <c r="J1955" s="44" t="str">
        <f t="shared" si="311"/>
        <v/>
      </c>
      <c r="K1955" s="139"/>
      <c r="L1955" s="140"/>
      <c r="M1955" s="84"/>
      <c r="N1955" s="33">
        <f t="shared" si="276"/>
        <v>0</v>
      </c>
      <c r="O1955" s="101"/>
      <c r="P1955" s="34" t="str">
        <f t="shared" si="277"/>
        <v/>
      </c>
      <c r="Q1955" s="60"/>
      <c r="R1955" s="36">
        <f t="shared" si="312"/>
        <v>0</v>
      </c>
      <c r="S1955" s="102"/>
      <c r="T1955" s="37">
        <f t="shared" si="302"/>
        <v>0</v>
      </c>
      <c r="U1955" s="62"/>
      <c r="V1955" s="63"/>
      <c r="W1955" s="63"/>
      <c r="X1955" s="35" t="str">
        <f t="shared" si="303"/>
        <v>#N/A</v>
      </c>
      <c r="Y1955" s="35" t="str">
        <f t="shared" si="304"/>
        <v>#N/A</v>
      </c>
      <c r="Z1955" s="40" t="str">
        <f t="shared" si="305"/>
        <v>#N/A</v>
      </c>
      <c r="AA1955" s="34" t="str">
        <f t="shared" si="306"/>
        <v>#N/A</v>
      </c>
      <c r="AB1955" s="41" t="str">
        <f t="shared" si="307"/>
        <v>#N/A</v>
      </c>
      <c r="AC1955" s="42" t="b">
        <v>0</v>
      </c>
      <c r="AD1955" s="66" t="str">
        <f t="shared" si="308"/>
        <v>USD</v>
      </c>
      <c r="AE1955" s="42"/>
      <c r="AF1955" s="42" t="str">
        <f t="array" ref="AF1955">INDEX('Deal Info'!D:D, MATCH(A1955,'Deal Info'!A:A, 0))</f>
        <v>#N/A</v>
      </c>
      <c r="AG1955" s="43" t="str">
        <f t="array" ref="AG1955">INDEX('Deal Info'!G:G, MATCH(A1955,'Deal Info'!A:A, 0))</f>
        <v>#N/A</v>
      </c>
    </row>
    <row r="1956" hidden="1">
      <c r="A1956" s="23" t="b">
        <f t="array" ref="A1956">if(G1956='Room Info'!$B$1, INDEX('Room Info'!$A$2:$A3446, MATCH(B1956,'Room Info'!$B$2:$B3446, 0)),if(G1956='Room Info'!$C$1, INDEX('Room Info'!$A$2:$A3446, MATCH(B1956,'Room Info'!$C$2:$C3446, 0)),if(G1956='Room Info'!$D$1, INDEX('Room Info'!$A$2:$A3446, MATCH(B1956,'Room Info'!$D$2:$D3446, 0)),if(G1956='Room Info'!$E$1, INDEX('Room Info'!$A$2:$A3446, MATCH(B1956,'Room Info'!$E$2:$E3446, 0)),if(G1956='Room Info'!$F$1, INDEX('Room Info'!$A$2:$A3446, MATCH(B1956,'Room Info'!$F$2:$F3446, 0)),if(G1956='Room Info'!$H$1, INDEX('Room Info'!$A$2:$A3446, MATCH(B1956,'Room Info'!$H$2:$H3446, 0)),if(G1956='Room Info'!$G$1, INDEX('Room Info'!$A$2:$A3446, MATCH(B1956,'Room Info'!$G$2:$G3446, 0)))))))))</f>
        <v>0</v>
      </c>
      <c r="B1956" s="101"/>
      <c r="C1956" s="115"/>
      <c r="D1956" s="115"/>
      <c r="E1956" s="85"/>
      <c r="F1956" s="101"/>
      <c r="G1956" s="70"/>
      <c r="H1956" s="114"/>
      <c r="I1956" s="114"/>
      <c r="J1956" s="44" t="str">
        <f t="shared" si="311"/>
        <v/>
      </c>
      <c r="K1956" s="116"/>
      <c r="L1956" s="117"/>
      <c r="M1956" s="67"/>
      <c r="N1956" s="33">
        <f t="shared" si="276"/>
        <v>0</v>
      </c>
      <c r="O1956" s="70"/>
      <c r="P1956" s="34" t="str">
        <f t="shared" si="277"/>
        <v/>
      </c>
      <c r="Q1956" s="60"/>
      <c r="R1956" s="36">
        <f t="shared" si="312"/>
        <v>0</v>
      </c>
      <c r="S1956" s="71"/>
      <c r="T1956" s="37">
        <f t="shared" si="302"/>
        <v>0</v>
      </c>
      <c r="U1956" s="62"/>
      <c r="V1956" s="63"/>
      <c r="W1956" s="63"/>
      <c r="X1956" s="35" t="str">
        <f t="shared" si="303"/>
        <v>#N/A</v>
      </c>
      <c r="Y1956" s="35" t="str">
        <f t="shared" si="304"/>
        <v>#N/A</v>
      </c>
      <c r="Z1956" s="40" t="str">
        <f t="shared" si="305"/>
        <v>#N/A</v>
      </c>
      <c r="AA1956" s="34" t="str">
        <f t="shared" si="306"/>
        <v>#N/A</v>
      </c>
      <c r="AB1956" s="41" t="str">
        <f t="shared" si="307"/>
        <v>#N/A</v>
      </c>
      <c r="AC1956" s="42" t="b">
        <v>0</v>
      </c>
      <c r="AD1956" s="66" t="str">
        <f t="shared" si="308"/>
        <v>USD</v>
      </c>
      <c r="AE1956" s="42"/>
      <c r="AF1956" s="42" t="str">
        <f t="array" ref="AF1956">INDEX('Deal Info'!D:D, MATCH(A1956,'Deal Info'!A:A, 0))</f>
        <v>#N/A</v>
      </c>
      <c r="AG1956" s="43" t="str">
        <f t="array" ref="AG1956">INDEX('Deal Info'!G:G, MATCH(A1956,'Deal Info'!A:A, 0))</f>
        <v>#N/A</v>
      </c>
    </row>
    <row r="1957" hidden="1">
      <c r="A1957" s="23" t="b">
        <f t="array" ref="A1957">if(G1957='Room Info'!$B$1, INDEX('Room Info'!$A$2:$A3446, MATCH(B1957,'Room Info'!$B$2:$B3446, 0)),if(G1957='Room Info'!$C$1, INDEX('Room Info'!$A$2:$A3446, MATCH(B1957,'Room Info'!$C$2:$C3446, 0)),if(G1957='Room Info'!$D$1, INDEX('Room Info'!$A$2:$A3446, MATCH(B1957,'Room Info'!$D$2:$D3446, 0)),if(G1957='Room Info'!$E$1, INDEX('Room Info'!$A$2:$A3446, MATCH(B1957,'Room Info'!$E$2:$E3446, 0)),if(G1957='Room Info'!$F$1, INDEX('Room Info'!$A$2:$A3446, MATCH(B1957,'Room Info'!$F$2:$F3446, 0)),if(G1957='Room Info'!$H$1, INDEX('Room Info'!$A$2:$A3446, MATCH(B1957,'Room Info'!$H$2:$H3446, 0)),if(G1957='Room Info'!$G$1, INDEX('Room Info'!$A$2:$A3446, MATCH(B1957,'Room Info'!$G$2:$G3446, 0)))))))))</f>
        <v>0</v>
      </c>
      <c r="B1957" s="101"/>
      <c r="C1957" s="115"/>
      <c r="D1957" s="115"/>
      <c r="E1957" s="85"/>
      <c r="F1957" s="101"/>
      <c r="G1957" s="70"/>
      <c r="H1957" s="114"/>
      <c r="I1957" s="114"/>
      <c r="J1957" s="44" t="str">
        <f t="shared" si="311"/>
        <v/>
      </c>
      <c r="K1957" s="116"/>
      <c r="L1957" s="117"/>
      <c r="M1957" s="67"/>
      <c r="N1957" s="33">
        <f t="shared" si="276"/>
        <v>0</v>
      </c>
      <c r="O1957" s="70"/>
      <c r="P1957" s="34" t="str">
        <f t="shared" si="277"/>
        <v/>
      </c>
      <c r="Q1957" s="60"/>
      <c r="R1957" s="36">
        <f t="shared" si="312"/>
        <v>0</v>
      </c>
      <c r="S1957" s="71"/>
      <c r="T1957" s="37">
        <f t="shared" si="302"/>
        <v>0</v>
      </c>
      <c r="U1957" s="62"/>
      <c r="V1957" s="63"/>
      <c r="W1957" s="63"/>
      <c r="X1957" s="35" t="str">
        <f t="shared" si="303"/>
        <v>#N/A</v>
      </c>
      <c r="Y1957" s="35" t="str">
        <f t="shared" si="304"/>
        <v>#N/A</v>
      </c>
      <c r="Z1957" s="40" t="str">
        <f t="shared" si="305"/>
        <v>#N/A</v>
      </c>
      <c r="AA1957" s="34" t="str">
        <f t="shared" si="306"/>
        <v>#N/A</v>
      </c>
      <c r="AB1957" s="41" t="str">
        <f t="shared" si="307"/>
        <v>#N/A</v>
      </c>
      <c r="AC1957" s="42" t="b">
        <v>0</v>
      </c>
      <c r="AD1957" s="66" t="str">
        <f t="shared" si="308"/>
        <v>USD</v>
      </c>
      <c r="AE1957" s="42"/>
      <c r="AF1957" s="42" t="str">
        <f t="array" ref="AF1957">INDEX('Deal Info'!D:D, MATCH(A1957,'Deal Info'!A:A, 0))</f>
        <v>#N/A</v>
      </c>
      <c r="AG1957" s="43" t="str">
        <f t="array" ref="AG1957">INDEX('Deal Info'!G:G, MATCH(A1957,'Deal Info'!A:A, 0))</f>
        <v>#N/A</v>
      </c>
    </row>
    <row r="1958" hidden="1">
      <c r="A1958" s="23" t="b">
        <f t="array" ref="A1958">if(G1958='Room Info'!$B$1, INDEX('Room Info'!$A$2:$A3446, MATCH(B1958,'Room Info'!$B$2:$B3446, 0)),if(G1958='Room Info'!$C$1, INDEX('Room Info'!$A$2:$A3446, MATCH(B1958,'Room Info'!$C$2:$C3446, 0)),if(G1958='Room Info'!$D$1, INDEX('Room Info'!$A$2:$A3446, MATCH(B1958,'Room Info'!$D$2:$D3446, 0)),if(G1958='Room Info'!$E$1, INDEX('Room Info'!$A$2:$A3446, MATCH(B1958,'Room Info'!$E$2:$E3446, 0)),if(G1958='Room Info'!$F$1, INDEX('Room Info'!$A$2:$A3446, MATCH(B1958,'Room Info'!$F$2:$F3446, 0)),if(G1958='Room Info'!$H$1, INDEX('Room Info'!$A$2:$A3446, MATCH(B1958,'Room Info'!$H$2:$H3446, 0)),if(G1958='Room Info'!$G$1, INDEX('Room Info'!$A$2:$A3446, MATCH(B1958,'Room Info'!$G$2:$G3446, 0)))))))))</f>
        <v>0</v>
      </c>
      <c r="B1958" s="101"/>
      <c r="C1958" s="141"/>
      <c r="D1958" s="141"/>
      <c r="E1958" s="142"/>
      <c r="F1958" s="138"/>
      <c r="G1958" s="101"/>
      <c r="H1958" s="105"/>
      <c r="I1958" s="105"/>
      <c r="J1958" s="44" t="str">
        <f t="shared" si="311"/>
        <v/>
      </c>
      <c r="K1958" s="139"/>
      <c r="L1958" s="140"/>
      <c r="M1958" s="84"/>
      <c r="N1958" s="33">
        <f t="shared" si="276"/>
        <v>0</v>
      </c>
      <c r="O1958" s="101"/>
      <c r="P1958" s="34" t="str">
        <f t="shared" si="277"/>
        <v/>
      </c>
      <c r="Q1958" s="60"/>
      <c r="R1958" s="36">
        <f t="shared" si="312"/>
        <v>0</v>
      </c>
      <c r="S1958" s="102"/>
      <c r="T1958" s="37">
        <f t="shared" si="302"/>
        <v>0</v>
      </c>
      <c r="U1958" s="62"/>
      <c r="V1958" s="63"/>
      <c r="W1958" s="63"/>
      <c r="X1958" s="35" t="str">
        <f t="shared" si="303"/>
        <v>#N/A</v>
      </c>
      <c r="Y1958" s="35" t="str">
        <f t="shared" si="304"/>
        <v>#N/A</v>
      </c>
      <c r="Z1958" s="40" t="str">
        <f t="shared" si="305"/>
        <v>#N/A</v>
      </c>
      <c r="AA1958" s="34" t="str">
        <f t="shared" si="306"/>
        <v>#N/A</v>
      </c>
      <c r="AB1958" s="41" t="str">
        <f t="shared" si="307"/>
        <v>#N/A</v>
      </c>
      <c r="AC1958" s="42" t="b">
        <v>0</v>
      </c>
      <c r="AD1958" s="66" t="str">
        <f t="shared" si="308"/>
        <v>USD</v>
      </c>
      <c r="AE1958" s="42"/>
      <c r="AF1958" s="42" t="str">
        <f t="array" ref="AF1958">INDEX('Deal Info'!D:D, MATCH(A1958,'Deal Info'!A:A, 0))</f>
        <v>#N/A</v>
      </c>
      <c r="AG1958" s="43" t="str">
        <f t="array" ref="AG1958">INDEX('Deal Info'!G:G, MATCH(A1958,'Deal Info'!A:A, 0))</f>
        <v>#N/A</v>
      </c>
    </row>
    <row r="1959" hidden="1">
      <c r="A1959" s="23" t="b">
        <f t="array" ref="A1959">if(G1959='Room Info'!$B$1, INDEX('Room Info'!$A$2:$A3446, MATCH(B1959,'Room Info'!$B$2:$B3446, 0)),if(G1959='Room Info'!$C$1, INDEX('Room Info'!$A$2:$A3446, MATCH(B1959,'Room Info'!$C$2:$C3446, 0)),if(G1959='Room Info'!$D$1, INDEX('Room Info'!$A$2:$A3446, MATCH(B1959,'Room Info'!$D$2:$D3446, 0)),if(G1959='Room Info'!$E$1, INDEX('Room Info'!$A$2:$A3446, MATCH(B1959,'Room Info'!$E$2:$E3446, 0)),if(G1959='Room Info'!$F$1, INDEX('Room Info'!$A$2:$A3446, MATCH(B1959,'Room Info'!$F$2:$F3446, 0)),if(G1959='Room Info'!$H$1, INDEX('Room Info'!$A$2:$A3446, MATCH(B1959,'Room Info'!$H$2:$H3446, 0)),if(G1959='Room Info'!$G$1, INDEX('Room Info'!$A$2:$A3446, MATCH(B1959,'Room Info'!$G$2:$G3446, 0)))))))))</f>
        <v>0</v>
      </c>
      <c r="B1959" s="101"/>
      <c r="C1959" s="141"/>
      <c r="D1959" s="141"/>
      <c r="E1959" s="142"/>
      <c r="F1959" s="138"/>
      <c r="G1959" s="101"/>
      <c r="H1959" s="105"/>
      <c r="I1959" s="105"/>
      <c r="J1959" s="44" t="str">
        <f t="shared" si="311"/>
        <v/>
      </c>
      <c r="K1959" s="139"/>
      <c r="L1959" s="140"/>
      <c r="M1959" s="84"/>
      <c r="N1959" s="33">
        <f t="shared" si="276"/>
        <v>0</v>
      </c>
      <c r="O1959" s="101"/>
      <c r="P1959" s="34" t="str">
        <f t="shared" si="277"/>
        <v/>
      </c>
      <c r="Q1959" s="60"/>
      <c r="R1959" s="36">
        <f t="shared" si="312"/>
        <v>0</v>
      </c>
      <c r="S1959" s="102"/>
      <c r="T1959" s="37">
        <f t="shared" si="302"/>
        <v>0</v>
      </c>
      <c r="U1959" s="62"/>
      <c r="V1959" s="63"/>
      <c r="W1959" s="63"/>
      <c r="X1959" s="35" t="str">
        <f t="shared" si="303"/>
        <v>#N/A</v>
      </c>
      <c r="Y1959" s="35" t="str">
        <f t="shared" si="304"/>
        <v>#N/A</v>
      </c>
      <c r="Z1959" s="40" t="str">
        <f t="shared" si="305"/>
        <v>#N/A</v>
      </c>
      <c r="AA1959" s="34" t="str">
        <f t="shared" si="306"/>
        <v>#N/A</v>
      </c>
      <c r="AB1959" s="41" t="str">
        <f t="shared" si="307"/>
        <v>#N/A</v>
      </c>
      <c r="AC1959" s="42" t="b">
        <v>0</v>
      </c>
      <c r="AD1959" s="66" t="str">
        <f t="shared" si="308"/>
        <v>USD</v>
      </c>
      <c r="AE1959" s="42"/>
      <c r="AF1959" s="42" t="str">
        <f t="array" ref="AF1959">INDEX('Deal Info'!D:D, MATCH(A1959,'Deal Info'!A:A, 0))</f>
        <v>#N/A</v>
      </c>
      <c r="AG1959" s="43" t="str">
        <f t="array" ref="AG1959">INDEX('Deal Info'!G:G, MATCH(A1959,'Deal Info'!A:A, 0))</f>
        <v>#N/A</v>
      </c>
    </row>
    <row r="1960" hidden="1">
      <c r="A1960" s="23" t="b">
        <f t="array" ref="A1960">if(G1960='Room Info'!$B$1, INDEX('Room Info'!$A$2:$A3446, MATCH(B1960,'Room Info'!$B$2:$B3446, 0)),if(G1960='Room Info'!$C$1, INDEX('Room Info'!$A$2:$A3446, MATCH(B1960,'Room Info'!$C$2:$C3446, 0)),if(G1960='Room Info'!$D$1, INDEX('Room Info'!$A$2:$A3446, MATCH(B1960,'Room Info'!$D$2:$D3446, 0)),if(G1960='Room Info'!$E$1, INDEX('Room Info'!$A$2:$A3446, MATCH(B1960,'Room Info'!$E$2:$E3446, 0)),if(G1960='Room Info'!$F$1, INDEX('Room Info'!$A$2:$A3446, MATCH(B1960,'Room Info'!$F$2:$F3446, 0)),if(G1960='Room Info'!$H$1, INDEX('Room Info'!$A$2:$A3446, MATCH(B1960,'Room Info'!$H$2:$H3446, 0)),if(G1960='Room Info'!$G$1, INDEX('Room Info'!$A$2:$A3446, MATCH(B1960,'Room Info'!$G$2:$G3446, 0)))))))))</f>
        <v>0</v>
      </c>
      <c r="B1960" s="101"/>
      <c r="C1960" s="115"/>
      <c r="D1960" s="115"/>
      <c r="E1960" s="85"/>
      <c r="F1960" s="138"/>
      <c r="G1960" s="70"/>
      <c r="H1960" s="114"/>
      <c r="I1960" s="114"/>
      <c r="J1960" s="44" t="str">
        <f t="shared" si="311"/>
        <v/>
      </c>
      <c r="K1960" s="116"/>
      <c r="L1960" s="117"/>
      <c r="M1960" s="67"/>
      <c r="N1960" s="33">
        <f t="shared" si="276"/>
        <v>0</v>
      </c>
      <c r="O1960" s="70"/>
      <c r="P1960" s="34" t="str">
        <f t="shared" si="277"/>
        <v/>
      </c>
      <c r="Q1960" s="60"/>
      <c r="R1960" s="36">
        <f t="shared" si="312"/>
        <v>0</v>
      </c>
      <c r="S1960" s="71"/>
      <c r="T1960" s="37">
        <f t="shared" si="302"/>
        <v>0</v>
      </c>
      <c r="U1960" s="62"/>
      <c r="V1960" s="63"/>
      <c r="W1960" s="63"/>
      <c r="X1960" s="35" t="str">
        <f t="shared" si="303"/>
        <v>#N/A</v>
      </c>
      <c r="Y1960" s="35" t="str">
        <f t="shared" si="304"/>
        <v>#N/A</v>
      </c>
      <c r="Z1960" s="40" t="str">
        <f t="shared" si="305"/>
        <v>#N/A</v>
      </c>
      <c r="AA1960" s="34" t="str">
        <f t="shared" si="306"/>
        <v>#N/A</v>
      </c>
      <c r="AB1960" s="41" t="str">
        <f t="shared" si="307"/>
        <v>#N/A</v>
      </c>
      <c r="AC1960" s="42" t="b">
        <v>0</v>
      </c>
      <c r="AD1960" s="66" t="str">
        <f t="shared" si="308"/>
        <v>USD</v>
      </c>
      <c r="AE1960" s="42"/>
      <c r="AF1960" s="42" t="str">
        <f t="array" ref="AF1960">INDEX('Deal Info'!D:D, MATCH(A1960,'Deal Info'!A:A, 0))</f>
        <v>#N/A</v>
      </c>
      <c r="AG1960" s="43" t="str">
        <f t="array" ref="AG1960">INDEX('Deal Info'!G:G, MATCH(A1960,'Deal Info'!A:A, 0))</f>
        <v>#N/A</v>
      </c>
    </row>
    <row r="1961" hidden="1">
      <c r="A1961" s="23" t="b">
        <f t="array" ref="A1961">if(G1961='Room Info'!$B$1, INDEX('Room Info'!$A$2:$A3446, MATCH(B1961,'Room Info'!$B$2:$B3446, 0)),if(G1961='Room Info'!$C$1, INDEX('Room Info'!$A$2:$A3446, MATCH(B1961,'Room Info'!$C$2:$C3446, 0)),if(G1961='Room Info'!$D$1, INDEX('Room Info'!$A$2:$A3446, MATCH(B1961,'Room Info'!$D$2:$D3446, 0)),if(G1961='Room Info'!$E$1, INDEX('Room Info'!$A$2:$A3446, MATCH(B1961,'Room Info'!$E$2:$E3446, 0)),if(G1961='Room Info'!$F$1, INDEX('Room Info'!$A$2:$A3446, MATCH(B1961,'Room Info'!$F$2:$F3446, 0)),if(G1961='Room Info'!$H$1, INDEX('Room Info'!$A$2:$A3446, MATCH(B1961,'Room Info'!$H$2:$H3446, 0)),if(G1961='Room Info'!$G$1, INDEX('Room Info'!$A$2:$A3446, MATCH(B1961,'Room Info'!$G$2:$G3446, 0)))))))))</f>
        <v>0</v>
      </c>
      <c r="B1961" s="101"/>
      <c r="C1961" s="115"/>
      <c r="D1961" s="115"/>
      <c r="E1961" s="85"/>
      <c r="F1961" s="138"/>
      <c r="G1961" s="70"/>
      <c r="H1961" s="114"/>
      <c r="I1961" s="114"/>
      <c r="J1961" s="44" t="str">
        <f t="shared" si="311"/>
        <v/>
      </c>
      <c r="K1961" s="116"/>
      <c r="L1961" s="117"/>
      <c r="M1961" s="67"/>
      <c r="N1961" s="33">
        <f t="shared" si="276"/>
        <v>0</v>
      </c>
      <c r="O1961" s="70"/>
      <c r="P1961" s="34" t="str">
        <f t="shared" si="277"/>
        <v/>
      </c>
      <c r="Q1961" s="60"/>
      <c r="R1961" s="36">
        <f t="shared" si="312"/>
        <v>0</v>
      </c>
      <c r="S1961" s="71"/>
      <c r="T1961" s="37">
        <f t="shared" si="302"/>
        <v>0</v>
      </c>
      <c r="U1961" s="62"/>
      <c r="V1961" s="63"/>
      <c r="W1961" s="63"/>
      <c r="X1961" s="35" t="str">
        <f t="shared" si="303"/>
        <v>#N/A</v>
      </c>
      <c r="Y1961" s="35" t="str">
        <f t="shared" si="304"/>
        <v>#N/A</v>
      </c>
      <c r="Z1961" s="40" t="str">
        <f t="shared" si="305"/>
        <v>#N/A</v>
      </c>
      <c r="AA1961" s="34" t="str">
        <f t="shared" si="306"/>
        <v>#N/A</v>
      </c>
      <c r="AB1961" s="41" t="str">
        <f t="shared" si="307"/>
        <v>#N/A</v>
      </c>
      <c r="AC1961" s="42" t="b">
        <v>0</v>
      </c>
      <c r="AD1961" s="66" t="str">
        <f t="shared" si="308"/>
        <v>USD</v>
      </c>
      <c r="AE1961" s="42"/>
      <c r="AF1961" s="42" t="str">
        <f t="array" ref="AF1961">INDEX('Deal Info'!D:D, MATCH(A1961,'Deal Info'!A:A, 0))</f>
        <v>#N/A</v>
      </c>
      <c r="AG1961" s="43" t="str">
        <f t="array" ref="AG1961">INDEX('Deal Info'!G:G, MATCH(A1961,'Deal Info'!A:A, 0))</f>
        <v>#N/A</v>
      </c>
    </row>
    <row r="1962" hidden="1">
      <c r="A1962" s="23" t="b">
        <f t="array" ref="A1962">if(G1962='Room Info'!$B$1, INDEX('Room Info'!$A$2:$A3446, MATCH(B1962,'Room Info'!$B$2:$B3446, 0)),if(G1962='Room Info'!$C$1, INDEX('Room Info'!$A$2:$A3446, MATCH(B1962,'Room Info'!$C$2:$C3446, 0)),if(G1962='Room Info'!$D$1, INDEX('Room Info'!$A$2:$A3446, MATCH(B1962,'Room Info'!$D$2:$D3446, 0)),if(G1962='Room Info'!$E$1, INDEX('Room Info'!$A$2:$A3446, MATCH(B1962,'Room Info'!$E$2:$E3446, 0)),if(G1962='Room Info'!$F$1, INDEX('Room Info'!$A$2:$A3446, MATCH(B1962,'Room Info'!$F$2:$F3446, 0)),if(G1962='Room Info'!$H$1, INDEX('Room Info'!$A$2:$A3446, MATCH(B1962,'Room Info'!$H$2:$H3446, 0)),if(G1962='Room Info'!$G$1, INDEX('Room Info'!$A$2:$A3446, MATCH(B1962,'Room Info'!$G$2:$G3446, 0)))))))))</f>
        <v>0</v>
      </c>
      <c r="B1962" s="101"/>
      <c r="C1962" s="141"/>
      <c r="D1962" s="141"/>
      <c r="E1962" s="142"/>
      <c r="F1962" s="138"/>
      <c r="G1962" s="101"/>
      <c r="H1962" s="114"/>
      <c r="I1962" s="114"/>
      <c r="J1962" s="44" t="str">
        <f t="shared" si="311"/>
        <v/>
      </c>
      <c r="K1962" s="139"/>
      <c r="L1962" s="140"/>
      <c r="M1962" s="84"/>
      <c r="N1962" s="33">
        <f t="shared" si="276"/>
        <v>0</v>
      </c>
      <c r="O1962" s="101"/>
      <c r="P1962" s="34" t="str">
        <f t="shared" si="277"/>
        <v/>
      </c>
      <c r="Q1962" s="60"/>
      <c r="R1962" s="36">
        <f t="shared" si="312"/>
        <v>0</v>
      </c>
      <c r="S1962" s="102"/>
      <c r="T1962" s="37">
        <f t="shared" si="302"/>
        <v>0</v>
      </c>
      <c r="U1962" s="62"/>
      <c r="V1962" s="63"/>
      <c r="W1962" s="63"/>
      <c r="X1962" s="35" t="str">
        <f t="shared" si="303"/>
        <v>#N/A</v>
      </c>
      <c r="Y1962" s="35" t="str">
        <f t="shared" si="304"/>
        <v>#N/A</v>
      </c>
      <c r="Z1962" s="40" t="str">
        <f t="shared" si="305"/>
        <v>#N/A</v>
      </c>
      <c r="AA1962" s="34" t="str">
        <f t="shared" si="306"/>
        <v>#N/A</v>
      </c>
      <c r="AB1962" s="41" t="str">
        <f t="shared" si="307"/>
        <v>#N/A</v>
      </c>
      <c r="AC1962" s="42" t="b">
        <v>0</v>
      </c>
      <c r="AD1962" s="66" t="str">
        <f t="shared" si="308"/>
        <v>USD</v>
      </c>
      <c r="AE1962" s="42"/>
      <c r="AF1962" s="42" t="str">
        <f t="array" ref="AF1962">INDEX('Deal Info'!D:D, MATCH(A1962,'Deal Info'!A:A, 0))</f>
        <v>#N/A</v>
      </c>
      <c r="AG1962" s="43" t="str">
        <f t="array" ref="AG1962">INDEX('Deal Info'!G:G, MATCH(A1962,'Deal Info'!A:A, 0))</f>
        <v>#N/A</v>
      </c>
    </row>
    <row r="1963" hidden="1">
      <c r="A1963" s="23" t="b">
        <f t="array" ref="A1963">if(G1963='Room Info'!$B$1, INDEX('Room Info'!$A$2:$A3446, MATCH(B1963,'Room Info'!$B$2:$B3446, 0)),if(G1963='Room Info'!$C$1, INDEX('Room Info'!$A$2:$A3446, MATCH(B1963,'Room Info'!$C$2:$C3446, 0)),if(G1963='Room Info'!$D$1, INDEX('Room Info'!$A$2:$A3446, MATCH(B1963,'Room Info'!$D$2:$D3446, 0)),if(G1963='Room Info'!$E$1, INDEX('Room Info'!$A$2:$A3446, MATCH(B1963,'Room Info'!$E$2:$E3446, 0)),if(G1963='Room Info'!$F$1, INDEX('Room Info'!$A$2:$A3446, MATCH(B1963,'Room Info'!$F$2:$F3446, 0)),if(G1963='Room Info'!$H$1, INDEX('Room Info'!$A$2:$A3446, MATCH(B1963,'Room Info'!$H$2:$H3446, 0)),if(G1963='Room Info'!$G$1, INDEX('Room Info'!$A$2:$A3446, MATCH(B1963,'Room Info'!$G$2:$G3446, 0)))))))))</f>
        <v>0</v>
      </c>
      <c r="B1963" s="101"/>
      <c r="C1963" s="141"/>
      <c r="D1963" s="141"/>
      <c r="E1963" s="142"/>
      <c r="F1963" s="138"/>
      <c r="G1963" s="101"/>
      <c r="H1963" s="114"/>
      <c r="I1963" s="114"/>
      <c r="J1963" s="44" t="str">
        <f t="shared" si="311"/>
        <v/>
      </c>
      <c r="K1963" s="139"/>
      <c r="L1963" s="140"/>
      <c r="M1963" s="84"/>
      <c r="N1963" s="33">
        <f t="shared" si="276"/>
        <v>0</v>
      </c>
      <c r="O1963" s="101"/>
      <c r="P1963" s="34" t="str">
        <f t="shared" si="277"/>
        <v/>
      </c>
      <c r="Q1963" s="60"/>
      <c r="R1963" s="36">
        <f t="shared" si="312"/>
        <v>0</v>
      </c>
      <c r="S1963" s="102"/>
      <c r="T1963" s="37">
        <f t="shared" si="302"/>
        <v>0</v>
      </c>
      <c r="U1963" s="62"/>
      <c r="V1963" s="63"/>
      <c r="W1963" s="63"/>
      <c r="X1963" s="35" t="str">
        <f t="shared" si="303"/>
        <v>#N/A</v>
      </c>
      <c r="Y1963" s="35" t="str">
        <f t="shared" si="304"/>
        <v>#N/A</v>
      </c>
      <c r="Z1963" s="40" t="str">
        <f t="shared" si="305"/>
        <v>#N/A</v>
      </c>
      <c r="AA1963" s="34" t="str">
        <f t="shared" si="306"/>
        <v>#N/A</v>
      </c>
      <c r="AB1963" s="41" t="str">
        <f t="shared" si="307"/>
        <v>#N/A</v>
      </c>
      <c r="AC1963" s="42" t="b">
        <v>0</v>
      </c>
      <c r="AD1963" s="66" t="str">
        <f t="shared" si="308"/>
        <v>USD</v>
      </c>
      <c r="AE1963" s="42"/>
      <c r="AF1963" s="42" t="str">
        <f t="array" ref="AF1963">INDEX('Deal Info'!D:D, MATCH(A1963,'Deal Info'!A:A, 0))</f>
        <v>#N/A</v>
      </c>
      <c r="AG1963" s="43" t="str">
        <f t="array" ref="AG1963">INDEX('Deal Info'!G:G, MATCH(A1963,'Deal Info'!A:A, 0))</f>
        <v>#N/A</v>
      </c>
    </row>
    <row r="1964" hidden="1">
      <c r="A1964" s="23" t="b">
        <f t="array" ref="A1964">if(G1964='Room Info'!$B$1, INDEX('Room Info'!$A$2:$A3446, MATCH(B1964,'Room Info'!$B$2:$B3446, 0)),if(G1964='Room Info'!$C$1, INDEX('Room Info'!$A$2:$A3446, MATCH(B1964,'Room Info'!$C$2:$C3446, 0)),if(G1964='Room Info'!$D$1, INDEX('Room Info'!$A$2:$A3446, MATCH(B1964,'Room Info'!$D$2:$D3446, 0)),if(G1964='Room Info'!$E$1, INDEX('Room Info'!$A$2:$A3446, MATCH(B1964,'Room Info'!$E$2:$E3446, 0)),if(G1964='Room Info'!$F$1, INDEX('Room Info'!$A$2:$A3446, MATCH(B1964,'Room Info'!$F$2:$F3446, 0)),if(G1964='Room Info'!$H$1, INDEX('Room Info'!$A$2:$A3446, MATCH(B1964,'Room Info'!$H$2:$H3446, 0)),if(G1964='Room Info'!$G$1, INDEX('Room Info'!$A$2:$A3446, MATCH(B1964,'Room Info'!$G$2:$G3446, 0)))))))))</f>
        <v>0</v>
      </c>
      <c r="B1964" s="101"/>
      <c r="C1964" s="141"/>
      <c r="D1964" s="141"/>
      <c r="E1964" s="142"/>
      <c r="F1964" s="138"/>
      <c r="G1964" s="101"/>
      <c r="H1964" s="114"/>
      <c r="I1964" s="114"/>
      <c r="J1964" s="44" t="str">
        <f t="shared" si="311"/>
        <v/>
      </c>
      <c r="K1964" s="139"/>
      <c r="L1964" s="140"/>
      <c r="M1964" s="84"/>
      <c r="N1964" s="33">
        <f t="shared" si="276"/>
        <v>0</v>
      </c>
      <c r="O1964" s="101"/>
      <c r="P1964" s="34" t="str">
        <f t="shared" si="277"/>
        <v/>
      </c>
      <c r="Q1964" s="60"/>
      <c r="R1964" s="36">
        <f t="shared" si="312"/>
        <v>0</v>
      </c>
      <c r="S1964" s="102"/>
      <c r="T1964" s="37">
        <f t="shared" si="302"/>
        <v>0</v>
      </c>
      <c r="U1964" s="62"/>
      <c r="V1964" s="63"/>
      <c r="W1964" s="63"/>
      <c r="X1964" s="35" t="str">
        <f t="shared" si="303"/>
        <v>#N/A</v>
      </c>
      <c r="Y1964" s="35" t="str">
        <f t="shared" si="304"/>
        <v>#N/A</v>
      </c>
      <c r="Z1964" s="40" t="str">
        <f t="shared" si="305"/>
        <v>#N/A</v>
      </c>
      <c r="AA1964" s="34" t="str">
        <f t="shared" si="306"/>
        <v>#N/A</v>
      </c>
      <c r="AB1964" s="41" t="str">
        <f t="shared" si="307"/>
        <v>#N/A</v>
      </c>
      <c r="AC1964" s="42" t="b">
        <v>0</v>
      </c>
      <c r="AD1964" s="66" t="str">
        <f t="shared" si="308"/>
        <v>USD</v>
      </c>
      <c r="AE1964" s="42"/>
      <c r="AF1964" s="42" t="str">
        <f t="array" ref="AF1964">INDEX('Deal Info'!D:D, MATCH(A1964,'Deal Info'!A:A, 0))</f>
        <v>#N/A</v>
      </c>
      <c r="AG1964" s="43" t="str">
        <f t="array" ref="AG1964">INDEX('Deal Info'!G:G, MATCH(A1964,'Deal Info'!A:A, 0))</f>
        <v>#N/A</v>
      </c>
    </row>
    <row r="1965" hidden="1">
      <c r="A1965" s="23" t="b">
        <f t="array" ref="A1965">if(G1965='Room Info'!$B$1, INDEX('Room Info'!$A$2:$A3446, MATCH(B1965,'Room Info'!$B$2:$B3446, 0)),if(G1965='Room Info'!$C$1, INDEX('Room Info'!$A$2:$A3446, MATCH(B1965,'Room Info'!$C$2:$C3446, 0)),if(G1965='Room Info'!$D$1, INDEX('Room Info'!$A$2:$A3446, MATCH(B1965,'Room Info'!$D$2:$D3446, 0)),if(G1965='Room Info'!$E$1, INDEX('Room Info'!$A$2:$A3446, MATCH(B1965,'Room Info'!$E$2:$E3446, 0)),if(G1965='Room Info'!$F$1, INDEX('Room Info'!$A$2:$A3446, MATCH(B1965,'Room Info'!$F$2:$F3446, 0)),if(G1965='Room Info'!$H$1, INDEX('Room Info'!$A$2:$A3446, MATCH(B1965,'Room Info'!$H$2:$H3446, 0)),if(G1965='Room Info'!$G$1, INDEX('Room Info'!$A$2:$A3446, MATCH(B1965,'Room Info'!$G$2:$G3446, 0)))))))))</f>
        <v>0</v>
      </c>
      <c r="B1965" s="101"/>
      <c r="C1965" s="141"/>
      <c r="D1965" s="141"/>
      <c r="E1965" s="142"/>
      <c r="F1965" s="138"/>
      <c r="G1965" s="101"/>
      <c r="H1965" s="114"/>
      <c r="I1965" s="114"/>
      <c r="J1965" s="44" t="str">
        <f t="shared" si="311"/>
        <v/>
      </c>
      <c r="K1965" s="139"/>
      <c r="L1965" s="140"/>
      <c r="M1965" s="84"/>
      <c r="N1965" s="33">
        <f t="shared" si="276"/>
        <v>0</v>
      </c>
      <c r="O1965" s="101"/>
      <c r="P1965" s="34" t="str">
        <f t="shared" si="277"/>
        <v/>
      </c>
      <c r="Q1965" s="60"/>
      <c r="R1965" s="36">
        <f t="shared" si="312"/>
        <v>0</v>
      </c>
      <c r="S1965" s="102"/>
      <c r="T1965" s="37">
        <f t="shared" si="302"/>
        <v>0</v>
      </c>
      <c r="U1965" s="62"/>
      <c r="V1965" s="63"/>
      <c r="W1965" s="63"/>
      <c r="X1965" s="35" t="str">
        <f t="shared" si="303"/>
        <v>#N/A</v>
      </c>
      <c r="Y1965" s="35" t="str">
        <f t="shared" si="304"/>
        <v>#N/A</v>
      </c>
      <c r="Z1965" s="40" t="str">
        <f t="shared" si="305"/>
        <v>#N/A</v>
      </c>
      <c r="AA1965" s="34" t="str">
        <f t="shared" si="306"/>
        <v>#N/A</v>
      </c>
      <c r="AB1965" s="41" t="str">
        <f t="shared" si="307"/>
        <v>#N/A</v>
      </c>
      <c r="AC1965" s="42" t="b">
        <v>0</v>
      </c>
      <c r="AD1965" s="66" t="str">
        <f t="shared" si="308"/>
        <v>USD</v>
      </c>
      <c r="AE1965" s="42"/>
      <c r="AF1965" s="42" t="str">
        <f t="array" ref="AF1965">INDEX('Deal Info'!D:D, MATCH(A1965,'Deal Info'!A:A, 0))</f>
        <v>#N/A</v>
      </c>
      <c r="AG1965" s="43" t="str">
        <f t="array" ref="AG1965">INDEX('Deal Info'!G:G, MATCH(A1965,'Deal Info'!A:A, 0))</f>
        <v>#N/A</v>
      </c>
    </row>
    <row r="1966" hidden="1">
      <c r="A1966" s="23" t="b">
        <f t="array" ref="A1966">if(G1966='Room Info'!$B$1, INDEX('Room Info'!$A$2:$A3446, MATCH(B1966,'Room Info'!$B$2:$B3446, 0)),if(G1966='Room Info'!$C$1, INDEX('Room Info'!$A$2:$A3446, MATCH(B1966,'Room Info'!$C$2:$C3446, 0)),if(G1966='Room Info'!$D$1, INDEX('Room Info'!$A$2:$A3446, MATCH(B1966,'Room Info'!$D$2:$D3446, 0)),if(G1966='Room Info'!$E$1, INDEX('Room Info'!$A$2:$A3446, MATCH(B1966,'Room Info'!$E$2:$E3446, 0)),if(G1966='Room Info'!$F$1, INDEX('Room Info'!$A$2:$A3446, MATCH(B1966,'Room Info'!$F$2:$F3446, 0)),if(G1966='Room Info'!$H$1, INDEX('Room Info'!$A$2:$A3446, MATCH(B1966,'Room Info'!$H$2:$H3446, 0)),if(G1966='Room Info'!$G$1, INDEX('Room Info'!$A$2:$A3446, MATCH(B1966,'Room Info'!$G$2:$G3446, 0)))))))))</f>
        <v>0</v>
      </c>
      <c r="B1966" s="101"/>
      <c r="C1966" s="115"/>
      <c r="D1966" s="115"/>
      <c r="E1966" s="85"/>
      <c r="F1966" s="101"/>
      <c r="G1966" s="101"/>
      <c r="H1966" s="114"/>
      <c r="I1966" s="114"/>
      <c r="J1966" s="44" t="str">
        <f t="shared" si="311"/>
        <v/>
      </c>
      <c r="K1966" s="116"/>
      <c r="L1966" s="117"/>
      <c r="M1966" s="67"/>
      <c r="N1966" s="33">
        <f t="shared" si="276"/>
        <v>0</v>
      </c>
      <c r="O1966" s="70"/>
      <c r="P1966" s="34" t="str">
        <f t="shared" si="277"/>
        <v/>
      </c>
      <c r="Q1966" s="60"/>
      <c r="R1966" s="36">
        <f t="shared" si="312"/>
        <v>0</v>
      </c>
      <c r="S1966" s="71"/>
      <c r="T1966" s="37">
        <f t="shared" si="302"/>
        <v>0</v>
      </c>
      <c r="U1966" s="62"/>
      <c r="V1966" s="63"/>
      <c r="W1966" s="63"/>
      <c r="X1966" s="35" t="str">
        <f t="shared" si="303"/>
        <v>#N/A</v>
      </c>
      <c r="Y1966" s="35" t="str">
        <f t="shared" si="304"/>
        <v>#N/A</v>
      </c>
      <c r="Z1966" s="40" t="str">
        <f t="shared" si="305"/>
        <v>#N/A</v>
      </c>
      <c r="AA1966" s="34" t="str">
        <f t="shared" si="306"/>
        <v>#N/A</v>
      </c>
      <c r="AB1966" s="41" t="str">
        <f t="shared" si="307"/>
        <v>#N/A</v>
      </c>
      <c r="AC1966" s="42" t="b">
        <v>0</v>
      </c>
      <c r="AD1966" s="66" t="str">
        <f t="shared" si="308"/>
        <v>USD</v>
      </c>
      <c r="AE1966" s="42"/>
      <c r="AF1966" s="42" t="str">
        <f t="array" ref="AF1966">INDEX('Deal Info'!D:D, MATCH(A1966,'Deal Info'!A:A, 0))</f>
        <v>#N/A</v>
      </c>
      <c r="AG1966" s="43" t="str">
        <f t="array" ref="AG1966">INDEX('Deal Info'!G:G, MATCH(A1966,'Deal Info'!A:A, 0))</f>
        <v>#N/A</v>
      </c>
    </row>
    <row r="1967" hidden="1">
      <c r="A1967" s="23" t="b">
        <f t="array" ref="A1967">if(G1967='Room Info'!$B$1, INDEX('Room Info'!$A$2:$A3446, MATCH(B1967,'Room Info'!$B$2:$B3446, 0)),if(G1967='Room Info'!$C$1, INDEX('Room Info'!$A$2:$A3446, MATCH(B1967,'Room Info'!$C$2:$C3446, 0)),if(G1967='Room Info'!$D$1, INDEX('Room Info'!$A$2:$A3446, MATCH(B1967,'Room Info'!$D$2:$D3446, 0)),if(G1967='Room Info'!$E$1, INDEX('Room Info'!$A$2:$A3446, MATCH(B1967,'Room Info'!$E$2:$E3446, 0)),if(G1967='Room Info'!$F$1, INDEX('Room Info'!$A$2:$A3446, MATCH(B1967,'Room Info'!$F$2:$F3446, 0)),if(G1967='Room Info'!$H$1, INDEX('Room Info'!$A$2:$A3446, MATCH(B1967,'Room Info'!$H$2:$H3446, 0)),if(G1967='Room Info'!$G$1, INDEX('Room Info'!$A$2:$A3446, MATCH(B1967,'Room Info'!$G$2:$G3446, 0)))))))))</f>
        <v>0</v>
      </c>
      <c r="B1967" s="101"/>
      <c r="C1967" s="115"/>
      <c r="D1967" s="115"/>
      <c r="E1967" s="85"/>
      <c r="F1967" s="101"/>
      <c r="G1967" s="101"/>
      <c r="H1967" s="114"/>
      <c r="I1967" s="114"/>
      <c r="J1967" s="44" t="str">
        <f t="shared" si="311"/>
        <v/>
      </c>
      <c r="K1967" s="116"/>
      <c r="L1967" s="117"/>
      <c r="M1967" s="67"/>
      <c r="N1967" s="33">
        <f t="shared" si="276"/>
        <v>0</v>
      </c>
      <c r="O1967" s="70"/>
      <c r="P1967" s="34" t="str">
        <f t="shared" si="277"/>
        <v/>
      </c>
      <c r="Q1967" s="60"/>
      <c r="R1967" s="36">
        <f t="shared" si="312"/>
        <v>0</v>
      </c>
      <c r="S1967" s="71"/>
      <c r="T1967" s="37">
        <f t="shared" si="302"/>
        <v>0</v>
      </c>
      <c r="U1967" s="62"/>
      <c r="V1967" s="63"/>
      <c r="W1967" s="63"/>
      <c r="X1967" s="35" t="str">
        <f t="shared" si="303"/>
        <v>#N/A</v>
      </c>
      <c r="Y1967" s="35" t="str">
        <f t="shared" si="304"/>
        <v>#N/A</v>
      </c>
      <c r="Z1967" s="40" t="str">
        <f t="shared" si="305"/>
        <v>#N/A</v>
      </c>
      <c r="AA1967" s="34" t="str">
        <f t="shared" si="306"/>
        <v>#N/A</v>
      </c>
      <c r="AB1967" s="41" t="str">
        <f t="shared" si="307"/>
        <v>#N/A</v>
      </c>
      <c r="AC1967" s="42" t="b">
        <v>0</v>
      </c>
      <c r="AD1967" s="66" t="str">
        <f t="shared" si="308"/>
        <v>USD</v>
      </c>
      <c r="AE1967" s="42"/>
      <c r="AF1967" s="42" t="str">
        <f t="array" ref="AF1967">INDEX('Deal Info'!D:D, MATCH(A1967,'Deal Info'!A:A, 0))</f>
        <v>#N/A</v>
      </c>
      <c r="AG1967" s="43" t="str">
        <f t="array" ref="AG1967">INDEX('Deal Info'!G:G, MATCH(A1967,'Deal Info'!A:A, 0))</f>
        <v>#N/A</v>
      </c>
    </row>
    <row r="1968" hidden="1">
      <c r="A1968" s="23" t="b">
        <f t="array" ref="A1968">if(G1968='Room Info'!$B$1, INDEX('Room Info'!$A$2:$A3446, MATCH(B1968,'Room Info'!$B$2:$B3446, 0)),if(G1968='Room Info'!$C$1, INDEX('Room Info'!$A$2:$A3446, MATCH(B1968,'Room Info'!$C$2:$C3446, 0)),if(G1968='Room Info'!$D$1, INDEX('Room Info'!$A$2:$A3446, MATCH(B1968,'Room Info'!$D$2:$D3446, 0)),if(G1968='Room Info'!$E$1, INDEX('Room Info'!$A$2:$A3446, MATCH(B1968,'Room Info'!$E$2:$E3446, 0)),if(G1968='Room Info'!$F$1, INDEX('Room Info'!$A$2:$A3446, MATCH(B1968,'Room Info'!$F$2:$F3446, 0)),if(G1968='Room Info'!$H$1, INDEX('Room Info'!$A$2:$A3446, MATCH(B1968,'Room Info'!$H$2:$H3446, 0)),if(G1968='Room Info'!$G$1, INDEX('Room Info'!$A$2:$A3446, MATCH(B1968,'Room Info'!$G$2:$G3446, 0)))))))))</f>
        <v>0</v>
      </c>
      <c r="B1968" s="101"/>
      <c r="C1968" s="141"/>
      <c r="D1968" s="141"/>
      <c r="E1968" s="142"/>
      <c r="F1968" s="138"/>
      <c r="G1968" s="101"/>
      <c r="H1968" s="105"/>
      <c r="I1968" s="105"/>
      <c r="J1968" s="44" t="str">
        <f t="shared" si="311"/>
        <v/>
      </c>
      <c r="K1968" s="139"/>
      <c r="L1968" s="140"/>
      <c r="M1968" s="84"/>
      <c r="N1968" s="33">
        <f t="shared" si="276"/>
        <v>0</v>
      </c>
      <c r="O1968" s="101"/>
      <c r="P1968" s="34" t="str">
        <f t="shared" si="277"/>
        <v/>
      </c>
      <c r="Q1968" s="60"/>
      <c r="R1968" s="36">
        <f t="shared" si="312"/>
        <v>0</v>
      </c>
      <c r="S1968" s="102"/>
      <c r="T1968" s="37">
        <f t="shared" si="302"/>
        <v>0</v>
      </c>
      <c r="U1968" s="62"/>
      <c r="V1968" s="63"/>
      <c r="W1968" s="63"/>
      <c r="X1968" s="35" t="str">
        <f t="shared" si="303"/>
        <v>#N/A</v>
      </c>
      <c r="Y1968" s="35" t="str">
        <f t="shared" si="304"/>
        <v>#N/A</v>
      </c>
      <c r="Z1968" s="40" t="str">
        <f t="shared" si="305"/>
        <v>#N/A</v>
      </c>
      <c r="AA1968" s="34" t="str">
        <f t="shared" si="306"/>
        <v>#N/A</v>
      </c>
      <c r="AB1968" s="41" t="str">
        <f t="shared" si="307"/>
        <v>#N/A</v>
      </c>
      <c r="AC1968" s="42" t="b">
        <v>0</v>
      </c>
      <c r="AD1968" s="66" t="str">
        <f t="shared" si="308"/>
        <v>USD</v>
      </c>
      <c r="AE1968" s="42"/>
      <c r="AF1968" s="42" t="str">
        <f t="array" ref="AF1968">INDEX('Deal Info'!D:D, MATCH(A1968,'Deal Info'!A:A, 0))</f>
        <v>#N/A</v>
      </c>
      <c r="AG1968" s="43" t="str">
        <f t="array" ref="AG1968">INDEX('Deal Info'!G:G, MATCH(A1968,'Deal Info'!A:A, 0))</f>
        <v>#N/A</v>
      </c>
    </row>
    <row r="1969" hidden="1">
      <c r="A1969" s="23" t="b">
        <f t="array" ref="A1969">if(G1969='Room Info'!$B$1, INDEX('Room Info'!$A$2:$A3446, MATCH(B1969,'Room Info'!$B$2:$B3446, 0)),if(G1969='Room Info'!$C$1, INDEX('Room Info'!$A$2:$A3446, MATCH(B1969,'Room Info'!$C$2:$C3446, 0)),if(G1969='Room Info'!$D$1, INDEX('Room Info'!$A$2:$A3446, MATCH(B1969,'Room Info'!$D$2:$D3446, 0)),if(G1969='Room Info'!$E$1, INDEX('Room Info'!$A$2:$A3446, MATCH(B1969,'Room Info'!$E$2:$E3446, 0)),if(G1969='Room Info'!$F$1, INDEX('Room Info'!$A$2:$A3446, MATCH(B1969,'Room Info'!$F$2:$F3446, 0)),if(G1969='Room Info'!$H$1, INDEX('Room Info'!$A$2:$A3446, MATCH(B1969,'Room Info'!$H$2:$H3446, 0)),if(G1969='Room Info'!$G$1, INDEX('Room Info'!$A$2:$A3446, MATCH(B1969,'Room Info'!$G$2:$G3446, 0)))))))))</f>
        <v>0</v>
      </c>
      <c r="B1969" s="101"/>
      <c r="C1969" s="141"/>
      <c r="D1969" s="141"/>
      <c r="E1969" s="142"/>
      <c r="F1969" s="138"/>
      <c r="G1969" s="101"/>
      <c r="H1969" s="105"/>
      <c r="I1969" s="105"/>
      <c r="J1969" s="44" t="str">
        <f t="shared" si="311"/>
        <v/>
      </c>
      <c r="K1969" s="139"/>
      <c r="L1969" s="140"/>
      <c r="M1969" s="84"/>
      <c r="N1969" s="33">
        <f t="shared" si="276"/>
        <v>0</v>
      </c>
      <c r="O1969" s="101"/>
      <c r="P1969" s="34" t="str">
        <f t="shared" si="277"/>
        <v/>
      </c>
      <c r="Q1969" s="60"/>
      <c r="R1969" s="36">
        <f t="shared" si="312"/>
        <v>0</v>
      </c>
      <c r="S1969" s="102"/>
      <c r="T1969" s="37">
        <f t="shared" si="302"/>
        <v>0</v>
      </c>
      <c r="U1969" s="62"/>
      <c r="V1969" s="63"/>
      <c r="W1969" s="63"/>
      <c r="X1969" s="35" t="str">
        <f t="shared" si="303"/>
        <v>#N/A</v>
      </c>
      <c r="Y1969" s="35" t="str">
        <f t="shared" si="304"/>
        <v>#N/A</v>
      </c>
      <c r="Z1969" s="40" t="str">
        <f t="shared" si="305"/>
        <v>#N/A</v>
      </c>
      <c r="AA1969" s="34" t="str">
        <f t="shared" si="306"/>
        <v>#N/A</v>
      </c>
      <c r="AB1969" s="41" t="str">
        <f t="shared" si="307"/>
        <v>#N/A</v>
      </c>
      <c r="AC1969" s="42" t="b">
        <v>0</v>
      </c>
      <c r="AD1969" s="66" t="str">
        <f t="shared" si="308"/>
        <v>USD</v>
      </c>
      <c r="AE1969" s="42"/>
      <c r="AF1969" s="42" t="str">
        <f t="array" ref="AF1969">INDEX('Deal Info'!D:D, MATCH(A1969,'Deal Info'!A:A, 0))</f>
        <v>#N/A</v>
      </c>
      <c r="AG1969" s="43" t="str">
        <f t="array" ref="AG1969">INDEX('Deal Info'!G:G, MATCH(A1969,'Deal Info'!A:A, 0))</f>
        <v>#N/A</v>
      </c>
    </row>
    <row r="1970" hidden="1">
      <c r="A1970" s="23" t="b">
        <f t="array" ref="A1970">if(G1970='Room Info'!$B$1, INDEX('Room Info'!$A$2:$A3446, MATCH(B1970,'Room Info'!$B$2:$B3446, 0)),if(G1970='Room Info'!$C$1, INDEX('Room Info'!$A$2:$A3446, MATCH(B1970,'Room Info'!$C$2:$C3446, 0)),if(G1970='Room Info'!$D$1, INDEX('Room Info'!$A$2:$A3446, MATCH(B1970,'Room Info'!$D$2:$D3446, 0)),if(G1970='Room Info'!$E$1, INDEX('Room Info'!$A$2:$A3446, MATCH(B1970,'Room Info'!$E$2:$E3446, 0)),if(G1970='Room Info'!$F$1, INDEX('Room Info'!$A$2:$A3446, MATCH(B1970,'Room Info'!$F$2:$F3446, 0)),if(G1970='Room Info'!$H$1, INDEX('Room Info'!$A$2:$A3446, MATCH(B1970,'Room Info'!$H$2:$H3446, 0)),if(G1970='Room Info'!$G$1, INDEX('Room Info'!$A$2:$A3446, MATCH(B1970,'Room Info'!$G$2:$G3446, 0)))))))))</f>
        <v>0</v>
      </c>
      <c r="B1970" s="101"/>
      <c r="C1970" s="141"/>
      <c r="D1970" s="141"/>
      <c r="E1970" s="142"/>
      <c r="F1970" s="138"/>
      <c r="G1970" s="101"/>
      <c r="H1970" s="105"/>
      <c r="I1970" s="105"/>
      <c r="J1970" s="44" t="str">
        <f t="shared" si="311"/>
        <v/>
      </c>
      <c r="K1970" s="139"/>
      <c r="L1970" s="140"/>
      <c r="M1970" s="84"/>
      <c r="N1970" s="33">
        <f t="shared" si="276"/>
        <v>0</v>
      </c>
      <c r="O1970" s="101"/>
      <c r="P1970" s="34" t="str">
        <f t="shared" si="277"/>
        <v/>
      </c>
      <c r="Q1970" s="60"/>
      <c r="R1970" s="36">
        <f t="shared" si="312"/>
        <v>0</v>
      </c>
      <c r="S1970" s="102"/>
      <c r="T1970" s="37">
        <f t="shared" si="302"/>
        <v>0</v>
      </c>
      <c r="U1970" s="62"/>
      <c r="V1970" s="63"/>
      <c r="W1970" s="63"/>
      <c r="X1970" s="35" t="str">
        <f t="shared" si="303"/>
        <v>#N/A</v>
      </c>
      <c r="Y1970" s="35" t="str">
        <f t="shared" si="304"/>
        <v>#N/A</v>
      </c>
      <c r="Z1970" s="40" t="str">
        <f t="shared" si="305"/>
        <v>#N/A</v>
      </c>
      <c r="AA1970" s="34" t="str">
        <f t="shared" si="306"/>
        <v>#N/A</v>
      </c>
      <c r="AB1970" s="41" t="str">
        <f t="shared" si="307"/>
        <v>#N/A</v>
      </c>
      <c r="AC1970" s="42" t="b">
        <v>0</v>
      </c>
      <c r="AD1970" s="66" t="str">
        <f t="shared" si="308"/>
        <v>USD</v>
      </c>
      <c r="AE1970" s="42"/>
      <c r="AF1970" s="42" t="str">
        <f t="array" ref="AF1970">INDEX('Deal Info'!D:D, MATCH(A1970,'Deal Info'!A:A, 0))</f>
        <v>#N/A</v>
      </c>
      <c r="AG1970" s="43" t="str">
        <f t="array" ref="AG1970">INDEX('Deal Info'!G:G, MATCH(A1970,'Deal Info'!A:A, 0))</f>
        <v>#N/A</v>
      </c>
    </row>
    <row r="1971" hidden="1">
      <c r="A1971" s="23" t="b">
        <f t="array" ref="A1971">if(G1971='Room Info'!$B$1, INDEX('Room Info'!$A$2:$A3446, MATCH(B1971,'Room Info'!$B$2:$B3446, 0)),if(G1971='Room Info'!$C$1, INDEX('Room Info'!$A$2:$A3446, MATCH(B1971,'Room Info'!$C$2:$C3446, 0)),if(G1971='Room Info'!$D$1, INDEX('Room Info'!$A$2:$A3446, MATCH(B1971,'Room Info'!$D$2:$D3446, 0)),if(G1971='Room Info'!$E$1, INDEX('Room Info'!$A$2:$A3446, MATCH(B1971,'Room Info'!$E$2:$E3446, 0)),if(G1971='Room Info'!$F$1, INDEX('Room Info'!$A$2:$A3446, MATCH(B1971,'Room Info'!$F$2:$F3446, 0)),if(G1971='Room Info'!$H$1, INDEX('Room Info'!$A$2:$A3446, MATCH(B1971,'Room Info'!$H$2:$H3446, 0)),if(G1971='Room Info'!$G$1, INDEX('Room Info'!$A$2:$A3446, MATCH(B1971,'Room Info'!$G$2:$G3446, 0)))))))))</f>
        <v>0</v>
      </c>
      <c r="B1971" s="101"/>
      <c r="C1971" s="141"/>
      <c r="D1971" s="141"/>
      <c r="E1971" s="142"/>
      <c r="F1971" s="138"/>
      <c r="G1971" s="101"/>
      <c r="H1971" s="105"/>
      <c r="I1971" s="105"/>
      <c r="J1971" s="44" t="str">
        <f t="shared" si="311"/>
        <v/>
      </c>
      <c r="K1971" s="139"/>
      <c r="L1971" s="140"/>
      <c r="M1971" s="84"/>
      <c r="N1971" s="33">
        <f t="shared" si="276"/>
        <v>0</v>
      </c>
      <c r="O1971" s="101"/>
      <c r="P1971" s="34" t="str">
        <f t="shared" si="277"/>
        <v/>
      </c>
      <c r="Q1971" s="60"/>
      <c r="R1971" s="36">
        <f t="shared" si="312"/>
        <v>0</v>
      </c>
      <c r="S1971" s="102"/>
      <c r="T1971" s="37">
        <f t="shared" si="302"/>
        <v>0</v>
      </c>
      <c r="U1971" s="62"/>
      <c r="V1971" s="63"/>
      <c r="W1971" s="63"/>
      <c r="X1971" s="35" t="str">
        <f t="shared" si="303"/>
        <v>#N/A</v>
      </c>
      <c r="Y1971" s="35" t="str">
        <f t="shared" si="304"/>
        <v>#N/A</v>
      </c>
      <c r="Z1971" s="40" t="str">
        <f t="shared" si="305"/>
        <v>#N/A</v>
      </c>
      <c r="AA1971" s="34" t="str">
        <f t="shared" si="306"/>
        <v>#N/A</v>
      </c>
      <c r="AB1971" s="41" t="str">
        <f t="shared" si="307"/>
        <v>#N/A</v>
      </c>
      <c r="AC1971" s="42" t="b">
        <v>0</v>
      </c>
      <c r="AD1971" s="66" t="str">
        <f t="shared" si="308"/>
        <v>USD</v>
      </c>
      <c r="AE1971" s="42"/>
      <c r="AF1971" s="42" t="str">
        <f t="array" ref="AF1971">INDEX('Deal Info'!D:D, MATCH(A1971,'Deal Info'!A:A, 0))</f>
        <v>#N/A</v>
      </c>
      <c r="AG1971" s="43" t="str">
        <f t="array" ref="AG1971">INDEX('Deal Info'!G:G, MATCH(A1971,'Deal Info'!A:A, 0))</f>
        <v>#N/A</v>
      </c>
    </row>
    <row r="1972" hidden="1">
      <c r="A1972" s="23" t="b">
        <f t="array" ref="A1972">if(G1972='Room Info'!$B$1, INDEX('Room Info'!$A$2:$A3446, MATCH(B1972,'Room Info'!$B$2:$B3446, 0)),if(G1972='Room Info'!$C$1, INDEX('Room Info'!$A$2:$A3446, MATCH(B1972,'Room Info'!$C$2:$C3446, 0)),if(G1972='Room Info'!$D$1, INDEX('Room Info'!$A$2:$A3446, MATCH(B1972,'Room Info'!$D$2:$D3446, 0)),if(G1972='Room Info'!$E$1, INDEX('Room Info'!$A$2:$A3446, MATCH(B1972,'Room Info'!$E$2:$E3446, 0)),if(G1972='Room Info'!$F$1, INDEX('Room Info'!$A$2:$A3446, MATCH(B1972,'Room Info'!$F$2:$F3446, 0)),if(G1972='Room Info'!$H$1, INDEX('Room Info'!$A$2:$A3446, MATCH(B1972,'Room Info'!$H$2:$H3446, 0)),if(G1972='Room Info'!$G$1, INDEX('Room Info'!$A$2:$A3446, MATCH(B1972,'Room Info'!$G$2:$G3446, 0)))))))))</f>
        <v>0</v>
      </c>
      <c r="B1972" s="101"/>
      <c r="C1972" s="115"/>
      <c r="D1972" s="115"/>
      <c r="E1972" s="85"/>
      <c r="F1972" s="101"/>
      <c r="G1972" s="70"/>
      <c r="H1972" s="114"/>
      <c r="I1972" s="114"/>
      <c r="J1972" s="44" t="str">
        <f t="shared" si="311"/>
        <v/>
      </c>
      <c r="K1972" s="116"/>
      <c r="L1972" s="117"/>
      <c r="M1972" s="67"/>
      <c r="N1972" s="33">
        <f t="shared" si="276"/>
        <v>0</v>
      </c>
      <c r="O1972" s="70"/>
      <c r="P1972" s="34" t="str">
        <f t="shared" si="277"/>
        <v/>
      </c>
      <c r="Q1972" s="60"/>
      <c r="R1972" s="36">
        <f t="shared" si="312"/>
        <v>0</v>
      </c>
      <c r="S1972" s="71"/>
      <c r="T1972" s="37">
        <f t="shared" si="302"/>
        <v>0</v>
      </c>
      <c r="U1972" s="62"/>
      <c r="V1972" s="63"/>
      <c r="W1972" s="63"/>
      <c r="X1972" s="35" t="str">
        <f t="shared" si="303"/>
        <v>#N/A</v>
      </c>
      <c r="Y1972" s="35" t="str">
        <f t="shared" si="304"/>
        <v>#N/A</v>
      </c>
      <c r="Z1972" s="40" t="str">
        <f t="shared" si="305"/>
        <v>#N/A</v>
      </c>
      <c r="AA1972" s="34" t="str">
        <f t="shared" si="306"/>
        <v>#N/A</v>
      </c>
      <c r="AB1972" s="41" t="str">
        <f t="shared" si="307"/>
        <v>#N/A</v>
      </c>
      <c r="AC1972" s="42" t="b">
        <v>0</v>
      </c>
      <c r="AD1972" s="66" t="str">
        <f t="shared" si="308"/>
        <v>USD</v>
      </c>
      <c r="AE1972" s="42"/>
      <c r="AF1972" s="42" t="str">
        <f t="array" ref="AF1972">INDEX('Deal Info'!D:D, MATCH(A1972,'Deal Info'!A:A, 0))</f>
        <v>#N/A</v>
      </c>
      <c r="AG1972" s="43" t="str">
        <f t="array" ref="AG1972">INDEX('Deal Info'!G:G, MATCH(A1972,'Deal Info'!A:A, 0))</f>
        <v>#N/A</v>
      </c>
    </row>
    <row r="1973" hidden="1">
      <c r="A1973" s="23" t="b">
        <f t="array" ref="A1973">if(G1973='Room Info'!$B$1, INDEX('Room Info'!$A$2:$A3446, MATCH(B1973,'Room Info'!$B$2:$B3446, 0)),if(G1973='Room Info'!$C$1, INDEX('Room Info'!$A$2:$A3446, MATCH(B1973,'Room Info'!$C$2:$C3446, 0)),if(G1973='Room Info'!$D$1, INDEX('Room Info'!$A$2:$A3446, MATCH(B1973,'Room Info'!$D$2:$D3446, 0)),if(G1973='Room Info'!$E$1, INDEX('Room Info'!$A$2:$A3446, MATCH(B1973,'Room Info'!$E$2:$E3446, 0)),if(G1973='Room Info'!$F$1, INDEX('Room Info'!$A$2:$A3446, MATCH(B1973,'Room Info'!$F$2:$F3446, 0)),if(G1973='Room Info'!$H$1, INDEX('Room Info'!$A$2:$A3446, MATCH(B1973,'Room Info'!$H$2:$H3446, 0)),if(G1973='Room Info'!$G$1, INDEX('Room Info'!$A$2:$A3446, MATCH(B1973,'Room Info'!$G$2:$G3446, 0)))))))))</f>
        <v>0</v>
      </c>
      <c r="B1973" s="101"/>
      <c r="C1973" s="141"/>
      <c r="D1973" s="141"/>
      <c r="E1973" s="142"/>
      <c r="F1973" s="138"/>
      <c r="G1973" s="101"/>
      <c r="H1973" s="105"/>
      <c r="I1973" s="105"/>
      <c r="J1973" s="44" t="str">
        <f t="shared" si="311"/>
        <v/>
      </c>
      <c r="K1973" s="139"/>
      <c r="L1973" s="140"/>
      <c r="M1973" s="84"/>
      <c r="N1973" s="33">
        <f t="shared" si="276"/>
        <v>0</v>
      </c>
      <c r="O1973" s="101"/>
      <c r="P1973" s="34" t="str">
        <f t="shared" si="277"/>
        <v/>
      </c>
      <c r="Q1973" s="60"/>
      <c r="R1973" s="36">
        <f t="shared" si="312"/>
        <v>0</v>
      </c>
      <c r="S1973" s="102"/>
      <c r="T1973" s="37">
        <f t="shared" si="302"/>
        <v>0</v>
      </c>
      <c r="U1973" s="62"/>
      <c r="V1973" s="63"/>
      <c r="W1973" s="63"/>
      <c r="X1973" s="35" t="str">
        <f t="shared" si="303"/>
        <v>#N/A</v>
      </c>
      <c r="Y1973" s="35" t="str">
        <f t="shared" si="304"/>
        <v>#N/A</v>
      </c>
      <c r="Z1973" s="40" t="str">
        <f t="shared" si="305"/>
        <v>#N/A</v>
      </c>
      <c r="AA1973" s="34" t="str">
        <f t="shared" si="306"/>
        <v>#N/A</v>
      </c>
      <c r="AB1973" s="41" t="str">
        <f t="shared" si="307"/>
        <v>#N/A</v>
      </c>
      <c r="AC1973" s="42" t="b">
        <v>0</v>
      </c>
      <c r="AD1973" s="66" t="str">
        <f t="shared" si="308"/>
        <v>USD</v>
      </c>
      <c r="AE1973" s="42"/>
      <c r="AF1973" s="42" t="str">
        <f t="array" ref="AF1973">INDEX('Deal Info'!D:D, MATCH(A1973,'Deal Info'!A:A, 0))</f>
        <v>#N/A</v>
      </c>
      <c r="AG1973" s="43" t="str">
        <f t="array" ref="AG1973">INDEX('Deal Info'!G:G, MATCH(A1973,'Deal Info'!A:A, 0))</f>
        <v>#N/A</v>
      </c>
    </row>
    <row r="1974" hidden="1">
      <c r="A1974" s="23" t="b">
        <f t="array" ref="A1974">if(G1974='Room Info'!$B$1, INDEX('Room Info'!$A$2:$A3446, MATCH(B1974,'Room Info'!$B$2:$B3446, 0)),if(G1974='Room Info'!$C$1, INDEX('Room Info'!$A$2:$A3446, MATCH(B1974,'Room Info'!$C$2:$C3446, 0)),if(G1974='Room Info'!$D$1, INDEX('Room Info'!$A$2:$A3446, MATCH(B1974,'Room Info'!$D$2:$D3446, 0)),if(G1974='Room Info'!$E$1, INDEX('Room Info'!$A$2:$A3446, MATCH(B1974,'Room Info'!$E$2:$E3446, 0)),if(G1974='Room Info'!$F$1, INDEX('Room Info'!$A$2:$A3446, MATCH(B1974,'Room Info'!$F$2:$F3446, 0)),if(G1974='Room Info'!$H$1, INDEX('Room Info'!$A$2:$A3446, MATCH(B1974,'Room Info'!$H$2:$H3446, 0)),if(G1974='Room Info'!$G$1, INDEX('Room Info'!$A$2:$A3446, MATCH(B1974,'Room Info'!$G$2:$G3446, 0)))))))))</f>
        <v>0</v>
      </c>
      <c r="B1974" s="101"/>
      <c r="C1974" s="141"/>
      <c r="D1974" s="141"/>
      <c r="E1974" s="142"/>
      <c r="F1974" s="138"/>
      <c r="G1974" s="101"/>
      <c r="H1974" s="105"/>
      <c r="I1974" s="105"/>
      <c r="J1974" s="44" t="str">
        <f t="shared" si="311"/>
        <v/>
      </c>
      <c r="K1974" s="139"/>
      <c r="L1974" s="140"/>
      <c r="M1974" s="84"/>
      <c r="N1974" s="33">
        <f t="shared" si="276"/>
        <v>0</v>
      </c>
      <c r="O1974" s="101"/>
      <c r="P1974" s="34" t="str">
        <f t="shared" si="277"/>
        <v/>
      </c>
      <c r="Q1974" s="60"/>
      <c r="R1974" s="36">
        <f t="shared" si="312"/>
        <v>0</v>
      </c>
      <c r="S1974" s="102"/>
      <c r="T1974" s="37">
        <f t="shared" si="302"/>
        <v>0</v>
      </c>
      <c r="U1974" s="62"/>
      <c r="V1974" s="63"/>
      <c r="W1974" s="63"/>
      <c r="X1974" s="35" t="str">
        <f t="shared" si="303"/>
        <v>#N/A</v>
      </c>
      <c r="Y1974" s="35" t="str">
        <f t="shared" si="304"/>
        <v>#N/A</v>
      </c>
      <c r="Z1974" s="40" t="str">
        <f t="shared" si="305"/>
        <v>#N/A</v>
      </c>
      <c r="AA1974" s="34" t="str">
        <f t="shared" si="306"/>
        <v>#N/A</v>
      </c>
      <c r="AB1974" s="41" t="str">
        <f t="shared" si="307"/>
        <v>#N/A</v>
      </c>
      <c r="AC1974" s="42" t="b">
        <v>0</v>
      </c>
      <c r="AD1974" s="66" t="str">
        <f t="shared" si="308"/>
        <v>USD</v>
      </c>
      <c r="AE1974" s="42"/>
      <c r="AF1974" s="42" t="str">
        <f t="array" ref="AF1974">INDEX('Deal Info'!D:D, MATCH(A1974,'Deal Info'!A:A, 0))</f>
        <v>#N/A</v>
      </c>
      <c r="AG1974" s="43" t="str">
        <f t="array" ref="AG1974">INDEX('Deal Info'!G:G, MATCH(A1974,'Deal Info'!A:A, 0))</f>
        <v>#N/A</v>
      </c>
    </row>
    <row r="1975" hidden="1">
      <c r="A1975" s="23" t="b">
        <f t="array" ref="A1975">if(G1975='Room Info'!$B$1, INDEX('Room Info'!$A$2:$A3446, MATCH(B1975,'Room Info'!$B$2:$B3446, 0)),if(G1975='Room Info'!$C$1, INDEX('Room Info'!$A$2:$A3446, MATCH(B1975,'Room Info'!$C$2:$C3446, 0)),if(G1975='Room Info'!$D$1, INDEX('Room Info'!$A$2:$A3446, MATCH(B1975,'Room Info'!$D$2:$D3446, 0)),if(G1975='Room Info'!$E$1, INDEX('Room Info'!$A$2:$A3446, MATCH(B1975,'Room Info'!$E$2:$E3446, 0)),if(G1975='Room Info'!$F$1, INDEX('Room Info'!$A$2:$A3446, MATCH(B1975,'Room Info'!$F$2:$F3446, 0)),if(G1975='Room Info'!$H$1, INDEX('Room Info'!$A$2:$A3446, MATCH(B1975,'Room Info'!$H$2:$H3446, 0)),if(G1975='Room Info'!$G$1, INDEX('Room Info'!$A$2:$A3446, MATCH(B1975,'Room Info'!$G$2:$G3446, 0)))))))))</f>
        <v>0</v>
      </c>
      <c r="B1975" s="101"/>
      <c r="C1975" s="141"/>
      <c r="D1975" s="141"/>
      <c r="E1975" s="142"/>
      <c r="F1975" s="101"/>
      <c r="G1975" s="70"/>
      <c r="H1975" s="114"/>
      <c r="I1975" s="114"/>
      <c r="J1975" s="44" t="str">
        <f t="shared" si="311"/>
        <v/>
      </c>
      <c r="K1975" s="116"/>
      <c r="L1975" s="117"/>
      <c r="M1975" s="67"/>
      <c r="N1975" s="33">
        <f t="shared" si="276"/>
        <v>0</v>
      </c>
      <c r="O1975" s="70"/>
      <c r="P1975" s="34" t="str">
        <f t="shared" si="277"/>
        <v/>
      </c>
      <c r="Q1975" s="60"/>
      <c r="R1975" s="36">
        <f t="shared" si="312"/>
        <v>0</v>
      </c>
      <c r="S1975" s="71"/>
      <c r="T1975" s="37">
        <f t="shared" si="302"/>
        <v>0</v>
      </c>
      <c r="U1975" s="62"/>
      <c r="V1975" s="63"/>
      <c r="W1975" s="63"/>
      <c r="X1975" s="35" t="str">
        <f t="shared" si="303"/>
        <v>#N/A</v>
      </c>
      <c r="Y1975" s="35" t="str">
        <f t="shared" si="304"/>
        <v>#N/A</v>
      </c>
      <c r="Z1975" s="40" t="str">
        <f t="shared" si="305"/>
        <v>#N/A</v>
      </c>
      <c r="AA1975" s="34" t="str">
        <f t="shared" si="306"/>
        <v>#N/A</v>
      </c>
      <c r="AB1975" s="41" t="str">
        <f t="shared" si="307"/>
        <v>#N/A</v>
      </c>
      <c r="AC1975" s="42" t="b">
        <v>0</v>
      </c>
      <c r="AD1975" s="66" t="str">
        <f t="shared" si="308"/>
        <v>USD</v>
      </c>
      <c r="AE1975" s="42"/>
      <c r="AF1975" s="42" t="str">
        <f t="array" ref="AF1975">INDEX('Deal Info'!D:D, MATCH(A1975,'Deal Info'!A:A, 0))</f>
        <v>#N/A</v>
      </c>
      <c r="AG1975" s="43" t="str">
        <f t="array" ref="AG1975">INDEX('Deal Info'!G:G, MATCH(A1975,'Deal Info'!A:A, 0))</f>
        <v>#N/A</v>
      </c>
    </row>
    <row r="1976" hidden="1">
      <c r="A1976" s="23" t="b">
        <f t="array" ref="A1976">if(G1976='Room Info'!$B$1, INDEX('Room Info'!$A$2:$A3446, MATCH(B1976,'Room Info'!$B$2:$B3446, 0)),if(G1976='Room Info'!$C$1, INDEX('Room Info'!$A$2:$A3446, MATCH(B1976,'Room Info'!$C$2:$C3446, 0)),if(G1976='Room Info'!$D$1, INDEX('Room Info'!$A$2:$A3446, MATCH(B1976,'Room Info'!$D$2:$D3446, 0)),if(G1976='Room Info'!$E$1, INDEX('Room Info'!$A$2:$A3446, MATCH(B1976,'Room Info'!$E$2:$E3446, 0)),if(G1976='Room Info'!$F$1, INDEX('Room Info'!$A$2:$A3446, MATCH(B1976,'Room Info'!$F$2:$F3446, 0)),if(G1976='Room Info'!$H$1, INDEX('Room Info'!$A$2:$A3446, MATCH(B1976,'Room Info'!$H$2:$H3446, 0)),if(G1976='Room Info'!$G$1, INDEX('Room Info'!$A$2:$A3446, MATCH(B1976,'Room Info'!$G$2:$G3446, 0)))))))))</f>
        <v>0</v>
      </c>
      <c r="B1976" s="101"/>
      <c r="C1976" s="141"/>
      <c r="D1976" s="141"/>
      <c r="E1976" s="142"/>
      <c r="F1976" s="101"/>
      <c r="G1976" s="70"/>
      <c r="H1976" s="114"/>
      <c r="I1976" s="114"/>
      <c r="J1976" s="44" t="str">
        <f t="shared" si="311"/>
        <v/>
      </c>
      <c r="K1976" s="116"/>
      <c r="L1976" s="117"/>
      <c r="M1976" s="67"/>
      <c r="N1976" s="33">
        <f t="shared" si="276"/>
        <v>0</v>
      </c>
      <c r="O1976" s="70"/>
      <c r="P1976" s="34" t="str">
        <f t="shared" si="277"/>
        <v/>
      </c>
      <c r="Q1976" s="60"/>
      <c r="R1976" s="36">
        <f t="shared" si="312"/>
        <v>0</v>
      </c>
      <c r="S1976" s="71"/>
      <c r="T1976" s="37">
        <f t="shared" si="302"/>
        <v>0</v>
      </c>
      <c r="U1976" s="62"/>
      <c r="V1976" s="63"/>
      <c r="W1976" s="63"/>
      <c r="X1976" s="35" t="str">
        <f t="shared" si="303"/>
        <v>#N/A</v>
      </c>
      <c r="Y1976" s="35" t="str">
        <f t="shared" si="304"/>
        <v>#N/A</v>
      </c>
      <c r="Z1976" s="40" t="str">
        <f t="shared" si="305"/>
        <v>#N/A</v>
      </c>
      <c r="AA1976" s="34" t="str">
        <f t="shared" si="306"/>
        <v>#N/A</v>
      </c>
      <c r="AB1976" s="41" t="str">
        <f t="shared" si="307"/>
        <v>#N/A</v>
      </c>
      <c r="AC1976" s="42" t="b">
        <v>0</v>
      </c>
      <c r="AD1976" s="66" t="str">
        <f t="shared" si="308"/>
        <v>USD</v>
      </c>
      <c r="AE1976" s="42"/>
      <c r="AF1976" s="42" t="str">
        <f t="array" ref="AF1976">INDEX('Deal Info'!D:D, MATCH(A1976,'Deal Info'!A:A, 0))</f>
        <v>#N/A</v>
      </c>
      <c r="AG1976" s="43" t="str">
        <f t="array" ref="AG1976">INDEX('Deal Info'!G:G, MATCH(A1976,'Deal Info'!A:A, 0))</f>
        <v>#N/A</v>
      </c>
    </row>
    <row r="1977" hidden="1">
      <c r="A1977" s="23" t="b">
        <f t="array" ref="A1977">if(G1977='Room Info'!$B$1, INDEX('Room Info'!$A$2:$A3446, MATCH(B1977,'Room Info'!$B$2:$B3446, 0)),if(G1977='Room Info'!$C$1, INDEX('Room Info'!$A$2:$A3446, MATCH(B1977,'Room Info'!$C$2:$C3446, 0)),if(G1977='Room Info'!$D$1, INDEX('Room Info'!$A$2:$A3446, MATCH(B1977,'Room Info'!$D$2:$D3446, 0)),if(G1977='Room Info'!$E$1, INDEX('Room Info'!$A$2:$A3446, MATCH(B1977,'Room Info'!$E$2:$E3446, 0)),if(G1977='Room Info'!$F$1, INDEX('Room Info'!$A$2:$A3446, MATCH(B1977,'Room Info'!$F$2:$F3446, 0)),if(G1977='Room Info'!$H$1, INDEX('Room Info'!$A$2:$A3446, MATCH(B1977,'Room Info'!$H$2:$H3446, 0)),if(G1977='Room Info'!$G$1, INDEX('Room Info'!$A$2:$A3446, MATCH(B1977,'Room Info'!$G$2:$G3446, 0)))))))))</f>
        <v>0</v>
      </c>
      <c r="B1977" s="101"/>
      <c r="C1977" s="141"/>
      <c r="D1977" s="141"/>
      <c r="E1977" s="142"/>
      <c r="F1977" s="138"/>
      <c r="G1977" s="70"/>
      <c r="H1977" s="114"/>
      <c r="I1977" s="114"/>
      <c r="J1977" s="44" t="str">
        <f t="shared" si="311"/>
        <v/>
      </c>
      <c r="K1977" s="116"/>
      <c r="L1977" s="117"/>
      <c r="M1977" s="67"/>
      <c r="N1977" s="33">
        <f t="shared" si="276"/>
        <v>0</v>
      </c>
      <c r="O1977" s="70"/>
      <c r="P1977" s="34" t="str">
        <f t="shared" si="277"/>
        <v/>
      </c>
      <c r="Q1977" s="60"/>
      <c r="R1977" s="36">
        <f t="shared" si="312"/>
        <v>0</v>
      </c>
      <c r="S1977" s="71"/>
      <c r="T1977" s="37">
        <f t="shared" si="302"/>
        <v>0</v>
      </c>
      <c r="U1977" s="62"/>
      <c r="V1977" s="63"/>
      <c r="W1977" s="63"/>
      <c r="X1977" s="35" t="str">
        <f t="shared" si="303"/>
        <v>#N/A</v>
      </c>
      <c r="Y1977" s="35" t="str">
        <f t="shared" si="304"/>
        <v>#N/A</v>
      </c>
      <c r="Z1977" s="40" t="str">
        <f t="shared" si="305"/>
        <v>#N/A</v>
      </c>
      <c r="AA1977" s="34" t="str">
        <f t="shared" si="306"/>
        <v>#N/A</v>
      </c>
      <c r="AB1977" s="41" t="str">
        <f t="shared" si="307"/>
        <v>#N/A</v>
      </c>
      <c r="AC1977" s="42" t="b">
        <v>0</v>
      </c>
      <c r="AD1977" s="66" t="str">
        <f t="shared" si="308"/>
        <v>USD</v>
      </c>
      <c r="AE1977" s="42"/>
      <c r="AF1977" s="42" t="str">
        <f t="array" ref="AF1977">INDEX('Deal Info'!D:D, MATCH(A1977,'Deal Info'!A:A, 0))</f>
        <v>#N/A</v>
      </c>
      <c r="AG1977" s="43" t="str">
        <f t="array" ref="AG1977">INDEX('Deal Info'!G:G, MATCH(A1977,'Deal Info'!A:A, 0))</f>
        <v>#N/A</v>
      </c>
    </row>
    <row r="1978" hidden="1">
      <c r="A1978" s="23" t="b">
        <f t="array" ref="A1978">if(G1978='Room Info'!$B$1, INDEX('Room Info'!$A$2:$A3446, MATCH(B1978,'Room Info'!$B$2:$B3446, 0)),if(G1978='Room Info'!$C$1, INDEX('Room Info'!$A$2:$A3446, MATCH(B1978,'Room Info'!$C$2:$C3446, 0)),if(G1978='Room Info'!$D$1, INDEX('Room Info'!$A$2:$A3446, MATCH(B1978,'Room Info'!$D$2:$D3446, 0)),if(G1978='Room Info'!$E$1, INDEX('Room Info'!$A$2:$A3446, MATCH(B1978,'Room Info'!$E$2:$E3446, 0)),if(G1978='Room Info'!$F$1, INDEX('Room Info'!$A$2:$A3446, MATCH(B1978,'Room Info'!$F$2:$F3446, 0)),if(G1978='Room Info'!$H$1, INDEX('Room Info'!$A$2:$A3446, MATCH(B1978,'Room Info'!$H$2:$H3446, 0)),if(G1978='Room Info'!$G$1, INDEX('Room Info'!$A$2:$A3446, MATCH(B1978,'Room Info'!$G$2:$G3446, 0)))))))))</f>
        <v>0</v>
      </c>
      <c r="B1978" s="101"/>
      <c r="C1978" s="141"/>
      <c r="D1978" s="141"/>
      <c r="E1978" s="142"/>
      <c r="F1978" s="138"/>
      <c r="G1978" s="70"/>
      <c r="H1978" s="114"/>
      <c r="I1978" s="114"/>
      <c r="J1978" s="44" t="str">
        <f t="shared" si="311"/>
        <v/>
      </c>
      <c r="K1978" s="116"/>
      <c r="L1978" s="117"/>
      <c r="M1978" s="67"/>
      <c r="N1978" s="33">
        <f t="shared" si="276"/>
        <v>0</v>
      </c>
      <c r="O1978" s="70"/>
      <c r="P1978" s="34" t="str">
        <f t="shared" si="277"/>
        <v/>
      </c>
      <c r="Q1978" s="60"/>
      <c r="R1978" s="36">
        <f t="shared" si="312"/>
        <v>0</v>
      </c>
      <c r="S1978" s="71"/>
      <c r="T1978" s="37">
        <f t="shared" si="302"/>
        <v>0</v>
      </c>
      <c r="U1978" s="62"/>
      <c r="V1978" s="63"/>
      <c r="W1978" s="63"/>
      <c r="X1978" s="35" t="str">
        <f t="shared" si="303"/>
        <v>#N/A</v>
      </c>
      <c r="Y1978" s="35" t="str">
        <f t="shared" si="304"/>
        <v>#N/A</v>
      </c>
      <c r="Z1978" s="40" t="str">
        <f t="shared" si="305"/>
        <v>#N/A</v>
      </c>
      <c r="AA1978" s="34" t="str">
        <f t="shared" si="306"/>
        <v>#N/A</v>
      </c>
      <c r="AB1978" s="41" t="str">
        <f t="shared" si="307"/>
        <v>#N/A</v>
      </c>
      <c r="AC1978" s="42" t="b">
        <v>0</v>
      </c>
      <c r="AD1978" s="66" t="str">
        <f t="shared" si="308"/>
        <v>USD</v>
      </c>
      <c r="AE1978" s="42"/>
      <c r="AF1978" s="42" t="str">
        <f t="array" ref="AF1978">INDEX('Deal Info'!D:D, MATCH(A1978,'Deal Info'!A:A, 0))</f>
        <v>#N/A</v>
      </c>
      <c r="AG1978" s="43" t="str">
        <f t="array" ref="AG1978">INDEX('Deal Info'!G:G, MATCH(A1978,'Deal Info'!A:A, 0))</f>
        <v>#N/A</v>
      </c>
    </row>
    <row r="1979" hidden="1">
      <c r="A1979" s="23" t="b">
        <f t="array" ref="A1979">if(G1979='Room Info'!$B$1, INDEX('Room Info'!$A$2:$A3446, MATCH(B1979,'Room Info'!$B$2:$B3446, 0)),if(G1979='Room Info'!$C$1, INDEX('Room Info'!$A$2:$A3446, MATCH(B1979,'Room Info'!$C$2:$C3446, 0)),if(G1979='Room Info'!$D$1, INDEX('Room Info'!$A$2:$A3446, MATCH(B1979,'Room Info'!$D$2:$D3446, 0)),if(G1979='Room Info'!$E$1, INDEX('Room Info'!$A$2:$A3446, MATCH(B1979,'Room Info'!$E$2:$E3446, 0)),if(G1979='Room Info'!$F$1, INDEX('Room Info'!$A$2:$A3446, MATCH(B1979,'Room Info'!$F$2:$F3446, 0)),if(G1979='Room Info'!$H$1, INDEX('Room Info'!$A$2:$A3446, MATCH(B1979,'Room Info'!$H$2:$H3446, 0)),if(G1979='Room Info'!$G$1, INDEX('Room Info'!$A$2:$A3446, MATCH(B1979,'Room Info'!$G$2:$G3446, 0)))))))))</f>
        <v>0</v>
      </c>
      <c r="B1979" s="101"/>
      <c r="C1979" s="115"/>
      <c r="D1979" s="115"/>
      <c r="E1979" s="85"/>
      <c r="F1979" s="138"/>
      <c r="G1979" s="70"/>
      <c r="H1979" s="114"/>
      <c r="I1979" s="114"/>
      <c r="J1979" s="44" t="str">
        <f t="shared" si="311"/>
        <v/>
      </c>
      <c r="K1979" s="116"/>
      <c r="L1979" s="117"/>
      <c r="M1979" s="67"/>
      <c r="N1979" s="33">
        <f t="shared" si="276"/>
        <v>0</v>
      </c>
      <c r="O1979" s="70"/>
      <c r="P1979" s="34" t="str">
        <f t="shared" si="277"/>
        <v/>
      </c>
      <c r="Q1979" s="60"/>
      <c r="R1979" s="36">
        <f t="shared" si="312"/>
        <v>0</v>
      </c>
      <c r="S1979" s="71"/>
      <c r="T1979" s="37">
        <f t="shared" si="302"/>
        <v>0</v>
      </c>
      <c r="U1979" s="62"/>
      <c r="V1979" s="63"/>
      <c r="W1979" s="63"/>
      <c r="X1979" s="35" t="str">
        <f t="shared" si="303"/>
        <v>#N/A</v>
      </c>
      <c r="Y1979" s="35" t="str">
        <f t="shared" si="304"/>
        <v>#N/A</v>
      </c>
      <c r="Z1979" s="40" t="str">
        <f t="shared" si="305"/>
        <v>#N/A</v>
      </c>
      <c r="AA1979" s="34" t="str">
        <f t="shared" si="306"/>
        <v>#N/A</v>
      </c>
      <c r="AB1979" s="41" t="str">
        <f t="shared" si="307"/>
        <v>#N/A</v>
      </c>
      <c r="AC1979" s="42" t="b">
        <v>0</v>
      </c>
      <c r="AD1979" s="66" t="str">
        <f t="shared" si="308"/>
        <v>USD</v>
      </c>
      <c r="AE1979" s="42"/>
      <c r="AF1979" s="42" t="str">
        <f t="array" ref="AF1979">INDEX('Deal Info'!D:D, MATCH(A1979,'Deal Info'!A:A, 0))</f>
        <v>#N/A</v>
      </c>
      <c r="AG1979" s="43" t="str">
        <f t="array" ref="AG1979">INDEX('Deal Info'!G:G, MATCH(A1979,'Deal Info'!A:A, 0))</f>
        <v>#N/A</v>
      </c>
    </row>
    <row r="1980" hidden="1">
      <c r="A1980" s="23" t="b">
        <f t="array" ref="A1980">if(G1980='Room Info'!$B$1, INDEX('Room Info'!$A$2:$A3446, MATCH(B1980,'Room Info'!$B$2:$B3446, 0)),if(G1980='Room Info'!$C$1, INDEX('Room Info'!$A$2:$A3446, MATCH(B1980,'Room Info'!$C$2:$C3446, 0)),if(G1980='Room Info'!$D$1, INDEX('Room Info'!$A$2:$A3446, MATCH(B1980,'Room Info'!$D$2:$D3446, 0)),if(G1980='Room Info'!$E$1, INDEX('Room Info'!$A$2:$A3446, MATCH(B1980,'Room Info'!$E$2:$E3446, 0)),if(G1980='Room Info'!$F$1, INDEX('Room Info'!$A$2:$A3446, MATCH(B1980,'Room Info'!$F$2:$F3446, 0)),if(G1980='Room Info'!$H$1, INDEX('Room Info'!$A$2:$A3446, MATCH(B1980,'Room Info'!$H$2:$H3446, 0)),if(G1980='Room Info'!$G$1, INDEX('Room Info'!$A$2:$A3446, MATCH(B1980,'Room Info'!$G$2:$G3446, 0)))))))))</f>
        <v>0</v>
      </c>
      <c r="B1980" s="101"/>
      <c r="C1980" s="115"/>
      <c r="D1980" s="115"/>
      <c r="E1980" s="85"/>
      <c r="F1980" s="138"/>
      <c r="G1980" s="70"/>
      <c r="H1980" s="114"/>
      <c r="I1980" s="114"/>
      <c r="J1980" s="44" t="str">
        <f t="shared" si="311"/>
        <v/>
      </c>
      <c r="K1980" s="116"/>
      <c r="L1980" s="117"/>
      <c r="M1980" s="67"/>
      <c r="N1980" s="33">
        <f t="shared" si="276"/>
        <v>0</v>
      </c>
      <c r="O1980" s="70"/>
      <c r="P1980" s="34" t="str">
        <f t="shared" si="277"/>
        <v/>
      </c>
      <c r="Q1980" s="60"/>
      <c r="R1980" s="36">
        <f t="shared" si="312"/>
        <v>0</v>
      </c>
      <c r="S1980" s="71"/>
      <c r="T1980" s="37">
        <f t="shared" si="302"/>
        <v>0</v>
      </c>
      <c r="U1980" s="62"/>
      <c r="V1980" s="63"/>
      <c r="W1980" s="63"/>
      <c r="X1980" s="35" t="str">
        <f t="shared" si="303"/>
        <v>#N/A</v>
      </c>
      <c r="Y1980" s="35" t="str">
        <f t="shared" si="304"/>
        <v>#N/A</v>
      </c>
      <c r="Z1980" s="40" t="str">
        <f t="shared" si="305"/>
        <v>#N/A</v>
      </c>
      <c r="AA1980" s="34" t="str">
        <f t="shared" si="306"/>
        <v>#N/A</v>
      </c>
      <c r="AB1980" s="41" t="str">
        <f t="shared" si="307"/>
        <v>#N/A</v>
      </c>
      <c r="AC1980" s="42" t="b">
        <v>0</v>
      </c>
      <c r="AD1980" s="66" t="str">
        <f t="shared" si="308"/>
        <v>USD</v>
      </c>
      <c r="AE1980" s="42"/>
      <c r="AF1980" s="42" t="str">
        <f t="array" ref="AF1980">INDEX('Deal Info'!D:D, MATCH(A1980,'Deal Info'!A:A, 0))</f>
        <v>#N/A</v>
      </c>
      <c r="AG1980" s="43" t="str">
        <f t="array" ref="AG1980">INDEX('Deal Info'!G:G, MATCH(A1980,'Deal Info'!A:A, 0))</f>
        <v>#N/A</v>
      </c>
    </row>
    <row r="1981" hidden="1">
      <c r="A1981" s="23" t="b">
        <f t="array" ref="A1981">if(G1981='Room Info'!$B$1, INDEX('Room Info'!$A$2:$A3446, MATCH(B1981,'Room Info'!$B$2:$B3446, 0)),if(G1981='Room Info'!$C$1, INDEX('Room Info'!$A$2:$A3446, MATCH(B1981,'Room Info'!$C$2:$C3446, 0)),if(G1981='Room Info'!$D$1, INDEX('Room Info'!$A$2:$A3446, MATCH(B1981,'Room Info'!$D$2:$D3446, 0)),if(G1981='Room Info'!$E$1, INDEX('Room Info'!$A$2:$A3446, MATCH(B1981,'Room Info'!$E$2:$E3446, 0)),if(G1981='Room Info'!$F$1, INDEX('Room Info'!$A$2:$A3446, MATCH(B1981,'Room Info'!$F$2:$F3446, 0)),if(G1981='Room Info'!$H$1, INDEX('Room Info'!$A$2:$A3446, MATCH(B1981,'Room Info'!$H$2:$H3446, 0)),if(G1981='Room Info'!$G$1, INDEX('Room Info'!$A$2:$A3446, MATCH(B1981,'Room Info'!$G$2:$G3446, 0)))))))))</f>
        <v>0</v>
      </c>
      <c r="B1981" s="101"/>
      <c r="C1981" s="115"/>
      <c r="D1981" s="115"/>
      <c r="E1981" s="85"/>
      <c r="F1981" s="138"/>
      <c r="G1981" s="70"/>
      <c r="H1981" s="114"/>
      <c r="I1981" s="114"/>
      <c r="J1981" s="44" t="str">
        <f t="shared" si="311"/>
        <v/>
      </c>
      <c r="K1981" s="116"/>
      <c r="L1981" s="117"/>
      <c r="M1981" s="67"/>
      <c r="N1981" s="33">
        <f t="shared" si="276"/>
        <v>0</v>
      </c>
      <c r="O1981" s="70"/>
      <c r="P1981" s="34" t="str">
        <f t="shared" si="277"/>
        <v/>
      </c>
      <c r="Q1981" s="60"/>
      <c r="R1981" s="36">
        <f t="shared" si="312"/>
        <v>0</v>
      </c>
      <c r="S1981" s="71"/>
      <c r="T1981" s="37">
        <f t="shared" si="302"/>
        <v>0</v>
      </c>
      <c r="U1981" s="62"/>
      <c r="V1981" s="63"/>
      <c r="W1981" s="63"/>
      <c r="X1981" s="35" t="str">
        <f t="shared" si="303"/>
        <v>#N/A</v>
      </c>
      <c r="Y1981" s="35" t="str">
        <f t="shared" si="304"/>
        <v>#N/A</v>
      </c>
      <c r="Z1981" s="40" t="str">
        <f t="shared" si="305"/>
        <v>#N/A</v>
      </c>
      <c r="AA1981" s="34" t="str">
        <f t="shared" si="306"/>
        <v>#N/A</v>
      </c>
      <c r="AB1981" s="41" t="str">
        <f t="shared" si="307"/>
        <v>#N/A</v>
      </c>
      <c r="AC1981" s="42" t="b">
        <v>0</v>
      </c>
      <c r="AD1981" s="66" t="str">
        <f t="shared" si="308"/>
        <v>USD</v>
      </c>
      <c r="AE1981" s="42"/>
      <c r="AF1981" s="42" t="str">
        <f t="array" ref="AF1981">INDEX('Deal Info'!D:D, MATCH(A1981,'Deal Info'!A:A, 0))</f>
        <v>#N/A</v>
      </c>
      <c r="AG1981" s="43" t="str">
        <f t="array" ref="AG1981">INDEX('Deal Info'!G:G, MATCH(A1981,'Deal Info'!A:A, 0))</f>
        <v>#N/A</v>
      </c>
    </row>
    <row r="1982" hidden="1">
      <c r="A1982" s="23" t="b">
        <f t="array" ref="A1982">if(G1982='Room Info'!$B$1, INDEX('Room Info'!$A$2:$A3446, MATCH(B1982,'Room Info'!$B$2:$B3446, 0)),if(G1982='Room Info'!$C$1, INDEX('Room Info'!$A$2:$A3446, MATCH(B1982,'Room Info'!$C$2:$C3446, 0)),if(G1982='Room Info'!$D$1, INDEX('Room Info'!$A$2:$A3446, MATCH(B1982,'Room Info'!$D$2:$D3446, 0)),if(G1982='Room Info'!$E$1, INDEX('Room Info'!$A$2:$A3446, MATCH(B1982,'Room Info'!$E$2:$E3446, 0)),if(G1982='Room Info'!$F$1, INDEX('Room Info'!$A$2:$A3446, MATCH(B1982,'Room Info'!$F$2:$F3446, 0)),if(G1982='Room Info'!$H$1, INDEX('Room Info'!$A$2:$A3446, MATCH(B1982,'Room Info'!$H$2:$H3446, 0)),if(G1982='Room Info'!$G$1, INDEX('Room Info'!$A$2:$A3446, MATCH(B1982,'Room Info'!$G$2:$G3446, 0)))))))))</f>
        <v>0</v>
      </c>
      <c r="B1982" s="101"/>
      <c r="C1982" s="115"/>
      <c r="D1982" s="115"/>
      <c r="E1982" s="85"/>
      <c r="F1982" s="138"/>
      <c r="G1982" s="70"/>
      <c r="H1982" s="114"/>
      <c r="I1982" s="114"/>
      <c r="J1982" s="44" t="str">
        <f t="shared" si="311"/>
        <v/>
      </c>
      <c r="K1982" s="116"/>
      <c r="L1982" s="117"/>
      <c r="M1982" s="67"/>
      <c r="N1982" s="33">
        <f t="shared" si="276"/>
        <v>0</v>
      </c>
      <c r="O1982" s="70"/>
      <c r="P1982" s="34" t="str">
        <f t="shared" si="277"/>
        <v/>
      </c>
      <c r="Q1982" s="60"/>
      <c r="R1982" s="36">
        <f t="shared" si="312"/>
        <v>0</v>
      </c>
      <c r="S1982" s="71"/>
      <c r="T1982" s="37">
        <f t="shared" si="302"/>
        <v>0</v>
      </c>
      <c r="U1982" s="62"/>
      <c r="V1982" s="63"/>
      <c r="W1982" s="63"/>
      <c r="X1982" s="35" t="str">
        <f t="shared" si="303"/>
        <v>#N/A</v>
      </c>
      <c r="Y1982" s="35" t="str">
        <f t="shared" si="304"/>
        <v>#N/A</v>
      </c>
      <c r="Z1982" s="40" t="str">
        <f t="shared" si="305"/>
        <v>#N/A</v>
      </c>
      <c r="AA1982" s="34" t="str">
        <f t="shared" si="306"/>
        <v>#N/A</v>
      </c>
      <c r="AB1982" s="41" t="str">
        <f t="shared" si="307"/>
        <v>#N/A</v>
      </c>
      <c r="AC1982" s="42" t="b">
        <v>0</v>
      </c>
      <c r="AD1982" s="66" t="str">
        <f t="shared" si="308"/>
        <v>USD</v>
      </c>
      <c r="AE1982" s="42"/>
      <c r="AF1982" s="42" t="str">
        <f t="array" ref="AF1982">INDEX('Deal Info'!D:D, MATCH(A1982,'Deal Info'!A:A, 0))</f>
        <v>#N/A</v>
      </c>
      <c r="AG1982" s="43" t="str">
        <f t="array" ref="AG1982">INDEX('Deal Info'!G:G, MATCH(A1982,'Deal Info'!A:A, 0))</f>
        <v>#N/A</v>
      </c>
    </row>
    <row r="1983" hidden="1">
      <c r="A1983" s="23" t="b">
        <f t="array" ref="A1983">if(G1983='Room Info'!$B$1, INDEX('Room Info'!$A$2:$A3446, MATCH(B1983,'Room Info'!$B$2:$B3446, 0)),if(G1983='Room Info'!$C$1, INDEX('Room Info'!$A$2:$A3446, MATCH(B1983,'Room Info'!$C$2:$C3446, 0)),if(G1983='Room Info'!$D$1, INDEX('Room Info'!$A$2:$A3446, MATCH(B1983,'Room Info'!$D$2:$D3446, 0)),if(G1983='Room Info'!$E$1, INDEX('Room Info'!$A$2:$A3446, MATCH(B1983,'Room Info'!$E$2:$E3446, 0)),if(G1983='Room Info'!$F$1, INDEX('Room Info'!$A$2:$A3446, MATCH(B1983,'Room Info'!$F$2:$F3446, 0)),if(G1983='Room Info'!$H$1, INDEX('Room Info'!$A$2:$A3446, MATCH(B1983,'Room Info'!$H$2:$H3446, 0)),if(G1983='Room Info'!$G$1, INDEX('Room Info'!$A$2:$A3446, MATCH(B1983,'Room Info'!$G$2:$G3446, 0)))))))))</f>
        <v>0</v>
      </c>
      <c r="B1983" s="101"/>
      <c r="C1983" s="141"/>
      <c r="D1983" s="141"/>
      <c r="E1983" s="142"/>
      <c r="F1983" s="101"/>
      <c r="G1983" s="70"/>
      <c r="H1983" s="105"/>
      <c r="I1983" s="105"/>
      <c r="J1983" s="44" t="str">
        <f t="shared" si="311"/>
        <v/>
      </c>
      <c r="K1983" s="139"/>
      <c r="L1983" s="140"/>
      <c r="M1983" s="84"/>
      <c r="N1983" s="33">
        <f t="shared" si="276"/>
        <v>0</v>
      </c>
      <c r="O1983" s="101"/>
      <c r="P1983" s="34" t="str">
        <f t="shared" si="277"/>
        <v/>
      </c>
      <c r="Q1983" s="60"/>
      <c r="R1983" s="36">
        <f t="shared" si="312"/>
        <v>0</v>
      </c>
      <c r="S1983" s="102"/>
      <c r="T1983" s="37">
        <f t="shared" si="302"/>
        <v>0</v>
      </c>
      <c r="U1983" s="62"/>
      <c r="V1983" s="63"/>
      <c r="W1983" s="63"/>
      <c r="X1983" s="35" t="str">
        <f t="shared" si="303"/>
        <v>#N/A</v>
      </c>
      <c r="Y1983" s="35" t="str">
        <f t="shared" si="304"/>
        <v>#N/A</v>
      </c>
      <c r="Z1983" s="40" t="str">
        <f t="shared" si="305"/>
        <v>#N/A</v>
      </c>
      <c r="AA1983" s="34" t="str">
        <f t="shared" si="306"/>
        <v>#N/A</v>
      </c>
      <c r="AB1983" s="41" t="str">
        <f t="shared" si="307"/>
        <v>#N/A</v>
      </c>
      <c r="AC1983" s="42" t="b">
        <v>0</v>
      </c>
      <c r="AD1983" s="66" t="str">
        <f t="shared" si="308"/>
        <v>USD</v>
      </c>
      <c r="AE1983" s="42"/>
      <c r="AF1983" s="42" t="str">
        <f t="array" ref="AF1983">INDEX('Deal Info'!D:D, MATCH(A1983,'Deal Info'!A:A, 0))</f>
        <v>#N/A</v>
      </c>
      <c r="AG1983" s="43" t="str">
        <f t="array" ref="AG1983">INDEX('Deal Info'!G:G, MATCH(A1983,'Deal Info'!A:A, 0))</f>
        <v>#N/A</v>
      </c>
    </row>
    <row r="1984" hidden="1">
      <c r="A1984" s="23" t="b">
        <f t="array" ref="A1984">if(G1984='Room Info'!$B$1, INDEX('Room Info'!$A$2:$A3446, MATCH(B1984,'Room Info'!$B$2:$B3446, 0)),if(G1984='Room Info'!$C$1, INDEX('Room Info'!$A$2:$A3446, MATCH(B1984,'Room Info'!$C$2:$C3446, 0)),if(G1984='Room Info'!$D$1, INDEX('Room Info'!$A$2:$A3446, MATCH(B1984,'Room Info'!$D$2:$D3446, 0)),if(G1984='Room Info'!$E$1, INDEX('Room Info'!$A$2:$A3446, MATCH(B1984,'Room Info'!$E$2:$E3446, 0)),if(G1984='Room Info'!$F$1, INDEX('Room Info'!$A$2:$A3446, MATCH(B1984,'Room Info'!$F$2:$F3446, 0)),if(G1984='Room Info'!$H$1, INDEX('Room Info'!$A$2:$A3446, MATCH(B1984,'Room Info'!$H$2:$H3446, 0)),if(G1984='Room Info'!$G$1, INDEX('Room Info'!$A$2:$A3446, MATCH(B1984,'Room Info'!$G$2:$G3446, 0)))))))))</f>
        <v>0</v>
      </c>
      <c r="B1984" s="101"/>
      <c r="C1984" s="141"/>
      <c r="D1984" s="141"/>
      <c r="E1984" s="142"/>
      <c r="F1984" s="101"/>
      <c r="G1984" s="70"/>
      <c r="H1984" s="105"/>
      <c r="I1984" s="105"/>
      <c r="J1984" s="44" t="str">
        <f t="shared" si="311"/>
        <v/>
      </c>
      <c r="K1984" s="139"/>
      <c r="L1984" s="140"/>
      <c r="M1984" s="84"/>
      <c r="N1984" s="33">
        <f t="shared" si="276"/>
        <v>0</v>
      </c>
      <c r="O1984" s="101"/>
      <c r="P1984" s="34" t="str">
        <f t="shared" si="277"/>
        <v/>
      </c>
      <c r="Q1984" s="60"/>
      <c r="R1984" s="36">
        <f t="shared" si="312"/>
        <v>0</v>
      </c>
      <c r="S1984" s="102"/>
      <c r="T1984" s="37">
        <f t="shared" si="302"/>
        <v>0</v>
      </c>
      <c r="U1984" s="62"/>
      <c r="V1984" s="63"/>
      <c r="W1984" s="63"/>
      <c r="X1984" s="35" t="str">
        <f t="shared" si="303"/>
        <v>#N/A</v>
      </c>
      <c r="Y1984" s="35" t="str">
        <f t="shared" si="304"/>
        <v>#N/A</v>
      </c>
      <c r="Z1984" s="40" t="str">
        <f t="shared" si="305"/>
        <v>#N/A</v>
      </c>
      <c r="AA1984" s="34" t="str">
        <f t="shared" si="306"/>
        <v>#N/A</v>
      </c>
      <c r="AB1984" s="41" t="str">
        <f t="shared" si="307"/>
        <v>#N/A</v>
      </c>
      <c r="AC1984" s="42" t="b">
        <v>0</v>
      </c>
      <c r="AD1984" s="66" t="str">
        <f t="shared" si="308"/>
        <v>USD</v>
      </c>
      <c r="AE1984" s="42"/>
      <c r="AF1984" s="42" t="str">
        <f t="array" ref="AF1984">INDEX('Deal Info'!D:D, MATCH(A1984,'Deal Info'!A:A, 0))</f>
        <v>#N/A</v>
      </c>
      <c r="AG1984" s="43" t="str">
        <f t="array" ref="AG1984">INDEX('Deal Info'!G:G, MATCH(A1984,'Deal Info'!A:A, 0))</f>
        <v>#N/A</v>
      </c>
    </row>
    <row r="1985" hidden="1">
      <c r="A1985" s="23" t="b">
        <f t="array" ref="A1985">if(G1985='Room Info'!$B$1, INDEX('Room Info'!$A$2:$A3446, MATCH(B1985,'Room Info'!$B$2:$B3446, 0)),if(G1985='Room Info'!$C$1, INDEX('Room Info'!$A$2:$A3446, MATCH(B1985,'Room Info'!$C$2:$C3446, 0)),if(G1985='Room Info'!$D$1, INDEX('Room Info'!$A$2:$A3446, MATCH(B1985,'Room Info'!$D$2:$D3446, 0)),if(G1985='Room Info'!$E$1, INDEX('Room Info'!$A$2:$A3446, MATCH(B1985,'Room Info'!$E$2:$E3446, 0)),if(G1985='Room Info'!$F$1, INDEX('Room Info'!$A$2:$A3446, MATCH(B1985,'Room Info'!$F$2:$F3446, 0)),if(G1985='Room Info'!$H$1, INDEX('Room Info'!$A$2:$A3446, MATCH(B1985,'Room Info'!$H$2:$H3446, 0)),if(G1985='Room Info'!$G$1, INDEX('Room Info'!$A$2:$A3446, MATCH(B1985,'Room Info'!$G$2:$G3446, 0)))))))))</f>
        <v>0</v>
      </c>
      <c r="B1985" s="101"/>
      <c r="C1985" s="115"/>
      <c r="D1985" s="115"/>
      <c r="E1985" s="85"/>
      <c r="F1985" s="138"/>
      <c r="G1985" s="70"/>
      <c r="H1985" s="114"/>
      <c r="I1985" s="114"/>
      <c r="J1985" s="44" t="str">
        <f t="shared" si="311"/>
        <v/>
      </c>
      <c r="K1985" s="116"/>
      <c r="L1985" s="117"/>
      <c r="M1985" s="67"/>
      <c r="N1985" s="33">
        <f t="shared" si="276"/>
        <v>0</v>
      </c>
      <c r="O1985" s="70"/>
      <c r="P1985" s="34" t="str">
        <f t="shared" si="277"/>
        <v/>
      </c>
      <c r="Q1985" s="60"/>
      <c r="R1985" s="36">
        <f t="shared" si="312"/>
        <v>0</v>
      </c>
      <c r="S1985" s="71"/>
      <c r="T1985" s="37">
        <f t="shared" si="302"/>
        <v>0</v>
      </c>
      <c r="U1985" s="62"/>
      <c r="V1985" s="63"/>
      <c r="W1985" s="63"/>
      <c r="X1985" s="35" t="str">
        <f t="shared" si="303"/>
        <v>#N/A</v>
      </c>
      <c r="Y1985" s="35" t="str">
        <f t="shared" si="304"/>
        <v>#N/A</v>
      </c>
      <c r="Z1985" s="40" t="str">
        <f t="shared" si="305"/>
        <v>#N/A</v>
      </c>
      <c r="AA1985" s="34" t="str">
        <f t="shared" si="306"/>
        <v>#N/A</v>
      </c>
      <c r="AB1985" s="41" t="str">
        <f t="shared" si="307"/>
        <v>#N/A</v>
      </c>
      <c r="AC1985" s="42" t="b">
        <v>0</v>
      </c>
      <c r="AD1985" s="66" t="str">
        <f t="shared" si="308"/>
        <v>USD</v>
      </c>
      <c r="AE1985" s="42"/>
      <c r="AF1985" s="42" t="str">
        <f t="array" ref="AF1985">INDEX('Deal Info'!D:D, MATCH(A1985,'Deal Info'!A:A, 0))</f>
        <v>#N/A</v>
      </c>
      <c r="AG1985" s="43" t="str">
        <f t="array" ref="AG1985">INDEX('Deal Info'!G:G, MATCH(A1985,'Deal Info'!A:A, 0))</f>
        <v>#N/A</v>
      </c>
    </row>
    <row r="1986" hidden="1">
      <c r="A1986" s="23" t="b">
        <f t="array" ref="A1986">if(G1986='Room Info'!$B$1, INDEX('Room Info'!$A$2:$A3446, MATCH(B1986,'Room Info'!$B$2:$B3446, 0)),if(G1986='Room Info'!$C$1, INDEX('Room Info'!$A$2:$A3446, MATCH(B1986,'Room Info'!$C$2:$C3446, 0)),if(G1986='Room Info'!$D$1, INDEX('Room Info'!$A$2:$A3446, MATCH(B1986,'Room Info'!$D$2:$D3446, 0)),if(G1986='Room Info'!$E$1, INDEX('Room Info'!$A$2:$A3446, MATCH(B1986,'Room Info'!$E$2:$E3446, 0)),if(G1986='Room Info'!$F$1, INDEX('Room Info'!$A$2:$A3446, MATCH(B1986,'Room Info'!$F$2:$F3446, 0)),if(G1986='Room Info'!$H$1, INDEX('Room Info'!$A$2:$A3446, MATCH(B1986,'Room Info'!$H$2:$H3446, 0)),if(G1986='Room Info'!$G$1, INDEX('Room Info'!$A$2:$A3446, MATCH(B1986,'Room Info'!$G$2:$G3446, 0)))))))))</f>
        <v>0</v>
      </c>
      <c r="B1986" s="101"/>
      <c r="C1986" s="115"/>
      <c r="D1986" s="115"/>
      <c r="E1986" s="85"/>
      <c r="F1986" s="138"/>
      <c r="G1986" s="70"/>
      <c r="H1986" s="114"/>
      <c r="I1986" s="114"/>
      <c r="J1986" s="44" t="str">
        <f t="shared" si="311"/>
        <v/>
      </c>
      <c r="K1986" s="116"/>
      <c r="L1986" s="117"/>
      <c r="M1986" s="67"/>
      <c r="N1986" s="33">
        <f t="shared" si="276"/>
        <v>0</v>
      </c>
      <c r="O1986" s="70"/>
      <c r="P1986" s="34" t="str">
        <f t="shared" si="277"/>
        <v/>
      </c>
      <c r="Q1986" s="60"/>
      <c r="R1986" s="36">
        <f t="shared" si="312"/>
        <v>0</v>
      </c>
      <c r="S1986" s="71"/>
      <c r="T1986" s="37">
        <f t="shared" si="302"/>
        <v>0</v>
      </c>
      <c r="U1986" s="62"/>
      <c r="V1986" s="63"/>
      <c r="W1986" s="63"/>
      <c r="X1986" s="35" t="str">
        <f t="shared" si="303"/>
        <v>#N/A</v>
      </c>
      <c r="Y1986" s="35" t="str">
        <f t="shared" si="304"/>
        <v>#N/A</v>
      </c>
      <c r="Z1986" s="40" t="str">
        <f t="shared" si="305"/>
        <v>#N/A</v>
      </c>
      <c r="AA1986" s="34" t="str">
        <f t="shared" si="306"/>
        <v>#N/A</v>
      </c>
      <c r="AB1986" s="41" t="str">
        <f t="shared" si="307"/>
        <v>#N/A</v>
      </c>
      <c r="AC1986" s="42" t="b">
        <v>0</v>
      </c>
      <c r="AD1986" s="66" t="str">
        <f t="shared" si="308"/>
        <v>USD</v>
      </c>
      <c r="AE1986" s="42"/>
      <c r="AF1986" s="42" t="str">
        <f t="array" ref="AF1986">INDEX('Deal Info'!D:D, MATCH(A1986,'Deal Info'!A:A, 0))</f>
        <v>#N/A</v>
      </c>
      <c r="AG1986" s="43" t="str">
        <f t="array" ref="AG1986">INDEX('Deal Info'!G:G, MATCH(A1986,'Deal Info'!A:A, 0))</f>
        <v>#N/A</v>
      </c>
    </row>
    <row r="1987" hidden="1">
      <c r="A1987" s="23" t="b">
        <f t="array" ref="A1987">if(G1987='Room Info'!$B$1, INDEX('Room Info'!$A$2:$A3446, MATCH(B1987,'Room Info'!$B$2:$B3446, 0)),if(G1987='Room Info'!$C$1, INDEX('Room Info'!$A$2:$A3446, MATCH(B1987,'Room Info'!$C$2:$C3446, 0)),if(G1987='Room Info'!$D$1, INDEX('Room Info'!$A$2:$A3446, MATCH(B1987,'Room Info'!$D$2:$D3446, 0)),if(G1987='Room Info'!$E$1, INDEX('Room Info'!$A$2:$A3446, MATCH(B1987,'Room Info'!$E$2:$E3446, 0)),if(G1987='Room Info'!$F$1, INDEX('Room Info'!$A$2:$A3446, MATCH(B1987,'Room Info'!$F$2:$F3446, 0)),if(G1987='Room Info'!$H$1, INDEX('Room Info'!$A$2:$A3446, MATCH(B1987,'Room Info'!$H$2:$H3446, 0)),if(G1987='Room Info'!$G$1, INDEX('Room Info'!$A$2:$A3446, MATCH(B1987,'Room Info'!$G$2:$G3446, 0)))))))))</f>
        <v>0</v>
      </c>
      <c r="B1987" s="101"/>
      <c r="C1987" s="141"/>
      <c r="D1987" s="141"/>
      <c r="E1987" s="142"/>
      <c r="F1987" s="138"/>
      <c r="G1987" s="101"/>
      <c r="H1987" s="105"/>
      <c r="I1987" s="105"/>
      <c r="J1987" s="44" t="str">
        <f t="shared" si="311"/>
        <v/>
      </c>
      <c r="K1987" s="139"/>
      <c r="L1987" s="140"/>
      <c r="M1987" s="84"/>
      <c r="N1987" s="33">
        <f t="shared" si="276"/>
        <v>0</v>
      </c>
      <c r="O1987" s="101"/>
      <c r="P1987" s="34" t="str">
        <f t="shared" si="277"/>
        <v/>
      </c>
      <c r="Q1987" s="60"/>
      <c r="R1987" s="36">
        <f t="shared" si="312"/>
        <v>0</v>
      </c>
      <c r="S1987" s="102"/>
      <c r="T1987" s="37">
        <f t="shared" si="302"/>
        <v>0</v>
      </c>
      <c r="U1987" s="62"/>
      <c r="V1987" s="63"/>
      <c r="W1987" s="63"/>
      <c r="X1987" s="35" t="str">
        <f t="shared" si="303"/>
        <v>#N/A</v>
      </c>
      <c r="Y1987" s="35" t="str">
        <f t="shared" si="304"/>
        <v>#N/A</v>
      </c>
      <c r="Z1987" s="40" t="str">
        <f t="shared" si="305"/>
        <v>#N/A</v>
      </c>
      <c r="AA1987" s="34" t="str">
        <f t="shared" si="306"/>
        <v>#N/A</v>
      </c>
      <c r="AB1987" s="41" t="str">
        <f t="shared" si="307"/>
        <v>#N/A</v>
      </c>
      <c r="AC1987" s="42" t="b">
        <v>0</v>
      </c>
      <c r="AD1987" s="66" t="str">
        <f t="shared" si="308"/>
        <v>USD</v>
      </c>
      <c r="AE1987" s="42"/>
      <c r="AF1987" s="42" t="str">
        <f t="array" ref="AF1987">INDEX('Deal Info'!D:D, MATCH(A1987,'Deal Info'!A:A, 0))</f>
        <v>#N/A</v>
      </c>
      <c r="AG1987" s="43" t="str">
        <f t="array" ref="AG1987">INDEX('Deal Info'!G:G, MATCH(A1987,'Deal Info'!A:A, 0))</f>
        <v>#N/A</v>
      </c>
    </row>
    <row r="1988" hidden="1">
      <c r="A1988" s="23" t="b">
        <f t="array" ref="A1988">if(G1988='Room Info'!$B$1, INDEX('Room Info'!$A$2:$A3446, MATCH(B1988,'Room Info'!$B$2:$B3446, 0)),if(G1988='Room Info'!$C$1, INDEX('Room Info'!$A$2:$A3446, MATCH(B1988,'Room Info'!$C$2:$C3446, 0)),if(G1988='Room Info'!$D$1, INDEX('Room Info'!$A$2:$A3446, MATCH(B1988,'Room Info'!$D$2:$D3446, 0)),if(G1988='Room Info'!$E$1, INDEX('Room Info'!$A$2:$A3446, MATCH(B1988,'Room Info'!$E$2:$E3446, 0)),if(G1988='Room Info'!$F$1, INDEX('Room Info'!$A$2:$A3446, MATCH(B1988,'Room Info'!$F$2:$F3446, 0)),if(G1988='Room Info'!$H$1, INDEX('Room Info'!$A$2:$A3446, MATCH(B1988,'Room Info'!$H$2:$H3446, 0)),if(G1988='Room Info'!$G$1, INDEX('Room Info'!$A$2:$A3446, MATCH(B1988,'Room Info'!$G$2:$G3446, 0)))))))))</f>
        <v>0</v>
      </c>
      <c r="B1988" s="101"/>
      <c r="C1988" s="141"/>
      <c r="D1988" s="141"/>
      <c r="E1988" s="142"/>
      <c r="F1988" s="138"/>
      <c r="G1988" s="101"/>
      <c r="H1988" s="105"/>
      <c r="I1988" s="105"/>
      <c r="J1988" s="44" t="str">
        <f t="shared" si="311"/>
        <v/>
      </c>
      <c r="K1988" s="139"/>
      <c r="L1988" s="140"/>
      <c r="M1988" s="84"/>
      <c r="N1988" s="33">
        <f t="shared" si="276"/>
        <v>0</v>
      </c>
      <c r="O1988" s="101"/>
      <c r="P1988" s="34" t="str">
        <f t="shared" si="277"/>
        <v/>
      </c>
      <c r="Q1988" s="60"/>
      <c r="R1988" s="36">
        <f t="shared" si="312"/>
        <v>0</v>
      </c>
      <c r="S1988" s="102"/>
      <c r="T1988" s="37">
        <f t="shared" si="302"/>
        <v>0</v>
      </c>
      <c r="U1988" s="62"/>
      <c r="V1988" s="63"/>
      <c r="W1988" s="63"/>
      <c r="X1988" s="35" t="str">
        <f t="shared" si="303"/>
        <v>#N/A</v>
      </c>
      <c r="Y1988" s="35" t="str">
        <f t="shared" si="304"/>
        <v>#N/A</v>
      </c>
      <c r="Z1988" s="40" t="str">
        <f t="shared" si="305"/>
        <v>#N/A</v>
      </c>
      <c r="AA1988" s="34" t="str">
        <f t="shared" si="306"/>
        <v>#N/A</v>
      </c>
      <c r="AB1988" s="41" t="str">
        <f t="shared" si="307"/>
        <v>#N/A</v>
      </c>
      <c r="AC1988" s="42" t="b">
        <v>0</v>
      </c>
      <c r="AD1988" s="66" t="str">
        <f t="shared" si="308"/>
        <v>USD</v>
      </c>
      <c r="AE1988" s="42"/>
      <c r="AF1988" s="42" t="str">
        <f t="array" ref="AF1988">INDEX('Deal Info'!D:D, MATCH(A1988,'Deal Info'!A:A, 0))</f>
        <v>#N/A</v>
      </c>
      <c r="AG1988" s="43" t="str">
        <f t="array" ref="AG1988">INDEX('Deal Info'!G:G, MATCH(A1988,'Deal Info'!A:A, 0))</f>
        <v>#N/A</v>
      </c>
    </row>
    <row r="1989" hidden="1">
      <c r="A1989" s="23" t="b">
        <f t="array" ref="A1989">if(G1989='Room Info'!$B$1, INDEX('Room Info'!$A$2:$A3446, MATCH(B1989,'Room Info'!$B$2:$B3446, 0)),if(G1989='Room Info'!$C$1, INDEX('Room Info'!$A$2:$A3446, MATCH(B1989,'Room Info'!$C$2:$C3446, 0)),if(G1989='Room Info'!$D$1, INDEX('Room Info'!$A$2:$A3446, MATCH(B1989,'Room Info'!$D$2:$D3446, 0)),if(G1989='Room Info'!$E$1, INDEX('Room Info'!$A$2:$A3446, MATCH(B1989,'Room Info'!$E$2:$E3446, 0)),if(G1989='Room Info'!$F$1, INDEX('Room Info'!$A$2:$A3446, MATCH(B1989,'Room Info'!$F$2:$F3446, 0)),if(G1989='Room Info'!$H$1, INDEX('Room Info'!$A$2:$A3446, MATCH(B1989,'Room Info'!$H$2:$H3446, 0)),if(G1989='Room Info'!$G$1, INDEX('Room Info'!$A$2:$A3446, MATCH(B1989,'Room Info'!$G$2:$G3446, 0)))))))))</f>
        <v>0</v>
      </c>
      <c r="B1989" s="101"/>
      <c r="C1989" s="115"/>
      <c r="D1989" s="115"/>
      <c r="E1989" s="85"/>
      <c r="F1989" s="101"/>
      <c r="G1989" s="70"/>
      <c r="H1989" s="114"/>
      <c r="I1989" s="114"/>
      <c r="J1989" s="44" t="str">
        <f t="shared" si="311"/>
        <v/>
      </c>
      <c r="K1989" s="116"/>
      <c r="L1989" s="117"/>
      <c r="M1989" s="67"/>
      <c r="N1989" s="33">
        <f t="shared" si="276"/>
        <v>0</v>
      </c>
      <c r="O1989" s="70"/>
      <c r="P1989" s="34" t="str">
        <f t="shared" si="277"/>
        <v/>
      </c>
      <c r="Q1989" s="60"/>
      <c r="R1989" s="36">
        <f t="shared" si="312"/>
        <v>0</v>
      </c>
      <c r="S1989" s="71"/>
      <c r="T1989" s="37">
        <f t="shared" si="302"/>
        <v>0</v>
      </c>
      <c r="U1989" s="62"/>
      <c r="V1989" s="63"/>
      <c r="W1989" s="63"/>
      <c r="X1989" s="35" t="str">
        <f t="shared" si="303"/>
        <v>#N/A</v>
      </c>
      <c r="Y1989" s="35" t="str">
        <f t="shared" si="304"/>
        <v>#N/A</v>
      </c>
      <c r="Z1989" s="40" t="str">
        <f t="shared" si="305"/>
        <v>#N/A</v>
      </c>
      <c r="AA1989" s="34" t="str">
        <f t="shared" si="306"/>
        <v>#N/A</v>
      </c>
      <c r="AB1989" s="41" t="str">
        <f t="shared" si="307"/>
        <v>#N/A</v>
      </c>
      <c r="AC1989" s="42" t="b">
        <v>0</v>
      </c>
      <c r="AD1989" s="66" t="str">
        <f t="shared" si="308"/>
        <v>USD</v>
      </c>
      <c r="AE1989" s="42"/>
      <c r="AF1989" s="42" t="str">
        <f t="array" ref="AF1989">INDEX('Deal Info'!D:D, MATCH(A1989,'Deal Info'!A:A, 0))</f>
        <v>#N/A</v>
      </c>
      <c r="AG1989" s="43" t="str">
        <f t="array" ref="AG1989">INDEX('Deal Info'!G:G, MATCH(A1989,'Deal Info'!A:A, 0))</f>
        <v>#N/A</v>
      </c>
    </row>
    <row r="1990" hidden="1">
      <c r="A1990" s="23" t="b">
        <f t="array" ref="A1990">if(G1990='Room Info'!$B$1, INDEX('Room Info'!$A$2:$A3446, MATCH(B1990,'Room Info'!$B$2:$B3446, 0)),if(G1990='Room Info'!$C$1, INDEX('Room Info'!$A$2:$A3446, MATCH(B1990,'Room Info'!$C$2:$C3446, 0)),if(G1990='Room Info'!$D$1, INDEX('Room Info'!$A$2:$A3446, MATCH(B1990,'Room Info'!$D$2:$D3446, 0)),if(G1990='Room Info'!$E$1, INDEX('Room Info'!$A$2:$A3446, MATCH(B1990,'Room Info'!$E$2:$E3446, 0)),if(G1990='Room Info'!$F$1, INDEX('Room Info'!$A$2:$A3446, MATCH(B1990,'Room Info'!$F$2:$F3446, 0)),if(G1990='Room Info'!$H$1, INDEX('Room Info'!$A$2:$A3446, MATCH(B1990,'Room Info'!$H$2:$H3446, 0)),if(G1990='Room Info'!$G$1, INDEX('Room Info'!$A$2:$A3446, MATCH(B1990,'Room Info'!$G$2:$G3446, 0)))))))))</f>
        <v>0</v>
      </c>
      <c r="B1990" s="101"/>
      <c r="C1990" s="115"/>
      <c r="D1990" s="115"/>
      <c r="E1990" s="85"/>
      <c r="F1990" s="101"/>
      <c r="G1990" s="70"/>
      <c r="H1990" s="114"/>
      <c r="I1990" s="114"/>
      <c r="J1990" s="44" t="str">
        <f t="shared" si="311"/>
        <v/>
      </c>
      <c r="K1990" s="116"/>
      <c r="L1990" s="117"/>
      <c r="M1990" s="67"/>
      <c r="N1990" s="33">
        <f t="shared" si="276"/>
        <v>0</v>
      </c>
      <c r="O1990" s="70"/>
      <c r="P1990" s="34" t="str">
        <f t="shared" si="277"/>
        <v/>
      </c>
      <c r="Q1990" s="60"/>
      <c r="R1990" s="36">
        <f t="shared" si="312"/>
        <v>0</v>
      </c>
      <c r="S1990" s="71"/>
      <c r="T1990" s="37">
        <f t="shared" si="302"/>
        <v>0</v>
      </c>
      <c r="U1990" s="62"/>
      <c r="V1990" s="63"/>
      <c r="W1990" s="63"/>
      <c r="X1990" s="35" t="str">
        <f t="shared" si="303"/>
        <v>#N/A</v>
      </c>
      <c r="Y1990" s="35" t="str">
        <f t="shared" si="304"/>
        <v>#N/A</v>
      </c>
      <c r="Z1990" s="40" t="str">
        <f t="shared" si="305"/>
        <v>#N/A</v>
      </c>
      <c r="AA1990" s="34" t="str">
        <f t="shared" si="306"/>
        <v>#N/A</v>
      </c>
      <c r="AB1990" s="41" t="str">
        <f t="shared" si="307"/>
        <v>#N/A</v>
      </c>
      <c r="AC1990" s="42" t="b">
        <v>0</v>
      </c>
      <c r="AD1990" s="66" t="str">
        <f t="shared" si="308"/>
        <v>USD</v>
      </c>
      <c r="AE1990" s="42"/>
      <c r="AF1990" s="42" t="str">
        <f t="array" ref="AF1990">INDEX('Deal Info'!D:D, MATCH(A1990,'Deal Info'!A:A, 0))</f>
        <v>#N/A</v>
      </c>
      <c r="AG1990" s="43" t="str">
        <f t="array" ref="AG1990">INDEX('Deal Info'!G:G, MATCH(A1990,'Deal Info'!A:A, 0))</f>
        <v>#N/A</v>
      </c>
    </row>
    <row r="1991" hidden="1">
      <c r="A1991" s="23" t="b">
        <f t="array" ref="A1991">if(G1991='Room Info'!$B$1, INDEX('Room Info'!$A$2:$A3446, MATCH(B1991,'Room Info'!$B$2:$B3446, 0)),if(G1991='Room Info'!$C$1, INDEX('Room Info'!$A$2:$A3446, MATCH(B1991,'Room Info'!$C$2:$C3446, 0)),if(G1991='Room Info'!$D$1, INDEX('Room Info'!$A$2:$A3446, MATCH(B1991,'Room Info'!$D$2:$D3446, 0)),if(G1991='Room Info'!$E$1, INDEX('Room Info'!$A$2:$A3446, MATCH(B1991,'Room Info'!$E$2:$E3446, 0)),if(G1991='Room Info'!$F$1, INDEX('Room Info'!$A$2:$A3446, MATCH(B1991,'Room Info'!$F$2:$F3446, 0)),if(G1991='Room Info'!$H$1, INDEX('Room Info'!$A$2:$A3446, MATCH(B1991,'Room Info'!$H$2:$H3446, 0)),if(G1991='Room Info'!$G$1, INDEX('Room Info'!$A$2:$A3446, MATCH(B1991,'Room Info'!$G$2:$G3446, 0)))))))))</f>
        <v>0</v>
      </c>
      <c r="B1991" s="101"/>
      <c r="C1991" s="115"/>
      <c r="D1991" s="115"/>
      <c r="E1991" s="85"/>
      <c r="F1991" s="101"/>
      <c r="G1991" s="70"/>
      <c r="H1991" s="114"/>
      <c r="I1991" s="114"/>
      <c r="J1991" s="44" t="str">
        <f t="shared" si="311"/>
        <v/>
      </c>
      <c r="K1991" s="116"/>
      <c r="L1991" s="117"/>
      <c r="M1991" s="67"/>
      <c r="N1991" s="33">
        <f t="shared" si="276"/>
        <v>0</v>
      </c>
      <c r="O1991" s="70"/>
      <c r="P1991" s="34" t="str">
        <f t="shared" si="277"/>
        <v/>
      </c>
      <c r="Q1991" s="60"/>
      <c r="R1991" s="36">
        <f t="shared" si="312"/>
        <v>0</v>
      </c>
      <c r="S1991" s="71"/>
      <c r="T1991" s="37">
        <f t="shared" si="302"/>
        <v>0</v>
      </c>
      <c r="U1991" s="62"/>
      <c r="V1991" s="63"/>
      <c r="W1991" s="63"/>
      <c r="X1991" s="35" t="str">
        <f t="shared" si="303"/>
        <v>#N/A</v>
      </c>
      <c r="Y1991" s="35" t="str">
        <f t="shared" si="304"/>
        <v>#N/A</v>
      </c>
      <c r="Z1991" s="40" t="str">
        <f t="shared" si="305"/>
        <v>#N/A</v>
      </c>
      <c r="AA1991" s="34" t="str">
        <f t="shared" si="306"/>
        <v>#N/A</v>
      </c>
      <c r="AB1991" s="41" t="str">
        <f t="shared" si="307"/>
        <v>#N/A</v>
      </c>
      <c r="AC1991" s="42" t="b">
        <v>0</v>
      </c>
      <c r="AD1991" s="66" t="str">
        <f t="shared" si="308"/>
        <v>USD</v>
      </c>
      <c r="AE1991" s="42"/>
      <c r="AF1991" s="42" t="str">
        <f t="array" ref="AF1991">INDEX('Deal Info'!D:D, MATCH(A1991,'Deal Info'!A:A, 0))</f>
        <v>#N/A</v>
      </c>
      <c r="AG1991" s="43" t="str">
        <f t="array" ref="AG1991">INDEX('Deal Info'!G:G, MATCH(A1991,'Deal Info'!A:A, 0))</f>
        <v>#N/A</v>
      </c>
    </row>
    <row r="1992" hidden="1">
      <c r="A1992" s="23" t="b">
        <f t="array" ref="A1992">if(G1992='Room Info'!$B$1, INDEX('Room Info'!$A$2:$A3446, MATCH(B1992,'Room Info'!$B$2:$B3446, 0)),if(G1992='Room Info'!$C$1, INDEX('Room Info'!$A$2:$A3446, MATCH(B1992,'Room Info'!$C$2:$C3446, 0)),if(G1992='Room Info'!$D$1, INDEX('Room Info'!$A$2:$A3446, MATCH(B1992,'Room Info'!$D$2:$D3446, 0)),if(G1992='Room Info'!$E$1, INDEX('Room Info'!$A$2:$A3446, MATCH(B1992,'Room Info'!$E$2:$E3446, 0)),if(G1992='Room Info'!$F$1, INDEX('Room Info'!$A$2:$A3446, MATCH(B1992,'Room Info'!$F$2:$F3446, 0)),if(G1992='Room Info'!$H$1, INDEX('Room Info'!$A$2:$A3446, MATCH(B1992,'Room Info'!$H$2:$H3446, 0)),if(G1992='Room Info'!$G$1, INDEX('Room Info'!$A$2:$A3446, MATCH(B1992,'Room Info'!$G$2:$G3446, 0)))))))))</f>
        <v>0</v>
      </c>
      <c r="B1992" s="101"/>
      <c r="C1992" s="115"/>
      <c r="D1992" s="115"/>
      <c r="E1992" s="85"/>
      <c r="F1992" s="101"/>
      <c r="G1992" s="70"/>
      <c r="H1992" s="114"/>
      <c r="I1992" s="114"/>
      <c r="J1992" s="44" t="str">
        <f t="shared" si="311"/>
        <v/>
      </c>
      <c r="K1992" s="116"/>
      <c r="L1992" s="117"/>
      <c r="M1992" s="67"/>
      <c r="N1992" s="33">
        <f t="shared" si="276"/>
        <v>0</v>
      </c>
      <c r="O1992" s="70"/>
      <c r="P1992" s="34" t="str">
        <f t="shared" si="277"/>
        <v/>
      </c>
      <c r="Q1992" s="60"/>
      <c r="R1992" s="36">
        <f t="shared" si="312"/>
        <v>0</v>
      </c>
      <c r="S1992" s="71"/>
      <c r="T1992" s="37">
        <f t="shared" si="302"/>
        <v>0</v>
      </c>
      <c r="U1992" s="62"/>
      <c r="V1992" s="63"/>
      <c r="W1992" s="63"/>
      <c r="X1992" s="35" t="str">
        <f t="shared" si="303"/>
        <v>#N/A</v>
      </c>
      <c r="Y1992" s="35" t="str">
        <f t="shared" si="304"/>
        <v>#N/A</v>
      </c>
      <c r="Z1992" s="40" t="str">
        <f t="shared" si="305"/>
        <v>#N/A</v>
      </c>
      <c r="AA1992" s="34" t="str">
        <f t="shared" si="306"/>
        <v>#N/A</v>
      </c>
      <c r="AB1992" s="41" t="str">
        <f t="shared" si="307"/>
        <v>#N/A</v>
      </c>
      <c r="AC1992" s="42" t="b">
        <v>0</v>
      </c>
      <c r="AD1992" s="66" t="str">
        <f t="shared" si="308"/>
        <v>USD</v>
      </c>
      <c r="AE1992" s="42"/>
      <c r="AF1992" s="42" t="str">
        <f t="array" ref="AF1992">INDEX('Deal Info'!D:D, MATCH(A1992,'Deal Info'!A:A, 0))</f>
        <v>#N/A</v>
      </c>
      <c r="AG1992" s="43" t="str">
        <f t="array" ref="AG1992">INDEX('Deal Info'!G:G, MATCH(A1992,'Deal Info'!A:A, 0))</f>
        <v>#N/A</v>
      </c>
    </row>
    <row r="1993" hidden="1">
      <c r="A1993" s="23" t="b">
        <f t="array" ref="A1993">if(G1993='Room Info'!$B$1, INDEX('Room Info'!$A$2:$A3446, MATCH(B1993,'Room Info'!$B$2:$B3446, 0)),if(G1993='Room Info'!$C$1, INDEX('Room Info'!$A$2:$A3446, MATCH(B1993,'Room Info'!$C$2:$C3446, 0)),if(G1993='Room Info'!$D$1, INDEX('Room Info'!$A$2:$A3446, MATCH(B1993,'Room Info'!$D$2:$D3446, 0)),if(G1993='Room Info'!$E$1, INDEX('Room Info'!$A$2:$A3446, MATCH(B1993,'Room Info'!$E$2:$E3446, 0)),if(G1993='Room Info'!$F$1, INDEX('Room Info'!$A$2:$A3446, MATCH(B1993,'Room Info'!$F$2:$F3446, 0)),if(G1993='Room Info'!$H$1, INDEX('Room Info'!$A$2:$A3446, MATCH(B1993,'Room Info'!$H$2:$H3446, 0)),if(G1993='Room Info'!$G$1, INDEX('Room Info'!$A$2:$A3446, MATCH(B1993,'Room Info'!$G$2:$G3446, 0)))))))))</f>
        <v>0</v>
      </c>
      <c r="B1993" s="101"/>
      <c r="C1993" s="115"/>
      <c r="D1993" s="115"/>
      <c r="E1993" s="85"/>
      <c r="F1993" s="101"/>
      <c r="G1993" s="70"/>
      <c r="H1993" s="114"/>
      <c r="I1993" s="114"/>
      <c r="J1993" s="44" t="str">
        <f t="shared" si="311"/>
        <v/>
      </c>
      <c r="K1993" s="116"/>
      <c r="L1993" s="117"/>
      <c r="M1993" s="67"/>
      <c r="N1993" s="33">
        <f t="shared" si="276"/>
        <v>0</v>
      </c>
      <c r="O1993" s="70"/>
      <c r="P1993" s="34" t="str">
        <f t="shared" si="277"/>
        <v/>
      </c>
      <c r="Q1993" s="60"/>
      <c r="R1993" s="36">
        <f t="shared" si="312"/>
        <v>0</v>
      </c>
      <c r="S1993" s="71"/>
      <c r="T1993" s="37">
        <f t="shared" si="302"/>
        <v>0</v>
      </c>
      <c r="U1993" s="62"/>
      <c r="V1993" s="63"/>
      <c r="W1993" s="63"/>
      <c r="X1993" s="35" t="str">
        <f t="shared" si="303"/>
        <v>#N/A</v>
      </c>
      <c r="Y1993" s="35" t="str">
        <f t="shared" si="304"/>
        <v>#N/A</v>
      </c>
      <c r="Z1993" s="40" t="str">
        <f t="shared" si="305"/>
        <v>#N/A</v>
      </c>
      <c r="AA1993" s="34" t="str">
        <f t="shared" si="306"/>
        <v>#N/A</v>
      </c>
      <c r="AB1993" s="41" t="str">
        <f t="shared" si="307"/>
        <v>#N/A</v>
      </c>
      <c r="AC1993" s="42" t="b">
        <v>0</v>
      </c>
      <c r="AD1993" s="66" t="str">
        <f t="shared" si="308"/>
        <v>USD</v>
      </c>
      <c r="AE1993" s="42"/>
      <c r="AF1993" s="42" t="str">
        <f t="array" ref="AF1993">INDEX('Deal Info'!D:D, MATCH(A1993,'Deal Info'!A:A, 0))</f>
        <v>#N/A</v>
      </c>
      <c r="AG1993" s="43" t="str">
        <f t="array" ref="AG1993">INDEX('Deal Info'!G:G, MATCH(A1993,'Deal Info'!A:A, 0))</f>
        <v>#N/A</v>
      </c>
    </row>
    <row r="1994" hidden="1">
      <c r="A1994" s="23" t="b">
        <f t="array" ref="A1994">if(G1994='Room Info'!$B$1, INDEX('Room Info'!$A$2:$A3446, MATCH(B1994,'Room Info'!$B$2:$B3446, 0)),if(G1994='Room Info'!$C$1, INDEX('Room Info'!$A$2:$A3446, MATCH(B1994,'Room Info'!$C$2:$C3446, 0)),if(G1994='Room Info'!$D$1, INDEX('Room Info'!$A$2:$A3446, MATCH(B1994,'Room Info'!$D$2:$D3446, 0)),if(G1994='Room Info'!$E$1, INDEX('Room Info'!$A$2:$A3446, MATCH(B1994,'Room Info'!$E$2:$E3446, 0)),if(G1994='Room Info'!$F$1, INDEX('Room Info'!$A$2:$A3446, MATCH(B1994,'Room Info'!$F$2:$F3446, 0)),if(G1994='Room Info'!$H$1, INDEX('Room Info'!$A$2:$A3446, MATCH(B1994,'Room Info'!$H$2:$H3446, 0)),if(G1994='Room Info'!$G$1, INDEX('Room Info'!$A$2:$A3446, MATCH(B1994,'Room Info'!$G$2:$G3446, 0)))))))))</f>
        <v>0</v>
      </c>
      <c r="B1994" s="101"/>
      <c r="C1994" s="115"/>
      <c r="D1994" s="115"/>
      <c r="E1994" s="85"/>
      <c r="F1994" s="101"/>
      <c r="G1994" s="70"/>
      <c r="H1994" s="114"/>
      <c r="I1994" s="114"/>
      <c r="J1994" s="44" t="str">
        <f t="shared" si="311"/>
        <v/>
      </c>
      <c r="K1994" s="116"/>
      <c r="L1994" s="117"/>
      <c r="M1994" s="67"/>
      <c r="N1994" s="33">
        <f t="shared" si="276"/>
        <v>0</v>
      </c>
      <c r="O1994" s="70"/>
      <c r="P1994" s="34" t="str">
        <f t="shared" si="277"/>
        <v/>
      </c>
      <c r="Q1994" s="60"/>
      <c r="R1994" s="36">
        <f t="shared" si="312"/>
        <v>0</v>
      </c>
      <c r="S1994" s="71"/>
      <c r="T1994" s="37">
        <f t="shared" si="302"/>
        <v>0</v>
      </c>
      <c r="U1994" s="62"/>
      <c r="V1994" s="63"/>
      <c r="W1994" s="63"/>
      <c r="X1994" s="35" t="str">
        <f t="shared" si="303"/>
        <v>#N/A</v>
      </c>
      <c r="Y1994" s="35" t="str">
        <f t="shared" si="304"/>
        <v>#N/A</v>
      </c>
      <c r="Z1994" s="40" t="str">
        <f t="shared" si="305"/>
        <v>#N/A</v>
      </c>
      <c r="AA1994" s="34" t="str">
        <f t="shared" si="306"/>
        <v>#N/A</v>
      </c>
      <c r="AB1994" s="41" t="str">
        <f t="shared" si="307"/>
        <v>#N/A</v>
      </c>
      <c r="AC1994" s="42" t="b">
        <v>0</v>
      </c>
      <c r="AD1994" s="66" t="str">
        <f t="shared" si="308"/>
        <v>USD</v>
      </c>
      <c r="AE1994" s="42"/>
      <c r="AF1994" s="42" t="str">
        <f t="array" ref="AF1994">INDEX('Deal Info'!D:D, MATCH(A1994,'Deal Info'!A:A, 0))</f>
        <v>#N/A</v>
      </c>
      <c r="AG1994" s="43" t="str">
        <f t="array" ref="AG1994">INDEX('Deal Info'!G:G, MATCH(A1994,'Deal Info'!A:A, 0))</f>
        <v>#N/A</v>
      </c>
    </row>
    <row r="1995" hidden="1">
      <c r="A1995" s="23" t="b">
        <f t="array" ref="A1995">if(G1995='Room Info'!$B$1, INDEX('Room Info'!$A$2:$A3446, MATCH(B1995,'Room Info'!$B$2:$B3446, 0)),if(G1995='Room Info'!$C$1, INDEX('Room Info'!$A$2:$A3446, MATCH(B1995,'Room Info'!$C$2:$C3446, 0)),if(G1995='Room Info'!$D$1, INDEX('Room Info'!$A$2:$A3446, MATCH(B1995,'Room Info'!$D$2:$D3446, 0)),if(G1995='Room Info'!$E$1, INDEX('Room Info'!$A$2:$A3446, MATCH(B1995,'Room Info'!$E$2:$E3446, 0)),if(G1995='Room Info'!$F$1, INDEX('Room Info'!$A$2:$A3446, MATCH(B1995,'Room Info'!$F$2:$F3446, 0)),if(G1995='Room Info'!$H$1, INDEX('Room Info'!$A$2:$A3446, MATCH(B1995,'Room Info'!$H$2:$H3446, 0)),if(G1995='Room Info'!$G$1, INDEX('Room Info'!$A$2:$A3446, MATCH(B1995,'Room Info'!$G$2:$G3446, 0)))))))))</f>
        <v>0</v>
      </c>
      <c r="B1995" s="101"/>
      <c r="C1995" s="115"/>
      <c r="D1995" s="115"/>
      <c r="E1995" s="85"/>
      <c r="F1995" s="138"/>
      <c r="G1995" s="101"/>
      <c r="H1995" s="105"/>
      <c r="I1995" s="105"/>
      <c r="J1995" s="44" t="str">
        <f t="shared" si="311"/>
        <v/>
      </c>
      <c r="K1995" s="116"/>
      <c r="L1995" s="117"/>
      <c r="M1995" s="67"/>
      <c r="N1995" s="33">
        <f t="shared" si="276"/>
        <v>0</v>
      </c>
      <c r="O1995" s="70"/>
      <c r="P1995" s="34" t="str">
        <f t="shared" si="277"/>
        <v/>
      </c>
      <c r="Q1995" s="60"/>
      <c r="R1995" s="36">
        <f t="shared" si="312"/>
        <v>0</v>
      </c>
      <c r="S1995" s="71"/>
      <c r="T1995" s="37">
        <f t="shared" si="302"/>
        <v>0</v>
      </c>
      <c r="U1995" s="62"/>
      <c r="V1995" s="63"/>
      <c r="W1995" s="63"/>
      <c r="X1995" s="35" t="str">
        <f t="shared" si="303"/>
        <v>#N/A</v>
      </c>
      <c r="Y1995" s="35" t="str">
        <f t="shared" si="304"/>
        <v>#N/A</v>
      </c>
      <c r="Z1995" s="40" t="str">
        <f t="shared" si="305"/>
        <v>#N/A</v>
      </c>
      <c r="AA1995" s="34" t="str">
        <f t="shared" si="306"/>
        <v>#N/A</v>
      </c>
      <c r="AB1995" s="41" t="str">
        <f t="shared" si="307"/>
        <v>#N/A</v>
      </c>
      <c r="AC1995" s="42" t="b">
        <v>0</v>
      </c>
      <c r="AD1995" s="66" t="str">
        <f t="shared" si="308"/>
        <v>USD</v>
      </c>
      <c r="AE1995" s="42"/>
      <c r="AF1995" s="42" t="str">
        <f t="array" ref="AF1995">INDEX('Deal Info'!D:D, MATCH(A1995,'Deal Info'!A:A, 0))</f>
        <v>#N/A</v>
      </c>
      <c r="AG1995" s="43" t="str">
        <f t="array" ref="AG1995">INDEX('Deal Info'!G:G, MATCH(A1995,'Deal Info'!A:A, 0))</f>
        <v>#N/A</v>
      </c>
    </row>
    <row r="1996" hidden="1">
      <c r="A1996" s="23" t="b">
        <f t="array" ref="A1996">if(G1996='Room Info'!$B$1, INDEX('Room Info'!$A$2:$A3446, MATCH(B1996,'Room Info'!$B$2:$B3446, 0)),if(G1996='Room Info'!$C$1, INDEX('Room Info'!$A$2:$A3446, MATCH(B1996,'Room Info'!$C$2:$C3446, 0)),if(G1996='Room Info'!$D$1, INDEX('Room Info'!$A$2:$A3446, MATCH(B1996,'Room Info'!$D$2:$D3446, 0)),if(G1996='Room Info'!$E$1, INDEX('Room Info'!$A$2:$A3446, MATCH(B1996,'Room Info'!$E$2:$E3446, 0)),if(G1996='Room Info'!$F$1, INDEX('Room Info'!$A$2:$A3446, MATCH(B1996,'Room Info'!$F$2:$F3446, 0)),if(G1996='Room Info'!$H$1, INDEX('Room Info'!$A$2:$A3446, MATCH(B1996,'Room Info'!$H$2:$H3446, 0)),if(G1996='Room Info'!$G$1, INDEX('Room Info'!$A$2:$A3446, MATCH(B1996,'Room Info'!$G$2:$G3446, 0)))))))))</f>
        <v>0</v>
      </c>
      <c r="B1996" s="101"/>
      <c r="C1996" s="141"/>
      <c r="D1996" s="141"/>
      <c r="E1996" s="142"/>
      <c r="F1996" s="138"/>
      <c r="G1996" s="101"/>
      <c r="H1996" s="105"/>
      <c r="I1996" s="105"/>
      <c r="J1996" s="44" t="str">
        <f t="shared" si="311"/>
        <v/>
      </c>
      <c r="K1996" s="139"/>
      <c r="L1996" s="140"/>
      <c r="M1996" s="84"/>
      <c r="N1996" s="33">
        <f t="shared" si="276"/>
        <v>0</v>
      </c>
      <c r="O1996" s="101"/>
      <c r="P1996" s="34" t="str">
        <f t="shared" si="277"/>
        <v/>
      </c>
      <c r="Q1996" s="60"/>
      <c r="R1996" s="36">
        <f t="shared" si="312"/>
        <v>0</v>
      </c>
      <c r="S1996" s="102"/>
      <c r="T1996" s="37">
        <f t="shared" si="302"/>
        <v>0</v>
      </c>
      <c r="U1996" s="62"/>
      <c r="V1996" s="63"/>
      <c r="W1996" s="63"/>
      <c r="X1996" s="35" t="str">
        <f t="shared" si="303"/>
        <v>#N/A</v>
      </c>
      <c r="Y1996" s="35" t="str">
        <f t="shared" si="304"/>
        <v>#N/A</v>
      </c>
      <c r="Z1996" s="40" t="str">
        <f t="shared" si="305"/>
        <v>#N/A</v>
      </c>
      <c r="AA1996" s="34" t="str">
        <f t="shared" si="306"/>
        <v>#N/A</v>
      </c>
      <c r="AB1996" s="41" t="str">
        <f t="shared" si="307"/>
        <v>#N/A</v>
      </c>
      <c r="AC1996" s="42" t="b">
        <v>0</v>
      </c>
      <c r="AD1996" s="66" t="str">
        <f t="shared" si="308"/>
        <v>USD</v>
      </c>
      <c r="AE1996" s="42"/>
      <c r="AF1996" s="42" t="str">
        <f t="array" ref="AF1996">INDEX('Deal Info'!D:D, MATCH(A1996,'Deal Info'!A:A, 0))</f>
        <v>#N/A</v>
      </c>
      <c r="AG1996" s="43" t="str">
        <f t="array" ref="AG1996">INDEX('Deal Info'!G:G, MATCH(A1996,'Deal Info'!A:A, 0))</f>
        <v>#N/A</v>
      </c>
    </row>
    <row r="1997" hidden="1">
      <c r="A1997" s="23" t="b">
        <f t="array" ref="A1997">if(G1997='Room Info'!$B$1, INDEX('Room Info'!$A$2:$A3446, MATCH(B1997,'Room Info'!$B$2:$B3446, 0)),if(G1997='Room Info'!$C$1, INDEX('Room Info'!$A$2:$A3446, MATCH(B1997,'Room Info'!$C$2:$C3446, 0)),if(G1997='Room Info'!$D$1, INDEX('Room Info'!$A$2:$A3446, MATCH(B1997,'Room Info'!$D$2:$D3446, 0)),if(G1997='Room Info'!$E$1, INDEX('Room Info'!$A$2:$A3446, MATCH(B1997,'Room Info'!$E$2:$E3446, 0)),if(G1997='Room Info'!$F$1, INDEX('Room Info'!$A$2:$A3446, MATCH(B1997,'Room Info'!$F$2:$F3446, 0)),if(G1997='Room Info'!$H$1, INDEX('Room Info'!$A$2:$A3446, MATCH(B1997,'Room Info'!$H$2:$H3446, 0)),if(G1997='Room Info'!$G$1, INDEX('Room Info'!$A$2:$A3446, MATCH(B1997,'Room Info'!$G$2:$G3446, 0)))))))))</f>
        <v>0</v>
      </c>
      <c r="B1997" s="101"/>
      <c r="C1997" s="141"/>
      <c r="D1997" s="141"/>
      <c r="E1997" s="142"/>
      <c r="F1997" s="138"/>
      <c r="G1997" s="101"/>
      <c r="H1997" s="105"/>
      <c r="I1997" s="105"/>
      <c r="J1997" s="44" t="str">
        <f t="shared" si="311"/>
        <v/>
      </c>
      <c r="K1997" s="139"/>
      <c r="L1997" s="140"/>
      <c r="M1997" s="84"/>
      <c r="N1997" s="33">
        <f t="shared" si="276"/>
        <v>0</v>
      </c>
      <c r="O1997" s="101"/>
      <c r="P1997" s="34" t="str">
        <f t="shared" si="277"/>
        <v/>
      </c>
      <c r="Q1997" s="60"/>
      <c r="R1997" s="36">
        <f t="shared" si="312"/>
        <v>0</v>
      </c>
      <c r="S1997" s="102"/>
      <c r="T1997" s="37">
        <f t="shared" si="302"/>
        <v>0</v>
      </c>
      <c r="U1997" s="62"/>
      <c r="V1997" s="63"/>
      <c r="W1997" s="63"/>
      <c r="X1997" s="35" t="str">
        <f t="shared" si="303"/>
        <v>#N/A</v>
      </c>
      <c r="Y1997" s="35" t="str">
        <f t="shared" si="304"/>
        <v>#N/A</v>
      </c>
      <c r="Z1997" s="40" t="str">
        <f t="shared" si="305"/>
        <v>#N/A</v>
      </c>
      <c r="AA1997" s="34" t="str">
        <f t="shared" si="306"/>
        <v>#N/A</v>
      </c>
      <c r="AB1997" s="41" t="str">
        <f t="shared" si="307"/>
        <v>#N/A</v>
      </c>
      <c r="AC1997" s="42" t="b">
        <v>0</v>
      </c>
      <c r="AD1997" s="66" t="str">
        <f t="shared" si="308"/>
        <v>USD</v>
      </c>
      <c r="AE1997" s="42"/>
      <c r="AF1997" s="42" t="str">
        <f t="array" ref="AF1997">INDEX('Deal Info'!D:D, MATCH(A1997,'Deal Info'!A:A, 0))</f>
        <v>#N/A</v>
      </c>
      <c r="AG1997" s="43" t="str">
        <f t="array" ref="AG1997">INDEX('Deal Info'!G:G, MATCH(A1997,'Deal Info'!A:A, 0))</f>
        <v>#N/A</v>
      </c>
    </row>
    <row r="1998" hidden="1">
      <c r="A1998" s="23" t="b">
        <f t="array" ref="A1998">if(G1998='Room Info'!$B$1, INDEX('Room Info'!$A$2:$A3446, MATCH(B1998,'Room Info'!$B$2:$B3446, 0)),if(G1998='Room Info'!$C$1, INDEX('Room Info'!$A$2:$A3446, MATCH(B1998,'Room Info'!$C$2:$C3446, 0)),if(G1998='Room Info'!$D$1, INDEX('Room Info'!$A$2:$A3446, MATCH(B1998,'Room Info'!$D$2:$D3446, 0)),if(G1998='Room Info'!$E$1, INDEX('Room Info'!$A$2:$A3446, MATCH(B1998,'Room Info'!$E$2:$E3446, 0)),if(G1998='Room Info'!$F$1, INDEX('Room Info'!$A$2:$A3446, MATCH(B1998,'Room Info'!$F$2:$F3446, 0)),if(G1998='Room Info'!$H$1, INDEX('Room Info'!$A$2:$A3446, MATCH(B1998,'Room Info'!$H$2:$H3446, 0)),if(G1998='Room Info'!$G$1, INDEX('Room Info'!$A$2:$A3446, MATCH(B1998,'Room Info'!$G$2:$G3446, 0)))))))))</f>
        <v>0</v>
      </c>
      <c r="B1998" s="101"/>
      <c r="C1998" s="141"/>
      <c r="D1998" s="141"/>
      <c r="E1998" s="142"/>
      <c r="F1998" s="138"/>
      <c r="G1998" s="101"/>
      <c r="H1998" s="105"/>
      <c r="I1998" s="105"/>
      <c r="J1998" s="44" t="str">
        <f t="shared" si="311"/>
        <v/>
      </c>
      <c r="K1998" s="139"/>
      <c r="L1998" s="140"/>
      <c r="M1998" s="84"/>
      <c r="N1998" s="33">
        <f t="shared" si="276"/>
        <v>0</v>
      </c>
      <c r="O1998" s="101"/>
      <c r="P1998" s="34" t="str">
        <f t="shared" si="277"/>
        <v/>
      </c>
      <c r="Q1998" s="60"/>
      <c r="R1998" s="36">
        <f t="shared" si="312"/>
        <v>0</v>
      </c>
      <c r="S1998" s="102"/>
      <c r="T1998" s="37">
        <f t="shared" si="302"/>
        <v>0</v>
      </c>
      <c r="U1998" s="62"/>
      <c r="V1998" s="63"/>
      <c r="W1998" s="63"/>
      <c r="X1998" s="35" t="str">
        <f t="shared" si="303"/>
        <v>#N/A</v>
      </c>
      <c r="Y1998" s="35" t="str">
        <f t="shared" si="304"/>
        <v>#N/A</v>
      </c>
      <c r="Z1998" s="40" t="str">
        <f t="shared" si="305"/>
        <v>#N/A</v>
      </c>
      <c r="AA1998" s="34" t="str">
        <f t="shared" si="306"/>
        <v>#N/A</v>
      </c>
      <c r="AB1998" s="41" t="str">
        <f t="shared" si="307"/>
        <v>#N/A</v>
      </c>
      <c r="AC1998" s="42" t="b">
        <v>0</v>
      </c>
      <c r="AD1998" s="66" t="str">
        <f t="shared" si="308"/>
        <v>USD</v>
      </c>
      <c r="AE1998" s="42"/>
      <c r="AF1998" s="42" t="str">
        <f t="array" ref="AF1998">INDEX('Deal Info'!D:D, MATCH(A1998,'Deal Info'!A:A, 0))</f>
        <v>#N/A</v>
      </c>
      <c r="AG1998" s="43" t="str">
        <f t="array" ref="AG1998">INDEX('Deal Info'!G:G, MATCH(A1998,'Deal Info'!A:A, 0))</f>
        <v>#N/A</v>
      </c>
    </row>
    <row r="1999" hidden="1">
      <c r="A1999" s="23" t="b">
        <f t="array" ref="A1999">if(G1999='Room Info'!$B$1, INDEX('Room Info'!$A$2:$A3446, MATCH(B1999,'Room Info'!$B$2:$B3446, 0)),if(G1999='Room Info'!$C$1, INDEX('Room Info'!$A$2:$A3446, MATCH(B1999,'Room Info'!$C$2:$C3446, 0)),if(G1999='Room Info'!$D$1, INDEX('Room Info'!$A$2:$A3446, MATCH(B1999,'Room Info'!$D$2:$D3446, 0)),if(G1999='Room Info'!$E$1, INDEX('Room Info'!$A$2:$A3446, MATCH(B1999,'Room Info'!$E$2:$E3446, 0)),if(G1999='Room Info'!$F$1, INDEX('Room Info'!$A$2:$A3446, MATCH(B1999,'Room Info'!$F$2:$F3446, 0)),if(G1999='Room Info'!$H$1, INDEX('Room Info'!$A$2:$A3446, MATCH(B1999,'Room Info'!$H$2:$H3446, 0)),if(G1999='Room Info'!$G$1, INDEX('Room Info'!$A$2:$A3446, MATCH(B1999,'Room Info'!$G$2:$G3446, 0)))))))))</f>
        <v>0</v>
      </c>
      <c r="B1999" s="101"/>
      <c r="C1999" s="141"/>
      <c r="D1999" s="141"/>
      <c r="E1999" s="142"/>
      <c r="F1999" s="138"/>
      <c r="G1999" s="101"/>
      <c r="H1999" s="105"/>
      <c r="I1999" s="105"/>
      <c r="J1999" s="44" t="str">
        <f t="shared" si="311"/>
        <v/>
      </c>
      <c r="K1999" s="139"/>
      <c r="L1999" s="140"/>
      <c r="M1999" s="84"/>
      <c r="N1999" s="33">
        <f t="shared" si="276"/>
        <v>0</v>
      </c>
      <c r="O1999" s="101"/>
      <c r="P1999" s="34" t="str">
        <f t="shared" si="277"/>
        <v/>
      </c>
      <c r="Q1999" s="60"/>
      <c r="R1999" s="36">
        <f t="shared" si="312"/>
        <v>0</v>
      </c>
      <c r="S1999" s="102"/>
      <c r="T1999" s="37">
        <f t="shared" si="302"/>
        <v>0</v>
      </c>
      <c r="U1999" s="62"/>
      <c r="V1999" s="63"/>
      <c r="W1999" s="63"/>
      <c r="X1999" s="35" t="str">
        <f t="shared" si="303"/>
        <v>#N/A</v>
      </c>
      <c r="Y1999" s="35" t="str">
        <f t="shared" si="304"/>
        <v>#N/A</v>
      </c>
      <c r="Z1999" s="40" t="str">
        <f t="shared" si="305"/>
        <v>#N/A</v>
      </c>
      <c r="AA1999" s="34" t="str">
        <f t="shared" si="306"/>
        <v>#N/A</v>
      </c>
      <c r="AB1999" s="41" t="str">
        <f t="shared" si="307"/>
        <v>#N/A</v>
      </c>
      <c r="AC1999" s="42" t="b">
        <v>0</v>
      </c>
      <c r="AD1999" s="66" t="str">
        <f t="shared" si="308"/>
        <v>USD</v>
      </c>
      <c r="AE1999" s="42"/>
      <c r="AF1999" s="42" t="str">
        <f t="array" ref="AF1999">INDEX('Deal Info'!D:D, MATCH(A1999,'Deal Info'!A:A, 0))</f>
        <v>#N/A</v>
      </c>
      <c r="AG1999" s="43" t="str">
        <f t="array" ref="AG1999">INDEX('Deal Info'!G:G, MATCH(A1999,'Deal Info'!A:A, 0))</f>
        <v>#N/A</v>
      </c>
    </row>
    <row r="2000" hidden="1">
      <c r="A2000" s="23" t="b">
        <f t="array" ref="A2000">if(G2000='Room Info'!$B$1, INDEX('Room Info'!$A$2:$A3446, MATCH(B2000,'Room Info'!$B$2:$B3446, 0)),if(G2000='Room Info'!$C$1, INDEX('Room Info'!$A$2:$A3446, MATCH(B2000,'Room Info'!$C$2:$C3446, 0)),if(G2000='Room Info'!$D$1, INDEX('Room Info'!$A$2:$A3446, MATCH(B2000,'Room Info'!$D$2:$D3446, 0)),if(G2000='Room Info'!$E$1, INDEX('Room Info'!$A$2:$A3446, MATCH(B2000,'Room Info'!$E$2:$E3446, 0)),if(G2000='Room Info'!$F$1, INDEX('Room Info'!$A$2:$A3446, MATCH(B2000,'Room Info'!$F$2:$F3446, 0)),if(G2000='Room Info'!$H$1, INDEX('Room Info'!$A$2:$A3446, MATCH(B2000,'Room Info'!$H$2:$H3446, 0)),if(G2000='Room Info'!$G$1, INDEX('Room Info'!$A$2:$A3446, MATCH(B2000,'Room Info'!$G$2:$G3446, 0)))))))))</f>
        <v>0</v>
      </c>
      <c r="B2000" s="101"/>
      <c r="C2000" s="115"/>
      <c r="D2000" s="115"/>
      <c r="E2000" s="85"/>
      <c r="F2000" s="138"/>
      <c r="G2000" s="101"/>
      <c r="H2000" s="114"/>
      <c r="I2000" s="114"/>
      <c r="J2000" s="44" t="str">
        <f t="shared" si="311"/>
        <v/>
      </c>
      <c r="K2000" s="116"/>
      <c r="L2000" s="117"/>
      <c r="M2000" s="67"/>
      <c r="N2000" s="33">
        <f t="shared" si="276"/>
        <v>0</v>
      </c>
      <c r="O2000" s="70"/>
      <c r="P2000" s="34" t="str">
        <f t="shared" si="277"/>
        <v/>
      </c>
      <c r="Q2000" s="60"/>
      <c r="R2000" s="36">
        <f t="shared" si="312"/>
        <v>0</v>
      </c>
      <c r="S2000" s="71"/>
      <c r="T2000" s="37">
        <f t="shared" si="302"/>
        <v>0</v>
      </c>
      <c r="U2000" s="62"/>
      <c r="V2000" s="63"/>
      <c r="W2000" s="63"/>
      <c r="X2000" s="35" t="str">
        <f t="shared" si="303"/>
        <v>#N/A</v>
      </c>
      <c r="Y2000" s="35" t="str">
        <f t="shared" si="304"/>
        <v>#N/A</v>
      </c>
      <c r="Z2000" s="40" t="str">
        <f t="shared" si="305"/>
        <v>#N/A</v>
      </c>
      <c r="AA2000" s="34" t="str">
        <f t="shared" si="306"/>
        <v>#N/A</v>
      </c>
      <c r="AB2000" s="41" t="str">
        <f t="shared" si="307"/>
        <v>#N/A</v>
      </c>
      <c r="AC2000" s="42" t="b">
        <v>0</v>
      </c>
      <c r="AD2000" s="66" t="str">
        <f t="shared" si="308"/>
        <v>USD</v>
      </c>
      <c r="AE2000" s="42"/>
      <c r="AF2000" s="42" t="str">
        <f t="array" ref="AF2000">INDEX('Deal Info'!D:D, MATCH(A2000,'Deal Info'!A:A, 0))</f>
        <v>#N/A</v>
      </c>
      <c r="AG2000" s="43" t="str">
        <f t="array" ref="AG2000">INDEX('Deal Info'!G:G, MATCH(A2000,'Deal Info'!A:A, 0))</f>
        <v>#N/A</v>
      </c>
    </row>
    <row r="2001" hidden="1">
      <c r="A2001" s="23" t="b">
        <f t="array" ref="A2001">if(G2001='Room Info'!$B$1, INDEX('Room Info'!$A$2:$A3446, MATCH(B2001,'Room Info'!$B$2:$B3446, 0)),if(G2001='Room Info'!$C$1, INDEX('Room Info'!$A$2:$A3446, MATCH(B2001,'Room Info'!$C$2:$C3446, 0)),if(G2001='Room Info'!$D$1, INDEX('Room Info'!$A$2:$A3446, MATCH(B2001,'Room Info'!$D$2:$D3446, 0)),if(G2001='Room Info'!$E$1, INDEX('Room Info'!$A$2:$A3446, MATCH(B2001,'Room Info'!$E$2:$E3446, 0)),if(G2001='Room Info'!$F$1, INDEX('Room Info'!$A$2:$A3446, MATCH(B2001,'Room Info'!$F$2:$F3446, 0)),if(G2001='Room Info'!$H$1, INDEX('Room Info'!$A$2:$A3446, MATCH(B2001,'Room Info'!$H$2:$H3446, 0)),if(G2001='Room Info'!$G$1, INDEX('Room Info'!$A$2:$A3446, MATCH(B2001,'Room Info'!$G$2:$G3446, 0)))))))))</f>
        <v>0</v>
      </c>
      <c r="B2001" s="101"/>
      <c r="C2001" s="115"/>
      <c r="D2001" s="115"/>
      <c r="E2001" s="85"/>
      <c r="F2001" s="138"/>
      <c r="G2001" s="101"/>
      <c r="H2001" s="114"/>
      <c r="I2001" s="114"/>
      <c r="J2001" s="44" t="str">
        <f t="shared" si="311"/>
        <v/>
      </c>
      <c r="K2001" s="116"/>
      <c r="L2001" s="117"/>
      <c r="M2001" s="67"/>
      <c r="N2001" s="33">
        <f t="shared" si="276"/>
        <v>0</v>
      </c>
      <c r="O2001" s="70"/>
      <c r="P2001" s="34" t="str">
        <f t="shared" si="277"/>
        <v/>
      </c>
      <c r="Q2001" s="60"/>
      <c r="R2001" s="36">
        <f t="shared" si="312"/>
        <v>0</v>
      </c>
      <c r="S2001" s="71"/>
      <c r="T2001" s="37">
        <f t="shared" si="302"/>
        <v>0</v>
      </c>
      <c r="U2001" s="62"/>
      <c r="V2001" s="63"/>
      <c r="W2001" s="63"/>
      <c r="X2001" s="35" t="str">
        <f t="shared" si="303"/>
        <v>#N/A</v>
      </c>
      <c r="Y2001" s="35" t="str">
        <f t="shared" si="304"/>
        <v>#N/A</v>
      </c>
      <c r="Z2001" s="40" t="str">
        <f t="shared" si="305"/>
        <v>#N/A</v>
      </c>
      <c r="AA2001" s="34" t="str">
        <f t="shared" si="306"/>
        <v>#N/A</v>
      </c>
      <c r="AB2001" s="41" t="str">
        <f t="shared" si="307"/>
        <v>#N/A</v>
      </c>
      <c r="AC2001" s="42" t="b">
        <v>0</v>
      </c>
      <c r="AD2001" s="66" t="str">
        <f t="shared" si="308"/>
        <v>USD</v>
      </c>
      <c r="AE2001" s="42"/>
      <c r="AF2001" s="42" t="str">
        <f t="array" ref="AF2001">INDEX('Deal Info'!D:D, MATCH(A2001,'Deal Info'!A:A, 0))</f>
        <v>#N/A</v>
      </c>
      <c r="AG2001" s="43" t="str">
        <f t="array" ref="AG2001">INDEX('Deal Info'!G:G, MATCH(A2001,'Deal Info'!A:A, 0))</f>
        <v>#N/A</v>
      </c>
    </row>
    <row r="2002" hidden="1">
      <c r="A2002" s="23" t="b">
        <f t="array" ref="A2002">if(G2002='Room Info'!$B$1, INDEX('Room Info'!$A$2:$A3446, MATCH(B2002,'Room Info'!$B$2:$B3446, 0)),if(G2002='Room Info'!$C$1, INDEX('Room Info'!$A$2:$A3446, MATCH(B2002,'Room Info'!$C$2:$C3446, 0)),if(G2002='Room Info'!$D$1, INDEX('Room Info'!$A$2:$A3446, MATCH(B2002,'Room Info'!$D$2:$D3446, 0)),if(G2002='Room Info'!$E$1, INDEX('Room Info'!$A$2:$A3446, MATCH(B2002,'Room Info'!$E$2:$E3446, 0)),if(G2002='Room Info'!$F$1, INDEX('Room Info'!$A$2:$A3446, MATCH(B2002,'Room Info'!$F$2:$F3446, 0)),if(G2002='Room Info'!$H$1, INDEX('Room Info'!$A$2:$A3446, MATCH(B2002,'Room Info'!$H$2:$H3446, 0)),if(G2002='Room Info'!$G$1, INDEX('Room Info'!$A$2:$A3446, MATCH(B2002,'Room Info'!$G$2:$G3446, 0)))))))))</f>
        <v>0</v>
      </c>
      <c r="B2002" s="101"/>
      <c r="C2002" s="115"/>
      <c r="D2002" s="115"/>
      <c r="E2002" s="85"/>
      <c r="F2002" s="138"/>
      <c r="G2002" s="101"/>
      <c r="H2002" s="114"/>
      <c r="I2002" s="114"/>
      <c r="J2002" s="44" t="str">
        <f t="shared" si="311"/>
        <v/>
      </c>
      <c r="K2002" s="116"/>
      <c r="L2002" s="117"/>
      <c r="M2002" s="67"/>
      <c r="N2002" s="33">
        <f t="shared" si="276"/>
        <v>0</v>
      </c>
      <c r="O2002" s="70"/>
      <c r="P2002" s="34" t="str">
        <f t="shared" si="277"/>
        <v/>
      </c>
      <c r="Q2002" s="60"/>
      <c r="R2002" s="36">
        <f t="shared" si="312"/>
        <v>0</v>
      </c>
      <c r="S2002" s="71"/>
      <c r="T2002" s="37">
        <f t="shared" si="302"/>
        <v>0</v>
      </c>
      <c r="U2002" s="62"/>
      <c r="V2002" s="63"/>
      <c r="W2002" s="63"/>
      <c r="X2002" s="35" t="str">
        <f t="shared" si="303"/>
        <v>#N/A</v>
      </c>
      <c r="Y2002" s="35" t="str">
        <f t="shared" si="304"/>
        <v>#N/A</v>
      </c>
      <c r="Z2002" s="40" t="str">
        <f t="shared" si="305"/>
        <v>#N/A</v>
      </c>
      <c r="AA2002" s="34" t="str">
        <f t="shared" si="306"/>
        <v>#N/A</v>
      </c>
      <c r="AB2002" s="41" t="str">
        <f t="shared" si="307"/>
        <v>#N/A</v>
      </c>
      <c r="AC2002" s="42" t="b">
        <v>0</v>
      </c>
      <c r="AD2002" s="66" t="str">
        <f t="shared" si="308"/>
        <v>USD</v>
      </c>
      <c r="AE2002" s="42"/>
      <c r="AF2002" s="42" t="str">
        <f t="array" ref="AF2002">INDEX('Deal Info'!D:D, MATCH(A2002,'Deal Info'!A:A, 0))</f>
        <v>#N/A</v>
      </c>
      <c r="AG2002" s="43" t="str">
        <f t="array" ref="AG2002">INDEX('Deal Info'!G:G, MATCH(A2002,'Deal Info'!A:A, 0))</f>
        <v>#N/A</v>
      </c>
    </row>
    <row r="2003" hidden="1">
      <c r="A2003" s="23" t="b">
        <f t="array" ref="A2003">if(G2003='Room Info'!$B$1, INDEX('Room Info'!$A$2:$A3446, MATCH(B2003,'Room Info'!$B$2:$B3446, 0)),if(G2003='Room Info'!$C$1, INDEX('Room Info'!$A$2:$A3446, MATCH(B2003,'Room Info'!$C$2:$C3446, 0)),if(G2003='Room Info'!$D$1, INDEX('Room Info'!$A$2:$A3446, MATCH(B2003,'Room Info'!$D$2:$D3446, 0)),if(G2003='Room Info'!$E$1, INDEX('Room Info'!$A$2:$A3446, MATCH(B2003,'Room Info'!$E$2:$E3446, 0)),if(G2003='Room Info'!$F$1, INDEX('Room Info'!$A$2:$A3446, MATCH(B2003,'Room Info'!$F$2:$F3446, 0)),if(G2003='Room Info'!$H$1, INDEX('Room Info'!$A$2:$A3446, MATCH(B2003,'Room Info'!$H$2:$H3446, 0)),if(G2003='Room Info'!$G$1, INDEX('Room Info'!$A$2:$A3446, MATCH(B2003,'Room Info'!$G$2:$G3446, 0)))))))))</f>
        <v>0</v>
      </c>
      <c r="B2003" s="101"/>
      <c r="C2003" s="115"/>
      <c r="D2003" s="115"/>
      <c r="E2003" s="85"/>
      <c r="F2003" s="138"/>
      <c r="G2003" s="101"/>
      <c r="H2003" s="114"/>
      <c r="I2003" s="114"/>
      <c r="J2003" s="44" t="str">
        <f t="shared" si="311"/>
        <v/>
      </c>
      <c r="K2003" s="116"/>
      <c r="L2003" s="117"/>
      <c r="M2003" s="67"/>
      <c r="N2003" s="33">
        <f t="shared" si="276"/>
        <v>0</v>
      </c>
      <c r="O2003" s="70"/>
      <c r="P2003" s="34" t="str">
        <f t="shared" si="277"/>
        <v/>
      </c>
      <c r="Q2003" s="60"/>
      <c r="R2003" s="36">
        <f t="shared" si="312"/>
        <v>0</v>
      </c>
      <c r="S2003" s="71"/>
      <c r="T2003" s="37">
        <f t="shared" si="302"/>
        <v>0</v>
      </c>
      <c r="U2003" s="62"/>
      <c r="V2003" s="63"/>
      <c r="W2003" s="63"/>
      <c r="X2003" s="35" t="str">
        <f t="shared" si="303"/>
        <v>#N/A</v>
      </c>
      <c r="Y2003" s="35" t="str">
        <f t="shared" si="304"/>
        <v>#N/A</v>
      </c>
      <c r="Z2003" s="40" t="str">
        <f t="shared" si="305"/>
        <v>#N/A</v>
      </c>
      <c r="AA2003" s="34" t="str">
        <f t="shared" si="306"/>
        <v>#N/A</v>
      </c>
      <c r="AB2003" s="41" t="str">
        <f t="shared" si="307"/>
        <v>#N/A</v>
      </c>
      <c r="AC2003" s="42" t="b">
        <v>0</v>
      </c>
      <c r="AD2003" s="66" t="str">
        <f t="shared" si="308"/>
        <v>USD</v>
      </c>
      <c r="AE2003" s="42"/>
      <c r="AF2003" s="42" t="str">
        <f t="array" ref="AF2003">INDEX('Deal Info'!D:D, MATCH(A2003,'Deal Info'!A:A, 0))</f>
        <v>#N/A</v>
      </c>
      <c r="AG2003" s="43" t="str">
        <f t="array" ref="AG2003">INDEX('Deal Info'!G:G, MATCH(A2003,'Deal Info'!A:A, 0))</f>
        <v>#N/A</v>
      </c>
    </row>
    <row r="2004" hidden="1">
      <c r="A2004" s="23" t="b">
        <f t="array" ref="A2004">if(G2004='Room Info'!$B$1, INDEX('Room Info'!$A$2:$A3446, MATCH(B2004,'Room Info'!$B$2:$B3446, 0)),if(G2004='Room Info'!$C$1, INDEX('Room Info'!$A$2:$A3446, MATCH(B2004,'Room Info'!$C$2:$C3446, 0)),if(G2004='Room Info'!$D$1, INDEX('Room Info'!$A$2:$A3446, MATCH(B2004,'Room Info'!$D$2:$D3446, 0)),if(G2004='Room Info'!$E$1, INDEX('Room Info'!$A$2:$A3446, MATCH(B2004,'Room Info'!$E$2:$E3446, 0)),if(G2004='Room Info'!$F$1, INDEX('Room Info'!$A$2:$A3446, MATCH(B2004,'Room Info'!$F$2:$F3446, 0)),if(G2004='Room Info'!$H$1, INDEX('Room Info'!$A$2:$A3446, MATCH(B2004,'Room Info'!$H$2:$H3446, 0)),if(G2004='Room Info'!$G$1, INDEX('Room Info'!$A$2:$A3446, MATCH(B2004,'Room Info'!$G$2:$G3446, 0)))))))))</f>
        <v>0</v>
      </c>
      <c r="B2004" s="101"/>
      <c r="C2004" s="115"/>
      <c r="D2004" s="115"/>
      <c r="E2004" s="85"/>
      <c r="F2004" s="138"/>
      <c r="G2004" s="101"/>
      <c r="H2004" s="114"/>
      <c r="I2004" s="114"/>
      <c r="J2004" s="44" t="str">
        <f t="shared" si="311"/>
        <v/>
      </c>
      <c r="K2004" s="116"/>
      <c r="L2004" s="117"/>
      <c r="M2004" s="67"/>
      <c r="N2004" s="33">
        <f t="shared" si="276"/>
        <v>0</v>
      </c>
      <c r="O2004" s="70"/>
      <c r="P2004" s="34" t="str">
        <f t="shared" si="277"/>
        <v/>
      </c>
      <c r="Q2004" s="60"/>
      <c r="R2004" s="36">
        <f t="shared" si="312"/>
        <v>0</v>
      </c>
      <c r="S2004" s="71"/>
      <c r="T2004" s="37">
        <f t="shared" si="302"/>
        <v>0</v>
      </c>
      <c r="U2004" s="62"/>
      <c r="V2004" s="63"/>
      <c r="W2004" s="63"/>
      <c r="X2004" s="35" t="str">
        <f t="shared" si="303"/>
        <v>#N/A</v>
      </c>
      <c r="Y2004" s="35" t="str">
        <f t="shared" si="304"/>
        <v>#N/A</v>
      </c>
      <c r="Z2004" s="40" t="str">
        <f t="shared" si="305"/>
        <v>#N/A</v>
      </c>
      <c r="AA2004" s="34" t="str">
        <f t="shared" si="306"/>
        <v>#N/A</v>
      </c>
      <c r="AB2004" s="41" t="str">
        <f t="shared" si="307"/>
        <v>#N/A</v>
      </c>
      <c r="AC2004" s="42" t="b">
        <v>0</v>
      </c>
      <c r="AD2004" s="66" t="str">
        <f t="shared" si="308"/>
        <v>USD</v>
      </c>
      <c r="AE2004" s="42"/>
      <c r="AF2004" s="42" t="str">
        <f t="array" ref="AF2004">INDEX('Deal Info'!D:D, MATCH(A2004,'Deal Info'!A:A, 0))</f>
        <v>#N/A</v>
      </c>
      <c r="AG2004" s="43" t="str">
        <f t="array" ref="AG2004">INDEX('Deal Info'!G:G, MATCH(A2004,'Deal Info'!A:A, 0))</f>
        <v>#N/A</v>
      </c>
    </row>
    <row r="2005" hidden="1">
      <c r="A2005" s="23" t="b">
        <f t="array" ref="A2005">if(G2005='Room Info'!$B$1, INDEX('Room Info'!$A$2:$A3446, MATCH(B2005,'Room Info'!$B$2:$B3446, 0)),if(G2005='Room Info'!$C$1, INDEX('Room Info'!$A$2:$A3446, MATCH(B2005,'Room Info'!$C$2:$C3446, 0)),if(G2005='Room Info'!$D$1, INDEX('Room Info'!$A$2:$A3446, MATCH(B2005,'Room Info'!$D$2:$D3446, 0)),if(G2005='Room Info'!$E$1, INDEX('Room Info'!$A$2:$A3446, MATCH(B2005,'Room Info'!$E$2:$E3446, 0)),if(G2005='Room Info'!$F$1, INDEX('Room Info'!$A$2:$A3446, MATCH(B2005,'Room Info'!$F$2:$F3446, 0)),if(G2005='Room Info'!$H$1, INDEX('Room Info'!$A$2:$A3446, MATCH(B2005,'Room Info'!$H$2:$H3446, 0)),if(G2005='Room Info'!$G$1, INDEX('Room Info'!$A$2:$A3446, MATCH(B2005,'Room Info'!$G$2:$G3446, 0)))))))))</f>
        <v>0</v>
      </c>
      <c r="B2005" s="101"/>
      <c r="C2005" s="115"/>
      <c r="D2005" s="115"/>
      <c r="E2005" s="85"/>
      <c r="F2005" s="138"/>
      <c r="G2005" s="101"/>
      <c r="H2005" s="114"/>
      <c r="I2005" s="114"/>
      <c r="J2005" s="44" t="str">
        <f t="shared" si="311"/>
        <v/>
      </c>
      <c r="K2005" s="116"/>
      <c r="L2005" s="117"/>
      <c r="M2005" s="67"/>
      <c r="N2005" s="33">
        <f t="shared" si="276"/>
        <v>0</v>
      </c>
      <c r="O2005" s="70"/>
      <c r="P2005" s="34" t="str">
        <f t="shared" si="277"/>
        <v/>
      </c>
      <c r="Q2005" s="60"/>
      <c r="R2005" s="36">
        <f t="shared" si="312"/>
        <v>0</v>
      </c>
      <c r="S2005" s="71"/>
      <c r="T2005" s="37">
        <f t="shared" si="302"/>
        <v>0</v>
      </c>
      <c r="U2005" s="62"/>
      <c r="V2005" s="63"/>
      <c r="W2005" s="63"/>
      <c r="X2005" s="35" t="str">
        <f t="shared" si="303"/>
        <v>#N/A</v>
      </c>
      <c r="Y2005" s="35" t="str">
        <f t="shared" si="304"/>
        <v>#N/A</v>
      </c>
      <c r="Z2005" s="40" t="str">
        <f t="shared" si="305"/>
        <v>#N/A</v>
      </c>
      <c r="AA2005" s="34" t="str">
        <f t="shared" si="306"/>
        <v>#N/A</v>
      </c>
      <c r="AB2005" s="41" t="str">
        <f t="shared" si="307"/>
        <v>#N/A</v>
      </c>
      <c r="AC2005" s="42" t="b">
        <v>0</v>
      </c>
      <c r="AD2005" s="66" t="str">
        <f t="shared" si="308"/>
        <v>USD</v>
      </c>
      <c r="AE2005" s="42"/>
      <c r="AF2005" s="42" t="str">
        <f t="array" ref="AF2005">INDEX('Deal Info'!D:D, MATCH(A2005,'Deal Info'!A:A, 0))</f>
        <v>#N/A</v>
      </c>
      <c r="AG2005" s="43" t="str">
        <f t="array" ref="AG2005">INDEX('Deal Info'!G:G, MATCH(A2005,'Deal Info'!A:A, 0))</f>
        <v>#N/A</v>
      </c>
    </row>
    <row r="2006" hidden="1">
      <c r="A2006" s="23" t="b">
        <f t="array" ref="A2006">if(G2006='Room Info'!$B$1, INDEX('Room Info'!$A$2:$A3446, MATCH(B2006,'Room Info'!$B$2:$B3446, 0)),if(G2006='Room Info'!$C$1, INDEX('Room Info'!$A$2:$A3446, MATCH(B2006,'Room Info'!$C$2:$C3446, 0)),if(G2006='Room Info'!$D$1, INDEX('Room Info'!$A$2:$A3446, MATCH(B2006,'Room Info'!$D$2:$D3446, 0)),if(G2006='Room Info'!$E$1, INDEX('Room Info'!$A$2:$A3446, MATCH(B2006,'Room Info'!$E$2:$E3446, 0)),if(G2006='Room Info'!$F$1, INDEX('Room Info'!$A$2:$A3446, MATCH(B2006,'Room Info'!$F$2:$F3446, 0)),if(G2006='Room Info'!$H$1, INDEX('Room Info'!$A$2:$A3446, MATCH(B2006,'Room Info'!$H$2:$H3446, 0)),if(G2006='Room Info'!$G$1, INDEX('Room Info'!$A$2:$A3446, MATCH(B2006,'Room Info'!$G$2:$G3446, 0)))))))))</f>
        <v>0</v>
      </c>
      <c r="B2006" s="101"/>
      <c r="C2006" s="115"/>
      <c r="D2006" s="115"/>
      <c r="E2006" s="85"/>
      <c r="F2006" s="138"/>
      <c r="G2006" s="101"/>
      <c r="H2006" s="114"/>
      <c r="I2006" s="114"/>
      <c r="J2006" s="44" t="str">
        <f t="shared" si="311"/>
        <v/>
      </c>
      <c r="K2006" s="116"/>
      <c r="L2006" s="117"/>
      <c r="M2006" s="67"/>
      <c r="N2006" s="33">
        <f t="shared" si="276"/>
        <v>0</v>
      </c>
      <c r="O2006" s="70"/>
      <c r="P2006" s="34" t="str">
        <f t="shared" si="277"/>
        <v/>
      </c>
      <c r="Q2006" s="60"/>
      <c r="R2006" s="36">
        <f t="shared" si="312"/>
        <v>0</v>
      </c>
      <c r="S2006" s="71"/>
      <c r="T2006" s="37">
        <f t="shared" si="302"/>
        <v>0</v>
      </c>
      <c r="U2006" s="62"/>
      <c r="V2006" s="63"/>
      <c r="W2006" s="63"/>
      <c r="X2006" s="35" t="str">
        <f t="shared" si="303"/>
        <v>#N/A</v>
      </c>
      <c r="Y2006" s="35" t="str">
        <f t="shared" si="304"/>
        <v>#N/A</v>
      </c>
      <c r="Z2006" s="40" t="str">
        <f t="shared" si="305"/>
        <v>#N/A</v>
      </c>
      <c r="AA2006" s="34" t="str">
        <f t="shared" si="306"/>
        <v>#N/A</v>
      </c>
      <c r="AB2006" s="41" t="str">
        <f t="shared" si="307"/>
        <v>#N/A</v>
      </c>
      <c r="AC2006" s="42" t="b">
        <v>0</v>
      </c>
      <c r="AD2006" s="66" t="str">
        <f t="shared" si="308"/>
        <v>USD</v>
      </c>
      <c r="AE2006" s="42"/>
      <c r="AF2006" s="42" t="str">
        <f t="array" ref="AF2006">INDEX('Deal Info'!D:D, MATCH(A2006,'Deal Info'!A:A, 0))</f>
        <v>#N/A</v>
      </c>
      <c r="AG2006" s="43" t="str">
        <f t="array" ref="AG2006">INDEX('Deal Info'!G:G, MATCH(A2006,'Deal Info'!A:A, 0))</f>
        <v>#N/A</v>
      </c>
    </row>
    <row r="2007" hidden="1">
      <c r="A2007" s="23" t="b">
        <f t="array" ref="A2007">if(G2007='Room Info'!$B$1, INDEX('Room Info'!$A$2:$A3446, MATCH(B2007,'Room Info'!$B$2:$B3446, 0)),if(G2007='Room Info'!$C$1, INDEX('Room Info'!$A$2:$A3446, MATCH(B2007,'Room Info'!$C$2:$C3446, 0)),if(G2007='Room Info'!$D$1, INDEX('Room Info'!$A$2:$A3446, MATCH(B2007,'Room Info'!$D$2:$D3446, 0)),if(G2007='Room Info'!$E$1, INDEX('Room Info'!$A$2:$A3446, MATCH(B2007,'Room Info'!$E$2:$E3446, 0)),if(G2007='Room Info'!$F$1, INDEX('Room Info'!$A$2:$A3446, MATCH(B2007,'Room Info'!$F$2:$F3446, 0)),if(G2007='Room Info'!$H$1, INDEX('Room Info'!$A$2:$A3446, MATCH(B2007,'Room Info'!$H$2:$H3446, 0)),if(G2007='Room Info'!$G$1, INDEX('Room Info'!$A$2:$A3446, MATCH(B2007,'Room Info'!$G$2:$G3446, 0)))))))))</f>
        <v>0</v>
      </c>
      <c r="B2007" s="101"/>
      <c r="C2007" s="115"/>
      <c r="D2007" s="115"/>
      <c r="E2007" s="85"/>
      <c r="F2007" s="138"/>
      <c r="G2007" s="101"/>
      <c r="H2007" s="114"/>
      <c r="I2007" s="114"/>
      <c r="J2007" s="44" t="str">
        <f t="shared" si="311"/>
        <v/>
      </c>
      <c r="K2007" s="116"/>
      <c r="L2007" s="117"/>
      <c r="M2007" s="67"/>
      <c r="N2007" s="33">
        <f t="shared" si="276"/>
        <v>0</v>
      </c>
      <c r="O2007" s="70"/>
      <c r="P2007" s="34" t="str">
        <f t="shared" si="277"/>
        <v/>
      </c>
      <c r="Q2007" s="60"/>
      <c r="R2007" s="36">
        <f t="shared" si="312"/>
        <v>0</v>
      </c>
      <c r="S2007" s="71"/>
      <c r="T2007" s="37">
        <f t="shared" si="302"/>
        <v>0</v>
      </c>
      <c r="U2007" s="62"/>
      <c r="V2007" s="63"/>
      <c r="W2007" s="63"/>
      <c r="X2007" s="35" t="str">
        <f t="shared" si="303"/>
        <v>#N/A</v>
      </c>
      <c r="Y2007" s="35" t="str">
        <f t="shared" si="304"/>
        <v>#N/A</v>
      </c>
      <c r="Z2007" s="40" t="str">
        <f t="shared" si="305"/>
        <v>#N/A</v>
      </c>
      <c r="AA2007" s="34" t="str">
        <f t="shared" si="306"/>
        <v>#N/A</v>
      </c>
      <c r="AB2007" s="41" t="str">
        <f t="shared" si="307"/>
        <v>#N/A</v>
      </c>
      <c r="AC2007" s="42" t="b">
        <v>0</v>
      </c>
      <c r="AD2007" s="66" t="str">
        <f t="shared" si="308"/>
        <v>USD</v>
      </c>
      <c r="AE2007" s="42"/>
      <c r="AF2007" s="42" t="str">
        <f t="array" ref="AF2007">INDEX('Deal Info'!D:D, MATCH(A2007,'Deal Info'!A:A, 0))</f>
        <v>#N/A</v>
      </c>
      <c r="AG2007" s="43" t="str">
        <f t="array" ref="AG2007">INDEX('Deal Info'!G:G, MATCH(A2007,'Deal Info'!A:A, 0))</f>
        <v>#N/A</v>
      </c>
    </row>
    <row r="2008" hidden="1">
      <c r="A2008" s="23" t="b">
        <f t="array" ref="A2008">if(G2008='Room Info'!$B$1, INDEX('Room Info'!$A$2:$A3446, MATCH(B2008,'Room Info'!$B$2:$B3446, 0)),if(G2008='Room Info'!$C$1, INDEX('Room Info'!$A$2:$A3446, MATCH(B2008,'Room Info'!$C$2:$C3446, 0)),if(G2008='Room Info'!$D$1, INDEX('Room Info'!$A$2:$A3446, MATCH(B2008,'Room Info'!$D$2:$D3446, 0)),if(G2008='Room Info'!$E$1, INDEX('Room Info'!$A$2:$A3446, MATCH(B2008,'Room Info'!$E$2:$E3446, 0)),if(G2008='Room Info'!$F$1, INDEX('Room Info'!$A$2:$A3446, MATCH(B2008,'Room Info'!$F$2:$F3446, 0)),if(G2008='Room Info'!$H$1, INDEX('Room Info'!$A$2:$A3446, MATCH(B2008,'Room Info'!$H$2:$H3446, 0)),if(G2008='Room Info'!$G$1, INDEX('Room Info'!$A$2:$A3446, MATCH(B2008,'Room Info'!$G$2:$G3446, 0)))))))))</f>
        <v>0</v>
      </c>
      <c r="B2008" s="101"/>
      <c r="C2008" s="115"/>
      <c r="D2008" s="115"/>
      <c r="E2008" s="85"/>
      <c r="F2008" s="138"/>
      <c r="G2008" s="101"/>
      <c r="H2008" s="114"/>
      <c r="I2008" s="114"/>
      <c r="J2008" s="44" t="str">
        <f t="shared" si="311"/>
        <v/>
      </c>
      <c r="K2008" s="116"/>
      <c r="L2008" s="117"/>
      <c r="M2008" s="67"/>
      <c r="N2008" s="33">
        <f t="shared" si="276"/>
        <v>0</v>
      </c>
      <c r="O2008" s="70"/>
      <c r="P2008" s="34" t="str">
        <f t="shared" si="277"/>
        <v/>
      </c>
      <c r="Q2008" s="60"/>
      <c r="R2008" s="36">
        <f t="shared" si="312"/>
        <v>0</v>
      </c>
      <c r="S2008" s="71"/>
      <c r="T2008" s="37">
        <f t="shared" si="302"/>
        <v>0</v>
      </c>
      <c r="U2008" s="62"/>
      <c r="V2008" s="63"/>
      <c r="W2008" s="63"/>
      <c r="X2008" s="35" t="str">
        <f t="shared" si="303"/>
        <v>#N/A</v>
      </c>
      <c r="Y2008" s="35" t="str">
        <f t="shared" si="304"/>
        <v>#N/A</v>
      </c>
      <c r="Z2008" s="40" t="str">
        <f t="shared" si="305"/>
        <v>#N/A</v>
      </c>
      <c r="AA2008" s="34" t="str">
        <f t="shared" si="306"/>
        <v>#N/A</v>
      </c>
      <c r="AB2008" s="41" t="str">
        <f t="shared" si="307"/>
        <v>#N/A</v>
      </c>
      <c r="AC2008" s="42" t="b">
        <v>0</v>
      </c>
      <c r="AD2008" s="66" t="str">
        <f t="shared" si="308"/>
        <v>USD</v>
      </c>
      <c r="AE2008" s="42"/>
      <c r="AF2008" s="42" t="str">
        <f t="array" ref="AF2008">INDEX('Deal Info'!D:D, MATCH(A2008,'Deal Info'!A:A, 0))</f>
        <v>#N/A</v>
      </c>
      <c r="AG2008" s="43" t="str">
        <f t="array" ref="AG2008">INDEX('Deal Info'!G:G, MATCH(A2008,'Deal Info'!A:A, 0))</f>
        <v>#N/A</v>
      </c>
    </row>
    <row r="2009" hidden="1">
      <c r="A2009" s="23" t="b">
        <f t="array" ref="A2009">if(G2009='Room Info'!$B$1, INDEX('Room Info'!$A$2:$A3446, MATCH(B2009,'Room Info'!$B$2:$B3446, 0)),if(G2009='Room Info'!$C$1, INDEX('Room Info'!$A$2:$A3446, MATCH(B2009,'Room Info'!$C$2:$C3446, 0)),if(G2009='Room Info'!$D$1, INDEX('Room Info'!$A$2:$A3446, MATCH(B2009,'Room Info'!$D$2:$D3446, 0)),if(G2009='Room Info'!$E$1, INDEX('Room Info'!$A$2:$A3446, MATCH(B2009,'Room Info'!$E$2:$E3446, 0)),if(G2009='Room Info'!$F$1, INDEX('Room Info'!$A$2:$A3446, MATCH(B2009,'Room Info'!$F$2:$F3446, 0)),if(G2009='Room Info'!$H$1, INDEX('Room Info'!$A$2:$A3446, MATCH(B2009,'Room Info'!$H$2:$H3446, 0)),if(G2009='Room Info'!$G$1, INDEX('Room Info'!$A$2:$A3446, MATCH(B2009,'Room Info'!$G$2:$G3446, 0)))))))))</f>
        <v>0</v>
      </c>
      <c r="B2009" s="101"/>
      <c r="C2009" s="115"/>
      <c r="D2009" s="115"/>
      <c r="E2009" s="85"/>
      <c r="F2009" s="138"/>
      <c r="G2009" s="101"/>
      <c r="H2009" s="114"/>
      <c r="I2009" s="114"/>
      <c r="J2009" s="44" t="str">
        <f t="shared" si="311"/>
        <v/>
      </c>
      <c r="K2009" s="116"/>
      <c r="L2009" s="117"/>
      <c r="M2009" s="67"/>
      <c r="N2009" s="33">
        <f t="shared" si="276"/>
        <v>0</v>
      </c>
      <c r="O2009" s="70"/>
      <c r="P2009" s="34" t="str">
        <f t="shared" si="277"/>
        <v/>
      </c>
      <c r="Q2009" s="60"/>
      <c r="R2009" s="36">
        <f t="shared" si="312"/>
        <v>0</v>
      </c>
      <c r="S2009" s="71"/>
      <c r="T2009" s="37">
        <f t="shared" si="302"/>
        <v>0</v>
      </c>
      <c r="U2009" s="62"/>
      <c r="V2009" s="63"/>
      <c r="W2009" s="63"/>
      <c r="X2009" s="35" t="str">
        <f t="shared" si="303"/>
        <v>#N/A</v>
      </c>
      <c r="Y2009" s="35" t="str">
        <f t="shared" si="304"/>
        <v>#N/A</v>
      </c>
      <c r="Z2009" s="40" t="str">
        <f t="shared" si="305"/>
        <v>#N/A</v>
      </c>
      <c r="AA2009" s="34" t="str">
        <f t="shared" si="306"/>
        <v>#N/A</v>
      </c>
      <c r="AB2009" s="41" t="str">
        <f t="shared" si="307"/>
        <v>#N/A</v>
      </c>
      <c r="AC2009" s="42" t="b">
        <v>0</v>
      </c>
      <c r="AD2009" s="66" t="str">
        <f t="shared" si="308"/>
        <v>USD</v>
      </c>
      <c r="AE2009" s="42"/>
      <c r="AF2009" s="42" t="str">
        <f t="array" ref="AF2009">INDEX('Deal Info'!D:D, MATCH(A2009,'Deal Info'!A:A, 0))</f>
        <v>#N/A</v>
      </c>
      <c r="AG2009" s="43" t="str">
        <f t="array" ref="AG2009">INDEX('Deal Info'!G:G, MATCH(A2009,'Deal Info'!A:A, 0))</f>
        <v>#N/A</v>
      </c>
    </row>
    <row r="2010" hidden="1">
      <c r="A2010" s="23" t="b">
        <f t="array" ref="A2010">if(G2010='Room Info'!$B$1, INDEX('Room Info'!$A$2:$A3446, MATCH(B2010,'Room Info'!$B$2:$B3446, 0)),if(G2010='Room Info'!$C$1, INDEX('Room Info'!$A$2:$A3446, MATCH(B2010,'Room Info'!$C$2:$C3446, 0)),if(G2010='Room Info'!$D$1, INDEX('Room Info'!$A$2:$A3446, MATCH(B2010,'Room Info'!$D$2:$D3446, 0)),if(G2010='Room Info'!$E$1, INDEX('Room Info'!$A$2:$A3446, MATCH(B2010,'Room Info'!$E$2:$E3446, 0)),if(G2010='Room Info'!$F$1, INDEX('Room Info'!$A$2:$A3446, MATCH(B2010,'Room Info'!$F$2:$F3446, 0)),if(G2010='Room Info'!$H$1, INDEX('Room Info'!$A$2:$A3446, MATCH(B2010,'Room Info'!$H$2:$H3446, 0)),if(G2010='Room Info'!$G$1, INDEX('Room Info'!$A$2:$A3446, MATCH(B2010,'Room Info'!$G$2:$G3446, 0)))))))))</f>
        <v>0</v>
      </c>
      <c r="B2010" s="101"/>
      <c r="C2010" s="115"/>
      <c r="D2010" s="115"/>
      <c r="E2010" s="85"/>
      <c r="F2010" s="101"/>
      <c r="G2010" s="70"/>
      <c r="H2010" s="114"/>
      <c r="I2010" s="114"/>
      <c r="J2010" s="44" t="str">
        <f t="shared" si="311"/>
        <v/>
      </c>
      <c r="K2010" s="139"/>
      <c r="L2010" s="140"/>
      <c r="M2010" s="67"/>
      <c r="N2010" s="33">
        <f t="shared" si="276"/>
        <v>0</v>
      </c>
      <c r="O2010" s="101"/>
      <c r="P2010" s="34" t="str">
        <f t="shared" si="277"/>
        <v/>
      </c>
      <c r="Q2010" s="60"/>
      <c r="R2010" s="36">
        <f t="shared" si="312"/>
        <v>0</v>
      </c>
      <c r="S2010" s="102"/>
      <c r="T2010" s="37">
        <f t="shared" si="302"/>
        <v>0</v>
      </c>
      <c r="U2010" s="62"/>
      <c r="V2010" s="63"/>
      <c r="W2010" s="63"/>
      <c r="X2010" s="35" t="str">
        <f t="shared" si="303"/>
        <v>#N/A</v>
      </c>
      <c r="Y2010" s="35" t="str">
        <f t="shared" si="304"/>
        <v>#N/A</v>
      </c>
      <c r="Z2010" s="40" t="str">
        <f t="shared" si="305"/>
        <v>#N/A</v>
      </c>
      <c r="AA2010" s="34" t="str">
        <f t="shared" si="306"/>
        <v>#N/A</v>
      </c>
      <c r="AB2010" s="41" t="str">
        <f t="shared" si="307"/>
        <v>#N/A</v>
      </c>
      <c r="AC2010" s="42" t="b">
        <v>0</v>
      </c>
      <c r="AD2010" s="66" t="str">
        <f t="shared" si="308"/>
        <v>USD</v>
      </c>
      <c r="AE2010" s="42"/>
      <c r="AF2010" s="42" t="str">
        <f t="array" ref="AF2010">INDEX('Deal Info'!D:D, MATCH(A2010,'Deal Info'!A:A, 0))</f>
        <v>#N/A</v>
      </c>
      <c r="AG2010" s="43" t="str">
        <f t="array" ref="AG2010">INDEX('Deal Info'!G:G, MATCH(A2010,'Deal Info'!A:A, 0))</f>
        <v>#N/A</v>
      </c>
    </row>
    <row r="2011" hidden="1">
      <c r="A2011" s="23" t="b">
        <f t="array" ref="A2011">if(G2011='Room Info'!$B$1, INDEX('Room Info'!$A$2:$A3446, MATCH(B2011,'Room Info'!$B$2:$B3446, 0)),if(G2011='Room Info'!$C$1, INDEX('Room Info'!$A$2:$A3446, MATCH(B2011,'Room Info'!$C$2:$C3446, 0)),if(G2011='Room Info'!$D$1, INDEX('Room Info'!$A$2:$A3446, MATCH(B2011,'Room Info'!$D$2:$D3446, 0)),if(G2011='Room Info'!$E$1, INDEX('Room Info'!$A$2:$A3446, MATCH(B2011,'Room Info'!$E$2:$E3446, 0)),if(G2011='Room Info'!$F$1, INDEX('Room Info'!$A$2:$A3446, MATCH(B2011,'Room Info'!$F$2:$F3446, 0)),if(G2011='Room Info'!$H$1, INDEX('Room Info'!$A$2:$A3446, MATCH(B2011,'Room Info'!$H$2:$H3446, 0)),if(G2011='Room Info'!$G$1, INDEX('Room Info'!$A$2:$A3446, MATCH(B2011,'Room Info'!$G$2:$G3446, 0)))))))))</f>
        <v>0</v>
      </c>
      <c r="B2011" s="101"/>
      <c r="C2011" s="115"/>
      <c r="D2011" s="115"/>
      <c r="E2011" s="85"/>
      <c r="F2011" s="101"/>
      <c r="G2011" s="70"/>
      <c r="H2011" s="114"/>
      <c r="I2011" s="114"/>
      <c r="J2011" s="44" t="str">
        <f t="shared" si="311"/>
        <v/>
      </c>
      <c r="K2011" s="139"/>
      <c r="L2011" s="140"/>
      <c r="M2011" s="67"/>
      <c r="N2011" s="33">
        <f t="shared" si="276"/>
        <v>0</v>
      </c>
      <c r="O2011" s="101"/>
      <c r="P2011" s="34" t="str">
        <f t="shared" si="277"/>
        <v/>
      </c>
      <c r="Q2011" s="60"/>
      <c r="R2011" s="36">
        <f t="shared" si="312"/>
        <v>0</v>
      </c>
      <c r="S2011" s="102"/>
      <c r="T2011" s="37">
        <f t="shared" si="302"/>
        <v>0</v>
      </c>
      <c r="U2011" s="62"/>
      <c r="V2011" s="63"/>
      <c r="W2011" s="63"/>
      <c r="X2011" s="35" t="str">
        <f t="shared" si="303"/>
        <v>#N/A</v>
      </c>
      <c r="Y2011" s="35" t="str">
        <f t="shared" si="304"/>
        <v>#N/A</v>
      </c>
      <c r="Z2011" s="40" t="str">
        <f t="shared" si="305"/>
        <v>#N/A</v>
      </c>
      <c r="AA2011" s="34" t="str">
        <f t="shared" si="306"/>
        <v>#N/A</v>
      </c>
      <c r="AB2011" s="41" t="str">
        <f t="shared" si="307"/>
        <v>#N/A</v>
      </c>
      <c r="AC2011" s="42" t="b">
        <v>0</v>
      </c>
      <c r="AD2011" s="66" t="str">
        <f t="shared" si="308"/>
        <v>USD</v>
      </c>
      <c r="AE2011" s="42"/>
      <c r="AF2011" s="42" t="str">
        <f t="array" ref="AF2011">INDEX('Deal Info'!D:D, MATCH(A2011,'Deal Info'!A:A, 0))</f>
        <v>#N/A</v>
      </c>
      <c r="AG2011" s="43" t="str">
        <f t="array" ref="AG2011">INDEX('Deal Info'!G:G, MATCH(A2011,'Deal Info'!A:A, 0))</f>
        <v>#N/A</v>
      </c>
    </row>
    <row r="2012" hidden="1">
      <c r="A2012" s="23" t="b">
        <f t="array" ref="A2012">if(G2012='Room Info'!$B$1, INDEX('Room Info'!$A$2:$A3446, MATCH(B2012,'Room Info'!$B$2:$B3446, 0)),if(G2012='Room Info'!$C$1, INDEX('Room Info'!$A$2:$A3446, MATCH(B2012,'Room Info'!$C$2:$C3446, 0)),if(G2012='Room Info'!$D$1, INDEX('Room Info'!$A$2:$A3446, MATCH(B2012,'Room Info'!$D$2:$D3446, 0)),if(G2012='Room Info'!$E$1, INDEX('Room Info'!$A$2:$A3446, MATCH(B2012,'Room Info'!$E$2:$E3446, 0)),if(G2012='Room Info'!$F$1, INDEX('Room Info'!$A$2:$A3446, MATCH(B2012,'Room Info'!$F$2:$F3446, 0)),if(G2012='Room Info'!$H$1, INDEX('Room Info'!$A$2:$A3446, MATCH(B2012,'Room Info'!$H$2:$H3446, 0)),if(G2012='Room Info'!$G$1, INDEX('Room Info'!$A$2:$A3446, MATCH(B2012,'Room Info'!$G$2:$G3446, 0)))))))))</f>
        <v>0</v>
      </c>
      <c r="B2012" s="101"/>
      <c r="C2012" s="115"/>
      <c r="D2012" s="115"/>
      <c r="E2012" s="85"/>
      <c r="F2012" s="138"/>
      <c r="G2012" s="101"/>
      <c r="H2012" s="114"/>
      <c r="I2012" s="114"/>
      <c r="J2012" s="44" t="str">
        <f t="shared" si="311"/>
        <v/>
      </c>
      <c r="K2012" s="116"/>
      <c r="L2012" s="117"/>
      <c r="M2012" s="67"/>
      <c r="N2012" s="33">
        <f t="shared" si="276"/>
        <v>0</v>
      </c>
      <c r="O2012" s="70"/>
      <c r="P2012" s="34" t="str">
        <f t="shared" si="277"/>
        <v/>
      </c>
      <c r="Q2012" s="60"/>
      <c r="R2012" s="36">
        <f t="shared" si="312"/>
        <v>0</v>
      </c>
      <c r="S2012" s="71"/>
      <c r="T2012" s="37">
        <f t="shared" si="302"/>
        <v>0</v>
      </c>
      <c r="U2012" s="62"/>
      <c r="V2012" s="63"/>
      <c r="W2012" s="63"/>
      <c r="X2012" s="35" t="str">
        <f t="shared" si="303"/>
        <v>#N/A</v>
      </c>
      <c r="Y2012" s="35" t="str">
        <f t="shared" si="304"/>
        <v>#N/A</v>
      </c>
      <c r="Z2012" s="40" t="str">
        <f t="shared" si="305"/>
        <v>#N/A</v>
      </c>
      <c r="AA2012" s="34" t="str">
        <f t="shared" si="306"/>
        <v>#N/A</v>
      </c>
      <c r="AB2012" s="41" t="str">
        <f t="shared" si="307"/>
        <v>#N/A</v>
      </c>
      <c r="AC2012" s="42" t="b">
        <v>0</v>
      </c>
      <c r="AD2012" s="66" t="str">
        <f t="shared" si="308"/>
        <v>USD</v>
      </c>
      <c r="AE2012" s="42"/>
      <c r="AF2012" s="42" t="str">
        <f t="array" ref="AF2012">INDEX('Deal Info'!D:D, MATCH(A2012,'Deal Info'!A:A, 0))</f>
        <v>#N/A</v>
      </c>
      <c r="AG2012" s="43" t="str">
        <f t="array" ref="AG2012">INDEX('Deal Info'!G:G, MATCH(A2012,'Deal Info'!A:A, 0))</f>
        <v>#N/A</v>
      </c>
    </row>
    <row r="2013" hidden="1">
      <c r="A2013" s="23" t="b">
        <f t="array" ref="A2013">if(G2013='Room Info'!$B$1, INDEX('Room Info'!$A$2:$A3446, MATCH(B2013,'Room Info'!$B$2:$B3446, 0)),if(G2013='Room Info'!$C$1, INDEX('Room Info'!$A$2:$A3446, MATCH(B2013,'Room Info'!$C$2:$C3446, 0)),if(G2013='Room Info'!$D$1, INDEX('Room Info'!$A$2:$A3446, MATCH(B2013,'Room Info'!$D$2:$D3446, 0)),if(G2013='Room Info'!$E$1, INDEX('Room Info'!$A$2:$A3446, MATCH(B2013,'Room Info'!$E$2:$E3446, 0)),if(G2013='Room Info'!$F$1, INDEX('Room Info'!$A$2:$A3446, MATCH(B2013,'Room Info'!$F$2:$F3446, 0)),if(G2013='Room Info'!$H$1, INDEX('Room Info'!$A$2:$A3446, MATCH(B2013,'Room Info'!$H$2:$H3446, 0)),if(G2013='Room Info'!$G$1, INDEX('Room Info'!$A$2:$A3446, MATCH(B2013,'Room Info'!$G$2:$G3446, 0)))))))))</f>
        <v>0</v>
      </c>
      <c r="B2013" s="101"/>
      <c r="C2013" s="115"/>
      <c r="D2013" s="115"/>
      <c r="E2013" s="85"/>
      <c r="F2013" s="138"/>
      <c r="G2013" s="101"/>
      <c r="H2013" s="114"/>
      <c r="I2013" s="114"/>
      <c r="J2013" s="44" t="str">
        <f t="shared" si="311"/>
        <v/>
      </c>
      <c r="K2013" s="116"/>
      <c r="L2013" s="117"/>
      <c r="M2013" s="67"/>
      <c r="N2013" s="33">
        <f t="shared" si="276"/>
        <v>0</v>
      </c>
      <c r="O2013" s="70"/>
      <c r="P2013" s="34" t="str">
        <f t="shared" si="277"/>
        <v/>
      </c>
      <c r="Q2013" s="60"/>
      <c r="R2013" s="36">
        <f t="shared" si="312"/>
        <v>0</v>
      </c>
      <c r="S2013" s="71"/>
      <c r="T2013" s="37">
        <f t="shared" si="302"/>
        <v>0</v>
      </c>
      <c r="U2013" s="62"/>
      <c r="V2013" s="63"/>
      <c r="W2013" s="63"/>
      <c r="X2013" s="35" t="str">
        <f t="shared" si="303"/>
        <v>#N/A</v>
      </c>
      <c r="Y2013" s="35" t="str">
        <f t="shared" si="304"/>
        <v>#N/A</v>
      </c>
      <c r="Z2013" s="40" t="str">
        <f t="shared" si="305"/>
        <v>#N/A</v>
      </c>
      <c r="AA2013" s="34" t="str">
        <f t="shared" si="306"/>
        <v>#N/A</v>
      </c>
      <c r="AB2013" s="41" t="str">
        <f t="shared" si="307"/>
        <v>#N/A</v>
      </c>
      <c r="AC2013" s="42" t="b">
        <v>0</v>
      </c>
      <c r="AD2013" s="66" t="str">
        <f t="shared" si="308"/>
        <v>USD</v>
      </c>
      <c r="AE2013" s="42"/>
      <c r="AF2013" s="42" t="str">
        <f t="array" ref="AF2013">INDEX('Deal Info'!D:D, MATCH(A2013,'Deal Info'!A:A, 0))</f>
        <v>#N/A</v>
      </c>
      <c r="AG2013" s="43" t="str">
        <f t="array" ref="AG2013">INDEX('Deal Info'!G:G, MATCH(A2013,'Deal Info'!A:A, 0))</f>
        <v>#N/A</v>
      </c>
    </row>
    <row r="2014" hidden="1">
      <c r="A2014" s="23" t="b">
        <f t="array" ref="A2014">if(G2014='Room Info'!$B$1, INDEX('Room Info'!$A$2:$A3446, MATCH(B2014,'Room Info'!$B$2:$B3446, 0)),if(G2014='Room Info'!$C$1, INDEX('Room Info'!$A$2:$A3446, MATCH(B2014,'Room Info'!$C$2:$C3446, 0)),if(G2014='Room Info'!$D$1, INDEX('Room Info'!$A$2:$A3446, MATCH(B2014,'Room Info'!$D$2:$D3446, 0)),if(G2014='Room Info'!$E$1, INDEX('Room Info'!$A$2:$A3446, MATCH(B2014,'Room Info'!$E$2:$E3446, 0)),if(G2014='Room Info'!$F$1, INDEX('Room Info'!$A$2:$A3446, MATCH(B2014,'Room Info'!$F$2:$F3446, 0)),if(G2014='Room Info'!$H$1, INDEX('Room Info'!$A$2:$A3446, MATCH(B2014,'Room Info'!$H$2:$H3446, 0)),if(G2014='Room Info'!$G$1, INDEX('Room Info'!$A$2:$A3446, MATCH(B2014,'Room Info'!$G$2:$G3446, 0)))))))))</f>
        <v>0</v>
      </c>
      <c r="B2014" s="101"/>
      <c r="C2014" s="141"/>
      <c r="D2014" s="141"/>
      <c r="E2014" s="142"/>
      <c r="F2014" s="138"/>
      <c r="G2014" s="101"/>
      <c r="H2014" s="105"/>
      <c r="I2014" s="105"/>
      <c r="J2014" s="44" t="str">
        <f t="shared" si="311"/>
        <v/>
      </c>
      <c r="K2014" s="139"/>
      <c r="L2014" s="140"/>
      <c r="M2014" s="84"/>
      <c r="N2014" s="33">
        <f t="shared" si="276"/>
        <v>0</v>
      </c>
      <c r="O2014" s="101"/>
      <c r="P2014" s="34" t="str">
        <f t="shared" si="277"/>
        <v/>
      </c>
      <c r="Q2014" s="60"/>
      <c r="R2014" s="36">
        <f t="shared" si="312"/>
        <v>0</v>
      </c>
      <c r="S2014" s="102"/>
      <c r="T2014" s="37">
        <f t="shared" si="302"/>
        <v>0</v>
      </c>
      <c r="U2014" s="62"/>
      <c r="V2014" s="63"/>
      <c r="W2014" s="63"/>
      <c r="X2014" s="35" t="str">
        <f t="shared" si="303"/>
        <v>#N/A</v>
      </c>
      <c r="Y2014" s="35" t="str">
        <f t="shared" si="304"/>
        <v>#N/A</v>
      </c>
      <c r="Z2014" s="40" t="str">
        <f t="shared" si="305"/>
        <v>#N/A</v>
      </c>
      <c r="AA2014" s="34" t="str">
        <f t="shared" si="306"/>
        <v>#N/A</v>
      </c>
      <c r="AB2014" s="41" t="str">
        <f t="shared" si="307"/>
        <v>#N/A</v>
      </c>
      <c r="AC2014" s="42" t="b">
        <v>0</v>
      </c>
      <c r="AD2014" s="66" t="str">
        <f t="shared" si="308"/>
        <v>USD</v>
      </c>
      <c r="AE2014" s="42"/>
      <c r="AF2014" s="42" t="str">
        <f t="array" ref="AF2014">INDEX('Deal Info'!D:D, MATCH(A2014,'Deal Info'!A:A, 0))</f>
        <v>#N/A</v>
      </c>
      <c r="AG2014" s="43" t="str">
        <f t="array" ref="AG2014">INDEX('Deal Info'!G:G, MATCH(A2014,'Deal Info'!A:A, 0))</f>
        <v>#N/A</v>
      </c>
    </row>
    <row r="2015" hidden="1">
      <c r="A2015" s="23" t="b">
        <f t="array" ref="A2015">if(G2015='Room Info'!$B$1, INDEX('Room Info'!$A$2:$A3446, MATCH(B2015,'Room Info'!$B$2:$B3446, 0)),if(G2015='Room Info'!$C$1, INDEX('Room Info'!$A$2:$A3446, MATCH(B2015,'Room Info'!$C$2:$C3446, 0)),if(G2015='Room Info'!$D$1, INDEX('Room Info'!$A$2:$A3446, MATCH(B2015,'Room Info'!$D$2:$D3446, 0)),if(G2015='Room Info'!$E$1, INDEX('Room Info'!$A$2:$A3446, MATCH(B2015,'Room Info'!$E$2:$E3446, 0)),if(G2015='Room Info'!$F$1, INDEX('Room Info'!$A$2:$A3446, MATCH(B2015,'Room Info'!$F$2:$F3446, 0)),if(G2015='Room Info'!$H$1, INDEX('Room Info'!$A$2:$A3446, MATCH(B2015,'Room Info'!$H$2:$H3446, 0)),if(G2015='Room Info'!$G$1, INDEX('Room Info'!$A$2:$A3446, MATCH(B2015,'Room Info'!$G$2:$G3446, 0)))))))))</f>
        <v>0</v>
      </c>
      <c r="B2015" s="101"/>
      <c r="C2015" s="141"/>
      <c r="D2015" s="141"/>
      <c r="E2015" s="142"/>
      <c r="F2015" s="138"/>
      <c r="G2015" s="101"/>
      <c r="H2015" s="105"/>
      <c r="I2015" s="105"/>
      <c r="J2015" s="44" t="str">
        <f t="shared" si="311"/>
        <v/>
      </c>
      <c r="K2015" s="139"/>
      <c r="L2015" s="140"/>
      <c r="M2015" s="84"/>
      <c r="N2015" s="33">
        <f t="shared" si="276"/>
        <v>0</v>
      </c>
      <c r="O2015" s="101"/>
      <c r="P2015" s="34" t="str">
        <f t="shared" si="277"/>
        <v/>
      </c>
      <c r="Q2015" s="60"/>
      <c r="R2015" s="36">
        <f t="shared" si="312"/>
        <v>0</v>
      </c>
      <c r="S2015" s="102"/>
      <c r="T2015" s="37">
        <f t="shared" si="302"/>
        <v>0</v>
      </c>
      <c r="U2015" s="62"/>
      <c r="V2015" s="63"/>
      <c r="W2015" s="63"/>
      <c r="X2015" s="35" t="str">
        <f t="shared" si="303"/>
        <v>#N/A</v>
      </c>
      <c r="Y2015" s="35" t="str">
        <f t="shared" si="304"/>
        <v>#N/A</v>
      </c>
      <c r="Z2015" s="40" t="str">
        <f t="shared" si="305"/>
        <v>#N/A</v>
      </c>
      <c r="AA2015" s="34" t="str">
        <f t="shared" si="306"/>
        <v>#N/A</v>
      </c>
      <c r="AB2015" s="41" t="str">
        <f t="shared" si="307"/>
        <v>#N/A</v>
      </c>
      <c r="AC2015" s="42" t="b">
        <v>0</v>
      </c>
      <c r="AD2015" s="66" t="str">
        <f t="shared" si="308"/>
        <v>USD</v>
      </c>
      <c r="AE2015" s="42"/>
      <c r="AF2015" s="42" t="str">
        <f t="array" ref="AF2015">INDEX('Deal Info'!D:D, MATCH(A2015,'Deal Info'!A:A, 0))</f>
        <v>#N/A</v>
      </c>
      <c r="AG2015" s="43" t="str">
        <f t="array" ref="AG2015">INDEX('Deal Info'!G:G, MATCH(A2015,'Deal Info'!A:A, 0))</f>
        <v>#N/A</v>
      </c>
    </row>
    <row r="2016" hidden="1">
      <c r="A2016" s="23" t="b">
        <f t="array" ref="A2016">if(G2016='Room Info'!$B$1, INDEX('Room Info'!$A$2:$A3446, MATCH(B2016,'Room Info'!$B$2:$B3446, 0)),if(G2016='Room Info'!$C$1, INDEX('Room Info'!$A$2:$A3446, MATCH(B2016,'Room Info'!$C$2:$C3446, 0)),if(G2016='Room Info'!$D$1, INDEX('Room Info'!$A$2:$A3446, MATCH(B2016,'Room Info'!$D$2:$D3446, 0)),if(G2016='Room Info'!$E$1, INDEX('Room Info'!$A$2:$A3446, MATCH(B2016,'Room Info'!$E$2:$E3446, 0)),if(G2016='Room Info'!$F$1, INDEX('Room Info'!$A$2:$A3446, MATCH(B2016,'Room Info'!$F$2:$F3446, 0)),if(G2016='Room Info'!$H$1, INDEX('Room Info'!$A$2:$A3446, MATCH(B2016,'Room Info'!$H$2:$H3446, 0)),if(G2016='Room Info'!$G$1, INDEX('Room Info'!$A$2:$A3446, MATCH(B2016,'Room Info'!$G$2:$G3446, 0)))))))))</f>
        <v>0</v>
      </c>
      <c r="B2016" s="101"/>
      <c r="C2016" s="141"/>
      <c r="D2016" s="141"/>
      <c r="E2016" s="142"/>
      <c r="F2016" s="138"/>
      <c r="G2016" s="70"/>
      <c r="H2016" s="114"/>
      <c r="I2016" s="114"/>
      <c r="J2016" s="44" t="str">
        <f t="shared" si="311"/>
        <v/>
      </c>
      <c r="K2016" s="139"/>
      <c r="L2016" s="140"/>
      <c r="M2016" s="67"/>
      <c r="N2016" s="33">
        <f t="shared" si="276"/>
        <v>0</v>
      </c>
      <c r="O2016" s="101"/>
      <c r="P2016" s="34" t="str">
        <f t="shared" si="277"/>
        <v/>
      </c>
      <c r="Q2016" s="60"/>
      <c r="R2016" s="36">
        <f t="shared" si="312"/>
        <v>0</v>
      </c>
      <c r="S2016" s="102"/>
      <c r="T2016" s="37">
        <f t="shared" si="302"/>
        <v>0</v>
      </c>
      <c r="U2016" s="62"/>
      <c r="V2016" s="63"/>
      <c r="W2016" s="63"/>
      <c r="X2016" s="35" t="str">
        <f t="shared" si="303"/>
        <v>#N/A</v>
      </c>
      <c r="Y2016" s="35" t="str">
        <f t="shared" si="304"/>
        <v>#N/A</v>
      </c>
      <c r="Z2016" s="40" t="str">
        <f t="shared" si="305"/>
        <v>#N/A</v>
      </c>
      <c r="AA2016" s="34" t="str">
        <f t="shared" si="306"/>
        <v>#N/A</v>
      </c>
      <c r="AB2016" s="41" t="str">
        <f t="shared" si="307"/>
        <v>#N/A</v>
      </c>
      <c r="AC2016" s="42" t="b">
        <v>0</v>
      </c>
      <c r="AD2016" s="66" t="str">
        <f t="shared" si="308"/>
        <v>USD</v>
      </c>
      <c r="AE2016" s="42"/>
      <c r="AF2016" s="42" t="str">
        <f t="array" ref="AF2016">INDEX('Deal Info'!D:D, MATCH(A2016,'Deal Info'!A:A, 0))</f>
        <v>#N/A</v>
      </c>
      <c r="AG2016" s="43" t="str">
        <f t="array" ref="AG2016">INDEX('Deal Info'!G:G, MATCH(A2016,'Deal Info'!A:A, 0))</f>
        <v>#N/A</v>
      </c>
    </row>
    <row r="2017" hidden="1">
      <c r="A2017" s="23" t="b">
        <f t="array" ref="A2017">if(G2017='Room Info'!$B$1, INDEX('Room Info'!$A$2:$A3446, MATCH(B2017,'Room Info'!$B$2:$B3446, 0)),if(G2017='Room Info'!$C$1, INDEX('Room Info'!$A$2:$A3446, MATCH(B2017,'Room Info'!$C$2:$C3446, 0)),if(G2017='Room Info'!$D$1, INDEX('Room Info'!$A$2:$A3446, MATCH(B2017,'Room Info'!$D$2:$D3446, 0)),if(G2017='Room Info'!$E$1, INDEX('Room Info'!$A$2:$A3446, MATCH(B2017,'Room Info'!$E$2:$E3446, 0)),if(G2017='Room Info'!$F$1, INDEX('Room Info'!$A$2:$A3446, MATCH(B2017,'Room Info'!$F$2:$F3446, 0)),if(G2017='Room Info'!$H$1, INDEX('Room Info'!$A$2:$A3446, MATCH(B2017,'Room Info'!$H$2:$H3446, 0)),if(G2017='Room Info'!$G$1, INDEX('Room Info'!$A$2:$A3446, MATCH(B2017,'Room Info'!$G$2:$G3446, 0)))))))))</f>
        <v>0</v>
      </c>
      <c r="B2017" s="101"/>
      <c r="C2017" s="141"/>
      <c r="D2017" s="141"/>
      <c r="E2017" s="142"/>
      <c r="F2017" s="138"/>
      <c r="G2017" s="70"/>
      <c r="H2017" s="105"/>
      <c r="I2017" s="105"/>
      <c r="J2017" s="44" t="str">
        <f t="shared" si="311"/>
        <v/>
      </c>
      <c r="K2017" s="139"/>
      <c r="L2017" s="140"/>
      <c r="M2017" s="67"/>
      <c r="N2017" s="33">
        <f t="shared" si="276"/>
        <v>0</v>
      </c>
      <c r="O2017" s="101"/>
      <c r="P2017" s="34" t="str">
        <f t="shared" si="277"/>
        <v/>
      </c>
      <c r="Q2017" s="60"/>
      <c r="R2017" s="36">
        <f t="shared" si="312"/>
        <v>0</v>
      </c>
      <c r="S2017" s="102"/>
      <c r="T2017" s="37">
        <f t="shared" si="302"/>
        <v>0</v>
      </c>
      <c r="U2017" s="62"/>
      <c r="V2017" s="63"/>
      <c r="W2017" s="63"/>
      <c r="X2017" s="35" t="str">
        <f t="shared" si="303"/>
        <v>#N/A</v>
      </c>
      <c r="Y2017" s="35" t="str">
        <f t="shared" si="304"/>
        <v>#N/A</v>
      </c>
      <c r="Z2017" s="40" t="str">
        <f t="shared" si="305"/>
        <v>#N/A</v>
      </c>
      <c r="AA2017" s="34" t="str">
        <f t="shared" si="306"/>
        <v>#N/A</v>
      </c>
      <c r="AB2017" s="41" t="str">
        <f t="shared" si="307"/>
        <v>#N/A</v>
      </c>
      <c r="AC2017" s="42" t="b">
        <v>0</v>
      </c>
      <c r="AD2017" s="66" t="str">
        <f t="shared" si="308"/>
        <v>USD</v>
      </c>
      <c r="AE2017" s="42"/>
      <c r="AF2017" s="42" t="str">
        <f t="array" ref="AF2017">INDEX('Deal Info'!D:D, MATCH(A2017,'Deal Info'!A:A, 0))</f>
        <v>#N/A</v>
      </c>
      <c r="AG2017" s="43" t="str">
        <f t="array" ref="AG2017">INDEX('Deal Info'!G:G, MATCH(A2017,'Deal Info'!A:A, 0))</f>
        <v>#N/A</v>
      </c>
    </row>
    <row r="2018" hidden="1">
      <c r="A2018" s="23" t="b">
        <f t="array" ref="A2018">if(G2018='Room Info'!$B$1, INDEX('Room Info'!$A$2:$A3446, MATCH(B2018,'Room Info'!$B$2:$B3446, 0)),if(G2018='Room Info'!$C$1, INDEX('Room Info'!$A$2:$A3446, MATCH(B2018,'Room Info'!$C$2:$C3446, 0)),if(G2018='Room Info'!$D$1, INDEX('Room Info'!$A$2:$A3446, MATCH(B2018,'Room Info'!$D$2:$D3446, 0)),if(G2018='Room Info'!$E$1, INDEX('Room Info'!$A$2:$A3446, MATCH(B2018,'Room Info'!$E$2:$E3446, 0)),if(G2018='Room Info'!$F$1, INDEX('Room Info'!$A$2:$A3446, MATCH(B2018,'Room Info'!$F$2:$F3446, 0)),if(G2018='Room Info'!$H$1, INDEX('Room Info'!$A$2:$A3446, MATCH(B2018,'Room Info'!$H$2:$H3446, 0)),if(G2018='Room Info'!$G$1, INDEX('Room Info'!$A$2:$A3446, MATCH(B2018,'Room Info'!$G$2:$G3446, 0)))))))))</f>
        <v>0</v>
      </c>
      <c r="B2018" s="101"/>
      <c r="C2018" s="115"/>
      <c r="D2018" s="115"/>
      <c r="E2018" s="85"/>
      <c r="F2018" s="101"/>
      <c r="G2018" s="70"/>
      <c r="H2018" s="114"/>
      <c r="I2018" s="114"/>
      <c r="J2018" s="44" t="str">
        <f t="shared" si="311"/>
        <v/>
      </c>
      <c r="K2018" s="116"/>
      <c r="L2018" s="117"/>
      <c r="M2018" s="67"/>
      <c r="N2018" s="33">
        <f t="shared" si="276"/>
        <v>0</v>
      </c>
      <c r="O2018" s="70"/>
      <c r="P2018" s="34" t="str">
        <f t="shared" si="277"/>
        <v/>
      </c>
      <c r="Q2018" s="60"/>
      <c r="R2018" s="36">
        <f t="shared" si="312"/>
        <v>0</v>
      </c>
      <c r="S2018" s="71"/>
      <c r="T2018" s="37">
        <f t="shared" si="302"/>
        <v>0</v>
      </c>
      <c r="U2018" s="62"/>
      <c r="V2018" s="63"/>
      <c r="W2018" s="63"/>
      <c r="X2018" s="35" t="str">
        <f t="shared" si="303"/>
        <v>#N/A</v>
      </c>
      <c r="Y2018" s="35" t="str">
        <f t="shared" si="304"/>
        <v>#N/A</v>
      </c>
      <c r="Z2018" s="40" t="str">
        <f t="shared" si="305"/>
        <v>#N/A</v>
      </c>
      <c r="AA2018" s="34" t="str">
        <f t="shared" si="306"/>
        <v>#N/A</v>
      </c>
      <c r="AB2018" s="41" t="str">
        <f t="shared" si="307"/>
        <v>#N/A</v>
      </c>
      <c r="AC2018" s="42" t="b">
        <v>0</v>
      </c>
      <c r="AD2018" s="66" t="str">
        <f t="shared" si="308"/>
        <v>USD</v>
      </c>
      <c r="AE2018" s="42"/>
      <c r="AF2018" s="42" t="str">
        <f t="array" ref="AF2018">INDEX('Deal Info'!D:D, MATCH(A2018,'Deal Info'!A:A, 0))</f>
        <v>#N/A</v>
      </c>
      <c r="AG2018" s="43" t="str">
        <f t="array" ref="AG2018">INDEX('Deal Info'!G:G, MATCH(A2018,'Deal Info'!A:A, 0))</f>
        <v>#N/A</v>
      </c>
    </row>
    <row r="2019" hidden="1">
      <c r="A2019" s="23" t="b">
        <f t="array" ref="A2019">if(G2019='Room Info'!$B$1, INDEX('Room Info'!$A$2:$A3446, MATCH(B2019,'Room Info'!$B$2:$B3446, 0)),if(G2019='Room Info'!$C$1, INDEX('Room Info'!$A$2:$A3446, MATCH(B2019,'Room Info'!$C$2:$C3446, 0)),if(G2019='Room Info'!$D$1, INDEX('Room Info'!$A$2:$A3446, MATCH(B2019,'Room Info'!$D$2:$D3446, 0)),if(G2019='Room Info'!$E$1, INDEX('Room Info'!$A$2:$A3446, MATCH(B2019,'Room Info'!$E$2:$E3446, 0)),if(G2019='Room Info'!$F$1, INDEX('Room Info'!$A$2:$A3446, MATCH(B2019,'Room Info'!$F$2:$F3446, 0)),if(G2019='Room Info'!$H$1, INDEX('Room Info'!$A$2:$A3446, MATCH(B2019,'Room Info'!$H$2:$H3446, 0)),if(G2019='Room Info'!$G$1, INDEX('Room Info'!$A$2:$A3446, MATCH(B2019,'Room Info'!$G$2:$G3446, 0)))))))))</f>
        <v>0</v>
      </c>
      <c r="B2019" s="101"/>
      <c r="C2019" s="115"/>
      <c r="D2019" s="115"/>
      <c r="E2019" s="85"/>
      <c r="F2019" s="101"/>
      <c r="G2019" s="70"/>
      <c r="H2019" s="114"/>
      <c r="I2019" s="114"/>
      <c r="J2019" s="44" t="str">
        <f t="shared" si="311"/>
        <v/>
      </c>
      <c r="K2019" s="116"/>
      <c r="L2019" s="117"/>
      <c r="M2019" s="67"/>
      <c r="N2019" s="33">
        <f t="shared" si="276"/>
        <v>0</v>
      </c>
      <c r="O2019" s="70"/>
      <c r="P2019" s="34" t="str">
        <f t="shared" si="277"/>
        <v/>
      </c>
      <c r="Q2019" s="60"/>
      <c r="R2019" s="36">
        <f t="shared" si="312"/>
        <v>0</v>
      </c>
      <c r="S2019" s="71"/>
      <c r="T2019" s="37">
        <f t="shared" si="302"/>
        <v>0</v>
      </c>
      <c r="U2019" s="62"/>
      <c r="V2019" s="63"/>
      <c r="W2019" s="63"/>
      <c r="X2019" s="35" t="str">
        <f t="shared" si="303"/>
        <v>#N/A</v>
      </c>
      <c r="Y2019" s="35" t="str">
        <f t="shared" si="304"/>
        <v>#N/A</v>
      </c>
      <c r="Z2019" s="40" t="str">
        <f t="shared" si="305"/>
        <v>#N/A</v>
      </c>
      <c r="AA2019" s="34" t="str">
        <f t="shared" si="306"/>
        <v>#N/A</v>
      </c>
      <c r="AB2019" s="41" t="str">
        <f t="shared" si="307"/>
        <v>#N/A</v>
      </c>
      <c r="AC2019" s="42" t="b">
        <v>0</v>
      </c>
      <c r="AD2019" s="66" t="str">
        <f t="shared" si="308"/>
        <v>USD</v>
      </c>
      <c r="AE2019" s="42"/>
      <c r="AF2019" s="42" t="str">
        <f t="array" ref="AF2019">INDEX('Deal Info'!D:D, MATCH(A2019,'Deal Info'!A:A, 0))</f>
        <v>#N/A</v>
      </c>
      <c r="AG2019" s="43" t="str">
        <f t="array" ref="AG2019">INDEX('Deal Info'!G:G, MATCH(A2019,'Deal Info'!A:A, 0))</f>
        <v>#N/A</v>
      </c>
    </row>
    <row r="2020" hidden="1">
      <c r="A2020" s="23" t="b">
        <f t="array" ref="A2020">if(G2020='Room Info'!$B$1, INDEX('Room Info'!$A$2:$A3446, MATCH(B2020,'Room Info'!$B$2:$B3446, 0)),if(G2020='Room Info'!$C$1, INDEX('Room Info'!$A$2:$A3446, MATCH(B2020,'Room Info'!$C$2:$C3446, 0)),if(G2020='Room Info'!$D$1, INDEX('Room Info'!$A$2:$A3446, MATCH(B2020,'Room Info'!$D$2:$D3446, 0)),if(G2020='Room Info'!$E$1, INDEX('Room Info'!$A$2:$A3446, MATCH(B2020,'Room Info'!$E$2:$E3446, 0)),if(G2020='Room Info'!$F$1, INDEX('Room Info'!$A$2:$A3446, MATCH(B2020,'Room Info'!$F$2:$F3446, 0)),if(G2020='Room Info'!$H$1, INDEX('Room Info'!$A$2:$A3446, MATCH(B2020,'Room Info'!$H$2:$H3446, 0)),if(G2020='Room Info'!$G$1, INDEX('Room Info'!$A$2:$A3446, MATCH(B2020,'Room Info'!$G$2:$G3446, 0)))))))))</f>
        <v>0</v>
      </c>
      <c r="B2020" s="101"/>
      <c r="C2020" s="115"/>
      <c r="D2020" s="115"/>
      <c r="E2020" s="85"/>
      <c r="F2020" s="138"/>
      <c r="G2020" s="70"/>
      <c r="H2020" s="114"/>
      <c r="I2020" s="114"/>
      <c r="J2020" s="44" t="str">
        <f t="shared" si="311"/>
        <v/>
      </c>
      <c r="K2020" s="116"/>
      <c r="L2020" s="117"/>
      <c r="M2020" s="67"/>
      <c r="N2020" s="33">
        <f t="shared" si="276"/>
        <v>0</v>
      </c>
      <c r="O2020" s="70"/>
      <c r="P2020" s="34" t="str">
        <f t="shared" si="277"/>
        <v/>
      </c>
      <c r="Q2020" s="60"/>
      <c r="R2020" s="36">
        <f t="shared" si="312"/>
        <v>0</v>
      </c>
      <c r="S2020" s="71"/>
      <c r="T2020" s="37">
        <f t="shared" si="302"/>
        <v>0</v>
      </c>
      <c r="U2020" s="62"/>
      <c r="V2020" s="63"/>
      <c r="W2020" s="63"/>
      <c r="X2020" s="35" t="str">
        <f t="shared" si="303"/>
        <v>#N/A</v>
      </c>
      <c r="Y2020" s="35" t="str">
        <f t="shared" si="304"/>
        <v>#N/A</v>
      </c>
      <c r="Z2020" s="40" t="str">
        <f t="shared" si="305"/>
        <v>#N/A</v>
      </c>
      <c r="AA2020" s="34" t="str">
        <f t="shared" si="306"/>
        <v>#N/A</v>
      </c>
      <c r="AB2020" s="41" t="str">
        <f t="shared" si="307"/>
        <v>#N/A</v>
      </c>
      <c r="AC2020" s="42" t="b">
        <v>0</v>
      </c>
      <c r="AD2020" s="66" t="str">
        <f t="shared" si="308"/>
        <v>USD</v>
      </c>
      <c r="AE2020" s="42"/>
      <c r="AF2020" s="42" t="str">
        <f t="array" ref="AF2020">INDEX('Deal Info'!D:D, MATCH(A2020,'Deal Info'!A:A, 0))</f>
        <v>#N/A</v>
      </c>
      <c r="AG2020" s="43" t="str">
        <f t="array" ref="AG2020">INDEX('Deal Info'!G:G, MATCH(A2020,'Deal Info'!A:A, 0))</f>
        <v>#N/A</v>
      </c>
    </row>
    <row r="2021" hidden="1">
      <c r="A2021" s="23" t="b">
        <f t="array" ref="A2021">if(G2021='Room Info'!$B$1, INDEX('Room Info'!$A$2:$A3446, MATCH(B2021,'Room Info'!$B$2:$B3446, 0)),if(G2021='Room Info'!$C$1, INDEX('Room Info'!$A$2:$A3446, MATCH(B2021,'Room Info'!$C$2:$C3446, 0)),if(G2021='Room Info'!$D$1, INDEX('Room Info'!$A$2:$A3446, MATCH(B2021,'Room Info'!$D$2:$D3446, 0)),if(G2021='Room Info'!$E$1, INDEX('Room Info'!$A$2:$A3446, MATCH(B2021,'Room Info'!$E$2:$E3446, 0)),if(G2021='Room Info'!$F$1, INDEX('Room Info'!$A$2:$A3446, MATCH(B2021,'Room Info'!$F$2:$F3446, 0)),if(G2021='Room Info'!$H$1, INDEX('Room Info'!$A$2:$A3446, MATCH(B2021,'Room Info'!$H$2:$H3446, 0)),if(G2021='Room Info'!$G$1, INDEX('Room Info'!$A$2:$A3446, MATCH(B2021,'Room Info'!$G$2:$G3446, 0)))))))))</f>
        <v>0</v>
      </c>
      <c r="B2021" s="101"/>
      <c r="C2021" s="115"/>
      <c r="D2021" s="115"/>
      <c r="E2021" s="85"/>
      <c r="F2021" s="138"/>
      <c r="G2021" s="70"/>
      <c r="H2021" s="105"/>
      <c r="I2021" s="105"/>
      <c r="J2021" s="44" t="str">
        <f t="shared" si="311"/>
        <v/>
      </c>
      <c r="K2021" s="139"/>
      <c r="L2021" s="140"/>
      <c r="M2021" s="67"/>
      <c r="N2021" s="33">
        <f t="shared" si="276"/>
        <v>0</v>
      </c>
      <c r="O2021" s="101"/>
      <c r="P2021" s="34" t="str">
        <f t="shared" si="277"/>
        <v/>
      </c>
      <c r="Q2021" s="60"/>
      <c r="R2021" s="36">
        <f t="shared" si="312"/>
        <v>0</v>
      </c>
      <c r="S2021" s="102"/>
      <c r="T2021" s="37">
        <f t="shared" si="302"/>
        <v>0</v>
      </c>
      <c r="U2021" s="62"/>
      <c r="V2021" s="63"/>
      <c r="W2021" s="63"/>
      <c r="X2021" s="35" t="str">
        <f t="shared" si="303"/>
        <v>#N/A</v>
      </c>
      <c r="Y2021" s="35" t="str">
        <f t="shared" si="304"/>
        <v>#N/A</v>
      </c>
      <c r="Z2021" s="40" t="str">
        <f t="shared" si="305"/>
        <v>#N/A</v>
      </c>
      <c r="AA2021" s="34" t="str">
        <f t="shared" si="306"/>
        <v>#N/A</v>
      </c>
      <c r="AB2021" s="41" t="str">
        <f t="shared" si="307"/>
        <v>#N/A</v>
      </c>
      <c r="AC2021" s="42" t="b">
        <v>0</v>
      </c>
      <c r="AD2021" s="66" t="str">
        <f t="shared" si="308"/>
        <v>USD</v>
      </c>
      <c r="AE2021" s="42"/>
      <c r="AF2021" s="42" t="str">
        <f t="array" ref="AF2021">INDEX('Deal Info'!D:D, MATCH(A2021,'Deal Info'!A:A, 0))</f>
        <v>#N/A</v>
      </c>
      <c r="AG2021" s="43" t="str">
        <f t="array" ref="AG2021">INDEX('Deal Info'!G:G, MATCH(A2021,'Deal Info'!A:A, 0))</f>
        <v>#N/A</v>
      </c>
    </row>
    <row r="2022" hidden="1">
      <c r="A2022" s="23" t="b">
        <f t="array" ref="A2022">if(G2022='Room Info'!$B$1, INDEX('Room Info'!$A$2:$A3446, MATCH(B2022,'Room Info'!$B$2:$B3446, 0)),if(G2022='Room Info'!$C$1, INDEX('Room Info'!$A$2:$A3446, MATCH(B2022,'Room Info'!$C$2:$C3446, 0)),if(G2022='Room Info'!$D$1, INDEX('Room Info'!$A$2:$A3446, MATCH(B2022,'Room Info'!$D$2:$D3446, 0)),if(G2022='Room Info'!$E$1, INDEX('Room Info'!$A$2:$A3446, MATCH(B2022,'Room Info'!$E$2:$E3446, 0)),if(G2022='Room Info'!$F$1, INDEX('Room Info'!$A$2:$A3446, MATCH(B2022,'Room Info'!$F$2:$F3446, 0)),if(G2022='Room Info'!$H$1, INDEX('Room Info'!$A$2:$A3446, MATCH(B2022,'Room Info'!$H$2:$H3446, 0)),if(G2022='Room Info'!$G$1, INDEX('Room Info'!$A$2:$A3446, MATCH(B2022,'Room Info'!$G$2:$G3446, 0)))))))))</f>
        <v>0</v>
      </c>
      <c r="B2022" s="101"/>
      <c r="C2022" s="115"/>
      <c r="D2022" s="115"/>
      <c r="E2022" s="85"/>
      <c r="F2022" s="138"/>
      <c r="G2022" s="70"/>
      <c r="H2022" s="105"/>
      <c r="I2022" s="105"/>
      <c r="J2022" s="44" t="str">
        <f t="shared" si="311"/>
        <v/>
      </c>
      <c r="K2022" s="139"/>
      <c r="L2022" s="140"/>
      <c r="M2022" s="67"/>
      <c r="N2022" s="33">
        <f t="shared" si="276"/>
        <v>0</v>
      </c>
      <c r="O2022" s="101"/>
      <c r="P2022" s="34" t="str">
        <f t="shared" si="277"/>
        <v/>
      </c>
      <c r="Q2022" s="60"/>
      <c r="R2022" s="36">
        <f t="shared" si="312"/>
        <v>0</v>
      </c>
      <c r="S2022" s="102"/>
      <c r="T2022" s="37">
        <f t="shared" si="302"/>
        <v>0</v>
      </c>
      <c r="U2022" s="62"/>
      <c r="V2022" s="63"/>
      <c r="W2022" s="63"/>
      <c r="X2022" s="35" t="str">
        <f t="shared" si="303"/>
        <v>#N/A</v>
      </c>
      <c r="Y2022" s="35" t="str">
        <f t="shared" si="304"/>
        <v>#N/A</v>
      </c>
      <c r="Z2022" s="40" t="str">
        <f t="shared" si="305"/>
        <v>#N/A</v>
      </c>
      <c r="AA2022" s="34" t="str">
        <f t="shared" si="306"/>
        <v>#N/A</v>
      </c>
      <c r="AB2022" s="41" t="str">
        <f t="shared" si="307"/>
        <v>#N/A</v>
      </c>
      <c r="AC2022" s="42" t="b">
        <v>0</v>
      </c>
      <c r="AD2022" s="66" t="str">
        <f t="shared" si="308"/>
        <v>USD</v>
      </c>
      <c r="AE2022" s="42"/>
      <c r="AF2022" s="42" t="str">
        <f t="array" ref="AF2022">INDEX('Deal Info'!D:D, MATCH(A2022,'Deal Info'!A:A, 0))</f>
        <v>#N/A</v>
      </c>
      <c r="AG2022" s="43" t="str">
        <f t="array" ref="AG2022">INDEX('Deal Info'!G:G, MATCH(A2022,'Deal Info'!A:A, 0))</f>
        <v>#N/A</v>
      </c>
    </row>
    <row r="2023" hidden="1">
      <c r="A2023" s="23" t="b">
        <f t="array" ref="A2023">if(G2023='Room Info'!$B$1, INDEX('Room Info'!$A$2:$A3446, MATCH(B2023,'Room Info'!$B$2:$B3446, 0)),if(G2023='Room Info'!$C$1, INDEX('Room Info'!$A$2:$A3446, MATCH(B2023,'Room Info'!$C$2:$C3446, 0)),if(G2023='Room Info'!$D$1, INDEX('Room Info'!$A$2:$A3446, MATCH(B2023,'Room Info'!$D$2:$D3446, 0)),if(G2023='Room Info'!$E$1, INDEX('Room Info'!$A$2:$A3446, MATCH(B2023,'Room Info'!$E$2:$E3446, 0)),if(G2023='Room Info'!$F$1, INDEX('Room Info'!$A$2:$A3446, MATCH(B2023,'Room Info'!$F$2:$F3446, 0)),if(G2023='Room Info'!$H$1, INDEX('Room Info'!$A$2:$A3446, MATCH(B2023,'Room Info'!$H$2:$H3446, 0)),if(G2023='Room Info'!$G$1, INDEX('Room Info'!$A$2:$A3446, MATCH(B2023,'Room Info'!$G$2:$G3446, 0)))))))))</f>
        <v>0</v>
      </c>
      <c r="B2023" s="101"/>
      <c r="C2023" s="141"/>
      <c r="D2023" s="141"/>
      <c r="E2023" s="142"/>
      <c r="F2023" s="138"/>
      <c r="G2023" s="101"/>
      <c r="H2023" s="105"/>
      <c r="I2023" s="105"/>
      <c r="J2023" s="44" t="str">
        <f t="shared" si="311"/>
        <v/>
      </c>
      <c r="K2023" s="139"/>
      <c r="L2023" s="140"/>
      <c r="M2023" s="84"/>
      <c r="N2023" s="33">
        <f t="shared" si="276"/>
        <v>0</v>
      </c>
      <c r="O2023" s="101"/>
      <c r="P2023" s="34" t="str">
        <f t="shared" si="277"/>
        <v/>
      </c>
      <c r="Q2023" s="60"/>
      <c r="R2023" s="36">
        <f t="shared" si="312"/>
        <v>0</v>
      </c>
      <c r="S2023" s="102"/>
      <c r="T2023" s="37">
        <f t="shared" si="302"/>
        <v>0</v>
      </c>
      <c r="U2023" s="62"/>
      <c r="V2023" s="63"/>
      <c r="W2023" s="63"/>
      <c r="X2023" s="35" t="str">
        <f t="shared" si="303"/>
        <v>#N/A</v>
      </c>
      <c r="Y2023" s="35" t="str">
        <f t="shared" si="304"/>
        <v>#N/A</v>
      </c>
      <c r="Z2023" s="40" t="str">
        <f t="shared" si="305"/>
        <v>#N/A</v>
      </c>
      <c r="AA2023" s="34" t="str">
        <f t="shared" si="306"/>
        <v>#N/A</v>
      </c>
      <c r="AB2023" s="41" t="str">
        <f t="shared" si="307"/>
        <v>#N/A</v>
      </c>
      <c r="AC2023" s="42" t="b">
        <v>0</v>
      </c>
      <c r="AD2023" s="66" t="str">
        <f t="shared" si="308"/>
        <v>USD</v>
      </c>
      <c r="AE2023" s="42"/>
      <c r="AF2023" s="42" t="str">
        <f t="array" ref="AF2023">INDEX('Deal Info'!D:D, MATCH(A2023,'Deal Info'!A:A, 0))</f>
        <v>#N/A</v>
      </c>
      <c r="AG2023" s="43" t="str">
        <f t="array" ref="AG2023">INDEX('Deal Info'!G:G, MATCH(A2023,'Deal Info'!A:A, 0))</f>
        <v>#N/A</v>
      </c>
    </row>
    <row r="2024" hidden="1">
      <c r="A2024" s="23" t="b">
        <f t="array" ref="A2024">if(G2024='Room Info'!$B$1, INDEX('Room Info'!$A$2:$A3446, MATCH(B2024,'Room Info'!$B$2:$B3446, 0)),if(G2024='Room Info'!$C$1, INDEX('Room Info'!$A$2:$A3446, MATCH(B2024,'Room Info'!$C$2:$C3446, 0)),if(G2024='Room Info'!$D$1, INDEX('Room Info'!$A$2:$A3446, MATCH(B2024,'Room Info'!$D$2:$D3446, 0)),if(G2024='Room Info'!$E$1, INDEX('Room Info'!$A$2:$A3446, MATCH(B2024,'Room Info'!$E$2:$E3446, 0)),if(G2024='Room Info'!$F$1, INDEX('Room Info'!$A$2:$A3446, MATCH(B2024,'Room Info'!$F$2:$F3446, 0)),if(G2024='Room Info'!$H$1, INDEX('Room Info'!$A$2:$A3446, MATCH(B2024,'Room Info'!$H$2:$H3446, 0)),if(G2024='Room Info'!$G$1, INDEX('Room Info'!$A$2:$A3446, MATCH(B2024,'Room Info'!$G$2:$G3446, 0)))))))))</f>
        <v>0</v>
      </c>
      <c r="B2024" s="101"/>
      <c r="C2024" s="115"/>
      <c r="D2024" s="115"/>
      <c r="E2024" s="85"/>
      <c r="F2024" s="138"/>
      <c r="G2024" s="70"/>
      <c r="H2024" s="105"/>
      <c r="I2024" s="105"/>
      <c r="J2024" s="44" t="str">
        <f t="shared" si="311"/>
        <v/>
      </c>
      <c r="K2024" s="139"/>
      <c r="L2024" s="140"/>
      <c r="M2024" s="67"/>
      <c r="N2024" s="33">
        <f t="shared" si="276"/>
        <v>0</v>
      </c>
      <c r="O2024" s="101"/>
      <c r="P2024" s="34" t="str">
        <f t="shared" si="277"/>
        <v/>
      </c>
      <c r="Q2024" s="60"/>
      <c r="R2024" s="36">
        <f t="shared" si="312"/>
        <v>0</v>
      </c>
      <c r="S2024" s="102"/>
      <c r="T2024" s="37">
        <f t="shared" si="302"/>
        <v>0</v>
      </c>
      <c r="U2024" s="62"/>
      <c r="V2024" s="63"/>
      <c r="W2024" s="63"/>
      <c r="X2024" s="35" t="str">
        <f t="shared" si="303"/>
        <v>#N/A</v>
      </c>
      <c r="Y2024" s="35" t="str">
        <f t="shared" si="304"/>
        <v>#N/A</v>
      </c>
      <c r="Z2024" s="40" t="str">
        <f t="shared" si="305"/>
        <v>#N/A</v>
      </c>
      <c r="AA2024" s="34" t="str">
        <f t="shared" si="306"/>
        <v>#N/A</v>
      </c>
      <c r="AB2024" s="41" t="str">
        <f t="shared" si="307"/>
        <v>#N/A</v>
      </c>
      <c r="AC2024" s="42" t="b">
        <v>0</v>
      </c>
      <c r="AD2024" s="66" t="str">
        <f t="shared" si="308"/>
        <v>USD</v>
      </c>
      <c r="AE2024" s="42"/>
      <c r="AF2024" s="42" t="str">
        <f t="array" ref="AF2024">INDEX('Deal Info'!D:D, MATCH(A2024,'Deal Info'!A:A, 0))</f>
        <v>#N/A</v>
      </c>
      <c r="AG2024" s="43" t="str">
        <f t="array" ref="AG2024">INDEX('Deal Info'!G:G, MATCH(A2024,'Deal Info'!A:A, 0))</f>
        <v>#N/A</v>
      </c>
    </row>
    <row r="2025" hidden="1">
      <c r="A2025" s="23" t="b">
        <f t="array" ref="A2025">if(G2025='Room Info'!$B$1, INDEX('Room Info'!$A$2:$A3446, MATCH(B2025,'Room Info'!$B$2:$B3446, 0)),if(G2025='Room Info'!$C$1, INDEX('Room Info'!$A$2:$A3446, MATCH(B2025,'Room Info'!$C$2:$C3446, 0)),if(G2025='Room Info'!$D$1, INDEX('Room Info'!$A$2:$A3446, MATCH(B2025,'Room Info'!$D$2:$D3446, 0)),if(G2025='Room Info'!$E$1, INDEX('Room Info'!$A$2:$A3446, MATCH(B2025,'Room Info'!$E$2:$E3446, 0)),if(G2025='Room Info'!$F$1, INDEX('Room Info'!$A$2:$A3446, MATCH(B2025,'Room Info'!$F$2:$F3446, 0)),if(G2025='Room Info'!$H$1, INDEX('Room Info'!$A$2:$A3446, MATCH(B2025,'Room Info'!$H$2:$H3446, 0)),if(G2025='Room Info'!$G$1, INDEX('Room Info'!$A$2:$A3446, MATCH(B2025,'Room Info'!$G$2:$G3446, 0)))))))))</f>
        <v>0</v>
      </c>
      <c r="B2025" s="101"/>
      <c r="C2025" s="115"/>
      <c r="D2025" s="115"/>
      <c r="E2025" s="85"/>
      <c r="F2025" s="138"/>
      <c r="G2025" s="70"/>
      <c r="H2025" s="105"/>
      <c r="I2025" s="105"/>
      <c r="J2025" s="44" t="str">
        <f t="shared" si="311"/>
        <v/>
      </c>
      <c r="K2025" s="139"/>
      <c r="L2025" s="140"/>
      <c r="M2025" s="67"/>
      <c r="N2025" s="33">
        <f t="shared" si="276"/>
        <v>0</v>
      </c>
      <c r="O2025" s="101"/>
      <c r="P2025" s="34" t="str">
        <f t="shared" si="277"/>
        <v/>
      </c>
      <c r="Q2025" s="60"/>
      <c r="R2025" s="36">
        <f t="shared" si="312"/>
        <v>0</v>
      </c>
      <c r="S2025" s="102"/>
      <c r="T2025" s="37">
        <f t="shared" si="302"/>
        <v>0</v>
      </c>
      <c r="U2025" s="62"/>
      <c r="V2025" s="63"/>
      <c r="W2025" s="63"/>
      <c r="X2025" s="35" t="str">
        <f t="shared" si="303"/>
        <v>#N/A</v>
      </c>
      <c r="Y2025" s="35" t="str">
        <f t="shared" si="304"/>
        <v>#N/A</v>
      </c>
      <c r="Z2025" s="40" t="str">
        <f t="shared" si="305"/>
        <v>#N/A</v>
      </c>
      <c r="AA2025" s="34" t="str">
        <f t="shared" si="306"/>
        <v>#N/A</v>
      </c>
      <c r="AB2025" s="41" t="str">
        <f t="shared" si="307"/>
        <v>#N/A</v>
      </c>
      <c r="AC2025" s="42" t="b">
        <v>0</v>
      </c>
      <c r="AD2025" s="66" t="str">
        <f t="shared" si="308"/>
        <v>USD</v>
      </c>
      <c r="AE2025" s="42"/>
      <c r="AF2025" s="42" t="str">
        <f t="array" ref="AF2025">INDEX('Deal Info'!D:D, MATCH(A2025,'Deal Info'!A:A, 0))</f>
        <v>#N/A</v>
      </c>
      <c r="AG2025" s="43" t="str">
        <f t="array" ref="AG2025">INDEX('Deal Info'!G:G, MATCH(A2025,'Deal Info'!A:A, 0))</f>
        <v>#N/A</v>
      </c>
    </row>
    <row r="2026" hidden="1">
      <c r="A2026" s="23" t="b">
        <f t="array" ref="A2026">if(G2026='Room Info'!$B$1, INDEX('Room Info'!$A$2:$A3446, MATCH(B2026,'Room Info'!$B$2:$B3446, 0)),if(G2026='Room Info'!$C$1, INDEX('Room Info'!$A$2:$A3446, MATCH(B2026,'Room Info'!$C$2:$C3446, 0)),if(G2026='Room Info'!$D$1, INDEX('Room Info'!$A$2:$A3446, MATCH(B2026,'Room Info'!$D$2:$D3446, 0)),if(G2026='Room Info'!$E$1, INDEX('Room Info'!$A$2:$A3446, MATCH(B2026,'Room Info'!$E$2:$E3446, 0)),if(G2026='Room Info'!$F$1, INDEX('Room Info'!$A$2:$A3446, MATCH(B2026,'Room Info'!$F$2:$F3446, 0)),if(G2026='Room Info'!$H$1, INDEX('Room Info'!$A$2:$A3446, MATCH(B2026,'Room Info'!$H$2:$H3446, 0)),if(G2026='Room Info'!$G$1, INDEX('Room Info'!$A$2:$A3446, MATCH(B2026,'Room Info'!$G$2:$G3446, 0)))))))))</f>
        <v>0</v>
      </c>
      <c r="B2026" s="101"/>
      <c r="C2026" s="115"/>
      <c r="D2026" s="115"/>
      <c r="E2026" s="85"/>
      <c r="F2026" s="138"/>
      <c r="G2026" s="70"/>
      <c r="H2026" s="114"/>
      <c r="I2026" s="114"/>
      <c r="J2026" s="44" t="str">
        <f t="shared" si="311"/>
        <v/>
      </c>
      <c r="K2026" s="116"/>
      <c r="L2026" s="117"/>
      <c r="M2026" s="67"/>
      <c r="N2026" s="33">
        <f t="shared" si="276"/>
        <v>0</v>
      </c>
      <c r="O2026" s="70"/>
      <c r="P2026" s="34" t="str">
        <f t="shared" si="277"/>
        <v/>
      </c>
      <c r="Q2026" s="60"/>
      <c r="R2026" s="36">
        <f t="shared" si="312"/>
        <v>0</v>
      </c>
      <c r="S2026" s="71"/>
      <c r="T2026" s="37">
        <f t="shared" si="302"/>
        <v>0</v>
      </c>
      <c r="U2026" s="62"/>
      <c r="V2026" s="63"/>
      <c r="W2026" s="63"/>
      <c r="X2026" s="35" t="str">
        <f t="shared" si="303"/>
        <v>#N/A</v>
      </c>
      <c r="Y2026" s="35" t="str">
        <f t="shared" si="304"/>
        <v>#N/A</v>
      </c>
      <c r="Z2026" s="40" t="str">
        <f t="shared" si="305"/>
        <v>#N/A</v>
      </c>
      <c r="AA2026" s="34" t="str">
        <f t="shared" si="306"/>
        <v>#N/A</v>
      </c>
      <c r="AB2026" s="41" t="str">
        <f t="shared" si="307"/>
        <v>#N/A</v>
      </c>
      <c r="AC2026" s="42" t="b">
        <v>0</v>
      </c>
      <c r="AD2026" s="66" t="str">
        <f t="shared" si="308"/>
        <v>USD</v>
      </c>
      <c r="AE2026" s="42"/>
      <c r="AF2026" s="42" t="str">
        <f t="array" ref="AF2026">INDEX('Deal Info'!D:D, MATCH(A2026,'Deal Info'!A:A, 0))</f>
        <v>#N/A</v>
      </c>
      <c r="AG2026" s="43" t="str">
        <f t="array" ref="AG2026">INDEX('Deal Info'!G:G, MATCH(A2026,'Deal Info'!A:A, 0))</f>
        <v>#N/A</v>
      </c>
    </row>
    <row r="2027" hidden="1">
      <c r="A2027" s="23" t="b">
        <f t="array" ref="A2027">if(G2027='Room Info'!$B$1, INDEX('Room Info'!$A$2:$A3446, MATCH(B2027,'Room Info'!$B$2:$B3446, 0)),if(G2027='Room Info'!$C$1, INDEX('Room Info'!$A$2:$A3446, MATCH(B2027,'Room Info'!$C$2:$C3446, 0)),if(G2027='Room Info'!$D$1, INDEX('Room Info'!$A$2:$A3446, MATCH(B2027,'Room Info'!$D$2:$D3446, 0)),if(G2027='Room Info'!$E$1, INDEX('Room Info'!$A$2:$A3446, MATCH(B2027,'Room Info'!$E$2:$E3446, 0)),if(G2027='Room Info'!$F$1, INDEX('Room Info'!$A$2:$A3446, MATCH(B2027,'Room Info'!$F$2:$F3446, 0)),if(G2027='Room Info'!$H$1, INDEX('Room Info'!$A$2:$A3446, MATCH(B2027,'Room Info'!$H$2:$H3446, 0)),if(G2027='Room Info'!$G$1, INDEX('Room Info'!$A$2:$A3446, MATCH(B2027,'Room Info'!$G$2:$G3446, 0)))))))))</f>
        <v>0</v>
      </c>
      <c r="B2027" s="101"/>
      <c r="C2027" s="115"/>
      <c r="D2027" s="115"/>
      <c r="E2027" s="85"/>
      <c r="F2027" s="138"/>
      <c r="G2027" s="70"/>
      <c r="H2027" s="114"/>
      <c r="I2027" s="114"/>
      <c r="J2027" s="44" t="str">
        <f t="shared" si="311"/>
        <v/>
      </c>
      <c r="K2027" s="116"/>
      <c r="L2027" s="117"/>
      <c r="M2027" s="67"/>
      <c r="N2027" s="33">
        <f t="shared" si="276"/>
        <v>0</v>
      </c>
      <c r="O2027" s="70"/>
      <c r="P2027" s="34" t="str">
        <f t="shared" si="277"/>
        <v/>
      </c>
      <c r="Q2027" s="60"/>
      <c r="R2027" s="36">
        <f t="shared" si="312"/>
        <v>0</v>
      </c>
      <c r="S2027" s="71"/>
      <c r="T2027" s="37">
        <f t="shared" si="302"/>
        <v>0</v>
      </c>
      <c r="U2027" s="62"/>
      <c r="V2027" s="63"/>
      <c r="W2027" s="63"/>
      <c r="X2027" s="35" t="str">
        <f t="shared" si="303"/>
        <v>#N/A</v>
      </c>
      <c r="Y2027" s="35" t="str">
        <f t="shared" si="304"/>
        <v>#N/A</v>
      </c>
      <c r="Z2027" s="40" t="str">
        <f t="shared" si="305"/>
        <v>#N/A</v>
      </c>
      <c r="AA2027" s="34" t="str">
        <f t="shared" si="306"/>
        <v>#N/A</v>
      </c>
      <c r="AB2027" s="41" t="str">
        <f t="shared" si="307"/>
        <v>#N/A</v>
      </c>
      <c r="AC2027" s="42" t="b">
        <v>0</v>
      </c>
      <c r="AD2027" s="66" t="str">
        <f t="shared" si="308"/>
        <v>USD</v>
      </c>
      <c r="AE2027" s="42"/>
      <c r="AF2027" s="42" t="str">
        <f t="array" ref="AF2027">INDEX('Deal Info'!D:D, MATCH(A2027,'Deal Info'!A:A, 0))</f>
        <v>#N/A</v>
      </c>
      <c r="AG2027" s="43" t="str">
        <f t="array" ref="AG2027">INDEX('Deal Info'!G:G, MATCH(A2027,'Deal Info'!A:A, 0))</f>
        <v>#N/A</v>
      </c>
    </row>
    <row r="2028" hidden="1">
      <c r="A2028" s="23" t="b">
        <f t="array" ref="A2028">if(G2028='Room Info'!$B$1, INDEX('Room Info'!$A$2:$A3446, MATCH(B2028,'Room Info'!$B$2:$B3446, 0)),if(G2028='Room Info'!$C$1, INDEX('Room Info'!$A$2:$A3446, MATCH(B2028,'Room Info'!$C$2:$C3446, 0)),if(G2028='Room Info'!$D$1, INDEX('Room Info'!$A$2:$A3446, MATCH(B2028,'Room Info'!$D$2:$D3446, 0)),if(G2028='Room Info'!$E$1, INDEX('Room Info'!$A$2:$A3446, MATCH(B2028,'Room Info'!$E$2:$E3446, 0)),if(G2028='Room Info'!$F$1, INDEX('Room Info'!$A$2:$A3446, MATCH(B2028,'Room Info'!$F$2:$F3446, 0)),if(G2028='Room Info'!$H$1, INDEX('Room Info'!$A$2:$A3446, MATCH(B2028,'Room Info'!$H$2:$H3446, 0)),if(G2028='Room Info'!$G$1, INDEX('Room Info'!$A$2:$A3446, MATCH(B2028,'Room Info'!$G$2:$G3446, 0)))))))))</f>
        <v>0</v>
      </c>
      <c r="B2028" s="101"/>
      <c r="C2028" s="115"/>
      <c r="D2028" s="115"/>
      <c r="E2028" s="85"/>
      <c r="F2028" s="138"/>
      <c r="G2028" s="101"/>
      <c r="H2028" s="114"/>
      <c r="I2028" s="114"/>
      <c r="J2028" s="44" t="str">
        <f t="shared" si="311"/>
        <v/>
      </c>
      <c r="K2028" s="116"/>
      <c r="L2028" s="117"/>
      <c r="M2028" s="67"/>
      <c r="N2028" s="33">
        <f t="shared" si="276"/>
        <v>0</v>
      </c>
      <c r="O2028" s="70"/>
      <c r="P2028" s="34" t="str">
        <f t="shared" si="277"/>
        <v/>
      </c>
      <c r="Q2028" s="60"/>
      <c r="R2028" s="36">
        <f t="shared" si="312"/>
        <v>0</v>
      </c>
      <c r="S2028" s="71"/>
      <c r="T2028" s="37">
        <f t="shared" si="302"/>
        <v>0</v>
      </c>
      <c r="U2028" s="62"/>
      <c r="V2028" s="63"/>
      <c r="W2028" s="63"/>
      <c r="X2028" s="35" t="str">
        <f t="shared" si="303"/>
        <v>#N/A</v>
      </c>
      <c r="Y2028" s="35" t="str">
        <f t="shared" si="304"/>
        <v>#N/A</v>
      </c>
      <c r="Z2028" s="40" t="str">
        <f t="shared" si="305"/>
        <v>#N/A</v>
      </c>
      <c r="AA2028" s="34" t="str">
        <f t="shared" si="306"/>
        <v>#N/A</v>
      </c>
      <c r="AB2028" s="41" t="str">
        <f t="shared" si="307"/>
        <v>#N/A</v>
      </c>
      <c r="AC2028" s="42" t="b">
        <v>0</v>
      </c>
      <c r="AD2028" s="66" t="str">
        <f t="shared" si="308"/>
        <v>USD</v>
      </c>
      <c r="AE2028" s="42"/>
      <c r="AF2028" s="42" t="str">
        <f t="array" ref="AF2028">INDEX('Deal Info'!D:D, MATCH(A2028,'Deal Info'!A:A, 0))</f>
        <v>#N/A</v>
      </c>
      <c r="AG2028" s="43" t="str">
        <f t="array" ref="AG2028">INDEX('Deal Info'!G:G, MATCH(A2028,'Deal Info'!A:A, 0))</f>
        <v>#N/A</v>
      </c>
    </row>
    <row r="2029" hidden="1">
      <c r="A2029" s="23" t="b">
        <f t="array" ref="A2029">if(G2029='Room Info'!$B$1, INDEX('Room Info'!$A$2:$A3446, MATCH(B2029,'Room Info'!$B$2:$B3446, 0)),if(G2029='Room Info'!$C$1, INDEX('Room Info'!$A$2:$A3446, MATCH(B2029,'Room Info'!$C$2:$C3446, 0)),if(G2029='Room Info'!$D$1, INDEX('Room Info'!$A$2:$A3446, MATCH(B2029,'Room Info'!$D$2:$D3446, 0)),if(G2029='Room Info'!$E$1, INDEX('Room Info'!$A$2:$A3446, MATCH(B2029,'Room Info'!$E$2:$E3446, 0)),if(G2029='Room Info'!$F$1, INDEX('Room Info'!$A$2:$A3446, MATCH(B2029,'Room Info'!$F$2:$F3446, 0)),if(G2029='Room Info'!$H$1, INDEX('Room Info'!$A$2:$A3446, MATCH(B2029,'Room Info'!$H$2:$H3446, 0)),if(G2029='Room Info'!$G$1, INDEX('Room Info'!$A$2:$A3446, MATCH(B2029,'Room Info'!$G$2:$G3446, 0)))))))))</f>
        <v>0</v>
      </c>
      <c r="B2029" s="101"/>
      <c r="C2029" s="115"/>
      <c r="D2029" s="115"/>
      <c r="E2029" s="85"/>
      <c r="F2029" s="138"/>
      <c r="G2029" s="101"/>
      <c r="H2029" s="114"/>
      <c r="I2029" s="114"/>
      <c r="J2029" s="44" t="str">
        <f t="shared" si="311"/>
        <v/>
      </c>
      <c r="K2029" s="116"/>
      <c r="L2029" s="117"/>
      <c r="M2029" s="67"/>
      <c r="N2029" s="33">
        <f t="shared" si="276"/>
        <v>0</v>
      </c>
      <c r="O2029" s="70"/>
      <c r="P2029" s="34" t="str">
        <f t="shared" si="277"/>
        <v/>
      </c>
      <c r="Q2029" s="60"/>
      <c r="R2029" s="36">
        <f t="shared" si="312"/>
        <v>0</v>
      </c>
      <c r="S2029" s="71"/>
      <c r="T2029" s="37">
        <f t="shared" si="302"/>
        <v>0</v>
      </c>
      <c r="U2029" s="62"/>
      <c r="V2029" s="63"/>
      <c r="W2029" s="63"/>
      <c r="X2029" s="35" t="str">
        <f t="shared" si="303"/>
        <v>#N/A</v>
      </c>
      <c r="Y2029" s="35" t="str">
        <f t="shared" si="304"/>
        <v>#N/A</v>
      </c>
      <c r="Z2029" s="40" t="str">
        <f t="shared" si="305"/>
        <v>#N/A</v>
      </c>
      <c r="AA2029" s="34" t="str">
        <f t="shared" si="306"/>
        <v>#N/A</v>
      </c>
      <c r="AB2029" s="41" t="str">
        <f t="shared" si="307"/>
        <v>#N/A</v>
      </c>
      <c r="AC2029" s="42" t="b">
        <v>0</v>
      </c>
      <c r="AD2029" s="66" t="str">
        <f t="shared" si="308"/>
        <v>USD</v>
      </c>
      <c r="AE2029" s="42"/>
      <c r="AF2029" s="42" t="str">
        <f t="array" ref="AF2029">INDEX('Deal Info'!D:D, MATCH(A2029,'Deal Info'!A:A, 0))</f>
        <v>#N/A</v>
      </c>
      <c r="AG2029" s="43" t="str">
        <f t="array" ref="AG2029">INDEX('Deal Info'!G:G, MATCH(A2029,'Deal Info'!A:A, 0))</f>
        <v>#N/A</v>
      </c>
    </row>
    <row r="2030" hidden="1">
      <c r="A2030" s="23" t="b">
        <f t="array" ref="A2030">if(G2030='Room Info'!$B$1, INDEX('Room Info'!$A$2:$A3446, MATCH(B2030,'Room Info'!$B$2:$B3446, 0)),if(G2030='Room Info'!$C$1, INDEX('Room Info'!$A$2:$A3446, MATCH(B2030,'Room Info'!$C$2:$C3446, 0)),if(G2030='Room Info'!$D$1, INDEX('Room Info'!$A$2:$A3446, MATCH(B2030,'Room Info'!$D$2:$D3446, 0)),if(G2030='Room Info'!$E$1, INDEX('Room Info'!$A$2:$A3446, MATCH(B2030,'Room Info'!$E$2:$E3446, 0)),if(G2030='Room Info'!$F$1, INDEX('Room Info'!$A$2:$A3446, MATCH(B2030,'Room Info'!$F$2:$F3446, 0)),if(G2030='Room Info'!$H$1, INDEX('Room Info'!$A$2:$A3446, MATCH(B2030,'Room Info'!$H$2:$H3446, 0)),if(G2030='Room Info'!$G$1, INDEX('Room Info'!$A$2:$A3446, MATCH(B2030,'Room Info'!$G$2:$G3446, 0)))))))))</f>
        <v>0</v>
      </c>
      <c r="B2030" s="101"/>
      <c r="C2030" s="115"/>
      <c r="D2030" s="115"/>
      <c r="E2030" s="85"/>
      <c r="F2030" s="138"/>
      <c r="G2030" s="101"/>
      <c r="H2030" s="114"/>
      <c r="I2030" s="114"/>
      <c r="J2030" s="44" t="str">
        <f t="shared" si="311"/>
        <v/>
      </c>
      <c r="K2030" s="116"/>
      <c r="L2030" s="117"/>
      <c r="M2030" s="67"/>
      <c r="N2030" s="33">
        <f t="shared" si="276"/>
        <v>0</v>
      </c>
      <c r="O2030" s="70"/>
      <c r="P2030" s="34" t="str">
        <f t="shared" si="277"/>
        <v/>
      </c>
      <c r="Q2030" s="60"/>
      <c r="R2030" s="36">
        <f t="shared" si="312"/>
        <v>0</v>
      </c>
      <c r="S2030" s="71"/>
      <c r="T2030" s="37">
        <f t="shared" si="302"/>
        <v>0</v>
      </c>
      <c r="U2030" s="62"/>
      <c r="V2030" s="63"/>
      <c r="W2030" s="63"/>
      <c r="X2030" s="35" t="str">
        <f t="shared" si="303"/>
        <v>#N/A</v>
      </c>
      <c r="Y2030" s="35" t="str">
        <f t="shared" si="304"/>
        <v>#N/A</v>
      </c>
      <c r="Z2030" s="40" t="str">
        <f t="shared" si="305"/>
        <v>#N/A</v>
      </c>
      <c r="AA2030" s="34" t="str">
        <f t="shared" si="306"/>
        <v>#N/A</v>
      </c>
      <c r="AB2030" s="41" t="str">
        <f t="shared" si="307"/>
        <v>#N/A</v>
      </c>
      <c r="AC2030" s="42" t="b">
        <v>0</v>
      </c>
      <c r="AD2030" s="66" t="str">
        <f t="shared" si="308"/>
        <v>USD</v>
      </c>
      <c r="AE2030" s="42"/>
      <c r="AF2030" s="42" t="str">
        <f t="array" ref="AF2030">INDEX('Deal Info'!D:D, MATCH(A2030,'Deal Info'!A:A, 0))</f>
        <v>#N/A</v>
      </c>
      <c r="AG2030" s="43" t="str">
        <f t="array" ref="AG2030">INDEX('Deal Info'!G:G, MATCH(A2030,'Deal Info'!A:A, 0))</f>
        <v>#N/A</v>
      </c>
    </row>
    <row r="2031" hidden="1">
      <c r="A2031" s="23" t="b">
        <f t="array" ref="A2031">if(G2031='Room Info'!$B$1, INDEX('Room Info'!$A$2:$A3446, MATCH(B2031,'Room Info'!$B$2:$B3446, 0)),if(G2031='Room Info'!$C$1, INDEX('Room Info'!$A$2:$A3446, MATCH(B2031,'Room Info'!$C$2:$C3446, 0)),if(G2031='Room Info'!$D$1, INDEX('Room Info'!$A$2:$A3446, MATCH(B2031,'Room Info'!$D$2:$D3446, 0)),if(G2031='Room Info'!$E$1, INDEX('Room Info'!$A$2:$A3446, MATCH(B2031,'Room Info'!$E$2:$E3446, 0)),if(G2031='Room Info'!$F$1, INDEX('Room Info'!$A$2:$A3446, MATCH(B2031,'Room Info'!$F$2:$F3446, 0)),if(G2031='Room Info'!$H$1, INDEX('Room Info'!$A$2:$A3446, MATCH(B2031,'Room Info'!$H$2:$H3446, 0)),if(G2031='Room Info'!$G$1, INDEX('Room Info'!$A$2:$A3446, MATCH(B2031,'Room Info'!$G$2:$G3446, 0)))))))))</f>
        <v>0</v>
      </c>
      <c r="B2031" s="101"/>
      <c r="C2031" s="115"/>
      <c r="D2031" s="115"/>
      <c r="E2031" s="85"/>
      <c r="F2031" s="138"/>
      <c r="G2031" s="101"/>
      <c r="H2031" s="114"/>
      <c r="I2031" s="114"/>
      <c r="J2031" s="44" t="str">
        <f t="shared" si="311"/>
        <v/>
      </c>
      <c r="K2031" s="116"/>
      <c r="L2031" s="117"/>
      <c r="M2031" s="67"/>
      <c r="N2031" s="33">
        <f t="shared" si="276"/>
        <v>0</v>
      </c>
      <c r="O2031" s="70"/>
      <c r="P2031" s="34" t="str">
        <f t="shared" si="277"/>
        <v/>
      </c>
      <c r="Q2031" s="60"/>
      <c r="R2031" s="36">
        <f t="shared" si="312"/>
        <v>0</v>
      </c>
      <c r="S2031" s="71"/>
      <c r="T2031" s="37">
        <f t="shared" si="302"/>
        <v>0</v>
      </c>
      <c r="U2031" s="62"/>
      <c r="V2031" s="63"/>
      <c r="W2031" s="63"/>
      <c r="X2031" s="35" t="str">
        <f t="shared" si="303"/>
        <v>#N/A</v>
      </c>
      <c r="Y2031" s="35" t="str">
        <f t="shared" si="304"/>
        <v>#N/A</v>
      </c>
      <c r="Z2031" s="40" t="str">
        <f t="shared" si="305"/>
        <v>#N/A</v>
      </c>
      <c r="AA2031" s="34" t="str">
        <f t="shared" si="306"/>
        <v>#N/A</v>
      </c>
      <c r="AB2031" s="41" t="str">
        <f t="shared" si="307"/>
        <v>#N/A</v>
      </c>
      <c r="AC2031" s="42" t="b">
        <v>0</v>
      </c>
      <c r="AD2031" s="66" t="str">
        <f t="shared" si="308"/>
        <v>USD</v>
      </c>
      <c r="AE2031" s="42"/>
      <c r="AF2031" s="42" t="str">
        <f t="array" ref="AF2031">INDEX('Deal Info'!D:D, MATCH(A2031,'Deal Info'!A:A, 0))</f>
        <v>#N/A</v>
      </c>
      <c r="AG2031" s="43" t="str">
        <f t="array" ref="AG2031">INDEX('Deal Info'!G:G, MATCH(A2031,'Deal Info'!A:A, 0))</f>
        <v>#N/A</v>
      </c>
    </row>
    <row r="2032" hidden="1">
      <c r="A2032" s="23" t="b">
        <f t="array" ref="A2032">if(G2032='Room Info'!$B$1, INDEX('Room Info'!$A$2:$A3446, MATCH(B2032,'Room Info'!$B$2:$B3446, 0)),if(G2032='Room Info'!$C$1, INDEX('Room Info'!$A$2:$A3446, MATCH(B2032,'Room Info'!$C$2:$C3446, 0)),if(G2032='Room Info'!$D$1, INDEX('Room Info'!$A$2:$A3446, MATCH(B2032,'Room Info'!$D$2:$D3446, 0)),if(G2032='Room Info'!$E$1, INDEX('Room Info'!$A$2:$A3446, MATCH(B2032,'Room Info'!$E$2:$E3446, 0)),if(G2032='Room Info'!$F$1, INDEX('Room Info'!$A$2:$A3446, MATCH(B2032,'Room Info'!$F$2:$F3446, 0)),if(G2032='Room Info'!$H$1, INDEX('Room Info'!$A$2:$A3446, MATCH(B2032,'Room Info'!$H$2:$H3446, 0)),if(G2032='Room Info'!$G$1, INDEX('Room Info'!$A$2:$A3446, MATCH(B2032,'Room Info'!$G$2:$G3446, 0)))))))))</f>
        <v>0</v>
      </c>
      <c r="B2032" s="101"/>
      <c r="C2032" s="115"/>
      <c r="D2032" s="115"/>
      <c r="E2032" s="85"/>
      <c r="F2032" s="138"/>
      <c r="G2032" s="101"/>
      <c r="H2032" s="114"/>
      <c r="I2032" s="114"/>
      <c r="J2032" s="44" t="str">
        <f t="shared" si="311"/>
        <v/>
      </c>
      <c r="K2032" s="116"/>
      <c r="L2032" s="117"/>
      <c r="M2032" s="67"/>
      <c r="N2032" s="33">
        <f t="shared" si="276"/>
        <v>0</v>
      </c>
      <c r="O2032" s="70"/>
      <c r="P2032" s="34" t="str">
        <f t="shared" si="277"/>
        <v/>
      </c>
      <c r="Q2032" s="60"/>
      <c r="R2032" s="36">
        <f t="shared" si="312"/>
        <v>0</v>
      </c>
      <c r="S2032" s="71"/>
      <c r="T2032" s="37">
        <f t="shared" si="302"/>
        <v>0</v>
      </c>
      <c r="U2032" s="62"/>
      <c r="V2032" s="63"/>
      <c r="W2032" s="63"/>
      <c r="X2032" s="35" t="str">
        <f t="shared" si="303"/>
        <v>#N/A</v>
      </c>
      <c r="Y2032" s="35" t="str">
        <f t="shared" si="304"/>
        <v>#N/A</v>
      </c>
      <c r="Z2032" s="40" t="str">
        <f t="shared" si="305"/>
        <v>#N/A</v>
      </c>
      <c r="AA2032" s="34" t="str">
        <f t="shared" si="306"/>
        <v>#N/A</v>
      </c>
      <c r="AB2032" s="41" t="str">
        <f t="shared" si="307"/>
        <v>#N/A</v>
      </c>
      <c r="AC2032" s="42" t="b">
        <v>0</v>
      </c>
      <c r="AD2032" s="66" t="str">
        <f t="shared" si="308"/>
        <v>USD</v>
      </c>
      <c r="AE2032" s="42"/>
      <c r="AF2032" s="42" t="str">
        <f t="array" ref="AF2032">INDEX('Deal Info'!D:D, MATCH(A2032,'Deal Info'!A:A, 0))</f>
        <v>#N/A</v>
      </c>
      <c r="AG2032" s="43" t="str">
        <f t="array" ref="AG2032">INDEX('Deal Info'!G:G, MATCH(A2032,'Deal Info'!A:A, 0))</f>
        <v>#N/A</v>
      </c>
    </row>
    <row r="2033" hidden="1">
      <c r="A2033" s="23" t="b">
        <f t="array" ref="A2033">if(G2033='Room Info'!$B$1, INDEX('Room Info'!$A$2:$A3446, MATCH(B2033,'Room Info'!$B$2:$B3446, 0)),if(G2033='Room Info'!$C$1, INDEX('Room Info'!$A$2:$A3446, MATCH(B2033,'Room Info'!$C$2:$C3446, 0)),if(G2033='Room Info'!$D$1, INDEX('Room Info'!$A$2:$A3446, MATCH(B2033,'Room Info'!$D$2:$D3446, 0)),if(G2033='Room Info'!$E$1, INDEX('Room Info'!$A$2:$A3446, MATCH(B2033,'Room Info'!$E$2:$E3446, 0)),if(G2033='Room Info'!$F$1, INDEX('Room Info'!$A$2:$A3446, MATCH(B2033,'Room Info'!$F$2:$F3446, 0)),if(G2033='Room Info'!$H$1, INDEX('Room Info'!$A$2:$A3446, MATCH(B2033,'Room Info'!$H$2:$H3446, 0)),if(G2033='Room Info'!$G$1, INDEX('Room Info'!$A$2:$A3446, MATCH(B2033,'Room Info'!$G$2:$G3446, 0)))))))))</f>
        <v>0</v>
      </c>
      <c r="B2033" s="101"/>
      <c r="C2033" s="115"/>
      <c r="D2033" s="115"/>
      <c r="E2033" s="85"/>
      <c r="F2033" s="138"/>
      <c r="G2033" s="101"/>
      <c r="H2033" s="114"/>
      <c r="I2033" s="114"/>
      <c r="J2033" s="44" t="str">
        <f t="shared" si="311"/>
        <v/>
      </c>
      <c r="K2033" s="116"/>
      <c r="L2033" s="117"/>
      <c r="M2033" s="67"/>
      <c r="N2033" s="33">
        <f t="shared" si="276"/>
        <v>0</v>
      </c>
      <c r="O2033" s="70"/>
      <c r="P2033" s="34" t="str">
        <f t="shared" si="277"/>
        <v/>
      </c>
      <c r="Q2033" s="60"/>
      <c r="R2033" s="36">
        <f t="shared" si="312"/>
        <v>0</v>
      </c>
      <c r="S2033" s="71"/>
      <c r="T2033" s="37">
        <f t="shared" si="302"/>
        <v>0</v>
      </c>
      <c r="U2033" s="62"/>
      <c r="V2033" s="63"/>
      <c r="W2033" s="63"/>
      <c r="X2033" s="35" t="str">
        <f t="shared" si="303"/>
        <v>#N/A</v>
      </c>
      <c r="Y2033" s="35" t="str">
        <f t="shared" si="304"/>
        <v>#N/A</v>
      </c>
      <c r="Z2033" s="40" t="str">
        <f t="shared" si="305"/>
        <v>#N/A</v>
      </c>
      <c r="AA2033" s="34" t="str">
        <f t="shared" si="306"/>
        <v>#N/A</v>
      </c>
      <c r="AB2033" s="41" t="str">
        <f t="shared" si="307"/>
        <v>#N/A</v>
      </c>
      <c r="AC2033" s="42" t="b">
        <v>0</v>
      </c>
      <c r="AD2033" s="66" t="str">
        <f t="shared" si="308"/>
        <v>USD</v>
      </c>
      <c r="AE2033" s="42"/>
      <c r="AF2033" s="42" t="str">
        <f t="array" ref="AF2033">INDEX('Deal Info'!D:D, MATCH(A2033,'Deal Info'!A:A, 0))</f>
        <v>#N/A</v>
      </c>
      <c r="AG2033" s="43" t="str">
        <f t="array" ref="AG2033">INDEX('Deal Info'!G:G, MATCH(A2033,'Deal Info'!A:A, 0))</f>
        <v>#N/A</v>
      </c>
    </row>
    <row r="2034" hidden="1">
      <c r="A2034" s="23" t="b">
        <f t="array" ref="A2034">if(G2034='Room Info'!$B$1, INDEX('Room Info'!$A$2:$A3446, MATCH(B2034,'Room Info'!$B$2:$B3446, 0)),if(G2034='Room Info'!$C$1, INDEX('Room Info'!$A$2:$A3446, MATCH(B2034,'Room Info'!$C$2:$C3446, 0)),if(G2034='Room Info'!$D$1, INDEX('Room Info'!$A$2:$A3446, MATCH(B2034,'Room Info'!$D$2:$D3446, 0)),if(G2034='Room Info'!$E$1, INDEX('Room Info'!$A$2:$A3446, MATCH(B2034,'Room Info'!$E$2:$E3446, 0)),if(G2034='Room Info'!$F$1, INDEX('Room Info'!$A$2:$A3446, MATCH(B2034,'Room Info'!$F$2:$F3446, 0)),if(G2034='Room Info'!$H$1, INDEX('Room Info'!$A$2:$A3446, MATCH(B2034,'Room Info'!$H$2:$H3446, 0)),if(G2034='Room Info'!$G$1, INDEX('Room Info'!$A$2:$A3446, MATCH(B2034,'Room Info'!$G$2:$G3446, 0)))))))))</f>
        <v>0</v>
      </c>
      <c r="B2034" s="101"/>
      <c r="C2034" s="115"/>
      <c r="D2034" s="115"/>
      <c r="E2034" s="85"/>
      <c r="F2034" s="138"/>
      <c r="G2034" s="101"/>
      <c r="H2034" s="114"/>
      <c r="I2034" s="114"/>
      <c r="J2034" s="44" t="str">
        <f t="shared" si="311"/>
        <v/>
      </c>
      <c r="K2034" s="116"/>
      <c r="L2034" s="117"/>
      <c r="M2034" s="67"/>
      <c r="N2034" s="33">
        <f t="shared" si="276"/>
        <v>0</v>
      </c>
      <c r="O2034" s="70"/>
      <c r="P2034" s="34" t="str">
        <f t="shared" si="277"/>
        <v/>
      </c>
      <c r="Q2034" s="60"/>
      <c r="R2034" s="36">
        <f t="shared" si="312"/>
        <v>0</v>
      </c>
      <c r="S2034" s="71"/>
      <c r="T2034" s="37">
        <f t="shared" si="302"/>
        <v>0</v>
      </c>
      <c r="U2034" s="62"/>
      <c r="V2034" s="63"/>
      <c r="W2034" s="63"/>
      <c r="X2034" s="35" t="str">
        <f t="shared" si="303"/>
        <v>#N/A</v>
      </c>
      <c r="Y2034" s="35" t="str">
        <f t="shared" si="304"/>
        <v>#N/A</v>
      </c>
      <c r="Z2034" s="40" t="str">
        <f t="shared" si="305"/>
        <v>#N/A</v>
      </c>
      <c r="AA2034" s="34" t="str">
        <f t="shared" si="306"/>
        <v>#N/A</v>
      </c>
      <c r="AB2034" s="41" t="str">
        <f t="shared" si="307"/>
        <v>#N/A</v>
      </c>
      <c r="AC2034" s="42" t="b">
        <v>0</v>
      </c>
      <c r="AD2034" s="66" t="str">
        <f t="shared" si="308"/>
        <v>USD</v>
      </c>
      <c r="AE2034" s="42"/>
      <c r="AF2034" s="42" t="str">
        <f t="array" ref="AF2034">INDEX('Deal Info'!D:D, MATCH(A2034,'Deal Info'!A:A, 0))</f>
        <v>#N/A</v>
      </c>
      <c r="AG2034" s="43" t="str">
        <f t="array" ref="AG2034">INDEX('Deal Info'!G:G, MATCH(A2034,'Deal Info'!A:A, 0))</f>
        <v>#N/A</v>
      </c>
    </row>
    <row r="2035" hidden="1">
      <c r="A2035" s="23" t="b">
        <f t="array" ref="A2035">if(G2035='Room Info'!$B$1, INDEX('Room Info'!$A$2:$A3446, MATCH(B2035,'Room Info'!$B$2:$B3446, 0)),if(G2035='Room Info'!$C$1, INDEX('Room Info'!$A$2:$A3446, MATCH(B2035,'Room Info'!$C$2:$C3446, 0)),if(G2035='Room Info'!$D$1, INDEX('Room Info'!$A$2:$A3446, MATCH(B2035,'Room Info'!$D$2:$D3446, 0)),if(G2035='Room Info'!$E$1, INDEX('Room Info'!$A$2:$A3446, MATCH(B2035,'Room Info'!$E$2:$E3446, 0)),if(G2035='Room Info'!$F$1, INDEX('Room Info'!$A$2:$A3446, MATCH(B2035,'Room Info'!$F$2:$F3446, 0)),if(G2035='Room Info'!$H$1, INDEX('Room Info'!$A$2:$A3446, MATCH(B2035,'Room Info'!$H$2:$H3446, 0)),if(G2035='Room Info'!$G$1, INDEX('Room Info'!$A$2:$A3446, MATCH(B2035,'Room Info'!$G$2:$G3446, 0)))))))))</f>
        <v>0</v>
      </c>
      <c r="B2035" s="101"/>
      <c r="C2035" s="115"/>
      <c r="D2035" s="115"/>
      <c r="E2035" s="85"/>
      <c r="F2035" s="138"/>
      <c r="G2035" s="101"/>
      <c r="H2035" s="114"/>
      <c r="I2035" s="114"/>
      <c r="J2035" s="44" t="str">
        <f t="shared" si="311"/>
        <v/>
      </c>
      <c r="K2035" s="116"/>
      <c r="L2035" s="117"/>
      <c r="M2035" s="67"/>
      <c r="N2035" s="33">
        <f t="shared" si="276"/>
        <v>0</v>
      </c>
      <c r="O2035" s="70"/>
      <c r="P2035" s="34" t="str">
        <f t="shared" si="277"/>
        <v/>
      </c>
      <c r="Q2035" s="60"/>
      <c r="R2035" s="36">
        <f t="shared" si="312"/>
        <v>0</v>
      </c>
      <c r="S2035" s="71"/>
      <c r="T2035" s="37">
        <f t="shared" si="302"/>
        <v>0</v>
      </c>
      <c r="U2035" s="62"/>
      <c r="V2035" s="63"/>
      <c r="W2035" s="63"/>
      <c r="X2035" s="35" t="str">
        <f t="shared" si="303"/>
        <v>#N/A</v>
      </c>
      <c r="Y2035" s="35" t="str">
        <f t="shared" si="304"/>
        <v>#N/A</v>
      </c>
      <c r="Z2035" s="40" t="str">
        <f t="shared" si="305"/>
        <v>#N/A</v>
      </c>
      <c r="AA2035" s="34" t="str">
        <f t="shared" si="306"/>
        <v>#N/A</v>
      </c>
      <c r="AB2035" s="41" t="str">
        <f t="shared" si="307"/>
        <v>#N/A</v>
      </c>
      <c r="AC2035" s="42" t="b">
        <v>0</v>
      </c>
      <c r="AD2035" s="66" t="str">
        <f t="shared" si="308"/>
        <v>USD</v>
      </c>
      <c r="AE2035" s="42"/>
      <c r="AF2035" s="42" t="str">
        <f t="array" ref="AF2035">INDEX('Deal Info'!D:D, MATCH(A2035,'Deal Info'!A:A, 0))</f>
        <v>#N/A</v>
      </c>
      <c r="AG2035" s="43" t="str">
        <f t="array" ref="AG2035">INDEX('Deal Info'!G:G, MATCH(A2035,'Deal Info'!A:A, 0))</f>
        <v>#N/A</v>
      </c>
    </row>
    <row r="2036" hidden="1">
      <c r="A2036" s="23" t="b">
        <f t="array" ref="A2036">if(G2036='Room Info'!$B$1, INDEX('Room Info'!$A$2:$A3446, MATCH(B2036,'Room Info'!$B$2:$B3446, 0)),if(G2036='Room Info'!$C$1, INDEX('Room Info'!$A$2:$A3446, MATCH(B2036,'Room Info'!$C$2:$C3446, 0)),if(G2036='Room Info'!$D$1, INDEX('Room Info'!$A$2:$A3446, MATCH(B2036,'Room Info'!$D$2:$D3446, 0)),if(G2036='Room Info'!$E$1, INDEX('Room Info'!$A$2:$A3446, MATCH(B2036,'Room Info'!$E$2:$E3446, 0)),if(G2036='Room Info'!$F$1, INDEX('Room Info'!$A$2:$A3446, MATCH(B2036,'Room Info'!$F$2:$F3446, 0)),if(G2036='Room Info'!$H$1, INDEX('Room Info'!$A$2:$A3446, MATCH(B2036,'Room Info'!$H$2:$H3446, 0)),if(G2036='Room Info'!$G$1, INDEX('Room Info'!$A$2:$A3446, MATCH(B2036,'Room Info'!$G$2:$G3446, 0)))))))))</f>
        <v>0</v>
      </c>
      <c r="B2036" s="101"/>
      <c r="C2036" s="141"/>
      <c r="D2036" s="141"/>
      <c r="E2036" s="142"/>
      <c r="F2036" s="138"/>
      <c r="G2036" s="101"/>
      <c r="H2036" s="105"/>
      <c r="I2036" s="105"/>
      <c r="J2036" s="44" t="str">
        <f t="shared" si="311"/>
        <v/>
      </c>
      <c r="K2036" s="139"/>
      <c r="L2036" s="140"/>
      <c r="M2036" s="84"/>
      <c r="N2036" s="33">
        <f t="shared" si="276"/>
        <v>0</v>
      </c>
      <c r="O2036" s="101"/>
      <c r="P2036" s="34" t="str">
        <f t="shared" si="277"/>
        <v/>
      </c>
      <c r="Q2036" s="60"/>
      <c r="R2036" s="36">
        <f t="shared" si="312"/>
        <v>0</v>
      </c>
      <c r="S2036" s="102"/>
      <c r="T2036" s="37">
        <f t="shared" si="302"/>
        <v>0</v>
      </c>
      <c r="U2036" s="62"/>
      <c r="V2036" s="63"/>
      <c r="W2036" s="63"/>
      <c r="X2036" s="35" t="str">
        <f t="shared" si="303"/>
        <v>#N/A</v>
      </c>
      <c r="Y2036" s="35" t="str">
        <f t="shared" si="304"/>
        <v>#N/A</v>
      </c>
      <c r="Z2036" s="40" t="str">
        <f t="shared" si="305"/>
        <v>#N/A</v>
      </c>
      <c r="AA2036" s="34" t="str">
        <f t="shared" si="306"/>
        <v>#N/A</v>
      </c>
      <c r="AB2036" s="41" t="str">
        <f t="shared" si="307"/>
        <v>#N/A</v>
      </c>
      <c r="AC2036" s="42" t="b">
        <v>0</v>
      </c>
      <c r="AD2036" s="66" t="str">
        <f t="shared" si="308"/>
        <v>USD</v>
      </c>
      <c r="AE2036" s="42"/>
      <c r="AF2036" s="42" t="str">
        <f t="array" ref="AF2036">INDEX('Deal Info'!D:D, MATCH(A2036,'Deal Info'!A:A, 0))</f>
        <v>#N/A</v>
      </c>
      <c r="AG2036" s="43" t="str">
        <f t="array" ref="AG2036">INDEX('Deal Info'!G:G, MATCH(A2036,'Deal Info'!A:A, 0))</f>
        <v>#N/A</v>
      </c>
    </row>
    <row r="2037" hidden="1">
      <c r="A2037" s="23" t="b">
        <f t="array" ref="A2037">if(G2037='Room Info'!$B$1, INDEX('Room Info'!$A$2:$A3446, MATCH(B2037,'Room Info'!$B$2:$B3446, 0)),if(G2037='Room Info'!$C$1, INDEX('Room Info'!$A$2:$A3446, MATCH(B2037,'Room Info'!$C$2:$C3446, 0)),if(G2037='Room Info'!$D$1, INDEX('Room Info'!$A$2:$A3446, MATCH(B2037,'Room Info'!$D$2:$D3446, 0)),if(G2037='Room Info'!$E$1, INDEX('Room Info'!$A$2:$A3446, MATCH(B2037,'Room Info'!$E$2:$E3446, 0)),if(G2037='Room Info'!$F$1, INDEX('Room Info'!$A$2:$A3446, MATCH(B2037,'Room Info'!$F$2:$F3446, 0)),if(G2037='Room Info'!$H$1, INDEX('Room Info'!$A$2:$A3446, MATCH(B2037,'Room Info'!$H$2:$H3446, 0)),if(G2037='Room Info'!$G$1, INDEX('Room Info'!$A$2:$A3446, MATCH(B2037,'Room Info'!$G$2:$G3446, 0)))))))))</f>
        <v>0</v>
      </c>
      <c r="B2037" s="101"/>
      <c r="C2037" s="141"/>
      <c r="D2037" s="141"/>
      <c r="E2037" s="142"/>
      <c r="F2037" s="138"/>
      <c r="G2037" s="101"/>
      <c r="H2037" s="105"/>
      <c r="I2037" s="105"/>
      <c r="J2037" s="44" t="str">
        <f t="shared" si="311"/>
        <v/>
      </c>
      <c r="K2037" s="139"/>
      <c r="L2037" s="140"/>
      <c r="M2037" s="84"/>
      <c r="N2037" s="33">
        <f t="shared" si="276"/>
        <v>0</v>
      </c>
      <c r="O2037" s="101"/>
      <c r="P2037" s="34" t="str">
        <f t="shared" si="277"/>
        <v/>
      </c>
      <c r="Q2037" s="60"/>
      <c r="R2037" s="36">
        <f t="shared" si="312"/>
        <v>0</v>
      </c>
      <c r="S2037" s="102"/>
      <c r="T2037" s="37">
        <f t="shared" si="302"/>
        <v>0</v>
      </c>
      <c r="U2037" s="62"/>
      <c r="V2037" s="63"/>
      <c r="W2037" s="63"/>
      <c r="X2037" s="35" t="str">
        <f t="shared" si="303"/>
        <v>#N/A</v>
      </c>
      <c r="Y2037" s="35" t="str">
        <f t="shared" si="304"/>
        <v>#N/A</v>
      </c>
      <c r="Z2037" s="40" t="str">
        <f t="shared" si="305"/>
        <v>#N/A</v>
      </c>
      <c r="AA2037" s="34" t="str">
        <f t="shared" si="306"/>
        <v>#N/A</v>
      </c>
      <c r="AB2037" s="41" t="str">
        <f t="shared" si="307"/>
        <v>#N/A</v>
      </c>
      <c r="AC2037" s="42" t="b">
        <v>0</v>
      </c>
      <c r="AD2037" s="66" t="str">
        <f t="shared" si="308"/>
        <v>USD</v>
      </c>
      <c r="AE2037" s="42"/>
      <c r="AF2037" s="42" t="str">
        <f t="array" ref="AF2037">INDEX('Deal Info'!D:D, MATCH(A2037,'Deal Info'!A:A, 0))</f>
        <v>#N/A</v>
      </c>
      <c r="AG2037" s="43" t="str">
        <f t="array" ref="AG2037">INDEX('Deal Info'!G:G, MATCH(A2037,'Deal Info'!A:A, 0))</f>
        <v>#N/A</v>
      </c>
    </row>
    <row r="2038" hidden="1">
      <c r="A2038" s="23" t="b">
        <f t="array" ref="A2038">if(G2038='Room Info'!$B$1, INDEX('Room Info'!$A$2:$A3446, MATCH(B2038,'Room Info'!$B$2:$B3446, 0)),if(G2038='Room Info'!$C$1, INDEX('Room Info'!$A$2:$A3446, MATCH(B2038,'Room Info'!$C$2:$C3446, 0)),if(G2038='Room Info'!$D$1, INDEX('Room Info'!$A$2:$A3446, MATCH(B2038,'Room Info'!$D$2:$D3446, 0)),if(G2038='Room Info'!$E$1, INDEX('Room Info'!$A$2:$A3446, MATCH(B2038,'Room Info'!$E$2:$E3446, 0)),if(G2038='Room Info'!$F$1, INDEX('Room Info'!$A$2:$A3446, MATCH(B2038,'Room Info'!$F$2:$F3446, 0)),if(G2038='Room Info'!$H$1, INDEX('Room Info'!$A$2:$A3446, MATCH(B2038,'Room Info'!$H$2:$H3446, 0)),if(G2038='Room Info'!$G$1, INDEX('Room Info'!$A$2:$A3446, MATCH(B2038,'Room Info'!$G$2:$G3446, 0)))))))))</f>
        <v>0</v>
      </c>
      <c r="B2038" s="101"/>
      <c r="C2038" s="115"/>
      <c r="D2038" s="115"/>
      <c r="E2038" s="85"/>
      <c r="F2038" s="138"/>
      <c r="G2038" s="70"/>
      <c r="H2038" s="70"/>
      <c r="I2038" s="70"/>
      <c r="J2038" s="44" t="str">
        <f t="shared" si="311"/>
        <v/>
      </c>
      <c r="K2038" s="116"/>
      <c r="L2038" s="117"/>
      <c r="M2038" s="67"/>
      <c r="N2038" s="33">
        <f t="shared" si="276"/>
        <v>0</v>
      </c>
      <c r="O2038" s="70"/>
      <c r="P2038" s="34" t="str">
        <f t="shared" si="277"/>
        <v/>
      </c>
      <c r="Q2038" s="60"/>
      <c r="R2038" s="36">
        <f t="shared" si="312"/>
        <v>0</v>
      </c>
      <c r="S2038" s="71"/>
      <c r="T2038" s="37">
        <f t="shared" si="302"/>
        <v>0</v>
      </c>
      <c r="U2038" s="62"/>
      <c r="V2038" s="63"/>
      <c r="W2038" s="63"/>
      <c r="X2038" s="35" t="str">
        <f t="shared" si="303"/>
        <v>#N/A</v>
      </c>
      <c r="Y2038" s="35" t="str">
        <f t="shared" si="304"/>
        <v>#N/A</v>
      </c>
      <c r="Z2038" s="40" t="str">
        <f t="shared" si="305"/>
        <v>#N/A</v>
      </c>
      <c r="AA2038" s="34" t="str">
        <f t="shared" si="306"/>
        <v>#N/A</v>
      </c>
      <c r="AB2038" s="41" t="str">
        <f t="shared" si="307"/>
        <v>#N/A</v>
      </c>
      <c r="AC2038" s="42" t="b">
        <v>0</v>
      </c>
      <c r="AD2038" s="66" t="str">
        <f t="shared" si="308"/>
        <v>USD</v>
      </c>
      <c r="AE2038" s="42"/>
      <c r="AF2038" s="42" t="str">
        <f t="array" ref="AF2038">INDEX('Deal Info'!D:D, MATCH(A2038,'Deal Info'!A:A, 0))</f>
        <v>#N/A</v>
      </c>
      <c r="AG2038" s="43" t="str">
        <f t="array" ref="AG2038">INDEX('Deal Info'!G:G, MATCH(A2038,'Deal Info'!A:A, 0))</f>
        <v>#N/A</v>
      </c>
    </row>
    <row r="2039" hidden="1">
      <c r="A2039" s="23" t="b">
        <f t="array" ref="A2039">if(G2039='Room Info'!$B$1, INDEX('Room Info'!$A$2:$A3446, MATCH(B2039,'Room Info'!$B$2:$B3446, 0)),if(G2039='Room Info'!$C$1, INDEX('Room Info'!$A$2:$A3446, MATCH(B2039,'Room Info'!$C$2:$C3446, 0)),if(G2039='Room Info'!$D$1, INDEX('Room Info'!$A$2:$A3446, MATCH(B2039,'Room Info'!$D$2:$D3446, 0)),if(G2039='Room Info'!$E$1, INDEX('Room Info'!$A$2:$A3446, MATCH(B2039,'Room Info'!$E$2:$E3446, 0)),if(G2039='Room Info'!$F$1, INDEX('Room Info'!$A$2:$A3446, MATCH(B2039,'Room Info'!$F$2:$F3446, 0)),if(G2039='Room Info'!$H$1, INDEX('Room Info'!$A$2:$A3446, MATCH(B2039,'Room Info'!$H$2:$H3446, 0)),if(G2039='Room Info'!$G$1, INDEX('Room Info'!$A$2:$A3446, MATCH(B2039,'Room Info'!$G$2:$G3446, 0)))))))))</f>
        <v>0</v>
      </c>
      <c r="B2039" s="70"/>
      <c r="C2039" s="115"/>
      <c r="D2039" s="115"/>
      <c r="E2039" s="85"/>
      <c r="F2039" s="101"/>
      <c r="G2039" s="70"/>
      <c r="H2039" s="114"/>
      <c r="I2039" s="114"/>
      <c r="J2039" s="44" t="str">
        <f t="shared" si="311"/>
        <v/>
      </c>
      <c r="K2039" s="139"/>
      <c r="L2039" s="140"/>
      <c r="M2039" s="67"/>
      <c r="N2039" s="33">
        <f t="shared" si="276"/>
        <v>0</v>
      </c>
      <c r="O2039" s="101"/>
      <c r="P2039" s="34" t="str">
        <f t="shared" si="277"/>
        <v/>
      </c>
      <c r="Q2039" s="60"/>
      <c r="R2039" s="36">
        <f t="shared" si="312"/>
        <v>0</v>
      </c>
      <c r="S2039" s="102"/>
      <c r="T2039" s="37">
        <f t="shared" si="302"/>
        <v>0</v>
      </c>
      <c r="U2039" s="62"/>
      <c r="V2039" s="63"/>
      <c r="W2039" s="63"/>
      <c r="X2039" s="35" t="str">
        <f t="shared" si="303"/>
        <v>#N/A</v>
      </c>
      <c r="Y2039" s="35" t="str">
        <f t="shared" si="304"/>
        <v>#N/A</v>
      </c>
      <c r="Z2039" s="40" t="str">
        <f t="shared" si="305"/>
        <v>#N/A</v>
      </c>
      <c r="AA2039" s="34" t="str">
        <f t="shared" si="306"/>
        <v>#N/A</v>
      </c>
      <c r="AB2039" s="41" t="str">
        <f t="shared" si="307"/>
        <v>#N/A</v>
      </c>
      <c r="AC2039" s="42" t="b">
        <v>0</v>
      </c>
      <c r="AD2039" s="66" t="str">
        <f t="shared" si="308"/>
        <v>USD</v>
      </c>
      <c r="AE2039" s="42"/>
      <c r="AF2039" s="42" t="str">
        <f t="array" ref="AF2039">INDEX('Deal Info'!D:D, MATCH(A2039,'Deal Info'!A:A, 0))</f>
        <v>#N/A</v>
      </c>
      <c r="AG2039" s="43" t="str">
        <f t="array" ref="AG2039">INDEX('Deal Info'!G:G, MATCH(A2039,'Deal Info'!A:A, 0))</f>
        <v>#N/A</v>
      </c>
    </row>
    <row r="2040" hidden="1">
      <c r="A2040" s="23" t="b">
        <f t="array" ref="A2040">if(G2040='Room Info'!$B$1, INDEX('Room Info'!$A$2:$A3446, MATCH(B2040,'Room Info'!$B$2:$B3446, 0)),if(G2040='Room Info'!$C$1, INDEX('Room Info'!$A$2:$A3446, MATCH(B2040,'Room Info'!$C$2:$C3446, 0)),if(G2040='Room Info'!$D$1, INDEX('Room Info'!$A$2:$A3446, MATCH(B2040,'Room Info'!$D$2:$D3446, 0)),if(G2040='Room Info'!$E$1, INDEX('Room Info'!$A$2:$A3446, MATCH(B2040,'Room Info'!$E$2:$E3446, 0)),if(G2040='Room Info'!$F$1, INDEX('Room Info'!$A$2:$A3446, MATCH(B2040,'Room Info'!$F$2:$F3446, 0)),if(G2040='Room Info'!$H$1, INDEX('Room Info'!$A$2:$A3446, MATCH(B2040,'Room Info'!$H$2:$H3446, 0)),if(G2040='Room Info'!$G$1, INDEX('Room Info'!$A$2:$A3446, MATCH(B2040,'Room Info'!$G$2:$G3446, 0)))))))))</f>
        <v>0</v>
      </c>
      <c r="B2040" s="70"/>
      <c r="C2040" s="115"/>
      <c r="D2040" s="115"/>
      <c r="E2040" s="85"/>
      <c r="F2040" s="101"/>
      <c r="G2040" s="70"/>
      <c r="H2040" s="114"/>
      <c r="I2040" s="114"/>
      <c r="J2040" s="44" t="str">
        <f t="shared" si="311"/>
        <v/>
      </c>
      <c r="K2040" s="139"/>
      <c r="L2040" s="140"/>
      <c r="M2040" s="67"/>
      <c r="N2040" s="33">
        <f t="shared" si="276"/>
        <v>0</v>
      </c>
      <c r="O2040" s="101"/>
      <c r="P2040" s="34" t="str">
        <f t="shared" si="277"/>
        <v/>
      </c>
      <c r="Q2040" s="60"/>
      <c r="R2040" s="36">
        <f t="shared" si="312"/>
        <v>0</v>
      </c>
      <c r="S2040" s="102"/>
      <c r="T2040" s="37">
        <f t="shared" si="302"/>
        <v>0</v>
      </c>
      <c r="U2040" s="62"/>
      <c r="V2040" s="63"/>
      <c r="W2040" s="63"/>
      <c r="X2040" s="35" t="str">
        <f t="shared" si="303"/>
        <v>#N/A</v>
      </c>
      <c r="Y2040" s="35" t="str">
        <f t="shared" si="304"/>
        <v>#N/A</v>
      </c>
      <c r="Z2040" s="40" t="str">
        <f t="shared" si="305"/>
        <v>#N/A</v>
      </c>
      <c r="AA2040" s="34" t="str">
        <f t="shared" si="306"/>
        <v>#N/A</v>
      </c>
      <c r="AB2040" s="41" t="str">
        <f t="shared" si="307"/>
        <v>#N/A</v>
      </c>
      <c r="AC2040" s="42" t="b">
        <v>0</v>
      </c>
      <c r="AD2040" s="66" t="str">
        <f t="shared" si="308"/>
        <v>USD</v>
      </c>
      <c r="AE2040" s="42"/>
      <c r="AF2040" s="42" t="str">
        <f t="array" ref="AF2040">INDEX('Deal Info'!D:D, MATCH(A2040,'Deal Info'!A:A, 0))</f>
        <v>#N/A</v>
      </c>
      <c r="AG2040" s="43" t="str">
        <f t="array" ref="AG2040">INDEX('Deal Info'!G:G, MATCH(A2040,'Deal Info'!A:A, 0))</f>
        <v>#N/A</v>
      </c>
    </row>
    <row r="2041" hidden="1">
      <c r="A2041" s="23" t="b">
        <f t="array" ref="A2041">if(G2041='Room Info'!$B$1, INDEX('Room Info'!$A$2:$A3446, MATCH(B2041,'Room Info'!$B$2:$B3446, 0)),if(G2041='Room Info'!$C$1, INDEX('Room Info'!$A$2:$A3446, MATCH(B2041,'Room Info'!$C$2:$C3446, 0)),if(G2041='Room Info'!$D$1, INDEX('Room Info'!$A$2:$A3446, MATCH(B2041,'Room Info'!$D$2:$D3446, 0)),if(G2041='Room Info'!$E$1, INDEX('Room Info'!$A$2:$A3446, MATCH(B2041,'Room Info'!$E$2:$E3446, 0)),if(G2041='Room Info'!$F$1, INDEX('Room Info'!$A$2:$A3446, MATCH(B2041,'Room Info'!$F$2:$F3446, 0)),if(G2041='Room Info'!$H$1, INDEX('Room Info'!$A$2:$A3446, MATCH(B2041,'Room Info'!$H$2:$H3446, 0)),if(G2041='Room Info'!$G$1, INDEX('Room Info'!$A$2:$A3446, MATCH(B2041,'Room Info'!$G$2:$G3446, 0)))))))))</f>
        <v>0</v>
      </c>
      <c r="B2041" s="70"/>
      <c r="C2041" s="115"/>
      <c r="D2041" s="115"/>
      <c r="E2041" s="85"/>
      <c r="F2041" s="101"/>
      <c r="G2041" s="70"/>
      <c r="H2041" s="114"/>
      <c r="I2041" s="114"/>
      <c r="J2041" s="44" t="str">
        <f t="shared" si="311"/>
        <v/>
      </c>
      <c r="K2041" s="139"/>
      <c r="L2041" s="140"/>
      <c r="M2041" s="67"/>
      <c r="N2041" s="33">
        <f t="shared" si="276"/>
        <v>0</v>
      </c>
      <c r="O2041" s="101"/>
      <c r="P2041" s="34" t="str">
        <f t="shared" si="277"/>
        <v/>
      </c>
      <c r="Q2041" s="60"/>
      <c r="R2041" s="36">
        <f t="shared" si="312"/>
        <v>0</v>
      </c>
      <c r="S2041" s="102"/>
      <c r="T2041" s="37">
        <f t="shared" si="302"/>
        <v>0</v>
      </c>
      <c r="U2041" s="62"/>
      <c r="V2041" s="63"/>
      <c r="W2041" s="63"/>
      <c r="X2041" s="35" t="str">
        <f t="shared" si="303"/>
        <v>#N/A</v>
      </c>
      <c r="Y2041" s="35" t="str">
        <f t="shared" si="304"/>
        <v>#N/A</v>
      </c>
      <c r="Z2041" s="40" t="str">
        <f t="shared" si="305"/>
        <v>#N/A</v>
      </c>
      <c r="AA2041" s="34" t="str">
        <f t="shared" si="306"/>
        <v>#N/A</v>
      </c>
      <c r="AB2041" s="41" t="str">
        <f t="shared" si="307"/>
        <v>#N/A</v>
      </c>
      <c r="AC2041" s="42" t="b">
        <v>0</v>
      </c>
      <c r="AD2041" s="66" t="str">
        <f t="shared" si="308"/>
        <v>USD</v>
      </c>
      <c r="AE2041" s="42"/>
      <c r="AF2041" s="42" t="str">
        <f t="array" ref="AF2041">INDEX('Deal Info'!D:D, MATCH(A2041,'Deal Info'!A:A, 0))</f>
        <v>#N/A</v>
      </c>
      <c r="AG2041" s="43" t="str">
        <f t="array" ref="AG2041">INDEX('Deal Info'!G:G, MATCH(A2041,'Deal Info'!A:A, 0))</f>
        <v>#N/A</v>
      </c>
    </row>
    <row r="2042" hidden="1">
      <c r="A2042" s="23" t="b">
        <f t="array" ref="A2042">if(G2042='Room Info'!$B$1, INDEX('Room Info'!$A$2:$A3446, MATCH(B2042,'Room Info'!$B$2:$B3446, 0)),if(G2042='Room Info'!$C$1, INDEX('Room Info'!$A$2:$A3446, MATCH(B2042,'Room Info'!$C$2:$C3446, 0)),if(G2042='Room Info'!$D$1, INDEX('Room Info'!$A$2:$A3446, MATCH(B2042,'Room Info'!$D$2:$D3446, 0)),if(G2042='Room Info'!$E$1, INDEX('Room Info'!$A$2:$A3446, MATCH(B2042,'Room Info'!$E$2:$E3446, 0)),if(G2042='Room Info'!$F$1, INDEX('Room Info'!$A$2:$A3446, MATCH(B2042,'Room Info'!$F$2:$F3446, 0)),if(G2042='Room Info'!$H$1, INDEX('Room Info'!$A$2:$A3446, MATCH(B2042,'Room Info'!$H$2:$H3446, 0)),if(G2042='Room Info'!$G$1, INDEX('Room Info'!$A$2:$A3446, MATCH(B2042,'Room Info'!$G$2:$G3446, 0)))))))))</f>
        <v>0</v>
      </c>
      <c r="B2042" s="101"/>
      <c r="C2042" s="115"/>
      <c r="D2042" s="115"/>
      <c r="E2042" s="85"/>
      <c r="F2042" s="101"/>
      <c r="G2042" s="70"/>
      <c r="H2042" s="114"/>
      <c r="I2042" s="114"/>
      <c r="J2042" s="44" t="str">
        <f t="shared" si="311"/>
        <v/>
      </c>
      <c r="K2042" s="116"/>
      <c r="L2042" s="117"/>
      <c r="M2042" s="67"/>
      <c r="N2042" s="33">
        <f t="shared" si="276"/>
        <v>0</v>
      </c>
      <c r="O2042" s="70"/>
      <c r="P2042" s="34" t="str">
        <f t="shared" si="277"/>
        <v/>
      </c>
      <c r="Q2042" s="60"/>
      <c r="R2042" s="36">
        <f t="shared" si="312"/>
        <v>0</v>
      </c>
      <c r="S2042" s="71"/>
      <c r="T2042" s="37">
        <f t="shared" si="302"/>
        <v>0</v>
      </c>
      <c r="U2042" s="62"/>
      <c r="V2042" s="63"/>
      <c r="W2042" s="63"/>
      <c r="X2042" s="35" t="str">
        <f t="shared" si="303"/>
        <v>#N/A</v>
      </c>
      <c r="Y2042" s="35" t="str">
        <f t="shared" si="304"/>
        <v>#N/A</v>
      </c>
      <c r="Z2042" s="40" t="str">
        <f t="shared" si="305"/>
        <v>#N/A</v>
      </c>
      <c r="AA2042" s="34" t="str">
        <f t="shared" si="306"/>
        <v>#N/A</v>
      </c>
      <c r="AB2042" s="41" t="str">
        <f t="shared" si="307"/>
        <v>#N/A</v>
      </c>
      <c r="AC2042" s="42" t="b">
        <v>0</v>
      </c>
      <c r="AD2042" s="66" t="str">
        <f t="shared" si="308"/>
        <v>USD</v>
      </c>
      <c r="AE2042" s="42"/>
      <c r="AF2042" s="42" t="str">
        <f t="array" ref="AF2042">INDEX('Deal Info'!D:D, MATCH(A2042,'Deal Info'!A:A, 0))</f>
        <v>#N/A</v>
      </c>
      <c r="AG2042" s="43" t="str">
        <f t="array" ref="AG2042">INDEX('Deal Info'!G:G, MATCH(A2042,'Deal Info'!A:A, 0))</f>
        <v>#N/A</v>
      </c>
    </row>
    <row r="2043" hidden="1">
      <c r="A2043" s="23" t="b">
        <f t="array" ref="A2043">if(G2043='Room Info'!$B$1, INDEX('Room Info'!$A$2:$A3446, MATCH(B2043,'Room Info'!$B$2:$B3446, 0)),if(G2043='Room Info'!$C$1, INDEX('Room Info'!$A$2:$A3446, MATCH(B2043,'Room Info'!$C$2:$C3446, 0)),if(G2043='Room Info'!$D$1, INDEX('Room Info'!$A$2:$A3446, MATCH(B2043,'Room Info'!$D$2:$D3446, 0)),if(G2043='Room Info'!$E$1, INDEX('Room Info'!$A$2:$A3446, MATCH(B2043,'Room Info'!$E$2:$E3446, 0)),if(G2043='Room Info'!$F$1, INDEX('Room Info'!$A$2:$A3446, MATCH(B2043,'Room Info'!$F$2:$F3446, 0)),if(G2043='Room Info'!$H$1, INDEX('Room Info'!$A$2:$A3446, MATCH(B2043,'Room Info'!$H$2:$H3446, 0)),if(G2043='Room Info'!$G$1, INDEX('Room Info'!$A$2:$A3446, MATCH(B2043,'Room Info'!$G$2:$G3446, 0)))))))))</f>
        <v>0</v>
      </c>
      <c r="B2043" s="101"/>
      <c r="C2043" s="115"/>
      <c r="D2043" s="115"/>
      <c r="E2043" s="85"/>
      <c r="F2043" s="101"/>
      <c r="G2043" s="70"/>
      <c r="H2043" s="114"/>
      <c r="I2043" s="114"/>
      <c r="J2043" s="44" t="str">
        <f t="shared" si="311"/>
        <v/>
      </c>
      <c r="K2043" s="116"/>
      <c r="L2043" s="117"/>
      <c r="M2043" s="67"/>
      <c r="N2043" s="33">
        <f t="shared" si="276"/>
        <v>0</v>
      </c>
      <c r="O2043" s="70"/>
      <c r="P2043" s="34" t="str">
        <f t="shared" si="277"/>
        <v/>
      </c>
      <c r="Q2043" s="60"/>
      <c r="R2043" s="36">
        <f t="shared" si="312"/>
        <v>0</v>
      </c>
      <c r="S2043" s="71"/>
      <c r="T2043" s="37">
        <f t="shared" si="302"/>
        <v>0</v>
      </c>
      <c r="U2043" s="62"/>
      <c r="V2043" s="63"/>
      <c r="W2043" s="63"/>
      <c r="X2043" s="35" t="str">
        <f t="shared" si="303"/>
        <v>#N/A</v>
      </c>
      <c r="Y2043" s="35" t="str">
        <f t="shared" si="304"/>
        <v>#N/A</v>
      </c>
      <c r="Z2043" s="40" t="str">
        <f t="shared" si="305"/>
        <v>#N/A</v>
      </c>
      <c r="AA2043" s="34" t="str">
        <f t="shared" si="306"/>
        <v>#N/A</v>
      </c>
      <c r="AB2043" s="41" t="str">
        <f t="shared" si="307"/>
        <v>#N/A</v>
      </c>
      <c r="AC2043" s="42" t="b">
        <v>0</v>
      </c>
      <c r="AD2043" s="66" t="str">
        <f t="shared" si="308"/>
        <v>USD</v>
      </c>
      <c r="AE2043" s="42"/>
      <c r="AF2043" s="42" t="str">
        <f t="array" ref="AF2043">INDEX('Deal Info'!D:D, MATCH(A2043,'Deal Info'!A:A, 0))</f>
        <v>#N/A</v>
      </c>
      <c r="AG2043" s="43" t="str">
        <f t="array" ref="AG2043">INDEX('Deal Info'!G:G, MATCH(A2043,'Deal Info'!A:A, 0))</f>
        <v>#N/A</v>
      </c>
    </row>
    <row r="2044" hidden="1">
      <c r="A2044" s="23" t="b">
        <f t="array" ref="A2044">if(G2044='Room Info'!$B$1, INDEX('Room Info'!$A$2:$A3446, MATCH(B2044,'Room Info'!$B$2:$B3446, 0)),if(G2044='Room Info'!$C$1, INDEX('Room Info'!$A$2:$A3446, MATCH(B2044,'Room Info'!$C$2:$C3446, 0)),if(G2044='Room Info'!$D$1, INDEX('Room Info'!$A$2:$A3446, MATCH(B2044,'Room Info'!$D$2:$D3446, 0)),if(G2044='Room Info'!$E$1, INDEX('Room Info'!$A$2:$A3446, MATCH(B2044,'Room Info'!$E$2:$E3446, 0)),if(G2044='Room Info'!$F$1, INDEX('Room Info'!$A$2:$A3446, MATCH(B2044,'Room Info'!$F$2:$F3446, 0)),if(G2044='Room Info'!$H$1, INDEX('Room Info'!$A$2:$A3446, MATCH(B2044,'Room Info'!$H$2:$H3446, 0)),if(G2044='Room Info'!$G$1, INDEX('Room Info'!$A$2:$A3446, MATCH(B2044,'Room Info'!$G$2:$G3446, 0)))))))))</f>
        <v>0</v>
      </c>
      <c r="B2044" s="101"/>
      <c r="C2044" s="115"/>
      <c r="D2044" s="115"/>
      <c r="E2044" s="85"/>
      <c r="F2044" s="101"/>
      <c r="G2044" s="70"/>
      <c r="H2044" s="114"/>
      <c r="I2044" s="114"/>
      <c r="J2044" s="44" t="str">
        <f t="shared" si="311"/>
        <v/>
      </c>
      <c r="K2044" s="116"/>
      <c r="L2044" s="117"/>
      <c r="M2044" s="67"/>
      <c r="N2044" s="33">
        <f t="shared" si="276"/>
        <v>0</v>
      </c>
      <c r="O2044" s="70"/>
      <c r="P2044" s="34" t="str">
        <f t="shared" si="277"/>
        <v/>
      </c>
      <c r="Q2044" s="60"/>
      <c r="R2044" s="36">
        <f t="shared" si="312"/>
        <v>0</v>
      </c>
      <c r="S2044" s="71"/>
      <c r="T2044" s="37">
        <f t="shared" si="302"/>
        <v>0</v>
      </c>
      <c r="U2044" s="62"/>
      <c r="V2044" s="63"/>
      <c r="W2044" s="63"/>
      <c r="X2044" s="35" t="str">
        <f t="shared" si="303"/>
        <v>#N/A</v>
      </c>
      <c r="Y2044" s="35" t="str">
        <f t="shared" si="304"/>
        <v>#N/A</v>
      </c>
      <c r="Z2044" s="40" t="str">
        <f t="shared" si="305"/>
        <v>#N/A</v>
      </c>
      <c r="AA2044" s="34" t="str">
        <f t="shared" si="306"/>
        <v>#N/A</v>
      </c>
      <c r="AB2044" s="41" t="str">
        <f t="shared" si="307"/>
        <v>#N/A</v>
      </c>
      <c r="AC2044" s="42" t="b">
        <v>0</v>
      </c>
      <c r="AD2044" s="66" t="str">
        <f t="shared" si="308"/>
        <v>USD</v>
      </c>
      <c r="AE2044" s="42"/>
      <c r="AF2044" s="42" t="str">
        <f t="array" ref="AF2044">INDEX('Deal Info'!D:D, MATCH(A2044,'Deal Info'!A:A, 0))</f>
        <v>#N/A</v>
      </c>
      <c r="AG2044" s="43" t="str">
        <f t="array" ref="AG2044">INDEX('Deal Info'!G:G, MATCH(A2044,'Deal Info'!A:A, 0))</f>
        <v>#N/A</v>
      </c>
    </row>
    <row r="2045" hidden="1">
      <c r="A2045" s="23" t="b">
        <f t="array" ref="A2045">if(G2045='Room Info'!$B$1, INDEX('Room Info'!$A$2:$A3446, MATCH(B2045,'Room Info'!$B$2:$B3446, 0)),if(G2045='Room Info'!$C$1, INDEX('Room Info'!$A$2:$A3446, MATCH(B2045,'Room Info'!$C$2:$C3446, 0)),if(G2045='Room Info'!$D$1, INDEX('Room Info'!$A$2:$A3446, MATCH(B2045,'Room Info'!$D$2:$D3446, 0)),if(G2045='Room Info'!$E$1, INDEX('Room Info'!$A$2:$A3446, MATCH(B2045,'Room Info'!$E$2:$E3446, 0)),if(G2045='Room Info'!$F$1, INDEX('Room Info'!$A$2:$A3446, MATCH(B2045,'Room Info'!$F$2:$F3446, 0)),if(G2045='Room Info'!$H$1, INDEX('Room Info'!$A$2:$A3446, MATCH(B2045,'Room Info'!$H$2:$H3446, 0)),if(G2045='Room Info'!$G$1, INDEX('Room Info'!$A$2:$A3446, MATCH(B2045,'Room Info'!$G$2:$G3446, 0)))))))))</f>
        <v>0</v>
      </c>
      <c r="B2045" s="101"/>
      <c r="C2045" s="115"/>
      <c r="D2045" s="115"/>
      <c r="E2045" s="85"/>
      <c r="F2045" s="101"/>
      <c r="G2045" s="70"/>
      <c r="H2045" s="114"/>
      <c r="I2045" s="114"/>
      <c r="J2045" s="44" t="str">
        <f t="shared" si="311"/>
        <v/>
      </c>
      <c r="K2045" s="116"/>
      <c r="L2045" s="117"/>
      <c r="M2045" s="67"/>
      <c r="N2045" s="33">
        <f t="shared" si="276"/>
        <v>0</v>
      </c>
      <c r="O2045" s="70"/>
      <c r="P2045" s="34" t="str">
        <f t="shared" si="277"/>
        <v/>
      </c>
      <c r="Q2045" s="60"/>
      <c r="R2045" s="36">
        <f t="shared" si="312"/>
        <v>0</v>
      </c>
      <c r="S2045" s="71"/>
      <c r="T2045" s="37">
        <f t="shared" si="302"/>
        <v>0</v>
      </c>
      <c r="U2045" s="62"/>
      <c r="V2045" s="63"/>
      <c r="W2045" s="63"/>
      <c r="X2045" s="35" t="str">
        <f t="shared" si="303"/>
        <v>#N/A</v>
      </c>
      <c r="Y2045" s="35" t="str">
        <f t="shared" si="304"/>
        <v>#N/A</v>
      </c>
      <c r="Z2045" s="40" t="str">
        <f t="shared" si="305"/>
        <v>#N/A</v>
      </c>
      <c r="AA2045" s="34" t="str">
        <f t="shared" si="306"/>
        <v>#N/A</v>
      </c>
      <c r="AB2045" s="41" t="str">
        <f t="shared" si="307"/>
        <v>#N/A</v>
      </c>
      <c r="AC2045" s="42" t="b">
        <v>0</v>
      </c>
      <c r="AD2045" s="66" t="str">
        <f t="shared" si="308"/>
        <v>USD</v>
      </c>
      <c r="AE2045" s="42"/>
      <c r="AF2045" s="42" t="str">
        <f t="array" ref="AF2045">INDEX('Deal Info'!D:D, MATCH(A2045,'Deal Info'!A:A, 0))</f>
        <v>#N/A</v>
      </c>
      <c r="AG2045" s="43" t="str">
        <f t="array" ref="AG2045">INDEX('Deal Info'!G:G, MATCH(A2045,'Deal Info'!A:A, 0))</f>
        <v>#N/A</v>
      </c>
    </row>
    <row r="2046" hidden="1">
      <c r="A2046" s="23" t="b">
        <f t="array" ref="A2046">if(G2046='Room Info'!$B$1, INDEX('Room Info'!$A$2:$A3446, MATCH(B2046,'Room Info'!$B$2:$B3446, 0)),if(G2046='Room Info'!$C$1, INDEX('Room Info'!$A$2:$A3446, MATCH(B2046,'Room Info'!$C$2:$C3446, 0)),if(G2046='Room Info'!$D$1, INDEX('Room Info'!$A$2:$A3446, MATCH(B2046,'Room Info'!$D$2:$D3446, 0)),if(G2046='Room Info'!$E$1, INDEX('Room Info'!$A$2:$A3446, MATCH(B2046,'Room Info'!$E$2:$E3446, 0)),if(G2046='Room Info'!$F$1, INDEX('Room Info'!$A$2:$A3446, MATCH(B2046,'Room Info'!$F$2:$F3446, 0)),if(G2046='Room Info'!$H$1, INDEX('Room Info'!$A$2:$A3446, MATCH(B2046,'Room Info'!$H$2:$H3446, 0)),if(G2046='Room Info'!$G$1, INDEX('Room Info'!$A$2:$A3446, MATCH(B2046,'Room Info'!$G$2:$G3446, 0)))))))))</f>
        <v>0</v>
      </c>
      <c r="B2046" s="101"/>
      <c r="C2046" s="115"/>
      <c r="D2046" s="115"/>
      <c r="E2046" s="85"/>
      <c r="F2046" s="101"/>
      <c r="G2046" s="70"/>
      <c r="H2046" s="114"/>
      <c r="I2046" s="114"/>
      <c r="J2046" s="44" t="str">
        <f t="shared" si="311"/>
        <v/>
      </c>
      <c r="K2046" s="116"/>
      <c r="L2046" s="117"/>
      <c r="M2046" s="67"/>
      <c r="N2046" s="33">
        <f t="shared" si="276"/>
        <v>0</v>
      </c>
      <c r="O2046" s="70"/>
      <c r="P2046" s="34" t="str">
        <f t="shared" si="277"/>
        <v/>
      </c>
      <c r="Q2046" s="60"/>
      <c r="R2046" s="36">
        <f t="shared" si="312"/>
        <v>0</v>
      </c>
      <c r="S2046" s="71"/>
      <c r="T2046" s="37">
        <f t="shared" si="302"/>
        <v>0</v>
      </c>
      <c r="U2046" s="62"/>
      <c r="V2046" s="63"/>
      <c r="W2046" s="63"/>
      <c r="X2046" s="35" t="str">
        <f t="shared" si="303"/>
        <v>#N/A</v>
      </c>
      <c r="Y2046" s="35" t="str">
        <f t="shared" si="304"/>
        <v>#N/A</v>
      </c>
      <c r="Z2046" s="40" t="str">
        <f t="shared" si="305"/>
        <v>#N/A</v>
      </c>
      <c r="AA2046" s="34" t="str">
        <f t="shared" si="306"/>
        <v>#N/A</v>
      </c>
      <c r="AB2046" s="41" t="str">
        <f t="shared" si="307"/>
        <v>#N/A</v>
      </c>
      <c r="AC2046" s="42" t="b">
        <v>0</v>
      </c>
      <c r="AD2046" s="66" t="str">
        <f t="shared" si="308"/>
        <v>USD</v>
      </c>
      <c r="AE2046" s="42"/>
      <c r="AF2046" s="42" t="str">
        <f t="array" ref="AF2046">INDEX('Deal Info'!D:D, MATCH(A2046,'Deal Info'!A:A, 0))</f>
        <v>#N/A</v>
      </c>
      <c r="AG2046" s="43" t="str">
        <f t="array" ref="AG2046">INDEX('Deal Info'!G:G, MATCH(A2046,'Deal Info'!A:A, 0))</f>
        <v>#N/A</v>
      </c>
    </row>
    <row r="2047" hidden="1">
      <c r="A2047" s="23" t="b">
        <f t="array" ref="A2047">if(G2047='Room Info'!$B$1, INDEX('Room Info'!$A$2:$A3446, MATCH(B2047,'Room Info'!$B$2:$B3446, 0)),if(G2047='Room Info'!$C$1, INDEX('Room Info'!$A$2:$A3446, MATCH(B2047,'Room Info'!$C$2:$C3446, 0)),if(G2047='Room Info'!$D$1, INDEX('Room Info'!$A$2:$A3446, MATCH(B2047,'Room Info'!$D$2:$D3446, 0)),if(G2047='Room Info'!$E$1, INDEX('Room Info'!$A$2:$A3446, MATCH(B2047,'Room Info'!$E$2:$E3446, 0)),if(G2047='Room Info'!$F$1, INDEX('Room Info'!$A$2:$A3446, MATCH(B2047,'Room Info'!$F$2:$F3446, 0)),if(G2047='Room Info'!$H$1, INDEX('Room Info'!$A$2:$A3446, MATCH(B2047,'Room Info'!$H$2:$H3446, 0)),if(G2047='Room Info'!$G$1, INDEX('Room Info'!$A$2:$A3446, MATCH(B2047,'Room Info'!$G$2:$G3446, 0)))))))))</f>
        <v>0</v>
      </c>
      <c r="B2047" s="101"/>
      <c r="C2047" s="115"/>
      <c r="D2047" s="115"/>
      <c r="E2047" s="85"/>
      <c r="F2047" s="101"/>
      <c r="G2047" s="70"/>
      <c r="H2047" s="114"/>
      <c r="I2047" s="114"/>
      <c r="J2047" s="44" t="str">
        <f t="shared" si="311"/>
        <v/>
      </c>
      <c r="K2047" s="116"/>
      <c r="L2047" s="117"/>
      <c r="M2047" s="67"/>
      <c r="N2047" s="33">
        <f t="shared" si="276"/>
        <v>0</v>
      </c>
      <c r="O2047" s="70"/>
      <c r="P2047" s="34" t="str">
        <f t="shared" si="277"/>
        <v/>
      </c>
      <c r="Q2047" s="60"/>
      <c r="R2047" s="36">
        <f t="shared" si="312"/>
        <v>0</v>
      </c>
      <c r="S2047" s="71"/>
      <c r="T2047" s="37">
        <f t="shared" si="302"/>
        <v>0</v>
      </c>
      <c r="U2047" s="62"/>
      <c r="V2047" s="63"/>
      <c r="W2047" s="63"/>
      <c r="X2047" s="35" t="str">
        <f t="shared" si="303"/>
        <v>#N/A</v>
      </c>
      <c r="Y2047" s="35" t="str">
        <f t="shared" si="304"/>
        <v>#N/A</v>
      </c>
      <c r="Z2047" s="40" t="str">
        <f t="shared" si="305"/>
        <v>#N/A</v>
      </c>
      <c r="AA2047" s="34" t="str">
        <f t="shared" si="306"/>
        <v>#N/A</v>
      </c>
      <c r="AB2047" s="41" t="str">
        <f t="shared" si="307"/>
        <v>#N/A</v>
      </c>
      <c r="AC2047" s="42" t="b">
        <v>0</v>
      </c>
      <c r="AD2047" s="66" t="str">
        <f t="shared" si="308"/>
        <v>USD</v>
      </c>
      <c r="AE2047" s="42"/>
      <c r="AF2047" s="42" t="str">
        <f t="array" ref="AF2047">INDEX('Deal Info'!D:D, MATCH(A2047,'Deal Info'!A:A, 0))</f>
        <v>#N/A</v>
      </c>
      <c r="AG2047" s="43" t="str">
        <f t="array" ref="AG2047">INDEX('Deal Info'!G:G, MATCH(A2047,'Deal Info'!A:A, 0))</f>
        <v>#N/A</v>
      </c>
    </row>
    <row r="2048" hidden="1">
      <c r="A2048" s="23" t="b">
        <f t="array" ref="A2048">if(G2048='Room Info'!$B$1, INDEX('Room Info'!$A$2:$A3446, MATCH(B2048,'Room Info'!$B$2:$B3446, 0)),if(G2048='Room Info'!$C$1, INDEX('Room Info'!$A$2:$A3446, MATCH(B2048,'Room Info'!$C$2:$C3446, 0)),if(G2048='Room Info'!$D$1, INDEX('Room Info'!$A$2:$A3446, MATCH(B2048,'Room Info'!$D$2:$D3446, 0)),if(G2048='Room Info'!$E$1, INDEX('Room Info'!$A$2:$A3446, MATCH(B2048,'Room Info'!$E$2:$E3446, 0)),if(G2048='Room Info'!$F$1, INDEX('Room Info'!$A$2:$A3446, MATCH(B2048,'Room Info'!$F$2:$F3446, 0)),if(G2048='Room Info'!$H$1, INDEX('Room Info'!$A$2:$A3446, MATCH(B2048,'Room Info'!$H$2:$H3446, 0)),if(G2048='Room Info'!$G$1, INDEX('Room Info'!$A$2:$A3446, MATCH(B2048,'Room Info'!$G$2:$G3446, 0)))))))))</f>
        <v>0</v>
      </c>
      <c r="B2048" s="101"/>
      <c r="C2048" s="115"/>
      <c r="D2048" s="115"/>
      <c r="E2048" s="85"/>
      <c r="F2048" s="101"/>
      <c r="G2048" s="70"/>
      <c r="H2048" s="114"/>
      <c r="I2048" s="114"/>
      <c r="J2048" s="44" t="str">
        <f t="shared" si="311"/>
        <v/>
      </c>
      <c r="K2048" s="116"/>
      <c r="L2048" s="117"/>
      <c r="M2048" s="67"/>
      <c r="N2048" s="33">
        <f t="shared" si="276"/>
        <v>0</v>
      </c>
      <c r="O2048" s="70"/>
      <c r="P2048" s="34" t="str">
        <f t="shared" si="277"/>
        <v/>
      </c>
      <c r="Q2048" s="60"/>
      <c r="R2048" s="36">
        <f t="shared" si="312"/>
        <v>0</v>
      </c>
      <c r="S2048" s="71"/>
      <c r="T2048" s="37">
        <f t="shared" si="302"/>
        <v>0</v>
      </c>
      <c r="U2048" s="62"/>
      <c r="V2048" s="63"/>
      <c r="W2048" s="63"/>
      <c r="X2048" s="35" t="str">
        <f t="shared" si="303"/>
        <v>#N/A</v>
      </c>
      <c r="Y2048" s="35" t="str">
        <f t="shared" si="304"/>
        <v>#N/A</v>
      </c>
      <c r="Z2048" s="40" t="str">
        <f t="shared" si="305"/>
        <v>#N/A</v>
      </c>
      <c r="AA2048" s="34" t="str">
        <f t="shared" si="306"/>
        <v>#N/A</v>
      </c>
      <c r="AB2048" s="41" t="str">
        <f t="shared" si="307"/>
        <v>#N/A</v>
      </c>
      <c r="AC2048" s="42" t="b">
        <v>0</v>
      </c>
      <c r="AD2048" s="66" t="str">
        <f t="shared" si="308"/>
        <v>USD</v>
      </c>
      <c r="AE2048" s="42"/>
      <c r="AF2048" s="42" t="str">
        <f t="array" ref="AF2048">INDEX('Deal Info'!D:D, MATCH(A2048,'Deal Info'!A:A, 0))</f>
        <v>#N/A</v>
      </c>
      <c r="AG2048" s="43" t="str">
        <f t="array" ref="AG2048">INDEX('Deal Info'!G:G, MATCH(A2048,'Deal Info'!A:A, 0))</f>
        <v>#N/A</v>
      </c>
    </row>
    <row r="2049" hidden="1">
      <c r="A2049" s="23" t="b">
        <f t="array" ref="A2049">if(G2049='Room Info'!$B$1, INDEX('Room Info'!$A$2:$A3446, MATCH(B2049,'Room Info'!$B$2:$B3446, 0)),if(G2049='Room Info'!$C$1, INDEX('Room Info'!$A$2:$A3446, MATCH(B2049,'Room Info'!$C$2:$C3446, 0)),if(G2049='Room Info'!$D$1, INDEX('Room Info'!$A$2:$A3446, MATCH(B2049,'Room Info'!$D$2:$D3446, 0)),if(G2049='Room Info'!$E$1, INDEX('Room Info'!$A$2:$A3446, MATCH(B2049,'Room Info'!$E$2:$E3446, 0)),if(G2049='Room Info'!$F$1, INDEX('Room Info'!$A$2:$A3446, MATCH(B2049,'Room Info'!$F$2:$F3446, 0)),if(G2049='Room Info'!$H$1, INDEX('Room Info'!$A$2:$A3446, MATCH(B2049,'Room Info'!$H$2:$H3446, 0)),if(G2049='Room Info'!$G$1, INDEX('Room Info'!$A$2:$A3446, MATCH(B2049,'Room Info'!$G$2:$G3446, 0)))))))))</f>
        <v>0</v>
      </c>
      <c r="B2049" s="101"/>
      <c r="C2049" s="141"/>
      <c r="D2049" s="141"/>
      <c r="E2049" s="142"/>
      <c r="F2049" s="138"/>
      <c r="G2049" s="101"/>
      <c r="H2049" s="105"/>
      <c r="I2049" s="105"/>
      <c r="J2049" s="44" t="str">
        <f t="shared" si="311"/>
        <v/>
      </c>
      <c r="K2049" s="139"/>
      <c r="L2049" s="140"/>
      <c r="M2049" s="84"/>
      <c r="N2049" s="33">
        <f t="shared" si="276"/>
        <v>0</v>
      </c>
      <c r="O2049" s="101"/>
      <c r="P2049" s="34" t="str">
        <f t="shared" si="277"/>
        <v/>
      </c>
      <c r="Q2049" s="60"/>
      <c r="R2049" s="36">
        <f t="shared" si="312"/>
        <v>0</v>
      </c>
      <c r="S2049" s="102"/>
      <c r="T2049" s="37">
        <f t="shared" si="302"/>
        <v>0</v>
      </c>
      <c r="U2049" s="62"/>
      <c r="V2049" s="63"/>
      <c r="W2049" s="63"/>
      <c r="X2049" s="35" t="str">
        <f t="shared" si="303"/>
        <v>#N/A</v>
      </c>
      <c r="Y2049" s="35" t="str">
        <f t="shared" si="304"/>
        <v>#N/A</v>
      </c>
      <c r="Z2049" s="40" t="str">
        <f t="shared" si="305"/>
        <v>#N/A</v>
      </c>
      <c r="AA2049" s="34" t="str">
        <f t="shared" si="306"/>
        <v>#N/A</v>
      </c>
      <c r="AB2049" s="41" t="str">
        <f t="shared" si="307"/>
        <v>#N/A</v>
      </c>
      <c r="AC2049" s="42" t="b">
        <v>0</v>
      </c>
      <c r="AD2049" s="66" t="str">
        <f t="shared" si="308"/>
        <v>USD</v>
      </c>
      <c r="AE2049" s="42"/>
      <c r="AF2049" s="42" t="str">
        <f t="array" ref="AF2049">INDEX('Deal Info'!D:D, MATCH(A2049,'Deal Info'!A:A, 0))</f>
        <v>#N/A</v>
      </c>
      <c r="AG2049" s="43" t="str">
        <f t="array" ref="AG2049">INDEX('Deal Info'!G:G, MATCH(A2049,'Deal Info'!A:A, 0))</f>
        <v>#N/A</v>
      </c>
    </row>
    <row r="2050" hidden="1">
      <c r="A2050" s="23" t="b">
        <f t="array" ref="A2050">if(G2050='Room Info'!$B$1, INDEX('Room Info'!$A$2:$A3446, MATCH(B2050,'Room Info'!$B$2:$B3446, 0)),if(G2050='Room Info'!$C$1, INDEX('Room Info'!$A$2:$A3446, MATCH(B2050,'Room Info'!$C$2:$C3446, 0)),if(G2050='Room Info'!$D$1, INDEX('Room Info'!$A$2:$A3446, MATCH(B2050,'Room Info'!$D$2:$D3446, 0)),if(G2050='Room Info'!$E$1, INDEX('Room Info'!$A$2:$A3446, MATCH(B2050,'Room Info'!$E$2:$E3446, 0)),if(G2050='Room Info'!$F$1, INDEX('Room Info'!$A$2:$A3446, MATCH(B2050,'Room Info'!$F$2:$F3446, 0)),if(G2050='Room Info'!$H$1, INDEX('Room Info'!$A$2:$A3446, MATCH(B2050,'Room Info'!$H$2:$H3446, 0)),if(G2050='Room Info'!$G$1, INDEX('Room Info'!$A$2:$A3446, MATCH(B2050,'Room Info'!$G$2:$G3446, 0)))))))))</f>
        <v>0</v>
      </c>
      <c r="B2050" s="101"/>
      <c r="C2050" s="141"/>
      <c r="D2050" s="141"/>
      <c r="E2050" s="142"/>
      <c r="F2050" s="138"/>
      <c r="G2050" s="70"/>
      <c r="H2050" s="114"/>
      <c r="I2050" s="114"/>
      <c r="J2050" s="44" t="str">
        <f t="shared" si="311"/>
        <v/>
      </c>
      <c r="K2050" s="139"/>
      <c r="L2050" s="140"/>
      <c r="M2050" s="84"/>
      <c r="N2050" s="33">
        <f t="shared" si="276"/>
        <v>0</v>
      </c>
      <c r="O2050" s="101"/>
      <c r="P2050" s="34" t="str">
        <f t="shared" si="277"/>
        <v/>
      </c>
      <c r="Q2050" s="60"/>
      <c r="R2050" s="36">
        <f t="shared" si="312"/>
        <v>0</v>
      </c>
      <c r="S2050" s="102"/>
      <c r="T2050" s="37">
        <f t="shared" si="302"/>
        <v>0</v>
      </c>
      <c r="U2050" s="62"/>
      <c r="V2050" s="63"/>
      <c r="W2050" s="63"/>
      <c r="X2050" s="35" t="str">
        <f t="shared" si="303"/>
        <v>#N/A</v>
      </c>
      <c r="Y2050" s="35" t="str">
        <f t="shared" si="304"/>
        <v>#N/A</v>
      </c>
      <c r="Z2050" s="40" t="str">
        <f t="shared" si="305"/>
        <v>#N/A</v>
      </c>
      <c r="AA2050" s="34" t="str">
        <f t="shared" si="306"/>
        <v>#N/A</v>
      </c>
      <c r="AB2050" s="41" t="str">
        <f t="shared" si="307"/>
        <v>#N/A</v>
      </c>
      <c r="AC2050" s="42" t="b">
        <v>0</v>
      </c>
      <c r="AD2050" s="66" t="str">
        <f t="shared" si="308"/>
        <v>USD</v>
      </c>
      <c r="AE2050" s="42"/>
      <c r="AF2050" s="42" t="str">
        <f t="array" ref="AF2050">INDEX('Deal Info'!D:D, MATCH(A2050,'Deal Info'!A:A, 0))</f>
        <v>#N/A</v>
      </c>
      <c r="AG2050" s="43" t="str">
        <f t="array" ref="AG2050">INDEX('Deal Info'!G:G, MATCH(A2050,'Deal Info'!A:A, 0))</f>
        <v>#N/A</v>
      </c>
    </row>
    <row r="2051" hidden="1">
      <c r="A2051" s="23" t="b">
        <f t="array" ref="A2051">if(G2051='Room Info'!$B$1, INDEX('Room Info'!$A$2:$A3446, MATCH(B2051,'Room Info'!$B$2:$B3446, 0)),if(G2051='Room Info'!$C$1, INDEX('Room Info'!$A$2:$A3446, MATCH(B2051,'Room Info'!$C$2:$C3446, 0)),if(G2051='Room Info'!$D$1, INDEX('Room Info'!$A$2:$A3446, MATCH(B2051,'Room Info'!$D$2:$D3446, 0)),if(G2051='Room Info'!$E$1, INDEX('Room Info'!$A$2:$A3446, MATCH(B2051,'Room Info'!$E$2:$E3446, 0)),if(G2051='Room Info'!$F$1, INDEX('Room Info'!$A$2:$A3446, MATCH(B2051,'Room Info'!$F$2:$F3446, 0)),if(G2051='Room Info'!$H$1, INDEX('Room Info'!$A$2:$A3446, MATCH(B2051,'Room Info'!$H$2:$H3446, 0)),if(G2051='Room Info'!$G$1, INDEX('Room Info'!$A$2:$A3446, MATCH(B2051,'Room Info'!$G$2:$G3446, 0)))))))))</f>
        <v>0</v>
      </c>
      <c r="B2051" s="101"/>
      <c r="C2051" s="141"/>
      <c r="D2051" s="141"/>
      <c r="E2051" s="142"/>
      <c r="F2051" s="138"/>
      <c r="G2051" s="70"/>
      <c r="H2051" s="114"/>
      <c r="I2051" s="114"/>
      <c r="J2051" s="44" t="str">
        <f t="shared" si="311"/>
        <v/>
      </c>
      <c r="K2051" s="116"/>
      <c r="L2051" s="117"/>
      <c r="M2051" s="67"/>
      <c r="N2051" s="33">
        <f t="shared" si="276"/>
        <v>0</v>
      </c>
      <c r="O2051" s="70"/>
      <c r="P2051" s="34" t="str">
        <f t="shared" si="277"/>
        <v/>
      </c>
      <c r="Q2051" s="60"/>
      <c r="R2051" s="36">
        <f t="shared" si="312"/>
        <v>0</v>
      </c>
      <c r="S2051" s="71"/>
      <c r="T2051" s="37">
        <f t="shared" si="302"/>
        <v>0</v>
      </c>
      <c r="U2051" s="62"/>
      <c r="V2051" s="63"/>
      <c r="W2051" s="63"/>
      <c r="X2051" s="35" t="str">
        <f t="shared" si="303"/>
        <v>#N/A</v>
      </c>
      <c r="Y2051" s="35" t="str">
        <f t="shared" si="304"/>
        <v>#N/A</v>
      </c>
      <c r="Z2051" s="40" t="str">
        <f t="shared" si="305"/>
        <v>#N/A</v>
      </c>
      <c r="AA2051" s="34" t="str">
        <f t="shared" si="306"/>
        <v>#N/A</v>
      </c>
      <c r="AB2051" s="41" t="str">
        <f t="shared" si="307"/>
        <v>#N/A</v>
      </c>
      <c r="AC2051" s="42" t="b">
        <v>0</v>
      </c>
      <c r="AD2051" s="66" t="str">
        <f t="shared" si="308"/>
        <v>USD</v>
      </c>
      <c r="AE2051" s="42"/>
      <c r="AF2051" s="42" t="str">
        <f t="array" ref="AF2051">INDEX('Deal Info'!D:D, MATCH(A2051,'Deal Info'!A:A, 0))</f>
        <v>#N/A</v>
      </c>
      <c r="AG2051" s="43" t="str">
        <f t="array" ref="AG2051">INDEX('Deal Info'!G:G, MATCH(A2051,'Deal Info'!A:A, 0))</f>
        <v>#N/A</v>
      </c>
    </row>
    <row r="2052" hidden="1">
      <c r="A2052" s="23" t="b">
        <f t="array" ref="A2052">if(G2052='Room Info'!$B$1, INDEX('Room Info'!$A$2:$A3446, MATCH(B2052,'Room Info'!$B$2:$B3446, 0)),if(G2052='Room Info'!$C$1, INDEX('Room Info'!$A$2:$A3446, MATCH(B2052,'Room Info'!$C$2:$C3446, 0)),if(G2052='Room Info'!$D$1, INDEX('Room Info'!$A$2:$A3446, MATCH(B2052,'Room Info'!$D$2:$D3446, 0)),if(G2052='Room Info'!$E$1, INDEX('Room Info'!$A$2:$A3446, MATCH(B2052,'Room Info'!$E$2:$E3446, 0)),if(G2052='Room Info'!$F$1, INDEX('Room Info'!$A$2:$A3446, MATCH(B2052,'Room Info'!$F$2:$F3446, 0)),if(G2052='Room Info'!$H$1, INDEX('Room Info'!$A$2:$A3446, MATCH(B2052,'Room Info'!$H$2:$H3446, 0)),if(G2052='Room Info'!$G$1, INDEX('Room Info'!$A$2:$A3446, MATCH(B2052,'Room Info'!$G$2:$G3446, 0)))))))))</f>
        <v>0</v>
      </c>
      <c r="B2052" s="101"/>
      <c r="C2052" s="115"/>
      <c r="D2052" s="115"/>
      <c r="E2052" s="85"/>
      <c r="F2052" s="138"/>
      <c r="G2052" s="70"/>
      <c r="H2052" s="114"/>
      <c r="I2052" s="114"/>
      <c r="J2052" s="44" t="str">
        <f t="shared" si="311"/>
        <v/>
      </c>
      <c r="K2052" s="116"/>
      <c r="L2052" s="117"/>
      <c r="M2052" s="67"/>
      <c r="N2052" s="33">
        <f t="shared" si="276"/>
        <v>0</v>
      </c>
      <c r="O2052" s="70"/>
      <c r="P2052" s="34" t="str">
        <f t="shared" si="277"/>
        <v/>
      </c>
      <c r="Q2052" s="60"/>
      <c r="R2052" s="36">
        <f t="shared" si="312"/>
        <v>0</v>
      </c>
      <c r="S2052" s="71"/>
      <c r="T2052" s="37">
        <f t="shared" si="302"/>
        <v>0</v>
      </c>
      <c r="U2052" s="62"/>
      <c r="V2052" s="63"/>
      <c r="W2052" s="63"/>
      <c r="X2052" s="35" t="str">
        <f t="shared" si="303"/>
        <v>#N/A</v>
      </c>
      <c r="Y2052" s="35" t="str">
        <f t="shared" si="304"/>
        <v>#N/A</v>
      </c>
      <c r="Z2052" s="40" t="str">
        <f t="shared" si="305"/>
        <v>#N/A</v>
      </c>
      <c r="AA2052" s="34" t="str">
        <f t="shared" si="306"/>
        <v>#N/A</v>
      </c>
      <c r="AB2052" s="41" t="str">
        <f t="shared" si="307"/>
        <v>#N/A</v>
      </c>
      <c r="AC2052" s="42" t="b">
        <v>0</v>
      </c>
      <c r="AD2052" s="66" t="str">
        <f t="shared" si="308"/>
        <v>USD</v>
      </c>
      <c r="AE2052" s="42"/>
      <c r="AF2052" s="42" t="str">
        <f t="array" ref="AF2052">INDEX('Deal Info'!D:D, MATCH(A2052,'Deal Info'!A:A, 0))</f>
        <v>#N/A</v>
      </c>
      <c r="AG2052" s="43" t="str">
        <f t="array" ref="AG2052">INDEX('Deal Info'!G:G, MATCH(A2052,'Deal Info'!A:A, 0))</f>
        <v>#N/A</v>
      </c>
    </row>
    <row r="2053" hidden="1">
      <c r="A2053" s="23" t="b">
        <f t="array" ref="A2053">if(G2053='Room Info'!$B$1, INDEX('Room Info'!$A$2:$A3446, MATCH(B2053,'Room Info'!$B$2:$B3446, 0)),if(G2053='Room Info'!$C$1, INDEX('Room Info'!$A$2:$A3446, MATCH(B2053,'Room Info'!$C$2:$C3446, 0)),if(G2053='Room Info'!$D$1, INDEX('Room Info'!$A$2:$A3446, MATCH(B2053,'Room Info'!$D$2:$D3446, 0)),if(G2053='Room Info'!$E$1, INDEX('Room Info'!$A$2:$A3446, MATCH(B2053,'Room Info'!$E$2:$E3446, 0)),if(G2053='Room Info'!$F$1, INDEX('Room Info'!$A$2:$A3446, MATCH(B2053,'Room Info'!$F$2:$F3446, 0)),if(G2053='Room Info'!$H$1, INDEX('Room Info'!$A$2:$A3446, MATCH(B2053,'Room Info'!$H$2:$H3446, 0)),if(G2053='Room Info'!$G$1, INDEX('Room Info'!$A$2:$A3446, MATCH(B2053,'Room Info'!$G$2:$G3446, 0)))))))))</f>
        <v>0</v>
      </c>
      <c r="B2053" s="101"/>
      <c r="C2053" s="115"/>
      <c r="D2053" s="115"/>
      <c r="E2053" s="85"/>
      <c r="F2053" s="138"/>
      <c r="G2053" s="70"/>
      <c r="H2053" s="114"/>
      <c r="I2053" s="114"/>
      <c r="J2053" s="44" t="str">
        <f t="shared" si="311"/>
        <v/>
      </c>
      <c r="K2053" s="116"/>
      <c r="L2053" s="117"/>
      <c r="M2053" s="67"/>
      <c r="N2053" s="33">
        <f t="shared" si="276"/>
        <v>0</v>
      </c>
      <c r="O2053" s="70"/>
      <c r="P2053" s="34" t="str">
        <f t="shared" si="277"/>
        <v/>
      </c>
      <c r="Q2053" s="60"/>
      <c r="R2053" s="36">
        <f t="shared" si="312"/>
        <v>0</v>
      </c>
      <c r="S2053" s="71"/>
      <c r="T2053" s="37">
        <f t="shared" si="302"/>
        <v>0</v>
      </c>
      <c r="U2053" s="62"/>
      <c r="V2053" s="63"/>
      <c r="W2053" s="63"/>
      <c r="X2053" s="35" t="str">
        <f t="shared" si="303"/>
        <v>#N/A</v>
      </c>
      <c r="Y2053" s="35" t="str">
        <f t="shared" si="304"/>
        <v>#N/A</v>
      </c>
      <c r="Z2053" s="40" t="str">
        <f t="shared" si="305"/>
        <v>#N/A</v>
      </c>
      <c r="AA2053" s="34" t="str">
        <f t="shared" si="306"/>
        <v>#N/A</v>
      </c>
      <c r="AB2053" s="41" t="str">
        <f t="shared" si="307"/>
        <v>#N/A</v>
      </c>
      <c r="AC2053" s="42" t="b">
        <v>0</v>
      </c>
      <c r="AD2053" s="66" t="str">
        <f t="shared" si="308"/>
        <v>USD</v>
      </c>
      <c r="AE2053" s="42"/>
      <c r="AF2053" s="42" t="str">
        <f t="array" ref="AF2053">INDEX('Deal Info'!D:D, MATCH(A2053,'Deal Info'!A:A, 0))</f>
        <v>#N/A</v>
      </c>
      <c r="AG2053" s="43" t="str">
        <f t="array" ref="AG2053">INDEX('Deal Info'!G:G, MATCH(A2053,'Deal Info'!A:A, 0))</f>
        <v>#N/A</v>
      </c>
    </row>
    <row r="2054" hidden="1">
      <c r="A2054" s="23" t="b">
        <f t="array" ref="A2054">if(G2054='Room Info'!$B$1, INDEX('Room Info'!$A$2:$A3446, MATCH(B2054,'Room Info'!$B$2:$B3446, 0)),if(G2054='Room Info'!$C$1, INDEX('Room Info'!$A$2:$A3446, MATCH(B2054,'Room Info'!$C$2:$C3446, 0)),if(G2054='Room Info'!$D$1, INDEX('Room Info'!$A$2:$A3446, MATCH(B2054,'Room Info'!$D$2:$D3446, 0)),if(G2054='Room Info'!$E$1, INDEX('Room Info'!$A$2:$A3446, MATCH(B2054,'Room Info'!$E$2:$E3446, 0)),if(G2054='Room Info'!$F$1, INDEX('Room Info'!$A$2:$A3446, MATCH(B2054,'Room Info'!$F$2:$F3446, 0)),if(G2054='Room Info'!$H$1, INDEX('Room Info'!$A$2:$A3446, MATCH(B2054,'Room Info'!$H$2:$H3446, 0)),if(G2054='Room Info'!$G$1, INDEX('Room Info'!$A$2:$A3446, MATCH(B2054,'Room Info'!$G$2:$G3446, 0)))))))))</f>
        <v>0</v>
      </c>
      <c r="B2054" s="101"/>
      <c r="C2054" s="115"/>
      <c r="D2054" s="115"/>
      <c r="E2054" s="85"/>
      <c r="F2054" s="138"/>
      <c r="G2054" s="70"/>
      <c r="H2054" s="114"/>
      <c r="I2054" s="114"/>
      <c r="J2054" s="44" t="str">
        <f t="shared" si="311"/>
        <v/>
      </c>
      <c r="K2054" s="116"/>
      <c r="L2054" s="117"/>
      <c r="M2054" s="67"/>
      <c r="N2054" s="33">
        <f t="shared" si="276"/>
        <v>0</v>
      </c>
      <c r="O2054" s="70"/>
      <c r="P2054" s="34" t="str">
        <f t="shared" si="277"/>
        <v/>
      </c>
      <c r="Q2054" s="60"/>
      <c r="R2054" s="36">
        <f t="shared" si="312"/>
        <v>0</v>
      </c>
      <c r="S2054" s="71"/>
      <c r="T2054" s="37">
        <f t="shared" si="302"/>
        <v>0</v>
      </c>
      <c r="U2054" s="62"/>
      <c r="V2054" s="63"/>
      <c r="W2054" s="63"/>
      <c r="X2054" s="35" t="str">
        <f t="shared" si="303"/>
        <v>#N/A</v>
      </c>
      <c r="Y2054" s="35" t="str">
        <f t="shared" si="304"/>
        <v>#N/A</v>
      </c>
      <c r="Z2054" s="40" t="str">
        <f t="shared" si="305"/>
        <v>#N/A</v>
      </c>
      <c r="AA2054" s="34" t="str">
        <f t="shared" si="306"/>
        <v>#N/A</v>
      </c>
      <c r="AB2054" s="41" t="str">
        <f t="shared" si="307"/>
        <v>#N/A</v>
      </c>
      <c r="AC2054" s="42" t="b">
        <v>0</v>
      </c>
      <c r="AD2054" s="66" t="str">
        <f t="shared" si="308"/>
        <v>USD</v>
      </c>
      <c r="AE2054" s="42"/>
      <c r="AF2054" s="42" t="str">
        <f t="array" ref="AF2054">INDEX('Deal Info'!D:D, MATCH(A2054,'Deal Info'!A:A, 0))</f>
        <v>#N/A</v>
      </c>
      <c r="AG2054" s="43" t="str">
        <f t="array" ref="AG2054">INDEX('Deal Info'!G:G, MATCH(A2054,'Deal Info'!A:A, 0))</f>
        <v>#N/A</v>
      </c>
    </row>
    <row r="2055" hidden="1">
      <c r="A2055" s="23" t="b">
        <f t="array" ref="A2055">if(G2055='Room Info'!$B$1, INDEX('Room Info'!$A$2:$A3446, MATCH(B2055,'Room Info'!$B$2:$B3446, 0)),if(G2055='Room Info'!$C$1, INDEX('Room Info'!$A$2:$A3446, MATCH(B2055,'Room Info'!$C$2:$C3446, 0)),if(G2055='Room Info'!$D$1, INDEX('Room Info'!$A$2:$A3446, MATCH(B2055,'Room Info'!$D$2:$D3446, 0)),if(G2055='Room Info'!$E$1, INDEX('Room Info'!$A$2:$A3446, MATCH(B2055,'Room Info'!$E$2:$E3446, 0)),if(G2055='Room Info'!$F$1, INDEX('Room Info'!$A$2:$A3446, MATCH(B2055,'Room Info'!$F$2:$F3446, 0)),if(G2055='Room Info'!$H$1, INDEX('Room Info'!$A$2:$A3446, MATCH(B2055,'Room Info'!$H$2:$H3446, 0)),if(G2055='Room Info'!$G$1, INDEX('Room Info'!$A$2:$A3446, MATCH(B2055,'Room Info'!$G$2:$G3446, 0)))))))))</f>
        <v>0</v>
      </c>
      <c r="B2055" s="101"/>
      <c r="C2055" s="115"/>
      <c r="D2055" s="115"/>
      <c r="E2055" s="85"/>
      <c r="F2055" s="138"/>
      <c r="G2055" s="101"/>
      <c r="H2055" s="114"/>
      <c r="I2055" s="114"/>
      <c r="J2055" s="44" t="str">
        <f t="shared" si="311"/>
        <v/>
      </c>
      <c r="K2055" s="116"/>
      <c r="L2055" s="117"/>
      <c r="M2055" s="67"/>
      <c r="N2055" s="33">
        <f t="shared" si="276"/>
        <v>0</v>
      </c>
      <c r="O2055" s="70"/>
      <c r="P2055" s="34" t="str">
        <f t="shared" si="277"/>
        <v/>
      </c>
      <c r="Q2055" s="60"/>
      <c r="R2055" s="36">
        <f t="shared" si="312"/>
        <v>0</v>
      </c>
      <c r="S2055" s="71"/>
      <c r="T2055" s="37">
        <f t="shared" si="302"/>
        <v>0</v>
      </c>
      <c r="U2055" s="62"/>
      <c r="V2055" s="63"/>
      <c r="W2055" s="63"/>
      <c r="X2055" s="35" t="str">
        <f t="shared" si="303"/>
        <v>#N/A</v>
      </c>
      <c r="Y2055" s="35" t="str">
        <f t="shared" si="304"/>
        <v>#N/A</v>
      </c>
      <c r="Z2055" s="40" t="str">
        <f t="shared" si="305"/>
        <v>#N/A</v>
      </c>
      <c r="AA2055" s="34" t="str">
        <f t="shared" si="306"/>
        <v>#N/A</v>
      </c>
      <c r="AB2055" s="41" t="str">
        <f t="shared" si="307"/>
        <v>#N/A</v>
      </c>
      <c r="AC2055" s="42" t="b">
        <v>0</v>
      </c>
      <c r="AD2055" s="66" t="str">
        <f t="shared" si="308"/>
        <v>USD</v>
      </c>
      <c r="AE2055" s="42"/>
      <c r="AF2055" s="42" t="str">
        <f t="array" ref="AF2055">INDEX('Deal Info'!D:D, MATCH(A2055,'Deal Info'!A:A, 0))</f>
        <v>#N/A</v>
      </c>
      <c r="AG2055" s="43" t="str">
        <f t="array" ref="AG2055">INDEX('Deal Info'!G:G, MATCH(A2055,'Deal Info'!A:A, 0))</f>
        <v>#N/A</v>
      </c>
    </row>
    <row r="2056" hidden="1">
      <c r="A2056" s="23" t="b">
        <f t="array" ref="A2056">if(G2056='Room Info'!$B$1, INDEX('Room Info'!$A$2:$A3446, MATCH(B2056,'Room Info'!$B$2:$B3446, 0)),if(G2056='Room Info'!$C$1, INDEX('Room Info'!$A$2:$A3446, MATCH(B2056,'Room Info'!$C$2:$C3446, 0)),if(G2056='Room Info'!$D$1, INDEX('Room Info'!$A$2:$A3446, MATCH(B2056,'Room Info'!$D$2:$D3446, 0)),if(G2056='Room Info'!$E$1, INDEX('Room Info'!$A$2:$A3446, MATCH(B2056,'Room Info'!$E$2:$E3446, 0)),if(G2056='Room Info'!$F$1, INDEX('Room Info'!$A$2:$A3446, MATCH(B2056,'Room Info'!$F$2:$F3446, 0)),if(G2056='Room Info'!$H$1, INDEX('Room Info'!$A$2:$A3446, MATCH(B2056,'Room Info'!$H$2:$H3446, 0)),if(G2056='Room Info'!$G$1, INDEX('Room Info'!$A$2:$A3446, MATCH(B2056,'Room Info'!$G$2:$G3446, 0)))))))))</f>
        <v>0</v>
      </c>
      <c r="B2056" s="101"/>
      <c r="C2056" s="115"/>
      <c r="D2056" s="115"/>
      <c r="E2056" s="85"/>
      <c r="F2056" s="138"/>
      <c r="G2056" s="101"/>
      <c r="H2056" s="114"/>
      <c r="I2056" s="114"/>
      <c r="J2056" s="44" t="str">
        <f t="shared" si="311"/>
        <v/>
      </c>
      <c r="K2056" s="116"/>
      <c r="L2056" s="117"/>
      <c r="M2056" s="67"/>
      <c r="N2056" s="33">
        <f t="shared" si="276"/>
        <v>0</v>
      </c>
      <c r="O2056" s="70"/>
      <c r="P2056" s="34" t="str">
        <f t="shared" si="277"/>
        <v/>
      </c>
      <c r="Q2056" s="60"/>
      <c r="R2056" s="36">
        <f t="shared" si="312"/>
        <v>0</v>
      </c>
      <c r="S2056" s="71"/>
      <c r="T2056" s="37">
        <f t="shared" si="302"/>
        <v>0</v>
      </c>
      <c r="U2056" s="62"/>
      <c r="V2056" s="63"/>
      <c r="W2056" s="63"/>
      <c r="X2056" s="35" t="str">
        <f t="shared" si="303"/>
        <v>#N/A</v>
      </c>
      <c r="Y2056" s="35" t="str">
        <f t="shared" si="304"/>
        <v>#N/A</v>
      </c>
      <c r="Z2056" s="40" t="str">
        <f t="shared" si="305"/>
        <v>#N/A</v>
      </c>
      <c r="AA2056" s="34" t="str">
        <f t="shared" si="306"/>
        <v>#N/A</v>
      </c>
      <c r="AB2056" s="41" t="str">
        <f t="shared" si="307"/>
        <v>#N/A</v>
      </c>
      <c r="AC2056" s="42" t="b">
        <v>0</v>
      </c>
      <c r="AD2056" s="66" t="str">
        <f t="shared" si="308"/>
        <v>USD</v>
      </c>
      <c r="AE2056" s="42"/>
      <c r="AF2056" s="42" t="str">
        <f t="array" ref="AF2056">INDEX('Deal Info'!D:D, MATCH(A2056,'Deal Info'!A:A, 0))</f>
        <v>#N/A</v>
      </c>
      <c r="AG2056" s="43" t="str">
        <f t="array" ref="AG2056">INDEX('Deal Info'!G:G, MATCH(A2056,'Deal Info'!A:A, 0))</f>
        <v>#N/A</v>
      </c>
    </row>
    <row r="2057" hidden="1">
      <c r="A2057" s="23" t="b">
        <f t="array" ref="A2057">if(G2057='Room Info'!$B$1, INDEX('Room Info'!$A$2:$A3446, MATCH(B2057,'Room Info'!$B$2:$B3446, 0)),if(G2057='Room Info'!$C$1, INDEX('Room Info'!$A$2:$A3446, MATCH(B2057,'Room Info'!$C$2:$C3446, 0)),if(G2057='Room Info'!$D$1, INDEX('Room Info'!$A$2:$A3446, MATCH(B2057,'Room Info'!$D$2:$D3446, 0)),if(G2057='Room Info'!$E$1, INDEX('Room Info'!$A$2:$A3446, MATCH(B2057,'Room Info'!$E$2:$E3446, 0)),if(G2057='Room Info'!$F$1, INDEX('Room Info'!$A$2:$A3446, MATCH(B2057,'Room Info'!$F$2:$F3446, 0)),if(G2057='Room Info'!$H$1, INDEX('Room Info'!$A$2:$A3446, MATCH(B2057,'Room Info'!$H$2:$H3446, 0)),if(G2057='Room Info'!$G$1, INDEX('Room Info'!$A$2:$A3446, MATCH(B2057,'Room Info'!$G$2:$G3446, 0)))))))))</f>
        <v>0</v>
      </c>
      <c r="B2057" s="70"/>
      <c r="C2057" s="115"/>
      <c r="D2057" s="115"/>
      <c r="E2057" s="85"/>
      <c r="F2057" s="101"/>
      <c r="G2057" s="70"/>
      <c r="H2057" s="114"/>
      <c r="I2057" s="114"/>
      <c r="J2057" s="44" t="str">
        <f t="shared" si="311"/>
        <v/>
      </c>
      <c r="K2057" s="116"/>
      <c r="L2057" s="117"/>
      <c r="M2057" s="67"/>
      <c r="N2057" s="33">
        <f t="shared" si="276"/>
        <v>0</v>
      </c>
      <c r="O2057" s="70"/>
      <c r="P2057" s="34" t="str">
        <f t="shared" si="277"/>
        <v/>
      </c>
      <c r="Q2057" s="60"/>
      <c r="R2057" s="36">
        <f t="shared" si="312"/>
        <v>0</v>
      </c>
      <c r="S2057" s="71"/>
      <c r="T2057" s="37">
        <f t="shared" si="302"/>
        <v>0</v>
      </c>
      <c r="U2057" s="62"/>
      <c r="V2057" s="63"/>
      <c r="W2057" s="63"/>
      <c r="X2057" s="35" t="str">
        <f t="shared" si="303"/>
        <v>#N/A</v>
      </c>
      <c r="Y2057" s="35" t="str">
        <f t="shared" si="304"/>
        <v>#N/A</v>
      </c>
      <c r="Z2057" s="40" t="str">
        <f t="shared" si="305"/>
        <v>#N/A</v>
      </c>
      <c r="AA2057" s="34" t="str">
        <f t="shared" si="306"/>
        <v>#N/A</v>
      </c>
      <c r="AB2057" s="41" t="str">
        <f t="shared" si="307"/>
        <v>#N/A</v>
      </c>
      <c r="AC2057" s="42" t="b">
        <v>0</v>
      </c>
      <c r="AD2057" s="66" t="str">
        <f t="shared" si="308"/>
        <v>USD</v>
      </c>
      <c r="AE2057" s="42"/>
      <c r="AF2057" s="42" t="str">
        <f t="array" ref="AF2057">INDEX('Deal Info'!D:D, MATCH(A2057,'Deal Info'!A:A, 0))</f>
        <v>#N/A</v>
      </c>
      <c r="AG2057" s="43" t="str">
        <f t="array" ref="AG2057">INDEX('Deal Info'!G:G, MATCH(A2057,'Deal Info'!A:A, 0))</f>
        <v>#N/A</v>
      </c>
    </row>
    <row r="2058" hidden="1">
      <c r="A2058" s="23" t="b">
        <f t="array" ref="A2058">if(G2058='Room Info'!$B$1, INDEX('Room Info'!$A$2:$A3446, MATCH(B2058,'Room Info'!$B$2:$B3446, 0)),if(G2058='Room Info'!$C$1, INDEX('Room Info'!$A$2:$A3446, MATCH(B2058,'Room Info'!$C$2:$C3446, 0)),if(G2058='Room Info'!$D$1, INDEX('Room Info'!$A$2:$A3446, MATCH(B2058,'Room Info'!$D$2:$D3446, 0)),if(G2058='Room Info'!$E$1, INDEX('Room Info'!$A$2:$A3446, MATCH(B2058,'Room Info'!$E$2:$E3446, 0)),if(G2058='Room Info'!$F$1, INDEX('Room Info'!$A$2:$A3446, MATCH(B2058,'Room Info'!$F$2:$F3446, 0)),if(G2058='Room Info'!$H$1, INDEX('Room Info'!$A$2:$A3446, MATCH(B2058,'Room Info'!$H$2:$H3446, 0)),if(G2058='Room Info'!$G$1, INDEX('Room Info'!$A$2:$A3446, MATCH(B2058,'Room Info'!$G$2:$G3446, 0)))))))))</f>
        <v>0</v>
      </c>
      <c r="B2058" s="70"/>
      <c r="C2058" s="115"/>
      <c r="D2058" s="115"/>
      <c r="E2058" s="85"/>
      <c r="F2058" s="101"/>
      <c r="G2058" s="70"/>
      <c r="H2058" s="114"/>
      <c r="I2058" s="114"/>
      <c r="J2058" s="44" t="str">
        <f t="shared" si="311"/>
        <v/>
      </c>
      <c r="K2058" s="116"/>
      <c r="L2058" s="117"/>
      <c r="M2058" s="67"/>
      <c r="N2058" s="33">
        <f t="shared" si="276"/>
        <v>0</v>
      </c>
      <c r="O2058" s="70"/>
      <c r="P2058" s="34" t="str">
        <f t="shared" si="277"/>
        <v/>
      </c>
      <c r="Q2058" s="60"/>
      <c r="R2058" s="36">
        <f t="shared" si="312"/>
        <v>0</v>
      </c>
      <c r="S2058" s="71"/>
      <c r="T2058" s="37">
        <f t="shared" si="302"/>
        <v>0</v>
      </c>
      <c r="U2058" s="62"/>
      <c r="V2058" s="63"/>
      <c r="W2058" s="63"/>
      <c r="X2058" s="35" t="str">
        <f t="shared" si="303"/>
        <v>#N/A</v>
      </c>
      <c r="Y2058" s="35" t="str">
        <f t="shared" si="304"/>
        <v>#N/A</v>
      </c>
      <c r="Z2058" s="40" t="str">
        <f t="shared" si="305"/>
        <v>#N/A</v>
      </c>
      <c r="AA2058" s="34" t="str">
        <f t="shared" si="306"/>
        <v>#N/A</v>
      </c>
      <c r="AB2058" s="41" t="str">
        <f t="shared" si="307"/>
        <v>#N/A</v>
      </c>
      <c r="AC2058" s="42" t="b">
        <v>0</v>
      </c>
      <c r="AD2058" s="66" t="str">
        <f t="shared" si="308"/>
        <v>USD</v>
      </c>
      <c r="AE2058" s="42"/>
      <c r="AF2058" s="42" t="str">
        <f t="array" ref="AF2058">INDEX('Deal Info'!D:D, MATCH(A2058,'Deal Info'!A:A, 0))</f>
        <v>#N/A</v>
      </c>
      <c r="AG2058" s="43" t="str">
        <f t="array" ref="AG2058">INDEX('Deal Info'!G:G, MATCH(A2058,'Deal Info'!A:A, 0))</f>
        <v>#N/A</v>
      </c>
    </row>
    <row r="2059" hidden="1">
      <c r="A2059" s="23" t="b">
        <f t="array" ref="A2059">if(G2059='Room Info'!$B$1, INDEX('Room Info'!$A$2:$A3446, MATCH(B2059,'Room Info'!$B$2:$B3446, 0)),if(G2059='Room Info'!$C$1, INDEX('Room Info'!$A$2:$A3446, MATCH(B2059,'Room Info'!$C$2:$C3446, 0)),if(G2059='Room Info'!$D$1, INDEX('Room Info'!$A$2:$A3446, MATCH(B2059,'Room Info'!$D$2:$D3446, 0)),if(G2059='Room Info'!$E$1, INDEX('Room Info'!$A$2:$A3446, MATCH(B2059,'Room Info'!$E$2:$E3446, 0)),if(G2059='Room Info'!$F$1, INDEX('Room Info'!$A$2:$A3446, MATCH(B2059,'Room Info'!$F$2:$F3446, 0)),if(G2059='Room Info'!$H$1, INDEX('Room Info'!$A$2:$A3446, MATCH(B2059,'Room Info'!$H$2:$H3446, 0)),if(G2059='Room Info'!$G$1, INDEX('Room Info'!$A$2:$A3446, MATCH(B2059,'Room Info'!$G$2:$G3446, 0)))))))))</f>
        <v>0</v>
      </c>
      <c r="B2059" s="70"/>
      <c r="C2059" s="115"/>
      <c r="D2059" s="115"/>
      <c r="E2059" s="85"/>
      <c r="F2059" s="101"/>
      <c r="G2059" s="70"/>
      <c r="H2059" s="114"/>
      <c r="I2059" s="114"/>
      <c r="J2059" s="44" t="str">
        <f t="shared" si="311"/>
        <v/>
      </c>
      <c r="K2059" s="116"/>
      <c r="L2059" s="117"/>
      <c r="M2059" s="67"/>
      <c r="N2059" s="33">
        <f t="shared" si="276"/>
        <v>0</v>
      </c>
      <c r="O2059" s="70"/>
      <c r="P2059" s="34" t="str">
        <f t="shared" si="277"/>
        <v/>
      </c>
      <c r="Q2059" s="60"/>
      <c r="R2059" s="36">
        <f t="shared" si="312"/>
        <v>0</v>
      </c>
      <c r="S2059" s="71"/>
      <c r="T2059" s="37">
        <f t="shared" si="302"/>
        <v>0</v>
      </c>
      <c r="U2059" s="62"/>
      <c r="V2059" s="63"/>
      <c r="W2059" s="63"/>
      <c r="X2059" s="35" t="str">
        <f t="shared" si="303"/>
        <v>#N/A</v>
      </c>
      <c r="Y2059" s="35" t="str">
        <f t="shared" si="304"/>
        <v>#N/A</v>
      </c>
      <c r="Z2059" s="40" t="str">
        <f t="shared" si="305"/>
        <v>#N/A</v>
      </c>
      <c r="AA2059" s="34" t="str">
        <f t="shared" si="306"/>
        <v>#N/A</v>
      </c>
      <c r="AB2059" s="41" t="str">
        <f t="shared" si="307"/>
        <v>#N/A</v>
      </c>
      <c r="AC2059" s="42" t="b">
        <v>0</v>
      </c>
      <c r="AD2059" s="66" t="str">
        <f t="shared" si="308"/>
        <v>USD</v>
      </c>
      <c r="AE2059" s="42"/>
      <c r="AF2059" s="42" t="str">
        <f t="array" ref="AF2059">INDEX('Deal Info'!D:D, MATCH(A2059,'Deal Info'!A:A, 0))</f>
        <v>#N/A</v>
      </c>
      <c r="AG2059" s="43" t="str">
        <f t="array" ref="AG2059">INDEX('Deal Info'!G:G, MATCH(A2059,'Deal Info'!A:A, 0))</f>
        <v>#N/A</v>
      </c>
    </row>
    <row r="2060" hidden="1">
      <c r="A2060" s="23" t="b">
        <f t="array" ref="A2060">if(G2060='Room Info'!$B$1, INDEX('Room Info'!$A$2:$A3446, MATCH(B2060,'Room Info'!$B$2:$B3446, 0)),if(G2060='Room Info'!$C$1, INDEX('Room Info'!$A$2:$A3446, MATCH(B2060,'Room Info'!$C$2:$C3446, 0)),if(G2060='Room Info'!$D$1, INDEX('Room Info'!$A$2:$A3446, MATCH(B2060,'Room Info'!$D$2:$D3446, 0)),if(G2060='Room Info'!$E$1, INDEX('Room Info'!$A$2:$A3446, MATCH(B2060,'Room Info'!$E$2:$E3446, 0)),if(G2060='Room Info'!$F$1, INDEX('Room Info'!$A$2:$A3446, MATCH(B2060,'Room Info'!$F$2:$F3446, 0)),if(G2060='Room Info'!$H$1, INDEX('Room Info'!$A$2:$A3446, MATCH(B2060,'Room Info'!$H$2:$H3446, 0)),if(G2060='Room Info'!$G$1, INDEX('Room Info'!$A$2:$A3446, MATCH(B2060,'Room Info'!$G$2:$G3446, 0)))))))))</f>
        <v>0</v>
      </c>
      <c r="B2060" s="70"/>
      <c r="C2060" s="115"/>
      <c r="D2060" s="115"/>
      <c r="E2060" s="85"/>
      <c r="F2060" s="101"/>
      <c r="G2060" s="70"/>
      <c r="H2060" s="114"/>
      <c r="I2060" s="114"/>
      <c r="J2060" s="44" t="str">
        <f t="shared" si="311"/>
        <v/>
      </c>
      <c r="K2060" s="116"/>
      <c r="L2060" s="117"/>
      <c r="M2060" s="67"/>
      <c r="N2060" s="33">
        <f t="shared" si="276"/>
        <v>0</v>
      </c>
      <c r="O2060" s="70"/>
      <c r="P2060" s="34" t="str">
        <f t="shared" si="277"/>
        <v/>
      </c>
      <c r="Q2060" s="60"/>
      <c r="R2060" s="36">
        <f t="shared" si="312"/>
        <v>0</v>
      </c>
      <c r="S2060" s="71"/>
      <c r="T2060" s="37">
        <f t="shared" si="302"/>
        <v>0</v>
      </c>
      <c r="U2060" s="62"/>
      <c r="V2060" s="63"/>
      <c r="W2060" s="63"/>
      <c r="X2060" s="35" t="str">
        <f t="shared" si="303"/>
        <v>#N/A</v>
      </c>
      <c r="Y2060" s="35" t="str">
        <f t="shared" si="304"/>
        <v>#N/A</v>
      </c>
      <c r="Z2060" s="40" t="str">
        <f t="shared" si="305"/>
        <v>#N/A</v>
      </c>
      <c r="AA2060" s="34" t="str">
        <f t="shared" si="306"/>
        <v>#N/A</v>
      </c>
      <c r="AB2060" s="41" t="str">
        <f t="shared" si="307"/>
        <v>#N/A</v>
      </c>
      <c r="AC2060" s="42" t="b">
        <v>0</v>
      </c>
      <c r="AD2060" s="66" t="str">
        <f t="shared" si="308"/>
        <v>USD</v>
      </c>
      <c r="AE2060" s="42"/>
      <c r="AF2060" s="42" t="str">
        <f t="array" ref="AF2060">INDEX('Deal Info'!D:D, MATCH(A2060,'Deal Info'!A:A, 0))</f>
        <v>#N/A</v>
      </c>
      <c r="AG2060" s="43" t="str">
        <f t="array" ref="AG2060">INDEX('Deal Info'!G:G, MATCH(A2060,'Deal Info'!A:A, 0))</f>
        <v>#N/A</v>
      </c>
    </row>
    <row r="2061" hidden="1">
      <c r="A2061" s="23" t="b">
        <f t="array" ref="A2061">if(G2061='Room Info'!$B$1, INDEX('Room Info'!$A$2:$A3446, MATCH(B2061,'Room Info'!$B$2:$B3446, 0)),if(G2061='Room Info'!$C$1, INDEX('Room Info'!$A$2:$A3446, MATCH(B2061,'Room Info'!$C$2:$C3446, 0)),if(G2061='Room Info'!$D$1, INDEX('Room Info'!$A$2:$A3446, MATCH(B2061,'Room Info'!$D$2:$D3446, 0)),if(G2061='Room Info'!$E$1, INDEX('Room Info'!$A$2:$A3446, MATCH(B2061,'Room Info'!$E$2:$E3446, 0)),if(G2061='Room Info'!$F$1, INDEX('Room Info'!$A$2:$A3446, MATCH(B2061,'Room Info'!$F$2:$F3446, 0)),if(G2061='Room Info'!$H$1, INDEX('Room Info'!$A$2:$A3446, MATCH(B2061,'Room Info'!$H$2:$H3446, 0)),if(G2061='Room Info'!$G$1, INDEX('Room Info'!$A$2:$A3446, MATCH(B2061,'Room Info'!$G$2:$G3446, 0)))))))))</f>
        <v>0</v>
      </c>
      <c r="B2061" s="70"/>
      <c r="C2061" s="115"/>
      <c r="D2061" s="115"/>
      <c r="E2061" s="85"/>
      <c r="F2061" s="101"/>
      <c r="G2061" s="70"/>
      <c r="H2061" s="114"/>
      <c r="I2061" s="114"/>
      <c r="J2061" s="44" t="str">
        <f t="shared" si="311"/>
        <v/>
      </c>
      <c r="K2061" s="116"/>
      <c r="L2061" s="117"/>
      <c r="M2061" s="67"/>
      <c r="N2061" s="33">
        <f t="shared" si="276"/>
        <v>0</v>
      </c>
      <c r="O2061" s="70"/>
      <c r="P2061" s="34" t="str">
        <f t="shared" si="277"/>
        <v/>
      </c>
      <c r="Q2061" s="60"/>
      <c r="R2061" s="36">
        <f t="shared" si="312"/>
        <v>0</v>
      </c>
      <c r="S2061" s="71"/>
      <c r="T2061" s="37">
        <f t="shared" si="302"/>
        <v>0</v>
      </c>
      <c r="U2061" s="62"/>
      <c r="V2061" s="63"/>
      <c r="W2061" s="63"/>
      <c r="X2061" s="35" t="str">
        <f t="shared" si="303"/>
        <v>#N/A</v>
      </c>
      <c r="Y2061" s="35" t="str">
        <f t="shared" si="304"/>
        <v>#N/A</v>
      </c>
      <c r="Z2061" s="40" t="str">
        <f t="shared" si="305"/>
        <v>#N/A</v>
      </c>
      <c r="AA2061" s="34" t="str">
        <f t="shared" si="306"/>
        <v>#N/A</v>
      </c>
      <c r="AB2061" s="41" t="str">
        <f t="shared" si="307"/>
        <v>#N/A</v>
      </c>
      <c r="AC2061" s="42" t="b">
        <v>0</v>
      </c>
      <c r="AD2061" s="66" t="str">
        <f t="shared" si="308"/>
        <v>USD</v>
      </c>
      <c r="AE2061" s="42"/>
      <c r="AF2061" s="42" t="str">
        <f t="array" ref="AF2061">INDEX('Deal Info'!D:D, MATCH(A2061,'Deal Info'!A:A, 0))</f>
        <v>#N/A</v>
      </c>
      <c r="AG2061" s="43" t="str">
        <f t="array" ref="AG2061">INDEX('Deal Info'!G:G, MATCH(A2061,'Deal Info'!A:A, 0))</f>
        <v>#N/A</v>
      </c>
    </row>
    <row r="2062" hidden="1">
      <c r="A2062" s="23" t="b">
        <f t="array" ref="A2062">if(G2062='Room Info'!$B$1, INDEX('Room Info'!$A$2:$A3446, MATCH(B2062,'Room Info'!$B$2:$B3446, 0)),if(G2062='Room Info'!$C$1, INDEX('Room Info'!$A$2:$A3446, MATCH(B2062,'Room Info'!$C$2:$C3446, 0)),if(G2062='Room Info'!$D$1, INDEX('Room Info'!$A$2:$A3446, MATCH(B2062,'Room Info'!$D$2:$D3446, 0)),if(G2062='Room Info'!$E$1, INDEX('Room Info'!$A$2:$A3446, MATCH(B2062,'Room Info'!$E$2:$E3446, 0)),if(G2062='Room Info'!$F$1, INDEX('Room Info'!$A$2:$A3446, MATCH(B2062,'Room Info'!$F$2:$F3446, 0)),if(G2062='Room Info'!$H$1, INDEX('Room Info'!$A$2:$A3446, MATCH(B2062,'Room Info'!$H$2:$H3446, 0)),if(G2062='Room Info'!$G$1, INDEX('Room Info'!$A$2:$A3446, MATCH(B2062,'Room Info'!$G$2:$G3446, 0)))))))))</f>
        <v>0</v>
      </c>
      <c r="B2062" s="70"/>
      <c r="C2062" s="115"/>
      <c r="D2062" s="115"/>
      <c r="E2062" s="85"/>
      <c r="F2062" s="101"/>
      <c r="G2062" s="70"/>
      <c r="H2062" s="114"/>
      <c r="I2062" s="114"/>
      <c r="J2062" s="44" t="str">
        <f t="shared" si="311"/>
        <v/>
      </c>
      <c r="K2062" s="116"/>
      <c r="L2062" s="117"/>
      <c r="M2062" s="67"/>
      <c r="N2062" s="33">
        <f t="shared" si="276"/>
        <v>0</v>
      </c>
      <c r="O2062" s="70"/>
      <c r="P2062" s="34" t="str">
        <f t="shared" si="277"/>
        <v/>
      </c>
      <c r="Q2062" s="60"/>
      <c r="R2062" s="36">
        <f t="shared" si="312"/>
        <v>0</v>
      </c>
      <c r="S2062" s="71"/>
      <c r="T2062" s="37">
        <f t="shared" si="302"/>
        <v>0</v>
      </c>
      <c r="U2062" s="62"/>
      <c r="V2062" s="63"/>
      <c r="W2062" s="63"/>
      <c r="X2062" s="35" t="str">
        <f t="shared" si="303"/>
        <v>#N/A</v>
      </c>
      <c r="Y2062" s="35" t="str">
        <f t="shared" si="304"/>
        <v>#N/A</v>
      </c>
      <c r="Z2062" s="40" t="str">
        <f t="shared" si="305"/>
        <v>#N/A</v>
      </c>
      <c r="AA2062" s="34" t="str">
        <f t="shared" si="306"/>
        <v>#N/A</v>
      </c>
      <c r="AB2062" s="41" t="str">
        <f t="shared" si="307"/>
        <v>#N/A</v>
      </c>
      <c r="AC2062" s="42" t="b">
        <v>0</v>
      </c>
      <c r="AD2062" s="66" t="str">
        <f t="shared" si="308"/>
        <v>USD</v>
      </c>
      <c r="AE2062" s="42"/>
      <c r="AF2062" s="42" t="str">
        <f t="array" ref="AF2062">INDEX('Deal Info'!D:D, MATCH(A2062,'Deal Info'!A:A, 0))</f>
        <v>#N/A</v>
      </c>
      <c r="AG2062" s="43" t="str">
        <f t="array" ref="AG2062">INDEX('Deal Info'!G:G, MATCH(A2062,'Deal Info'!A:A, 0))</f>
        <v>#N/A</v>
      </c>
    </row>
    <row r="2063" hidden="1">
      <c r="A2063" s="23" t="b">
        <f t="array" ref="A2063">if(G2063='Room Info'!$B$1, INDEX('Room Info'!$A$2:$A3446, MATCH(B2063,'Room Info'!$B$2:$B3446, 0)),if(G2063='Room Info'!$C$1, INDEX('Room Info'!$A$2:$A3446, MATCH(B2063,'Room Info'!$C$2:$C3446, 0)),if(G2063='Room Info'!$D$1, INDEX('Room Info'!$A$2:$A3446, MATCH(B2063,'Room Info'!$D$2:$D3446, 0)),if(G2063='Room Info'!$E$1, INDEX('Room Info'!$A$2:$A3446, MATCH(B2063,'Room Info'!$E$2:$E3446, 0)),if(G2063='Room Info'!$F$1, INDEX('Room Info'!$A$2:$A3446, MATCH(B2063,'Room Info'!$F$2:$F3446, 0)),if(G2063='Room Info'!$H$1, INDEX('Room Info'!$A$2:$A3446, MATCH(B2063,'Room Info'!$H$2:$H3446, 0)),if(G2063='Room Info'!$G$1, INDEX('Room Info'!$A$2:$A3446, MATCH(B2063,'Room Info'!$G$2:$G3446, 0)))))))))</f>
        <v>0</v>
      </c>
      <c r="B2063" s="101"/>
      <c r="C2063" s="115"/>
      <c r="D2063" s="115"/>
      <c r="E2063" s="85"/>
      <c r="F2063" s="138"/>
      <c r="G2063" s="101"/>
      <c r="H2063" s="114"/>
      <c r="I2063" s="114"/>
      <c r="J2063" s="44" t="str">
        <f t="shared" si="311"/>
        <v/>
      </c>
      <c r="K2063" s="116"/>
      <c r="L2063" s="117"/>
      <c r="M2063" s="67"/>
      <c r="N2063" s="33">
        <f t="shared" si="276"/>
        <v>0</v>
      </c>
      <c r="O2063" s="70"/>
      <c r="P2063" s="34" t="str">
        <f t="shared" si="277"/>
        <v/>
      </c>
      <c r="Q2063" s="60"/>
      <c r="R2063" s="36">
        <f t="shared" si="312"/>
        <v>0</v>
      </c>
      <c r="S2063" s="71"/>
      <c r="T2063" s="37">
        <f t="shared" si="302"/>
        <v>0</v>
      </c>
      <c r="U2063" s="62"/>
      <c r="V2063" s="63"/>
      <c r="W2063" s="63"/>
      <c r="X2063" s="35" t="str">
        <f t="shared" si="303"/>
        <v>#N/A</v>
      </c>
      <c r="Y2063" s="35" t="str">
        <f t="shared" si="304"/>
        <v>#N/A</v>
      </c>
      <c r="Z2063" s="40" t="str">
        <f t="shared" si="305"/>
        <v>#N/A</v>
      </c>
      <c r="AA2063" s="34" t="str">
        <f t="shared" si="306"/>
        <v>#N/A</v>
      </c>
      <c r="AB2063" s="41" t="str">
        <f t="shared" si="307"/>
        <v>#N/A</v>
      </c>
      <c r="AC2063" s="42" t="b">
        <v>0</v>
      </c>
      <c r="AD2063" s="66" t="str">
        <f t="shared" si="308"/>
        <v>USD</v>
      </c>
      <c r="AE2063" s="42"/>
      <c r="AF2063" s="42" t="str">
        <f t="array" ref="AF2063">INDEX('Deal Info'!D:D, MATCH(A2063,'Deal Info'!A:A, 0))</f>
        <v>#N/A</v>
      </c>
      <c r="AG2063" s="43" t="str">
        <f t="array" ref="AG2063">INDEX('Deal Info'!G:G, MATCH(A2063,'Deal Info'!A:A, 0))</f>
        <v>#N/A</v>
      </c>
    </row>
    <row r="2064" hidden="1">
      <c r="A2064" s="23" t="b">
        <f t="array" ref="A2064">if(G2064='Room Info'!$B$1, INDEX('Room Info'!$A$2:$A3446, MATCH(B2064,'Room Info'!$B$2:$B3446, 0)),if(G2064='Room Info'!$C$1, INDEX('Room Info'!$A$2:$A3446, MATCH(B2064,'Room Info'!$C$2:$C3446, 0)),if(G2064='Room Info'!$D$1, INDEX('Room Info'!$A$2:$A3446, MATCH(B2064,'Room Info'!$D$2:$D3446, 0)),if(G2064='Room Info'!$E$1, INDEX('Room Info'!$A$2:$A3446, MATCH(B2064,'Room Info'!$E$2:$E3446, 0)),if(G2064='Room Info'!$F$1, INDEX('Room Info'!$A$2:$A3446, MATCH(B2064,'Room Info'!$F$2:$F3446, 0)),if(G2064='Room Info'!$H$1, INDEX('Room Info'!$A$2:$A3446, MATCH(B2064,'Room Info'!$H$2:$H3446, 0)),if(G2064='Room Info'!$G$1, INDEX('Room Info'!$A$2:$A3446, MATCH(B2064,'Room Info'!$G$2:$G3446, 0)))))))))</f>
        <v>0</v>
      </c>
      <c r="B2064" s="101"/>
      <c r="C2064" s="115"/>
      <c r="D2064" s="115"/>
      <c r="E2064" s="85"/>
      <c r="F2064" s="138"/>
      <c r="G2064" s="101"/>
      <c r="H2064" s="114"/>
      <c r="I2064" s="114"/>
      <c r="J2064" s="44" t="str">
        <f t="shared" si="311"/>
        <v/>
      </c>
      <c r="K2064" s="116"/>
      <c r="L2064" s="117"/>
      <c r="M2064" s="67"/>
      <c r="N2064" s="33">
        <f t="shared" si="276"/>
        <v>0</v>
      </c>
      <c r="O2064" s="70"/>
      <c r="P2064" s="34" t="str">
        <f t="shared" si="277"/>
        <v/>
      </c>
      <c r="Q2064" s="60"/>
      <c r="R2064" s="36">
        <f t="shared" si="312"/>
        <v>0</v>
      </c>
      <c r="S2064" s="71"/>
      <c r="T2064" s="37">
        <f t="shared" si="302"/>
        <v>0</v>
      </c>
      <c r="U2064" s="62"/>
      <c r="V2064" s="63"/>
      <c r="W2064" s="63"/>
      <c r="X2064" s="35" t="str">
        <f t="shared" si="303"/>
        <v>#N/A</v>
      </c>
      <c r="Y2064" s="35" t="str">
        <f t="shared" si="304"/>
        <v>#N/A</v>
      </c>
      <c r="Z2064" s="40" t="str">
        <f t="shared" si="305"/>
        <v>#N/A</v>
      </c>
      <c r="AA2064" s="34" t="str">
        <f t="shared" si="306"/>
        <v>#N/A</v>
      </c>
      <c r="AB2064" s="41" t="str">
        <f t="shared" si="307"/>
        <v>#N/A</v>
      </c>
      <c r="AC2064" s="42" t="b">
        <v>0</v>
      </c>
      <c r="AD2064" s="66" t="str">
        <f t="shared" si="308"/>
        <v>USD</v>
      </c>
      <c r="AE2064" s="42"/>
      <c r="AF2064" s="42" t="str">
        <f t="array" ref="AF2064">INDEX('Deal Info'!D:D, MATCH(A2064,'Deal Info'!A:A, 0))</f>
        <v>#N/A</v>
      </c>
      <c r="AG2064" s="43" t="str">
        <f t="array" ref="AG2064">INDEX('Deal Info'!G:G, MATCH(A2064,'Deal Info'!A:A, 0))</f>
        <v>#N/A</v>
      </c>
    </row>
    <row r="2065" hidden="1">
      <c r="A2065" s="23" t="b">
        <f t="array" ref="A2065">if(G2065='Room Info'!$B$1, INDEX('Room Info'!$A$2:$A3446, MATCH(B2065,'Room Info'!$B$2:$B3446, 0)),if(G2065='Room Info'!$C$1, INDEX('Room Info'!$A$2:$A3446, MATCH(B2065,'Room Info'!$C$2:$C3446, 0)),if(G2065='Room Info'!$D$1, INDEX('Room Info'!$A$2:$A3446, MATCH(B2065,'Room Info'!$D$2:$D3446, 0)),if(G2065='Room Info'!$E$1, INDEX('Room Info'!$A$2:$A3446, MATCH(B2065,'Room Info'!$E$2:$E3446, 0)),if(G2065='Room Info'!$F$1, INDEX('Room Info'!$A$2:$A3446, MATCH(B2065,'Room Info'!$F$2:$F3446, 0)),if(G2065='Room Info'!$H$1, INDEX('Room Info'!$A$2:$A3446, MATCH(B2065,'Room Info'!$H$2:$H3446, 0)),if(G2065='Room Info'!$G$1, INDEX('Room Info'!$A$2:$A3446, MATCH(B2065,'Room Info'!$G$2:$G3446, 0)))))))))</f>
        <v>0</v>
      </c>
      <c r="B2065" s="101"/>
      <c r="C2065" s="115"/>
      <c r="D2065" s="115"/>
      <c r="E2065" s="85"/>
      <c r="F2065" s="101"/>
      <c r="G2065" s="70"/>
      <c r="H2065" s="105"/>
      <c r="I2065" s="105"/>
      <c r="J2065" s="44" t="str">
        <f t="shared" si="311"/>
        <v/>
      </c>
      <c r="K2065" s="139"/>
      <c r="L2065" s="140"/>
      <c r="M2065" s="67"/>
      <c r="N2065" s="33">
        <f t="shared" si="276"/>
        <v>0</v>
      </c>
      <c r="O2065" s="101"/>
      <c r="P2065" s="34" t="str">
        <f t="shared" si="277"/>
        <v/>
      </c>
      <c r="Q2065" s="60"/>
      <c r="R2065" s="36">
        <f t="shared" si="312"/>
        <v>0</v>
      </c>
      <c r="S2065" s="102"/>
      <c r="T2065" s="37">
        <f t="shared" si="302"/>
        <v>0</v>
      </c>
      <c r="U2065" s="62"/>
      <c r="V2065" s="63"/>
      <c r="W2065" s="63"/>
      <c r="X2065" s="35" t="str">
        <f t="shared" si="303"/>
        <v>#N/A</v>
      </c>
      <c r="Y2065" s="35" t="str">
        <f t="shared" si="304"/>
        <v>#N/A</v>
      </c>
      <c r="Z2065" s="40" t="str">
        <f t="shared" si="305"/>
        <v>#N/A</v>
      </c>
      <c r="AA2065" s="34" t="str">
        <f t="shared" si="306"/>
        <v>#N/A</v>
      </c>
      <c r="AB2065" s="41" t="str">
        <f t="shared" si="307"/>
        <v>#N/A</v>
      </c>
      <c r="AC2065" s="42" t="b">
        <v>0</v>
      </c>
      <c r="AD2065" s="66" t="str">
        <f t="shared" si="308"/>
        <v>USD</v>
      </c>
      <c r="AE2065" s="42"/>
      <c r="AF2065" s="42" t="str">
        <f t="array" ref="AF2065">INDEX('Deal Info'!D:D, MATCH(A2065,'Deal Info'!A:A, 0))</f>
        <v>#N/A</v>
      </c>
      <c r="AG2065" s="43" t="str">
        <f t="array" ref="AG2065">INDEX('Deal Info'!G:G, MATCH(A2065,'Deal Info'!A:A, 0))</f>
        <v>#N/A</v>
      </c>
    </row>
    <row r="2066" hidden="1">
      <c r="A2066" s="23" t="b">
        <f t="array" ref="A2066">if(G2066='Room Info'!$B$1, INDEX('Room Info'!$A$2:$A3446, MATCH(B2066,'Room Info'!$B$2:$B3446, 0)),if(G2066='Room Info'!$C$1, INDEX('Room Info'!$A$2:$A3446, MATCH(B2066,'Room Info'!$C$2:$C3446, 0)),if(G2066='Room Info'!$D$1, INDEX('Room Info'!$A$2:$A3446, MATCH(B2066,'Room Info'!$D$2:$D3446, 0)),if(G2066='Room Info'!$E$1, INDEX('Room Info'!$A$2:$A3446, MATCH(B2066,'Room Info'!$E$2:$E3446, 0)),if(G2066='Room Info'!$F$1, INDEX('Room Info'!$A$2:$A3446, MATCH(B2066,'Room Info'!$F$2:$F3446, 0)),if(G2066='Room Info'!$H$1, INDEX('Room Info'!$A$2:$A3446, MATCH(B2066,'Room Info'!$H$2:$H3446, 0)),if(G2066='Room Info'!$G$1, INDEX('Room Info'!$A$2:$A3446, MATCH(B2066,'Room Info'!$G$2:$G3446, 0)))))))))</f>
        <v>0</v>
      </c>
      <c r="B2066" s="101"/>
      <c r="C2066" s="115"/>
      <c r="D2066" s="115"/>
      <c r="E2066" s="85"/>
      <c r="F2066" s="101"/>
      <c r="G2066" s="70"/>
      <c r="H2066" s="105"/>
      <c r="I2066" s="105"/>
      <c r="J2066" s="44" t="str">
        <f t="shared" si="311"/>
        <v/>
      </c>
      <c r="K2066" s="139"/>
      <c r="L2066" s="140"/>
      <c r="M2066" s="67"/>
      <c r="N2066" s="33">
        <f t="shared" si="276"/>
        <v>0</v>
      </c>
      <c r="O2066" s="101"/>
      <c r="P2066" s="34" t="str">
        <f t="shared" si="277"/>
        <v/>
      </c>
      <c r="Q2066" s="60"/>
      <c r="R2066" s="36">
        <f t="shared" si="312"/>
        <v>0</v>
      </c>
      <c r="S2066" s="102"/>
      <c r="T2066" s="37">
        <f t="shared" si="302"/>
        <v>0</v>
      </c>
      <c r="U2066" s="62"/>
      <c r="V2066" s="63"/>
      <c r="W2066" s="63"/>
      <c r="X2066" s="35" t="str">
        <f t="shared" si="303"/>
        <v>#N/A</v>
      </c>
      <c r="Y2066" s="35" t="str">
        <f t="shared" si="304"/>
        <v>#N/A</v>
      </c>
      <c r="Z2066" s="40" t="str">
        <f t="shared" si="305"/>
        <v>#N/A</v>
      </c>
      <c r="AA2066" s="34" t="str">
        <f t="shared" si="306"/>
        <v>#N/A</v>
      </c>
      <c r="AB2066" s="41" t="str">
        <f t="shared" si="307"/>
        <v>#N/A</v>
      </c>
      <c r="AC2066" s="42" t="b">
        <v>0</v>
      </c>
      <c r="AD2066" s="66" t="str">
        <f t="shared" si="308"/>
        <v>USD</v>
      </c>
      <c r="AE2066" s="42"/>
      <c r="AF2066" s="42" t="str">
        <f t="array" ref="AF2066">INDEX('Deal Info'!D:D, MATCH(A2066,'Deal Info'!A:A, 0))</f>
        <v>#N/A</v>
      </c>
      <c r="AG2066" s="43" t="str">
        <f t="array" ref="AG2066">INDEX('Deal Info'!G:G, MATCH(A2066,'Deal Info'!A:A, 0))</f>
        <v>#N/A</v>
      </c>
    </row>
    <row r="2067" hidden="1">
      <c r="A2067" s="23" t="b">
        <f t="array" ref="A2067">if(G2067='Room Info'!$B$1, INDEX('Room Info'!$A$2:$A3446, MATCH(B2067,'Room Info'!$B$2:$B3446, 0)),if(G2067='Room Info'!$C$1, INDEX('Room Info'!$A$2:$A3446, MATCH(B2067,'Room Info'!$C$2:$C3446, 0)),if(G2067='Room Info'!$D$1, INDEX('Room Info'!$A$2:$A3446, MATCH(B2067,'Room Info'!$D$2:$D3446, 0)),if(G2067='Room Info'!$E$1, INDEX('Room Info'!$A$2:$A3446, MATCH(B2067,'Room Info'!$E$2:$E3446, 0)),if(G2067='Room Info'!$F$1, INDEX('Room Info'!$A$2:$A3446, MATCH(B2067,'Room Info'!$F$2:$F3446, 0)),if(G2067='Room Info'!$H$1, INDEX('Room Info'!$A$2:$A3446, MATCH(B2067,'Room Info'!$H$2:$H3446, 0)),if(G2067='Room Info'!$G$1, INDEX('Room Info'!$A$2:$A3446, MATCH(B2067,'Room Info'!$G$2:$G3446, 0)))))))))</f>
        <v>0</v>
      </c>
      <c r="B2067" s="101"/>
      <c r="C2067" s="115"/>
      <c r="D2067" s="115"/>
      <c r="E2067" s="85"/>
      <c r="F2067" s="101"/>
      <c r="G2067" s="70"/>
      <c r="H2067" s="114"/>
      <c r="I2067" s="114"/>
      <c r="J2067" s="44" t="str">
        <f t="shared" si="311"/>
        <v/>
      </c>
      <c r="K2067" s="116"/>
      <c r="L2067" s="117"/>
      <c r="M2067" s="67"/>
      <c r="N2067" s="33">
        <f t="shared" si="276"/>
        <v>0</v>
      </c>
      <c r="O2067" s="70"/>
      <c r="P2067" s="34" t="str">
        <f t="shared" si="277"/>
        <v/>
      </c>
      <c r="Q2067" s="60"/>
      <c r="R2067" s="36">
        <f t="shared" si="312"/>
        <v>0</v>
      </c>
      <c r="S2067" s="71"/>
      <c r="T2067" s="37">
        <f t="shared" si="302"/>
        <v>0</v>
      </c>
      <c r="U2067" s="62"/>
      <c r="V2067" s="63"/>
      <c r="W2067" s="63"/>
      <c r="X2067" s="35" t="str">
        <f t="shared" si="303"/>
        <v>#N/A</v>
      </c>
      <c r="Y2067" s="35" t="str">
        <f t="shared" si="304"/>
        <v>#N/A</v>
      </c>
      <c r="Z2067" s="40" t="str">
        <f t="shared" si="305"/>
        <v>#N/A</v>
      </c>
      <c r="AA2067" s="34" t="str">
        <f t="shared" si="306"/>
        <v>#N/A</v>
      </c>
      <c r="AB2067" s="41" t="str">
        <f t="shared" si="307"/>
        <v>#N/A</v>
      </c>
      <c r="AC2067" s="42" t="b">
        <v>0</v>
      </c>
      <c r="AD2067" s="66" t="str">
        <f t="shared" si="308"/>
        <v>USD</v>
      </c>
      <c r="AE2067" s="42"/>
      <c r="AF2067" s="42" t="str">
        <f t="array" ref="AF2067">INDEX('Deal Info'!D:D, MATCH(A2067,'Deal Info'!A:A, 0))</f>
        <v>#N/A</v>
      </c>
      <c r="AG2067" s="43" t="str">
        <f t="array" ref="AG2067">INDEX('Deal Info'!G:G, MATCH(A2067,'Deal Info'!A:A, 0))</f>
        <v>#N/A</v>
      </c>
    </row>
    <row r="2068" hidden="1">
      <c r="A2068" s="23" t="b">
        <f t="array" ref="A2068">if(G2068='Room Info'!$B$1, INDEX('Room Info'!$A$2:$A3446, MATCH(B2068,'Room Info'!$B$2:$B3446, 0)),if(G2068='Room Info'!$C$1, INDEX('Room Info'!$A$2:$A3446, MATCH(B2068,'Room Info'!$C$2:$C3446, 0)),if(G2068='Room Info'!$D$1, INDEX('Room Info'!$A$2:$A3446, MATCH(B2068,'Room Info'!$D$2:$D3446, 0)),if(G2068='Room Info'!$E$1, INDEX('Room Info'!$A$2:$A3446, MATCH(B2068,'Room Info'!$E$2:$E3446, 0)),if(G2068='Room Info'!$F$1, INDEX('Room Info'!$A$2:$A3446, MATCH(B2068,'Room Info'!$F$2:$F3446, 0)),if(G2068='Room Info'!$H$1, INDEX('Room Info'!$A$2:$A3446, MATCH(B2068,'Room Info'!$H$2:$H3446, 0)),if(G2068='Room Info'!$G$1, INDEX('Room Info'!$A$2:$A3446, MATCH(B2068,'Room Info'!$G$2:$G3446, 0)))))))))</f>
        <v>0</v>
      </c>
      <c r="B2068" s="101"/>
      <c r="C2068" s="115"/>
      <c r="D2068" s="115"/>
      <c r="E2068" s="85"/>
      <c r="F2068" s="101"/>
      <c r="G2068" s="70"/>
      <c r="H2068" s="114"/>
      <c r="I2068" s="114"/>
      <c r="J2068" s="44" t="str">
        <f t="shared" si="311"/>
        <v/>
      </c>
      <c r="K2068" s="116"/>
      <c r="L2068" s="117"/>
      <c r="M2068" s="67"/>
      <c r="N2068" s="33">
        <f t="shared" si="276"/>
        <v>0</v>
      </c>
      <c r="O2068" s="70"/>
      <c r="P2068" s="34" t="str">
        <f t="shared" si="277"/>
        <v/>
      </c>
      <c r="Q2068" s="60"/>
      <c r="R2068" s="36">
        <f t="shared" si="312"/>
        <v>0</v>
      </c>
      <c r="S2068" s="71"/>
      <c r="T2068" s="37">
        <f t="shared" si="302"/>
        <v>0</v>
      </c>
      <c r="U2068" s="62"/>
      <c r="V2068" s="63"/>
      <c r="W2068" s="63"/>
      <c r="X2068" s="35" t="str">
        <f t="shared" si="303"/>
        <v>#N/A</v>
      </c>
      <c r="Y2068" s="35" t="str">
        <f t="shared" si="304"/>
        <v>#N/A</v>
      </c>
      <c r="Z2068" s="40" t="str">
        <f t="shared" si="305"/>
        <v>#N/A</v>
      </c>
      <c r="AA2068" s="34" t="str">
        <f t="shared" si="306"/>
        <v>#N/A</v>
      </c>
      <c r="AB2068" s="41" t="str">
        <f t="shared" si="307"/>
        <v>#N/A</v>
      </c>
      <c r="AC2068" s="42" t="b">
        <v>0</v>
      </c>
      <c r="AD2068" s="66" t="str">
        <f t="shared" si="308"/>
        <v>USD</v>
      </c>
      <c r="AE2068" s="42"/>
      <c r="AF2068" s="42" t="str">
        <f t="array" ref="AF2068">INDEX('Deal Info'!D:D, MATCH(A2068,'Deal Info'!A:A, 0))</f>
        <v>#N/A</v>
      </c>
      <c r="AG2068" s="43" t="str">
        <f t="array" ref="AG2068">INDEX('Deal Info'!G:G, MATCH(A2068,'Deal Info'!A:A, 0))</f>
        <v>#N/A</v>
      </c>
    </row>
    <row r="2069" hidden="1">
      <c r="A2069" s="23" t="b">
        <f t="array" ref="A2069">if(G2069='Room Info'!$B$1, INDEX('Room Info'!$A$2:$A3446, MATCH(B2069,'Room Info'!$B$2:$B3446, 0)),if(G2069='Room Info'!$C$1, INDEX('Room Info'!$A$2:$A3446, MATCH(B2069,'Room Info'!$C$2:$C3446, 0)),if(G2069='Room Info'!$D$1, INDEX('Room Info'!$A$2:$A3446, MATCH(B2069,'Room Info'!$D$2:$D3446, 0)),if(G2069='Room Info'!$E$1, INDEX('Room Info'!$A$2:$A3446, MATCH(B2069,'Room Info'!$E$2:$E3446, 0)),if(G2069='Room Info'!$F$1, INDEX('Room Info'!$A$2:$A3446, MATCH(B2069,'Room Info'!$F$2:$F3446, 0)),if(G2069='Room Info'!$H$1, INDEX('Room Info'!$A$2:$A3446, MATCH(B2069,'Room Info'!$H$2:$H3446, 0)),if(G2069='Room Info'!$G$1, INDEX('Room Info'!$A$2:$A3446, MATCH(B2069,'Room Info'!$G$2:$G3446, 0)))))))))</f>
        <v>0</v>
      </c>
      <c r="B2069" s="101"/>
      <c r="C2069" s="115"/>
      <c r="D2069" s="115"/>
      <c r="E2069" s="85"/>
      <c r="F2069" s="101"/>
      <c r="G2069" s="70"/>
      <c r="H2069" s="114"/>
      <c r="I2069" s="114"/>
      <c r="J2069" s="44" t="str">
        <f t="shared" si="311"/>
        <v/>
      </c>
      <c r="K2069" s="116"/>
      <c r="L2069" s="117"/>
      <c r="M2069" s="67"/>
      <c r="N2069" s="33">
        <f t="shared" si="276"/>
        <v>0</v>
      </c>
      <c r="O2069" s="70"/>
      <c r="P2069" s="34" t="str">
        <f t="shared" si="277"/>
        <v/>
      </c>
      <c r="Q2069" s="60"/>
      <c r="R2069" s="36">
        <f t="shared" si="312"/>
        <v>0</v>
      </c>
      <c r="S2069" s="71"/>
      <c r="T2069" s="37">
        <f t="shared" si="302"/>
        <v>0</v>
      </c>
      <c r="U2069" s="62"/>
      <c r="V2069" s="63"/>
      <c r="W2069" s="63"/>
      <c r="X2069" s="35" t="str">
        <f t="shared" si="303"/>
        <v>#N/A</v>
      </c>
      <c r="Y2069" s="35" t="str">
        <f t="shared" si="304"/>
        <v>#N/A</v>
      </c>
      <c r="Z2069" s="40" t="str">
        <f t="shared" si="305"/>
        <v>#N/A</v>
      </c>
      <c r="AA2069" s="34" t="str">
        <f t="shared" si="306"/>
        <v>#N/A</v>
      </c>
      <c r="AB2069" s="41" t="str">
        <f t="shared" si="307"/>
        <v>#N/A</v>
      </c>
      <c r="AC2069" s="42" t="b">
        <v>0</v>
      </c>
      <c r="AD2069" s="66" t="str">
        <f t="shared" si="308"/>
        <v>USD</v>
      </c>
      <c r="AE2069" s="42"/>
      <c r="AF2069" s="42" t="str">
        <f t="array" ref="AF2069">INDEX('Deal Info'!D:D, MATCH(A2069,'Deal Info'!A:A, 0))</f>
        <v>#N/A</v>
      </c>
      <c r="AG2069" s="43" t="str">
        <f t="array" ref="AG2069">INDEX('Deal Info'!G:G, MATCH(A2069,'Deal Info'!A:A, 0))</f>
        <v>#N/A</v>
      </c>
    </row>
    <row r="2070" hidden="1">
      <c r="A2070" s="23" t="b">
        <f t="array" ref="A2070">if(G2070='Room Info'!$B$1, INDEX('Room Info'!$A$2:$A3446, MATCH(B2070,'Room Info'!$B$2:$B3446, 0)),if(G2070='Room Info'!$C$1, INDEX('Room Info'!$A$2:$A3446, MATCH(B2070,'Room Info'!$C$2:$C3446, 0)),if(G2070='Room Info'!$D$1, INDEX('Room Info'!$A$2:$A3446, MATCH(B2070,'Room Info'!$D$2:$D3446, 0)),if(G2070='Room Info'!$E$1, INDEX('Room Info'!$A$2:$A3446, MATCH(B2070,'Room Info'!$E$2:$E3446, 0)),if(G2070='Room Info'!$F$1, INDEX('Room Info'!$A$2:$A3446, MATCH(B2070,'Room Info'!$F$2:$F3446, 0)),if(G2070='Room Info'!$H$1, INDEX('Room Info'!$A$2:$A3446, MATCH(B2070,'Room Info'!$H$2:$H3446, 0)),if(G2070='Room Info'!$G$1, INDEX('Room Info'!$A$2:$A3446, MATCH(B2070,'Room Info'!$G$2:$G3446, 0)))))))))</f>
        <v>0</v>
      </c>
      <c r="B2070" s="101"/>
      <c r="C2070" s="115"/>
      <c r="D2070" s="115"/>
      <c r="E2070" s="85"/>
      <c r="F2070" s="101"/>
      <c r="G2070" s="70"/>
      <c r="H2070" s="114"/>
      <c r="I2070" s="114"/>
      <c r="J2070" s="44" t="str">
        <f t="shared" si="311"/>
        <v/>
      </c>
      <c r="K2070" s="116"/>
      <c r="L2070" s="117"/>
      <c r="M2070" s="67"/>
      <c r="N2070" s="33">
        <f t="shared" si="276"/>
        <v>0</v>
      </c>
      <c r="O2070" s="70"/>
      <c r="P2070" s="34" t="str">
        <f t="shared" si="277"/>
        <v/>
      </c>
      <c r="Q2070" s="60"/>
      <c r="R2070" s="36">
        <f t="shared" si="312"/>
        <v>0</v>
      </c>
      <c r="S2070" s="71"/>
      <c r="T2070" s="37">
        <f t="shared" si="302"/>
        <v>0</v>
      </c>
      <c r="U2070" s="62"/>
      <c r="V2070" s="63"/>
      <c r="W2070" s="63"/>
      <c r="X2070" s="35" t="str">
        <f t="shared" si="303"/>
        <v>#N/A</v>
      </c>
      <c r="Y2070" s="35" t="str">
        <f t="shared" si="304"/>
        <v>#N/A</v>
      </c>
      <c r="Z2070" s="40" t="str">
        <f t="shared" si="305"/>
        <v>#N/A</v>
      </c>
      <c r="AA2070" s="34" t="str">
        <f t="shared" si="306"/>
        <v>#N/A</v>
      </c>
      <c r="AB2070" s="41" t="str">
        <f t="shared" si="307"/>
        <v>#N/A</v>
      </c>
      <c r="AC2070" s="42" t="b">
        <v>0</v>
      </c>
      <c r="AD2070" s="66" t="str">
        <f t="shared" si="308"/>
        <v>USD</v>
      </c>
      <c r="AE2070" s="42"/>
      <c r="AF2070" s="42" t="str">
        <f t="array" ref="AF2070">INDEX('Deal Info'!D:D, MATCH(A2070,'Deal Info'!A:A, 0))</f>
        <v>#N/A</v>
      </c>
      <c r="AG2070" s="43" t="str">
        <f t="array" ref="AG2070">INDEX('Deal Info'!G:G, MATCH(A2070,'Deal Info'!A:A, 0))</f>
        <v>#N/A</v>
      </c>
    </row>
    <row r="2071" hidden="1">
      <c r="A2071" s="23" t="b">
        <f t="array" ref="A2071">if(G2071='Room Info'!$B$1, INDEX('Room Info'!$A$2:$A3446, MATCH(B2071,'Room Info'!$B$2:$B3446, 0)),if(G2071='Room Info'!$C$1, INDEX('Room Info'!$A$2:$A3446, MATCH(B2071,'Room Info'!$C$2:$C3446, 0)),if(G2071='Room Info'!$D$1, INDEX('Room Info'!$A$2:$A3446, MATCH(B2071,'Room Info'!$D$2:$D3446, 0)),if(G2071='Room Info'!$E$1, INDEX('Room Info'!$A$2:$A3446, MATCH(B2071,'Room Info'!$E$2:$E3446, 0)),if(G2071='Room Info'!$F$1, INDEX('Room Info'!$A$2:$A3446, MATCH(B2071,'Room Info'!$F$2:$F3446, 0)),if(G2071='Room Info'!$H$1, INDEX('Room Info'!$A$2:$A3446, MATCH(B2071,'Room Info'!$H$2:$H3446, 0)),if(G2071='Room Info'!$G$1, INDEX('Room Info'!$A$2:$A3446, MATCH(B2071,'Room Info'!$G$2:$G3446, 0)))))))))</f>
        <v>0</v>
      </c>
      <c r="B2071" s="70"/>
      <c r="C2071" s="115"/>
      <c r="D2071" s="115"/>
      <c r="E2071" s="85"/>
      <c r="F2071" s="101"/>
      <c r="G2071" s="70"/>
      <c r="H2071" s="114"/>
      <c r="I2071" s="114"/>
      <c r="J2071" s="44" t="str">
        <f t="shared" si="311"/>
        <v/>
      </c>
      <c r="K2071" s="116"/>
      <c r="L2071" s="117"/>
      <c r="M2071" s="67"/>
      <c r="N2071" s="33">
        <f t="shared" si="276"/>
        <v>0</v>
      </c>
      <c r="O2071" s="70"/>
      <c r="P2071" s="34" t="str">
        <f t="shared" si="277"/>
        <v/>
      </c>
      <c r="Q2071" s="60"/>
      <c r="R2071" s="36">
        <f t="shared" si="312"/>
        <v>0</v>
      </c>
      <c r="S2071" s="71"/>
      <c r="T2071" s="37">
        <f t="shared" si="302"/>
        <v>0</v>
      </c>
      <c r="U2071" s="62"/>
      <c r="V2071" s="63"/>
      <c r="W2071" s="63"/>
      <c r="X2071" s="35" t="str">
        <f t="shared" si="303"/>
        <v>#N/A</v>
      </c>
      <c r="Y2071" s="35" t="str">
        <f t="shared" si="304"/>
        <v>#N/A</v>
      </c>
      <c r="Z2071" s="40" t="str">
        <f t="shared" si="305"/>
        <v>#N/A</v>
      </c>
      <c r="AA2071" s="34" t="str">
        <f t="shared" si="306"/>
        <v>#N/A</v>
      </c>
      <c r="AB2071" s="41" t="str">
        <f t="shared" si="307"/>
        <v>#N/A</v>
      </c>
      <c r="AC2071" s="42" t="b">
        <v>0</v>
      </c>
      <c r="AD2071" s="66" t="str">
        <f t="shared" si="308"/>
        <v>USD</v>
      </c>
      <c r="AE2071" s="42"/>
      <c r="AF2071" s="42" t="str">
        <f t="array" ref="AF2071">INDEX('Deal Info'!D:D, MATCH(A2071,'Deal Info'!A:A, 0))</f>
        <v>#N/A</v>
      </c>
      <c r="AG2071" s="43" t="str">
        <f t="array" ref="AG2071">INDEX('Deal Info'!G:G, MATCH(A2071,'Deal Info'!A:A, 0))</f>
        <v>#N/A</v>
      </c>
    </row>
    <row r="2072" hidden="1">
      <c r="A2072" s="23" t="b">
        <f t="array" ref="A2072">if(G2072='Room Info'!$B$1, INDEX('Room Info'!$A$2:$A3446, MATCH(B2072,'Room Info'!$B$2:$B3446, 0)),if(G2072='Room Info'!$C$1, INDEX('Room Info'!$A$2:$A3446, MATCH(B2072,'Room Info'!$C$2:$C3446, 0)),if(G2072='Room Info'!$D$1, INDEX('Room Info'!$A$2:$A3446, MATCH(B2072,'Room Info'!$D$2:$D3446, 0)),if(G2072='Room Info'!$E$1, INDEX('Room Info'!$A$2:$A3446, MATCH(B2072,'Room Info'!$E$2:$E3446, 0)),if(G2072='Room Info'!$F$1, INDEX('Room Info'!$A$2:$A3446, MATCH(B2072,'Room Info'!$F$2:$F3446, 0)),if(G2072='Room Info'!$H$1, INDEX('Room Info'!$A$2:$A3446, MATCH(B2072,'Room Info'!$H$2:$H3446, 0)),if(G2072='Room Info'!$G$1, INDEX('Room Info'!$A$2:$A3446, MATCH(B2072,'Room Info'!$G$2:$G3446, 0)))))))))</f>
        <v>0</v>
      </c>
      <c r="B2072" s="70"/>
      <c r="C2072" s="115"/>
      <c r="D2072" s="115"/>
      <c r="E2072" s="85"/>
      <c r="F2072" s="101"/>
      <c r="G2072" s="70"/>
      <c r="H2072" s="114"/>
      <c r="I2072" s="114"/>
      <c r="J2072" s="44" t="str">
        <f t="shared" si="311"/>
        <v/>
      </c>
      <c r="K2072" s="116"/>
      <c r="L2072" s="117"/>
      <c r="M2072" s="67"/>
      <c r="N2072" s="33">
        <f t="shared" si="276"/>
        <v>0</v>
      </c>
      <c r="O2072" s="70"/>
      <c r="P2072" s="34" t="str">
        <f t="shared" si="277"/>
        <v/>
      </c>
      <c r="Q2072" s="60"/>
      <c r="R2072" s="36">
        <f t="shared" si="312"/>
        <v>0</v>
      </c>
      <c r="S2072" s="71"/>
      <c r="T2072" s="37">
        <f t="shared" si="302"/>
        <v>0</v>
      </c>
      <c r="U2072" s="62"/>
      <c r="V2072" s="63"/>
      <c r="W2072" s="63"/>
      <c r="X2072" s="35" t="str">
        <f t="shared" si="303"/>
        <v>#N/A</v>
      </c>
      <c r="Y2072" s="35" t="str">
        <f t="shared" si="304"/>
        <v>#N/A</v>
      </c>
      <c r="Z2072" s="40" t="str">
        <f t="shared" si="305"/>
        <v>#N/A</v>
      </c>
      <c r="AA2072" s="34" t="str">
        <f t="shared" si="306"/>
        <v>#N/A</v>
      </c>
      <c r="AB2072" s="41" t="str">
        <f t="shared" si="307"/>
        <v>#N/A</v>
      </c>
      <c r="AC2072" s="42" t="b">
        <v>0</v>
      </c>
      <c r="AD2072" s="66" t="str">
        <f t="shared" si="308"/>
        <v>USD</v>
      </c>
      <c r="AE2072" s="42"/>
      <c r="AF2072" s="42" t="str">
        <f t="array" ref="AF2072">INDEX('Deal Info'!D:D, MATCH(A2072,'Deal Info'!A:A, 0))</f>
        <v>#N/A</v>
      </c>
      <c r="AG2072" s="43" t="str">
        <f t="array" ref="AG2072">INDEX('Deal Info'!G:G, MATCH(A2072,'Deal Info'!A:A, 0))</f>
        <v>#N/A</v>
      </c>
    </row>
    <row r="2073" hidden="1">
      <c r="A2073" s="23" t="b">
        <f t="array" ref="A2073">if(G2073='Room Info'!$B$1, INDEX('Room Info'!$A$2:$A3446, MATCH(B2073,'Room Info'!$B$2:$B3446, 0)),if(G2073='Room Info'!$C$1, INDEX('Room Info'!$A$2:$A3446, MATCH(B2073,'Room Info'!$C$2:$C3446, 0)),if(G2073='Room Info'!$D$1, INDEX('Room Info'!$A$2:$A3446, MATCH(B2073,'Room Info'!$D$2:$D3446, 0)),if(G2073='Room Info'!$E$1, INDEX('Room Info'!$A$2:$A3446, MATCH(B2073,'Room Info'!$E$2:$E3446, 0)),if(G2073='Room Info'!$F$1, INDEX('Room Info'!$A$2:$A3446, MATCH(B2073,'Room Info'!$F$2:$F3446, 0)),if(G2073='Room Info'!$H$1, INDEX('Room Info'!$A$2:$A3446, MATCH(B2073,'Room Info'!$H$2:$H3446, 0)),if(G2073='Room Info'!$G$1, INDEX('Room Info'!$A$2:$A3446, MATCH(B2073,'Room Info'!$G$2:$G3446, 0)))))))))</f>
        <v>0</v>
      </c>
      <c r="B2073" s="70"/>
      <c r="C2073" s="115"/>
      <c r="D2073" s="115"/>
      <c r="E2073" s="85"/>
      <c r="F2073" s="101"/>
      <c r="G2073" s="70"/>
      <c r="H2073" s="114"/>
      <c r="I2073" s="114"/>
      <c r="J2073" s="44" t="str">
        <f t="shared" si="311"/>
        <v/>
      </c>
      <c r="K2073" s="116"/>
      <c r="L2073" s="117"/>
      <c r="M2073" s="67"/>
      <c r="N2073" s="33">
        <f t="shared" si="276"/>
        <v>0</v>
      </c>
      <c r="O2073" s="70"/>
      <c r="P2073" s="34" t="str">
        <f t="shared" si="277"/>
        <v/>
      </c>
      <c r="Q2073" s="60"/>
      <c r="R2073" s="36">
        <f t="shared" si="312"/>
        <v>0</v>
      </c>
      <c r="S2073" s="71"/>
      <c r="T2073" s="37">
        <f t="shared" si="302"/>
        <v>0</v>
      </c>
      <c r="U2073" s="62"/>
      <c r="V2073" s="63"/>
      <c r="W2073" s="63"/>
      <c r="X2073" s="35" t="str">
        <f t="shared" si="303"/>
        <v>#N/A</v>
      </c>
      <c r="Y2073" s="35" t="str">
        <f t="shared" si="304"/>
        <v>#N/A</v>
      </c>
      <c r="Z2073" s="40" t="str">
        <f t="shared" si="305"/>
        <v>#N/A</v>
      </c>
      <c r="AA2073" s="34" t="str">
        <f t="shared" si="306"/>
        <v>#N/A</v>
      </c>
      <c r="AB2073" s="41" t="str">
        <f t="shared" si="307"/>
        <v>#N/A</v>
      </c>
      <c r="AC2073" s="42" t="b">
        <v>0</v>
      </c>
      <c r="AD2073" s="66" t="str">
        <f t="shared" si="308"/>
        <v>USD</v>
      </c>
      <c r="AE2073" s="42"/>
      <c r="AF2073" s="42" t="str">
        <f t="array" ref="AF2073">INDEX('Deal Info'!D:D, MATCH(A2073,'Deal Info'!A:A, 0))</f>
        <v>#N/A</v>
      </c>
      <c r="AG2073" s="43" t="str">
        <f t="array" ref="AG2073">INDEX('Deal Info'!G:G, MATCH(A2073,'Deal Info'!A:A, 0))</f>
        <v>#N/A</v>
      </c>
    </row>
    <row r="2074" hidden="1">
      <c r="A2074" s="23" t="b">
        <f t="array" ref="A2074">if(G2074='Room Info'!$B$1, INDEX('Room Info'!$A$2:$A3446, MATCH(B2074,'Room Info'!$B$2:$B3446, 0)),if(G2074='Room Info'!$C$1, INDEX('Room Info'!$A$2:$A3446, MATCH(B2074,'Room Info'!$C$2:$C3446, 0)),if(G2074='Room Info'!$D$1, INDEX('Room Info'!$A$2:$A3446, MATCH(B2074,'Room Info'!$D$2:$D3446, 0)),if(G2074='Room Info'!$E$1, INDEX('Room Info'!$A$2:$A3446, MATCH(B2074,'Room Info'!$E$2:$E3446, 0)),if(G2074='Room Info'!$F$1, INDEX('Room Info'!$A$2:$A3446, MATCH(B2074,'Room Info'!$F$2:$F3446, 0)),if(G2074='Room Info'!$H$1, INDEX('Room Info'!$A$2:$A3446, MATCH(B2074,'Room Info'!$H$2:$H3446, 0)),if(G2074='Room Info'!$G$1, INDEX('Room Info'!$A$2:$A3446, MATCH(B2074,'Room Info'!$G$2:$G3446, 0)))))))))</f>
        <v>0</v>
      </c>
      <c r="B2074" s="70"/>
      <c r="C2074" s="115"/>
      <c r="D2074" s="115"/>
      <c r="E2074" s="85"/>
      <c r="F2074" s="101"/>
      <c r="G2074" s="70"/>
      <c r="H2074" s="114"/>
      <c r="I2074" s="114"/>
      <c r="J2074" s="44" t="str">
        <f t="shared" si="311"/>
        <v/>
      </c>
      <c r="K2074" s="116"/>
      <c r="L2074" s="117"/>
      <c r="M2074" s="67"/>
      <c r="N2074" s="33">
        <f t="shared" si="276"/>
        <v>0</v>
      </c>
      <c r="O2074" s="70"/>
      <c r="P2074" s="34" t="str">
        <f t="shared" si="277"/>
        <v/>
      </c>
      <c r="Q2074" s="60"/>
      <c r="R2074" s="36">
        <f t="shared" si="312"/>
        <v>0</v>
      </c>
      <c r="S2074" s="71"/>
      <c r="T2074" s="37">
        <f t="shared" si="302"/>
        <v>0</v>
      </c>
      <c r="U2074" s="62"/>
      <c r="V2074" s="63"/>
      <c r="W2074" s="63"/>
      <c r="X2074" s="35" t="str">
        <f t="shared" si="303"/>
        <v>#N/A</v>
      </c>
      <c r="Y2074" s="35" t="str">
        <f t="shared" si="304"/>
        <v>#N/A</v>
      </c>
      <c r="Z2074" s="40" t="str">
        <f t="shared" si="305"/>
        <v>#N/A</v>
      </c>
      <c r="AA2074" s="34" t="str">
        <f t="shared" si="306"/>
        <v>#N/A</v>
      </c>
      <c r="AB2074" s="41" t="str">
        <f t="shared" si="307"/>
        <v>#N/A</v>
      </c>
      <c r="AC2074" s="42" t="b">
        <v>0</v>
      </c>
      <c r="AD2074" s="66" t="str">
        <f t="shared" si="308"/>
        <v>USD</v>
      </c>
      <c r="AE2074" s="42"/>
      <c r="AF2074" s="42" t="str">
        <f t="array" ref="AF2074">INDEX('Deal Info'!D:D, MATCH(A2074,'Deal Info'!A:A, 0))</f>
        <v>#N/A</v>
      </c>
      <c r="AG2074" s="43" t="str">
        <f t="array" ref="AG2074">INDEX('Deal Info'!G:G, MATCH(A2074,'Deal Info'!A:A, 0))</f>
        <v>#N/A</v>
      </c>
    </row>
    <row r="2075" hidden="1">
      <c r="A2075" s="23" t="b">
        <f t="array" ref="A2075">if(G2075='Room Info'!$B$1, INDEX('Room Info'!$A$2:$A3446, MATCH(B2075,'Room Info'!$B$2:$B3446, 0)),if(G2075='Room Info'!$C$1, INDEX('Room Info'!$A$2:$A3446, MATCH(B2075,'Room Info'!$C$2:$C3446, 0)),if(G2075='Room Info'!$D$1, INDEX('Room Info'!$A$2:$A3446, MATCH(B2075,'Room Info'!$D$2:$D3446, 0)),if(G2075='Room Info'!$E$1, INDEX('Room Info'!$A$2:$A3446, MATCH(B2075,'Room Info'!$E$2:$E3446, 0)),if(G2075='Room Info'!$F$1, INDEX('Room Info'!$A$2:$A3446, MATCH(B2075,'Room Info'!$F$2:$F3446, 0)),if(G2075='Room Info'!$H$1, INDEX('Room Info'!$A$2:$A3446, MATCH(B2075,'Room Info'!$H$2:$H3446, 0)),if(G2075='Room Info'!$G$1, INDEX('Room Info'!$A$2:$A3446, MATCH(B2075,'Room Info'!$G$2:$G3446, 0)))))))))</f>
        <v>0</v>
      </c>
      <c r="B2075" s="101"/>
      <c r="C2075" s="115"/>
      <c r="D2075" s="115"/>
      <c r="E2075" s="85"/>
      <c r="F2075" s="138"/>
      <c r="G2075" s="101"/>
      <c r="H2075" s="114"/>
      <c r="I2075" s="114"/>
      <c r="J2075" s="44" t="str">
        <f t="shared" si="311"/>
        <v/>
      </c>
      <c r="K2075" s="116"/>
      <c r="L2075" s="117"/>
      <c r="M2075" s="67"/>
      <c r="N2075" s="33">
        <f t="shared" si="276"/>
        <v>0</v>
      </c>
      <c r="O2075" s="70"/>
      <c r="P2075" s="34" t="str">
        <f t="shared" si="277"/>
        <v/>
      </c>
      <c r="Q2075" s="60"/>
      <c r="R2075" s="36">
        <f t="shared" si="312"/>
        <v>0</v>
      </c>
      <c r="S2075" s="71"/>
      <c r="T2075" s="37">
        <f t="shared" si="302"/>
        <v>0</v>
      </c>
      <c r="U2075" s="62"/>
      <c r="V2075" s="63"/>
      <c r="W2075" s="63"/>
      <c r="X2075" s="35" t="str">
        <f t="shared" si="303"/>
        <v>#N/A</v>
      </c>
      <c r="Y2075" s="35" t="str">
        <f t="shared" si="304"/>
        <v>#N/A</v>
      </c>
      <c r="Z2075" s="40" t="str">
        <f t="shared" si="305"/>
        <v>#N/A</v>
      </c>
      <c r="AA2075" s="34" t="str">
        <f t="shared" si="306"/>
        <v>#N/A</v>
      </c>
      <c r="AB2075" s="41" t="str">
        <f t="shared" si="307"/>
        <v>#N/A</v>
      </c>
      <c r="AC2075" s="42" t="b">
        <v>0</v>
      </c>
      <c r="AD2075" s="66" t="str">
        <f t="shared" si="308"/>
        <v>USD</v>
      </c>
      <c r="AE2075" s="42"/>
      <c r="AF2075" s="42" t="str">
        <f t="array" ref="AF2075">INDEX('Deal Info'!D:D, MATCH(A2075,'Deal Info'!A:A, 0))</f>
        <v>#N/A</v>
      </c>
      <c r="AG2075" s="43" t="str">
        <f t="array" ref="AG2075">INDEX('Deal Info'!G:G, MATCH(A2075,'Deal Info'!A:A, 0))</f>
        <v>#N/A</v>
      </c>
    </row>
    <row r="2076" hidden="1">
      <c r="A2076" s="23" t="b">
        <f t="array" ref="A2076">if(G2076='Room Info'!$B$1, INDEX('Room Info'!$A$2:$A3446, MATCH(B2076,'Room Info'!$B$2:$B3446, 0)),if(G2076='Room Info'!$C$1, INDEX('Room Info'!$A$2:$A3446, MATCH(B2076,'Room Info'!$C$2:$C3446, 0)),if(G2076='Room Info'!$D$1, INDEX('Room Info'!$A$2:$A3446, MATCH(B2076,'Room Info'!$D$2:$D3446, 0)),if(G2076='Room Info'!$E$1, INDEX('Room Info'!$A$2:$A3446, MATCH(B2076,'Room Info'!$E$2:$E3446, 0)),if(G2076='Room Info'!$F$1, INDEX('Room Info'!$A$2:$A3446, MATCH(B2076,'Room Info'!$F$2:$F3446, 0)),if(G2076='Room Info'!$H$1, INDEX('Room Info'!$A$2:$A3446, MATCH(B2076,'Room Info'!$H$2:$H3446, 0)),if(G2076='Room Info'!$G$1, INDEX('Room Info'!$A$2:$A3446, MATCH(B2076,'Room Info'!$G$2:$G3446, 0)))))))))</f>
        <v>0</v>
      </c>
      <c r="B2076" s="101"/>
      <c r="C2076" s="115"/>
      <c r="D2076" s="115"/>
      <c r="E2076" s="85"/>
      <c r="F2076" s="138"/>
      <c r="G2076" s="101"/>
      <c r="H2076" s="114"/>
      <c r="I2076" s="114"/>
      <c r="J2076" s="44" t="str">
        <f t="shared" si="311"/>
        <v/>
      </c>
      <c r="K2076" s="116"/>
      <c r="L2076" s="117"/>
      <c r="M2076" s="67"/>
      <c r="N2076" s="33">
        <f t="shared" si="276"/>
        <v>0</v>
      </c>
      <c r="O2076" s="70"/>
      <c r="P2076" s="34" t="str">
        <f t="shared" si="277"/>
        <v/>
      </c>
      <c r="Q2076" s="60"/>
      <c r="R2076" s="36">
        <f t="shared" si="312"/>
        <v>0</v>
      </c>
      <c r="S2076" s="71"/>
      <c r="T2076" s="37">
        <f t="shared" si="302"/>
        <v>0</v>
      </c>
      <c r="U2076" s="62"/>
      <c r="V2076" s="63"/>
      <c r="W2076" s="63"/>
      <c r="X2076" s="35" t="str">
        <f t="shared" si="303"/>
        <v>#N/A</v>
      </c>
      <c r="Y2076" s="35" t="str">
        <f t="shared" si="304"/>
        <v>#N/A</v>
      </c>
      <c r="Z2076" s="40" t="str">
        <f t="shared" si="305"/>
        <v>#N/A</v>
      </c>
      <c r="AA2076" s="34" t="str">
        <f t="shared" si="306"/>
        <v>#N/A</v>
      </c>
      <c r="AB2076" s="41" t="str">
        <f t="shared" si="307"/>
        <v>#N/A</v>
      </c>
      <c r="AC2076" s="42" t="b">
        <v>0</v>
      </c>
      <c r="AD2076" s="66" t="str">
        <f t="shared" si="308"/>
        <v>USD</v>
      </c>
      <c r="AE2076" s="42"/>
      <c r="AF2076" s="42" t="str">
        <f t="array" ref="AF2076">INDEX('Deal Info'!D:D, MATCH(A2076,'Deal Info'!A:A, 0))</f>
        <v>#N/A</v>
      </c>
      <c r="AG2076" s="43" t="str">
        <f t="array" ref="AG2076">INDEX('Deal Info'!G:G, MATCH(A2076,'Deal Info'!A:A, 0))</f>
        <v>#N/A</v>
      </c>
    </row>
    <row r="2077" hidden="1">
      <c r="A2077" s="23" t="b">
        <f t="array" ref="A2077">if(G2077='Room Info'!$B$1, INDEX('Room Info'!$A$2:$A3446, MATCH(B2077,'Room Info'!$B$2:$B3446, 0)),if(G2077='Room Info'!$C$1, INDEX('Room Info'!$A$2:$A3446, MATCH(B2077,'Room Info'!$C$2:$C3446, 0)),if(G2077='Room Info'!$D$1, INDEX('Room Info'!$A$2:$A3446, MATCH(B2077,'Room Info'!$D$2:$D3446, 0)),if(G2077='Room Info'!$E$1, INDEX('Room Info'!$A$2:$A3446, MATCH(B2077,'Room Info'!$E$2:$E3446, 0)),if(G2077='Room Info'!$F$1, INDEX('Room Info'!$A$2:$A3446, MATCH(B2077,'Room Info'!$F$2:$F3446, 0)),if(G2077='Room Info'!$H$1, INDEX('Room Info'!$A$2:$A3446, MATCH(B2077,'Room Info'!$H$2:$H3446, 0)),if(G2077='Room Info'!$G$1, INDEX('Room Info'!$A$2:$A3446, MATCH(B2077,'Room Info'!$G$2:$G3446, 0)))))))))</f>
        <v>0</v>
      </c>
      <c r="B2077" s="101"/>
      <c r="C2077" s="115"/>
      <c r="D2077" s="115"/>
      <c r="E2077" s="85"/>
      <c r="F2077" s="138"/>
      <c r="G2077" s="101"/>
      <c r="H2077" s="114"/>
      <c r="I2077" s="114"/>
      <c r="J2077" s="44" t="str">
        <f t="shared" si="311"/>
        <v/>
      </c>
      <c r="K2077" s="116"/>
      <c r="L2077" s="117"/>
      <c r="M2077" s="67"/>
      <c r="N2077" s="33">
        <f t="shared" si="276"/>
        <v>0</v>
      </c>
      <c r="O2077" s="70"/>
      <c r="P2077" s="34" t="str">
        <f t="shared" si="277"/>
        <v/>
      </c>
      <c r="Q2077" s="60"/>
      <c r="R2077" s="36">
        <f t="shared" si="312"/>
        <v>0</v>
      </c>
      <c r="S2077" s="71"/>
      <c r="T2077" s="37">
        <f t="shared" si="302"/>
        <v>0</v>
      </c>
      <c r="U2077" s="62"/>
      <c r="V2077" s="63"/>
      <c r="W2077" s="63"/>
      <c r="X2077" s="35" t="str">
        <f t="shared" si="303"/>
        <v>#N/A</v>
      </c>
      <c r="Y2077" s="35" t="str">
        <f t="shared" si="304"/>
        <v>#N/A</v>
      </c>
      <c r="Z2077" s="40" t="str">
        <f t="shared" si="305"/>
        <v>#N/A</v>
      </c>
      <c r="AA2077" s="34" t="str">
        <f t="shared" si="306"/>
        <v>#N/A</v>
      </c>
      <c r="AB2077" s="41" t="str">
        <f t="shared" si="307"/>
        <v>#N/A</v>
      </c>
      <c r="AC2077" s="42" t="b">
        <v>0</v>
      </c>
      <c r="AD2077" s="66" t="str">
        <f t="shared" si="308"/>
        <v>USD</v>
      </c>
      <c r="AE2077" s="42"/>
      <c r="AF2077" s="42" t="str">
        <f t="array" ref="AF2077">INDEX('Deal Info'!D:D, MATCH(A2077,'Deal Info'!A:A, 0))</f>
        <v>#N/A</v>
      </c>
      <c r="AG2077" s="43" t="str">
        <f t="array" ref="AG2077">INDEX('Deal Info'!G:G, MATCH(A2077,'Deal Info'!A:A, 0))</f>
        <v>#N/A</v>
      </c>
    </row>
    <row r="2078" hidden="1">
      <c r="A2078" s="23" t="b">
        <f t="array" ref="A2078">if(G2078='Room Info'!$B$1, INDEX('Room Info'!$A$2:$A3446, MATCH(B2078,'Room Info'!$B$2:$B3446, 0)),if(G2078='Room Info'!$C$1, INDEX('Room Info'!$A$2:$A3446, MATCH(B2078,'Room Info'!$C$2:$C3446, 0)),if(G2078='Room Info'!$D$1, INDEX('Room Info'!$A$2:$A3446, MATCH(B2078,'Room Info'!$D$2:$D3446, 0)),if(G2078='Room Info'!$E$1, INDEX('Room Info'!$A$2:$A3446, MATCH(B2078,'Room Info'!$E$2:$E3446, 0)),if(G2078='Room Info'!$F$1, INDEX('Room Info'!$A$2:$A3446, MATCH(B2078,'Room Info'!$F$2:$F3446, 0)),if(G2078='Room Info'!$H$1, INDEX('Room Info'!$A$2:$A3446, MATCH(B2078,'Room Info'!$H$2:$H3446, 0)),if(G2078='Room Info'!$G$1, INDEX('Room Info'!$A$2:$A3446, MATCH(B2078,'Room Info'!$G$2:$G3446, 0)))))))))</f>
        <v>0</v>
      </c>
      <c r="B2078" s="101"/>
      <c r="C2078" s="115"/>
      <c r="D2078" s="115"/>
      <c r="E2078" s="85"/>
      <c r="F2078" s="138"/>
      <c r="G2078" s="101"/>
      <c r="H2078" s="114"/>
      <c r="I2078" s="114"/>
      <c r="J2078" s="44" t="str">
        <f t="shared" si="311"/>
        <v/>
      </c>
      <c r="K2078" s="116"/>
      <c r="L2078" s="117"/>
      <c r="M2078" s="67"/>
      <c r="N2078" s="33">
        <f t="shared" si="276"/>
        <v>0</v>
      </c>
      <c r="O2078" s="70"/>
      <c r="P2078" s="34" t="str">
        <f t="shared" si="277"/>
        <v/>
      </c>
      <c r="Q2078" s="60"/>
      <c r="R2078" s="36">
        <f t="shared" si="312"/>
        <v>0</v>
      </c>
      <c r="S2078" s="71"/>
      <c r="T2078" s="37">
        <f t="shared" si="302"/>
        <v>0</v>
      </c>
      <c r="U2078" s="62"/>
      <c r="V2078" s="63"/>
      <c r="W2078" s="63"/>
      <c r="X2078" s="35" t="str">
        <f t="shared" si="303"/>
        <v>#N/A</v>
      </c>
      <c r="Y2078" s="35" t="str">
        <f t="shared" si="304"/>
        <v>#N/A</v>
      </c>
      <c r="Z2078" s="40" t="str">
        <f t="shared" si="305"/>
        <v>#N/A</v>
      </c>
      <c r="AA2078" s="34" t="str">
        <f t="shared" si="306"/>
        <v>#N/A</v>
      </c>
      <c r="AB2078" s="41" t="str">
        <f t="shared" si="307"/>
        <v>#N/A</v>
      </c>
      <c r="AC2078" s="42" t="b">
        <v>0</v>
      </c>
      <c r="AD2078" s="66" t="str">
        <f t="shared" si="308"/>
        <v>USD</v>
      </c>
      <c r="AE2078" s="42"/>
      <c r="AF2078" s="42" t="str">
        <f t="array" ref="AF2078">INDEX('Deal Info'!D:D, MATCH(A2078,'Deal Info'!A:A, 0))</f>
        <v>#N/A</v>
      </c>
      <c r="AG2078" s="43" t="str">
        <f t="array" ref="AG2078">INDEX('Deal Info'!G:G, MATCH(A2078,'Deal Info'!A:A, 0))</f>
        <v>#N/A</v>
      </c>
    </row>
    <row r="2079" hidden="1">
      <c r="A2079" s="23" t="b">
        <f t="array" ref="A2079">if(G2079='Room Info'!$B$1, INDEX('Room Info'!$A$2:$A3446, MATCH(B2079,'Room Info'!$B$2:$B3446, 0)),if(G2079='Room Info'!$C$1, INDEX('Room Info'!$A$2:$A3446, MATCH(B2079,'Room Info'!$C$2:$C3446, 0)),if(G2079='Room Info'!$D$1, INDEX('Room Info'!$A$2:$A3446, MATCH(B2079,'Room Info'!$D$2:$D3446, 0)),if(G2079='Room Info'!$E$1, INDEX('Room Info'!$A$2:$A3446, MATCH(B2079,'Room Info'!$E$2:$E3446, 0)),if(G2079='Room Info'!$F$1, INDEX('Room Info'!$A$2:$A3446, MATCH(B2079,'Room Info'!$F$2:$F3446, 0)),if(G2079='Room Info'!$H$1, INDEX('Room Info'!$A$2:$A3446, MATCH(B2079,'Room Info'!$H$2:$H3446, 0)),if(G2079='Room Info'!$G$1, INDEX('Room Info'!$A$2:$A3446, MATCH(B2079,'Room Info'!$G$2:$G3446, 0)))))))))</f>
        <v>0</v>
      </c>
      <c r="B2079" s="101"/>
      <c r="C2079" s="115"/>
      <c r="D2079" s="115"/>
      <c r="E2079" s="85"/>
      <c r="F2079" s="138"/>
      <c r="G2079" s="101"/>
      <c r="H2079" s="114"/>
      <c r="I2079" s="114"/>
      <c r="J2079" s="44" t="str">
        <f t="shared" si="311"/>
        <v/>
      </c>
      <c r="K2079" s="116"/>
      <c r="L2079" s="117"/>
      <c r="M2079" s="67"/>
      <c r="N2079" s="33">
        <f t="shared" si="276"/>
        <v>0</v>
      </c>
      <c r="O2079" s="70"/>
      <c r="P2079" s="34" t="str">
        <f t="shared" si="277"/>
        <v/>
      </c>
      <c r="Q2079" s="60"/>
      <c r="R2079" s="36">
        <f t="shared" si="312"/>
        <v>0</v>
      </c>
      <c r="S2079" s="71"/>
      <c r="T2079" s="37">
        <f t="shared" si="302"/>
        <v>0</v>
      </c>
      <c r="U2079" s="62"/>
      <c r="V2079" s="63"/>
      <c r="W2079" s="63"/>
      <c r="X2079" s="35" t="str">
        <f t="shared" si="303"/>
        <v>#N/A</v>
      </c>
      <c r="Y2079" s="35" t="str">
        <f t="shared" si="304"/>
        <v>#N/A</v>
      </c>
      <c r="Z2079" s="40" t="str">
        <f t="shared" si="305"/>
        <v>#N/A</v>
      </c>
      <c r="AA2079" s="34" t="str">
        <f t="shared" si="306"/>
        <v>#N/A</v>
      </c>
      <c r="AB2079" s="41" t="str">
        <f t="shared" si="307"/>
        <v>#N/A</v>
      </c>
      <c r="AC2079" s="42" t="b">
        <v>0</v>
      </c>
      <c r="AD2079" s="66" t="str">
        <f t="shared" si="308"/>
        <v>USD</v>
      </c>
      <c r="AE2079" s="42"/>
      <c r="AF2079" s="42" t="str">
        <f t="array" ref="AF2079">INDEX('Deal Info'!D:D, MATCH(A2079,'Deal Info'!A:A, 0))</f>
        <v>#N/A</v>
      </c>
      <c r="AG2079" s="43" t="str">
        <f t="array" ref="AG2079">INDEX('Deal Info'!G:G, MATCH(A2079,'Deal Info'!A:A, 0))</f>
        <v>#N/A</v>
      </c>
    </row>
    <row r="2080" hidden="1">
      <c r="A2080" s="23" t="b">
        <f t="array" ref="A2080">if(G2080='Room Info'!$B$1, INDEX('Room Info'!$A$2:$A3446, MATCH(B2080,'Room Info'!$B$2:$B3446, 0)),if(G2080='Room Info'!$C$1, INDEX('Room Info'!$A$2:$A3446, MATCH(B2080,'Room Info'!$C$2:$C3446, 0)),if(G2080='Room Info'!$D$1, INDEX('Room Info'!$A$2:$A3446, MATCH(B2080,'Room Info'!$D$2:$D3446, 0)),if(G2080='Room Info'!$E$1, INDEX('Room Info'!$A$2:$A3446, MATCH(B2080,'Room Info'!$E$2:$E3446, 0)),if(G2080='Room Info'!$F$1, INDEX('Room Info'!$A$2:$A3446, MATCH(B2080,'Room Info'!$F$2:$F3446, 0)),if(G2080='Room Info'!$H$1, INDEX('Room Info'!$A$2:$A3446, MATCH(B2080,'Room Info'!$H$2:$H3446, 0)),if(G2080='Room Info'!$G$1, INDEX('Room Info'!$A$2:$A3446, MATCH(B2080,'Room Info'!$G$2:$G3446, 0)))))))))</f>
        <v>0</v>
      </c>
      <c r="B2080" s="101"/>
      <c r="C2080" s="115"/>
      <c r="D2080" s="115"/>
      <c r="E2080" s="85"/>
      <c r="F2080" s="138"/>
      <c r="G2080" s="101"/>
      <c r="H2080" s="114"/>
      <c r="I2080" s="114"/>
      <c r="J2080" s="44" t="str">
        <f t="shared" si="311"/>
        <v/>
      </c>
      <c r="K2080" s="116"/>
      <c r="L2080" s="117"/>
      <c r="M2080" s="67"/>
      <c r="N2080" s="33">
        <f t="shared" si="276"/>
        <v>0</v>
      </c>
      <c r="O2080" s="70"/>
      <c r="P2080" s="34" t="str">
        <f t="shared" si="277"/>
        <v/>
      </c>
      <c r="Q2080" s="60"/>
      <c r="R2080" s="36">
        <f t="shared" si="312"/>
        <v>0</v>
      </c>
      <c r="S2080" s="71"/>
      <c r="T2080" s="37">
        <f t="shared" si="302"/>
        <v>0</v>
      </c>
      <c r="U2080" s="62"/>
      <c r="V2080" s="63"/>
      <c r="W2080" s="63"/>
      <c r="X2080" s="35" t="str">
        <f t="shared" si="303"/>
        <v>#N/A</v>
      </c>
      <c r="Y2080" s="35" t="str">
        <f t="shared" si="304"/>
        <v>#N/A</v>
      </c>
      <c r="Z2080" s="40" t="str">
        <f t="shared" si="305"/>
        <v>#N/A</v>
      </c>
      <c r="AA2080" s="34" t="str">
        <f t="shared" si="306"/>
        <v>#N/A</v>
      </c>
      <c r="AB2080" s="41" t="str">
        <f t="shared" si="307"/>
        <v>#N/A</v>
      </c>
      <c r="AC2080" s="42" t="b">
        <v>0</v>
      </c>
      <c r="AD2080" s="66" t="str">
        <f t="shared" si="308"/>
        <v>USD</v>
      </c>
      <c r="AE2080" s="42"/>
      <c r="AF2080" s="42" t="str">
        <f t="array" ref="AF2080">INDEX('Deal Info'!D:D, MATCH(A2080,'Deal Info'!A:A, 0))</f>
        <v>#N/A</v>
      </c>
      <c r="AG2080" s="43" t="str">
        <f t="array" ref="AG2080">INDEX('Deal Info'!G:G, MATCH(A2080,'Deal Info'!A:A, 0))</f>
        <v>#N/A</v>
      </c>
    </row>
    <row r="2081" hidden="1">
      <c r="A2081" s="23" t="b">
        <f t="array" ref="A2081">if(G2081='Room Info'!$B$1, INDEX('Room Info'!$A$2:$A3446, MATCH(B2081,'Room Info'!$B$2:$B3446, 0)),if(G2081='Room Info'!$C$1, INDEX('Room Info'!$A$2:$A3446, MATCH(B2081,'Room Info'!$C$2:$C3446, 0)),if(G2081='Room Info'!$D$1, INDEX('Room Info'!$A$2:$A3446, MATCH(B2081,'Room Info'!$D$2:$D3446, 0)),if(G2081='Room Info'!$E$1, INDEX('Room Info'!$A$2:$A3446, MATCH(B2081,'Room Info'!$E$2:$E3446, 0)),if(G2081='Room Info'!$F$1, INDEX('Room Info'!$A$2:$A3446, MATCH(B2081,'Room Info'!$F$2:$F3446, 0)),if(G2081='Room Info'!$H$1, INDEX('Room Info'!$A$2:$A3446, MATCH(B2081,'Room Info'!$H$2:$H3446, 0)),if(G2081='Room Info'!$G$1, INDEX('Room Info'!$A$2:$A3446, MATCH(B2081,'Room Info'!$G$2:$G3446, 0)))))))))</f>
        <v>0</v>
      </c>
      <c r="B2081" s="101"/>
      <c r="C2081" s="141"/>
      <c r="D2081" s="141"/>
      <c r="E2081" s="142"/>
      <c r="F2081" s="138"/>
      <c r="G2081" s="101"/>
      <c r="H2081" s="105"/>
      <c r="I2081" s="105"/>
      <c r="J2081" s="44" t="str">
        <f t="shared" si="311"/>
        <v/>
      </c>
      <c r="K2081" s="139"/>
      <c r="L2081" s="140"/>
      <c r="M2081" s="84"/>
      <c r="N2081" s="33">
        <f t="shared" si="276"/>
        <v>0</v>
      </c>
      <c r="O2081" s="101"/>
      <c r="P2081" s="34" t="str">
        <f t="shared" si="277"/>
        <v/>
      </c>
      <c r="Q2081" s="60"/>
      <c r="R2081" s="36">
        <f t="shared" si="312"/>
        <v>0</v>
      </c>
      <c r="S2081" s="102"/>
      <c r="T2081" s="37">
        <f t="shared" si="302"/>
        <v>0</v>
      </c>
      <c r="U2081" s="62"/>
      <c r="V2081" s="63"/>
      <c r="W2081" s="63"/>
      <c r="X2081" s="35" t="str">
        <f t="shared" si="303"/>
        <v>#N/A</v>
      </c>
      <c r="Y2081" s="35" t="str">
        <f t="shared" si="304"/>
        <v>#N/A</v>
      </c>
      <c r="Z2081" s="40" t="str">
        <f t="shared" si="305"/>
        <v>#N/A</v>
      </c>
      <c r="AA2081" s="34" t="str">
        <f t="shared" si="306"/>
        <v>#N/A</v>
      </c>
      <c r="AB2081" s="41" t="str">
        <f t="shared" si="307"/>
        <v>#N/A</v>
      </c>
      <c r="AC2081" s="42" t="b">
        <v>0</v>
      </c>
      <c r="AD2081" s="66" t="str">
        <f t="shared" si="308"/>
        <v>USD</v>
      </c>
      <c r="AE2081" s="42"/>
      <c r="AF2081" s="42" t="str">
        <f t="array" ref="AF2081">INDEX('Deal Info'!D:D, MATCH(A2081,'Deal Info'!A:A, 0))</f>
        <v>#N/A</v>
      </c>
      <c r="AG2081" s="43" t="str">
        <f t="array" ref="AG2081">INDEX('Deal Info'!G:G, MATCH(A2081,'Deal Info'!A:A, 0))</f>
        <v>#N/A</v>
      </c>
    </row>
    <row r="2082" hidden="1">
      <c r="A2082" s="23" t="b">
        <f t="array" ref="A2082">if(G2082='Room Info'!$B$1, INDEX('Room Info'!$A$2:$A3446, MATCH(B2082,'Room Info'!$B$2:$B3446, 0)),if(G2082='Room Info'!$C$1, INDEX('Room Info'!$A$2:$A3446, MATCH(B2082,'Room Info'!$C$2:$C3446, 0)),if(G2082='Room Info'!$D$1, INDEX('Room Info'!$A$2:$A3446, MATCH(B2082,'Room Info'!$D$2:$D3446, 0)),if(G2082='Room Info'!$E$1, INDEX('Room Info'!$A$2:$A3446, MATCH(B2082,'Room Info'!$E$2:$E3446, 0)),if(G2082='Room Info'!$F$1, INDEX('Room Info'!$A$2:$A3446, MATCH(B2082,'Room Info'!$F$2:$F3446, 0)),if(G2082='Room Info'!$H$1, INDEX('Room Info'!$A$2:$A3446, MATCH(B2082,'Room Info'!$H$2:$H3446, 0)),if(G2082='Room Info'!$G$1, INDEX('Room Info'!$A$2:$A3446, MATCH(B2082,'Room Info'!$G$2:$G3446, 0)))))))))</f>
        <v>0</v>
      </c>
      <c r="B2082" s="101"/>
      <c r="C2082" s="141"/>
      <c r="D2082" s="141"/>
      <c r="E2082" s="142"/>
      <c r="F2082" s="138"/>
      <c r="G2082" s="101"/>
      <c r="H2082" s="105"/>
      <c r="I2082" s="105"/>
      <c r="J2082" s="44" t="str">
        <f t="shared" si="311"/>
        <v/>
      </c>
      <c r="K2082" s="139"/>
      <c r="L2082" s="140"/>
      <c r="M2082" s="84"/>
      <c r="N2082" s="33">
        <f t="shared" si="276"/>
        <v>0</v>
      </c>
      <c r="O2082" s="101"/>
      <c r="P2082" s="34" t="str">
        <f t="shared" si="277"/>
        <v/>
      </c>
      <c r="Q2082" s="60"/>
      <c r="R2082" s="36">
        <f t="shared" si="312"/>
        <v>0</v>
      </c>
      <c r="S2082" s="102"/>
      <c r="T2082" s="37">
        <f t="shared" si="302"/>
        <v>0</v>
      </c>
      <c r="U2082" s="62"/>
      <c r="V2082" s="63"/>
      <c r="W2082" s="63"/>
      <c r="X2082" s="35" t="str">
        <f t="shared" si="303"/>
        <v>#N/A</v>
      </c>
      <c r="Y2082" s="35" t="str">
        <f t="shared" si="304"/>
        <v>#N/A</v>
      </c>
      <c r="Z2082" s="40" t="str">
        <f t="shared" si="305"/>
        <v>#N/A</v>
      </c>
      <c r="AA2082" s="34" t="str">
        <f t="shared" si="306"/>
        <v>#N/A</v>
      </c>
      <c r="AB2082" s="41" t="str">
        <f t="shared" si="307"/>
        <v>#N/A</v>
      </c>
      <c r="AC2082" s="42" t="b">
        <v>0</v>
      </c>
      <c r="AD2082" s="66" t="str">
        <f t="shared" si="308"/>
        <v>USD</v>
      </c>
      <c r="AE2082" s="42"/>
      <c r="AF2082" s="42" t="str">
        <f t="array" ref="AF2082">INDEX('Deal Info'!D:D, MATCH(A2082,'Deal Info'!A:A, 0))</f>
        <v>#N/A</v>
      </c>
      <c r="AG2082" s="43" t="str">
        <f t="array" ref="AG2082">INDEX('Deal Info'!G:G, MATCH(A2082,'Deal Info'!A:A, 0))</f>
        <v>#N/A</v>
      </c>
    </row>
    <row r="2083" hidden="1">
      <c r="A2083" s="23" t="b">
        <f t="array" ref="A2083">if(G2083='Room Info'!$B$1, INDEX('Room Info'!$A$2:$A3446, MATCH(B2083,'Room Info'!$B$2:$B3446, 0)),if(G2083='Room Info'!$C$1, INDEX('Room Info'!$A$2:$A3446, MATCH(B2083,'Room Info'!$C$2:$C3446, 0)),if(G2083='Room Info'!$D$1, INDEX('Room Info'!$A$2:$A3446, MATCH(B2083,'Room Info'!$D$2:$D3446, 0)),if(G2083='Room Info'!$E$1, INDEX('Room Info'!$A$2:$A3446, MATCH(B2083,'Room Info'!$E$2:$E3446, 0)),if(G2083='Room Info'!$F$1, INDEX('Room Info'!$A$2:$A3446, MATCH(B2083,'Room Info'!$F$2:$F3446, 0)),if(G2083='Room Info'!$H$1, INDEX('Room Info'!$A$2:$A3446, MATCH(B2083,'Room Info'!$H$2:$H3446, 0)),if(G2083='Room Info'!$G$1, INDEX('Room Info'!$A$2:$A3446, MATCH(B2083,'Room Info'!$G$2:$G3446, 0)))))))))</f>
        <v>0</v>
      </c>
      <c r="B2083" s="101"/>
      <c r="C2083" s="141"/>
      <c r="D2083" s="141"/>
      <c r="E2083" s="142"/>
      <c r="F2083" s="138"/>
      <c r="G2083" s="101"/>
      <c r="H2083" s="105"/>
      <c r="I2083" s="105"/>
      <c r="J2083" s="44" t="str">
        <f t="shared" si="311"/>
        <v/>
      </c>
      <c r="K2083" s="139"/>
      <c r="L2083" s="140"/>
      <c r="M2083" s="84"/>
      <c r="N2083" s="33">
        <f t="shared" si="276"/>
        <v>0</v>
      </c>
      <c r="O2083" s="101"/>
      <c r="P2083" s="34" t="str">
        <f t="shared" si="277"/>
        <v/>
      </c>
      <c r="Q2083" s="60"/>
      <c r="R2083" s="36">
        <f t="shared" si="312"/>
        <v>0</v>
      </c>
      <c r="S2083" s="102"/>
      <c r="T2083" s="37">
        <f t="shared" si="302"/>
        <v>0</v>
      </c>
      <c r="U2083" s="62"/>
      <c r="V2083" s="63"/>
      <c r="W2083" s="63"/>
      <c r="X2083" s="35" t="str">
        <f t="shared" si="303"/>
        <v>#N/A</v>
      </c>
      <c r="Y2083" s="35" t="str">
        <f t="shared" si="304"/>
        <v>#N/A</v>
      </c>
      <c r="Z2083" s="40" t="str">
        <f t="shared" si="305"/>
        <v>#N/A</v>
      </c>
      <c r="AA2083" s="34" t="str">
        <f t="shared" si="306"/>
        <v>#N/A</v>
      </c>
      <c r="AB2083" s="41" t="str">
        <f t="shared" si="307"/>
        <v>#N/A</v>
      </c>
      <c r="AC2083" s="42" t="b">
        <v>0</v>
      </c>
      <c r="AD2083" s="66" t="str">
        <f t="shared" si="308"/>
        <v>USD</v>
      </c>
      <c r="AE2083" s="42"/>
      <c r="AF2083" s="42" t="str">
        <f t="array" ref="AF2083">INDEX('Deal Info'!D:D, MATCH(A2083,'Deal Info'!A:A, 0))</f>
        <v>#N/A</v>
      </c>
      <c r="AG2083" s="43" t="str">
        <f t="array" ref="AG2083">INDEX('Deal Info'!G:G, MATCH(A2083,'Deal Info'!A:A, 0))</f>
        <v>#N/A</v>
      </c>
    </row>
    <row r="2084" hidden="1">
      <c r="A2084" s="23" t="b">
        <f t="array" ref="A2084">if(G2084='Room Info'!$B$1, INDEX('Room Info'!$A$2:$A3446, MATCH(B2084,'Room Info'!$B$2:$B3446, 0)),if(G2084='Room Info'!$C$1, INDEX('Room Info'!$A$2:$A3446, MATCH(B2084,'Room Info'!$C$2:$C3446, 0)),if(G2084='Room Info'!$D$1, INDEX('Room Info'!$A$2:$A3446, MATCH(B2084,'Room Info'!$D$2:$D3446, 0)),if(G2084='Room Info'!$E$1, INDEX('Room Info'!$A$2:$A3446, MATCH(B2084,'Room Info'!$E$2:$E3446, 0)),if(G2084='Room Info'!$F$1, INDEX('Room Info'!$A$2:$A3446, MATCH(B2084,'Room Info'!$F$2:$F3446, 0)),if(G2084='Room Info'!$H$1, INDEX('Room Info'!$A$2:$A3446, MATCH(B2084,'Room Info'!$H$2:$H3446, 0)),if(G2084='Room Info'!$G$1, INDEX('Room Info'!$A$2:$A3446, MATCH(B2084,'Room Info'!$G$2:$G3446, 0)))))))))</f>
        <v>0</v>
      </c>
      <c r="B2084" s="101"/>
      <c r="C2084" s="141"/>
      <c r="D2084" s="141"/>
      <c r="E2084" s="142"/>
      <c r="F2084" s="138"/>
      <c r="G2084" s="101"/>
      <c r="H2084" s="105"/>
      <c r="I2084" s="105"/>
      <c r="J2084" s="44" t="str">
        <f t="shared" si="311"/>
        <v/>
      </c>
      <c r="K2084" s="139"/>
      <c r="L2084" s="140"/>
      <c r="M2084" s="84"/>
      <c r="N2084" s="33">
        <f t="shared" si="276"/>
        <v>0</v>
      </c>
      <c r="O2084" s="101"/>
      <c r="P2084" s="34" t="str">
        <f t="shared" si="277"/>
        <v/>
      </c>
      <c r="Q2084" s="60"/>
      <c r="R2084" s="36">
        <f t="shared" si="312"/>
        <v>0</v>
      </c>
      <c r="S2084" s="102"/>
      <c r="T2084" s="37">
        <f t="shared" si="302"/>
        <v>0</v>
      </c>
      <c r="U2084" s="62"/>
      <c r="V2084" s="63"/>
      <c r="W2084" s="63"/>
      <c r="X2084" s="35" t="str">
        <f t="shared" si="303"/>
        <v>#N/A</v>
      </c>
      <c r="Y2084" s="35" t="str">
        <f t="shared" si="304"/>
        <v>#N/A</v>
      </c>
      <c r="Z2084" s="40" t="str">
        <f t="shared" si="305"/>
        <v>#N/A</v>
      </c>
      <c r="AA2084" s="34" t="str">
        <f t="shared" si="306"/>
        <v>#N/A</v>
      </c>
      <c r="AB2084" s="41" t="str">
        <f t="shared" si="307"/>
        <v>#N/A</v>
      </c>
      <c r="AC2084" s="42" t="b">
        <v>0</v>
      </c>
      <c r="AD2084" s="66" t="str">
        <f t="shared" si="308"/>
        <v>USD</v>
      </c>
      <c r="AE2084" s="42"/>
      <c r="AF2084" s="42" t="str">
        <f t="array" ref="AF2084">INDEX('Deal Info'!D:D, MATCH(A2084,'Deal Info'!A:A, 0))</f>
        <v>#N/A</v>
      </c>
      <c r="AG2084" s="43" t="str">
        <f t="array" ref="AG2084">INDEX('Deal Info'!G:G, MATCH(A2084,'Deal Info'!A:A, 0))</f>
        <v>#N/A</v>
      </c>
    </row>
    <row r="2085" hidden="1">
      <c r="A2085" s="23" t="b">
        <f t="array" ref="A2085">if(G2085='Room Info'!$B$1, INDEX('Room Info'!$A$2:$A3446, MATCH(B2085,'Room Info'!$B$2:$B3446, 0)),if(G2085='Room Info'!$C$1, INDEX('Room Info'!$A$2:$A3446, MATCH(B2085,'Room Info'!$C$2:$C3446, 0)),if(G2085='Room Info'!$D$1, INDEX('Room Info'!$A$2:$A3446, MATCH(B2085,'Room Info'!$D$2:$D3446, 0)),if(G2085='Room Info'!$E$1, INDEX('Room Info'!$A$2:$A3446, MATCH(B2085,'Room Info'!$E$2:$E3446, 0)),if(G2085='Room Info'!$F$1, INDEX('Room Info'!$A$2:$A3446, MATCH(B2085,'Room Info'!$F$2:$F3446, 0)),if(G2085='Room Info'!$H$1, INDEX('Room Info'!$A$2:$A3446, MATCH(B2085,'Room Info'!$H$2:$H3446, 0)),if(G2085='Room Info'!$G$1, INDEX('Room Info'!$A$2:$A3446, MATCH(B2085,'Room Info'!$G$2:$G3446, 0)))))))))</f>
        <v>0</v>
      </c>
      <c r="B2085" s="101"/>
      <c r="C2085" s="141"/>
      <c r="D2085" s="141"/>
      <c r="E2085" s="142"/>
      <c r="F2085" s="138"/>
      <c r="G2085" s="101"/>
      <c r="H2085" s="105"/>
      <c r="I2085" s="105"/>
      <c r="J2085" s="44" t="str">
        <f t="shared" si="311"/>
        <v/>
      </c>
      <c r="K2085" s="139"/>
      <c r="L2085" s="140"/>
      <c r="M2085" s="84"/>
      <c r="N2085" s="33">
        <f t="shared" si="276"/>
        <v>0</v>
      </c>
      <c r="O2085" s="101"/>
      <c r="P2085" s="34" t="str">
        <f t="shared" si="277"/>
        <v/>
      </c>
      <c r="Q2085" s="60"/>
      <c r="R2085" s="36">
        <f t="shared" si="312"/>
        <v>0</v>
      </c>
      <c r="S2085" s="102"/>
      <c r="T2085" s="37">
        <f t="shared" si="302"/>
        <v>0</v>
      </c>
      <c r="U2085" s="62"/>
      <c r="V2085" s="63"/>
      <c r="W2085" s="63"/>
      <c r="X2085" s="35" t="str">
        <f t="shared" si="303"/>
        <v>#N/A</v>
      </c>
      <c r="Y2085" s="35" t="str">
        <f t="shared" si="304"/>
        <v>#N/A</v>
      </c>
      <c r="Z2085" s="40" t="str">
        <f t="shared" si="305"/>
        <v>#N/A</v>
      </c>
      <c r="AA2085" s="34" t="str">
        <f t="shared" si="306"/>
        <v>#N/A</v>
      </c>
      <c r="AB2085" s="41" t="str">
        <f t="shared" si="307"/>
        <v>#N/A</v>
      </c>
      <c r="AC2085" s="42" t="b">
        <v>0</v>
      </c>
      <c r="AD2085" s="66" t="str">
        <f t="shared" si="308"/>
        <v>USD</v>
      </c>
      <c r="AE2085" s="42"/>
      <c r="AF2085" s="42" t="str">
        <f t="array" ref="AF2085">INDEX('Deal Info'!D:D, MATCH(A2085,'Deal Info'!A:A, 0))</f>
        <v>#N/A</v>
      </c>
      <c r="AG2085" s="43" t="str">
        <f t="array" ref="AG2085">INDEX('Deal Info'!G:G, MATCH(A2085,'Deal Info'!A:A, 0))</f>
        <v>#N/A</v>
      </c>
    </row>
    <row r="2086" hidden="1">
      <c r="A2086" s="23" t="b">
        <f t="array" ref="A2086">if(G2086='Room Info'!$B$1, INDEX('Room Info'!$A$2:$A3446, MATCH(B2086,'Room Info'!$B$2:$B3446, 0)),if(G2086='Room Info'!$C$1, INDEX('Room Info'!$A$2:$A3446, MATCH(B2086,'Room Info'!$C$2:$C3446, 0)),if(G2086='Room Info'!$D$1, INDEX('Room Info'!$A$2:$A3446, MATCH(B2086,'Room Info'!$D$2:$D3446, 0)),if(G2086='Room Info'!$E$1, INDEX('Room Info'!$A$2:$A3446, MATCH(B2086,'Room Info'!$E$2:$E3446, 0)),if(G2086='Room Info'!$F$1, INDEX('Room Info'!$A$2:$A3446, MATCH(B2086,'Room Info'!$F$2:$F3446, 0)),if(G2086='Room Info'!$H$1, INDEX('Room Info'!$A$2:$A3446, MATCH(B2086,'Room Info'!$H$2:$H3446, 0)),if(G2086='Room Info'!$G$1, INDEX('Room Info'!$A$2:$A3446, MATCH(B2086,'Room Info'!$G$2:$G3446, 0)))))))))</f>
        <v>0</v>
      </c>
      <c r="B2086" s="101"/>
      <c r="C2086" s="115"/>
      <c r="D2086" s="115"/>
      <c r="E2086" s="85"/>
      <c r="F2086" s="138"/>
      <c r="G2086" s="70"/>
      <c r="H2086" s="114"/>
      <c r="I2086" s="114"/>
      <c r="J2086" s="44" t="str">
        <f t="shared" si="311"/>
        <v/>
      </c>
      <c r="K2086" s="116"/>
      <c r="L2086" s="117"/>
      <c r="M2086" s="67"/>
      <c r="N2086" s="33">
        <f t="shared" si="276"/>
        <v>0</v>
      </c>
      <c r="O2086" s="70"/>
      <c r="P2086" s="34" t="str">
        <f t="shared" si="277"/>
        <v/>
      </c>
      <c r="Q2086" s="60"/>
      <c r="R2086" s="36">
        <f t="shared" si="312"/>
        <v>0</v>
      </c>
      <c r="S2086" s="71"/>
      <c r="T2086" s="37">
        <f t="shared" si="302"/>
        <v>0</v>
      </c>
      <c r="U2086" s="62"/>
      <c r="V2086" s="63"/>
      <c r="W2086" s="63"/>
      <c r="X2086" s="35" t="str">
        <f t="shared" si="303"/>
        <v>#N/A</v>
      </c>
      <c r="Y2086" s="35" t="str">
        <f t="shared" si="304"/>
        <v>#N/A</v>
      </c>
      <c r="Z2086" s="40" t="str">
        <f t="shared" si="305"/>
        <v>#N/A</v>
      </c>
      <c r="AA2086" s="34" t="str">
        <f t="shared" si="306"/>
        <v>#N/A</v>
      </c>
      <c r="AB2086" s="41" t="str">
        <f t="shared" si="307"/>
        <v>#N/A</v>
      </c>
      <c r="AC2086" s="42" t="b">
        <v>0</v>
      </c>
      <c r="AD2086" s="66" t="str">
        <f t="shared" si="308"/>
        <v>USD</v>
      </c>
      <c r="AE2086" s="42"/>
      <c r="AF2086" s="42" t="str">
        <f t="array" ref="AF2086">INDEX('Deal Info'!D:D, MATCH(A2086,'Deal Info'!A:A, 0))</f>
        <v>#N/A</v>
      </c>
      <c r="AG2086" s="43" t="str">
        <f t="array" ref="AG2086">INDEX('Deal Info'!G:G, MATCH(A2086,'Deal Info'!A:A, 0))</f>
        <v>#N/A</v>
      </c>
    </row>
    <row r="2087" hidden="1">
      <c r="A2087" s="23" t="b">
        <f t="array" ref="A2087">if(G2087='Room Info'!$B$1, INDEX('Room Info'!$A$2:$A3446, MATCH(B2087,'Room Info'!$B$2:$B3446, 0)),if(G2087='Room Info'!$C$1, INDEX('Room Info'!$A$2:$A3446, MATCH(B2087,'Room Info'!$C$2:$C3446, 0)),if(G2087='Room Info'!$D$1, INDEX('Room Info'!$A$2:$A3446, MATCH(B2087,'Room Info'!$D$2:$D3446, 0)),if(G2087='Room Info'!$E$1, INDEX('Room Info'!$A$2:$A3446, MATCH(B2087,'Room Info'!$E$2:$E3446, 0)),if(G2087='Room Info'!$F$1, INDEX('Room Info'!$A$2:$A3446, MATCH(B2087,'Room Info'!$F$2:$F3446, 0)),if(G2087='Room Info'!$H$1, INDEX('Room Info'!$A$2:$A3446, MATCH(B2087,'Room Info'!$H$2:$H3446, 0)),if(G2087='Room Info'!$G$1, INDEX('Room Info'!$A$2:$A3446, MATCH(B2087,'Room Info'!$G$2:$G3446, 0)))))))))</f>
        <v>0</v>
      </c>
      <c r="B2087" s="101"/>
      <c r="C2087" s="115"/>
      <c r="D2087" s="115"/>
      <c r="E2087" s="85"/>
      <c r="F2087" s="138"/>
      <c r="G2087" s="101"/>
      <c r="H2087" s="114"/>
      <c r="I2087" s="114"/>
      <c r="J2087" s="44" t="str">
        <f t="shared" si="311"/>
        <v/>
      </c>
      <c r="K2087" s="116"/>
      <c r="L2087" s="117"/>
      <c r="M2087" s="67"/>
      <c r="N2087" s="33">
        <f t="shared" si="276"/>
        <v>0</v>
      </c>
      <c r="O2087" s="70"/>
      <c r="P2087" s="34" t="str">
        <f t="shared" si="277"/>
        <v/>
      </c>
      <c r="Q2087" s="60"/>
      <c r="R2087" s="36">
        <f t="shared" si="312"/>
        <v>0</v>
      </c>
      <c r="S2087" s="71"/>
      <c r="T2087" s="37">
        <f t="shared" si="302"/>
        <v>0</v>
      </c>
      <c r="U2087" s="62"/>
      <c r="V2087" s="63"/>
      <c r="W2087" s="63"/>
      <c r="X2087" s="35" t="str">
        <f t="shared" si="303"/>
        <v>#N/A</v>
      </c>
      <c r="Y2087" s="35" t="str">
        <f t="shared" si="304"/>
        <v>#N/A</v>
      </c>
      <c r="Z2087" s="40" t="str">
        <f t="shared" si="305"/>
        <v>#N/A</v>
      </c>
      <c r="AA2087" s="34" t="str">
        <f t="shared" si="306"/>
        <v>#N/A</v>
      </c>
      <c r="AB2087" s="41" t="str">
        <f t="shared" si="307"/>
        <v>#N/A</v>
      </c>
      <c r="AC2087" s="42" t="b">
        <v>0</v>
      </c>
      <c r="AD2087" s="66" t="str">
        <f t="shared" si="308"/>
        <v>USD</v>
      </c>
      <c r="AE2087" s="42"/>
      <c r="AF2087" s="42" t="str">
        <f t="array" ref="AF2087">INDEX('Deal Info'!D:D, MATCH(A2087,'Deal Info'!A:A, 0))</f>
        <v>#N/A</v>
      </c>
      <c r="AG2087" s="43" t="str">
        <f t="array" ref="AG2087">INDEX('Deal Info'!G:G, MATCH(A2087,'Deal Info'!A:A, 0))</f>
        <v>#N/A</v>
      </c>
    </row>
    <row r="2088" hidden="1">
      <c r="A2088" s="23" t="b">
        <f t="array" ref="A2088">if(G2088='Room Info'!$B$1, INDEX('Room Info'!$A$2:$A3446, MATCH(B2088,'Room Info'!$B$2:$B3446, 0)),if(G2088='Room Info'!$C$1, INDEX('Room Info'!$A$2:$A3446, MATCH(B2088,'Room Info'!$C$2:$C3446, 0)),if(G2088='Room Info'!$D$1, INDEX('Room Info'!$A$2:$A3446, MATCH(B2088,'Room Info'!$D$2:$D3446, 0)),if(G2088='Room Info'!$E$1, INDEX('Room Info'!$A$2:$A3446, MATCH(B2088,'Room Info'!$E$2:$E3446, 0)),if(G2088='Room Info'!$F$1, INDEX('Room Info'!$A$2:$A3446, MATCH(B2088,'Room Info'!$F$2:$F3446, 0)),if(G2088='Room Info'!$H$1, INDEX('Room Info'!$A$2:$A3446, MATCH(B2088,'Room Info'!$H$2:$H3446, 0)),if(G2088='Room Info'!$G$1, INDEX('Room Info'!$A$2:$A3446, MATCH(B2088,'Room Info'!$G$2:$G3446, 0)))))))))</f>
        <v>0</v>
      </c>
      <c r="B2088" s="101"/>
      <c r="C2088" s="115"/>
      <c r="D2088" s="115"/>
      <c r="E2088" s="85"/>
      <c r="F2088" s="138"/>
      <c r="G2088" s="101"/>
      <c r="H2088" s="114"/>
      <c r="I2088" s="114"/>
      <c r="J2088" s="44" t="str">
        <f t="shared" si="311"/>
        <v/>
      </c>
      <c r="K2088" s="116"/>
      <c r="L2088" s="117"/>
      <c r="M2088" s="67"/>
      <c r="N2088" s="33">
        <f t="shared" si="276"/>
        <v>0</v>
      </c>
      <c r="O2088" s="70"/>
      <c r="P2088" s="34" t="str">
        <f t="shared" si="277"/>
        <v/>
      </c>
      <c r="Q2088" s="60"/>
      <c r="R2088" s="36">
        <f t="shared" si="312"/>
        <v>0</v>
      </c>
      <c r="S2088" s="71"/>
      <c r="T2088" s="37">
        <f t="shared" si="302"/>
        <v>0</v>
      </c>
      <c r="U2088" s="62"/>
      <c r="V2088" s="63"/>
      <c r="W2088" s="63"/>
      <c r="X2088" s="35" t="str">
        <f t="shared" si="303"/>
        <v>#N/A</v>
      </c>
      <c r="Y2088" s="35" t="str">
        <f t="shared" si="304"/>
        <v>#N/A</v>
      </c>
      <c r="Z2088" s="40" t="str">
        <f t="shared" si="305"/>
        <v>#N/A</v>
      </c>
      <c r="AA2088" s="34" t="str">
        <f t="shared" si="306"/>
        <v>#N/A</v>
      </c>
      <c r="AB2088" s="41" t="str">
        <f t="shared" si="307"/>
        <v>#N/A</v>
      </c>
      <c r="AC2088" s="42" t="b">
        <v>0</v>
      </c>
      <c r="AD2088" s="66" t="str">
        <f t="shared" si="308"/>
        <v>USD</v>
      </c>
      <c r="AE2088" s="42"/>
      <c r="AF2088" s="42" t="str">
        <f t="array" ref="AF2088">INDEX('Deal Info'!D:D, MATCH(A2088,'Deal Info'!A:A, 0))</f>
        <v>#N/A</v>
      </c>
      <c r="AG2088" s="43" t="str">
        <f t="array" ref="AG2088">INDEX('Deal Info'!G:G, MATCH(A2088,'Deal Info'!A:A, 0))</f>
        <v>#N/A</v>
      </c>
    </row>
    <row r="2089" hidden="1">
      <c r="A2089" s="23" t="b">
        <f t="array" ref="A2089">if(G2089='Room Info'!$B$1, INDEX('Room Info'!$A$2:$A3446, MATCH(B2089,'Room Info'!$B$2:$B3446, 0)),if(G2089='Room Info'!$C$1, INDEX('Room Info'!$A$2:$A3446, MATCH(B2089,'Room Info'!$C$2:$C3446, 0)),if(G2089='Room Info'!$D$1, INDEX('Room Info'!$A$2:$A3446, MATCH(B2089,'Room Info'!$D$2:$D3446, 0)),if(G2089='Room Info'!$E$1, INDEX('Room Info'!$A$2:$A3446, MATCH(B2089,'Room Info'!$E$2:$E3446, 0)),if(G2089='Room Info'!$F$1, INDEX('Room Info'!$A$2:$A3446, MATCH(B2089,'Room Info'!$F$2:$F3446, 0)),if(G2089='Room Info'!$H$1, INDEX('Room Info'!$A$2:$A3446, MATCH(B2089,'Room Info'!$H$2:$H3446, 0)),if(G2089='Room Info'!$G$1, INDEX('Room Info'!$A$2:$A3446, MATCH(B2089,'Room Info'!$G$2:$G3446, 0)))))))))</f>
        <v>0</v>
      </c>
      <c r="B2089" s="101"/>
      <c r="C2089" s="115"/>
      <c r="D2089" s="115"/>
      <c r="E2089" s="85"/>
      <c r="F2089" s="138"/>
      <c r="G2089" s="101"/>
      <c r="H2089" s="114"/>
      <c r="I2089" s="114"/>
      <c r="J2089" s="44" t="str">
        <f t="shared" si="311"/>
        <v/>
      </c>
      <c r="K2089" s="116"/>
      <c r="L2089" s="117"/>
      <c r="M2089" s="67"/>
      <c r="N2089" s="33">
        <f t="shared" si="276"/>
        <v>0</v>
      </c>
      <c r="O2089" s="70"/>
      <c r="P2089" s="34" t="str">
        <f t="shared" si="277"/>
        <v/>
      </c>
      <c r="Q2089" s="60"/>
      <c r="R2089" s="36">
        <f t="shared" si="312"/>
        <v>0</v>
      </c>
      <c r="S2089" s="71"/>
      <c r="T2089" s="37">
        <f t="shared" si="302"/>
        <v>0</v>
      </c>
      <c r="U2089" s="62"/>
      <c r="V2089" s="63"/>
      <c r="W2089" s="63"/>
      <c r="X2089" s="35" t="str">
        <f t="shared" si="303"/>
        <v>#N/A</v>
      </c>
      <c r="Y2089" s="35" t="str">
        <f t="shared" si="304"/>
        <v>#N/A</v>
      </c>
      <c r="Z2089" s="40" t="str">
        <f t="shared" si="305"/>
        <v>#N/A</v>
      </c>
      <c r="AA2089" s="34" t="str">
        <f t="shared" si="306"/>
        <v>#N/A</v>
      </c>
      <c r="AB2089" s="41" t="str">
        <f t="shared" si="307"/>
        <v>#N/A</v>
      </c>
      <c r="AC2089" s="42" t="b">
        <v>0</v>
      </c>
      <c r="AD2089" s="66" t="str">
        <f t="shared" si="308"/>
        <v>USD</v>
      </c>
      <c r="AE2089" s="42"/>
      <c r="AF2089" s="42" t="str">
        <f t="array" ref="AF2089">INDEX('Deal Info'!D:D, MATCH(A2089,'Deal Info'!A:A, 0))</f>
        <v>#N/A</v>
      </c>
      <c r="AG2089" s="43" t="str">
        <f t="array" ref="AG2089">INDEX('Deal Info'!G:G, MATCH(A2089,'Deal Info'!A:A, 0))</f>
        <v>#N/A</v>
      </c>
    </row>
    <row r="2090" hidden="1">
      <c r="A2090" s="23" t="b">
        <f t="array" ref="A2090">if(G2090='Room Info'!$B$1, INDEX('Room Info'!$A$2:$A3446, MATCH(B2090,'Room Info'!$B$2:$B3446, 0)),if(G2090='Room Info'!$C$1, INDEX('Room Info'!$A$2:$A3446, MATCH(B2090,'Room Info'!$C$2:$C3446, 0)),if(G2090='Room Info'!$D$1, INDEX('Room Info'!$A$2:$A3446, MATCH(B2090,'Room Info'!$D$2:$D3446, 0)),if(G2090='Room Info'!$E$1, INDEX('Room Info'!$A$2:$A3446, MATCH(B2090,'Room Info'!$E$2:$E3446, 0)),if(G2090='Room Info'!$F$1, INDEX('Room Info'!$A$2:$A3446, MATCH(B2090,'Room Info'!$F$2:$F3446, 0)),if(G2090='Room Info'!$H$1, INDEX('Room Info'!$A$2:$A3446, MATCH(B2090,'Room Info'!$H$2:$H3446, 0)),if(G2090='Room Info'!$G$1, INDEX('Room Info'!$A$2:$A3446, MATCH(B2090,'Room Info'!$G$2:$G3446, 0)))))))))</f>
        <v>0</v>
      </c>
      <c r="B2090" s="101"/>
      <c r="C2090" s="115"/>
      <c r="D2090" s="115"/>
      <c r="E2090" s="85"/>
      <c r="F2090" s="138"/>
      <c r="G2090" s="101"/>
      <c r="H2090" s="114"/>
      <c r="I2090" s="114"/>
      <c r="J2090" s="44" t="str">
        <f t="shared" si="311"/>
        <v/>
      </c>
      <c r="K2090" s="116"/>
      <c r="L2090" s="117"/>
      <c r="M2090" s="67"/>
      <c r="N2090" s="33">
        <f t="shared" si="276"/>
        <v>0</v>
      </c>
      <c r="O2090" s="70"/>
      <c r="P2090" s="34" t="str">
        <f t="shared" si="277"/>
        <v/>
      </c>
      <c r="Q2090" s="60"/>
      <c r="R2090" s="36">
        <f t="shared" si="312"/>
        <v>0</v>
      </c>
      <c r="S2090" s="71"/>
      <c r="T2090" s="37">
        <f t="shared" si="302"/>
        <v>0</v>
      </c>
      <c r="U2090" s="62"/>
      <c r="V2090" s="63"/>
      <c r="W2090" s="63"/>
      <c r="X2090" s="35" t="str">
        <f t="shared" si="303"/>
        <v>#N/A</v>
      </c>
      <c r="Y2090" s="35" t="str">
        <f t="shared" si="304"/>
        <v>#N/A</v>
      </c>
      <c r="Z2090" s="40" t="str">
        <f t="shared" si="305"/>
        <v>#N/A</v>
      </c>
      <c r="AA2090" s="34" t="str">
        <f t="shared" si="306"/>
        <v>#N/A</v>
      </c>
      <c r="AB2090" s="41" t="str">
        <f t="shared" si="307"/>
        <v>#N/A</v>
      </c>
      <c r="AC2090" s="42" t="b">
        <v>0</v>
      </c>
      <c r="AD2090" s="66" t="str">
        <f t="shared" si="308"/>
        <v>USD</v>
      </c>
      <c r="AE2090" s="42"/>
      <c r="AF2090" s="42" t="str">
        <f t="array" ref="AF2090">INDEX('Deal Info'!D:D, MATCH(A2090,'Deal Info'!A:A, 0))</f>
        <v>#N/A</v>
      </c>
      <c r="AG2090" s="43" t="str">
        <f t="array" ref="AG2090">INDEX('Deal Info'!G:G, MATCH(A2090,'Deal Info'!A:A, 0))</f>
        <v>#N/A</v>
      </c>
    </row>
    <row r="2091" hidden="1">
      <c r="A2091" s="23" t="b">
        <f t="array" ref="A2091">if(G2091='Room Info'!$B$1, INDEX('Room Info'!$A$2:$A3446, MATCH(B2091,'Room Info'!$B$2:$B3446, 0)),if(G2091='Room Info'!$C$1, INDEX('Room Info'!$A$2:$A3446, MATCH(B2091,'Room Info'!$C$2:$C3446, 0)),if(G2091='Room Info'!$D$1, INDEX('Room Info'!$A$2:$A3446, MATCH(B2091,'Room Info'!$D$2:$D3446, 0)),if(G2091='Room Info'!$E$1, INDEX('Room Info'!$A$2:$A3446, MATCH(B2091,'Room Info'!$E$2:$E3446, 0)),if(G2091='Room Info'!$F$1, INDEX('Room Info'!$A$2:$A3446, MATCH(B2091,'Room Info'!$F$2:$F3446, 0)),if(G2091='Room Info'!$H$1, INDEX('Room Info'!$A$2:$A3446, MATCH(B2091,'Room Info'!$H$2:$H3446, 0)),if(G2091='Room Info'!$G$1, INDEX('Room Info'!$A$2:$A3446, MATCH(B2091,'Room Info'!$G$2:$G3446, 0)))))))))</f>
        <v>0</v>
      </c>
      <c r="B2091" s="101"/>
      <c r="C2091" s="115"/>
      <c r="D2091" s="115"/>
      <c r="E2091" s="85"/>
      <c r="F2091" s="138"/>
      <c r="G2091" s="101"/>
      <c r="H2091" s="114"/>
      <c r="I2091" s="114"/>
      <c r="J2091" s="44" t="str">
        <f t="shared" si="311"/>
        <v/>
      </c>
      <c r="K2091" s="116"/>
      <c r="L2091" s="117"/>
      <c r="M2091" s="67"/>
      <c r="N2091" s="33">
        <f t="shared" si="276"/>
        <v>0</v>
      </c>
      <c r="O2091" s="70"/>
      <c r="P2091" s="34" t="str">
        <f t="shared" si="277"/>
        <v/>
      </c>
      <c r="Q2091" s="60"/>
      <c r="R2091" s="36">
        <f t="shared" si="312"/>
        <v>0</v>
      </c>
      <c r="S2091" s="71"/>
      <c r="T2091" s="37">
        <f t="shared" si="302"/>
        <v>0</v>
      </c>
      <c r="U2091" s="62"/>
      <c r="V2091" s="63"/>
      <c r="W2091" s="63"/>
      <c r="X2091" s="35" t="str">
        <f t="shared" si="303"/>
        <v>#N/A</v>
      </c>
      <c r="Y2091" s="35" t="str">
        <f t="shared" si="304"/>
        <v>#N/A</v>
      </c>
      <c r="Z2091" s="40" t="str">
        <f t="shared" si="305"/>
        <v>#N/A</v>
      </c>
      <c r="AA2091" s="34" t="str">
        <f t="shared" si="306"/>
        <v>#N/A</v>
      </c>
      <c r="AB2091" s="41" t="str">
        <f t="shared" si="307"/>
        <v>#N/A</v>
      </c>
      <c r="AC2091" s="42" t="b">
        <v>0</v>
      </c>
      <c r="AD2091" s="66" t="str">
        <f t="shared" si="308"/>
        <v>USD</v>
      </c>
      <c r="AE2091" s="42"/>
      <c r="AF2091" s="42" t="str">
        <f t="array" ref="AF2091">INDEX('Deal Info'!D:D, MATCH(A2091,'Deal Info'!A:A, 0))</f>
        <v>#N/A</v>
      </c>
      <c r="AG2091" s="43" t="str">
        <f t="array" ref="AG2091">INDEX('Deal Info'!G:G, MATCH(A2091,'Deal Info'!A:A, 0))</f>
        <v>#N/A</v>
      </c>
    </row>
    <row r="2092" hidden="1">
      <c r="A2092" s="23" t="b">
        <f t="array" ref="A2092">if(G2092='Room Info'!$B$1, INDEX('Room Info'!$A$2:$A3446, MATCH(B2092,'Room Info'!$B$2:$B3446, 0)),if(G2092='Room Info'!$C$1, INDEX('Room Info'!$A$2:$A3446, MATCH(B2092,'Room Info'!$C$2:$C3446, 0)),if(G2092='Room Info'!$D$1, INDEX('Room Info'!$A$2:$A3446, MATCH(B2092,'Room Info'!$D$2:$D3446, 0)),if(G2092='Room Info'!$E$1, INDEX('Room Info'!$A$2:$A3446, MATCH(B2092,'Room Info'!$E$2:$E3446, 0)),if(G2092='Room Info'!$F$1, INDEX('Room Info'!$A$2:$A3446, MATCH(B2092,'Room Info'!$F$2:$F3446, 0)),if(G2092='Room Info'!$H$1, INDEX('Room Info'!$A$2:$A3446, MATCH(B2092,'Room Info'!$H$2:$H3446, 0)),if(G2092='Room Info'!$G$1, INDEX('Room Info'!$A$2:$A3446, MATCH(B2092,'Room Info'!$G$2:$G3446, 0)))))))))</f>
        <v>0</v>
      </c>
      <c r="B2092" s="101"/>
      <c r="C2092" s="115"/>
      <c r="D2092" s="115"/>
      <c r="E2092" s="85"/>
      <c r="F2092" s="138"/>
      <c r="G2092" s="101"/>
      <c r="H2092" s="114"/>
      <c r="I2092" s="114"/>
      <c r="J2092" s="44" t="str">
        <f t="shared" si="311"/>
        <v/>
      </c>
      <c r="K2092" s="116"/>
      <c r="L2092" s="117"/>
      <c r="M2092" s="67"/>
      <c r="N2092" s="33">
        <f t="shared" si="276"/>
        <v>0</v>
      </c>
      <c r="O2092" s="70"/>
      <c r="P2092" s="34" t="str">
        <f t="shared" si="277"/>
        <v/>
      </c>
      <c r="Q2092" s="60"/>
      <c r="R2092" s="36">
        <f t="shared" si="312"/>
        <v>0</v>
      </c>
      <c r="S2092" s="71"/>
      <c r="T2092" s="37">
        <f t="shared" si="302"/>
        <v>0</v>
      </c>
      <c r="U2092" s="62"/>
      <c r="V2092" s="63"/>
      <c r="W2092" s="63"/>
      <c r="X2092" s="35" t="str">
        <f t="shared" si="303"/>
        <v>#N/A</v>
      </c>
      <c r="Y2092" s="35" t="str">
        <f t="shared" si="304"/>
        <v>#N/A</v>
      </c>
      <c r="Z2092" s="40" t="str">
        <f t="shared" si="305"/>
        <v>#N/A</v>
      </c>
      <c r="AA2092" s="34" t="str">
        <f t="shared" si="306"/>
        <v>#N/A</v>
      </c>
      <c r="AB2092" s="41" t="str">
        <f t="shared" si="307"/>
        <v>#N/A</v>
      </c>
      <c r="AC2092" s="42" t="b">
        <v>0</v>
      </c>
      <c r="AD2092" s="66" t="str">
        <f t="shared" si="308"/>
        <v>USD</v>
      </c>
      <c r="AE2092" s="42"/>
      <c r="AF2092" s="42" t="str">
        <f t="array" ref="AF2092">INDEX('Deal Info'!D:D, MATCH(A2092,'Deal Info'!A:A, 0))</f>
        <v>#N/A</v>
      </c>
      <c r="AG2092" s="43" t="str">
        <f t="array" ref="AG2092">INDEX('Deal Info'!G:G, MATCH(A2092,'Deal Info'!A:A, 0))</f>
        <v>#N/A</v>
      </c>
    </row>
    <row r="2093" hidden="1">
      <c r="A2093" s="23" t="b">
        <f t="array" ref="A2093">if(G2093='Room Info'!$B$1, INDEX('Room Info'!$A$2:$A3446, MATCH(B2093,'Room Info'!$B$2:$B3446, 0)),if(G2093='Room Info'!$C$1, INDEX('Room Info'!$A$2:$A3446, MATCH(B2093,'Room Info'!$C$2:$C3446, 0)),if(G2093='Room Info'!$D$1, INDEX('Room Info'!$A$2:$A3446, MATCH(B2093,'Room Info'!$D$2:$D3446, 0)),if(G2093='Room Info'!$E$1, INDEX('Room Info'!$A$2:$A3446, MATCH(B2093,'Room Info'!$E$2:$E3446, 0)),if(G2093='Room Info'!$F$1, INDEX('Room Info'!$A$2:$A3446, MATCH(B2093,'Room Info'!$F$2:$F3446, 0)),if(G2093='Room Info'!$H$1, INDEX('Room Info'!$A$2:$A3446, MATCH(B2093,'Room Info'!$H$2:$H3446, 0)),if(G2093='Room Info'!$G$1, INDEX('Room Info'!$A$2:$A3446, MATCH(B2093,'Room Info'!$G$2:$G3446, 0)))))))))</f>
        <v>0</v>
      </c>
      <c r="B2093" s="101"/>
      <c r="C2093" s="115"/>
      <c r="D2093" s="115"/>
      <c r="E2093" s="85"/>
      <c r="F2093" s="138"/>
      <c r="G2093" s="101"/>
      <c r="H2093" s="114"/>
      <c r="I2093" s="114"/>
      <c r="J2093" s="44" t="str">
        <f t="shared" si="311"/>
        <v/>
      </c>
      <c r="K2093" s="116"/>
      <c r="L2093" s="117"/>
      <c r="M2093" s="67"/>
      <c r="N2093" s="33">
        <f t="shared" si="276"/>
        <v>0</v>
      </c>
      <c r="O2093" s="70"/>
      <c r="P2093" s="34" t="str">
        <f t="shared" si="277"/>
        <v/>
      </c>
      <c r="Q2093" s="60"/>
      <c r="R2093" s="36">
        <f t="shared" si="312"/>
        <v>0</v>
      </c>
      <c r="S2093" s="71"/>
      <c r="T2093" s="37">
        <f t="shared" si="302"/>
        <v>0</v>
      </c>
      <c r="U2093" s="62"/>
      <c r="V2093" s="63"/>
      <c r="W2093" s="63"/>
      <c r="X2093" s="35" t="str">
        <f t="shared" si="303"/>
        <v>#N/A</v>
      </c>
      <c r="Y2093" s="35" t="str">
        <f t="shared" si="304"/>
        <v>#N/A</v>
      </c>
      <c r="Z2093" s="40" t="str">
        <f t="shared" si="305"/>
        <v>#N/A</v>
      </c>
      <c r="AA2093" s="34" t="str">
        <f t="shared" si="306"/>
        <v>#N/A</v>
      </c>
      <c r="AB2093" s="41" t="str">
        <f t="shared" si="307"/>
        <v>#N/A</v>
      </c>
      <c r="AC2093" s="42" t="b">
        <v>0</v>
      </c>
      <c r="AD2093" s="66" t="str">
        <f t="shared" si="308"/>
        <v>USD</v>
      </c>
      <c r="AE2093" s="42"/>
      <c r="AF2093" s="42" t="str">
        <f t="array" ref="AF2093">INDEX('Deal Info'!D:D, MATCH(A2093,'Deal Info'!A:A, 0))</f>
        <v>#N/A</v>
      </c>
      <c r="AG2093" s="43" t="str">
        <f t="array" ref="AG2093">INDEX('Deal Info'!G:G, MATCH(A2093,'Deal Info'!A:A, 0))</f>
        <v>#N/A</v>
      </c>
    </row>
    <row r="2094" hidden="1">
      <c r="A2094" s="23" t="b">
        <f t="array" ref="A2094">if(G2094='Room Info'!$B$1, INDEX('Room Info'!$A$2:$A3446, MATCH(B2094,'Room Info'!$B$2:$B3446, 0)),if(G2094='Room Info'!$C$1, INDEX('Room Info'!$A$2:$A3446, MATCH(B2094,'Room Info'!$C$2:$C3446, 0)),if(G2094='Room Info'!$D$1, INDEX('Room Info'!$A$2:$A3446, MATCH(B2094,'Room Info'!$D$2:$D3446, 0)),if(G2094='Room Info'!$E$1, INDEX('Room Info'!$A$2:$A3446, MATCH(B2094,'Room Info'!$E$2:$E3446, 0)),if(G2094='Room Info'!$F$1, INDEX('Room Info'!$A$2:$A3446, MATCH(B2094,'Room Info'!$F$2:$F3446, 0)),if(G2094='Room Info'!$H$1, INDEX('Room Info'!$A$2:$A3446, MATCH(B2094,'Room Info'!$H$2:$H3446, 0)),if(G2094='Room Info'!$G$1, INDEX('Room Info'!$A$2:$A3446, MATCH(B2094,'Room Info'!$G$2:$G3446, 0)))))))))</f>
        <v>0</v>
      </c>
      <c r="B2094" s="101"/>
      <c r="C2094" s="115"/>
      <c r="D2094" s="115"/>
      <c r="E2094" s="85"/>
      <c r="F2094" s="138"/>
      <c r="G2094" s="101"/>
      <c r="H2094" s="114"/>
      <c r="I2094" s="114"/>
      <c r="J2094" s="44" t="str">
        <f t="shared" si="311"/>
        <v/>
      </c>
      <c r="K2094" s="116"/>
      <c r="L2094" s="117"/>
      <c r="M2094" s="67"/>
      <c r="N2094" s="33">
        <f t="shared" si="276"/>
        <v>0</v>
      </c>
      <c r="O2094" s="70"/>
      <c r="P2094" s="34" t="str">
        <f t="shared" si="277"/>
        <v/>
      </c>
      <c r="Q2094" s="60"/>
      <c r="R2094" s="36">
        <f t="shared" si="312"/>
        <v>0</v>
      </c>
      <c r="S2094" s="71"/>
      <c r="T2094" s="37">
        <f t="shared" si="302"/>
        <v>0</v>
      </c>
      <c r="U2094" s="62"/>
      <c r="V2094" s="63"/>
      <c r="W2094" s="63"/>
      <c r="X2094" s="35" t="str">
        <f t="shared" si="303"/>
        <v>#N/A</v>
      </c>
      <c r="Y2094" s="35" t="str">
        <f t="shared" si="304"/>
        <v>#N/A</v>
      </c>
      <c r="Z2094" s="40" t="str">
        <f t="shared" si="305"/>
        <v>#N/A</v>
      </c>
      <c r="AA2094" s="34" t="str">
        <f t="shared" si="306"/>
        <v>#N/A</v>
      </c>
      <c r="AB2094" s="41" t="str">
        <f t="shared" si="307"/>
        <v>#N/A</v>
      </c>
      <c r="AC2094" s="42" t="b">
        <v>0</v>
      </c>
      <c r="AD2094" s="66" t="str">
        <f t="shared" si="308"/>
        <v>USD</v>
      </c>
      <c r="AE2094" s="42"/>
      <c r="AF2094" s="42" t="str">
        <f t="array" ref="AF2094">INDEX('Deal Info'!D:D, MATCH(A2094,'Deal Info'!A:A, 0))</f>
        <v>#N/A</v>
      </c>
      <c r="AG2094" s="43" t="str">
        <f t="array" ref="AG2094">INDEX('Deal Info'!G:G, MATCH(A2094,'Deal Info'!A:A, 0))</f>
        <v>#N/A</v>
      </c>
    </row>
    <row r="2095" hidden="1">
      <c r="A2095" s="23" t="b">
        <f t="array" ref="A2095">if(G2095='Room Info'!$B$1, INDEX('Room Info'!$A$2:$A3446, MATCH(B2095,'Room Info'!$B$2:$B3446, 0)),if(G2095='Room Info'!$C$1, INDEX('Room Info'!$A$2:$A3446, MATCH(B2095,'Room Info'!$C$2:$C3446, 0)),if(G2095='Room Info'!$D$1, INDEX('Room Info'!$A$2:$A3446, MATCH(B2095,'Room Info'!$D$2:$D3446, 0)),if(G2095='Room Info'!$E$1, INDEX('Room Info'!$A$2:$A3446, MATCH(B2095,'Room Info'!$E$2:$E3446, 0)),if(G2095='Room Info'!$F$1, INDEX('Room Info'!$A$2:$A3446, MATCH(B2095,'Room Info'!$F$2:$F3446, 0)),if(G2095='Room Info'!$H$1, INDEX('Room Info'!$A$2:$A3446, MATCH(B2095,'Room Info'!$H$2:$H3446, 0)),if(G2095='Room Info'!$G$1, INDEX('Room Info'!$A$2:$A3446, MATCH(B2095,'Room Info'!$G$2:$G3446, 0)))))))))</f>
        <v>0</v>
      </c>
      <c r="B2095" s="101"/>
      <c r="C2095" s="115"/>
      <c r="D2095" s="115"/>
      <c r="E2095" s="85"/>
      <c r="F2095" s="138"/>
      <c r="G2095" s="70"/>
      <c r="H2095" s="105"/>
      <c r="I2095" s="105"/>
      <c r="J2095" s="44" t="str">
        <f t="shared" si="311"/>
        <v/>
      </c>
      <c r="K2095" s="116"/>
      <c r="L2095" s="117"/>
      <c r="M2095" s="67"/>
      <c r="N2095" s="33">
        <f t="shared" si="276"/>
        <v>0</v>
      </c>
      <c r="O2095" s="70"/>
      <c r="P2095" s="34" t="str">
        <f t="shared" si="277"/>
        <v/>
      </c>
      <c r="Q2095" s="60"/>
      <c r="R2095" s="36">
        <f t="shared" si="312"/>
        <v>0</v>
      </c>
      <c r="S2095" s="71"/>
      <c r="T2095" s="37">
        <f t="shared" si="302"/>
        <v>0</v>
      </c>
      <c r="U2095" s="62"/>
      <c r="V2095" s="63"/>
      <c r="W2095" s="63"/>
      <c r="X2095" s="35" t="str">
        <f t="shared" si="303"/>
        <v>#N/A</v>
      </c>
      <c r="Y2095" s="35" t="str">
        <f t="shared" si="304"/>
        <v>#N/A</v>
      </c>
      <c r="Z2095" s="40" t="str">
        <f t="shared" si="305"/>
        <v>#N/A</v>
      </c>
      <c r="AA2095" s="34" t="str">
        <f t="shared" si="306"/>
        <v>#N/A</v>
      </c>
      <c r="AB2095" s="41" t="str">
        <f t="shared" si="307"/>
        <v>#N/A</v>
      </c>
      <c r="AC2095" s="42" t="b">
        <v>0</v>
      </c>
      <c r="AD2095" s="66" t="str">
        <f t="shared" si="308"/>
        <v>USD</v>
      </c>
      <c r="AE2095" s="42"/>
      <c r="AF2095" s="42" t="str">
        <f t="array" ref="AF2095">INDEX('Deal Info'!D:D, MATCH(A2095,'Deal Info'!A:A, 0))</f>
        <v>#N/A</v>
      </c>
      <c r="AG2095" s="43" t="str">
        <f t="array" ref="AG2095">INDEX('Deal Info'!G:G, MATCH(A2095,'Deal Info'!A:A, 0))</f>
        <v>#N/A</v>
      </c>
    </row>
    <row r="2096" hidden="1">
      <c r="A2096" s="23" t="b">
        <f t="array" ref="A2096">if(G2096='Room Info'!$B$1, INDEX('Room Info'!$A$2:$A3446, MATCH(B2096,'Room Info'!$B$2:$B3446, 0)),if(G2096='Room Info'!$C$1, INDEX('Room Info'!$A$2:$A3446, MATCH(B2096,'Room Info'!$C$2:$C3446, 0)),if(G2096='Room Info'!$D$1, INDEX('Room Info'!$A$2:$A3446, MATCH(B2096,'Room Info'!$D$2:$D3446, 0)),if(G2096='Room Info'!$E$1, INDEX('Room Info'!$A$2:$A3446, MATCH(B2096,'Room Info'!$E$2:$E3446, 0)),if(G2096='Room Info'!$F$1, INDEX('Room Info'!$A$2:$A3446, MATCH(B2096,'Room Info'!$F$2:$F3446, 0)),if(G2096='Room Info'!$H$1, INDEX('Room Info'!$A$2:$A3446, MATCH(B2096,'Room Info'!$H$2:$H3446, 0)),if(G2096='Room Info'!$G$1, INDEX('Room Info'!$A$2:$A3446, MATCH(B2096,'Room Info'!$G$2:$G3446, 0)))))))))</f>
        <v>0</v>
      </c>
      <c r="B2096" s="101"/>
      <c r="C2096" s="115"/>
      <c r="D2096" s="115"/>
      <c r="E2096" s="85"/>
      <c r="F2096" s="138"/>
      <c r="G2096" s="70"/>
      <c r="H2096" s="105"/>
      <c r="I2096" s="105"/>
      <c r="J2096" s="44" t="str">
        <f t="shared" si="311"/>
        <v/>
      </c>
      <c r="K2096" s="116"/>
      <c r="L2096" s="117"/>
      <c r="M2096" s="67"/>
      <c r="N2096" s="33">
        <f t="shared" si="276"/>
        <v>0</v>
      </c>
      <c r="O2096" s="70"/>
      <c r="P2096" s="34" t="str">
        <f t="shared" si="277"/>
        <v/>
      </c>
      <c r="Q2096" s="60"/>
      <c r="R2096" s="36">
        <f t="shared" si="312"/>
        <v>0</v>
      </c>
      <c r="S2096" s="71"/>
      <c r="T2096" s="37">
        <f t="shared" si="302"/>
        <v>0</v>
      </c>
      <c r="U2096" s="62"/>
      <c r="V2096" s="63"/>
      <c r="W2096" s="63"/>
      <c r="X2096" s="35" t="str">
        <f t="shared" si="303"/>
        <v>#N/A</v>
      </c>
      <c r="Y2096" s="35" t="str">
        <f t="shared" si="304"/>
        <v>#N/A</v>
      </c>
      <c r="Z2096" s="40" t="str">
        <f t="shared" si="305"/>
        <v>#N/A</v>
      </c>
      <c r="AA2096" s="34" t="str">
        <f t="shared" si="306"/>
        <v>#N/A</v>
      </c>
      <c r="AB2096" s="41" t="str">
        <f t="shared" si="307"/>
        <v>#N/A</v>
      </c>
      <c r="AC2096" s="42" t="b">
        <v>0</v>
      </c>
      <c r="AD2096" s="66" t="str">
        <f t="shared" si="308"/>
        <v>USD</v>
      </c>
      <c r="AE2096" s="42"/>
      <c r="AF2096" s="42" t="str">
        <f t="array" ref="AF2096">INDEX('Deal Info'!D:D, MATCH(A2096,'Deal Info'!A:A, 0))</f>
        <v>#N/A</v>
      </c>
      <c r="AG2096" s="43" t="str">
        <f t="array" ref="AG2096">INDEX('Deal Info'!G:G, MATCH(A2096,'Deal Info'!A:A, 0))</f>
        <v>#N/A</v>
      </c>
    </row>
    <row r="2097" hidden="1">
      <c r="A2097" s="23" t="b">
        <f t="array" ref="A2097">if(G2097='Room Info'!$B$1, INDEX('Room Info'!$A$2:$A3446, MATCH(B2097,'Room Info'!$B$2:$B3446, 0)),if(G2097='Room Info'!$C$1, INDEX('Room Info'!$A$2:$A3446, MATCH(B2097,'Room Info'!$C$2:$C3446, 0)),if(G2097='Room Info'!$D$1, INDEX('Room Info'!$A$2:$A3446, MATCH(B2097,'Room Info'!$D$2:$D3446, 0)),if(G2097='Room Info'!$E$1, INDEX('Room Info'!$A$2:$A3446, MATCH(B2097,'Room Info'!$E$2:$E3446, 0)),if(G2097='Room Info'!$F$1, INDEX('Room Info'!$A$2:$A3446, MATCH(B2097,'Room Info'!$F$2:$F3446, 0)),if(G2097='Room Info'!$H$1, INDEX('Room Info'!$A$2:$A3446, MATCH(B2097,'Room Info'!$H$2:$H3446, 0)),if(G2097='Room Info'!$G$1, INDEX('Room Info'!$A$2:$A3446, MATCH(B2097,'Room Info'!$G$2:$G3446, 0)))))))))</f>
        <v>0</v>
      </c>
      <c r="B2097" s="101"/>
      <c r="C2097" s="115"/>
      <c r="D2097" s="115"/>
      <c r="E2097" s="85"/>
      <c r="F2097" s="138"/>
      <c r="G2097" s="70"/>
      <c r="H2097" s="114"/>
      <c r="I2097" s="114"/>
      <c r="J2097" s="44" t="str">
        <f t="shared" si="311"/>
        <v/>
      </c>
      <c r="K2097" s="116"/>
      <c r="L2097" s="117"/>
      <c r="M2097" s="67"/>
      <c r="N2097" s="33">
        <f t="shared" si="276"/>
        <v>0</v>
      </c>
      <c r="O2097" s="70"/>
      <c r="P2097" s="34" t="str">
        <f t="shared" si="277"/>
        <v/>
      </c>
      <c r="Q2097" s="60"/>
      <c r="R2097" s="36">
        <f t="shared" si="312"/>
        <v>0</v>
      </c>
      <c r="S2097" s="71"/>
      <c r="T2097" s="37">
        <f t="shared" si="302"/>
        <v>0</v>
      </c>
      <c r="U2097" s="62"/>
      <c r="V2097" s="63"/>
      <c r="W2097" s="63"/>
      <c r="X2097" s="35" t="str">
        <f t="shared" si="303"/>
        <v>#N/A</v>
      </c>
      <c r="Y2097" s="35" t="str">
        <f t="shared" si="304"/>
        <v>#N/A</v>
      </c>
      <c r="Z2097" s="40" t="str">
        <f t="shared" si="305"/>
        <v>#N/A</v>
      </c>
      <c r="AA2097" s="34" t="str">
        <f t="shared" si="306"/>
        <v>#N/A</v>
      </c>
      <c r="AB2097" s="41" t="str">
        <f t="shared" si="307"/>
        <v>#N/A</v>
      </c>
      <c r="AC2097" s="42" t="b">
        <v>0</v>
      </c>
      <c r="AD2097" s="66" t="str">
        <f t="shared" si="308"/>
        <v>USD</v>
      </c>
      <c r="AE2097" s="42"/>
      <c r="AF2097" s="42" t="str">
        <f t="array" ref="AF2097">INDEX('Deal Info'!D:D, MATCH(A2097,'Deal Info'!A:A, 0))</f>
        <v>#N/A</v>
      </c>
      <c r="AG2097" s="43" t="str">
        <f t="array" ref="AG2097">INDEX('Deal Info'!G:G, MATCH(A2097,'Deal Info'!A:A, 0))</f>
        <v>#N/A</v>
      </c>
    </row>
    <row r="2098" hidden="1">
      <c r="A2098" s="23" t="b">
        <f t="array" ref="A2098">if(G2098='Room Info'!$B$1, INDEX('Room Info'!$A$2:$A3446, MATCH(B2098,'Room Info'!$B$2:$B3446, 0)),if(G2098='Room Info'!$C$1, INDEX('Room Info'!$A$2:$A3446, MATCH(B2098,'Room Info'!$C$2:$C3446, 0)),if(G2098='Room Info'!$D$1, INDEX('Room Info'!$A$2:$A3446, MATCH(B2098,'Room Info'!$D$2:$D3446, 0)),if(G2098='Room Info'!$E$1, INDEX('Room Info'!$A$2:$A3446, MATCH(B2098,'Room Info'!$E$2:$E3446, 0)),if(G2098='Room Info'!$F$1, INDEX('Room Info'!$A$2:$A3446, MATCH(B2098,'Room Info'!$F$2:$F3446, 0)),if(G2098='Room Info'!$H$1, INDEX('Room Info'!$A$2:$A3446, MATCH(B2098,'Room Info'!$H$2:$H3446, 0)),if(G2098='Room Info'!$G$1, INDEX('Room Info'!$A$2:$A3446, MATCH(B2098,'Room Info'!$G$2:$G3446, 0)))))))))</f>
        <v>0</v>
      </c>
      <c r="B2098" s="101"/>
      <c r="C2098" s="115"/>
      <c r="D2098" s="115"/>
      <c r="E2098" s="85"/>
      <c r="F2098" s="138"/>
      <c r="G2098" s="70"/>
      <c r="H2098" s="114"/>
      <c r="I2098" s="114"/>
      <c r="J2098" s="44" t="str">
        <f t="shared" si="311"/>
        <v/>
      </c>
      <c r="K2098" s="116"/>
      <c r="L2098" s="117"/>
      <c r="M2098" s="67"/>
      <c r="N2098" s="33">
        <f t="shared" si="276"/>
        <v>0</v>
      </c>
      <c r="O2098" s="70"/>
      <c r="P2098" s="34" t="str">
        <f t="shared" si="277"/>
        <v/>
      </c>
      <c r="Q2098" s="60"/>
      <c r="R2098" s="36">
        <f t="shared" si="312"/>
        <v>0</v>
      </c>
      <c r="S2098" s="71"/>
      <c r="T2098" s="37">
        <f t="shared" si="302"/>
        <v>0</v>
      </c>
      <c r="U2098" s="62"/>
      <c r="V2098" s="63"/>
      <c r="W2098" s="63"/>
      <c r="X2098" s="35" t="str">
        <f t="shared" si="303"/>
        <v>#N/A</v>
      </c>
      <c r="Y2098" s="35" t="str">
        <f t="shared" si="304"/>
        <v>#N/A</v>
      </c>
      <c r="Z2098" s="40" t="str">
        <f t="shared" si="305"/>
        <v>#N/A</v>
      </c>
      <c r="AA2098" s="34" t="str">
        <f t="shared" si="306"/>
        <v>#N/A</v>
      </c>
      <c r="AB2098" s="41" t="str">
        <f t="shared" si="307"/>
        <v>#N/A</v>
      </c>
      <c r="AC2098" s="42" t="b">
        <v>0</v>
      </c>
      <c r="AD2098" s="66" t="str">
        <f t="shared" si="308"/>
        <v>USD</v>
      </c>
      <c r="AE2098" s="42"/>
      <c r="AF2098" s="42" t="str">
        <f t="array" ref="AF2098">INDEX('Deal Info'!D:D, MATCH(A2098,'Deal Info'!A:A, 0))</f>
        <v>#N/A</v>
      </c>
      <c r="AG2098" s="43" t="str">
        <f t="array" ref="AG2098">INDEX('Deal Info'!G:G, MATCH(A2098,'Deal Info'!A:A, 0))</f>
        <v>#N/A</v>
      </c>
    </row>
    <row r="2099" hidden="1">
      <c r="A2099" s="23" t="b">
        <f t="array" ref="A2099">if(G2099='Room Info'!$B$1, INDEX('Room Info'!$A$2:$A3446, MATCH(B2099,'Room Info'!$B$2:$B3446, 0)),if(G2099='Room Info'!$C$1, INDEX('Room Info'!$A$2:$A3446, MATCH(B2099,'Room Info'!$C$2:$C3446, 0)),if(G2099='Room Info'!$D$1, INDEX('Room Info'!$A$2:$A3446, MATCH(B2099,'Room Info'!$D$2:$D3446, 0)),if(G2099='Room Info'!$E$1, INDEX('Room Info'!$A$2:$A3446, MATCH(B2099,'Room Info'!$E$2:$E3446, 0)),if(G2099='Room Info'!$F$1, INDEX('Room Info'!$A$2:$A3446, MATCH(B2099,'Room Info'!$F$2:$F3446, 0)),if(G2099='Room Info'!$H$1, INDEX('Room Info'!$A$2:$A3446, MATCH(B2099,'Room Info'!$H$2:$H3446, 0)),if(G2099='Room Info'!$G$1, INDEX('Room Info'!$A$2:$A3446, MATCH(B2099,'Room Info'!$G$2:$G3446, 0)))))))))</f>
        <v>0</v>
      </c>
      <c r="B2099" s="101"/>
      <c r="C2099" s="141"/>
      <c r="D2099" s="141"/>
      <c r="E2099" s="142"/>
      <c r="F2099" s="138"/>
      <c r="G2099" s="101"/>
      <c r="H2099" s="105"/>
      <c r="I2099" s="105"/>
      <c r="J2099" s="44" t="str">
        <f t="shared" si="311"/>
        <v/>
      </c>
      <c r="K2099" s="139"/>
      <c r="L2099" s="140"/>
      <c r="M2099" s="84"/>
      <c r="N2099" s="33">
        <f t="shared" si="276"/>
        <v>0</v>
      </c>
      <c r="O2099" s="101"/>
      <c r="P2099" s="34" t="str">
        <f t="shared" si="277"/>
        <v/>
      </c>
      <c r="Q2099" s="60"/>
      <c r="R2099" s="36">
        <f t="shared" si="312"/>
        <v>0</v>
      </c>
      <c r="S2099" s="102"/>
      <c r="T2099" s="37">
        <f t="shared" si="302"/>
        <v>0</v>
      </c>
      <c r="U2099" s="62"/>
      <c r="V2099" s="63"/>
      <c r="W2099" s="63"/>
      <c r="X2099" s="35" t="str">
        <f t="shared" si="303"/>
        <v>#N/A</v>
      </c>
      <c r="Y2099" s="35" t="str">
        <f t="shared" si="304"/>
        <v>#N/A</v>
      </c>
      <c r="Z2099" s="40" t="str">
        <f t="shared" si="305"/>
        <v>#N/A</v>
      </c>
      <c r="AA2099" s="34" t="str">
        <f t="shared" si="306"/>
        <v>#N/A</v>
      </c>
      <c r="AB2099" s="41" t="str">
        <f t="shared" si="307"/>
        <v>#N/A</v>
      </c>
      <c r="AC2099" s="42" t="b">
        <v>0</v>
      </c>
      <c r="AD2099" s="66" t="str">
        <f t="shared" si="308"/>
        <v>USD</v>
      </c>
      <c r="AE2099" s="42"/>
      <c r="AF2099" s="42" t="str">
        <f t="array" ref="AF2099">INDEX('Deal Info'!D:D, MATCH(A2099,'Deal Info'!A:A, 0))</f>
        <v>#N/A</v>
      </c>
      <c r="AG2099" s="43" t="str">
        <f t="array" ref="AG2099">INDEX('Deal Info'!G:G, MATCH(A2099,'Deal Info'!A:A, 0))</f>
        <v>#N/A</v>
      </c>
    </row>
    <row r="2100" hidden="1">
      <c r="A2100" s="23" t="b">
        <f t="array" ref="A2100">if(G2100='Room Info'!$B$1, INDEX('Room Info'!$A$2:$A3446, MATCH(B2100,'Room Info'!$B$2:$B3446, 0)),if(G2100='Room Info'!$C$1, INDEX('Room Info'!$A$2:$A3446, MATCH(B2100,'Room Info'!$C$2:$C3446, 0)),if(G2100='Room Info'!$D$1, INDEX('Room Info'!$A$2:$A3446, MATCH(B2100,'Room Info'!$D$2:$D3446, 0)),if(G2100='Room Info'!$E$1, INDEX('Room Info'!$A$2:$A3446, MATCH(B2100,'Room Info'!$E$2:$E3446, 0)),if(G2100='Room Info'!$F$1, INDEX('Room Info'!$A$2:$A3446, MATCH(B2100,'Room Info'!$F$2:$F3446, 0)),if(G2100='Room Info'!$H$1, INDEX('Room Info'!$A$2:$A3446, MATCH(B2100,'Room Info'!$H$2:$H3446, 0)),if(G2100='Room Info'!$G$1, INDEX('Room Info'!$A$2:$A3446, MATCH(B2100,'Room Info'!$G$2:$G3446, 0)))))))))</f>
        <v>0</v>
      </c>
      <c r="B2100" s="101"/>
      <c r="C2100" s="141"/>
      <c r="D2100" s="141"/>
      <c r="E2100" s="142"/>
      <c r="F2100" s="138"/>
      <c r="G2100" s="101"/>
      <c r="H2100" s="105"/>
      <c r="I2100" s="105"/>
      <c r="J2100" s="44" t="str">
        <f t="shared" si="311"/>
        <v/>
      </c>
      <c r="K2100" s="139"/>
      <c r="L2100" s="140"/>
      <c r="M2100" s="84"/>
      <c r="N2100" s="33">
        <f t="shared" si="276"/>
        <v>0</v>
      </c>
      <c r="O2100" s="101"/>
      <c r="P2100" s="34" t="str">
        <f t="shared" si="277"/>
        <v/>
      </c>
      <c r="Q2100" s="60"/>
      <c r="R2100" s="36">
        <f t="shared" si="312"/>
        <v>0</v>
      </c>
      <c r="S2100" s="102"/>
      <c r="T2100" s="37">
        <f t="shared" si="302"/>
        <v>0</v>
      </c>
      <c r="U2100" s="62"/>
      <c r="V2100" s="63"/>
      <c r="W2100" s="63"/>
      <c r="X2100" s="35" t="str">
        <f t="shared" si="303"/>
        <v>#N/A</v>
      </c>
      <c r="Y2100" s="35" t="str">
        <f t="shared" si="304"/>
        <v>#N/A</v>
      </c>
      <c r="Z2100" s="40" t="str">
        <f t="shared" si="305"/>
        <v>#N/A</v>
      </c>
      <c r="AA2100" s="34" t="str">
        <f t="shared" si="306"/>
        <v>#N/A</v>
      </c>
      <c r="AB2100" s="41" t="str">
        <f t="shared" si="307"/>
        <v>#N/A</v>
      </c>
      <c r="AC2100" s="42" t="b">
        <v>0</v>
      </c>
      <c r="AD2100" s="66" t="str">
        <f t="shared" si="308"/>
        <v>USD</v>
      </c>
      <c r="AE2100" s="42"/>
      <c r="AF2100" s="42" t="str">
        <f t="array" ref="AF2100">INDEX('Deal Info'!D:D, MATCH(A2100,'Deal Info'!A:A, 0))</f>
        <v>#N/A</v>
      </c>
      <c r="AG2100" s="43" t="str">
        <f t="array" ref="AG2100">INDEX('Deal Info'!G:G, MATCH(A2100,'Deal Info'!A:A, 0))</f>
        <v>#N/A</v>
      </c>
    </row>
    <row r="2101" hidden="1">
      <c r="A2101" s="23" t="b">
        <f t="array" ref="A2101">if(G2101='Room Info'!$B$1, INDEX('Room Info'!$A$2:$A3446, MATCH(B2101,'Room Info'!$B$2:$B3446, 0)),if(G2101='Room Info'!$C$1, INDEX('Room Info'!$A$2:$A3446, MATCH(B2101,'Room Info'!$C$2:$C3446, 0)),if(G2101='Room Info'!$D$1, INDEX('Room Info'!$A$2:$A3446, MATCH(B2101,'Room Info'!$D$2:$D3446, 0)),if(G2101='Room Info'!$E$1, INDEX('Room Info'!$A$2:$A3446, MATCH(B2101,'Room Info'!$E$2:$E3446, 0)),if(G2101='Room Info'!$F$1, INDEX('Room Info'!$A$2:$A3446, MATCH(B2101,'Room Info'!$F$2:$F3446, 0)),if(G2101='Room Info'!$H$1, INDEX('Room Info'!$A$2:$A3446, MATCH(B2101,'Room Info'!$H$2:$H3446, 0)),if(G2101='Room Info'!$G$1, INDEX('Room Info'!$A$2:$A3446, MATCH(B2101,'Room Info'!$G$2:$G3446, 0)))))))))</f>
        <v>0</v>
      </c>
      <c r="B2101" s="101"/>
      <c r="C2101" s="141"/>
      <c r="D2101" s="141"/>
      <c r="E2101" s="142"/>
      <c r="F2101" s="138"/>
      <c r="G2101" s="101"/>
      <c r="H2101" s="105"/>
      <c r="I2101" s="105"/>
      <c r="J2101" s="44" t="str">
        <f t="shared" si="311"/>
        <v/>
      </c>
      <c r="K2101" s="139"/>
      <c r="L2101" s="140"/>
      <c r="M2101" s="84"/>
      <c r="N2101" s="33">
        <f t="shared" si="276"/>
        <v>0</v>
      </c>
      <c r="O2101" s="101"/>
      <c r="P2101" s="34" t="str">
        <f t="shared" si="277"/>
        <v/>
      </c>
      <c r="Q2101" s="60"/>
      <c r="R2101" s="36">
        <f t="shared" si="312"/>
        <v>0</v>
      </c>
      <c r="S2101" s="102"/>
      <c r="T2101" s="37">
        <f t="shared" si="302"/>
        <v>0</v>
      </c>
      <c r="U2101" s="62"/>
      <c r="V2101" s="63"/>
      <c r="W2101" s="63"/>
      <c r="X2101" s="35" t="str">
        <f t="shared" si="303"/>
        <v>#N/A</v>
      </c>
      <c r="Y2101" s="35" t="str">
        <f t="shared" si="304"/>
        <v>#N/A</v>
      </c>
      <c r="Z2101" s="40" t="str">
        <f t="shared" si="305"/>
        <v>#N/A</v>
      </c>
      <c r="AA2101" s="34" t="str">
        <f t="shared" si="306"/>
        <v>#N/A</v>
      </c>
      <c r="AB2101" s="41" t="str">
        <f t="shared" si="307"/>
        <v>#N/A</v>
      </c>
      <c r="AC2101" s="42" t="b">
        <v>0</v>
      </c>
      <c r="AD2101" s="66" t="str">
        <f t="shared" si="308"/>
        <v>USD</v>
      </c>
      <c r="AE2101" s="42"/>
      <c r="AF2101" s="42" t="str">
        <f t="array" ref="AF2101">INDEX('Deal Info'!D:D, MATCH(A2101,'Deal Info'!A:A, 0))</f>
        <v>#N/A</v>
      </c>
      <c r="AG2101" s="43" t="str">
        <f t="array" ref="AG2101">INDEX('Deal Info'!G:G, MATCH(A2101,'Deal Info'!A:A, 0))</f>
        <v>#N/A</v>
      </c>
    </row>
    <row r="2102" hidden="1">
      <c r="A2102" s="23" t="b">
        <f t="array" ref="A2102">if(G2102='Room Info'!$B$1, INDEX('Room Info'!$A$2:$A3446, MATCH(B2102,'Room Info'!$B$2:$B3446, 0)),if(G2102='Room Info'!$C$1, INDEX('Room Info'!$A$2:$A3446, MATCH(B2102,'Room Info'!$C$2:$C3446, 0)),if(G2102='Room Info'!$D$1, INDEX('Room Info'!$A$2:$A3446, MATCH(B2102,'Room Info'!$D$2:$D3446, 0)),if(G2102='Room Info'!$E$1, INDEX('Room Info'!$A$2:$A3446, MATCH(B2102,'Room Info'!$E$2:$E3446, 0)),if(G2102='Room Info'!$F$1, INDEX('Room Info'!$A$2:$A3446, MATCH(B2102,'Room Info'!$F$2:$F3446, 0)),if(G2102='Room Info'!$H$1, INDEX('Room Info'!$A$2:$A3446, MATCH(B2102,'Room Info'!$H$2:$H3446, 0)),if(G2102='Room Info'!$G$1, INDEX('Room Info'!$A$2:$A3446, MATCH(B2102,'Room Info'!$G$2:$G3446, 0)))))))))</f>
        <v>0</v>
      </c>
      <c r="B2102" s="101"/>
      <c r="C2102" s="141"/>
      <c r="D2102" s="141"/>
      <c r="E2102" s="142"/>
      <c r="F2102" s="138"/>
      <c r="G2102" s="101"/>
      <c r="H2102" s="105"/>
      <c r="I2102" s="105"/>
      <c r="J2102" s="44" t="str">
        <f t="shared" si="311"/>
        <v/>
      </c>
      <c r="K2102" s="139"/>
      <c r="L2102" s="140"/>
      <c r="M2102" s="84"/>
      <c r="N2102" s="33">
        <f t="shared" si="276"/>
        <v>0</v>
      </c>
      <c r="O2102" s="101"/>
      <c r="P2102" s="34" t="str">
        <f t="shared" si="277"/>
        <v/>
      </c>
      <c r="Q2102" s="60"/>
      <c r="R2102" s="36">
        <f t="shared" si="312"/>
        <v>0</v>
      </c>
      <c r="S2102" s="102"/>
      <c r="T2102" s="37">
        <f t="shared" si="302"/>
        <v>0</v>
      </c>
      <c r="U2102" s="62"/>
      <c r="V2102" s="63"/>
      <c r="W2102" s="63"/>
      <c r="X2102" s="35" t="str">
        <f t="shared" si="303"/>
        <v>#N/A</v>
      </c>
      <c r="Y2102" s="35" t="str">
        <f t="shared" si="304"/>
        <v>#N/A</v>
      </c>
      <c r="Z2102" s="40" t="str">
        <f t="shared" si="305"/>
        <v>#N/A</v>
      </c>
      <c r="AA2102" s="34" t="str">
        <f t="shared" si="306"/>
        <v>#N/A</v>
      </c>
      <c r="AB2102" s="41" t="str">
        <f t="shared" si="307"/>
        <v>#N/A</v>
      </c>
      <c r="AC2102" s="42" t="b">
        <v>0</v>
      </c>
      <c r="AD2102" s="66" t="str">
        <f t="shared" si="308"/>
        <v>USD</v>
      </c>
      <c r="AE2102" s="42"/>
      <c r="AF2102" s="42" t="str">
        <f t="array" ref="AF2102">INDEX('Deal Info'!D:D, MATCH(A2102,'Deal Info'!A:A, 0))</f>
        <v>#N/A</v>
      </c>
      <c r="AG2102" s="43" t="str">
        <f t="array" ref="AG2102">INDEX('Deal Info'!G:G, MATCH(A2102,'Deal Info'!A:A, 0))</f>
        <v>#N/A</v>
      </c>
    </row>
    <row r="2103" hidden="1">
      <c r="A2103" s="23" t="b">
        <f t="array" ref="A2103">if(G2103='Room Info'!$B$1, INDEX('Room Info'!$A$2:$A3446, MATCH(B2103,'Room Info'!$B$2:$B3446, 0)),if(G2103='Room Info'!$C$1, INDEX('Room Info'!$A$2:$A3446, MATCH(B2103,'Room Info'!$C$2:$C3446, 0)),if(G2103='Room Info'!$D$1, INDEX('Room Info'!$A$2:$A3446, MATCH(B2103,'Room Info'!$D$2:$D3446, 0)),if(G2103='Room Info'!$E$1, INDEX('Room Info'!$A$2:$A3446, MATCH(B2103,'Room Info'!$E$2:$E3446, 0)),if(G2103='Room Info'!$F$1, INDEX('Room Info'!$A$2:$A3446, MATCH(B2103,'Room Info'!$F$2:$F3446, 0)),if(G2103='Room Info'!$H$1, INDEX('Room Info'!$A$2:$A3446, MATCH(B2103,'Room Info'!$H$2:$H3446, 0)),if(G2103='Room Info'!$G$1, INDEX('Room Info'!$A$2:$A3446, MATCH(B2103,'Room Info'!$G$2:$G3446, 0)))))))))</f>
        <v>0</v>
      </c>
      <c r="B2103" s="101"/>
      <c r="C2103" s="141"/>
      <c r="D2103" s="141"/>
      <c r="E2103" s="142"/>
      <c r="F2103" s="138"/>
      <c r="G2103" s="101"/>
      <c r="H2103" s="105"/>
      <c r="I2103" s="105"/>
      <c r="J2103" s="44" t="str">
        <f t="shared" si="311"/>
        <v/>
      </c>
      <c r="K2103" s="139"/>
      <c r="L2103" s="140"/>
      <c r="M2103" s="84"/>
      <c r="N2103" s="33">
        <f t="shared" si="276"/>
        <v>0</v>
      </c>
      <c r="O2103" s="101"/>
      <c r="P2103" s="34" t="str">
        <f t="shared" si="277"/>
        <v/>
      </c>
      <c r="Q2103" s="60"/>
      <c r="R2103" s="36">
        <f t="shared" si="312"/>
        <v>0</v>
      </c>
      <c r="S2103" s="102"/>
      <c r="T2103" s="37">
        <f t="shared" si="302"/>
        <v>0</v>
      </c>
      <c r="U2103" s="62"/>
      <c r="V2103" s="63"/>
      <c r="W2103" s="63"/>
      <c r="X2103" s="35" t="str">
        <f t="shared" si="303"/>
        <v>#N/A</v>
      </c>
      <c r="Y2103" s="35" t="str">
        <f t="shared" si="304"/>
        <v>#N/A</v>
      </c>
      <c r="Z2103" s="40" t="str">
        <f t="shared" si="305"/>
        <v>#N/A</v>
      </c>
      <c r="AA2103" s="34" t="str">
        <f t="shared" si="306"/>
        <v>#N/A</v>
      </c>
      <c r="AB2103" s="41" t="str">
        <f t="shared" si="307"/>
        <v>#N/A</v>
      </c>
      <c r="AC2103" s="42" t="b">
        <v>0</v>
      </c>
      <c r="AD2103" s="66" t="str">
        <f t="shared" si="308"/>
        <v>USD</v>
      </c>
      <c r="AE2103" s="42"/>
      <c r="AF2103" s="42" t="str">
        <f t="array" ref="AF2103">INDEX('Deal Info'!D:D, MATCH(A2103,'Deal Info'!A:A, 0))</f>
        <v>#N/A</v>
      </c>
      <c r="AG2103" s="43" t="str">
        <f t="array" ref="AG2103">INDEX('Deal Info'!G:G, MATCH(A2103,'Deal Info'!A:A, 0))</f>
        <v>#N/A</v>
      </c>
    </row>
    <row r="2104" hidden="1">
      <c r="A2104" s="23" t="b">
        <f t="array" ref="A2104">if(G2104='Room Info'!$B$1, INDEX('Room Info'!$A$2:$A3446, MATCH(B2104,'Room Info'!$B$2:$B3446, 0)),if(G2104='Room Info'!$C$1, INDEX('Room Info'!$A$2:$A3446, MATCH(B2104,'Room Info'!$C$2:$C3446, 0)),if(G2104='Room Info'!$D$1, INDEX('Room Info'!$A$2:$A3446, MATCH(B2104,'Room Info'!$D$2:$D3446, 0)),if(G2104='Room Info'!$E$1, INDEX('Room Info'!$A$2:$A3446, MATCH(B2104,'Room Info'!$E$2:$E3446, 0)),if(G2104='Room Info'!$F$1, INDEX('Room Info'!$A$2:$A3446, MATCH(B2104,'Room Info'!$F$2:$F3446, 0)),if(G2104='Room Info'!$H$1, INDEX('Room Info'!$A$2:$A3446, MATCH(B2104,'Room Info'!$H$2:$H3446, 0)),if(G2104='Room Info'!$G$1, INDEX('Room Info'!$A$2:$A3446, MATCH(B2104,'Room Info'!$G$2:$G3446, 0)))))))))</f>
        <v>0</v>
      </c>
      <c r="B2104" s="70"/>
      <c r="C2104" s="115"/>
      <c r="D2104" s="115"/>
      <c r="E2104" s="85"/>
      <c r="F2104" s="138"/>
      <c r="G2104" s="70"/>
      <c r="H2104" s="114"/>
      <c r="I2104" s="114"/>
      <c r="J2104" s="44" t="str">
        <f t="shared" si="311"/>
        <v/>
      </c>
      <c r="K2104" s="116"/>
      <c r="L2104" s="117"/>
      <c r="M2104" s="67"/>
      <c r="N2104" s="33">
        <f t="shared" si="276"/>
        <v>0</v>
      </c>
      <c r="O2104" s="70"/>
      <c r="P2104" s="34" t="str">
        <f t="shared" si="277"/>
        <v/>
      </c>
      <c r="Q2104" s="60"/>
      <c r="R2104" s="36">
        <f t="shared" si="312"/>
        <v>0</v>
      </c>
      <c r="S2104" s="71"/>
      <c r="T2104" s="37">
        <f t="shared" si="302"/>
        <v>0</v>
      </c>
      <c r="U2104" s="62"/>
      <c r="V2104" s="63"/>
      <c r="W2104" s="63"/>
      <c r="X2104" s="35" t="str">
        <f t="shared" si="303"/>
        <v>#N/A</v>
      </c>
      <c r="Y2104" s="35" t="str">
        <f t="shared" si="304"/>
        <v>#N/A</v>
      </c>
      <c r="Z2104" s="40" t="str">
        <f t="shared" si="305"/>
        <v>#N/A</v>
      </c>
      <c r="AA2104" s="34" t="str">
        <f t="shared" si="306"/>
        <v>#N/A</v>
      </c>
      <c r="AB2104" s="41" t="str">
        <f t="shared" si="307"/>
        <v>#N/A</v>
      </c>
      <c r="AC2104" s="42" t="b">
        <v>0</v>
      </c>
      <c r="AD2104" s="66" t="str">
        <f t="shared" si="308"/>
        <v>USD</v>
      </c>
      <c r="AE2104" s="42"/>
      <c r="AF2104" s="42" t="str">
        <f t="array" ref="AF2104">INDEX('Deal Info'!D:D, MATCH(A2104,'Deal Info'!A:A, 0))</f>
        <v>#N/A</v>
      </c>
      <c r="AG2104" s="43" t="str">
        <f t="array" ref="AG2104">INDEX('Deal Info'!G:G, MATCH(A2104,'Deal Info'!A:A, 0))</f>
        <v>#N/A</v>
      </c>
    </row>
    <row r="2105" hidden="1">
      <c r="A2105" s="23" t="b">
        <f t="array" ref="A2105">if(G2105='Room Info'!$B$1, INDEX('Room Info'!$A$2:$A3446, MATCH(B2105,'Room Info'!$B$2:$B3446, 0)),if(G2105='Room Info'!$C$1, INDEX('Room Info'!$A$2:$A3446, MATCH(B2105,'Room Info'!$C$2:$C3446, 0)),if(G2105='Room Info'!$D$1, INDEX('Room Info'!$A$2:$A3446, MATCH(B2105,'Room Info'!$D$2:$D3446, 0)),if(G2105='Room Info'!$E$1, INDEX('Room Info'!$A$2:$A3446, MATCH(B2105,'Room Info'!$E$2:$E3446, 0)),if(G2105='Room Info'!$F$1, INDEX('Room Info'!$A$2:$A3446, MATCH(B2105,'Room Info'!$F$2:$F3446, 0)),if(G2105='Room Info'!$H$1, INDEX('Room Info'!$A$2:$A3446, MATCH(B2105,'Room Info'!$H$2:$H3446, 0)),if(G2105='Room Info'!$G$1, INDEX('Room Info'!$A$2:$A3446, MATCH(B2105,'Room Info'!$G$2:$G3446, 0)))))))))</f>
        <v>0</v>
      </c>
      <c r="B2105" s="70"/>
      <c r="C2105" s="115"/>
      <c r="D2105" s="115"/>
      <c r="E2105" s="85"/>
      <c r="F2105" s="138"/>
      <c r="G2105" s="70"/>
      <c r="H2105" s="114"/>
      <c r="I2105" s="114"/>
      <c r="J2105" s="44" t="str">
        <f t="shared" si="311"/>
        <v/>
      </c>
      <c r="K2105" s="116"/>
      <c r="L2105" s="117"/>
      <c r="M2105" s="67"/>
      <c r="N2105" s="33">
        <f t="shared" si="276"/>
        <v>0</v>
      </c>
      <c r="O2105" s="70"/>
      <c r="P2105" s="34" t="str">
        <f t="shared" si="277"/>
        <v/>
      </c>
      <c r="Q2105" s="60"/>
      <c r="R2105" s="36">
        <f t="shared" si="312"/>
        <v>0</v>
      </c>
      <c r="S2105" s="71"/>
      <c r="T2105" s="37">
        <f t="shared" si="302"/>
        <v>0</v>
      </c>
      <c r="U2105" s="62"/>
      <c r="V2105" s="63"/>
      <c r="W2105" s="63"/>
      <c r="X2105" s="35" t="str">
        <f t="shared" si="303"/>
        <v>#N/A</v>
      </c>
      <c r="Y2105" s="35" t="str">
        <f t="shared" si="304"/>
        <v>#N/A</v>
      </c>
      <c r="Z2105" s="40" t="str">
        <f t="shared" si="305"/>
        <v>#N/A</v>
      </c>
      <c r="AA2105" s="34" t="str">
        <f t="shared" si="306"/>
        <v>#N/A</v>
      </c>
      <c r="AB2105" s="41" t="str">
        <f t="shared" si="307"/>
        <v>#N/A</v>
      </c>
      <c r="AC2105" s="42" t="b">
        <v>0</v>
      </c>
      <c r="AD2105" s="66" t="str">
        <f t="shared" si="308"/>
        <v>USD</v>
      </c>
      <c r="AE2105" s="42"/>
      <c r="AF2105" s="42" t="str">
        <f t="array" ref="AF2105">INDEX('Deal Info'!D:D, MATCH(A2105,'Deal Info'!A:A, 0))</f>
        <v>#N/A</v>
      </c>
      <c r="AG2105" s="43" t="str">
        <f t="array" ref="AG2105">INDEX('Deal Info'!G:G, MATCH(A2105,'Deal Info'!A:A, 0))</f>
        <v>#N/A</v>
      </c>
    </row>
    <row r="2106" hidden="1">
      <c r="A2106" s="23" t="b">
        <f t="array" ref="A2106">if(G2106='Room Info'!$B$1, INDEX('Room Info'!$A$2:$A3446, MATCH(B2106,'Room Info'!$B$2:$B3446, 0)),if(G2106='Room Info'!$C$1, INDEX('Room Info'!$A$2:$A3446, MATCH(B2106,'Room Info'!$C$2:$C3446, 0)),if(G2106='Room Info'!$D$1, INDEX('Room Info'!$A$2:$A3446, MATCH(B2106,'Room Info'!$D$2:$D3446, 0)),if(G2106='Room Info'!$E$1, INDEX('Room Info'!$A$2:$A3446, MATCH(B2106,'Room Info'!$E$2:$E3446, 0)),if(G2106='Room Info'!$F$1, INDEX('Room Info'!$A$2:$A3446, MATCH(B2106,'Room Info'!$F$2:$F3446, 0)),if(G2106='Room Info'!$H$1, INDEX('Room Info'!$A$2:$A3446, MATCH(B2106,'Room Info'!$H$2:$H3446, 0)),if(G2106='Room Info'!$G$1, INDEX('Room Info'!$A$2:$A3446, MATCH(B2106,'Room Info'!$G$2:$G3446, 0)))))))))</f>
        <v>0</v>
      </c>
      <c r="B2106" s="70"/>
      <c r="C2106" s="115"/>
      <c r="D2106" s="115"/>
      <c r="E2106" s="85"/>
      <c r="F2106" s="138"/>
      <c r="G2106" s="70"/>
      <c r="H2106" s="114"/>
      <c r="I2106" s="114"/>
      <c r="J2106" s="44" t="str">
        <f t="shared" si="311"/>
        <v/>
      </c>
      <c r="K2106" s="116"/>
      <c r="L2106" s="117"/>
      <c r="M2106" s="67"/>
      <c r="N2106" s="33">
        <f t="shared" si="276"/>
        <v>0</v>
      </c>
      <c r="O2106" s="70"/>
      <c r="P2106" s="34" t="str">
        <f t="shared" si="277"/>
        <v/>
      </c>
      <c r="Q2106" s="60"/>
      <c r="R2106" s="36">
        <f t="shared" si="312"/>
        <v>0</v>
      </c>
      <c r="S2106" s="71"/>
      <c r="T2106" s="37">
        <f t="shared" si="302"/>
        <v>0</v>
      </c>
      <c r="U2106" s="62"/>
      <c r="V2106" s="63"/>
      <c r="W2106" s="63"/>
      <c r="X2106" s="35" t="str">
        <f t="shared" si="303"/>
        <v>#N/A</v>
      </c>
      <c r="Y2106" s="35" t="str">
        <f t="shared" si="304"/>
        <v>#N/A</v>
      </c>
      <c r="Z2106" s="40" t="str">
        <f t="shared" si="305"/>
        <v>#N/A</v>
      </c>
      <c r="AA2106" s="34" t="str">
        <f t="shared" si="306"/>
        <v>#N/A</v>
      </c>
      <c r="AB2106" s="41" t="str">
        <f t="shared" si="307"/>
        <v>#N/A</v>
      </c>
      <c r="AC2106" s="42" t="b">
        <v>0</v>
      </c>
      <c r="AD2106" s="66" t="str">
        <f t="shared" si="308"/>
        <v>USD</v>
      </c>
      <c r="AE2106" s="42"/>
      <c r="AF2106" s="42" t="str">
        <f t="array" ref="AF2106">INDEX('Deal Info'!D:D, MATCH(A2106,'Deal Info'!A:A, 0))</f>
        <v>#N/A</v>
      </c>
      <c r="AG2106" s="43" t="str">
        <f t="array" ref="AG2106">INDEX('Deal Info'!G:G, MATCH(A2106,'Deal Info'!A:A, 0))</f>
        <v>#N/A</v>
      </c>
    </row>
    <row r="2107" hidden="1">
      <c r="A2107" s="23" t="b">
        <f t="array" ref="A2107">if(G2107='Room Info'!$B$1, INDEX('Room Info'!$A$2:$A3446, MATCH(B2107,'Room Info'!$B$2:$B3446, 0)),if(G2107='Room Info'!$C$1, INDEX('Room Info'!$A$2:$A3446, MATCH(B2107,'Room Info'!$C$2:$C3446, 0)),if(G2107='Room Info'!$D$1, INDEX('Room Info'!$A$2:$A3446, MATCH(B2107,'Room Info'!$D$2:$D3446, 0)),if(G2107='Room Info'!$E$1, INDEX('Room Info'!$A$2:$A3446, MATCH(B2107,'Room Info'!$E$2:$E3446, 0)),if(G2107='Room Info'!$F$1, INDEX('Room Info'!$A$2:$A3446, MATCH(B2107,'Room Info'!$F$2:$F3446, 0)),if(G2107='Room Info'!$H$1, INDEX('Room Info'!$A$2:$A3446, MATCH(B2107,'Room Info'!$H$2:$H3446, 0)),if(G2107='Room Info'!$G$1, INDEX('Room Info'!$A$2:$A3446, MATCH(B2107,'Room Info'!$G$2:$G3446, 0)))))))))</f>
        <v>0</v>
      </c>
      <c r="B2107" s="70"/>
      <c r="C2107" s="115"/>
      <c r="D2107" s="115"/>
      <c r="E2107" s="85"/>
      <c r="F2107" s="138"/>
      <c r="G2107" s="70"/>
      <c r="H2107" s="114"/>
      <c r="I2107" s="114"/>
      <c r="J2107" s="44" t="str">
        <f t="shared" si="311"/>
        <v/>
      </c>
      <c r="K2107" s="116"/>
      <c r="L2107" s="117"/>
      <c r="M2107" s="67"/>
      <c r="N2107" s="33">
        <f t="shared" si="276"/>
        <v>0</v>
      </c>
      <c r="O2107" s="70"/>
      <c r="P2107" s="34" t="str">
        <f t="shared" si="277"/>
        <v/>
      </c>
      <c r="Q2107" s="60"/>
      <c r="R2107" s="36">
        <f t="shared" si="312"/>
        <v>0</v>
      </c>
      <c r="S2107" s="71"/>
      <c r="T2107" s="37">
        <f t="shared" si="302"/>
        <v>0</v>
      </c>
      <c r="U2107" s="62"/>
      <c r="V2107" s="63"/>
      <c r="W2107" s="63"/>
      <c r="X2107" s="35" t="str">
        <f t="shared" si="303"/>
        <v>#N/A</v>
      </c>
      <c r="Y2107" s="35" t="str">
        <f t="shared" si="304"/>
        <v>#N/A</v>
      </c>
      <c r="Z2107" s="40" t="str">
        <f t="shared" si="305"/>
        <v>#N/A</v>
      </c>
      <c r="AA2107" s="34" t="str">
        <f t="shared" si="306"/>
        <v>#N/A</v>
      </c>
      <c r="AB2107" s="41" t="str">
        <f t="shared" si="307"/>
        <v>#N/A</v>
      </c>
      <c r="AC2107" s="42" t="b">
        <v>0</v>
      </c>
      <c r="AD2107" s="66" t="str">
        <f t="shared" si="308"/>
        <v>USD</v>
      </c>
      <c r="AE2107" s="42"/>
      <c r="AF2107" s="42" t="str">
        <f t="array" ref="AF2107">INDEX('Deal Info'!D:D, MATCH(A2107,'Deal Info'!A:A, 0))</f>
        <v>#N/A</v>
      </c>
      <c r="AG2107" s="43" t="str">
        <f t="array" ref="AG2107">INDEX('Deal Info'!G:G, MATCH(A2107,'Deal Info'!A:A, 0))</f>
        <v>#N/A</v>
      </c>
    </row>
    <row r="2108" hidden="1">
      <c r="A2108" s="23" t="b">
        <f t="array" ref="A2108">if(G2108='Room Info'!$B$1, INDEX('Room Info'!$A$2:$A3446, MATCH(B2108,'Room Info'!$B$2:$B3446, 0)),if(G2108='Room Info'!$C$1, INDEX('Room Info'!$A$2:$A3446, MATCH(B2108,'Room Info'!$C$2:$C3446, 0)),if(G2108='Room Info'!$D$1, INDEX('Room Info'!$A$2:$A3446, MATCH(B2108,'Room Info'!$D$2:$D3446, 0)),if(G2108='Room Info'!$E$1, INDEX('Room Info'!$A$2:$A3446, MATCH(B2108,'Room Info'!$E$2:$E3446, 0)),if(G2108='Room Info'!$F$1, INDEX('Room Info'!$A$2:$A3446, MATCH(B2108,'Room Info'!$F$2:$F3446, 0)),if(G2108='Room Info'!$H$1, INDEX('Room Info'!$A$2:$A3446, MATCH(B2108,'Room Info'!$H$2:$H3446, 0)),if(G2108='Room Info'!$G$1, INDEX('Room Info'!$A$2:$A3446, MATCH(B2108,'Room Info'!$G$2:$G3446, 0)))))))))</f>
        <v>0</v>
      </c>
      <c r="B2108" s="70"/>
      <c r="C2108" s="115"/>
      <c r="D2108" s="115"/>
      <c r="E2108" s="85"/>
      <c r="F2108" s="138"/>
      <c r="G2108" s="70"/>
      <c r="H2108" s="114"/>
      <c r="I2108" s="114"/>
      <c r="J2108" s="44" t="str">
        <f t="shared" si="311"/>
        <v/>
      </c>
      <c r="K2108" s="116"/>
      <c r="L2108" s="117"/>
      <c r="M2108" s="67"/>
      <c r="N2108" s="33">
        <f t="shared" si="276"/>
        <v>0</v>
      </c>
      <c r="O2108" s="70"/>
      <c r="P2108" s="34" t="str">
        <f t="shared" si="277"/>
        <v/>
      </c>
      <c r="Q2108" s="60"/>
      <c r="R2108" s="36">
        <f t="shared" si="312"/>
        <v>0</v>
      </c>
      <c r="S2108" s="71"/>
      <c r="T2108" s="37">
        <f t="shared" si="302"/>
        <v>0</v>
      </c>
      <c r="U2108" s="62"/>
      <c r="V2108" s="63"/>
      <c r="W2108" s="63"/>
      <c r="X2108" s="35" t="str">
        <f t="shared" si="303"/>
        <v>#N/A</v>
      </c>
      <c r="Y2108" s="35" t="str">
        <f t="shared" si="304"/>
        <v>#N/A</v>
      </c>
      <c r="Z2108" s="40" t="str">
        <f t="shared" si="305"/>
        <v>#N/A</v>
      </c>
      <c r="AA2108" s="34" t="str">
        <f t="shared" si="306"/>
        <v>#N/A</v>
      </c>
      <c r="AB2108" s="41" t="str">
        <f t="shared" si="307"/>
        <v>#N/A</v>
      </c>
      <c r="AC2108" s="42" t="b">
        <v>0</v>
      </c>
      <c r="AD2108" s="66" t="str">
        <f t="shared" si="308"/>
        <v>USD</v>
      </c>
      <c r="AE2108" s="42"/>
      <c r="AF2108" s="42" t="str">
        <f t="array" ref="AF2108">INDEX('Deal Info'!D:D, MATCH(A2108,'Deal Info'!A:A, 0))</f>
        <v>#N/A</v>
      </c>
      <c r="AG2108" s="43" t="str">
        <f t="array" ref="AG2108">INDEX('Deal Info'!G:G, MATCH(A2108,'Deal Info'!A:A, 0))</f>
        <v>#N/A</v>
      </c>
    </row>
    <row r="2109" hidden="1">
      <c r="A2109" s="23" t="b">
        <f t="array" ref="A2109">if(G2109='Room Info'!$B$1, INDEX('Room Info'!$A$2:$A3446, MATCH(B2109,'Room Info'!$B$2:$B3446, 0)),if(G2109='Room Info'!$C$1, INDEX('Room Info'!$A$2:$A3446, MATCH(B2109,'Room Info'!$C$2:$C3446, 0)),if(G2109='Room Info'!$D$1, INDEX('Room Info'!$A$2:$A3446, MATCH(B2109,'Room Info'!$D$2:$D3446, 0)),if(G2109='Room Info'!$E$1, INDEX('Room Info'!$A$2:$A3446, MATCH(B2109,'Room Info'!$E$2:$E3446, 0)),if(G2109='Room Info'!$F$1, INDEX('Room Info'!$A$2:$A3446, MATCH(B2109,'Room Info'!$F$2:$F3446, 0)),if(G2109='Room Info'!$H$1, INDEX('Room Info'!$A$2:$A3446, MATCH(B2109,'Room Info'!$H$2:$H3446, 0)),if(G2109='Room Info'!$G$1, INDEX('Room Info'!$A$2:$A3446, MATCH(B2109,'Room Info'!$G$2:$G3446, 0)))))))))</f>
        <v>0</v>
      </c>
      <c r="B2109" s="70"/>
      <c r="C2109" s="115"/>
      <c r="D2109" s="115"/>
      <c r="E2109" s="85"/>
      <c r="F2109" s="138"/>
      <c r="G2109" s="70"/>
      <c r="H2109" s="114"/>
      <c r="I2109" s="114"/>
      <c r="J2109" s="44" t="str">
        <f t="shared" si="311"/>
        <v/>
      </c>
      <c r="K2109" s="116"/>
      <c r="L2109" s="143"/>
      <c r="M2109" s="67"/>
      <c r="N2109" s="33">
        <f t="shared" si="276"/>
        <v>0</v>
      </c>
      <c r="O2109" s="133"/>
      <c r="P2109" s="34" t="str">
        <f t="shared" si="277"/>
        <v/>
      </c>
      <c r="Q2109" s="60"/>
      <c r="R2109" s="36">
        <f t="shared" si="312"/>
        <v>0</v>
      </c>
      <c r="S2109" s="122"/>
      <c r="T2109" s="37">
        <f t="shared" si="302"/>
        <v>0</v>
      </c>
      <c r="U2109" s="62"/>
      <c r="V2109" s="63"/>
      <c r="W2109" s="63"/>
      <c r="X2109" s="35" t="str">
        <f t="shared" si="303"/>
        <v>#N/A</v>
      </c>
      <c r="Y2109" s="35" t="str">
        <f t="shared" si="304"/>
        <v>#N/A</v>
      </c>
      <c r="Z2109" s="40" t="str">
        <f t="shared" si="305"/>
        <v>#N/A</v>
      </c>
      <c r="AA2109" s="34" t="str">
        <f t="shared" si="306"/>
        <v>#N/A</v>
      </c>
      <c r="AB2109" s="41" t="str">
        <f t="shared" si="307"/>
        <v>#N/A</v>
      </c>
      <c r="AC2109" s="42" t="b">
        <v>0</v>
      </c>
      <c r="AD2109" s="66" t="str">
        <f t="shared" si="308"/>
        <v>USD</v>
      </c>
      <c r="AE2109" s="42"/>
      <c r="AF2109" s="42" t="str">
        <f t="array" ref="AF2109">INDEX('Deal Info'!D:D, MATCH(A2109,'Deal Info'!A:A, 0))</f>
        <v>#N/A</v>
      </c>
      <c r="AG2109" s="43" t="str">
        <f t="array" ref="AG2109">INDEX('Deal Info'!G:G, MATCH(A2109,'Deal Info'!A:A, 0))</f>
        <v>#N/A</v>
      </c>
    </row>
    <row r="2110" hidden="1">
      <c r="A2110" s="23" t="b">
        <f t="array" ref="A2110">if(G2110='Room Info'!$B$1, INDEX('Room Info'!$A$2:$A3446, MATCH(B2110,'Room Info'!$B$2:$B3446, 0)),if(G2110='Room Info'!$C$1, INDEX('Room Info'!$A$2:$A3446, MATCH(B2110,'Room Info'!$C$2:$C3446, 0)),if(G2110='Room Info'!$D$1, INDEX('Room Info'!$A$2:$A3446, MATCH(B2110,'Room Info'!$D$2:$D3446, 0)),if(G2110='Room Info'!$E$1, INDEX('Room Info'!$A$2:$A3446, MATCH(B2110,'Room Info'!$E$2:$E3446, 0)),if(G2110='Room Info'!$F$1, INDEX('Room Info'!$A$2:$A3446, MATCH(B2110,'Room Info'!$F$2:$F3446, 0)),if(G2110='Room Info'!$H$1, INDEX('Room Info'!$A$2:$A3446, MATCH(B2110,'Room Info'!$H$2:$H3446, 0)),if(G2110='Room Info'!$G$1, INDEX('Room Info'!$A$2:$A3446, MATCH(B2110,'Room Info'!$G$2:$G3446, 0)))))))))</f>
        <v>0</v>
      </c>
      <c r="B2110" s="70"/>
      <c r="C2110" s="115"/>
      <c r="D2110" s="115"/>
      <c r="E2110" s="85"/>
      <c r="F2110" s="138"/>
      <c r="G2110" s="70"/>
      <c r="H2110" s="114"/>
      <c r="I2110" s="114"/>
      <c r="J2110" s="44" t="str">
        <f t="shared" si="311"/>
        <v/>
      </c>
      <c r="K2110" s="116"/>
      <c r="L2110" s="143"/>
      <c r="M2110" s="67"/>
      <c r="N2110" s="33">
        <f t="shared" si="276"/>
        <v>0</v>
      </c>
      <c r="O2110" s="133"/>
      <c r="P2110" s="34" t="str">
        <f t="shared" si="277"/>
        <v/>
      </c>
      <c r="Q2110" s="60"/>
      <c r="R2110" s="36">
        <f t="shared" si="312"/>
        <v>0</v>
      </c>
      <c r="S2110" s="122"/>
      <c r="T2110" s="37">
        <f t="shared" si="302"/>
        <v>0</v>
      </c>
      <c r="U2110" s="62"/>
      <c r="V2110" s="63"/>
      <c r="W2110" s="63"/>
      <c r="X2110" s="35" t="str">
        <f t="shared" si="303"/>
        <v>#N/A</v>
      </c>
      <c r="Y2110" s="35" t="str">
        <f t="shared" si="304"/>
        <v>#N/A</v>
      </c>
      <c r="Z2110" s="40" t="str">
        <f t="shared" si="305"/>
        <v>#N/A</v>
      </c>
      <c r="AA2110" s="34" t="str">
        <f t="shared" si="306"/>
        <v>#N/A</v>
      </c>
      <c r="AB2110" s="41" t="str">
        <f t="shared" si="307"/>
        <v>#N/A</v>
      </c>
      <c r="AC2110" s="42" t="b">
        <v>0</v>
      </c>
      <c r="AD2110" s="66" t="str">
        <f t="shared" si="308"/>
        <v>USD</v>
      </c>
      <c r="AE2110" s="42"/>
      <c r="AF2110" s="42" t="str">
        <f t="array" ref="AF2110">INDEX('Deal Info'!D:D, MATCH(A2110,'Deal Info'!A:A, 0))</f>
        <v>#N/A</v>
      </c>
      <c r="AG2110" s="43" t="str">
        <f t="array" ref="AG2110">INDEX('Deal Info'!G:G, MATCH(A2110,'Deal Info'!A:A, 0))</f>
        <v>#N/A</v>
      </c>
    </row>
    <row r="2111" hidden="1">
      <c r="A2111" s="23" t="b">
        <f t="array" ref="A2111">if(G2111='Room Info'!$B$1, INDEX('Room Info'!$A$2:$A3446, MATCH(B2111,'Room Info'!$B$2:$B3446, 0)),if(G2111='Room Info'!$C$1, INDEX('Room Info'!$A$2:$A3446, MATCH(B2111,'Room Info'!$C$2:$C3446, 0)),if(G2111='Room Info'!$D$1, INDEX('Room Info'!$A$2:$A3446, MATCH(B2111,'Room Info'!$D$2:$D3446, 0)),if(G2111='Room Info'!$E$1, INDEX('Room Info'!$A$2:$A3446, MATCH(B2111,'Room Info'!$E$2:$E3446, 0)),if(G2111='Room Info'!$F$1, INDEX('Room Info'!$A$2:$A3446, MATCH(B2111,'Room Info'!$F$2:$F3446, 0)),if(G2111='Room Info'!$H$1, INDEX('Room Info'!$A$2:$A3446, MATCH(B2111,'Room Info'!$H$2:$H3446, 0)),if(G2111='Room Info'!$G$1, INDEX('Room Info'!$A$2:$A3446, MATCH(B2111,'Room Info'!$G$2:$G3446, 0)))))))))</f>
        <v>0</v>
      </c>
      <c r="B2111" s="101"/>
      <c r="C2111" s="115"/>
      <c r="D2111" s="115"/>
      <c r="E2111" s="85"/>
      <c r="F2111" s="101"/>
      <c r="G2111" s="70"/>
      <c r="H2111" s="114"/>
      <c r="I2111" s="114"/>
      <c r="J2111" s="44" t="str">
        <f t="shared" si="311"/>
        <v/>
      </c>
      <c r="K2111" s="116"/>
      <c r="L2111" s="117"/>
      <c r="M2111" s="67"/>
      <c r="N2111" s="33">
        <f t="shared" si="276"/>
        <v>0</v>
      </c>
      <c r="O2111" s="70"/>
      <c r="P2111" s="34" t="str">
        <f t="shared" si="277"/>
        <v/>
      </c>
      <c r="Q2111" s="60"/>
      <c r="R2111" s="36">
        <f t="shared" si="312"/>
        <v>0</v>
      </c>
      <c r="S2111" s="71"/>
      <c r="T2111" s="37">
        <f t="shared" si="302"/>
        <v>0</v>
      </c>
      <c r="U2111" s="62"/>
      <c r="V2111" s="63"/>
      <c r="W2111" s="63"/>
      <c r="X2111" s="35" t="str">
        <f t="shared" si="303"/>
        <v>#N/A</v>
      </c>
      <c r="Y2111" s="35" t="str">
        <f t="shared" si="304"/>
        <v>#N/A</v>
      </c>
      <c r="Z2111" s="40" t="str">
        <f t="shared" si="305"/>
        <v>#N/A</v>
      </c>
      <c r="AA2111" s="34" t="str">
        <f t="shared" si="306"/>
        <v>#N/A</v>
      </c>
      <c r="AB2111" s="41" t="str">
        <f t="shared" si="307"/>
        <v>#N/A</v>
      </c>
      <c r="AC2111" s="42" t="b">
        <v>0</v>
      </c>
      <c r="AD2111" s="66" t="str">
        <f t="shared" si="308"/>
        <v>USD</v>
      </c>
      <c r="AE2111" s="42"/>
      <c r="AF2111" s="42" t="str">
        <f t="array" ref="AF2111">INDEX('Deal Info'!D:D, MATCH(A2111,'Deal Info'!A:A, 0))</f>
        <v>#N/A</v>
      </c>
      <c r="AG2111" s="43" t="str">
        <f t="array" ref="AG2111">INDEX('Deal Info'!G:G, MATCH(A2111,'Deal Info'!A:A, 0))</f>
        <v>#N/A</v>
      </c>
    </row>
    <row r="2112" hidden="1">
      <c r="A2112" s="23" t="b">
        <f t="array" ref="A2112">if(G2112='Room Info'!$B$1, INDEX('Room Info'!$A$2:$A3446, MATCH(B2112,'Room Info'!$B$2:$B3446, 0)),if(G2112='Room Info'!$C$1, INDEX('Room Info'!$A$2:$A3446, MATCH(B2112,'Room Info'!$C$2:$C3446, 0)),if(G2112='Room Info'!$D$1, INDEX('Room Info'!$A$2:$A3446, MATCH(B2112,'Room Info'!$D$2:$D3446, 0)),if(G2112='Room Info'!$E$1, INDEX('Room Info'!$A$2:$A3446, MATCH(B2112,'Room Info'!$E$2:$E3446, 0)),if(G2112='Room Info'!$F$1, INDEX('Room Info'!$A$2:$A3446, MATCH(B2112,'Room Info'!$F$2:$F3446, 0)),if(G2112='Room Info'!$H$1, INDEX('Room Info'!$A$2:$A3446, MATCH(B2112,'Room Info'!$H$2:$H3446, 0)),if(G2112='Room Info'!$G$1, INDEX('Room Info'!$A$2:$A3446, MATCH(B2112,'Room Info'!$G$2:$G3446, 0)))))))))</f>
        <v>0</v>
      </c>
      <c r="B2112" s="101"/>
      <c r="C2112" s="115"/>
      <c r="D2112" s="115"/>
      <c r="E2112" s="85"/>
      <c r="F2112" s="101"/>
      <c r="G2112" s="70"/>
      <c r="H2112" s="114"/>
      <c r="I2112" s="114"/>
      <c r="J2112" s="44" t="str">
        <f t="shared" si="311"/>
        <v/>
      </c>
      <c r="K2112" s="116"/>
      <c r="L2112" s="117"/>
      <c r="M2112" s="67"/>
      <c r="N2112" s="33">
        <f t="shared" si="276"/>
        <v>0</v>
      </c>
      <c r="O2112" s="70"/>
      <c r="P2112" s="34" t="str">
        <f t="shared" si="277"/>
        <v/>
      </c>
      <c r="Q2112" s="60"/>
      <c r="R2112" s="36">
        <f t="shared" si="312"/>
        <v>0</v>
      </c>
      <c r="S2112" s="71"/>
      <c r="T2112" s="37">
        <f t="shared" si="302"/>
        <v>0</v>
      </c>
      <c r="U2112" s="62"/>
      <c r="V2112" s="63"/>
      <c r="W2112" s="63"/>
      <c r="X2112" s="35" t="str">
        <f t="shared" si="303"/>
        <v>#N/A</v>
      </c>
      <c r="Y2112" s="35" t="str">
        <f t="shared" si="304"/>
        <v>#N/A</v>
      </c>
      <c r="Z2112" s="40" t="str">
        <f t="shared" si="305"/>
        <v>#N/A</v>
      </c>
      <c r="AA2112" s="34" t="str">
        <f t="shared" si="306"/>
        <v>#N/A</v>
      </c>
      <c r="AB2112" s="41" t="str">
        <f t="shared" si="307"/>
        <v>#N/A</v>
      </c>
      <c r="AC2112" s="42" t="b">
        <v>0</v>
      </c>
      <c r="AD2112" s="66" t="str">
        <f t="shared" si="308"/>
        <v>USD</v>
      </c>
      <c r="AE2112" s="42"/>
      <c r="AF2112" s="42" t="str">
        <f t="array" ref="AF2112">INDEX('Deal Info'!D:D, MATCH(A2112,'Deal Info'!A:A, 0))</f>
        <v>#N/A</v>
      </c>
      <c r="AG2112" s="43" t="str">
        <f t="array" ref="AG2112">INDEX('Deal Info'!G:G, MATCH(A2112,'Deal Info'!A:A, 0))</f>
        <v>#N/A</v>
      </c>
    </row>
    <row r="2113" hidden="1">
      <c r="A2113" s="23" t="b">
        <f t="array" ref="A2113">if(G2113='Room Info'!$B$1, INDEX('Room Info'!$A$2:$A3446, MATCH(B2113,'Room Info'!$B$2:$B3446, 0)),if(G2113='Room Info'!$C$1, INDEX('Room Info'!$A$2:$A3446, MATCH(B2113,'Room Info'!$C$2:$C3446, 0)),if(G2113='Room Info'!$D$1, INDEX('Room Info'!$A$2:$A3446, MATCH(B2113,'Room Info'!$D$2:$D3446, 0)),if(G2113='Room Info'!$E$1, INDEX('Room Info'!$A$2:$A3446, MATCH(B2113,'Room Info'!$E$2:$E3446, 0)),if(G2113='Room Info'!$F$1, INDEX('Room Info'!$A$2:$A3446, MATCH(B2113,'Room Info'!$F$2:$F3446, 0)),if(G2113='Room Info'!$H$1, INDEX('Room Info'!$A$2:$A3446, MATCH(B2113,'Room Info'!$H$2:$H3446, 0)),if(G2113='Room Info'!$G$1, INDEX('Room Info'!$A$2:$A3446, MATCH(B2113,'Room Info'!$G$2:$G3446, 0)))))))))</f>
        <v>0</v>
      </c>
      <c r="B2113" s="101"/>
      <c r="C2113" s="141"/>
      <c r="D2113" s="141"/>
      <c r="E2113" s="142"/>
      <c r="F2113" s="138"/>
      <c r="G2113" s="101"/>
      <c r="H2113" s="105"/>
      <c r="I2113" s="105"/>
      <c r="J2113" s="44" t="str">
        <f t="shared" si="311"/>
        <v/>
      </c>
      <c r="K2113" s="139"/>
      <c r="L2113" s="140"/>
      <c r="M2113" s="84"/>
      <c r="N2113" s="33">
        <f t="shared" si="276"/>
        <v>0</v>
      </c>
      <c r="O2113" s="101"/>
      <c r="P2113" s="34" t="str">
        <f t="shared" si="277"/>
        <v/>
      </c>
      <c r="Q2113" s="60"/>
      <c r="R2113" s="36">
        <f t="shared" si="312"/>
        <v>0</v>
      </c>
      <c r="S2113" s="102"/>
      <c r="T2113" s="37">
        <f t="shared" si="302"/>
        <v>0</v>
      </c>
      <c r="U2113" s="62"/>
      <c r="V2113" s="63"/>
      <c r="W2113" s="63"/>
      <c r="X2113" s="35" t="str">
        <f t="shared" si="303"/>
        <v>#N/A</v>
      </c>
      <c r="Y2113" s="35" t="str">
        <f t="shared" si="304"/>
        <v>#N/A</v>
      </c>
      <c r="Z2113" s="40" t="str">
        <f t="shared" si="305"/>
        <v>#N/A</v>
      </c>
      <c r="AA2113" s="34" t="str">
        <f t="shared" si="306"/>
        <v>#N/A</v>
      </c>
      <c r="AB2113" s="41" t="str">
        <f t="shared" si="307"/>
        <v>#N/A</v>
      </c>
      <c r="AC2113" s="42" t="b">
        <v>0</v>
      </c>
      <c r="AD2113" s="66" t="str">
        <f t="shared" si="308"/>
        <v>USD</v>
      </c>
      <c r="AE2113" s="42"/>
      <c r="AF2113" s="42" t="str">
        <f t="array" ref="AF2113">INDEX('Deal Info'!D:D, MATCH(A2113,'Deal Info'!A:A, 0))</f>
        <v>#N/A</v>
      </c>
      <c r="AG2113" s="43" t="str">
        <f t="array" ref="AG2113">INDEX('Deal Info'!G:G, MATCH(A2113,'Deal Info'!A:A, 0))</f>
        <v>#N/A</v>
      </c>
    </row>
    <row r="2114" hidden="1">
      <c r="A2114" s="23" t="b">
        <f t="array" ref="A2114">if(G2114='Room Info'!$B$1, INDEX('Room Info'!$A$2:$A3446, MATCH(B2114,'Room Info'!$B$2:$B3446, 0)),if(G2114='Room Info'!$C$1, INDEX('Room Info'!$A$2:$A3446, MATCH(B2114,'Room Info'!$C$2:$C3446, 0)),if(G2114='Room Info'!$D$1, INDEX('Room Info'!$A$2:$A3446, MATCH(B2114,'Room Info'!$D$2:$D3446, 0)),if(G2114='Room Info'!$E$1, INDEX('Room Info'!$A$2:$A3446, MATCH(B2114,'Room Info'!$E$2:$E3446, 0)),if(G2114='Room Info'!$F$1, INDEX('Room Info'!$A$2:$A3446, MATCH(B2114,'Room Info'!$F$2:$F3446, 0)),if(G2114='Room Info'!$H$1, INDEX('Room Info'!$A$2:$A3446, MATCH(B2114,'Room Info'!$H$2:$H3446, 0)),if(G2114='Room Info'!$G$1, INDEX('Room Info'!$A$2:$A3446, MATCH(B2114,'Room Info'!$G$2:$G3446, 0)))))))))</f>
        <v>0</v>
      </c>
      <c r="B2114" s="101"/>
      <c r="C2114" s="115"/>
      <c r="D2114" s="115"/>
      <c r="E2114" s="85"/>
      <c r="F2114" s="138"/>
      <c r="G2114" s="70"/>
      <c r="H2114" s="114"/>
      <c r="I2114" s="114"/>
      <c r="J2114" s="44" t="str">
        <f t="shared" si="311"/>
        <v/>
      </c>
      <c r="K2114" s="116"/>
      <c r="L2114" s="117"/>
      <c r="M2114" s="67"/>
      <c r="N2114" s="33">
        <f t="shared" si="276"/>
        <v>0</v>
      </c>
      <c r="O2114" s="70"/>
      <c r="P2114" s="34" t="str">
        <f t="shared" si="277"/>
        <v/>
      </c>
      <c r="Q2114" s="60"/>
      <c r="R2114" s="36">
        <f t="shared" si="312"/>
        <v>0</v>
      </c>
      <c r="S2114" s="71"/>
      <c r="T2114" s="37">
        <f t="shared" si="302"/>
        <v>0</v>
      </c>
      <c r="U2114" s="62"/>
      <c r="V2114" s="63"/>
      <c r="W2114" s="63"/>
      <c r="X2114" s="35" t="str">
        <f t="shared" si="303"/>
        <v>#N/A</v>
      </c>
      <c r="Y2114" s="35" t="str">
        <f t="shared" si="304"/>
        <v>#N/A</v>
      </c>
      <c r="Z2114" s="40" t="str">
        <f t="shared" si="305"/>
        <v>#N/A</v>
      </c>
      <c r="AA2114" s="34" t="str">
        <f t="shared" si="306"/>
        <v>#N/A</v>
      </c>
      <c r="AB2114" s="41" t="str">
        <f t="shared" si="307"/>
        <v>#N/A</v>
      </c>
      <c r="AC2114" s="42" t="b">
        <v>0</v>
      </c>
      <c r="AD2114" s="66" t="str">
        <f t="shared" si="308"/>
        <v>USD</v>
      </c>
      <c r="AE2114" s="42"/>
      <c r="AF2114" s="42" t="str">
        <f t="array" ref="AF2114">INDEX('Deal Info'!D:D, MATCH(A2114,'Deal Info'!A:A, 0))</f>
        <v>#N/A</v>
      </c>
      <c r="AG2114" s="43" t="str">
        <f t="array" ref="AG2114">INDEX('Deal Info'!G:G, MATCH(A2114,'Deal Info'!A:A, 0))</f>
        <v>#N/A</v>
      </c>
    </row>
    <row r="2115" hidden="1">
      <c r="A2115" s="23" t="b">
        <f t="array" ref="A2115">if(G2115='Room Info'!$B$1, INDEX('Room Info'!$A$2:$A3446, MATCH(B2115,'Room Info'!$B$2:$B3446, 0)),if(G2115='Room Info'!$C$1, INDEX('Room Info'!$A$2:$A3446, MATCH(B2115,'Room Info'!$C$2:$C3446, 0)),if(G2115='Room Info'!$D$1, INDEX('Room Info'!$A$2:$A3446, MATCH(B2115,'Room Info'!$D$2:$D3446, 0)),if(G2115='Room Info'!$E$1, INDEX('Room Info'!$A$2:$A3446, MATCH(B2115,'Room Info'!$E$2:$E3446, 0)),if(G2115='Room Info'!$F$1, INDEX('Room Info'!$A$2:$A3446, MATCH(B2115,'Room Info'!$F$2:$F3446, 0)),if(G2115='Room Info'!$H$1, INDEX('Room Info'!$A$2:$A3446, MATCH(B2115,'Room Info'!$H$2:$H3446, 0)),if(G2115='Room Info'!$G$1, INDEX('Room Info'!$A$2:$A3446, MATCH(B2115,'Room Info'!$G$2:$G3446, 0)))))))))</f>
        <v>0</v>
      </c>
      <c r="B2115" s="101"/>
      <c r="C2115" s="115"/>
      <c r="D2115" s="115"/>
      <c r="E2115" s="85"/>
      <c r="F2115" s="138"/>
      <c r="G2115" s="70"/>
      <c r="H2115" s="114"/>
      <c r="I2115" s="114"/>
      <c r="J2115" s="44" t="str">
        <f t="shared" si="311"/>
        <v/>
      </c>
      <c r="K2115" s="116"/>
      <c r="L2115" s="117"/>
      <c r="M2115" s="67"/>
      <c r="N2115" s="33">
        <f t="shared" si="276"/>
        <v>0</v>
      </c>
      <c r="O2115" s="70"/>
      <c r="P2115" s="34" t="str">
        <f t="shared" si="277"/>
        <v/>
      </c>
      <c r="Q2115" s="60"/>
      <c r="R2115" s="36">
        <f t="shared" si="312"/>
        <v>0</v>
      </c>
      <c r="S2115" s="71"/>
      <c r="T2115" s="37">
        <f t="shared" si="302"/>
        <v>0</v>
      </c>
      <c r="U2115" s="62"/>
      <c r="V2115" s="63"/>
      <c r="W2115" s="63"/>
      <c r="X2115" s="35" t="str">
        <f t="shared" si="303"/>
        <v>#N/A</v>
      </c>
      <c r="Y2115" s="35" t="str">
        <f t="shared" si="304"/>
        <v>#N/A</v>
      </c>
      <c r="Z2115" s="40" t="str">
        <f t="shared" si="305"/>
        <v>#N/A</v>
      </c>
      <c r="AA2115" s="34" t="str">
        <f t="shared" si="306"/>
        <v>#N/A</v>
      </c>
      <c r="AB2115" s="41" t="str">
        <f t="shared" si="307"/>
        <v>#N/A</v>
      </c>
      <c r="AC2115" s="42" t="b">
        <v>0</v>
      </c>
      <c r="AD2115" s="66" t="str">
        <f t="shared" si="308"/>
        <v>USD</v>
      </c>
      <c r="AE2115" s="42"/>
      <c r="AF2115" s="42" t="str">
        <f t="array" ref="AF2115">INDEX('Deal Info'!D:D, MATCH(A2115,'Deal Info'!A:A, 0))</f>
        <v>#N/A</v>
      </c>
      <c r="AG2115" s="43" t="str">
        <f t="array" ref="AG2115">INDEX('Deal Info'!G:G, MATCH(A2115,'Deal Info'!A:A, 0))</f>
        <v>#N/A</v>
      </c>
    </row>
    <row r="2116" hidden="1">
      <c r="A2116" s="23" t="b">
        <f t="array" ref="A2116">if(G2116='Room Info'!$B$1, INDEX('Room Info'!$A$2:$A3446, MATCH(B2116,'Room Info'!$B$2:$B3446, 0)),if(G2116='Room Info'!$C$1, INDEX('Room Info'!$A$2:$A3446, MATCH(B2116,'Room Info'!$C$2:$C3446, 0)),if(G2116='Room Info'!$D$1, INDEX('Room Info'!$A$2:$A3446, MATCH(B2116,'Room Info'!$D$2:$D3446, 0)),if(G2116='Room Info'!$E$1, INDEX('Room Info'!$A$2:$A3446, MATCH(B2116,'Room Info'!$E$2:$E3446, 0)),if(G2116='Room Info'!$F$1, INDEX('Room Info'!$A$2:$A3446, MATCH(B2116,'Room Info'!$F$2:$F3446, 0)),if(G2116='Room Info'!$H$1, INDEX('Room Info'!$A$2:$A3446, MATCH(B2116,'Room Info'!$H$2:$H3446, 0)),if(G2116='Room Info'!$G$1, INDEX('Room Info'!$A$2:$A3446, MATCH(B2116,'Room Info'!$G$2:$G3446, 0)))))))))</f>
        <v>0</v>
      </c>
      <c r="B2116" s="101"/>
      <c r="C2116" s="115"/>
      <c r="D2116" s="115"/>
      <c r="E2116" s="85"/>
      <c r="F2116" s="138"/>
      <c r="G2116" s="70"/>
      <c r="H2116" s="114"/>
      <c r="I2116" s="114"/>
      <c r="J2116" s="44" t="str">
        <f t="shared" si="311"/>
        <v/>
      </c>
      <c r="K2116" s="116"/>
      <c r="L2116" s="117"/>
      <c r="M2116" s="67"/>
      <c r="N2116" s="33">
        <f t="shared" si="276"/>
        <v>0</v>
      </c>
      <c r="O2116" s="70"/>
      <c r="P2116" s="34" t="str">
        <f t="shared" si="277"/>
        <v/>
      </c>
      <c r="Q2116" s="60"/>
      <c r="R2116" s="36">
        <f t="shared" si="312"/>
        <v>0</v>
      </c>
      <c r="S2116" s="71"/>
      <c r="T2116" s="37">
        <f t="shared" si="302"/>
        <v>0</v>
      </c>
      <c r="U2116" s="62"/>
      <c r="V2116" s="63"/>
      <c r="W2116" s="63"/>
      <c r="X2116" s="35" t="str">
        <f t="shared" si="303"/>
        <v>#N/A</v>
      </c>
      <c r="Y2116" s="35" t="str">
        <f t="shared" si="304"/>
        <v>#N/A</v>
      </c>
      <c r="Z2116" s="40" t="str">
        <f t="shared" si="305"/>
        <v>#N/A</v>
      </c>
      <c r="AA2116" s="34" t="str">
        <f t="shared" si="306"/>
        <v>#N/A</v>
      </c>
      <c r="AB2116" s="41" t="str">
        <f t="shared" si="307"/>
        <v>#N/A</v>
      </c>
      <c r="AC2116" s="42" t="b">
        <v>0</v>
      </c>
      <c r="AD2116" s="66" t="str">
        <f t="shared" si="308"/>
        <v>USD</v>
      </c>
      <c r="AE2116" s="42"/>
      <c r="AF2116" s="42" t="str">
        <f t="array" ref="AF2116">INDEX('Deal Info'!D:D, MATCH(A2116,'Deal Info'!A:A, 0))</f>
        <v>#N/A</v>
      </c>
      <c r="AG2116" s="43" t="str">
        <f t="array" ref="AG2116">INDEX('Deal Info'!G:G, MATCH(A2116,'Deal Info'!A:A, 0))</f>
        <v>#N/A</v>
      </c>
    </row>
    <row r="2117" hidden="1">
      <c r="A2117" s="23" t="b">
        <f t="array" ref="A2117">if(G2117='Room Info'!$B$1, INDEX('Room Info'!$A$2:$A3446, MATCH(B2117,'Room Info'!$B$2:$B3446, 0)),if(G2117='Room Info'!$C$1, INDEX('Room Info'!$A$2:$A3446, MATCH(B2117,'Room Info'!$C$2:$C3446, 0)),if(G2117='Room Info'!$D$1, INDEX('Room Info'!$A$2:$A3446, MATCH(B2117,'Room Info'!$D$2:$D3446, 0)),if(G2117='Room Info'!$E$1, INDEX('Room Info'!$A$2:$A3446, MATCH(B2117,'Room Info'!$E$2:$E3446, 0)),if(G2117='Room Info'!$F$1, INDEX('Room Info'!$A$2:$A3446, MATCH(B2117,'Room Info'!$F$2:$F3446, 0)),if(G2117='Room Info'!$H$1, INDEX('Room Info'!$A$2:$A3446, MATCH(B2117,'Room Info'!$H$2:$H3446, 0)),if(G2117='Room Info'!$G$1, INDEX('Room Info'!$A$2:$A3446, MATCH(B2117,'Room Info'!$G$2:$G3446, 0)))))))))</f>
        <v>0</v>
      </c>
      <c r="B2117" s="101"/>
      <c r="C2117" s="115"/>
      <c r="D2117" s="115"/>
      <c r="E2117" s="85"/>
      <c r="F2117" s="138"/>
      <c r="G2117" s="70"/>
      <c r="H2117" s="114"/>
      <c r="I2117" s="114"/>
      <c r="J2117" s="44" t="str">
        <f t="shared" si="311"/>
        <v/>
      </c>
      <c r="K2117" s="116"/>
      <c r="L2117" s="117"/>
      <c r="M2117" s="67"/>
      <c r="N2117" s="33">
        <f t="shared" si="276"/>
        <v>0</v>
      </c>
      <c r="O2117" s="70"/>
      <c r="P2117" s="34" t="str">
        <f t="shared" si="277"/>
        <v/>
      </c>
      <c r="Q2117" s="60"/>
      <c r="R2117" s="36">
        <f t="shared" si="312"/>
        <v>0</v>
      </c>
      <c r="S2117" s="71"/>
      <c r="T2117" s="37">
        <f t="shared" si="302"/>
        <v>0</v>
      </c>
      <c r="U2117" s="62"/>
      <c r="V2117" s="63"/>
      <c r="W2117" s="63"/>
      <c r="X2117" s="35" t="str">
        <f t="shared" si="303"/>
        <v>#N/A</v>
      </c>
      <c r="Y2117" s="35" t="str">
        <f t="shared" si="304"/>
        <v>#N/A</v>
      </c>
      <c r="Z2117" s="40" t="str">
        <f t="shared" si="305"/>
        <v>#N/A</v>
      </c>
      <c r="AA2117" s="34" t="str">
        <f t="shared" si="306"/>
        <v>#N/A</v>
      </c>
      <c r="AB2117" s="41" t="str">
        <f t="shared" si="307"/>
        <v>#N/A</v>
      </c>
      <c r="AC2117" s="42" t="b">
        <v>0</v>
      </c>
      <c r="AD2117" s="66" t="str">
        <f t="shared" si="308"/>
        <v>USD</v>
      </c>
      <c r="AE2117" s="42"/>
      <c r="AF2117" s="42" t="str">
        <f t="array" ref="AF2117">INDEX('Deal Info'!D:D, MATCH(A2117,'Deal Info'!A:A, 0))</f>
        <v>#N/A</v>
      </c>
      <c r="AG2117" s="43" t="str">
        <f t="array" ref="AG2117">INDEX('Deal Info'!G:G, MATCH(A2117,'Deal Info'!A:A, 0))</f>
        <v>#N/A</v>
      </c>
    </row>
    <row r="2118" hidden="1">
      <c r="A2118" s="23" t="b">
        <f t="array" ref="A2118">if(G2118='Room Info'!$B$1, INDEX('Room Info'!$A$2:$A3446, MATCH(B2118,'Room Info'!$B$2:$B3446, 0)),if(G2118='Room Info'!$C$1, INDEX('Room Info'!$A$2:$A3446, MATCH(B2118,'Room Info'!$C$2:$C3446, 0)),if(G2118='Room Info'!$D$1, INDEX('Room Info'!$A$2:$A3446, MATCH(B2118,'Room Info'!$D$2:$D3446, 0)),if(G2118='Room Info'!$E$1, INDEX('Room Info'!$A$2:$A3446, MATCH(B2118,'Room Info'!$E$2:$E3446, 0)),if(G2118='Room Info'!$F$1, INDEX('Room Info'!$A$2:$A3446, MATCH(B2118,'Room Info'!$F$2:$F3446, 0)),if(G2118='Room Info'!$H$1, INDEX('Room Info'!$A$2:$A3446, MATCH(B2118,'Room Info'!$H$2:$H3446, 0)),if(G2118='Room Info'!$G$1, INDEX('Room Info'!$A$2:$A3446, MATCH(B2118,'Room Info'!$G$2:$G3446, 0)))))))))</f>
        <v>0</v>
      </c>
      <c r="B2118" s="101"/>
      <c r="C2118" s="115"/>
      <c r="D2118" s="115"/>
      <c r="E2118" s="85"/>
      <c r="F2118" s="138"/>
      <c r="G2118" s="70"/>
      <c r="H2118" s="114"/>
      <c r="I2118" s="114"/>
      <c r="J2118" s="44" t="str">
        <f t="shared" si="311"/>
        <v/>
      </c>
      <c r="K2118" s="116"/>
      <c r="L2118" s="117"/>
      <c r="M2118" s="67"/>
      <c r="N2118" s="33">
        <f t="shared" si="276"/>
        <v>0</v>
      </c>
      <c r="O2118" s="70"/>
      <c r="P2118" s="34" t="str">
        <f t="shared" si="277"/>
        <v/>
      </c>
      <c r="Q2118" s="60"/>
      <c r="R2118" s="36">
        <f t="shared" si="312"/>
        <v>0</v>
      </c>
      <c r="S2118" s="71"/>
      <c r="T2118" s="37">
        <f t="shared" si="302"/>
        <v>0</v>
      </c>
      <c r="U2118" s="62"/>
      <c r="V2118" s="63"/>
      <c r="W2118" s="63"/>
      <c r="X2118" s="35" t="str">
        <f t="shared" si="303"/>
        <v>#N/A</v>
      </c>
      <c r="Y2118" s="35" t="str">
        <f t="shared" si="304"/>
        <v>#N/A</v>
      </c>
      <c r="Z2118" s="40" t="str">
        <f t="shared" si="305"/>
        <v>#N/A</v>
      </c>
      <c r="AA2118" s="34" t="str">
        <f t="shared" si="306"/>
        <v>#N/A</v>
      </c>
      <c r="AB2118" s="41" t="str">
        <f t="shared" si="307"/>
        <v>#N/A</v>
      </c>
      <c r="AC2118" s="42" t="b">
        <v>0</v>
      </c>
      <c r="AD2118" s="66" t="str">
        <f t="shared" si="308"/>
        <v>USD</v>
      </c>
      <c r="AE2118" s="42"/>
      <c r="AF2118" s="42" t="str">
        <f t="array" ref="AF2118">INDEX('Deal Info'!D:D, MATCH(A2118,'Deal Info'!A:A, 0))</f>
        <v>#N/A</v>
      </c>
      <c r="AG2118" s="43" t="str">
        <f t="array" ref="AG2118">INDEX('Deal Info'!G:G, MATCH(A2118,'Deal Info'!A:A, 0))</f>
        <v>#N/A</v>
      </c>
    </row>
    <row r="2119" hidden="1">
      <c r="A2119" s="23" t="b">
        <f t="array" ref="A2119">if(G2119='Room Info'!$B$1, INDEX('Room Info'!$A$2:$A3446, MATCH(B2119,'Room Info'!$B$2:$B3446, 0)),if(G2119='Room Info'!$C$1, INDEX('Room Info'!$A$2:$A3446, MATCH(B2119,'Room Info'!$C$2:$C3446, 0)),if(G2119='Room Info'!$D$1, INDEX('Room Info'!$A$2:$A3446, MATCH(B2119,'Room Info'!$D$2:$D3446, 0)),if(G2119='Room Info'!$E$1, INDEX('Room Info'!$A$2:$A3446, MATCH(B2119,'Room Info'!$E$2:$E3446, 0)),if(G2119='Room Info'!$F$1, INDEX('Room Info'!$A$2:$A3446, MATCH(B2119,'Room Info'!$F$2:$F3446, 0)),if(G2119='Room Info'!$H$1, INDEX('Room Info'!$A$2:$A3446, MATCH(B2119,'Room Info'!$H$2:$H3446, 0)),if(G2119='Room Info'!$G$1, INDEX('Room Info'!$A$2:$A3446, MATCH(B2119,'Room Info'!$G$2:$G3446, 0)))))))))</f>
        <v>0</v>
      </c>
      <c r="B2119" s="101"/>
      <c r="C2119" s="141"/>
      <c r="D2119" s="141"/>
      <c r="E2119" s="142"/>
      <c r="F2119" s="138"/>
      <c r="G2119" s="101"/>
      <c r="H2119" s="105"/>
      <c r="I2119" s="105"/>
      <c r="J2119" s="44" t="str">
        <f t="shared" si="311"/>
        <v/>
      </c>
      <c r="K2119" s="139"/>
      <c r="L2119" s="140"/>
      <c r="M2119" s="84"/>
      <c r="N2119" s="33">
        <f t="shared" si="276"/>
        <v>0</v>
      </c>
      <c r="O2119" s="101"/>
      <c r="P2119" s="34" t="str">
        <f t="shared" si="277"/>
        <v/>
      </c>
      <c r="Q2119" s="60"/>
      <c r="R2119" s="36">
        <f t="shared" si="312"/>
        <v>0</v>
      </c>
      <c r="S2119" s="102"/>
      <c r="T2119" s="37">
        <f t="shared" si="302"/>
        <v>0</v>
      </c>
      <c r="U2119" s="62"/>
      <c r="V2119" s="63"/>
      <c r="W2119" s="63"/>
      <c r="X2119" s="35" t="str">
        <f t="shared" si="303"/>
        <v>#N/A</v>
      </c>
      <c r="Y2119" s="35" t="str">
        <f t="shared" si="304"/>
        <v>#N/A</v>
      </c>
      <c r="Z2119" s="40" t="str">
        <f t="shared" si="305"/>
        <v>#N/A</v>
      </c>
      <c r="AA2119" s="34" t="str">
        <f t="shared" si="306"/>
        <v>#N/A</v>
      </c>
      <c r="AB2119" s="41" t="str">
        <f t="shared" si="307"/>
        <v>#N/A</v>
      </c>
      <c r="AC2119" s="42" t="b">
        <v>0</v>
      </c>
      <c r="AD2119" s="66" t="str">
        <f t="shared" si="308"/>
        <v>USD</v>
      </c>
      <c r="AE2119" s="42"/>
      <c r="AF2119" s="42" t="str">
        <f t="array" ref="AF2119">INDEX('Deal Info'!D:D, MATCH(A2119,'Deal Info'!A:A, 0))</f>
        <v>#N/A</v>
      </c>
      <c r="AG2119" s="43" t="str">
        <f t="array" ref="AG2119">INDEX('Deal Info'!G:G, MATCH(A2119,'Deal Info'!A:A, 0))</f>
        <v>#N/A</v>
      </c>
    </row>
    <row r="2120" hidden="1">
      <c r="A2120" s="23" t="b">
        <f t="array" ref="A2120">if(G2120='Room Info'!$B$1, INDEX('Room Info'!$A$2:$A3446, MATCH(B2120,'Room Info'!$B$2:$B3446, 0)),if(G2120='Room Info'!$C$1, INDEX('Room Info'!$A$2:$A3446, MATCH(B2120,'Room Info'!$C$2:$C3446, 0)),if(G2120='Room Info'!$D$1, INDEX('Room Info'!$A$2:$A3446, MATCH(B2120,'Room Info'!$D$2:$D3446, 0)),if(G2120='Room Info'!$E$1, INDEX('Room Info'!$A$2:$A3446, MATCH(B2120,'Room Info'!$E$2:$E3446, 0)),if(G2120='Room Info'!$F$1, INDEX('Room Info'!$A$2:$A3446, MATCH(B2120,'Room Info'!$F$2:$F3446, 0)),if(G2120='Room Info'!$H$1, INDEX('Room Info'!$A$2:$A3446, MATCH(B2120,'Room Info'!$H$2:$H3446, 0)),if(G2120='Room Info'!$G$1, INDEX('Room Info'!$A$2:$A3446, MATCH(B2120,'Room Info'!$G$2:$G3446, 0)))))))))</f>
        <v>0</v>
      </c>
      <c r="B2120" s="101"/>
      <c r="C2120" s="141"/>
      <c r="D2120" s="141"/>
      <c r="E2120" s="142"/>
      <c r="F2120" s="138"/>
      <c r="G2120" s="101"/>
      <c r="H2120" s="105"/>
      <c r="I2120" s="105"/>
      <c r="J2120" s="44" t="str">
        <f t="shared" si="311"/>
        <v/>
      </c>
      <c r="K2120" s="139"/>
      <c r="L2120" s="140"/>
      <c r="M2120" s="84"/>
      <c r="N2120" s="33">
        <f t="shared" si="276"/>
        <v>0</v>
      </c>
      <c r="O2120" s="101"/>
      <c r="P2120" s="34" t="str">
        <f t="shared" si="277"/>
        <v/>
      </c>
      <c r="Q2120" s="60"/>
      <c r="R2120" s="36">
        <f t="shared" si="312"/>
        <v>0</v>
      </c>
      <c r="S2120" s="102"/>
      <c r="T2120" s="37">
        <f t="shared" si="302"/>
        <v>0</v>
      </c>
      <c r="U2120" s="62"/>
      <c r="V2120" s="63"/>
      <c r="W2120" s="63"/>
      <c r="X2120" s="35" t="str">
        <f t="shared" si="303"/>
        <v>#N/A</v>
      </c>
      <c r="Y2120" s="35" t="str">
        <f t="shared" si="304"/>
        <v>#N/A</v>
      </c>
      <c r="Z2120" s="40" t="str">
        <f t="shared" si="305"/>
        <v>#N/A</v>
      </c>
      <c r="AA2120" s="34" t="str">
        <f t="shared" si="306"/>
        <v>#N/A</v>
      </c>
      <c r="AB2120" s="41" t="str">
        <f t="shared" si="307"/>
        <v>#N/A</v>
      </c>
      <c r="AC2120" s="42" t="b">
        <v>0</v>
      </c>
      <c r="AD2120" s="66" t="str">
        <f t="shared" si="308"/>
        <v>USD</v>
      </c>
      <c r="AE2120" s="42"/>
      <c r="AF2120" s="42" t="str">
        <f t="array" ref="AF2120">INDEX('Deal Info'!D:D, MATCH(A2120,'Deal Info'!A:A, 0))</f>
        <v>#N/A</v>
      </c>
      <c r="AG2120" s="43" t="str">
        <f t="array" ref="AG2120">INDEX('Deal Info'!G:G, MATCH(A2120,'Deal Info'!A:A, 0))</f>
        <v>#N/A</v>
      </c>
    </row>
    <row r="2121" hidden="1">
      <c r="A2121" s="23" t="b">
        <f t="array" ref="A2121">if(G2121='Room Info'!$B$1, INDEX('Room Info'!$A$2:$A3446, MATCH(B2121,'Room Info'!$B$2:$B3446, 0)),if(G2121='Room Info'!$C$1, INDEX('Room Info'!$A$2:$A3446, MATCH(B2121,'Room Info'!$C$2:$C3446, 0)),if(G2121='Room Info'!$D$1, INDEX('Room Info'!$A$2:$A3446, MATCH(B2121,'Room Info'!$D$2:$D3446, 0)),if(G2121='Room Info'!$E$1, INDEX('Room Info'!$A$2:$A3446, MATCH(B2121,'Room Info'!$E$2:$E3446, 0)),if(G2121='Room Info'!$F$1, INDEX('Room Info'!$A$2:$A3446, MATCH(B2121,'Room Info'!$F$2:$F3446, 0)),if(G2121='Room Info'!$H$1, INDEX('Room Info'!$A$2:$A3446, MATCH(B2121,'Room Info'!$H$2:$H3446, 0)),if(G2121='Room Info'!$G$1, INDEX('Room Info'!$A$2:$A3446, MATCH(B2121,'Room Info'!$G$2:$G3446, 0)))))))))</f>
        <v>0</v>
      </c>
      <c r="B2121" s="101"/>
      <c r="C2121" s="115"/>
      <c r="D2121" s="115"/>
      <c r="E2121" s="85"/>
      <c r="F2121" s="101"/>
      <c r="G2121" s="101"/>
      <c r="H2121" s="114"/>
      <c r="I2121" s="114"/>
      <c r="J2121" s="44" t="str">
        <f t="shared" si="311"/>
        <v/>
      </c>
      <c r="K2121" s="116"/>
      <c r="L2121" s="117"/>
      <c r="M2121" s="67"/>
      <c r="N2121" s="33">
        <f t="shared" si="276"/>
        <v>0</v>
      </c>
      <c r="O2121" s="70"/>
      <c r="P2121" s="34" t="str">
        <f t="shared" si="277"/>
        <v/>
      </c>
      <c r="Q2121" s="60"/>
      <c r="R2121" s="36">
        <f t="shared" si="312"/>
        <v>0</v>
      </c>
      <c r="S2121" s="71"/>
      <c r="T2121" s="37">
        <f t="shared" si="302"/>
        <v>0</v>
      </c>
      <c r="U2121" s="62"/>
      <c r="V2121" s="63"/>
      <c r="W2121" s="63"/>
      <c r="X2121" s="35" t="str">
        <f t="shared" si="303"/>
        <v>#N/A</v>
      </c>
      <c r="Y2121" s="35" t="str">
        <f t="shared" si="304"/>
        <v>#N/A</v>
      </c>
      <c r="Z2121" s="40" t="str">
        <f t="shared" si="305"/>
        <v>#N/A</v>
      </c>
      <c r="AA2121" s="34" t="str">
        <f t="shared" si="306"/>
        <v>#N/A</v>
      </c>
      <c r="AB2121" s="41" t="str">
        <f t="shared" si="307"/>
        <v>#N/A</v>
      </c>
      <c r="AC2121" s="42" t="b">
        <v>0</v>
      </c>
      <c r="AD2121" s="66" t="str">
        <f t="shared" si="308"/>
        <v>USD</v>
      </c>
      <c r="AE2121" s="42"/>
      <c r="AF2121" s="42" t="str">
        <f t="array" ref="AF2121">INDEX('Deal Info'!D:D, MATCH(A2121,'Deal Info'!A:A, 0))</f>
        <v>#N/A</v>
      </c>
      <c r="AG2121" s="43" t="str">
        <f t="array" ref="AG2121">INDEX('Deal Info'!G:G, MATCH(A2121,'Deal Info'!A:A, 0))</f>
        <v>#N/A</v>
      </c>
    </row>
    <row r="2122" hidden="1">
      <c r="A2122" s="23" t="b">
        <f t="array" ref="A2122">if(G2122='Room Info'!$B$1, INDEX('Room Info'!$A$2:$A3446, MATCH(B2122,'Room Info'!$B$2:$B3446, 0)),if(G2122='Room Info'!$C$1, INDEX('Room Info'!$A$2:$A3446, MATCH(B2122,'Room Info'!$C$2:$C3446, 0)),if(G2122='Room Info'!$D$1, INDEX('Room Info'!$A$2:$A3446, MATCH(B2122,'Room Info'!$D$2:$D3446, 0)),if(G2122='Room Info'!$E$1, INDEX('Room Info'!$A$2:$A3446, MATCH(B2122,'Room Info'!$E$2:$E3446, 0)),if(G2122='Room Info'!$F$1, INDEX('Room Info'!$A$2:$A3446, MATCH(B2122,'Room Info'!$F$2:$F3446, 0)),if(G2122='Room Info'!$H$1, INDEX('Room Info'!$A$2:$A3446, MATCH(B2122,'Room Info'!$H$2:$H3446, 0)),if(G2122='Room Info'!$G$1, INDEX('Room Info'!$A$2:$A3446, MATCH(B2122,'Room Info'!$G$2:$G3446, 0)))))))))</f>
        <v>0</v>
      </c>
      <c r="B2122" s="101"/>
      <c r="C2122" s="141"/>
      <c r="D2122" s="141"/>
      <c r="E2122" s="142"/>
      <c r="F2122" s="138"/>
      <c r="G2122" s="101"/>
      <c r="H2122" s="105"/>
      <c r="I2122" s="105"/>
      <c r="J2122" s="44" t="str">
        <f t="shared" si="311"/>
        <v/>
      </c>
      <c r="K2122" s="139"/>
      <c r="L2122" s="140"/>
      <c r="M2122" s="84"/>
      <c r="N2122" s="33">
        <f t="shared" si="276"/>
        <v>0</v>
      </c>
      <c r="O2122" s="101"/>
      <c r="P2122" s="34" t="str">
        <f t="shared" si="277"/>
        <v/>
      </c>
      <c r="Q2122" s="60"/>
      <c r="R2122" s="36">
        <f t="shared" si="312"/>
        <v>0</v>
      </c>
      <c r="S2122" s="102"/>
      <c r="T2122" s="37">
        <f t="shared" si="302"/>
        <v>0</v>
      </c>
      <c r="U2122" s="62"/>
      <c r="V2122" s="63"/>
      <c r="W2122" s="63"/>
      <c r="X2122" s="35" t="str">
        <f t="shared" si="303"/>
        <v>#N/A</v>
      </c>
      <c r="Y2122" s="35" t="str">
        <f t="shared" si="304"/>
        <v>#N/A</v>
      </c>
      <c r="Z2122" s="40" t="str">
        <f t="shared" si="305"/>
        <v>#N/A</v>
      </c>
      <c r="AA2122" s="34" t="str">
        <f t="shared" si="306"/>
        <v>#N/A</v>
      </c>
      <c r="AB2122" s="41" t="str">
        <f t="shared" si="307"/>
        <v>#N/A</v>
      </c>
      <c r="AC2122" s="42" t="b">
        <v>0</v>
      </c>
      <c r="AD2122" s="66" t="str">
        <f t="shared" si="308"/>
        <v>USD</v>
      </c>
      <c r="AE2122" s="42"/>
      <c r="AF2122" s="42" t="str">
        <f t="array" ref="AF2122">INDEX('Deal Info'!D:D, MATCH(A2122,'Deal Info'!A:A, 0))</f>
        <v>#N/A</v>
      </c>
      <c r="AG2122" s="43" t="str">
        <f t="array" ref="AG2122">INDEX('Deal Info'!G:G, MATCH(A2122,'Deal Info'!A:A, 0))</f>
        <v>#N/A</v>
      </c>
    </row>
    <row r="2123" hidden="1">
      <c r="A2123" s="23" t="b">
        <f t="array" ref="A2123">if(G2123='Room Info'!$B$1, INDEX('Room Info'!$A$2:$A3446, MATCH(B2123,'Room Info'!$B$2:$B3446, 0)),if(G2123='Room Info'!$C$1, INDEX('Room Info'!$A$2:$A3446, MATCH(B2123,'Room Info'!$C$2:$C3446, 0)),if(G2123='Room Info'!$D$1, INDEX('Room Info'!$A$2:$A3446, MATCH(B2123,'Room Info'!$D$2:$D3446, 0)),if(G2123='Room Info'!$E$1, INDEX('Room Info'!$A$2:$A3446, MATCH(B2123,'Room Info'!$E$2:$E3446, 0)),if(G2123='Room Info'!$F$1, INDEX('Room Info'!$A$2:$A3446, MATCH(B2123,'Room Info'!$F$2:$F3446, 0)),if(G2123='Room Info'!$H$1, INDEX('Room Info'!$A$2:$A3446, MATCH(B2123,'Room Info'!$H$2:$H3446, 0)),if(G2123='Room Info'!$G$1, INDEX('Room Info'!$A$2:$A3446, MATCH(B2123,'Room Info'!$G$2:$G3446, 0)))))))))</f>
        <v>0</v>
      </c>
      <c r="B2123" s="101"/>
      <c r="C2123" s="141"/>
      <c r="D2123" s="141"/>
      <c r="E2123" s="142"/>
      <c r="F2123" s="138"/>
      <c r="G2123" s="101"/>
      <c r="H2123" s="105"/>
      <c r="I2123" s="105"/>
      <c r="J2123" s="44" t="str">
        <f t="shared" si="311"/>
        <v/>
      </c>
      <c r="K2123" s="139"/>
      <c r="L2123" s="140"/>
      <c r="M2123" s="84"/>
      <c r="N2123" s="33">
        <f t="shared" si="276"/>
        <v>0</v>
      </c>
      <c r="O2123" s="101"/>
      <c r="P2123" s="34" t="str">
        <f t="shared" si="277"/>
        <v/>
      </c>
      <c r="Q2123" s="60"/>
      <c r="R2123" s="36">
        <f t="shared" si="312"/>
        <v>0</v>
      </c>
      <c r="S2123" s="102"/>
      <c r="T2123" s="37">
        <f t="shared" si="302"/>
        <v>0</v>
      </c>
      <c r="U2123" s="62"/>
      <c r="V2123" s="63"/>
      <c r="W2123" s="63"/>
      <c r="X2123" s="35" t="str">
        <f t="shared" si="303"/>
        <v>#N/A</v>
      </c>
      <c r="Y2123" s="35" t="str">
        <f t="shared" si="304"/>
        <v>#N/A</v>
      </c>
      <c r="Z2123" s="40" t="str">
        <f t="shared" si="305"/>
        <v>#N/A</v>
      </c>
      <c r="AA2123" s="34" t="str">
        <f t="shared" si="306"/>
        <v>#N/A</v>
      </c>
      <c r="AB2123" s="41" t="str">
        <f t="shared" si="307"/>
        <v>#N/A</v>
      </c>
      <c r="AC2123" s="42" t="b">
        <v>0</v>
      </c>
      <c r="AD2123" s="66" t="str">
        <f t="shared" si="308"/>
        <v>USD</v>
      </c>
      <c r="AE2123" s="42"/>
      <c r="AF2123" s="42" t="str">
        <f t="array" ref="AF2123">INDEX('Deal Info'!D:D, MATCH(A2123,'Deal Info'!A:A, 0))</f>
        <v>#N/A</v>
      </c>
      <c r="AG2123" s="43" t="str">
        <f t="array" ref="AG2123">INDEX('Deal Info'!G:G, MATCH(A2123,'Deal Info'!A:A, 0))</f>
        <v>#N/A</v>
      </c>
    </row>
    <row r="2124" hidden="1">
      <c r="A2124" s="23" t="b">
        <f t="array" ref="A2124">if(G2124='Room Info'!$B$1, INDEX('Room Info'!$A$2:$A3446, MATCH(B2124,'Room Info'!$B$2:$B3446, 0)),if(G2124='Room Info'!$C$1, INDEX('Room Info'!$A$2:$A3446, MATCH(B2124,'Room Info'!$C$2:$C3446, 0)),if(G2124='Room Info'!$D$1, INDEX('Room Info'!$A$2:$A3446, MATCH(B2124,'Room Info'!$D$2:$D3446, 0)),if(G2124='Room Info'!$E$1, INDEX('Room Info'!$A$2:$A3446, MATCH(B2124,'Room Info'!$E$2:$E3446, 0)),if(G2124='Room Info'!$F$1, INDEX('Room Info'!$A$2:$A3446, MATCH(B2124,'Room Info'!$F$2:$F3446, 0)),if(G2124='Room Info'!$H$1, INDEX('Room Info'!$A$2:$A3446, MATCH(B2124,'Room Info'!$H$2:$H3446, 0)),if(G2124='Room Info'!$G$1, INDEX('Room Info'!$A$2:$A3446, MATCH(B2124,'Room Info'!$G$2:$G3446, 0)))))))))</f>
        <v>0</v>
      </c>
      <c r="B2124" s="101"/>
      <c r="C2124" s="141"/>
      <c r="D2124" s="141"/>
      <c r="E2124" s="142"/>
      <c r="F2124" s="138"/>
      <c r="G2124" s="101"/>
      <c r="H2124" s="105"/>
      <c r="I2124" s="105"/>
      <c r="J2124" s="44" t="str">
        <f t="shared" si="311"/>
        <v/>
      </c>
      <c r="K2124" s="139"/>
      <c r="L2124" s="140"/>
      <c r="M2124" s="84"/>
      <c r="N2124" s="33">
        <f t="shared" si="276"/>
        <v>0</v>
      </c>
      <c r="O2124" s="101"/>
      <c r="P2124" s="34" t="str">
        <f t="shared" si="277"/>
        <v/>
      </c>
      <c r="Q2124" s="60"/>
      <c r="R2124" s="36">
        <f t="shared" si="312"/>
        <v>0</v>
      </c>
      <c r="S2124" s="102"/>
      <c r="T2124" s="37">
        <f t="shared" si="302"/>
        <v>0</v>
      </c>
      <c r="U2124" s="62"/>
      <c r="V2124" s="63"/>
      <c r="W2124" s="63"/>
      <c r="X2124" s="35" t="str">
        <f t="shared" si="303"/>
        <v>#N/A</v>
      </c>
      <c r="Y2124" s="35" t="str">
        <f t="shared" si="304"/>
        <v>#N/A</v>
      </c>
      <c r="Z2124" s="40" t="str">
        <f t="shared" si="305"/>
        <v>#N/A</v>
      </c>
      <c r="AA2124" s="34" t="str">
        <f t="shared" si="306"/>
        <v>#N/A</v>
      </c>
      <c r="AB2124" s="41" t="str">
        <f t="shared" si="307"/>
        <v>#N/A</v>
      </c>
      <c r="AC2124" s="42" t="b">
        <v>0</v>
      </c>
      <c r="AD2124" s="66" t="str">
        <f t="shared" si="308"/>
        <v>USD</v>
      </c>
      <c r="AE2124" s="42"/>
      <c r="AF2124" s="42" t="str">
        <f t="array" ref="AF2124">INDEX('Deal Info'!D:D, MATCH(A2124,'Deal Info'!A:A, 0))</f>
        <v>#N/A</v>
      </c>
      <c r="AG2124" s="43" t="str">
        <f t="array" ref="AG2124">INDEX('Deal Info'!G:G, MATCH(A2124,'Deal Info'!A:A, 0))</f>
        <v>#N/A</v>
      </c>
    </row>
    <row r="2125" hidden="1">
      <c r="A2125" s="23" t="b">
        <f t="array" ref="A2125">if(G2125='Room Info'!$B$1, INDEX('Room Info'!$A$2:$A3446, MATCH(B2125,'Room Info'!$B$2:$B3446, 0)),if(G2125='Room Info'!$C$1, INDEX('Room Info'!$A$2:$A3446, MATCH(B2125,'Room Info'!$C$2:$C3446, 0)),if(G2125='Room Info'!$D$1, INDEX('Room Info'!$A$2:$A3446, MATCH(B2125,'Room Info'!$D$2:$D3446, 0)),if(G2125='Room Info'!$E$1, INDEX('Room Info'!$A$2:$A3446, MATCH(B2125,'Room Info'!$E$2:$E3446, 0)),if(G2125='Room Info'!$F$1, INDEX('Room Info'!$A$2:$A3446, MATCH(B2125,'Room Info'!$F$2:$F3446, 0)),if(G2125='Room Info'!$H$1, INDEX('Room Info'!$A$2:$A3446, MATCH(B2125,'Room Info'!$H$2:$H3446, 0)),if(G2125='Room Info'!$G$1, INDEX('Room Info'!$A$2:$A3446, MATCH(B2125,'Room Info'!$G$2:$G3446, 0)))))))))</f>
        <v>0</v>
      </c>
      <c r="B2125" s="101"/>
      <c r="C2125" s="141"/>
      <c r="D2125" s="141"/>
      <c r="E2125" s="142"/>
      <c r="F2125" s="138"/>
      <c r="G2125" s="101"/>
      <c r="H2125" s="105"/>
      <c r="I2125" s="105"/>
      <c r="J2125" s="44" t="str">
        <f t="shared" si="311"/>
        <v/>
      </c>
      <c r="K2125" s="139"/>
      <c r="L2125" s="140"/>
      <c r="M2125" s="84"/>
      <c r="N2125" s="33">
        <f t="shared" si="276"/>
        <v>0</v>
      </c>
      <c r="O2125" s="101"/>
      <c r="P2125" s="34" t="str">
        <f t="shared" si="277"/>
        <v/>
      </c>
      <c r="Q2125" s="60"/>
      <c r="R2125" s="36">
        <f t="shared" si="312"/>
        <v>0</v>
      </c>
      <c r="S2125" s="102"/>
      <c r="T2125" s="37">
        <f t="shared" si="302"/>
        <v>0</v>
      </c>
      <c r="U2125" s="62"/>
      <c r="V2125" s="63"/>
      <c r="W2125" s="63"/>
      <c r="X2125" s="35" t="str">
        <f t="shared" si="303"/>
        <v>#N/A</v>
      </c>
      <c r="Y2125" s="35" t="str">
        <f t="shared" si="304"/>
        <v>#N/A</v>
      </c>
      <c r="Z2125" s="40" t="str">
        <f t="shared" si="305"/>
        <v>#N/A</v>
      </c>
      <c r="AA2125" s="34" t="str">
        <f t="shared" si="306"/>
        <v>#N/A</v>
      </c>
      <c r="AB2125" s="41" t="str">
        <f t="shared" si="307"/>
        <v>#N/A</v>
      </c>
      <c r="AC2125" s="42" t="b">
        <v>0</v>
      </c>
      <c r="AD2125" s="66" t="str">
        <f t="shared" si="308"/>
        <v>USD</v>
      </c>
      <c r="AE2125" s="42"/>
      <c r="AF2125" s="42" t="str">
        <f t="array" ref="AF2125">INDEX('Deal Info'!D:D, MATCH(A2125,'Deal Info'!A:A, 0))</f>
        <v>#N/A</v>
      </c>
      <c r="AG2125" s="43" t="str">
        <f t="array" ref="AG2125">INDEX('Deal Info'!G:G, MATCH(A2125,'Deal Info'!A:A, 0))</f>
        <v>#N/A</v>
      </c>
    </row>
    <row r="2126" hidden="1">
      <c r="A2126" s="23" t="b">
        <f t="array" ref="A2126">if(G2126='Room Info'!$B$1, INDEX('Room Info'!$A$2:$A3446, MATCH(B2126,'Room Info'!$B$2:$B3446, 0)),if(G2126='Room Info'!$C$1, INDEX('Room Info'!$A$2:$A3446, MATCH(B2126,'Room Info'!$C$2:$C3446, 0)),if(G2126='Room Info'!$D$1, INDEX('Room Info'!$A$2:$A3446, MATCH(B2126,'Room Info'!$D$2:$D3446, 0)),if(G2126='Room Info'!$E$1, INDEX('Room Info'!$A$2:$A3446, MATCH(B2126,'Room Info'!$E$2:$E3446, 0)),if(G2126='Room Info'!$F$1, INDEX('Room Info'!$A$2:$A3446, MATCH(B2126,'Room Info'!$F$2:$F3446, 0)),if(G2126='Room Info'!$H$1, INDEX('Room Info'!$A$2:$A3446, MATCH(B2126,'Room Info'!$H$2:$H3446, 0)),if(G2126='Room Info'!$G$1, INDEX('Room Info'!$A$2:$A3446, MATCH(B2126,'Room Info'!$G$2:$G3446, 0)))))))))</f>
        <v>0</v>
      </c>
      <c r="B2126" s="101"/>
      <c r="C2126" s="141"/>
      <c r="D2126" s="141"/>
      <c r="E2126" s="142"/>
      <c r="F2126" s="138"/>
      <c r="G2126" s="101"/>
      <c r="H2126" s="105"/>
      <c r="I2126" s="105"/>
      <c r="J2126" s="44" t="str">
        <f t="shared" si="311"/>
        <v/>
      </c>
      <c r="K2126" s="139"/>
      <c r="L2126" s="140"/>
      <c r="M2126" s="84"/>
      <c r="N2126" s="33">
        <f t="shared" si="276"/>
        <v>0</v>
      </c>
      <c r="O2126" s="101"/>
      <c r="P2126" s="34" t="str">
        <f t="shared" si="277"/>
        <v/>
      </c>
      <c r="Q2126" s="60"/>
      <c r="R2126" s="36">
        <f t="shared" si="312"/>
        <v>0</v>
      </c>
      <c r="S2126" s="102"/>
      <c r="T2126" s="37">
        <f t="shared" si="302"/>
        <v>0</v>
      </c>
      <c r="U2126" s="62"/>
      <c r="V2126" s="63"/>
      <c r="W2126" s="63"/>
      <c r="X2126" s="35" t="str">
        <f t="shared" si="303"/>
        <v>#N/A</v>
      </c>
      <c r="Y2126" s="35" t="str">
        <f t="shared" si="304"/>
        <v>#N/A</v>
      </c>
      <c r="Z2126" s="40" t="str">
        <f t="shared" si="305"/>
        <v>#N/A</v>
      </c>
      <c r="AA2126" s="34" t="str">
        <f t="shared" si="306"/>
        <v>#N/A</v>
      </c>
      <c r="AB2126" s="41" t="str">
        <f t="shared" si="307"/>
        <v>#N/A</v>
      </c>
      <c r="AC2126" s="42" t="b">
        <v>0</v>
      </c>
      <c r="AD2126" s="66" t="str">
        <f t="shared" si="308"/>
        <v>USD</v>
      </c>
      <c r="AE2126" s="42"/>
      <c r="AF2126" s="42" t="str">
        <f t="array" ref="AF2126">INDEX('Deal Info'!D:D, MATCH(A2126,'Deal Info'!A:A, 0))</f>
        <v>#N/A</v>
      </c>
      <c r="AG2126" s="43" t="str">
        <f t="array" ref="AG2126">INDEX('Deal Info'!G:G, MATCH(A2126,'Deal Info'!A:A, 0))</f>
        <v>#N/A</v>
      </c>
    </row>
    <row r="2127" hidden="1">
      <c r="A2127" s="23" t="b">
        <f t="array" ref="A2127">if(G2127='Room Info'!$B$1, INDEX('Room Info'!$A$2:$A3446, MATCH(B2127,'Room Info'!$B$2:$B3446, 0)),if(G2127='Room Info'!$C$1, INDEX('Room Info'!$A$2:$A3446, MATCH(B2127,'Room Info'!$C$2:$C3446, 0)),if(G2127='Room Info'!$D$1, INDEX('Room Info'!$A$2:$A3446, MATCH(B2127,'Room Info'!$D$2:$D3446, 0)),if(G2127='Room Info'!$E$1, INDEX('Room Info'!$A$2:$A3446, MATCH(B2127,'Room Info'!$E$2:$E3446, 0)),if(G2127='Room Info'!$F$1, INDEX('Room Info'!$A$2:$A3446, MATCH(B2127,'Room Info'!$F$2:$F3446, 0)),if(G2127='Room Info'!$H$1, INDEX('Room Info'!$A$2:$A3446, MATCH(B2127,'Room Info'!$H$2:$H3446, 0)),if(G2127='Room Info'!$G$1, INDEX('Room Info'!$A$2:$A3446, MATCH(B2127,'Room Info'!$G$2:$G3446, 0)))))))))</f>
        <v>0</v>
      </c>
      <c r="B2127" s="101"/>
      <c r="C2127" s="115"/>
      <c r="D2127" s="115"/>
      <c r="E2127" s="85"/>
      <c r="F2127" s="101"/>
      <c r="G2127" s="70"/>
      <c r="H2127" s="114"/>
      <c r="I2127" s="114"/>
      <c r="J2127" s="44" t="str">
        <f t="shared" si="311"/>
        <v/>
      </c>
      <c r="K2127" s="116"/>
      <c r="L2127" s="117"/>
      <c r="M2127" s="67"/>
      <c r="N2127" s="33">
        <f t="shared" si="276"/>
        <v>0</v>
      </c>
      <c r="O2127" s="70"/>
      <c r="P2127" s="34" t="str">
        <f t="shared" si="277"/>
        <v/>
      </c>
      <c r="Q2127" s="60"/>
      <c r="R2127" s="36">
        <f t="shared" si="312"/>
        <v>0</v>
      </c>
      <c r="S2127" s="71"/>
      <c r="T2127" s="37">
        <f t="shared" si="302"/>
        <v>0</v>
      </c>
      <c r="U2127" s="62"/>
      <c r="V2127" s="63"/>
      <c r="W2127" s="63"/>
      <c r="X2127" s="35" t="str">
        <f t="shared" si="303"/>
        <v>#N/A</v>
      </c>
      <c r="Y2127" s="35" t="str">
        <f t="shared" si="304"/>
        <v>#N/A</v>
      </c>
      <c r="Z2127" s="40" t="str">
        <f t="shared" si="305"/>
        <v>#N/A</v>
      </c>
      <c r="AA2127" s="34" t="str">
        <f t="shared" si="306"/>
        <v>#N/A</v>
      </c>
      <c r="AB2127" s="41" t="str">
        <f t="shared" si="307"/>
        <v>#N/A</v>
      </c>
      <c r="AC2127" s="42" t="b">
        <v>0</v>
      </c>
      <c r="AD2127" s="66" t="str">
        <f t="shared" si="308"/>
        <v>USD</v>
      </c>
      <c r="AE2127" s="42"/>
      <c r="AF2127" s="42" t="str">
        <f t="array" ref="AF2127">INDEX('Deal Info'!D:D, MATCH(A2127,'Deal Info'!A:A, 0))</f>
        <v>#N/A</v>
      </c>
      <c r="AG2127" s="43" t="str">
        <f t="array" ref="AG2127">INDEX('Deal Info'!G:G, MATCH(A2127,'Deal Info'!A:A, 0))</f>
        <v>#N/A</v>
      </c>
    </row>
    <row r="2128" hidden="1">
      <c r="A2128" s="23" t="b">
        <f t="array" ref="A2128">if(G2128='Room Info'!$B$1, INDEX('Room Info'!$A$2:$A3446, MATCH(B2128,'Room Info'!$B$2:$B3446, 0)),if(G2128='Room Info'!$C$1, INDEX('Room Info'!$A$2:$A3446, MATCH(B2128,'Room Info'!$C$2:$C3446, 0)),if(G2128='Room Info'!$D$1, INDEX('Room Info'!$A$2:$A3446, MATCH(B2128,'Room Info'!$D$2:$D3446, 0)),if(G2128='Room Info'!$E$1, INDEX('Room Info'!$A$2:$A3446, MATCH(B2128,'Room Info'!$E$2:$E3446, 0)),if(G2128='Room Info'!$F$1, INDEX('Room Info'!$A$2:$A3446, MATCH(B2128,'Room Info'!$F$2:$F3446, 0)),if(G2128='Room Info'!$H$1, INDEX('Room Info'!$A$2:$A3446, MATCH(B2128,'Room Info'!$H$2:$H3446, 0)),if(G2128='Room Info'!$G$1, INDEX('Room Info'!$A$2:$A3446, MATCH(B2128,'Room Info'!$G$2:$G3446, 0)))))))))</f>
        <v>0</v>
      </c>
      <c r="B2128" s="101"/>
      <c r="C2128" s="141"/>
      <c r="D2128" s="141"/>
      <c r="E2128" s="142"/>
      <c r="F2128" s="138"/>
      <c r="G2128" s="101"/>
      <c r="H2128" s="105"/>
      <c r="I2128" s="105"/>
      <c r="J2128" s="44" t="str">
        <f t="shared" si="311"/>
        <v/>
      </c>
      <c r="K2128" s="139"/>
      <c r="L2128" s="140"/>
      <c r="M2128" s="84"/>
      <c r="N2128" s="33">
        <f t="shared" si="276"/>
        <v>0</v>
      </c>
      <c r="O2128" s="101"/>
      <c r="P2128" s="34" t="str">
        <f t="shared" si="277"/>
        <v/>
      </c>
      <c r="Q2128" s="60"/>
      <c r="R2128" s="36">
        <f t="shared" si="312"/>
        <v>0</v>
      </c>
      <c r="S2128" s="102"/>
      <c r="T2128" s="37">
        <f t="shared" si="302"/>
        <v>0</v>
      </c>
      <c r="U2128" s="62"/>
      <c r="V2128" s="63"/>
      <c r="W2128" s="63"/>
      <c r="X2128" s="35" t="str">
        <f t="shared" si="303"/>
        <v>#N/A</v>
      </c>
      <c r="Y2128" s="35" t="str">
        <f t="shared" si="304"/>
        <v>#N/A</v>
      </c>
      <c r="Z2128" s="40" t="str">
        <f t="shared" si="305"/>
        <v>#N/A</v>
      </c>
      <c r="AA2128" s="34" t="str">
        <f t="shared" si="306"/>
        <v>#N/A</v>
      </c>
      <c r="AB2128" s="41" t="str">
        <f t="shared" si="307"/>
        <v>#N/A</v>
      </c>
      <c r="AC2128" s="42" t="b">
        <v>0</v>
      </c>
      <c r="AD2128" s="66" t="str">
        <f t="shared" si="308"/>
        <v>USD</v>
      </c>
      <c r="AE2128" s="42"/>
      <c r="AF2128" s="42" t="str">
        <f t="array" ref="AF2128">INDEX('Deal Info'!D:D, MATCH(A2128,'Deal Info'!A:A, 0))</f>
        <v>#N/A</v>
      </c>
      <c r="AG2128" s="43" t="str">
        <f t="array" ref="AG2128">INDEX('Deal Info'!G:G, MATCH(A2128,'Deal Info'!A:A, 0))</f>
        <v>#N/A</v>
      </c>
    </row>
    <row r="2129" hidden="1">
      <c r="A2129" s="23" t="b">
        <f t="array" ref="A2129">if(G2129='Room Info'!$B$1, INDEX('Room Info'!$A$2:$A3446, MATCH(B2129,'Room Info'!$B$2:$B3446, 0)),if(G2129='Room Info'!$C$1, INDEX('Room Info'!$A$2:$A3446, MATCH(B2129,'Room Info'!$C$2:$C3446, 0)),if(G2129='Room Info'!$D$1, INDEX('Room Info'!$A$2:$A3446, MATCH(B2129,'Room Info'!$D$2:$D3446, 0)),if(G2129='Room Info'!$E$1, INDEX('Room Info'!$A$2:$A3446, MATCH(B2129,'Room Info'!$E$2:$E3446, 0)),if(G2129='Room Info'!$F$1, INDEX('Room Info'!$A$2:$A3446, MATCH(B2129,'Room Info'!$F$2:$F3446, 0)),if(G2129='Room Info'!$H$1, INDEX('Room Info'!$A$2:$A3446, MATCH(B2129,'Room Info'!$H$2:$H3446, 0)),if(G2129='Room Info'!$G$1, INDEX('Room Info'!$A$2:$A3446, MATCH(B2129,'Room Info'!$G$2:$G3446, 0)))))))))</f>
        <v>0</v>
      </c>
      <c r="B2129" s="101"/>
      <c r="C2129" s="141"/>
      <c r="D2129" s="141"/>
      <c r="E2129" s="142"/>
      <c r="F2129" s="138"/>
      <c r="G2129" s="101"/>
      <c r="H2129" s="105"/>
      <c r="I2129" s="105"/>
      <c r="J2129" s="44" t="str">
        <f t="shared" si="311"/>
        <v/>
      </c>
      <c r="K2129" s="139"/>
      <c r="L2129" s="140"/>
      <c r="M2129" s="84"/>
      <c r="N2129" s="33">
        <f t="shared" si="276"/>
        <v>0</v>
      </c>
      <c r="O2129" s="101"/>
      <c r="P2129" s="34" t="str">
        <f t="shared" si="277"/>
        <v/>
      </c>
      <c r="Q2129" s="60"/>
      <c r="R2129" s="36">
        <f t="shared" si="312"/>
        <v>0</v>
      </c>
      <c r="S2129" s="102"/>
      <c r="T2129" s="37">
        <f t="shared" si="302"/>
        <v>0</v>
      </c>
      <c r="U2129" s="62"/>
      <c r="V2129" s="63"/>
      <c r="W2129" s="63"/>
      <c r="X2129" s="35" t="str">
        <f t="shared" si="303"/>
        <v>#N/A</v>
      </c>
      <c r="Y2129" s="35" t="str">
        <f t="shared" si="304"/>
        <v>#N/A</v>
      </c>
      <c r="Z2129" s="40" t="str">
        <f t="shared" si="305"/>
        <v>#N/A</v>
      </c>
      <c r="AA2129" s="34" t="str">
        <f t="shared" si="306"/>
        <v>#N/A</v>
      </c>
      <c r="AB2129" s="41" t="str">
        <f t="shared" si="307"/>
        <v>#N/A</v>
      </c>
      <c r="AC2129" s="42" t="b">
        <v>0</v>
      </c>
      <c r="AD2129" s="66" t="str">
        <f t="shared" si="308"/>
        <v>USD</v>
      </c>
      <c r="AE2129" s="42"/>
      <c r="AF2129" s="42" t="str">
        <f t="array" ref="AF2129">INDEX('Deal Info'!D:D, MATCH(A2129,'Deal Info'!A:A, 0))</f>
        <v>#N/A</v>
      </c>
      <c r="AG2129" s="43" t="str">
        <f t="array" ref="AG2129">INDEX('Deal Info'!G:G, MATCH(A2129,'Deal Info'!A:A, 0))</f>
        <v>#N/A</v>
      </c>
    </row>
    <row r="2130" hidden="1">
      <c r="A2130" s="23" t="b">
        <f t="array" ref="A2130">if(G2130='Room Info'!$B$1, INDEX('Room Info'!$A$2:$A3446, MATCH(B2130,'Room Info'!$B$2:$B3446, 0)),if(G2130='Room Info'!$C$1, INDEX('Room Info'!$A$2:$A3446, MATCH(B2130,'Room Info'!$C$2:$C3446, 0)),if(G2130='Room Info'!$D$1, INDEX('Room Info'!$A$2:$A3446, MATCH(B2130,'Room Info'!$D$2:$D3446, 0)),if(G2130='Room Info'!$E$1, INDEX('Room Info'!$A$2:$A3446, MATCH(B2130,'Room Info'!$E$2:$E3446, 0)),if(G2130='Room Info'!$F$1, INDEX('Room Info'!$A$2:$A3446, MATCH(B2130,'Room Info'!$F$2:$F3446, 0)),if(G2130='Room Info'!$H$1, INDEX('Room Info'!$A$2:$A3446, MATCH(B2130,'Room Info'!$H$2:$H3446, 0)),if(G2130='Room Info'!$G$1, INDEX('Room Info'!$A$2:$A3446, MATCH(B2130,'Room Info'!$G$2:$G3446, 0)))))))))</f>
        <v>0</v>
      </c>
      <c r="B2130" s="101"/>
      <c r="C2130" s="141"/>
      <c r="D2130" s="141"/>
      <c r="E2130" s="142"/>
      <c r="F2130" s="101"/>
      <c r="G2130" s="70"/>
      <c r="H2130" s="114"/>
      <c r="I2130" s="114"/>
      <c r="J2130" s="44" t="str">
        <f t="shared" si="311"/>
        <v/>
      </c>
      <c r="K2130" s="116"/>
      <c r="L2130" s="117"/>
      <c r="M2130" s="67"/>
      <c r="N2130" s="33">
        <f t="shared" si="276"/>
        <v>0</v>
      </c>
      <c r="O2130" s="70"/>
      <c r="P2130" s="34" t="str">
        <f t="shared" si="277"/>
        <v/>
      </c>
      <c r="Q2130" s="60"/>
      <c r="R2130" s="36">
        <f t="shared" si="312"/>
        <v>0</v>
      </c>
      <c r="S2130" s="71"/>
      <c r="T2130" s="37">
        <f t="shared" si="302"/>
        <v>0</v>
      </c>
      <c r="U2130" s="62"/>
      <c r="V2130" s="63"/>
      <c r="W2130" s="63"/>
      <c r="X2130" s="35" t="str">
        <f t="shared" si="303"/>
        <v>#N/A</v>
      </c>
      <c r="Y2130" s="35" t="str">
        <f t="shared" si="304"/>
        <v>#N/A</v>
      </c>
      <c r="Z2130" s="40" t="str">
        <f t="shared" si="305"/>
        <v>#N/A</v>
      </c>
      <c r="AA2130" s="34" t="str">
        <f t="shared" si="306"/>
        <v>#N/A</v>
      </c>
      <c r="AB2130" s="41" t="str">
        <f t="shared" si="307"/>
        <v>#N/A</v>
      </c>
      <c r="AC2130" s="42" t="b">
        <v>0</v>
      </c>
      <c r="AD2130" s="66" t="str">
        <f t="shared" si="308"/>
        <v>USD</v>
      </c>
      <c r="AE2130" s="42"/>
      <c r="AF2130" s="42" t="str">
        <f t="array" ref="AF2130">INDEX('Deal Info'!D:D, MATCH(A2130,'Deal Info'!A:A, 0))</f>
        <v>#N/A</v>
      </c>
      <c r="AG2130" s="43" t="str">
        <f t="array" ref="AG2130">INDEX('Deal Info'!G:G, MATCH(A2130,'Deal Info'!A:A, 0))</f>
        <v>#N/A</v>
      </c>
    </row>
    <row r="2131" hidden="1">
      <c r="A2131" s="23" t="b">
        <f t="array" ref="A2131">if(G2131='Room Info'!$B$1, INDEX('Room Info'!$A$2:$A3446, MATCH(B2131,'Room Info'!$B$2:$B3446, 0)),if(G2131='Room Info'!$C$1, INDEX('Room Info'!$A$2:$A3446, MATCH(B2131,'Room Info'!$C$2:$C3446, 0)),if(G2131='Room Info'!$D$1, INDEX('Room Info'!$A$2:$A3446, MATCH(B2131,'Room Info'!$D$2:$D3446, 0)),if(G2131='Room Info'!$E$1, INDEX('Room Info'!$A$2:$A3446, MATCH(B2131,'Room Info'!$E$2:$E3446, 0)),if(G2131='Room Info'!$F$1, INDEX('Room Info'!$A$2:$A3446, MATCH(B2131,'Room Info'!$F$2:$F3446, 0)),if(G2131='Room Info'!$H$1, INDEX('Room Info'!$A$2:$A3446, MATCH(B2131,'Room Info'!$H$2:$H3446, 0)),if(G2131='Room Info'!$G$1, INDEX('Room Info'!$A$2:$A3446, MATCH(B2131,'Room Info'!$G$2:$G3446, 0)))))))))</f>
        <v>0</v>
      </c>
      <c r="B2131" s="101"/>
      <c r="C2131" s="141"/>
      <c r="D2131" s="141"/>
      <c r="E2131" s="142"/>
      <c r="F2131" s="101"/>
      <c r="G2131" s="70"/>
      <c r="H2131" s="114"/>
      <c r="I2131" s="114"/>
      <c r="J2131" s="44" t="str">
        <f t="shared" si="311"/>
        <v/>
      </c>
      <c r="K2131" s="116"/>
      <c r="L2131" s="117"/>
      <c r="M2131" s="67"/>
      <c r="N2131" s="33">
        <f t="shared" si="276"/>
        <v>0</v>
      </c>
      <c r="O2131" s="70"/>
      <c r="P2131" s="34" t="str">
        <f t="shared" si="277"/>
        <v/>
      </c>
      <c r="Q2131" s="60"/>
      <c r="R2131" s="36">
        <f t="shared" si="312"/>
        <v>0</v>
      </c>
      <c r="S2131" s="71"/>
      <c r="T2131" s="37">
        <f t="shared" si="302"/>
        <v>0</v>
      </c>
      <c r="U2131" s="62"/>
      <c r="V2131" s="63"/>
      <c r="W2131" s="63"/>
      <c r="X2131" s="35" t="str">
        <f t="shared" si="303"/>
        <v>#N/A</v>
      </c>
      <c r="Y2131" s="35" t="str">
        <f t="shared" si="304"/>
        <v>#N/A</v>
      </c>
      <c r="Z2131" s="40" t="str">
        <f t="shared" si="305"/>
        <v>#N/A</v>
      </c>
      <c r="AA2131" s="34" t="str">
        <f t="shared" si="306"/>
        <v>#N/A</v>
      </c>
      <c r="AB2131" s="41" t="str">
        <f t="shared" si="307"/>
        <v>#N/A</v>
      </c>
      <c r="AC2131" s="42" t="b">
        <v>0</v>
      </c>
      <c r="AD2131" s="66" t="str">
        <f t="shared" si="308"/>
        <v>USD</v>
      </c>
      <c r="AE2131" s="42"/>
      <c r="AF2131" s="42" t="str">
        <f t="array" ref="AF2131">INDEX('Deal Info'!D:D, MATCH(A2131,'Deal Info'!A:A, 0))</f>
        <v>#N/A</v>
      </c>
      <c r="AG2131" s="43" t="str">
        <f t="array" ref="AG2131">INDEX('Deal Info'!G:G, MATCH(A2131,'Deal Info'!A:A, 0))</f>
        <v>#N/A</v>
      </c>
    </row>
    <row r="2132" hidden="1">
      <c r="A2132" s="23" t="b">
        <f t="array" ref="A2132">if(G2132='Room Info'!$B$1, INDEX('Room Info'!$A$2:$A3446, MATCH(B2132,'Room Info'!$B$2:$B3446, 0)),if(G2132='Room Info'!$C$1, INDEX('Room Info'!$A$2:$A3446, MATCH(B2132,'Room Info'!$C$2:$C3446, 0)),if(G2132='Room Info'!$D$1, INDEX('Room Info'!$A$2:$A3446, MATCH(B2132,'Room Info'!$D$2:$D3446, 0)),if(G2132='Room Info'!$E$1, INDEX('Room Info'!$A$2:$A3446, MATCH(B2132,'Room Info'!$E$2:$E3446, 0)),if(G2132='Room Info'!$F$1, INDEX('Room Info'!$A$2:$A3446, MATCH(B2132,'Room Info'!$F$2:$F3446, 0)),if(G2132='Room Info'!$H$1, INDEX('Room Info'!$A$2:$A3446, MATCH(B2132,'Room Info'!$H$2:$H3446, 0)),if(G2132='Room Info'!$G$1, INDEX('Room Info'!$A$2:$A3446, MATCH(B2132,'Room Info'!$G$2:$G3446, 0)))))))))</f>
        <v>0</v>
      </c>
      <c r="B2132" s="101"/>
      <c r="C2132" s="141"/>
      <c r="D2132" s="141"/>
      <c r="E2132" s="142"/>
      <c r="F2132" s="138"/>
      <c r="G2132" s="70"/>
      <c r="H2132" s="114"/>
      <c r="I2132" s="114"/>
      <c r="J2132" s="44" t="str">
        <f t="shared" si="311"/>
        <v/>
      </c>
      <c r="K2132" s="116"/>
      <c r="L2132" s="117"/>
      <c r="M2132" s="67"/>
      <c r="N2132" s="33">
        <f t="shared" si="276"/>
        <v>0</v>
      </c>
      <c r="O2132" s="70"/>
      <c r="P2132" s="34" t="str">
        <f t="shared" si="277"/>
        <v/>
      </c>
      <c r="Q2132" s="60"/>
      <c r="R2132" s="36">
        <f t="shared" si="312"/>
        <v>0</v>
      </c>
      <c r="S2132" s="71"/>
      <c r="T2132" s="37">
        <f t="shared" si="302"/>
        <v>0</v>
      </c>
      <c r="U2132" s="62"/>
      <c r="V2132" s="63"/>
      <c r="W2132" s="63"/>
      <c r="X2132" s="35" t="str">
        <f t="shared" si="303"/>
        <v>#N/A</v>
      </c>
      <c r="Y2132" s="35" t="str">
        <f t="shared" si="304"/>
        <v>#N/A</v>
      </c>
      <c r="Z2132" s="40" t="str">
        <f t="shared" si="305"/>
        <v>#N/A</v>
      </c>
      <c r="AA2132" s="34" t="str">
        <f t="shared" si="306"/>
        <v>#N/A</v>
      </c>
      <c r="AB2132" s="41" t="str">
        <f t="shared" si="307"/>
        <v>#N/A</v>
      </c>
      <c r="AC2132" s="42" t="b">
        <v>0</v>
      </c>
      <c r="AD2132" s="66" t="str">
        <f t="shared" si="308"/>
        <v>USD</v>
      </c>
      <c r="AE2132" s="42"/>
      <c r="AF2132" s="42" t="str">
        <f t="array" ref="AF2132">INDEX('Deal Info'!D:D, MATCH(A2132,'Deal Info'!A:A, 0))</f>
        <v>#N/A</v>
      </c>
      <c r="AG2132" s="43" t="str">
        <f t="array" ref="AG2132">INDEX('Deal Info'!G:G, MATCH(A2132,'Deal Info'!A:A, 0))</f>
        <v>#N/A</v>
      </c>
    </row>
    <row r="2133" hidden="1">
      <c r="A2133" s="23" t="b">
        <f t="array" ref="A2133">if(G2133='Room Info'!$B$1, INDEX('Room Info'!$A$2:$A3446, MATCH(B2133,'Room Info'!$B$2:$B3446, 0)),if(G2133='Room Info'!$C$1, INDEX('Room Info'!$A$2:$A3446, MATCH(B2133,'Room Info'!$C$2:$C3446, 0)),if(G2133='Room Info'!$D$1, INDEX('Room Info'!$A$2:$A3446, MATCH(B2133,'Room Info'!$D$2:$D3446, 0)),if(G2133='Room Info'!$E$1, INDEX('Room Info'!$A$2:$A3446, MATCH(B2133,'Room Info'!$E$2:$E3446, 0)),if(G2133='Room Info'!$F$1, INDEX('Room Info'!$A$2:$A3446, MATCH(B2133,'Room Info'!$F$2:$F3446, 0)),if(G2133='Room Info'!$H$1, INDEX('Room Info'!$A$2:$A3446, MATCH(B2133,'Room Info'!$H$2:$H3446, 0)),if(G2133='Room Info'!$G$1, INDEX('Room Info'!$A$2:$A3446, MATCH(B2133,'Room Info'!$G$2:$G3446, 0)))))))))</f>
        <v>0</v>
      </c>
      <c r="B2133" s="101"/>
      <c r="C2133" s="141"/>
      <c r="D2133" s="141"/>
      <c r="E2133" s="142"/>
      <c r="F2133" s="138"/>
      <c r="G2133" s="70"/>
      <c r="H2133" s="114"/>
      <c r="I2133" s="114"/>
      <c r="J2133" s="44" t="str">
        <f t="shared" si="311"/>
        <v/>
      </c>
      <c r="K2133" s="116"/>
      <c r="L2133" s="117"/>
      <c r="M2133" s="67"/>
      <c r="N2133" s="33">
        <f t="shared" si="276"/>
        <v>0</v>
      </c>
      <c r="O2133" s="70"/>
      <c r="P2133" s="34" t="str">
        <f t="shared" si="277"/>
        <v/>
      </c>
      <c r="Q2133" s="60"/>
      <c r="R2133" s="36">
        <f t="shared" si="312"/>
        <v>0</v>
      </c>
      <c r="S2133" s="71"/>
      <c r="T2133" s="37">
        <f t="shared" si="302"/>
        <v>0</v>
      </c>
      <c r="U2133" s="62"/>
      <c r="V2133" s="63"/>
      <c r="W2133" s="63"/>
      <c r="X2133" s="35" t="str">
        <f t="shared" si="303"/>
        <v>#N/A</v>
      </c>
      <c r="Y2133" s="35" t="str">
        <f t="shared" si="304"/>
        <v>#N/A</v>
      </c>
      <c r="Z2133" s="40" t="str">
        <f t="shared" si="305"/>
        <v>#N/A</v>
      </c>
      <c r="AA2133" s="34" t="str">
        <f t="shared" si="306"/>
        <v>#N/A</v>
      </c>
      <c r="AB2133" s="41" t="str">
        <f t="shared" si="307"/>
        <v>#N/A</v>
      </c>
      <c r="AC2133" s="42" t="b">
        <v>0</v>
      </c>
      <c r="AD2133" s="66" t="str">
        <f t="shared" si="308"/>
        <v>USD</v>
      </c>
      <c r="AE2133" s="42"/>
      <c r="AF2133" s="42" t="str">
        <f t="array" ref="AF2133">INDEX('Deal Info'!D:D, MATCH(A2133,'Deal Info'!A:A, 0))</f>
        <v>#N/A</v>
      </c>
      <c r="AG2133" s="43" t="str">
        <f t="array" ref="AG2133">INDEX('Deal Info'!G:G, MATCH(A2133,'Deal Info'!A:A, 0))</f>
        <v>#N/A</v>
      </c>
    </row>
    <row r="2134" hidden="1">
      <c r="A2134" s="23" t="b">
        <f t="array" ref="A2134">if(G2134='Room Info'!$B$1, INDEX('Room Info'!$A$2:$A3446, MATCH(B2134,'Room Info'!$B$2:$B3446, 0)),if(G2134='Room Info'!$C$1, INDEX('Room Info'!$A$2:$A3446, MATCH(B2134,'Room Info'!$C$2:$C3446, 0)),if(G2134='Room Info'!$D$1, INDEX('Room Info'!$A$2:$A3446, MATCH(B2134,'Room Info'!$D$2:$D3446, 0)),if(G2134='Room Info'!$E$1, INDEX('Room Info'!$A$2:$A3446, MATCH(B2134,'Room Info'!$E$2:$E3446, 0)),if(G2134='Room Info'!$F$1, INDEX('Room Info'!$A$2:$A3446, MATCH(B2134,'Room Info'!$F$2:$F3446, 0)),if(G2134='Room Info'!$H$1, INDEX('Room Info'!$A$2:$A3446, MATCH(B2134,'Room Info'!$H$2:$H3446, 0)),if(G2134='Room Info'!$G$1, INDEX('Room Info'!$A$2:$A3446, MATCH(B2134,'Room Info'!$G$2:$G3446, 0)))))))))</f>
        <v>0</v>
      </c>
      <c r="B2134" s="101"/>
      <c r="C2134" s="141"/>
      <c r="D2134" s="141"/>
      <c r="E2134" s="142"/>
      <c r="F2134" s="138"/>
      <c r="G2134" s="70"/>
      <c r="H2134" s="114"/>
      <c r="I2134" s="114"/>
      <c r="J2134" s="44" t="str">
        <f t="shared" si="311"/>
        <v/>
      </c>
      <c r="K2134" s="116"/>
      <c r="L2134" s="117"/>
      <c r="M2134" s="67"/>
      <c r="N2134" s="33">
        <f t="shared" si="276"/>
        <v>0</v>
      </c>
      <c r="O2134" s="70"/>
      <c r="P2134" s="34" t="str">
        <f t="shared" si="277"/>
        <v/>
      </c>
      <c r="Q2134" s="60"/>
      <c r="R2134" s="36">
        <f t="shared" si="312"/>
        <v>0</v>
      </c>
      <c r="S2134" s="71"/>
      <c r="T2134" s="37">
        <f t="shared" si="302"/>
        <v>0</v>
      </c>
      <c r="U2134" s="62"/>
      <c r="V2134" s="63"/>
      <c r="W2134" s="63"/>
      <c r="X2134" s="35" t="str">
        <f t="shared" si="303"/>
        <v>#N/A</v>
      </c>
      <c r="Y2134" s="35" t="str">
        <f t="shared" si="304"/>
        <v>#N/A</v>
      </c>
      <c r="Z2134" s="40" t="str">
        <f t="shared" si="305"/>
        <v>#N/A</v>
      </c>
      <c r="AA2134" s="34" t="str">
        <f t="shared" si="306"/>
        <v>#N/A</v>
      </c>
      <c r="AB2134" s="41" t="str">
        <f t="shared" si="307"/>
        <v>#N/A</v>
      </c>
      <c r="AC2134" s="42" t="b">
        <v>0</v>
      </c>
      <c r="AD2134" s="66" t="str">
        <f t="shared" si="308"/>
        <v>USD</v>
      </c>
      <c r="AE2134" s="42"/>
      <c r="AF2134" s="42" t="str">
        <f t="array" ref="AF2134">INDEX('Deal Info'!D:D, MATCH(A2134,'Deal Info'!A:A, 0))</f>
        <v>#N/A</v>
      </c>
      <c r="AG2134" s="43" t="str">
        <f t="array" ref="AG2134">INDEX('Deal Info'!G:G, MATCH(A2134,'Deal Info'!A:A, 0))</f>
        <v>#N/A</v>
      </c>
    </row>
    <row r="2135" hidden="1">
      <c r="A2135" s="23" t="b">
        <f t="array" ref="A2135">if(G2135='Room Info'!$B$1, INDEX('Room Info'!$A$2:$A3446, MATCH(B2135,'Room Info'!$B$2:$B3446, 0)),if(G2135='Room Info'!$C$1, INDEX('Room Info'!$A$2:$A3446, MATCH(B2135,'Room Info'!$C$2:$C3446, 0)),if(G2135='Room Info'!$D$1, INDEX('Room Info'!$A$2:$A3446, MATCH(B2135,'Room Info'!$D$2:$D3446, 0)),if(G2135='Room Info'!$E$1, INDEX('Room Info'!$A$2:$A3446, MATCH(B2135,'Room Info'!$E$2:$E3446, 0)),if(G2135='Room Info'!$F$1, INDEX('Room Info'!$A$2:$A3446, MATCH(B2135,'Room Info'!$F$2:$F3446, 0)),if(G2135='Room Info'!$H$1, INDEX('Room Info'!$A$2:$A3446, MATCH(B2135,'Room Info'!$H$2:$H3446, 0)),if(G2135='Room Info'!$G$1, INDEX('Room Info'!$A$2:$A3446, MATCH(B2135,'Room Info'!$G$2:$G3446, 0)))))))))</f>
        <v>0</v>
      </c>
      <c r="B2135" s="101"/>
      <c r="C2135" s="115"/>
      <c r="D2135" s="115"/>
      <c r="E2135" s="85"/>
      <c r="F2135" s="138"/>
      <c r="G2135" s="70"/>
      <c r="H2135" s="114"/>
      <c r="I2135" s="114"/>
      <c r="J2135" s="44" t="str">
        <f t="shared" si="311"/>
        <v/>
      </c>
      <c r="K2135" s="116"/>
      <c r="L2135" s="117"/>
      <c r="M2135" s="67"/>
      <c r="N2135" s="33">
        <f t="shared" si="276"/>
        <v>0</v>
      </c>
      <c r="O2135" s="70"/>
      <c r="P2135" s="34" t="str">
        <f t="shared" si="277"/>
        <v/>
      </c>
      <c r="Q2135" s="60"/>
      <c r="R2135" s="36">
        <f t="shared" si="312"/>
        <v>0</v>
      </c>
      <c r="S2135" s="71"/>
      <c r="T2135" s="37">
        <f t="shared" si="302"/>
        <v>0</v>
      </c>
      <c r="U2135" s="62"/>
      <c r="V2135" s="63"/>
      <c r="W2135" s="63"/>
      <c r="X2135" s="35" t="str">
        <f t="shared" si="303"/>
        <v>#N/A</v>
      </c>
      <c r="Y2135" s="35" t="str">
        <f t="shared" si="304"/>
        <v>#N/A</v>
      </c>
      <c r="Z2135" s="40" t="str">
        <f t="shared" si="305"/>
        <v>#N/A</v>
      </c>
      <c r="AA2135" s="34" t="str">
        <f t="shared" si="306"/>
        <v>#N/A</v>
      </c>
      <c r="AB2135" s="41" t="str">
        <f t="shared" si="307"/>
        <v>#N/A</v>
      </c>
      <c r="AC2135" s="42" t="b">
        <v>0</v>
      </c>
      <c r="AD2135" s="66" t="str">
        <f t="shared" si="308"/>
        <v>USD</v>
      </c>
      <c r="AE2135" s="42"/>
      <c r="AF2135" s="42" t="str">
        <f t="array" ref="AF2135">INDEX('Deal Info'!D:D, MATCH(A2135,'Deal Info'!A:A, 0))</f>
        <v>#N/A</v>
      </c>
      <c r="AG2135" s="43" t="str">
        <f t="array" ref="AG2135">INDEX('Deal Info'!G:G, MATCH(A2135,'Deal Info'!A:A, 0))</f>
        <v>#N/A</v>
      </c>
    </row>
    <row r="2136" hidden="1">
      <c r="A2136" s="23" t="b">
        <f t="array" ref="A2136">if(G2136='Room Info'!$B$1, INDEX('Room Info'!$A$2:$A3446, MATCH(B2136,'Room Info'!$B$2:$B3446, 0)),if(G2136='Room Info'!$C$1, INDEX('Room Info'!$A$2:$A3446, MATCH(B2136,'Room Info'!$C$2:$C3446, 0)),if(G2136='Room Info'!$D$1, INDEX('Room Info'!$A$2:$A3446, MATCH(B2136,'Room Info'!$D$2:$D3446, 0)),if(G2136='Room Info'!$E$1, INDEX('Room Info'!$A$2:$A3446, MATCH(B2136,'Room Info'!$E$2:$E3446, 0)),if(G2136='Room Info'!$F$1, INDEX('Room Info'!$A$2:$A3446, MATCH(B2136,'Room Info'!$F$2:$F3446, 0)),if(G2136='Room Info'!$H$1, INDEX('Room Info'!$A$2:$A3446, MATCH(B2136,'Room Info'!$H$2:$H3446, 0)),if(G2136='Room Info'!$G$1, INDEX('Room Info'!$A$2:$A3446, MATCH(B2136,'Room Info'!$G$2:$G3446, 0)))))))))</f>
        <v>0</v>
      </c>
      <c r="B2136" s="101"/>
      <c r="C2136" s="115"/>
      <c r="D2136" s="115"/>
      <c r="E2136" s="85"/>
      <c r="F2136" s="138"/>
      <c r="G2136" s="70"/>
      <c r="H2136" s="114"/>
      <c r="I2136" s="114"/>
      <c r="J2136" s="44" t="str">
        <f t="shared" si="311"/>
        <v/>
      </c>
      <c r="K2136" s="116"/>
      <c r="L2136" s="117"/>
      <c r="M2136" s="67"/>
      <c r="N2136" s="33">
        <f t="shared" si="276"/>
        <v>0</v>
      </c>
      <c r="O2136" s="70"/>
      <c r="P2136" s="34" t="str">
        <f t="shared" si="277"/>
        <v/>
      </c>
      <c r="Q2136" s="60"/>
      <c r="R2136" s="36">
        <f t="shared" si="312"/>
        <v>0</v>
      </c>
      <c r="S2136" s="71"/>
      <c r="T2136" s="37">
        <f t="shared" si="302"/>
        <v>0</v>
      </c>
      <c r="U2136" s="62"/>
      <c r="V2136" s="63"/>
      <c r="W2136" s="63"/>
      <c r="X2136" s="35" t="str">
        <f t="shared" si="303"/>
        <v>#N/A</v>
      </c>
      <c r="Y2136" s="35" t="str">
        <f t="shared" si="304"/>
        <v>#N/A</v>
      </c>
      <c r="Z2136" s="40" t="str">
        <f t="shared" si="305"/>
        <v>#N/A</v>
      </c>
      <c r="AA2136" s="34" t="str">
        <f t="shared" si="306"/>
        <v>#N/A</v>
      </c>
      <c r="AB2136" s="41" t="str">
        <f t="shared" si="307"/>
        <v>#N/A</v>
      </c>
      <c r="AC2136" s="42" t="b">
        <v>0</v>
      </c>
      <c r="AD2136" s="66" t="str">
        <f t="shared" si="308"/>
        <v>USD</v>
      </c>
      <c r="AE2136" s="42"/>
      <c r="AF2136" s="42" t="str">
        <f t="array" ref="AF2136">INDEX('Deal Info'!D:D, MATCH(A2136,'Deal Info'!A:A, 0))</f>
        <v>#N/A</v>
      </c>
      <c r="AG2136" s="43" t="str">
        <f t="array" ref="AG2136">INDEX('Deal Info'!G:G, MATCH(A2136,'Deal Info'!A:A, 0))</f>
        <v>#N/A</v>
      </c>
    </row>
    <row r="2137" hidden="1">
      <c r="A2137" s="23" t="b">
        <f t="array" ref="A2137">if(G2137='Room Info'!$B$1, INDEX('Room Info'!$A$2:$A3446, MATCH(B2137,'Room Info'!$B$2:$B3446, 0)),if(G2137='Room Info'!$C$1, INDEX('Room Info'!$A$2:$A3446, MATCH(B2137,'Room Info'!$C$2:$C3446, 0)),if(G2137='Room Info'!$D$1, INDEX('Room Info'!$A$2:$A3446, MATCH(B2137,'Room Info'!$D$2:$D3446, 0)),if(G2137='Room Info'!$E$1, INDEX('Room Info'!$A$2:$A3446, MATCH(B2137,'Room Info'!$E$2:$E3446, 0)),if(G2137='Room Info'!$F$1, INDEX('Room Info'!$A$2:$A3446, MATCH(B2137,'Room Info'!$F$2:$F3446, 0)),if(G2137='Room Info'!$H$1, INDEX('Room Info'!$A$2:$A3446, MATCH(B2137,'Room Info'!$H$2:$H3446, 0)),if(G2137='Room Info'!$G$1, INDEX('Room Info'!$A$2:$A3446, MATCH(B2137,'Room Info'!$G$2:$G3446, 0)))))))))</f>
        <v>0</v>
      </c>
      <c r="B2137" s="101"/>
      <c r="C2137" s="115"/>
      <c r="D2137" s="115"/>
      <c r="E2137" s="85"/>
      <c r="F2137" s="138"/>
      <c r="G2137" s="70"/>
      <c r="H2137" s="114"/>
      <c r="I2137" s="114"/>
      <c r="J2137" s="44" t="str">
        <f t="shared" si="311"/>
        <v/>
      </c>
      <c r="K2137" s="116"/>
      <c r="L2137" s="117"/>
      <c r="M2137" s="67"/>
      <c r="N2137" s="33">
        <f t="shared" si="276"/>
        <v>0</v>
      </c>
      <c r="O2137" s="70"/>
      <c r="P2137" s="34" t="str">
        <f t="shared" si="277"/>
        <v/>
      </c>
      <c r="Q2137" s="60"/>
      <c r="R2137" s="36">
        <f t="shared" si="312"/>
        <v>0</v>
      </c>
      <c r="S2137" s="71"/>
      <c r="T2137" s="37">
        <f t="shared" si="302"/>
        <v>0</v>
      </c>
      <c r="U2137" s="62"/>
      <c r="V2137" s="63"/>
      <c r="W2137" s="63"/>
      <c r="X2137" s="35" t="str">
        <f t="shared" si="303"/>
        <v>#N/A</v>
      </c>
      <c r="Y2137" s="35" t="str">
        <f t="shared" si="304"/>
        <v>#N/A</v>
      </c>
      <c r="Z2137" s="40" t="str">
        <f t="shared" si="305"/>
        <v>#N/A</v>
      </c>
      <c r="AA2137" s="34" t="str">
        <f t="shared" si="306"/>
        <v>#N/A</v>
      </c>
      <c r="AB2137" s="41" t="str">
        <f t="shared" si="307"/>
        <v>#N/A</v>
      </c>
      <c r="AC2137" s="42" t="b">
        <v>0</v>
      </c>
      <c r="AD2137" s="66" t="str">
        <f t="shared" si="308"/>
        <v>USD</v>
      </c>
      <c r="AE2137" s="42"/>
      <c r="AF2137" s="42" t="str">
        <f t="array" ref="AF2137">INDEX('Deal Info'!D:D, MATCH(A2137,'Deal Info'!A:A, 0))</f>
        <v>#N/A</v>
      </c>
      <c r="AG2137" s="43" t="str">
        <f t="array" ref="AG2137">INDEX('Deal Info'!G:G, MATCH(A2137,'Deal Info'!A:A, 0))</f>
        <v>#N/A</v>
      </c>
    </row>
    <row r="2138" hidden="1">
      <c r="A2138" s="23" t="b">
        <f t="array" ref="A2138">if(G2138='Room Info'!$B$1, INDEX('Room Info'!$A$2:$A3446, MATCH(B2138,'Room Info'!$B$2:$B3446, 0)),if(G2138='Room Info'!$C$1, INDEX('Room Info'!$A$2:$A3446, MATCH(B2138,'Room Info'!$C$2:$C3446, 0)),if(G2138='Room Info'!$D$1, INDEX('Room Info'!$A$2:$A3446, MATCH(B2138,'Room Info'!$D$2:$D3446, 0)),if(G2138='Room Info'!$E$1, INDEX('Room Info'!$A$2:$A3446, MATCH(B2138,'Room Info'!$E$2:$E3446, 0)),if(G2138='Room Info'!$F$1, INDEX('Room Info'!$A$2:$A3446, MATCH(B2138,'Room Info'!$F$2:$F3446, 0)),if(G2138='Room Info'!$H$1, INDEX('Room Info'!$A$2:$A3446, MATCH(B2138,'Room Info'!$H$2:$H3446, 0)),if(G2138='Room Info'!$G$1, INDEX('Room Info'!$A$2:$A3446, MATCH(B2138,'Room Info'!$G$2:$G3446, 0)))))))))</f>
        <v>0</v>
      </c>
      <c r="B2138" s="101"/>
      <c r="C2138" s="115"/>
      <c r="D2138" s="115"/>
      <c r="E2138" s="85"/>
      <c r="F2138" s="138"/>
      <c r="G2138" s="70"/>
      <c r="H2138" s="114"/>
      <c r="I2138" s="114"/>
      <c r="J2138" s="44" t="str">
        <f t="shared" si="311"/>
        <v/>
      </c>
      <c r="K2138" s="116"/>
      <c r="L2138" s="117"/>
      <c r="M2138" s="67"/>
      <c r="N2138" s="33">
        <f t="shared" si="276"/>
        <v>0</v>
      </c>
      <c r="O2138" s="70"/>
      <c r="P2138" s="34" t="str">
        <f t="shared" si="277"/>
        <v/>
      </c>
      <c r="Q2138" s="60"/>
      <c r="R2138" s="36">
        <f t="shared" si="312"/>
        <v>0</v>
      </c>
      <c r="S2138" s="71"/>
      <c r="T2138" s="37">
        <f t="shared" si="302"/>
        <v>0</v>
      </c>
      <c r="U2138" s="62"/>
      <c r="V2138" s="63"/>
      <c r="W2138" s="63"/>
      <c r="X2138" s="35" t="str">
        <f t="shared" si="303"/>
        <v>#N/A</v>
      </c>
      <c r="Y2138" s="35" t="str">
        <f t="shared" si="304"/>
        <v>#N/A</v>
      </c>
      <c r="Z2138" s="40" t="str">
        <f t="shared" si="305"/>
        <v>#N/A</v>
      </c>
      <c r="AA2138" s="34" t="str">
        <f t="shared" si="306"/>
        <v>#N/A</v>
      </c>
      <c r="AB2138" s="41" t="str">
        <f t="shared" si="307"/>
        <v>#N/A</v>
      </c>
      <c r="AC2138" s="42" t="b">
        <v>0</v>
      </c>
      <c r="AD2138" s="66" t="str">
        <f t="shared" si="308"/>
        <v>USD</v>
      </c>
      <c r="AE2138" s="42"/>
      <c r="AF2138" s="42" t="str">
        <f t="array" ref="AF2138">INDEX('Deal Info'!D:D, MATCH(A2138,'Deal Info'!A:A, 0))</f>
        <v>#N/A</v>
      </c>
      <c r="AG2138" s="43" t="str">
        <f t="array" ref="AG2138">INDEX('Deal Info'!G:G, MATCH(A2138,'Deal Info'!A:A, 0))</f>
        <v>#N/A</v>
      </c>
    </row>
    <row r="2139" hidden="1">
      <c r="A2139" s="23" t="b">
        <f t="array" ref="A2139">if(G2139='Room Info'!$B$1, INDEX('Room Info'!$A$2:$A3446, MATCH(B2139,'Room Info'!$B$2:$B3446, 0)),if(G2139='Room Info'!$C$1, INDEX('Room Info'!$A$2:$A3446, MATCH(B2139,'Room Info'!$C$2:$C3446, 0)),if(G2139='Room Info'!$D$1, INDEX('Room Info'!$A$2:$A3446, MATCH(B2139,'Room Info'!$D$2:$D3446, 0)),if(G2139='Room Info'!$E$1, INDEX('Room Info'!$A$2:$A3446, MATCH(B2139,'Room Info'!$E$2:$E3446, 0)),if(G2139='Room Info'!$F$1, INDEX('Room Info'!$A$2:$A3446, MATCH(B2139,'Room Info'!$F$2:$F3446, 0)),if(G2139='Room Info'!$H$1, INDEX('Room Info'!$A$2:$A3446, MATCH(B2139,'Room Info'!$H$2:$H3446, 0)),if(G2139='Room Info'!$G$1, INDEX('Room Info'!$A$2:$A3446, MATCH(B2139,'Room Info'!$G$2:$G3446, 0)))))))))</f>
        <v>0</v>
      </c>
      <c r="B2139" s="101"/>
      <c r="C2139" s="141"/>
      <c r="D2139" s="141"/>
      <c r="E2139" s="142"/>
      <c r="F2139" s="101"/>
      <c r="G2139" s="101"/>
      <c r="H2139" s="105"/>
      <c r="I2139" s="105"/>
      <c r="J2139" s="44" t="str">
        <f t="shared" si="311"/>
        <v/>
      </c>
      <c r="K2139" s="139"/>
      <c r="L2139" s="140"/>
      <c r="M2139" s="84"/>
      <c r="N2139" s="33">
        <f t="shared" si="276"/>
        <v>0</v>
      </c>
      <c r="O2139" s="101"/>
      <c r="P2139" s="34" t="str">
        <f t="shared" si="277"/>
        <v/>
      </c>
      <c r="Q2139" s="60"/>
      <c r="R2139" s="36">
        <f t="shared" si="312"/>
        <v>0</v>
      </c>
      <c r="S2139" s="102"/>
      <c r="T2139" s="37">
        <f t="shared" si="302"/>
        <v>0</v>
      </c>
      <c r="U2139" s="62"/>
      <c r="V2139" s="63"/>
      <c r="W2139" s="63"/>
      <c r="X2139" s="35" t="str">
        <f t="shared" si="303"/>
        <v>#N/A</v>
      </c>
      <c r="Y2139" s="35" t="str">
        <f t="shared" si="304"/>
        <v>#N/A</v>
      </c>
      <c r="Z2139" s="40" t="str">
        <f t="shared" si="305"/>
        <v>#N/A</v>
      </c>
      <c r="AA2139" s="34" t="str">
        <f t="shared" si="306"/>
        <v>#N/A</v>
      </c>
      <c r="AB2139" s="41" t="str">
        <f t="shared" si="307"/>
        <v>#N/A</v>
      </c>
      <c r="AC2139" s="42" t="b">
        <v>0</v>
      </c>
      <c r="AD2139" s="66" t="str">
        <f t="shared" si="308"/>
        <v>USD</v>
      </c>
      <c r="AE2139" s="42"/>
      <c r="AF2139" s="42" t="str">
        <f t="array" ref="AF2139">INDEX('Deal Info'!D:D, MATCH(A2139,'Deal Info'!A:A, 0))</f>
        <v>#N/A</v>
      </c>
      <c r="AG2139" s="43" t="str">
        <f t="array" ref="AG2139">INDEX('Deal Info'!G:G, MATCH(A2139,'Deal Info'!A:A, 0))</f>
        <v>#N/A</v>
      </c>
    </row>
    <row r="2140" hidden="1">
      <c r="A2140" s="23" t="b">
        <f t="array" ref="A2140">if(G2140='Room Info'!$B$1, INDEX('Room Info'!$A$2:$A3446, MATCH(B2140,'Room Info'!$B$2:$B3446, 0)),if(G2140='Room Info'!$C$1, INDEX('Room Info'!$A$2:$A3446, MATCH(B2140,'Room Info'!$C$2:$C3446, 0)),if(G2140='Room Info'!$D$1, INDEX('Room Info'!$A$2:$A3446, MATCH(B2140,'Room Info'!$D$2:$D3446, 0)),if(G2140='Room Info'!$E$1, INDEX('Room Info'!$A$2:$A3446, MATCH(B2140,'Room Info'!$E$2:$E3446, 0)),if(G2140='Room Info'!$F$1, INDEX('Room Info'!$A$2:$A3446, MATCH(B2140,'Room Info'!$F$2:$F3446, 0)),if(G2140='Room Info'!$H$1, INDEX('Room Info'!$A$2:$A3446, MATCH(B2140,'Room Info'!$H$2:$H3446, 0)),if(G2140='Room Info'!$G$1, INDEX('Room Info'!$A$2:$A3446, MATCH(B2140,'Room Info'!$G$2:$G3446, 0)))))))))</f>
        <v>0</v>
      </c>
      <c r="B2140" s="101"/>
      <c r="C2140" s="115"/>
      <c r="D2140" s="115"/>
      <c r="E2140" s="85"/>
      <c r="F2140" s="138"/>
      <c r="G2140" s="70"/>
      <c r="H2140" s="114"/>
      <c r="I2140" s="114"/>
      <c r="J2140" s="44" t="str">
        <f t="shared" si="311"/>
        <v/>
      </c>
      <c r="K2140" s="116"/>
      <c r="L2140" s="117"/>
      <c r="M2140" s="67"/>
      <c r="N2140" s="33">
        <f t="shared" si="276"/>
        <v>0</v>
      </c>
      <c r="O2140" s="70"/>
      <c r="P2140" s="34" t="str">
        <f t="shared" si="277"/>
        <v/>
      </c>
      <c r="Q2140" s="60"/>
      <c r="R2140" s="36">
        <f t="shared" si="312"/>
        <v>0</v>
      </c>
      <c r="S2140" s="71"/>
      <c r="T2140" s="37">
        <f t="shared" si="302"/>
        <v>0</v>
      </c>
      <c r="U2140" s="62"/>
      <c r="V2140" s="63"/>
      <c r="W2140" s="63"/>
      <c r="X2140" s="35" t="str">
        <f t="shared" si="303"/>
        <v>#N/A</v>
      </c>
      <c r="Y2140" s="35" t="str">
        <f t="shared" si="304"/>
        <v>#N/A</v>
      </c>
      <c r="Z2140" s="40" t="str">
        <f t="shared" si="305"/>
        <v>#N/A</v>
      </c>
      <c r="AA2140" s="34" t="str">
        <f t="shared" si="306"/>
        <v>#N/A</v>
      </c>
      <c r="AB2140" s="41" t="str">
        <f t="shared" si="307"/>
        <v>#N/A</v>
      </c>
      <c r="AC2140" s="42" t="b">
        <v>0</v>
      </c>
      <c r="AD2140" s="66" t="str">
        <f t="shared" si="308"/>
        <v>USD</v>
      </c>
      <c r="AE2140" s="42"/>
      <c r="AF2140" s="42" t="str">
        <f t="array" ref="AF2140">INDEX('Deal Info'!D:D, MATCH(A2140,'Deal Info'!A:A, 0))</f>
        <v>#N/A</v>
      </c>
      <c r="AG2140" s="43" t="str">
        <f t="array" ref="AG2140">INDEX('Deal Info'!G:G, MATCH(A2140,'Deal Info'!A:A, 0))</f>
        <v>#N/A</v>
      </c>
    </row>
    <row r="2141" hidden="1">
      <c r="A2141" s="23" t="b">
        <f t="array" ref="A2141">if(G2141='Room Info'!$B$1, INDEX('Room Info'!$A$2:$A3446, MATCH(B2141,'Room Info'!$B$2:$B3446, 0)),if(G2141='Room Info'!$C$1, INDEX('Room Info'!$A$2:$A3446, MATCH(B2141,'Room Info'!$C$2:$C3446, 0)),if(G2141='Room Info'!$D$1, INDEX('Room Info'!$A$2:$A3446, MATCH(B2141,'Room Info'!$D$2:$D3446, 0)),if(G2141='Room Info'!$E$1, INDEX('Room Info'!$A$2:$A3446, MATCH(B2141,'Room Info'!$E$2:$E3446, 0)),if(G2141='Room Info'!$F$1, INDEX('Room Info'!$A$2:$A3446, MATCH(B2141,'Room Info'!$F$2:$F3446, 0)),if(G2141='Room Info'!$H$1, INDEX('Room Info'!$A$2:$A3446, MATCH(B2141,'Room Info'!$H$2:$H3446, 0)),if(G2141='Room Info'!$G$1, INDEX('Room Info'!$A$2:$A3446, MATCH(B2141,'Room Info'!$G$2:$G3446, 0)))))))))</f>
        <v>0</v>
      </c>
      <c r="B2141" s="101"/>
      <c r="C2141" s="115"/>
      <c r="D2141" s="115"/>
      <c r="E2141" s="85"/>
      <c r="F2141" s="138"/>
      <c r="G2141" s="70"/>
      <c r="H2141" s="114"/>
      <c r="I2141" s="114"/>
      <c r="J2141" s="44" t="str">
        <f t="shared" si="311"/>
        <v/>
      </c>
      <c r="K2141" s="116"/>
      <c r="L2141" s="117"/>
      <c r="M2141" s="67"/>
      <c r="N2141" s="33">
        <f t="shared" si="276"/>
        <v>0</v>
      </c>
      <c r="O2141" s="70"/>
      <c r="P2141" s="34" t="str">
        <f t="shared" si="277"/>
        <v/>
      </c>
      <c r="Q2141" s="60"/>
      <c r="R2141" s="36">
        <f t="shared" si="312"/>
        <v>0</v>
      </c>
      <c r="S2141" s="71"/>
      <c r="T2141" s="37">
        <f t="shared" si="302"/>
        <v>0</v>
      </c>
      <c r="U2141" s="62"/>
      <c r="V2141" s="63"/>
      <c r="W2141" s="63"/>
      <c r="X2141" s="35" t="str">
        <f t="shared" si="303"/>
        <v>#N/A</v>
      </c>
      <c r="Y2141" s="35" t="str">
        <f t="shared" si="304"/>
        <v>#N/A</v>
      </c>
      <c r="Z2141" s="40" t="str">
        <f t="shared" si="305"/>
        <v>#N/A</v>
      </c>
      <c r="AA2141" s="34" t="str">
        <f t="shared" si="306"/>
        <v>#N/A</v>
      </c>
      <c r="AB2141" s="41" t="str">
        <f t="shared" si="307"/>
        <v>#N/A</v>
      </c>
      <c r="AC2141" s="42" t="b">
        <v>0</v>
      </c>
      <c r="AD2141" s="66" t="str">
        <f t="shared" si="308"/>
        <v>USD</v>
      </c>
      <c r="AE2141" s="42"/>
      <c r="AF2141" s="42" t="str">
        <f t="array" ref="AF2141">INDEX('Deal Info'!D:D, MATCH(A2141,'Deal Info'!A:A, 0))</f>
        <v>#N/A</v>
      </c>
      <c r="AG2141" s="43" t="str">
        <f t="array" ref="AG2141">INDEX('Deal Info'!G:G, MATCH(A2141,'Deal Info'!A:A, 0))</f>
        <v>#N/A</v>
      </c>
    </row>
    <row r="2142" hidden="1">
      <c r="A2142" s="23" t="b">
        <f t="array" ref="A2142">if(G2142='Room Info'!$B$1, INDEX('Room Info'!$A$2:$A3446, MATCH(B2142,'Room Info'!$B$2:$B3446, 0)),if(G2142='Room Info'!$C$1, INDEX('Room Info'!$A$2:$A3446, MATCH(B2142,'Room Info'!$C$2:$C3446, 0)),if(G2142='Room Info'!$D$1, INDEX('Room Info'!$A$2:$A3446, MATCH(B2142,'Room Info'!$D$2:$D3446, 0)),if(G2142='Room Info'!$E$1, INDEX('Room Info'!$A$2:$A3446, MATCH(B2142,'Room Info'!$E$2:$E3446, 0)),if(G2142='Room Info'!$F$1, INDEX('Room Info'!$A$2:$A3446, MATCH(B2142,'Room Info'!$F$2:$F3446, 0)),if(G2142='Room Info'!$H$1, INDEX('Room Info'!$A$2:$A3446, MATCH(B2142,'Room Info'!$H$2:$H3446, 0)),if(G2142='Room Info'!$G$1, INDEX('Room Info'!$A$2:$A3446, MATCH(B2142,'Room Info'!$G$2:$G3446, 0)))))))))</f>
        <v>0</v>
      </c>
      <c r="B2142" s="101"/>
      <c r="C2142" s="115"/>
      <c r="D2142" s="115"/>
      <c r="E2142" s="85"/>
      <c r="F2142" s="138"/>
      <c r="G2142" s="70"/>
      <c r="H2142" s="114"/>
      <c r="I2142" s="114"/>
      <c r="J2142" s="44" t="str">
        <f t="shared" si="311"/>
        <v/>
      </c>
      <c r="K2142" s="116"/>
      <c r="L2142" s="117"/>
      <c r="M2142" s="67"/>
      <c r="N2142" s="33">
        <f t="shared" si="276"/>
        <v>0</v>
      </c>
      <c r="O2142" s="70"/>
      <c r="P2142" s="34" t="str">
        <f t="shared" si="277"/>
        <v/>
      </c>
      <c r="Q2142" s="60"/>
      <c r="R2142" s="36">
        <f t="shared" si="312"/>
        <v>0</v>
      </c>
      <c r="S2142" s="71"/>
      <c r="T2142" s="37">
        <f t="shared" si="302"/>
        <v>0</v>
      </c>
      <c r="U2142" s="62"/>
      <c r="V2142" s="63"/>
      <c r="W2142" s="63"/>
      <c r="X2142" s="35" t="str">
        <f t="shared" si="303"/>
        <v>#N/A</v>
      </c>
      <c r="Y2142" s="35" t="str">
        <f t="shared" si="304"/>
        <v>#N/A</v>
      </c>
      <c r="Z2142" s="40" t="str">
        <f t="shared" si="305"/>
        <v>#N/A</v>
      </c>
      <c r="AA2142" s="34" t="str">
        <f t="shared" si="306"/>
        <v>#N/A</v>
      </c>
      <c r="AB2142" s="41" t="str">
        <f t="shared" si="307"/>
        <v>#N/A</v>
      </c>
      <c r="AC2142" s="42" t="b">
        <v>0</v>
      </c>
      <c r="AD2142" s="66" t="str">
        <f t="shared" si="308"/>
        <v>USD</v>
      </c>
      <c r="AE2142" s="42"/>
      <c r="AF2142" s="42" t="str">
        <f t="array" ref="AF2142">INDEX('Deal Info'!D:D, MATCH(A2142,'Deal Info'!A:A, 0))</f>
        <v>#N/A</v>
      </c>
      <c r="AG2142" s="43" t="str">
        <f t="array" ref="AG2142">INDEX('Deal Info'!G:G, MATCH(A2142,'Deal Info'!A:A, 0))</f>
        <v>#N/A</v>
      </c>
    </row>
    <row r="2143" hidden="1">
      <c r="A2143" s="23" t="b">
        <f t="array" ref="A2143">if(G2143='Room Info'!$B$1, INDEX('Room Info'!$A$2:$A3446, MATCH(B2143,'Room Info'!$B$2:$B3446, 0)),if(G2143='Room Info'!$C$1, INDEX('Room Info'!$A$2:$A3446, MATCH(B2143,'Room Info'!$C$2:$C3446, 0)),if(G2143='Room Info'!$D$1, INDEX('Room Info'!$A$2:$A3446, MATCH(B2143,'Room Info'!$D$2:$D3446, 0)),if(G2143='Room Info'!$E$1, INDEX('Room Info'!$A$2:$A3446, MATCH(B2143,'Room Info'!$E$2:$E3446, 0)),if(G2143='Room Info'!$F$1, INDEX('Room Info'!$A$2:$A3446, MATCH(B2143,'Room Info'!$F$2:$F3446, 0)),if(G2143='Room Info'!$H$1, INDEX('Room Info'!$A$2:$A3446, MATCH(B2143,'Room Info'!$H$2:$H3446, 0)),if(G2143='Room Info'!$G$1, INDEX('Room Info'!$A$2:$A3446, MATCH(B2143,'Room Info'!$G$2:$G3446, 0)))))))))</f>
        <v>0</v>
      </c>
      <c r="B2143" s="101"/>
      <c r="C2143" s="115"/>
      <c r="D2143" s="115"/>
      <c r="E2143" s="85"/>
      <c r="F2143" s="138"/>
      <c r="G2143" s="70"/>
      <c r="H2143" s="114"/>
      <c r="I2143" s="114"/>
      <c r="J2143" s="44" t="str">
        <f t="shared" si="311"/>
        <v/>
      </c>
      <c r="K2143" s="116"/>
      <c r="L2143" s="117"/>
      <c r="M2143" s="67"/>
      <c r="N2143" s="33">
        <f t="shared" si="276"/>
        <v>0</v>
      </c>
      <c r="O2143" s="70"/>
      <c r="P2143" s="34" t="str">
        <f t="shared" si="277"/>
        <v/>
      </c>
      <c r="Q2143" s="60"/>
      <c r="R2143" s="36">
        <f t="shared" si="312"/>
        <v>0</v>
      </c>
      <c r="S2143" s="71"/>
      <c r="T2143" s="37">
        <f t="shared" si="302"/>
        <v>0</v>
      </c>
      <c r="U2143" s="62"/>
      <c r="V2143" s="63"/>
      <c r="W2143" s="63"/>
      <c r="X2143" s="35" t="str">
        <f t="shared" si="303"/>
        <v>#N/A</v>
      </c>
      <c r="Y2143" s="35" t="str">
        <f t="shared" si="304"/>
        <v>#N/A</v>
      </c>
      <c r="Z2143" s="40" t="str">
        <f t="shared" si="305"/>
        <v>#N/A</v>
      </c>
      <c r="AA2143" s="34" t="str">
        <f t="shared" si="306"/>
        <v>#N/A</v>
      </c>
      <c r="AB2143" s="41" t="str">
        <f t="shared" si="307"/>
        <v>#N/A</v>
      </c>
      <c r="AC2143" s="42" t="b">
        <v>0</v>
      </c>
      <c r="AD2143" s="66" t="str">
        <f t="shared" si="308"/>
        <v>USD</v>
      </c>
      <c r="AE2143" s="42"/>
      <c r="AF2143" s="42" t="str">
        <f t="array" ref="AF2143">INDEX('Deal Info'!D:D, MATCH(A2143,'Deal Info'!A:A, 0))</f>
        <v>#N/A</v>
      </c>
      <c r="AG2143" s="43" t="str">
        <f t="array" ref="AG2143">INDEX('Deal Info'!G:G, MATCH(A2143,'Deal Info'!A:A, 0))</f>
        <v>#N/A</v>
      </c>
    </row>
    <row r="2144" hidden="1">
      <c r="A2144" s="23" t="b">
        <f t="array" ref="A2144">if(G2144='Room Info'!$B$1, INDEX('Room Info'!$A$2:$A3446, MATCH(B2144,'Room Info'!$B$2:$B3446, 0)),if(G2144='Room Info'!$C$1, INDEX('Room Info'!$A$2:$A3446, MATCH(B2144,'Room Info'!$C$2:$C3446, 0)),if(G2144='Room Info'!$D$1, INDEX('Room Info'!$A$2:$A3446, MATCH(B2144,'Room Info'!$D$2:$D3446, 0)),if(G2144='Room Info'!$E$1, INDEX('Room Info'!$A$2:$A3446, MATCH(B2144,'Room Info'!$E$2:$E3446, 0)),if(G2144='Room Info'!$F$1, INDEX('Room Info'!$A$2:$A3446, MATCH(B2144,'Room Info'!$F$2:$F3446, 0)),if(G2144='Room Info'!$H$1, INDEX('Room Info'!$A$2:$A3446, MATCH(B2144,'Room Info'!$H$2:$H3446, 0)),if(G2144='Room Info'!$G$1, INDEX('Room Info'!$A$2:$A3446, MATCH(B2144,'Room Info'!$G$2:$G3446, 0)))))))))</f>
        <v>0</v>
      </c>
      <c r="B2144" s="101"/>
      <c r="C2144" s="115"/>
      <c r="D2144" s="115"/>
      <c r="E2144" s="85"/>
      <c r="F2144" s="138"/>
      <c r="G2144" s="70"/>
      <c r="H2144" s="114"/>
      <c r="I2144" s="114"/>
      <c r="J2144" s="44" t="str">
        <f t="shared" si="311"/>
        <v/>
      </c>
      <c r="K2144" s="116"/>
      <c r="L2144" s="117"/>
      <c r="M2144" s="67"/>
      <c r="N2144" s="33">
        <f t="shared" si="276"/>
        <v>0</v>
      </c>
      <c r="O2144" s="70"/>
      <c r="P2144" s="34" t="str">
        <f t="shared" si="277"/>
        <v/>
      </c>
      <c r="Q2144" s="60"/>
      <c r="R2144" s="36">
        <f t="shared" si="312"/>
        <v>0</v>
      </c>
      <c r="S2144" s="71"/>
      <c r="T2144" s="37">
        <f t="shared" si="302"/>
        <v>0</v>
      </c>
      <c r="U2144" s="62"/>
      <c r="V2144" s="63"/>
      <c r="W2144" s="63"/>
      <c r="X2144" s="35" t="str">
        <f t="shared" si="303"/>
        <v>#N/A</v>
      </c>
      <c r="Y2144" s="35" t="str">
        <f t="shared" si="304"/>
        <v>#N/A</v>
      </c>
      <c r="Z2144" s="40" t="str">
        <f t="shared" si="305"/>
        <v>#N/A</v>
      </c>
      <c r="AA2144" s="34" t="str">
        <f t="shared" si="306"/>
        <v>#N/A</v>
      </c>
      <c r="AB2144" s="41" t="str">
        <f t="shared" si="307"/>
        <v>#N/A</v>
      </c>
      <c r="AC2144" s="42" t="b">
        <v>0</v>
      </c>
      <c r="AD2144" s="66" t="str">
        <f t="shared" si="308"/>
        <v>USD</v>
      </c>
      <c r="AE2144" s="42"/>
      <c r="AF2144" s="42" t="str">
        <f t="array" ref="AF2144">INDEX('Deal Info'!D:D, MATCH(A2144,'Deal Info'!A:A, 0))</f>
        <v>#N/A</v>
      </c>
      <c r="AG2144" s="43" t="str">
        <f t="array" ref="AG2144">INDEX('Deal Info'!G:G, MATCH(A2144,'Deal Info'!A:A, 0))</f>
        <v>#N/A</v>
      </c>
    </row>
    <row r="2145" hidden="1">
      <c r="A2145" s="23" t="b">
        <f t="array" ref="A2145">if(G2145='Room Info'!$B$1, INDEX('Room Info'!$A$2:$A3446, MATCH(B2145,'Room Info'!$B$2:$B3446, 0)),if(G2145='Room Info'!$C$1, INDEX('Room Info'!$A$2:$A3446, MATCH(B2145,'Room Info'!$C$2:$C3446, 0)),if(G2145='Room Info'!$D$1, INDEX('Room Info'!$A$2:$A3446, MATCH(B2145,'Room Info'!$D$2:$D3446, 0)),if(G2145='Room Info'!$E$1, INDEX('Room Info'!$A$2:$A3446, MATCH(B2145,'Room Info'!$E$2:$E3446, 0)),if(G2145='Room Info'!$F$1, INDEX('Room Info'!$A$2:$A3446, MATCH(B2145,'Room Info'!$F$2:$F3446, 0)),if(G2145='Room Info'!$H$1, INDEX('Room Info'!$A$2:$A3446, MATCH(B2145,'Room Info'!$H$2:$H3446, 0)),if(G2145='Room Info'!$G$1, INDEX('Room Info'!$A$2:$A3446, MATCH(B2145,'Room Info'!$G$2:$G3446, 0)))))))))</f>
        <v>0</v>
      </c>
      <c r="B2145" s="101"/>
      <c r="C2145" s="141"/>
      <c r="D2145" s="141"/>
      <c r="E2145" s="142"/>
      <c r="F2145" s="138"/>
      <c r="G2145" s="101"/>
      <c r="H2145" s="105"/>
      <c r="I2145" s="105"/>
      <c r="J2145" s="44" t="str">
        <f t="shared" si="311"/>
        <v/>
      </c>
      <c r="K2145" s="139"/>
      <c r="L2145" s="140"/>
      <c r="M2145" s="84"/>
      <c r="N2145" s="33">
        <f t="shared" si="276"/>
        <v>0</v>
      </c>
      <c r="O2145" s="101"/>
      <c r="P2145" s="34" t="str">
        <f t="shared" si="277"/>
        <v/>
      </c>
      <c r="Q2145" s="60"/>
      <c r="R2145" s="36">
        <f t="shared" si="312"/>
        <v>0</v>
      </c>
      <c r="S2145" s="102"/>
      <c r="T2145" s="37">
        <f t="shared" si="302"/>
        <v>0</v>
      </c>
      <c r="U2145" s="62"/>
      <c r="V2145" s="63"/>
      <c r="W2145" s="63"/>
      <c r="X2145" s="35" t="str">
        <f t="shared" si="303"/>
        <v>#N/A</v>
      </c>
      <c r="Y2145" s="35" t="str">
        <f t="shared" si="304"/>
        <v>#N/A</v>
      </c>
      <c r="Z2145" s="40" t="str">
        <f t="shared" si="305"/>
        <v>#N/A</v>
      </c>
      <c r="AA2145" s="34" t="str">
        <f t="shared" si="306"/>
        <v>#N/A</v>
      </c>
      <c r="AB2145" s="41" t="str">
        <f t="shared" si="307"/>
        <v>#N/A</v>
      </c>
      <c r="AC2145" s="42" t="b">
        <v>0</v>
      </c>
      <c r="AD2145" s="66" t="str">
        <f t="shared" si="308"/>
        <v>USD</v>
      </c>
      <c r="AE2145" s="42"/>
      <c r="AF2145" s="42" t="str">
        <f t="array" ref="AF2145">INDEX('Deal Info'!D:D, MATCH(A2145,'Deal Info'!A:A, 0))</f>
        <v>#N/A</v>
      </c>
      <c r="AG2145" s="43" t="str">
        <f t="array" ref="AG2145">INDEX('Deal Info'!G:G, MATCH(A2145,'Deal Info'!A:A, 0))</f>
        <v>#N/A</v>
      </c>
    </row>
    <row r="2146" hidden="1">
      <c r="A2146" s="23" t="b">
        <f t="array" ref="A2146">if(G2146='Room Info'!$B$1, INDEX('Room Info'!$A$2:$A3446, MATCH(B2146,'Room Info'!$B$2:$B3446, 0)),if(G2146='Room Info'!$C$1, INDEX('Room Info'!$A$2:$A3446, MATCH(B2146,'Room Info'!$C$2:$C3446, 0)),if(G2146='Room Info'!$D$1, INDEX('Room Info'!$A$2:$A3446, MATCH(B2146,'Room Info'!$D$2:$D3446, 0)),if(G2146='Room Info'!$E$1, INDEX('Room Info'!$A$2:$A3446, MATCH(B2146,'Room Info'!$E$2:$E3446, 0)),if(G2146='Room Info'!$F$1, INDEX('Room Info'!$A$2:$A3446, MATCH(B2146,'Room Info'!$F$2:$F3446, 0)),if(G2146='Room Info'!$H$1, INDEX('Room Info'!$A$2:$A3446, MATCH(B2146,'Room Info'!$H$2:$H3446, 0)),if(G2146='Room Info'!$G$1, INDEX('Room Info'!$A$2:$A3446, MATCH(B2146,'Room Info'!$G$2:$G3446, 0)))))))))</f>
        <v>0</v>
      </c>
      <c r="B2146" s="101"/>
      <c r="C2146" s="141"/>
      <c r="D2146" s="141"/>
      <c r="E2146" s="142"/>
      <c r="F2146" s="138"/>
      <c r="G2146" s="101"/>
      <c r="H2146" s="105"/>
      <c r="I2146" s="105"/>
      <c r="J2146" s="44" t="str">
        <f t="shared" si="311"/>
        <v/>
      </c>
      <c r="K2146" s="139"/>
      <c r="L2146" s="140"/>
      <c r="M2146" s="84"/>
      <c r="N2146" s="33">
        <f t="shared" si="276"/>
        <v>0</v>
      </c>
      <c r="O2146" s="101"/>
      <c r="P2146" s="34" t="str">
        <f t="shared" si="277"/>
        <v/>
      </c>
      <c r="Q2146" s="60"/>
      <c r="R2146" s="36">
        <f t="shared" si="312"/>
        <v>0</v>
      </c>
      <c r="S2146" s="102"/>
      <c r="T2146" s="37">
        <f t="shared" si="302"/>
        <v>0</v>
      </c>
      <c r="U2146" s="62"/>
      <c r="V2146" s="63"/>
      <c r="W2146" s="63"/>
      <c r="X2146" s="35" t="str">
        <f t="shared" si="303"/>
        <v>#N/A</v>
      </c>
      <c r="Y2146" s="35" t="str">
        <f t="shared" si="304"/>
        <v>#N/A</v>
      </c>
      <c r="Z2146" s="40" t="str">
        <f t="shared" si="305"/>
        <v>#N/A</v>
      </c>
      <c r="AA2146" s="34" t="str">
        <f t="shared" si="306"/>
        <v>#N/A</v>
      </c>
      <c r="AB2146" s="41" t="str">
        <f t="shared" si="307"/>
        <v>#N/A</v>
      </c>
      <c r="AC2146" s="42" t="b">
        <v>0</v>
      </c>
      <c r="AD2146" s="66" t="str">
        <f t="shared" si="308"/>
        <v>USD</v>
      </c>
      <c r="AE2146" s="42"/>
      <c r="AF2146" s="42" t="str">
        <f t="array" ref="AF2146">INDEX('Deal Info'!D:D, MATCH(A2146,'Deal Info'!A:A, 0))</f>
        <v>#N/A</v>
      </c>
      <c r="AG2146" s="43" t="str">
        <f t="array" ref="AG2146">INDEX('Deal Info'!G:G, MATCH(A2146,'Deal Info'!A:A, 0))</f>
        <v>#N/A</v>
      </c>
    </row>
    <row r="2147" hidden="1">
      <c r="A2147" s="23" t="b">
        <f t="array" ref="A2147">if(G2147='Room Info'!$B$1, INDEX('Room Info'!$A$2:$A3446, MATCH(B2147,'Room Info'!$B$2:$B3446, 0)),if(G2147='Room Info'!$C$1, INDEX('Room Info'!$A$2:$A3446, MATCH(B2147,'Room Info'!$C$2:$C3446, 0)),if(G2147='Room Info'!$D$1, INDEX('Room Info'!$A$2:$A3446, MATCH(B2147,'Room Info'!$D$2:$D3446, 0)),if(G2147='Room Info'!$E$1, INDEX('Room Info'!$A$2:$A3446, MATCH(B2147,'Room Info'!$E$2:$E3446, 0)),if(G2147='Room Info'!$F$1, INDEX('Room Info'!$A$2:$A3446, MATCH(B2147,'Room Info'!$F$2:$F3446, 0)),if(G2147='Room Info'!$H$1, INDEX('Room Info'!$A$2:$A3446, MATCH(B2147,'Room Info'!$H$2:$H3446, 0)),if(G2147='Room Info'!$G$1, INDEX('Room Info'!$A$2:$A3446, MATCH(B2147,'Room Info'!$G$2:$G3446, 0)))))))))</f>
        <v>0</v>
      </c>
      <c r="B2147" s="101"/>
      <c r="C2147" s="115"/>
      <c r="D2147" s="115"/>
      <c r="E2147" s="85"/>
      <c r="F2147" s="138"/>
      <c r="G2147" s="70"/>
      <c r="H2147" s="114"/>
      <c r="I2147" s="114"/>
      <c r="J2147" s="44" t="str">
        <f t="shared" si="311"/>
        <v/>
      </c>
      <c r="K2147" s="116"/>
      <c r="L2147" s="117"/>
      <c r="M2147" s="67"/>
      <c r="N2147" s="33">
        <f t="shared" si="276"/>
        <v>0</v>
      </c>
      <c r="O2147" s="70"/>
      <c r="P2147" s="34" t="str">
        <f t="shared" si="277"/>
        <v/>
      </c>
      <c r="Q2147" s="60"/>
      <c r="R2147" s="36">
        <f t="shared" si="312"/>
        <v>0</v>
      </c>
      <c r="S2147" s="71"/>
      <c r="T2147" s="37">
        <f t="shared" si="302"/>
        <v>0</v>
      </c>
      <c r="U2147" s="62"/>
      <c r="V2147" s="63"/>
      <c r="W2147" s="63"/>
      <c r="X2147" s="35" t="str">
        <f t="shared" si="303"/>
        <v>#N/A</v>
      </c>
      <c r="Y2147" s="35" t="str">
        <f t="shared" si="304"/>
        <v>#N/A</v>
      </c>
      <c r="Z2147" s="40" t="str">
        <f t="shared" si="305"/>
        <v>#N/A</v>
      </c>
      <c r="AA2147" s="34" t="str">
        <f t="shared" si="306"/>
        <v>#N/A</v>
      </c>
      <c r="AB2147" s="41" t="str">
        <f t="shared" si="307"/>
        <v>#N/A</v>
      </c>
      <c r="AC2147" s="42" t="b">
        <v>0</v>
      </c>
      <c r="AD2147" s="66" t="str">
        <f t="shared" si="308"/>
        <v>USD</v>
      </c>
      <c r="AE2147" s="42"/>
      <c r="AF2147" s="42" t="str">
        <f t="array" ref="AF2147">INDEX('Deal Info'!D:D, MATCH(A2147,'Deal Info'!A:A, 0))</f>
        <v>#N/A</v>
      </c>
      <c r="AG2147" s="43" t="str">
        <f t="array" ref="AG2147">INDEX('Deal Info'!G:G, MATCH(A2147,'Deal Info'!A:A, 0))</f>
        <v>#N/A</v>
      </c>
    </row>
    <row r="2148" hidden="1">
      <c r="A2148" s="23" t="b">
        <f t="array" ref="A2148">if(G2148='Room Info'!$B$1, INDEX('Room Info'!$A$2:$A3446, MATCH(B2148,'Room Info'!$B$2:$B3446, 0)),if(G2148='Room Info'!$C$1, INDEX('Room Info'!$A$2:$A3446, MATCH(B2148,'Room Info'!$C$2:$C3446, 0)),if(G2148='Room Info'!$D$1, INDEX('Room Info'!$A$2:$A3446, MATCH(B2148,'Room Info'!$D$2:$D3446, 0)),if(G2148='Room Info'!$E$1, INDEX('Room Info'!$A$2:$A3446, MATCH(B2148,'Room Info'!$E$2:$E3446, 0)),if(G2148='Room Info'!$F$1, INDEX('Room Info'!$A$2:$A3446, MATCH(B2148,'Room Info'!$F$2:$F3446, 0)),if(G2148='Room Info'!$H$1, INDEX('Room Info'!$A$2:$A3446, MATCH(B2148,'Room Info'!$H$2:$H3446, 0)),if(G2148='Room Info'!$G$1, INDEX('Room Info'!$A$2:$A3446, MATCH(B2148,'Room Info'!$G$2:$G3446, 0)))))))))</f>
        <v>0</v>
      </c>
      <c r="B2148" s="101"/>
      <c r="C2148" s="115"/>
      <c r="D2148" s="115"/>
      <c r="E2148" s="85"/>
      <c r="F2148" s="138"/>
      <c r="G2148" s="70"/>
      <c r="H2148" s="114"/>
      <c r="I2148" s="114"/>
      <c r="J2148" s="44" t="str">
        <f t="shared" si="311"/>
        <v/>
      </c>
      <c r="K2148" s="116"/>
      <c r="L2148" s="117"/>
      <c r="M2148" s="67"/>
      <c r="N2148" s="33">
        <f t="shared" si="276"/>
        <v>0</v>
      </c>
      <c r="O2148" s="70"/>
      <c r="P2148" s="34" t="str">
        <f t="shared" si="277"/>
        <v/>
      </c>
      <c r="Q2148" s="60"/>
      <c r="R2148" s="36">
        <f t="shared" si="312"/>
        <v>0</v>
      </c>
      <c r="S2148" s="71"/>
      <c r="T2148" s="37">
        <f t="shared" si="302"/>
        <v>0</v>
      </c>
      <c r="U2148" s="62"/>
      <c r="V2148" s="63"/>
      <c r="W2148" s="63"/>
      <c r="X2148" s="35" t="str">
        <f t="shared" si="303"/>
        <v>#N/A</v>
      </c>
      <c r="Y2148" s="35" t="str">
        <f t="shared" si="304"/>
        <v>#N/A</v>
      </c>
      <c r="Z2148" s="40" t="str">
        <f t="shared" si="305"/>
        <v>#N/A</v>
      </c>
      <c r="AA2148" s="34" t="str">
        <f t="shared" si="306"/>
        <v>#N/A</v>
      </c>
      <c r="AB2148" s="41" t="str">
        <f t="shared" si="307"/>
        <v>#N/A</v>
      </c>
      <c r="AC2148" s="42" t="b">
        <v>0</v>
      </c>
      <c r="AD2148" s="66" t="str">
        <f t="shared" si="308"/>
        <v>USD</v>
      </c>
      <c r="AE2148" s="42"/>
      <c r="AF2148" s="42" t="str">
        <f t="array" ref="AF2148">INDEX('Deal Info'!D:D, MATCH(A2148,'Deal Info'!A:A, 0))</f>
        <v>#N/A</v>
      </c>
      <c r="AG2148" s="43" t="str">
        <f t="array" ref="AG2148">INDEX('Deal Info'!G:G, MATCH(A2148,'Deal Info'!A:A, 0))</f>
        <v>#N/A</v>
      </c>
    </row>
    <row r="2149" hidden="1">
      <c r="A2149" s="23" t="b">
        <f t="array" ref="A2149">if(G2149='Room Info'!$B$1, INDEX('Room Info'!$A$2:$A3446, MATCH(B2149,'Room Info'!$B$2:$B3446, 0)),if(G2149='Room Info'!$C$1, INDEX('Room Info'!$A$2:$A3446, MATCH(B2149,'Room Info'!$C$2:$C3446, 0)),if(G2149='Room Info'!$D$1, INDEX('Room Info'!$A$2:$A3446, MATCH(B2149,'Room Info'!$D$2:$D3446, 0)),if(G2149='Room Info'!$E$1, INDEX('Room Info'!$A$2:$A3446, MATCH(B2149,'Room Info'!$E$2:$E3446, 0)),if(G2149='Room Info'!$F$1, INDEX('Room Info'!$A$2:$A3446, MATCH(B2149,'Room Info'!$F$2:$F3446, 0)),if(G2149='Room Info'!$H$1, INDEX('Room Info'!$A$2:$A3446, MATCH(B2149,'Room Info'!$H$2:$H3446, 0)),if(G2149='Room Info'!$G$1, INDEX('Room Info'!$A$2:$A3446, MATCH(B2149,'Room Info'!$G$2:$G3446, 0)))))))))</f>
        <v>0</v>
      </c>
      <c r="B2149" s="101"/>
      <c r="C2149" s="115"/>
      <c r="D2149" s="115"/>
      <c r="E2149" s="85"/>
      <c r="F2149" s="138"/>
      <c r="G2149" s="70"/>
      <c r="H2149" s="114"/>
      <c r="I2149" s="114"/>
      <c r="J2149" s="44" t="str">
        <f t="shared" si="311"/>
        <v/>
      </c>
      <c r="K2149" s="116"/>
      <c r="L2149" s="117"/>
      <c r="M2149" s="67"/>
      <c r="N2149" s="33">
        <f t="shared" si="276"/>
        <v>0</v>
      </c>
      <c r="O2149" s="70"/>
      <c r="P2149" s="34" t="str">
        <f t="shared" si="277"/>
        <v/>
      </c>
      <c r="Q2149" s="60"/>
      <c r="R2149" s="36">
        <f t="shared" si="312"/>
        <v>0</v>
      </c>
      <c r="S2149" s="71"/>
      <c r="T2149" s="37">
        <f t="shared" si="302"/>
        <v>0</v>
      </c>
      <c r="U2149" s="62"/>
      <c r="V2149" s="63"/>
      <c r="W2149" s="63"/>
      <c r="X2149" s="35" t="str">
        <f t="shared" si="303"/>
        <v>#N/A</v>
      </c>
      <c r="Y2149" s="35" t="str">
        <f t="shared" si="304"/>
        <v>#N/A</v>
      </c>
      <c r="Z2149" s="40" t="str">
        <f t="shared" si="305"/>
        <v>#N/A</v>
      </c>
      <c r="AA2149" s="34" t="str">
        <f t="shared" si="306"/>
        <v>#N/A</v>
      </c>
      <c r="AB2149" s="41" t="str">
        <f t="shared" si="307"/>
        <v>#N/A</v>
      </c>
      <c r="AC2149" s="42" t="b">
        <v>0</v>
      </c>
      <c r="AD2149" s="66" t="str">
        <f t="shared" si="308"/>
        <v>USD</v>
      </c>
      <c r="AE2149" s="42"/>
      <c r="AF2149" s="42" t="str">
        <f t="array" ref="AF2149">INDEX('Deal Info'!D:D, MATCH(A2149,'Deal Info'!A:A, 0))</f>
        <v>#N/A</v>
      </c>
      <c r="AG2149" s="43" t="str">
        <f t="array" ref="AG2149">INDEX('Deal Info'!G:G, MATCH(A2149,'Deal Info'!A:A, 0))</f>
        <v>#N/A</v>
      </c>
    </row>
    <row r="2150" hidden="1">
      <c r="A2150" s="23" t="b">
        <f t="array" ref="A2150">if(G2150='Room Info'!$B$1, INDEX('Room Info'!$A$2:$A3446, MATCH(B2150,'Room Info'!$B$2:$B3446, 0)),if(G2150='Room Info'!$C$1, INDEX('Room Info'!$A$2:$A3446, MATCH(B2150,'Room Info'!$C$2:$C3446, 0)),if(G2150='Room Info'!$D$1, INDEX('Room Info'!$A$2:$A3446, MATCH(B2150,'Room Info'!$D$2:$D3446, 0)),if(G2150='Room Info'!$E$1, INDEX('Room Info'!$A$2:$A3446, MATCH(B2150,'Room Info'!$E$2:$E3446, 0)),if(G2150='Room Info'!$F$1, INDEX('Room Info'!$A$2:$A3446, MATCH(B2150,'Room Info'!$F$2:$F3446, 0)),if(G2150='Room Info'!$H$1, INDEX('Room Info'!$A$2:$A3446, MATCH(B2150,'Room Info'!$H$2:$H3446, 0)),if(G2150='Room Info'!$G$1, INDEX('Room Info'!$A$2:$A3446, MATCH(B2150,'Room Info'!$G$2:$G3446, 0)))))))))</f>
        <v>0</v>
      </c>
      <c r="B2150" s="101"/>
      <c r="C2150" s="115"/>
      <c r="D2150" s="115"/>
      <c r="E2150" s="85"/>
      <c r="F2150" s="138"/>
      <c r="G2150" s="70"/>
      <c r="H2150" s="114"/>
      <c r="I2150" s="114"/>
      <c r="J2150" s="44" t="str">
        <f t="shared" si="311"/>
        <v/>
      </c>
      <c r="K2150" s="116"/>
      <c r="L2150" s="117"/>
      <c r="M2150" s="67"/>
      <c r="N2150" s="33">
        <f t="shared" si="276"/>
        <v>0</v>
      </c>
      <c r="O2150" s="70"/>
      <c r="P2150" s="34" t="str">
        <f t="shared" si="277"/>
        <v/>
      </c>
      <c r="Q2150" s="60"/>
      <c r="R2150" s="36">
        <f t="shared" si="312"/>
        <v>0</v>
      </c>
      <c r="S2150" s="71"/>
      <c r="T2150" s="37">
        <f t="shared" si="302"/>
        <v>0</v>
      </c>
      <c r="U2150" s="62"/>
      <c r="V2150" s="63"/>
      <c r="W2150" s="63"/>
      <c r="X2150" s="35" t="str">
        <f t="shared" si="303"/>
        <v>#N/A</v>
      </c>
      <c r="Y2150" s="35" t="str">
        <f t="shared" si="304"/>
        <v>#N/A</v>
      </c>
      <c r="Z2150" s="40" t="str">
        <f t="shared" si="305"/>
        <v>#N/A</v>
      </c>
      <c r="AA2150" s="34" t="str">
        <f t="shared" si="306"/>
        <v>#N/A</v>
      </c>
      <c r="AB2150" s="41" t="str">
        <f t="shared" si="307"/>
        <v>#N/A</v>
      </c>
      <c r="AC2150" s="42" t="b">
        <v>0</v>
      </c>
      <c r="AD2150" s="66" t="str">
        <f t="shared" si="308"/>
        <v>USD</v>
      </c>
      <c r="AE2150" s="42"/>
      <c r="AF2150" s="42" t="str">
        <f t="array" ref="AF2150">INDEX('Deal Info'!D:D, MATCH(A2150,'Deal Info'!A:A, 0))</f>
        <v>#N/A</v>
      </c>
      <c r="AG2150" s="43" t="str">
        <f t="array" ref="AG2150">INDEX('Deal Info'!G:G, MATCH(A2150,'Deal Info'!A:A, 0))</f>
        <v>#N/A</v>
      </c>
    </row>
    <row r="2151" hidden="1">
      <c r="A2151" s="23" t="b">
        <f t="array" ref="A2151">if(G2151='Room Info'!$B$1, INDEX('Room Info'!$A$2:$A3446, MATCH(B2151,'Room Info'!$B$2:$B3446, 0)),if(G2151='Room Info'!$C$1, INDEX('Room Info'!$A$2:$A3446, MATCH(B2151,'Room Info'!$C$2:$C3446, 0)),if(G2151='Room Info'!$D$1, INDEX('Room Info'!$A$2:$A3446, MATCH(B2151,'Room Info'!$D$2:$D3446, 0)),if(G2151='Room Info'!$E$1, INDEX('Room Info'!$A$2:$A3446, MATCH(B2151,'Room Info'!$E$2:$E3446, 0)),if(G2151='Room Info'!$F$1, INDEX('Room Info'!$A$2:$A3446, MATCH(B2151,'Room Info'!$F$2:$F3446, 0)),if(G2151='Room Info'!$H$1, INDEX('Room Info'!$A$2:$A3446, MATCH(B2151,'Room Info'!$H$2:$H3446, 0)),if(G2151='Room Info'!$G$1, INDEX('Room Info'!$A$2:$A3446, MATCH(B2151,'Room Info'!$G$2:$G3446, 0)))))))))</f>
        <v>0</v>
      </c>
      <c r="B2151" s="101"/>
      <c r="C2151" s="115"/>
      <c r="D2151" s="115"/>
      <c r="E2151" s="85"/>
      <c r="F2151" s="138"/>
      <c r="G2151" s="70"/>
      <c r="H2151" s="114"/>
      <c r="I2151" s="114"/>
      <c r="J2151" s="44" t="str">
        <f t="shared" si="311"/>
        <v/>
      </c>
      <c r="K2151" s="116"/>
      <c r="L2151" s="117"/>
      <c r="M2151" s="67"/>
      <c r="N2151" s="33">
        <f t="shared" si="276"/>
        <v>0</v>
      </c>
      <c r="O2151" s="70"/>
      <c r="P2151" s="34" t="str">
        <f t="shared" si="277"/>
        <v/>
      </c>
      <c r="Q2151" s="60"/>
      <c r="R2151" s="36">
        <f t="shared" si="312"/>
        <v>0</v>
      </c>
      <c r="S2151" s="71"/>
      <c r="T2151" s="37">
        <f t="shared" si="302"/>
        <v>0</v>
      </c>
      <c r="U2151" s="62"/>
      <c r="V2151" s="63"/>
      <c r="W2151" s="63"/>
      <c r="X2151" s="35" t="str">
        <f t="shared" si="303"/>
        <v>#N/A</v>
      </c>
      <c r="Y2151" s="35" t="str">
        <f t="shared" si="304"/>
        <v>#N/A</v>
      </c>
      <c r="Z2151" s="40" t="str">
        <f t="shared" si="305"/>
        <v>#N/A</v>
      </c>
      <c r="AA2151" s="34" t="str">
        <f t="shared" si="306"/>
        <v>#N/A</v>
      </c>
      <c r="AB2151" s="41" t="str">
        <f t="shared" si="307"/>
        <v>#N/A</v>
      </c>
      <c r="AC2151" s="42" t="b">
        <v>0</v>
      </c>
      <c r="AD2151" s="66" t="str">
        <f t="shared" si="308"/>
        <v>USD</v>
      </c>
      <c r="AE2151" s="42"/>
      <c r="AF2151" s="42" t="str">
        <f t="array" ref="AF2151">INDEX('Deal Info'!D:D, MATCH(A2151,'Deal Info'!A:A, 0))</f>
        <v>#N/A</v>
      </c>
      <c r="AG2151" s="43" t="str">
        <f t="array" ref="AG2151">INDEX('Deal Info'!G:G, MATCH(A2151,'Deal Info'!A:A, 0))</f>
        <v>#N/A</v>
      </c>
    </row>
    <row r="2152" hidden="1">
      <c r="A2152" s="23" t="b">
        <f t="array" ref="A2152">if(G2152='Room Info'!$B$1, INDEX('Room Info'!$A$2:$A3446, MATCH(B2152,'Room Info'!$B$2:$B3446, 0)),if(G2152='Room Info'!$C$1, INDEX('Room Info'!$A$2:$A3446, MATCH(B2152,'Room Info'!$C$2:$C3446, 0)),if(G2152='Room Info'!$D$1, INDEX('Room Info'!$A$2:$A3446, MATCH(B2152,'Room Info'!$D$2:$D3446, 0)),if(G2152='Room Info'!$E$1, INDEX('Room Info'!$A$2:$A3446, MATCH(B2152,'Room Info'!$E$2:$E3446, 0)),if(G2152='Room Info'!$F$1, INDEX('Room Info'!$A$2:$A3446, MATCH(B2152,'Room Info'!$F$2:$F3446, 0)),if(G2152='Room Info'!$H$1, INDEX('Room Info'!$A$2:$A3446, MATCH(B2152,'Room Info'!$H$2:$H3446, 0)),if(G2152='Room Info'!$G$1, INDEX('Room Info'!$A$2:$A3446, MATCH(B2152,'Room Info'!$G$2:$G3446, 0)))))))))</f>
        <v>0</v>
      </c>
      <c r="B2152" s="101"/>
      <c r="C2152" s="115"/>
      <c r="D2152" s="115"/>
      <c r="E2152" s="85"/>
      <c r="F2152" s="138"/>
      <c r="G2152" s="70"/>
      <c r="H2152" s="114"/>
      <c r="I2152" s="114"/>
      <c r="J2152" s="44" t="str">
        <f t="shared" si="311"/>
        <v/>
      </c>
      <c r="K2152" s="116"/>
      <c r="L2152" s="117"/>
      <c r="M2152" s="67"/>
      <c r="N2152" s="33">
        <f t="shared" si="276"/>
        <v>0</v>
      </c>
      <c r="O2152" s="70"/>
      <c r="P2152" s="34" t="str">
        <f t="shared" si="277"/>
        <v/>
      </c>
      <c r="Q2152" s="60"/>
      <c r="R2152" s="36">
        <f t="shared" si="312"/>
        <v>0</v>
      </c>
      <c r="S2152" s="71"/>
      <c r="T2152" s="37">
        <f t="shared" si="302"/>
        <v>0</v>
      </c>
      <c r="U2152" s="62"/>
      <c r="V2152" s="63"/>
      <c r="W2152" s="63"/>
      <c r="X2152" s="35" t="str">
        <f t="shared" si="303"/>
        <v>#N/A</v>
      </c>
      <c r="Y2152" s="35" t="str">
        <f t="shared" si="304"/>
        <v>#N/A</v>
      </c>
      <c r="Z2152" s="40" t="str">
        <f t="shared" si="305"/>
        <v>#N/A</v>
      </c>
      <c r="AA2152" s="34" t="str">
        <f t="shared" si="306"/>
        <v>#N/A</v>
      </c>
      <c r="AB2152" s="41" t="str">
        <f t="shared" si="307"/>
        <v>#N/A</v>
      </c>
      <c r="AC2152" s="42" t="b">
        <v>0</v>
      </c>
      <c r="AD2152" s="66" t="str">
        <f t="shared" si="308"/>
        <v>USD</v>
      </c>
      <c r="AE2152" s="42"/>
      <c r="AF2152" s="42" t="str">
        <f t="array" ref="AF2152">INDEX('Deal Info'!D:D, MATCH(A2152,'Deal Info'!A:A, 0))</f>
        <v>#N/A</v>
      </c>
      <c r="AG2152" s="43" t="str">
        <f t="array" ref="AG2152">INDEX('Deal Info'!G:G, MATCH(A2152,'Deal Info'!A:A, 0))</f>
        <v>#N/A</v>
      </c>
    </row>
    <row r="2153" hidden="1">
      <c r="A2153" s="23" t="b">
        <f t="array" ref="A2153">if(G2153='Room Info'!$B$1, INDEX('Room Info'!$A$2:$A3446, MATCH(B2153,'Room Info'!$B$2:$B3446, 0)),if(G2153='Room Info'!$C$1, INDEX('Room Info'!$A$2:$A3446, MATCH(B2153,'Room Info'!$C$2:$C3446, 0)),if(G2153='Room Info'!$D$1, INDEX('Room Info'!$A$2:$A3446, MATCH(B2153,'Room Info'!$D$2:$D3446, 0)),if(G2153='Room Info'!$E$1, INDEX('Room Info'!$A$2:$A3446, MATCH(B2153,'Room Info'!$E$2:$E3446, 0)),if(G2153='Room Info'!$F$1, INDEX('Room Info'!$A$2:$A3446, MATCH(B2153,'Room Info'!$F$2:$F3446, 0)),if(G2153='Room Info'!$H$1, INDEX('Room Info'!$A$2:$A3446, MATCH(B2153,'Room Info'!$H$2:$H3446, 0)),if(G2153='Room Info'!$G$1, INDEX('Room Info'!$A$2:$A3446, MATCH(B2153,'Room Info'!$G$2:$G3446, 0)))))))))</f>
        <v>0</v>
      </c>
      <c r="B2153" s="101"/>
      <c r="C2153" s="115"/>
      <c r="D2153" s="115"/>
      <c r="E2153" s="85"/>
      <c r="F2153" s="138"/>
      <c r="G2153" s="70"/>
      <c r="H2153" s="114"/>
      <c r="I2153" s="114"/>
      <c r="J2153" s="44" t="str">
        <f t="shared" si="311"/>
        <v/>
      </c>
      <c r="K2153" s="116"/>
      <c r="L2153" s="117"/>
      <c r="M2153" s="67"/>
      <c r="N2153" s="33">
        <f t="shared" si="276"/>
        <v>0</v>
      </c>
      <c r="O2153" s="70"/>
      <c r="P2153" s="34" t="str">
        <f t="shared" si="277"/>
        <v/>
      </c>
      <c r="Q2153" s="60"/>
      <c r="R2153" s="36">
        <f t="shared" si="312"/>
        <v>0</v>
      </c>
      <c r="S2153" s="71"/>
      <c r="T2153" s="37">
        <f t="shared" si="302"/>
        <v>0</v>
      </c>
      <c r="U2153" s="62"/>
      <c r="V2153" s="63"/>
      <c r="W2153" s="63"/>
      <c r="X2153" s="35" t="str">
        <f t="shared" si="303"/>
        <v>#N/A</v>
      </c>
      <c r="Y2153" s="35" t="str">
        <f t="shared" si="304"/>
        <v>#N/A</v>
      </c>
      <c r="Z2153" s="40" t="str">
        <f t="shared" si="305"/>
        <v>#N/A</v>
      </c>
      <c r="AA2153" s="34" t="str">
        <f t="shared" si="306"/>
        <v>#N/A</v>
      </c>
      <c r="AB2153" s="41" t="str">
        <f t="shared" si="307"/>
        <v>#N/A</v>
      </c>
      <c r="AC2153" s="42" t="b">
        <v>0</v>
      </c>
      <c r="AD2153" s="66" t="str">
        <f t="shared" si="308"/>
        <v>USD</v>
      </c>
      <c r="AE2153" s="42"/>
      <c r="AF2153" s="42" t="str">
        <f t="array" ref="AF2153">INDEX('Deal Info'!D:D, MATCH(A2153,'Deal Info'!A:A, 0))</f>
        <v>#N/A</v>
      </c>
      <c r="AG2153" s="43" t="str">
        <f t="array" ref="AG2153">INDEX('Deal Info'!G:G, MATCH(A2153,'Deal Info'!A:A, 0))</f>
        <v>#N/A</v>
      </c>
    </row>
    <row r="2154" hidden="1">
      <c r="A2154" s="23" t="b">
        <f t="array" ref="A2154">if(G2154='Room Info'!$B$1, INDEX('Room Info'!$A$2:$A3446, MATCH(B2154,'Room Info'!$B$2:$B3446, 0)),if(G2154='Room Info'!$C$1, INDEX('Room Info'!$A$2:$A3446, MATCH(B2154,'Room Info'!$C$2:$C3446, 0)),if(G2154='Room Info'!$D$1, INDEX('Room Info'!$A$2:$A3446, MATCH(B2154,'Room Info'!$D$2:$D3446, 0)),if(G2154='Room Info'!$E$1, INDEX('Room Info'!$A$2:$A3446, MATCH(B2154,'Room Info'!$E$2:$E3446, 0)),if(G2154='Room Info'!$F$1, INDEX('Room Info'!$A$2:$A3446, MATCH(B2154,'Room Info'!$F$2:$F3446, 0)),if(G2154='Room Info'!$H$1, INDEX('Room Info'!$A$2:$A3446, MATCH(B2154,'Room Info'!$H$2:$H3446, 0)),if(G2154='Room Info'!$G$1, INDEX('Room Info'!$A$2:$A3446, MATCH(B2154,'Room Info'!$G$2:$G3446, 0)))))))))</f>
        <v>0</v>
      </c>
      <c r="B2154" s="101"/>
      <c r="C2154" s="115"/>
      <c r="D2154" s="115"/>
      <c r="E2154" s="85"/>
      <c r="F2154" s="138"/>
      <c r="G2154" s="70"/>
      <c r="H2154" s="114"/>
      <c r="I2154" s="114"/>
      <c r="J2154" s="44" t="str">
        <f t="shared" si="311"/>
        <v/>
      </c>
      <c r="K2154" s="116"/>
      <c r="L2154" s="117"/>
      <c r="M2154" s="67"/>
      <c r="N2154" s="33">
        <f t="shared" si="276"/>
        <v>0</v>
      </c>
      <c r="O2154" s="70"/>
      <c r="P2154" s="34" t="str">
        <f t="shared" si="277"/>
        <v/>
      </c>
      <c r="Q2154" s="60"/>
      <c r="R2154" s="36">
        <f t="shared" si="312"/>
        <v>0</v>
      </c>
      <c r="S2154" s="71"/>
      <c r="T2154" s="37">
        <f t="shared" si="302"/>
        <v>0</v>
      </c>
      <c r="U2154" s="62"/>
      <c r="V2154" s="63"/>
      <c r="W2154" s="63"/>
      <c r="X2154" s="35" t="str">
        <f t="shared" si="303"/>
        <v>#N/A</v>
      </c>
      <c r="Y2154" s="35" t="str">
        <f t="shared" si="304"/>
        <v>#N/A</v>
      </c>
      <c r="Z2154" s="40" t="str">
        <f t="shared" si="305"/>
        <v>#N/A</v>
      </c>
      <c r="AA2154" s="34" t="str">
        <f t="shared" si="306"/>
        <v>#N/A</v>
      </c>
      <c r="AB2154" s="41" t="str">
        <f t="shared" si="307"/>
        <v>#N/A</v>
      </c>
      <c r="AC2154" s="42" t="b">
        <v>0</v>
      </c>
      <c r="AD2154" s="66" t="str">
        <f t="shared" si="308"/>
        <v>USD</v>
      </c>
      <c r="AE2154" s="42"/>
      <c r="AF2154" s="42" t="str">
        <f t="array" ref="AF2154">INDEX('Deal Info'!D:D, MATCH(A2154,'Deal Info'!A:A, 0))</f>
        <v>#N/A</v>
      </c>
      <c r="AG2154" s="43" t="str">
        <f t="array" ref="AG2154">INDEX('Deal Info'!G:G, MATCH(A2154,'Deal Info'!A:A, 0))</f>
        <v>#N/A</v>
      </c>
    </row>
    <row r="2155" hidden="1">
      <c r="A2155" s="23" t="b">
        <f t="array" ref="A2155">if(G2155='Room Info'!$B$1, INDEX('Room Info'!$A$2:$A3446, MATCH(B2155,'Room Info'!$B$2:$B3446, 0)),if(G2155='Room Info'!$C$1, INDEX('Room Info'!$A$2:$A3446, MATCH(B2155,'Room Info'!$C$2:$C3446, 0)),if(G2155='Room Info'!$D$1, INDEX('Room Info'!$A$2:$A3446, MATCH(B2155,'Room Info'!$D$2:$D3446, 0)),if(G2155='Room Info'!$E$1, INDEX('Room Info'!$A$2:$A3446, MATCH(B2155,'Room Info'!$E$2:$E3446, 0)),if(G2155='Room Info'!$F$1, INDEX('Room Info'!$A$2:$A3446, MATCH(B2155,'Room Info'!$F$2:$F3446, 0)),if(G2155='Room Info'!$H$1, INDEX('Room Info'!$A$2:$A3446, MATCH(B2155,'Room Info'!$H$2:$H3446, 0)),if(G2155='Room Info'!$G$1, INDEX('Room Info'!$A$2:$A3446, MATCH(B2155,'Room Info'!$G$2:$G3446, 0)))))))))</f>
        <v>0</v>
      </c>
      <c r="B2155" s="101"/>
      <c r="C2155" s="115"/>
      <c r="D2155" s="115"/>
      <c r="E2155" s="85"/>
      <c r="F2155" s="138"/>
      <c r="G2155" s="101"/>
      <c r="H2155" s="114"/>
      <c r="I2155" s="114"/>
      <c r="J2155" s="44" t="str">
        <f t="shared" si="311"/>
        <v/>
      </c>
      <c r="K2155" s="116"/>
      <c r="L2155" s="117"/>
      <c r="M2155" s="67"/>
      <c r="N2155" s="33">
        <f t="shared" si="276"/>
        <v>0</v>
      </c>
      <c r="O2155" s="70"/>
      <c r="P2155" s="34" t="str">
        <f t="shared" si="277"/>
        <v/>
      </c>
      <c r="Q2155" s="60"/>
      <c r="R2155" s="36">
        <f t="shared" si="312"/>
        <v>0</v>
      </c>
      <c r="S2155" s="71"/>
      <c r="T2155" s="37">
        <f t="shared" si="302"/>
        <v>0</v>
      </c>
      <c r="U2155" s="62"/>
      <c r="V2155" s="63"/>
      <c r="W2155" s="63"/>
      <c r="X2155" s="35" t="str">
        <f t="shared" si="303"/>
        <v>#N/A</v>
      </c>
      <c r="Y2155" s="35" t="str">
        <f t="shared" si="304"/>
        <v>#N/A</v>
      </c>
      <c r="Z2155" s="40" t="str">
        <f t="shared" si="305"/>
        <v>#N/A</v>
      </c>
      <c r="AA2155" s="34" t="str">
        <f t="shared" si="306"/>
        <v>#N/A</v>
      </c>
      <c r="AB2155" s="41" t="str">
        <f t="shared" si="307"/>
        <v>#N/A</v>
      </c>
      <c r="AC2155" s="42" t="b">
        <v>0</v>
      </c>
      <c r="AD2155" s="66" t="str">
        <f t="shared" si="308"/>
        <v>USD</v>
      </c>
      <c r="AE2155" s="42"/>
      <c r="AF2155" s="42" t="str">
        <f t="array" ref="AF2155">INDEX('Deal Info'!D:D, MATCH(A2155,'Deal Info'!A:A, 0))</f>
        <v>#N/A</v>
      </c>
      <c r="AG2155" s="43" t="str">
        <f t="array" ref="AG2155">INDEX('Deal Info'!G:G, MATCH(A2155,'Deal Info'!A:A, 0))</f>
        <v>#N/A</v>
      </c>
    </row>
    <row r="2156" hidden="1">
      <c r="A2156" s="23" t="b">
        <f t="array" ref="A2156">if(G2156='Room Info'!$B$1, INDEX('Room Info'!$A$2:$A3446, MATCH(B2156,'Room Info'!$B$2:$B3446, 0)),if(G2156='Room Info'!$C$1, INDEX('Room Info'!$A$2:$A3446, MATCH(B2156,'Room Info'!$C$2:$C3446, 0)),if(G2156='Room Info'!$D$1, INDEX('Room Info'!$A$2:$A3446, MATCH(B2156,'Room Info'!$D$2:$D3446, 0)),if(G2156='Room Info'!$E$1, INDEX('Room Info'!$A$2:$A3446, MATCH(B2156,'Room Info'!$E$2:$E3446, 0)),if(G2156='Room Info'!$F$1, INDEX('Room Info'!$A$2:$A3446, MATCH(B2156,'Room Info'!$F$2:$F3446, 0)),if(G2156='Room Info'!$H$1, INDEX('Room Info'!$A$2:$A3446, MATCH(B2156,'Room Info'!$H$2:$H3446, 0)),if(G2156='Room Info'!$G$1, INDEX('Room Info'!$A$2:$A3446, MATCH(B2156,'Room Info'!$G$2:$G3446, 0)))))))))</f>
        <v>0</v>
      </c>
      <c r="B2156" s="101"/>
      <c r="C2156" s="115"/>
      <c r="D2156" s="115"/>
      <c r="E2156" s="85"/>
      <c r="F2156" s="138"/>
      <c r="G2156" s="101"/>
      <c r="H2156" s="114"/>
      <c r="I2156" s="114"/>
      <c r="J2156" s="44" t="str">
        <f t="shared" si="311"/>
        <v/>
      </c>
      <c r="K2156" s="116"/>
      <c r="L2156" s="117"/>
      <c r="M2156" s="67"/>
      <c r="N2156" s="33">
        <f t="shared" si="276"/>
        <v>0</v>
      </c>
      <c r="O2156" s="70"/>
      <c r="P2156" s="34" t="str">
        <f t="shared" si="277"/>
        <v/>
      </c>
      <c r="Q2156" s="60"/>
      <c r="R2156" s="36">
        <f t="shared" si="312"/>
        <v>0</v>
      </c>
      <c r="S2156" s="71"/>
      <c r="T2156" s="37">
        <f t="shared" si="302"/>
        <v>0</v>
      </c>
      <c r="U2156" s="62"/>
      <c r="V2156" s="63"/>
      <c r="W2156" s="63"/>
      <c r="X2156" s="35" t="str">
        <f t="shared" si="303"/>
        <v>#N/A</v>
      </c>
      <c r="Y2156" s="35" t="str">
        <f t="shared" si="304"/>
        <v>#N/A</v>
      </c>
      <c r="Z2156" s="40" t="str">
        <f t="shared" si="305"/>
        <v>#N/A</v>
      </c>
      <c r="AA2156" s="34" t="str">
        <f t="shared" si="306"/>
        <v>#N/A</v>
      </c>
      <c r="AB2156" s="41" t="str">
        <f t="shared" si="307"/>
        <v>#N/A</v>
      </c>
      <c r="AC2156" s="42" t="b">
        <v>0</v>
      </c>
      <c r="AD2156" s="66" t="str">
        <f t="shared" si="308"/>
        <v>USD</v>
      </c>
      <c r="AE2156" s="42"/>
      <c r="AF2156" s="42" t="str">
        <f t="array" ref="AF2156">INDEX('Deal Info'!D:D, MATCH(A2156,'Deal Info'!A:A, 0))</f>
        <v>#N/A</v>
      </c>
      <c r="AG2156" s="43" t="str">
        <f t="array" ref="AG2156">INDEX('Deal Info'!G:G, MATCH(A2156,'Deal Info'!A:A, 0))</f>
        <v>#N/A</v>
      </c>
    </row>
    <row r="2157" hidden="1">
      <c r="A2157" s="23" t="b">
        <f t="array" ref="A2157">if(G2157='Room Info'!$B$1, INDEX('Room Info'!$A$2:$A3446, MATCH(B2157,'Room Info'!$B$2:$B3446, 0)),if(G2157='Room Info'!$C$1, INDEX('Room Info'!$A$2:$A3446, MATCH(B2157,'Room Info'!$C$2:$C3446, 0)),if(G2157='Room Info'!$D$1, INDEX('Room Info'!$A$2:$A3446, MATCH(B2157,'Room Info'!$D$2:$D3446, 0)),if(G2157='Room Info'!$E$1, INDEX('Room Info'!$A$2:$A3446, MATCH(B2157,'Room Info'!$E$2:$E3446, 0)),if(G2157='Room Info'!$F$1, INDEX('Room Info'!$A$2:$A3446, MATCH(B2157,'Room Info'!$F$2:$F3446, 0)),if(G2157='Room Info'!$H$1, INDEX('Room Info'!$A$2:$A3446, MATCH(B2157,'Room Info'!$H$2:$H3446, 0)),if(G2157='Room Info'!$G$1, INDEX('Room Info'!$A$2:$A3446, MATCH(B2157,'Room Info'!$G$2:$G3446, 0)))))))))</f>
        <v>0</v>
      </c>
      <c r="B2157" s="101"/>
      <c r="C2157" s="115"/>
      <c r="D2157" s="115"/>
      <c r="E2157" s="85"/>
      <c r="F2157" s="101"/>
      <c r="G2157" s="70"/>
      <c r="H2157" s="114"/>
      <c r="I2157" s="114"/>
      <c r="J2157" s="44" t="str">
        <f t="shared" si="311"/>
        <v/>
      </c>
      <c r="K2157" s="139"/>
      <c r="L2157" s="140"/>
      <c r="M2157" s="67"/>
      <c r="N2157" s="33">
        <f t="shared" si="276"/>
        <v>0</v>
      </c>
      <c r="O2157" s="101"/>
      <c r="P2157" s="34" t="str">
        <f t="shared" si="277"/>
        <v/>
      </c>
      <c r="Q2157" s="60"/>
      <c r="R2157" s="36">
        <f t="shared" si="312"/>
        <v>0</v>
      </c>
      <c r="S2157" s="102"/>
      <c r="T2157" s="37">
        <f t="shared" si="302"/>
        <v>0</v>
      </c>
      <c r="U2157" s="62"/>
      <c r="V2157" s="63"/>
      <c r="W2157" s="63"/>
      <c r="X2157" s="35" t="str">
        <f t="shared" si="303"/>
        <v>#N/A</v>
      </c>
      <c r="Y2157" s="35" t="str">
        <f t="shared" si="304"/>
        <v>#N/A</v>
      </c>
      <c r="Z2157" s="40" t="str">
        <f t="shared" si="305"/>
        <v>#N/A</v>
      </c>
      <c r="AA2157" s="34" t="str">
        <f t="shared" si="306"/>
        <v>#N/A</v>
      </c>
      <c r="AB2157" s="41" t="str">
        <f t="shared" si="307"/>
        <v>#N/A</v>
      </c>
      <c r="AC2157" s="42" t="b">
        <v>0</v>
      </c>
      <c r="AD2157" s="66" t="str">
        <f t="shared" si="308"/>
        <v>USD</v>
      </c>
      <c r="AE2157" s="42"/>
      <c r="AF2157" s="42" t="str">
        <f t="array" ref="AF2157">INDEX('Deal Info'!D:D, MATCH(A2157,'Deal Info'!A:A, 0))</f>
        <v>#N/A</v>
      </c>
      <c r="AG2157" s="43" t="str">
        <f t="array" ref="AG2157">INDEX('Deal Info'!G:G, MATCH(A2157,'Deal Info'!A:A, 0))</f>
        <v>#N/A</v>
      </c>
    </row>
    <row r="2158" hidden="1">
      <c r="A2158" s="23" t="b">
        <f t="array" ref="A2158">if(G2158='Room Info'!$B$1, INDEX('Room Info'!$A$2:$A3446, MATCH(B2158,'Room Info'!$B$2:$B3446, 0)),if(G2158='Room Info'!$C$1, INDEX('Room Info'!$A$2:$A3446, MATCH(B2158,'Room Info'!$C$2:$C3446, 0)),if(G2158='Room Info'!$D$1, INDEX('Room Info'!$A$2:$A3446, MATCH(B2158,'Room Info'!$D$2:$D3446, 0)),if(G2158='Room Info'!$E$1, INDEX('Room Info'!$A$2:$A3446, MATCH(B2158,'Room Info'!$E$2:$E3446, 0)),if(G2158='Room Info'!$F$1, INDEX('Room Info'!$A$2:$A3446, MATCH(B2158,'Room Info'!$F$2:$F3446, 0)),if(G2158='Room Info'!$H$1, INDEX('Room Info'!$A$2:$A3446, MATCH(B2158,'Room Info'!$H$2:$H3446, 0)),if(G2158='Room Info'!$G$1, INDEX('Room Info'!$A$2:$A3446, MATCH(B2158,'Room Info'!$G$2:$G3446, 0)))))))))</f>
        <v>0</v>
      </c>
      <c r="B2158" s="101"/>
      <c r="C2158" s="115"/>
      <c r="D2158" s="115"/>
      <c r="E2158" s="85"/>
      <c r="F2158" s="101"/>
      <c r="G2158" s="70"/>
      <c r="H2158" s="114"/>
      <c r="I2158" s="114"/>
      <c r="J2158" s="44" t="str">
        <f t="shared" si="311"/>
        <v/>
      </c>
      <c r="K2158" s="139"/>
      <c r="L2158" s="140"/>
      <c r="M2158" s="67"/>
      <c r="N2158" s="33">
        <f t="shared" si="276"/>
        <v>0</v>
      </c>
      <c r="O2158" s="101"/>
      <c r="P2158" s="34" t="str">
        <f t="shared" si="277"/>
        <v/>
      </c>
      <c r="Q2158" s="60"/>
      <c r="R2158" s="36">
        <f t="shared" si="312"/>
        <v>0</v>
      </c>
      <c r="S2158" s="102"/>
      <c r="T2158" s="37">
        <f t="shared" si="302"/>
        <v>0</v>
      </c>
      <c r="U2158" s="62"/>
      <c r="V2158" s="63"/>
      <c r="W2158" s="63"/>
      <c r="X2158" s="35" t="str">
        <f t="shared" si="303"/>
        <v>#N/A</v>
      </c>
      <c r="Y2158" s="35" t="str">
        <f t="shared" si="304"/>
        <v>#N/A</v>
      </c>
      <c r="Z2158" s="40" t="str">
        <f t="shared" si="305"/>
        <v>#N/A</v>
      </c>
      <c r="AA2158" s="34" t="str">
        <f t="shared" si="306"/>
        <v>#N/A</v>
      </c>
      <c r="AB2158" s="41" t="str">
        <f t="shared" si="307"/>
        <v>#N/A</v>
      </c>
      <c r="AC2158" s="42" t="b">
        <v>0</v>
      </c>
      <c r="AD2158" s="66" t="str">
        <f t="shared" si="308"/>
        <v>USD</v>
      </c>
      <c r="AE2158" s="42"/>
      <c r="AF2158" s="42" t="str">
        <f t="array" ref="AF2158">INDEX('Deal Info'!D:D, MATCH(A2158,'Deal Info'!A:A, 0))</f>
        <v>#N/A</v>
      </c>
      <c r="AG2158" s="43" t="str">
        <f t="array" ref="AG2158">INDEX('Deal Info'!G:G, MATCH(A2158,'Deal Info'!A:A, 0))</f>
        <v>#N/A</v>
      </c>
    </row>
    <row r="2159" hidden="1">
      <c r="A2159" s="23" t="b">
        <f t="array" ref="A2159">if(G2159='Room Info'!$B$1, INDEX('Room Info'!$A$2:$A3446, MATCH(B2159,'Room Info'!$B$2:$B3446, 0)),if(G2159='Room Info'!$C$1, INDEX('Room Info'!$A$2:$A3446, MATCH(B2159,'Room Info'!$C$2:$C3446, 0)),if(G2159='Room Info'!$D$1, INDEX('Room Info'!$A$2:$A3446, MATCH(B2159,'Room Info'!$D$2:$D3446, 0)),if(G2159='Room Info'!$E$1, INDEX('Room Info'!$A$2:$A3446, MATCH(B2159,'Room Info'!$E$2:$E3446, 0)),if(G2159='Room Info'!$F$1, INDEX('Room Info'!$A$2:$A3446, MATCH(B2159,'Room Info'!$F$2:$F3446, 0)),if(G2159='Room Info'!$H$1, INDEX('Room Info'!$A$2:$A3446, MATCH(B2159,'Room Info'!$H$2:$H3446, 0)),if(G2159='Room Info'!$G$1, INDEX('Room Info'!$A$2:$A3446, MATCH(B2159,'Room Info'!$G$2:$G3446, 0)))))))))</f>
        <v>0</v>
      </c>
      <c r="B2159" s="101"/>
      <c r="C2159" s="115"/>
      <c r="D2159" s="115"/>
      <c r="E2159" s="85"/>
      <c r="F2159" s="138"/>
      <c r="G2159" s="101"/>
      <c r="H2159" s="114"/>
      <c r="I2159" s="114"/>
      <c r="J2159" s="44" t="str">
        <f t="shared" si="311"/>
        <v/>
      </c>
      <c r="K2159" s="116"/>
      <c r="L2159" s="117"/>
      <c r="M2159" s="67"/>
      <c r="N2159" s="33">
        <f t="shared" si="276"/>
        <v>0</v>
      </c>
      <c r="O2159" s="70"/>
      <c r="P2159" s="34" t="str">
        <f t="shared" si="277"/>
        <v/>
      </c>
      <c r="Q2159" s="60"/>
      <c r="R2159" s="36">
        <f t="shared" si="312"/>
        <v>0</v>
      </c>
      <c r="S2159" s="71"/>
      <c r="T2159" s="37">
        <f t="shared" si="302"/>
        <v>0</v>
      </c>
      <c r="U2159" s="62"/>
      <c r="V2159" s="63"/>
      <c r="W2159" s="63"/>
      <c r="X2159" s="35" t="str">
        <f t="shared" si="303"/>
        <v>#N/A</v>
      </c>
      <c r="Y2159" s="35" t="str">
        <f t="shared" si="304"/>
        <v>#N/A</v>
      </c>
      <c r="Z2159" s="40" t="str">
        <f t="shared" si="305"/>
        <v>#N/A</v>
      </c>
      <c r="AA2159" s="34" t="str">
        <f t="shared" si="306"/>
        <v>#N/A</v>
      </c>
      <c r="AB2159" s="41" t="str">
        <f t="shared" si="307"/>
        <v>#N/A</v>
      </c>
      <c r="AC2159" s="42" t="b">
        <v>0</v>
      </c>
      <c r="AD2159" s="66" t="str">
        <f t="shared" si="308"/>
        <v>USD</v>
      </c>
      <c r="AE2159" s="42"/>
      <c r="AF2159" s="42" t="str">
        <f t="array" ref="AF2159">INDEX('Deal Info'!D:D, MATCH(A2159,'Deal Info'!A:A, 0))</f>
        <v>#N/A</v>
      </c>
      <c r="AG2159" s="43" t="str">
        <f t="array" ref="AG2159">INDEX('Deal Info'!G:G, MATCH(A2159,'Deal Info'!A:A, 0))</f>
        <v>#N/A</v>
      </c>
    </row>
    <row r="2160" hidden="1">
      <c r="A2160" s="23" t="b">
        <f t="array" ref="A2160">if(G2160='Room Info'!$B$1, INDEX('Room Info'!$A$2:$A3446, MATCH(B2160,'Room Info'!$B$2:$B3446, 0)),if(G2160='Room Info'!$C$1, INDEX('Room Info'!$A$2:$A3446, MATCH(B2160,'Room Info'!$C$2:$C3446, 0)),if(G2160='Room Info'!$D$1, INDEX('Room Info'!$A$2:$A3446, MATCH(B2160,'Room Info'!$D$2:$D3446, 0)),if(G2160='Room Info'!$E$1, INDEX('Room Info'!$A$2:$A3446, MATCH(B2160,'Room Info'!$E$2:$E3446, 0)),if(G2160='Room Info'!$F$1, INDEX('Room Info'!$A$2:$A3446, MATCH(B2160,'Room Info'!$F$2:$F3446, 0)),if(G2160='Room Info'!$H$1, INDEX('Room Info'!$A$2:$A3446, MATCH(B2160,'Room Info'!$H$2:$H3446, 0)),if(G2160='Room Info'!$G$1, INDEX('Room Info'!$A$2:$A3446, MATCH(B2160,'Room Info'!$G$2:$G3446, 0)))))))))</f>
        <v>0</v>
      </c>
      <c r="B2160" s="101"/>
      <c r="C2160" s="115"/>
      <c r="D2160" s="115"/>
      <c r="E2160" s="85"/>
      <c r="F2160" s="138"/>
      <c r="G2160" s="101"/>
      <c r="H2160" s="114"/>
      <c r="I2160" s="114"/>
      <c r="J2160" s="44" t="str">
        <f t="shared" si="311"/>
        <v/>
      </c>
      <c r="K2160" s="116"/>
      <c r="L2160" s="117"/>
      <c r="M2160" s="67"/>
      <c r="N2160" s="33">
        <f t="shared" si="276"/>
        <v>0</v>
      </c>
      <c r="O2160" s="70"/>
      <c r="P2160" s="34" t="str">
        <f t="shared" si="277"/>
        <v/>
      </c>
      <c r="Q2160" s="60"/>
      <c r="R2160" s="36">
        <f t="shared" si="312"/>
        <v>0</v>
      </c>
      <c r="S2160" s="71"/>
      <c r="T2160" s="37">
        <f t="shared" si="302"/>
        <v>0</v>
      </c>
      <c r="U2160" s="62"/>
      <c r="V2160" s="63"/>
      <c r="W2160" s="63"/>
      <c r="X2160" s="35" t="str">
        <f t="shared" si="303"/>
        <v>#N/A</v>
      </c>
      <c r="Y2160" s="35" t="str">
        <f t="shared" si="304"/>
        <v>#N/A</v>
      </c>
      <c r="Z2160" s="40" t="str">
        <f t="shared" si="305"/>
        <v>#N/A</v>
      </c>
      <c r="AA2160" s="34" t="str">
        <f t="shared" si="306"/>
        <v>#N/A</v>
      </c>
      <c r="AB2160" s="41" t="str">
        <f t="shared" si="307"/>
        <v>#N/A</v>
      </c>
      <c r="AC2160" s="42" t="b">
        <v>0</v>
      </c>
      <c r="AD2160" s="66" t="str">
        <f t="shared" si="308"/>
        <v>USD</v>
      </c>
      <c r="AE2160" s="42"/>
      <c r="AF2160" s="42" t="str">
        <f t="array" ref="AF2160">INDEX('Deal Info'!D:D, MATCH(A2160,'Deal Info'!A:A, 0))</f>
        <v>#N/A</v>
      </c>
      <c r="AG2160" s="43" t="str">
        <f t="array" ref="AG2160">INDEX('Deal Info'!G:G, MATCH(A2160,'Deal Info'!A:A, 0))</f>
        <v>#N/A</v>
      </c>
    </row>
    <row r="2161" hidden="1">
      <c r="A2161" s="23" t="b">
        <f t="array" ref="A2161">if(G2161='Room Info'!$B$1, INDEX('Room Info'!$A$2:$A3446, MATCH(B2161,'Room Info'!$B$2:$B3446, 0)),if(G2161='Room Info'!$C$1, INDEX('Room Info'!$A$2:$A3446, MATCH(B2161,'Room Info'!$C$2:$C3446, 0)),if(G2161='Room Info'!$D$1, INDEX('Room Info'!$A$2:$A3446, MATCH(B2161,'Room Info'!$D$2:$D3446, 0)),if(G2161='Room Info'!$E$1, INDEX('Room Info'!$A$2:$A3446, MATCH(B2161,'Room Info'!$E$2:$E3446, 0)),if(G2161='Room Info'!$F$1, INDEX('Room Info'!$A$2:$A3446, MATCH(B2161,'Room Info'!$F$2:$F3446, 0)),if(G2161='Room Info'!$H$1, INDEX('Room Info'!$A$2:$A3446, MATCH(B2161,'Room Info'!$H$2:$H3446, 0)),if(G2161='Room Info'!$G$1, INDEX('Room Info'!$A$2:$A3446, MATCH(B2161,'Room Info'!$G$2:$G3446, 0)))))))))</f>
        <v>0</v>
      </c>
      <c r="B2161" s="101"/>
      <c r="C2161" s="115"/>
      <c r="D2161" s="115"/>
      <c r="E2161" s="85"/>
      <c r="F2161" s="138"/>
      <c r="G2161" s="101"/>
      <c r="H2161" s="114"/>
      <c r="I2161" s="114"/>
      <c r="J2161" s="44" t="str">
        <f t="shared" si="311"/>
        <v/>
      </c>
      <c r="K2161" s="116"/>
      <c r="L2161" s="117"/>
      <c r="M2161" s="67"/>
      <c r="N2161" s="33">
        <f t="shared" si="276"/>
        <v>0</v>
      </c>
      <c r="O2161" s="70"/>
      <c r="P2161" s="34" t="str">
        <f t="shared" si="277"/>
        <v/>
      </c>
      <c r="Q2161" s="60"/>
      <c r="R2161" s="36">
        <f t="shared" si="312"/>
        <v>0</v>
      </c>
      <c r="S2161" s="71"/>
      <c r="T2161" s="37">
        <f t="shared" si="302"/>
        <v>0</v>
      </c>
      <c r="U2161" s="62"/>
      <c r="V2161" s="63"/>
      <c r="W2161" s="63"/>
      <c r="X2161" s="35" t="str">
        <f t="shared" si="303"/>
        <v>#N/A</v>
      </c>
      <c r="Y2161" s="35" t="str">
        <f t="shared" si="304"/>
        <v>#N/A</v>
      </c>
      <c r="Z2161" s="40" t="str">
        <f t="shared" si="305"/>
        <v>#N/A</v>
      </c>
      <c r="AA2161" s="34" t="str">
        <f t="shared" si="306"/>
        <v>#N/A</v>
      </c>
      <c r="AB2161" s="41" t="str">
        <f t="shared" si="307"/>
        <v>#N/A</v>
      </c>
      <c r="AC2161" s="42" t="b">
        <v>0</v>
      </c>
      <c r="AD2161" s="66" t="str">
        <f t="shared" si="308"/>
        <v>USD</v>
      </c>
      <c r="AE2161" s="42"/>
      <c r="AF2161" s="42" t="str">
        <f t="array" ref="AF2161">INDEX('Deal Info'!D:D, MATCH(A2161,'Deal Info'!A:A, 0))</f>
        <v>#N/A</v>
      </c>
      <c r="AG2161" s="43" t="str">
        <f t="array" ref="AG2161">INDEX('Deal Info'!G:G, MATCH(A2161,'Deal Info'!A:A, 0))</f>
        <v>#N/A</v>
      </c>
    </row>
    <row r="2162" hidden="1">
      <c r="A2162" s="23" t="b">
        <f t="array" ref="A2162">if(G2162='Room Info'!$B$1, INDEX('Room Info'!$A$2:$A3446, MATCH(B2162,'Room Info'!$B$2:$B3446, 0)),if(G2162='Room Info'!$C$1, INDEX('Room Info'!$A$2:$A3446, MATCH(B2162,'Room Info'!$C$2:$C3446, 0)),if(G2162='Room Info'!$D$1, INDEX('Room Info'!$A$2:$A3446, MATCH(B2162,'Room Info'!$D$2:$D3446, 0)),if(G2162='Room Info'!$E$1, INDEX('Room Info'!$A$2:$A3446, MATCH(B2162,'Room Info'!$E$2:$E3446, 0)),if(G2162='Room Info'!$F$1, INDEX('Room Info'!$A$2:$A3446, MATCH(B2162,'Room Info'!$F$2:$F3446, 0)),if(G2162='Room Info'!$H$1, INDEX('Room Info'!$A$2:$A3446, MATCH(B2162,'Room Info'!$H$2:$H3446, 0)),if(G2162='Room Info'!$G$1, INDEX('Room Info'!$A$2:$A3446, MATCH(B2162,'Room Info'!$G$2:$G3446, 0)))))))))</f>
        <v>0</v>
      </c>
      <c r="B2162" s="101"/>
      <c r="C2162" s="115"/>
      <c r="D2162" s="115"/>
      <c r="E2162" s="85"/>
      <c r="F2162" s="138"/>
      <c r="G2162" s="101"/>
      <c r="H2162" s="114"/>
      <c r="I2162" s="114"/>
      <c r="J2162" s="44" t="str">
        <f t="shared" si="311"/>
        <v/>
      </c>
      <c r="K2162" s="116"/>
      <c r="L2162" s="117"/>
      <c r="M2162" s="67"/>
      <c r="N2162" s="33">
        <f t="shared" si="276"/>
        <v>0</v>
      </c>
      <c r="O2162" s="70"/>
      <c r="P2162" s="34" t="str">
        <f t="shared" si="277"/>
        <v/>
      </c>
      <c r="Q2162" s="60"/>
      <c r="R2162" s="36">
        <f t="shared" si="312"/>
        <v>0</v>
      </c>
      <c r="S2162" s="71"/>
      <c r="T2162" s="37">
        <f t="shared" si="302"/>
        <v>0</v>
      </c>
      <c r="U2162" s="62"/>
      <c r="V2162" s="63"/>
      <c r="W2162" s="63"/>
      <c r="X2162" s="35" t="str">
        <f t="shared" si="303"/>
        <v>#N/A</v>
      </c>
      <c r="Y2162" s="35" t="str">
        <f t="shared" si="304"/>
        <v>#N/A</v>
      </c>
      <c r="Z2162" s="40" t="str">
        <f t="shared" si="305"/>
        <v>#N/A</v>
      </c>
      <c r="AA2162" s="34" t="str">
        <f t="shared" si="306"/>
        <v>#N/A</v>
      </c>
      <c r="AB2162" s="41" t="str">
        <f t="shared" si="307"/>
        <v>#N/A</v>
      </c>
      <c r="AC2162" s="42" t="b">
        <v>0</v>
      </c>
      <c r="AD2162" s="66" t="str">
        <f t="shared" si="308"/>
        <v>USD</v>
      </c>
      <c r="AE2162" s="42"/>
      <c r="AF2162" s="42" t="str">
        <f t="array" ref="AF2162">INDEX('Deal Info'!D:D, MATCH(A2162,'Deal Info'!A:A, 0))</f>
        <v>#N/A</v>
      </c>
      <c r="AG2162" s="43" t="str">
        <f t="array" ref="AG2162">INDEX('Deal Info'!G:G, MATCH(A2162,'Deal Info'!A:A, 0))</f>
        <v>#N/A</v>
      </c>
    </row>
    <row r="2163" hidden="1">
      <c r="A2163" s="23" t="b">
        <f t="array" ref="A2163">if(G2163='Room Info'!$B$1, INDEX('Room Info'!$A$2:$A3446, MATCH(B2163,'Room Info'!$B$2:$B3446, 0)),if(G2163='Room Info'!$C$1, INDEX('Room Info'!$A$2:$A3446, MATCH(B2163,'Room Info'!$C$2:$C3446, 0)),if(G2163='Room Info'!$D$1, INDEX('Room Info'!$A$2:$A3446, MATCH(B2163,'Room Info'!$D$2:$D3446, 0)),if(G2163='Room Info'!$E$1, INDEX('Room Info'!$A$2:$A3446, MATCH(B2163,'Room Info'!$E$2:$E3446, 0)),if(G2163='Room Info'!$F$1, INDEX('Room Info'!$A$2:$A3446, MATCH(B2163,'Room Info'!$F$2:$F3446, 0)),if(G2163='Room Info'!$H$1, INDEX('Room Info'!$A$2:$A3446, MATCH(B2163,'Room Info'!$H$2:$H3446, 0)),if(G2163='Room Info'!$G$1, INDEX('Room Info'!$A$2:$A3446, MATCH(B2163,'Room Info'!$G$2:$G3446, 0)))))))))</f>
        <v>0</v>
      </c>
      <c r="B2163" s="101"/>
      <c r="C2163" s="115"/>
      <c r="D2163" s="115"/>
      <c r="E2163" s="85"/>
      <c r="F2163" s="138"/>
      <c r="G2163" s="101"/>
      <c r="H2163" s="114"/>
      <c r="I2163" s="114"/>
      <c r="J2163" s="44" t="str">
        <f t="shared" si="311"/>
        <v/>
      </c>
      <c r="K2163" s="116"/>
      <c r="L2163" s="117"/>
      <c r="M2163" s="67"/>
      <c r="N2163" s="33">
        <f t="shared" si="276"/>
        <v>0</v>
      </c>
      <c r="O2163" s="70"/>
      <c r="P2163" s="34" t="str">
        <f t="shared" si="277"/>
        <v/>
      </c>
      <c r="Q2163" s="60"/>
      <c r="R2163" s="36">
        <f t="shared" si="312"/>
        <v>0</v>
      </c>
      <c r="S2163" s="71"/>
      <c r="T2163" s="37">
        <f t="shared" si="302"/>
        <v>0</v>
      </c>
      <c r="U2163" s="62"/>
      <c r="V2163" s="63"/>
      <c r="W2163" s="63"/>
      <c r="X2163" s="35" t="str">
        <f t="shared" si="303"/>
        <v>#N/A</v>
      </c>
      <c r="Y2163" s="35" t="str">
        <f t="shared" si="304"/>
        <v>#N/A</v>
      </c>
      <c r="Z2163" s="40" t="str">
        <f t="shared" si="305"/>
        <v>#N/A</v>
      </c>
      <c r="AA2163" s="34" t="str">
        <f t="shared" si="306"/>
        <v>#N/A</v>
      </c>
      <c r="AB2163" s="41" t="str">
        <f t="shared" si="307"/>
        <v>#N/A</v>
      </c>
      <c r="AC2163" s="42" t="b">
        <v>0</v>
      </c>
      <c r="AD2163" s="66" t="str">
        <f t="shared" si="308"/>
        <v>USD</v>
      </c>
      <c r="AE2163" s="42"/>
      <c r="AF2163" s="42" t="str">
        <f t="array" ref="AF2163">INDEX('Deal Info'!D:D, MATCH(A2163,'Deal Info'!A:A, 0))</f>
        <v>#N/A</v>
      </c>
      <c r="AG2163" s="43" t="str">
        <f t="array" ref="AG2163">INDEX('Deal Info'!G:G, MATCH(A2163,'Deal Info'!A:A, 0))</f>
        <v>#N/A</v>
      </c>
    </row>
    <row r="2164" hidden="1">
      <c r="A2164" s="23" t="b">
        <f t="array" ref="A2164">if(G2164='Room Info'!$B$1, INDEX('Room Info'!$A$2:$A3446, MATCH(B2164,'Room Info'!$B$2:$B3446, 0)),if(G2164='Room Info'!$C$1, INDEX('Room Info'!$A$2:$A3446, MATCH(B2164,'Room Info'!$C$2:$C3446, 0)),if(G2164='Room Info'!$D$1, INDEX('Room Info'!$A$2:$A3446, MATCH(B2164,'Room Info'!$D$2:$D3446, 0)),if(G2164='Room Info'!$E$1, INDEX('Room Info'!$A$2:$A3446, MATCH(B2164,'Room Info'!$E$2:$E3446, 0)),if(G2164='Room Info'!$F$1, INDEX('Room Info'!$A$2:$A3446, MATCH(B2164,'Room Info'!$F$2:$F3446, 0)),if(G2164='Room Info'!$H$1, INDEX('Room Info'!$A$2:$A3446, MATCH(B2164,'Room Info'!$H$2:$H3446, 0)),if(G2164='Room Info'!$G$1, INDEX('Room Info'!$A$2:$A3446, MATCH(B2164,'Room Info'!$G$2:$G3446, 0)))))))))</f>
        <v>0</v>
      </c>
      <c r="B2164" s="101"/>
      <c r="C2164" s="115"/>
      <c r="D2164" s="115"/>
      <c r="E2164" s="85"/>
      <c r="F2164" s="138"/>
      <c r="G2164" s="101"/>
      <c r="H2164" s="114"/>
      <c r="I2164" s="114"/>
      <c r="J2164" s="44" t="str">
        <f t="shared" si="311"/>
        <v/>
      </c>
      <c r="K2164" s="116"/>
      <c r="L2164" s="117"/>
      <c r="M2164" s="67"/>
      <c r="N2164" s="33">
        <f t="shared" si="276"/>
        <v>0</v>
      </c>
      <c r="O2164" s="70"/>
      <c r="P2164" s="34" t="str">
        <f t="shared" si="277"/>
        <v/>
      </c>
      <c r="Q2164" s="60"/>
      <c r="R2164" s="36">
        <f t="shared" si="312"/>
        <v>0</v>
      </c>
      <c r="S2164" s="71"/>
      <c r="T2164" s="37">
        <f t="shared" si="302"/>
        <v>0</v>
      </c>
      <c r="U2164" s="62"/>
      <c r="V2164" s="63"/>
      <c r="W2164" s="63"/>
      <c r="X2164" s="35" t="str">
        <f t="shared" si="303"/>
        <v>#N/A</v>
      </c>
      <c r="Y2164" s="35" t="str">
        <f t="shared" si="304"/>
        <v>#N/A</v>
      </c>
      <c r="Z2164" s="40" t="str">
        <f t="shared" si="305"/>
        <v>#N/A</v>
      </c>
      <c r="AA2164" s="34" t="str">
        <f t="shared" si="306"/>
        <v>#N/A</v>
      </c>
      <c r="AB2164" s="41" t="str">
        <f t="shared" si="307"/>
        <v>#N/A</v>
      </c>
      <c r="AC2164" s="42" t="b">
        <v>0</v>
      </c>
      <c r="AD2164" s="66" t="str">
        <f t="shared" si="308"/>
        <v>USD</v>
      </c>
      <c r="AE2164" s="42"/>
      <c r="AF2164" s="42" t="str">
        <f t="array" ref="AF2164">INDEX('Deal Info'!D:D, MATCH(A2164,'Deal Info'!A:A, 0))</f>
        <v>#N/A</v>
      </c>
      <c r="AG2164" s="43" t="str">
        <f t="array" ref="AG2164">INDEX('Deal Info'!G:G, MATCH(A2164,'Deal Info'!A:A, 0))</f>
        <v>#N/A</v>
      </c>
    </row>
    <row r="2165" hidden="1">
      <c r="A2165" s="23" t="b">
        <f t="array" ref="A2165">if(G2165='Room Info'!$B$1, INDEX('Room Info'!$A$2:$A3446, MATCH(B2165,'Room Info'!$B$2:$B3446, 0)),if(G2165='Room Info'!$C$1, INDEX('Room Info'!$A$2:$A3446, MATCH(B2165,'Room Info'!$C$2:$C3446, 0)),if(G2165='Room Info'!$D$1, INDEX('Room Info'!$A$2:$A3446, MATCH(B2165,'Room Info'!$D$2:$D3446, 0)),if(G2165='Room Info'!$E$1, INDEX('Room Info'!$A$2:$A3446, MATCH(B2165,'Room Info'!$E$2:$E3446, 0)),if(G2165='Room Info'!$F$1, INDEX('Room Info'!$A$2:$A3446, MATCH(B2165,'Room Info'!$F$2:$F3446, 0)),if(G2165='Room Info'!$H$1, INDEX('Room Info'!$A$2:$A3446, MATCH(B2165,'Room Info'!$H$2:$H3446, 0)),if(G2165='Room Info'!$G$1, INDEX('Room Info'!$A$2:$A3446, MATCH(B2165,'Room Info'!$G$2:$G3446, 0)))))))))</f>
        <v>0</v>
      </c>
      <c r="B2165" s="101"/>
      <c r="C2165" s="115"/>
      <c r="D2165" s="115"/>
      <c r="E2165" s="85"/>
      <c r="F2165" s="138"/>
      <c r="G2165" s="101"/>
      <c r="H2165" s="114"/>
      <c r="I2165" s="114"/>
      <c r="J2165" s="44" t="str">
        <f t="shared" si="311"/>
        <v/>
      </c>
      <c r="K2165" s="116"/>
      <c r="L2165" s="117"/>
      <c r="M2165" s="67"/>
      <c r="N2165" s="33">
        <f t="shared" si="276"/>
        <v>0</v>
      </c>
      <c r="O2165" s="70"/>
      <c r="P2165" s="34" t="str">
        <f t="shared" si="277"/>
        <v/>
      </c>
      <c r="Q2165" s="60"/>
      <c r="R2165" s="36">
        <f t="shared" si="312"/>
        <v>0</v>
      </c>
      <c r="S2165" s="71"/>
      <c r="T2165" s="37">
        <f t="shared" si="302"/>
        <v>0</v>
      </c>
      <c r="U2165" s="62"/>
      <c r="V2165" s="63"/>
      <c r="W2165" s="63"/>
      <c r="X2165" s="35" t="str">
        <f t="shared" si="303"/>
        <v>#N/A</v>
      </c>
      <c r="Y2165" s="35" t="str">
        <f t="shared" si="304"/>
        <v>#N/A</v>
      </c>
      <c r="Z2165" s="40" t="str">
        <f t="shared" si="305"/>
        <v>#N/A</v>
      </c>
      <c r="AA2165" s="34" t="str">
        <f t="shared" si="306"/>
        <v>#N/A</v>
      </c>
      <c r="AB2165" s="41" t="str">
        <f t="shared" si="307"/>
        <v>#N/A</v>
      </c>
      <c r="AC2165" s="42" t="b">
        <v>0</v>
      </c>
      <c r="AD2165" s="66" t="str">
        <f t="shared" si="308"/>
        <v>USD</v>
      </c>
      <c r="AE2165" s="42"/>
      <c r="AF2165" s="42" t="str">
        <f t="array" ref="AF2165">INDEX('Deal Info'!D:D, MATCH(A2165,'Deal Info'!A:A, 0))</f>
        <v>#N/A</v>
      </c>
      <c r="AG2165" s="43" t="str">
        <f t="array" ref="AG2165">INDEX('Deal Info'!G:G, MATCH(A2165,'Deal Info'!A:A, 0))</f>
        <v>#N/A</v>
      </c>
    </row>
    <row r="2166" hidden="1">
      <c r="A2166" s="23" t="b">
        <f t="array" ref="A2166">if(G2166='Room Info'!$B$1, INDEX('Room Info'!$A$2:$A3446, MATCH(B2166,'Room Info'!$B$2:$B3446, 0)),if(G2166='Room Info'!$C$1, INDEX('Room Info'!$A$2:$A3446, MATCH(B2166,'Room Info'!$C$2:$C3446, 0)),if(G2166='Room Info'!$D$1, INDEX('Room Info'!$A$2:$A3446, MATCH(B2166,'Room Info'!$D$2:$D3446, 0)),if(G2166='Room Info'!$E$1, INDEX('Room Info'!$A$2:$A3446, MATCH(B2166,'Room Info'!$E$2:$E3446, 0)),if(G2166='Room Info'!$F$1, INDEX('Room Info'!$A$2:$A3446, MATCH(B2166,'Room Info'!$F$2:$F3446, 0)),if(G2166='Room Info'!$H$1, INDEX('Room Info'!$A$2:$A3446, MATCH(B2166,'Room Info'!$H$2:$H3446, 0)),if(G2166='Room Info'!$G$1, INDEX('Room Info'!$A$2:$A3446, MATCH(B2166,'Room Info'!$G$2:$G3446, 0)))))))))</f>
        <v>0</v>
      </c>
      <c r="B2166" s="101"/>
      <c r="C2166" s="115"/>
      <c r="D2166" s="115"/>
      <c r="E2166" s="85"/>
      <c r="F2166" s="138"/>
      <c r="G2166" s="101"/>
      <c r="H2166" s="114"/>
      <c r="I2166" s="114"/>
      <c r="J2166" s="44" t="str">
        <f t="shared" si="311"/>
        <v/>
      </c>
      <c r="K2166" s="116"/>
      <c r="L2166" s="117"/>
      <c r="M2166" s="67"/>
      <c r="N2166" s="33">
        <f t="shared" si="276"/>
        <v>0</v>
      </c>
      <c r="O2166" s="70"/>
      <c r="P2166" s="34" t="str">
        <f t="shared" si="277"/>
        <v/>
      </c>
      <c r="Q2166" s="60"/>
      <c r="R2166" s="36">
        <f t="shared" si="312"/>
        <v>0</v>
      </c>
      <c r="S2166" s="71"/>
      <c r="T2166" s="37">
        <f t="shared" si="302"/>
        <v>0</v>
      </c>
      <c r="U2166" s="62"/>
      <c r="V2166" s="63"/>
      <c r="W2166" s="63"/>
      <c r="X2166" s="35" t="str">
        <f t="shared" si="303"/>
        <v>#N/A</v>
      </c>
      <c r="Y2166" s="35" t="str">
        <f t="shared" si="304"/>
        <v>#N/A</v>
      </c>
      <c r="Z2166" s="40" t="str">
        <f t="shared" si="305"/>
        <v>#N/A</v>
      </c>
      <c r="AA2166" s="34" t="str">
        <f t="shared" si="306"/>
        <v>#N/A</v>
      </c>
      <c r="AB2166" s="41" t="str">
        <f t="shared" si="307"/>
        <v>#N/A</v>
      </c>
      <c r="AC2166" s="42" t="b">
        <v>0</v>
      </c>
      <c r="AD2166" s="66" t="str">
        <f t="shared" si="308"/>
        <v>USD</v>
      </c>
      <c r="AE2166" s="42"/>
      <c r="AF2166" s="42" t="str">
        <f t="array" ref="AF2166">INDEX('Deal Info'!D:D, MATCH(A2166,'Deal Info'!A:A, 0))</f>
        <v>#N/A</v>
      </c>
      <c r="AG2166" s="43" t="str">
        <f t="array" ref="AG2166">INDEX('Deal Info'!G:G, MATCH(A2166,'Deal Info'!A:A, 0))</f>
        <v>#N/A</v>
      </c>
    </row>
    <row r="2167" hidden="1">
      <c r="A2167" s="23" t="b">
        <f t="array" ref="A2167">if(G2167='Room Info'!$B$1, INDEX('Room Info'!$A$2:$A3446, MATCH(B2167,'Room Info'!$B$2:$B3446, 0)),if(G2167='Room Info'!$C$1, INDEX('Room Info'!$A$2:$A3446, MATCH(B2167,'Room Info'!$C$2:$C3446, 0)),if(G2167='Room Info'!$D$1, INDEX('Room Info'!$A$2:$A3446, MATCH(B2167,'Room Info'!$D$2:$D3446, 0)),if(G2167='Room Info'!$E$1, INDEX('Room Info'!$A$2:$A3446, MATCH(B2167,'Room Info'!$E$2:$E3446, 0)),if(G2167='Room Info'!$F$1, INDEX('Room Info'!$A$2:$A3446, MATCH(B2167,'Room Info'!$F$2:$F3446, 0)),if(G2167='Room Info'!$H$1, INDEX('Room Info'!$A$2:$A3446, MATCH(B2167,'Room Info'!$H$2:$H3446, 0)),if(G2167='Room Info'!$G$1, INDEX('Room Info'!$A$2:$A3446, MATCH(B2167,'Room Info'!$G$2:$G3446, 0)))))))))</f>
        <v>0</v>
      </c>
      <c r="B2167" s="101"/>
      <c r="C2167" s="115"/>
      <c r="D2167" s="115"/>
      <c r="E2167" s="85"/>
      <c r="F2167" s="138"/>
      <c r="G2167" s="101"/>
      <c r="H2167" s="114"/>
      <c r="I2167" s="114"/>
      <c r="J2167" s="44" t="str">
        <f t="shared" si="311"/>
        <v/>
      </c>
      <c r="K2167" s="116"/>
      <c r="L2167" s="117"/>
      <c r="M2167" s="67"/>
      <c r="N2167" s="33">
        <f t="shared" si="276"/>
        <v>0</v>
      </c>
      <c r="O2167" s="70"/>
      <c r="P2167" s="34" t="str">
        <f t="shared" si="277"/>
        <v/>
      </c>
      <c r="Q2167" s="60"/>
      <c r="R2167" s="36">
        <f t="shared" si="312"/>
        <v>0</v>
      </c>
      <c r="S2167" s="71"/>
      <c r="T2167" s="37">
        <f t="shared" si="302"/>
        <v>0</v>
      </c>
      <c r="U2167" s="62"/>
      <c r="V2167" s="63"/>
      <c r="W2167" s="63"/>
      <c r="X2167" s="35" t="str">
        <f t="shared" si="303"/>
        <v>#N/A</v>
      </c>
      <c r="Y2167" s="35" t="str">
        <f t="shared" si="304"/>
        <v>#N/A</v>
      </c>
      <c r="Z2167" s="40" t="str">
        <f t="shared" si="305"/>
        <v>#N/A</v>
      </c>
      <c r="AA2167" s="34" t="str">
        <f t="shared" si="306"/>
        <v>#N/A</v>
      </c>
      <c r="AB2167" s="41" t="str">
        <f t="shared" si="307"/>
        <v>#N/A</v>
      </c>
      <c r="AC2167" s="42" t="b">
        <v>0</v>
      </c>
      <c r="AD2167" s="66" t="str">
        <f t="shared" si="308"/>
        <v>USD</v>
      </c>
      <c r="AE2167" s="42"/>
      <c r="AF2167" s="42" t="str">
        <f t="array" ref="AF2167">INDEX('Deal Info'!D:D, MATCH(A2167,'Deal Info'!A:A, 0))</f>
        <v>#N/A</v>
      </c>
      <c r="AG2167" s="43" t="str">
        <f t="array" ref="AG2167">INDEX('Deal Info'!G:G, MATCH(A2167,'Deal Info'!A:A, 0))</f>
        <v>#N/A</v>
      </c>
    </row>
    <row r="2168" hidden="1">
      <c r="A2168" s="23" t="b">
        <f t="array" ref="A2168">if(G2168='Room Info'!$B$1, INDEX('Room Info'!$A$2:$A3446, MATCH(B2168,'Room Info'!$B$2:$B3446, 0)),if(G2168='Room Info'!$C$1, INDEX('Room Info'!$A$2:$A3446, MATCH(B2168,'Room Info'!$C$2:$C3446, 0)),if(G2168='Room Info'!$D$1, INDEX('Room Info'!$A$2:$A3446, MATCH(B2168,'Room Info'!$D$2:$D3446, 0)),if(G2168='Room Info'!$E$1, INDEX('Room Info'!$A$2:$A3446, MATCH(B2168,'Room Info'!$E$2:$E3446, 0)),if(G2168='Room Info'!$F$1, INDEX('Room Info'!$A$2:$A3446, MATCH(B2168,'Room Info'!$F$2:$F3446, 0)),if(G2168='Room Info'!$H$1, INDEX('Room Info'!$A$2:$A3446, MATCH(B2168,'Room Info'!$H$2:$H3446, 0)),if(G2168='Room Info'!$G$1, INDEX('Room Info'!$A$2:$A3446, MATCH(B2168,'Room Info'!$G$2:$G3446, 0)))))))))</f>
        <v>0</v>
      </c>
      <c r="B2168" s="101"/>
      <c r="C2168" s="115"/>
      <c r="D2168" s="115"/>
      <c r="E2168" s="85"/>
      <c r="F2168" s="138"/>
      <c r="G2168" s="70"/>
      <c r="H2168" s="114"/>
      <c r="I2168" s="114"/>
      <c r="J2168" s="44" t="str">
        <f t="shared" si="311"/>
        <v/>
      </c>
      <c r="K2168" s="116"/>
      <c r="L2168" s="117"/>
      <c r="M2168" s="67"/>
      <c r="N2168" s="33">
        <f t="shared" si="276"/>
        <v>0</v>
      </c>
      <c r="O2168" s="70"/>
      <c r="P2168" s="34" t="str">
        <f t="shared" si="277"/>
        <v/>
      </c>
      <c r="Q2168" s="60"/>
      <c r="R2168" s="36">
        <f t="shared" si="312"/>
        <v>0</v>
      </c>
      <c r="S2168" s="71"/>
      <c r="T2168" s="37">
        <f t="shared" si="302"/>
        <v>0</v>
      </c>
      <c r="U2168" s="62"/>
      <c r="V2168" s="63"/>
      <c r="W2168" s="63"/>
      <c r="X2168" s="35" t="str">
        <f t="shared" si="303"/>
        <v>#N/A</v>
      </c>
      <c r="Y2168" s="35" t="str">
        <f t="shared" si="304"/>
        <v>#N/A</v>
      </c>
      <c r="Z2168" s="40" t="str">
        <f t="shared" si="305"/>
        <v>#N/A</v>
      </c>
      <c r="AA2168" s="34" t="str">
        <f t="shared" si="306"/>
        <v>#N/A</v>
      </c>
      <c r="AB2168" s="41" t="str">
        <f t="shared" si="307"/>
        <v>#N/A</v>
      </c>
      <c r="AC2168" s="42" t="b">
        <v>0</v>
      </c>
      <c r="AD2168" s="66" t="str">
        <f t="shared" si="308"/>
        <v>USD</v>
      </c>
      <c r="AE2168" s="42"/>
      <c r="AF2168" s="42" t="str">
        <f t="array" ref="AF2168">INDEX('Deal Info'!D:D, MATCH(A2168,'Deal Info'!A:A, 0))</f>
        <v>#N/A</v>
      </c>
      <c r="AG2168" s="43" t="str">
        <f t="array" ref="AG2168">INDEX('Deal Info'!G:G, MATCH(A2168,'Deal Info'!A:A, 0))</f>
        <v>#N/A</v>
      </c>
    </row>
    <row r="2169" hidden="1">
      <c r="A2169" s="23" t="b">
        <f t="array" ref="A2169">if(G2169='Room Info'!$B$1, INDEX('Room Info'!$A$2:$A3446, MATCH(B2169,'Room Info'!$B$2:$B3446, 0)),if(G2169='Room Info'!$C$1, INDEX('Room Info'!$A$2:$A3446, MATCH(B2169,'Room Info'!$C$2:$C3446, 0)),if(G2169='Room Info'!$D$1, INDEX('Room Info'!$A$2:$A3446, MATCH(B2169,'Room Info'!$D$2:$D3446, 0)),if(G2169='Room Info'!$E$1, INDEX('Room Info'!$A$2:$A3446, MATCH(B2169,'Room Info'!$E$2:$E3446, 0)),if(G2169='Room Info'!$F$1, INDEX('Room Info'!$A$2:$A3446, MATCH(B2169,'Room Info'!$F$2:$F3446, 0)),if(G2169='Room Info'!$H$1, INDEX('Room Info'!$A$2:$A3446, MATCH(B2169,'Room Info'!$H$2:$H3446, 0)),if(G2169='Room Info'!$G$1, INDEX('Room Info'!$A$2:$A3446, MATCH(B2169,'Room Info'!$G$2:$G3446, 0)))))))))</f>
        <v>0</v>
      </c>
      <c r="B2169" s="101"/>
      <c r="C2169" s="115"/>
      <c r="D2169" s="115"/>
      <c r="E2169" s="85"/>
      <c r="F2169" s="138"/>
      <c r="G2169" s="101"/>
      <c r="H2169" s="114"/>
      <c r="I2169" s="114"/>
      <c r="J2169" s="44" t="str">
        <f t="shared" si="311"/>
        <v/>
      </c>
      <c r="K2169" s="116"/>
      <c r="L2169" s="117"/>
      <c r="M2169" s="67"/>
      <c r="N2169" s="33">
        <f t="shared" si="276"/>
        <v>0</v>
      </c>
      <c r="O2169" s="70"/>
      <c r="P2169" s="34" t="str">
        <f t="shared" si="277"/>
        <v/>
      </c>
      <c r="Q2169" s="60"/>
      <c r="R2169" s="36">
        <f t="shared" si="312"/>
        <v>0</v>
      </c>
      <c r="S2169" s="71"/>
      <c r="T2169" s="37">
        <f t="shared" si="302"/>
        <v>0</v>
      </c>
      <c r="U2169" s="62"/>
      <c r="V2169" s="63"/>
      <c r="W2169" s="63"/>
      <c r="X2169" s="35" t="str">
        <f t="shared" si="303"/>
        <v>#N/A</v>
      </c>
      <c r="Y2169" s="35" t="str">
        <f t="shared" si="304"/>
        <v>#N/A</v>
      </c>
      <c r="Z2169" s="40" t="str">
        <f t="shared" si="305"/>
        <v>#N/A</v>
      </c>
      <c r="AA2169" s="34" t="str">
        <f t="shared" si="306"/>
        <v>#N/A</v>
      </c>
      <c r="AB2169" s="41" t="str">
        <f t="shared" si="307"/>
        <v>#N/A</v>
      </c>
      <c r="AC2169" s="42" t="b">
        <v>0</v>
      </c>
      <c r="AD2169" s="66" t="str">
        <f t="shared" si="308"/>
        <v>USD</v>
      </c>
      <c r="AE2169" s="42"/>
      <c r="AF2169" s="42" t="str">
        <f t="array" ref="AF2169">INDEX('Deal Info'!D:D, MATCH(A2169,'Deal Info'!A:A, 0))</f>
        <v>#N/A</v>
      </c>
      <c r="AG2169" s="43" t="str">
        <f t="array" ref="AG2169">INDEX('Deal Info'!G:G, MATCH(A2169,'Deal Info'!A:A, 0))</f>
        <v>#N/A</v>
      </c>
    </row>
    <row r="2170" hidden="1">
      <c r="A2170" s="23" t="b">
        <f t="array" ref="A2170">if(G2170='Room Info'!$B$1, INDEX('Room Info'!$A$2:$A3446, MATCH(B2170,'Room Info'!$B$2:$B3446, 0)),if(G2170='Room Info'!$C$1, INDEX('Room Info'!$A$2:$A3446, MATCH(B2170,'Room Info'!$C$2:$C3446, 0)),if(G2170='Room Info'!$D$1, INDEX('Room Info'!$A$2:$A3446, MATCH(B2170,'Room Info'!$D$2:$D3446, 0)),if(G2170='Room Info'!$E$1, INDEX('Room Info'!$A$2:$A3446, MATCH(B2170,'Room Info'!$E$2:$E3446, 0)),if(G2170='Room Info'!$F$1, INDEX('Room Info'!$A$2:$A3446, MATCH(B2170,'Room Info'!$F$2:$F3446, 0)),if(G2170='Room Info'!$H$1, INDEX('Room Info'!$A$2:$A3446, MATCH(B2170,'Room Info'!$H$2:$H3446, 0)),if(G2170='Room Info'!$G$1, INDEX('Room Info'!$A$2:$A3446, MATCH(B2170,'Room Info'!$G$2:$G3446, 0)))))))))</f>
        <v>0</v>
      </c>
      <c r="B2170" s="101"/>
      <c r="C2170" s="115"/>
      <c r="D2170" s="115"/>
      <c r="E2170" s="85"/>
      <c r="F2170" s="138"/>
      <c r="G2170" s="101"/>
      <c r="H2170" s="114"/>
      <c r="I2170" s="114"/>
      <c r="J2170" s="44" t="str">
        <f t="shared" si="311"/>
        <v/>
      </c>
      <c r="K2170" s="116"/>
      <c r="L2170" s="117"/>
      <c r="M2170" s="67"/>
      <c r="N2170" s="33">
        <f t="shared" si="276"/>
        <v>0</v>
      </c>
      <c r="O2170" s="70"/>
      <c r="P2170" s="34" t="str">
        <f t="shared" si="277"/>
        <v/>
      </c>
      <c r="Q2170" s="60"/>
      <c r="R2170" s="36">
        <f t="shared" si="312"/>
        <v>0</v>
      </c>
      <c r="S2170" s="71"/>
      <c r="T2170" s="37">
        <f t="shared" si="302"/>
        <v>0</v>
      </c>
      <c r="U2170" s="62"/>
      <c r="V2170" s="63"/>
      <c r="W2170" s="63"/>
      <c r="X2170" s="35" t="str">
        <f t="shared" si="303"/>
        <v>#N/A</v>
      </c>
      <c r="Y2170" s="35" t="str">
        <f t="shared" si="304"/>
        <v>#N/A</v>
      </c>
      <c r="Z2170" s="40" t="str">
        <f t="shared" si="305"/>
        <v>#N/A</v>
      </c>
      <c r="AA2170" s="34" t="str">
        <f t="shared" si="306"/>
        <v>#N/A</v>
      </c>
      <c r="AB2170" s="41" t="str">
        <f t="shared" si="307"/>
        <v>#N/A</v>
      </c>
      <c r="AC2170" s="42" t="b">
        <v>0</v>
      </c>
      <c r="AD2170" s="66" t="str">
        <f t="shared" si="308"/>
        <v>USD</v>
      </c>
      <c r="AE2170" s="42"/>
      <c r="AF2170" s="42" t="str">
        <f t="array" ref="AF2170">INDEX('Deal Info'!D:D, MATCH(A2170,'Deal Info'!A:A, 0))</f>
        <v>#N/A</v>
      </c>
      <c r="AG2170" s="43" t="str">
        <f t="array" ref="AG2170">INDEX('Deal Info'!G:G, MATCH(A2170,'Deal Info'!A:A, 0))</f>
        <v>#N/A</v>
      </c>
    </row>
    <row r="2171" hidden="1">
      <c r="A2171" s="23" t="b">
        <f t="array" ref="A2171">if(G2171='Room Info'!$B$1, INDEX('Room Info'!$A$2:$A3446, MATCH(B2171,'Room Info'!$B$2:$B3446, 0)),if(G2171='Room Info'!$C$1, INDEX('Room Info'!$A$2:$A3446, MATCH(B2171,'Room Info'!$C$2:$C3446, 0)),if(G2171='Room Info'!$D$1, INDEX('Room Info'!$A$2:$A3446, MATCH(B2171,'Room Info'!$D$2:$D3446, 0)),if(G2171='Room Info'!$E$1, INDEX('Room Info'!$A$2:$A3446, MATCH(B2171,'Room Info'!$E$2:$E3446, 0)),if(G2171='Room Info'!$F$1, INDEX('Room Info'!$A$2:$A3446, MATCH(B2171,'Room Info'!$F$2:$F3446, 0)),if(G2171='Room Info'!$H$1, INDEX('Room Info'!$A$2:$A3446, MATCH(B2171,'Room Info'!$H$2:$H3446, 0)),if(G2171='Room Info'!$G$1, INDEX('Room Info'!$A$2:$A3446, MATCH(B2171,'Room Info'!$G$2:$G3446, 0)))))))))</f>
        <v>0</v>
      </c>
      <c r="B2171" s="101"/>
      <c r="C2171" s="115"/>
      <c r="D2171" s="115"/>
      <c r="E2171" s="85"/>
      <c r="F2171" s="101"/>
      <c r="G2171" s="101"/>
      <c r="H2171" s="114"/>
      <c r="I2171" s="114"/>
      <c r="J2171" s="44" t="str">
        <f t="shared" si="311"/>
        <v/>
      </c>
      <c r="K2171" s="116"/>
      <c r="L2171" s="117"/>
      <c r="M2171" s="67"/>
      <c r="N2171" s="33">
        <f t="shared" si="276"/>
        <v>0</v>
      </c>
      <c r="O2171" s="70"/>
      <c r="P2171" s="34" t="str">
        <f t="shared" si="277"/>
        <v/>
      </c>
      <c r="Q2171" s="60"/>
      <c r="R2171" s="36">
        <f t="shared" si="312"/>
        <v>0</v>
      </c>
      <c r="S2171" s="71"/>
      <c r="T2171" s="37">
        <f t="shared" si="302"/>
        <v>0</v>
      </c>
      <c r="U2171" s="62"/>
      <c r="V2171" s="63"/>
      <c r="W2171" s="63"/>
      <c r="X2171" s="35" t="str">
        <f t="shared" si="303"/>
        <v>#N/A</v>
      </c>
      <c r="Y2171" s="35" t="str">
        <f t="shared" si="304"/>
        <v>#N/A</v>
      </c>
      <c r="Z2171" s="40" t="str">
        <f t="shared" si="305"/>
        <v>#N/A</v>
      </c>
      <c r="AA2171" s="34" t="str">
        <f t="shared" si="306"/>
        <v>#N/A</v>
      </c>
      <c r="AB2171" s="41" t="str">
        <f t="shared" si="307"/>
        <v>#N/A</v>
      </c>
      <c r="AC2171" s="42" t="b">
        <v>0</v>
      </c>
      <c r="AD2171" s="66" t="str">
        <f t="shared" si="308"/>
        <v>USD</v>
      </c>
      <c r="AE2171" s="42"/>
      <c r="AF2171" s="42" t="str">
        <f t="array" ref="AF2171">INDEX('Deal Info'!D:D, MATCH(A2171,'Deal Info'!A:A, 0))</f>
        <v>#N/A</v>
      </c>
      <c r="AG2171" s="43" t="str">
        <f t="array" ref="AG2171">INDEX('Deal Info'!G:G, MATCH(A2171,'Deal Info'!A:A, 0))</f>
        <v>#N/A</v>
      </c>
    </row>
    <row r="2172" hidden="1">
      <c r="A2172" s="23" t="b">
        <f t="array" ref="A2172">if(G2172='Room Info'!$B$1, INDEX('Room Info'!$A$2:$A3446, MATCH(B2172,'Room Info'!$B$2:$B3446, 0)),if(G2172='Room Info'!$C$1, INDEX('Room Info'!$A$2:$A3446, MATCH(B2172,'Room Info'!$C$2:$C3446, 0)),if(G2172='Room Info'!$D$1, INDEX('Room Info'!$A$2:$A3446, MATCH(B2172,'Room Info'!$D$2:$D3446, 0)),if(G2172='Room Info'!$E$1, INDEX('Room Info'!$A$2:$A3446, MATCH(B2172,'Room Info'!$E$2:$E3446, 0)),if(G2172='Room Info'!$F$1, INDEX('Room Info'!$A$2:$A3446, MATCH(B2172,'Room Info'!$F$2:$F3446, 0)),if(G2172='Room Info'!$H$1, INDEX('Room Info'!$A$2:$A3446, MATCH(B2172,'Room Info'!$H$2:$H3446, 0)),if(G2172='Room Info'!$G$1, INDEX('Room Info'!$A$2:$A3446, MATCH(B2172,'Room Info'!$G$2:$G3446, 0)))))))))</f>
        <v>0</v>
      </c>
      <c r="B2172" s="101"/>
      <c r="C2172" s="115"/>
      <c r="D2172" s="115"/>
      <c r="E2172" s="85"/>
      <c r="F2172" s="101"/>
      <c r="G2172" s="70"/>
      <c r="H2172" s="114"/>
      <c r="I2172" s="114"/>
      <c r="J2172" s="44" t="str">
        <f t="shared" si="311"/>
        <v/>
      </c>
      <c r="K2172" s="116"/>
      <c r="L2172" s="117"/>
      <c r="M2172" s="67"/>
      <c r="N2172" s="33">
        <f t="shared" si="276"/>
        <v>0</v>
      </c>
      <c r="O2172" s="70"/>
      <c r="P2172" s="34" t="str">
        <f t="shared" si="277"/>
        <v/>
      </c>
      <c r="Q2172" s="60"/>
      <c r="R2172" s="36">
        <f t="shared" si="312"/>
        <v>0</v>
      </c>
      <c r="S2172" s="71"/>
      <c r="T2172" s="37">
        <f t="shared" si="302"/>
        <v>0</v>
      </c>
      <c r="U2172" s="62"/>
      <c r="V2172" s="63"/>
      <c r="W2172" s="63"/>
      <c r="X2172" s="35" t="str">
        <f t="shared" si="303"/>
        <v>#N/A</v>
      </c>
      <c r="Y2172" s="35" t="str">
        <f t="shared" si="304"/>
        <v>#N/A</v>
      </c>
      <c r="Z2172" s="40" t="str">
        <f t="shared" si="305"/>
        <v>#N/A</v>
      </c>
      <c r="AA2172" s="34" t="str">
        <f t="shared" si="306"/>
        <v>#N/A</v>
      </c>
      <c r="AB2172" s="41" t="str">
        <f t="shared" si="307"/>
        <v>#N/A</v>
      </c>
      <c r="AC2172" s="42" t="b">
        <v>0</v>
      </c>
      <c r="AD2172" s="66" t="str">
        <f t="shared" si="308"/>
        <v>USD</v>
      </c>
      <c r="AE2172" s="42"/>
      <c r="AF2172" s="42" t="str">
        <f t="array" ref="AF2172">INDEX('Deal Info'!D:D, MATCH(A2172,'Deal Info'!A:A, 0))</f>
        <v>#N/A</v>
      </c>
      <c r="AG2172" s="43" t="str">
        <f t="array" ref="AG2172">INDEX('Deal Info'!G:G, MATCH(A2172,'Deal Info'!A:A, 0))</f>
        <v>#N/A</v>
      </c>
    </row>
    <row r="2173" hidden="1">
      <c r="A2173" s="23" t="b">
        <f t="array" ref="A2173">if(G2173='Room Info'!$B$1, INDEX('Room Info'!$A$2:$A3446, MATCH(B2173,'Room Info'!$B$2:$B3446, 0)),if(G2173='Room Info'!$C$1, INDEX('Room Info'!$A$2:$A3446, MATCH(B2173,'Room Info'!$C$2:$C3446, 0)),if(G2173='Room Info'!$D$1, INDEX('Room Info'!$A$2:$A3446, MATCH(B2173,'Room Info'!$D$2:$D3446, 0)),if(G2173='Room Info'!$E$1, INDEX('Room Info'!$A$2:$A3446, MATCH(B2173,'Room Info'!$E$2:$E3446, 0)),if(G2173='Room Info'!$F$1, INDEX('Room Info'!$A$2:$A3446, MATCH(B2173,'Room Info'!$F$2:$F3446, 0)),if(G2173='Room Info'!$H$1, INDEX('Room Info'!$A$2:$A3446, MATCH(B2173,'Room Info'!$H$2:$H3446, 0)),if(G2173='Room Info'!$G$1, INDEX('Room Info'!$A$2:$A3446, MATCH(B2173,'Room Info'!$G$2:$G3446, 0)))))))))</f>
        <v>0</v>
      </c>
      <c r="B2173" s="101"/>
      <c r="C2173" s="115"/>
      <c r="D2173" s="115"/>
      <c r="E2173" s="85"/>
      <c r="F2173" s="101"/>
      <c r="G2173" s="70"/>
      <c r="H2173" s="114"/>
      <c r="I2173" s="114"/>
      <c r="J2173" s="44" t="str">
        <f t="shared" si="311"/>
        <v/>
      </c>
      <c r="K2173" s="116"/>
      <c r="L2173" s="117"/>
      <c r="M2173" s="67"/>
      <c r="N2173" s="33">
        <f t="shared" si="276"/>
        <v>0</v>
      </c>
      <c r="O2173" s="70"/>
      <c r="P2173" s="34" t="str">
        <f t="shared" si="277"/>
        <v/>
      </c>
      <c r="Q2173" s="60"/>
      <c r="R2173" s="36">
        <f t="shared" si="312"/>
        <v>0</v>
      </c>
      <c r="S2173" s="71"/>
      <c r="T2173" s="37">
        <f t="shared" si="302"/>
        <v>0</v>
      </c>
      <c r="U2173" s="62"/>
      <c r="V2173" s="63"/>
      <c r="W2173" s="63"/>
      <c r="X2173" s="35" t="str">
        <f t="shared" si="303"/>
        <v>#N/A</v>
      </c>
      <c r="Y2173" s="35" t="str">
        <f t="shared" si="304"/>
        <v>#N/A</v>
      </c>
      <c r="Z2173" s="40" t="str">
        <f t="shared" si="305"/>
        <v>#N/A</v>
      </c>
      <c r="AA2173" s="34" t="str">
        <f t="shared" si="306"/>
        <v>#N/A</v>
      </c>
      <c r="AB2173" s="41" t="str">
        <f t="shared" si="307"/>
        <v>#N/A</v>
      </c>
      <c r="AC2173" s="42" t="b">
        <v>0</v>
      </c>
      <c r="AD2173" s="66" t="str">
        <f t="shared" si="308"/>
        <v>USD</v>
      </c>
      <c r="AE2173" s="42"/>
      <c r="AF2173" s="42" t="str">
        <f t="array" ref="AF2173">INDEX('Deal Info'!D:D, MATCH(A2173,'Deal Info'!A:A, 0))</f>
        <v>#N/A</v>
      </c>
      <c r="AG2173" s="43" t="str">
        <f t="array" ref="AG2173">INDEX('Deal Info'!G:G, MATCH(A2173,'Deal Info'!A:A, 0))</f>
        <v>#N/A</v>
      </c>
    </row>
    <row r="2174" hidden="1">
      <c r="A2174" s="23" t="b">
        <f t="array" ref="A2174">if(G2174='Room Info'!$B$1, INDEX('Room Info'!$A$2:$A3446, MATCH(B2174,'Room Info'!$B$2:$B3446, 0)),if(G2174='Room Info'!$C$1, INDEX('Room Info'!$A$2:$A3446, MATCH(B2174,'Room Info'!$C$2:$C3446, 0)),if(G2174='Room Info'!$D$1, INDEX('Room Info'!$A$2:$A3446, MATCH(B2174,'Room Info'!$D$2:$D3446, 0)),if(G2174='Room Info'!$E$1, INDEX('Room Info'!$A$2:$A3446, MATCH(B2174,'Room Info'!$E$2:$E3446, 0)),if(G2174='Room Info'!$F$1, INDEX('Room Info'!$A$2:$A3446, MATCH(B2174,'Room Info'!$F$2:$F3446, 0)),if(G2174='Room Info'!$H$1, INDEX('Room Info'!$A$2:$A3446, MATCH(B2174,'Room Info'!$H$2:$H3446, 0)),if(G2174='Room Info'!$G$1, INDEX('Room Info'!$A$2:$A3446, MATCH(B2174,'Room Info'!$G$2:$G3446, 0)))))))))</f>
        <v>0</v>
      </c>
      <c r="B2174" s="101"/>
      <c r="C2174" s="115"/>
      <c r="D2174" s="115"/>
      <c r="E2174" s="85"/>
      <c r="F2174" s="101"/>
      <c r="G2174" s="70"/>
      <c r="H2174" s="114"/>
      <c r="I2174" s="114"/>
      <c r="J2174" s="44" t="str">
        <f t="shared" si="311"/>
        <v/>
      </c>
      <c r="K2174" s="116"/>
      <c r="L2174" s="117"/>
      <c r="M2174" s="67"/>
      <c r="N2174" s="33">
        <f t="shared" si="276"/>
        <v>0</v>
      </c>
      <c r="O2174" s="70"/>
      <c r="P2174" s="34" t="str">
        <f t="shared" si="277"/>
        <v/>
      </c>
      <c r="Q2174" s="60"/>
      <c r="R2174" s="36">
        <f t="shared" si="312"/>
        <v>0</v>
      </c>
      <c r="S2174" s="71"/>
      <c r="T2174" s="37">
        <f t="shared" si="302"/>
        <v>0</v>
      </c>
      <c r="U2174" s="62"/>
      <c r="V2174" s="63"/>
      <c r="W2174" s="63"/>
      <c r="X2174" s="35" t="str">
        <f t="shared" si="303"/>
        <v>#N/A</v>
      </c>
      <c r="Y2174" s="35" t="str">
        <f t="shared" si="304"/>
        <v>#N/A</v>
      </c>
      <c r="Z2174" s="40" t="str">
        <f t="shared" si="305"/>
        <v>#N/A</v>
      </c>
      <c r="AA2174" s="34" t="str">
        <f t="shared" si="306"/>
        <v>#N/A</v>
      </c>
      <c r="AB2174" s="41" t="str">
        <f t="shared" si="307"/>
        <v>#N/A</v>
      </c>
      <c r="AC2174" s="42" t="b">
        <v>0</v>
      </c>
      <c r="AD2174" s="66" t="str">
        <f t="shared" si="308"/>
        <v>USD</v>
      </c>
      <c r="AE2174" s="42"/>
      <c r="AF2174" s="42" t="str">
        <f t="array" ref="AF2174">INDEX('Deal Info'!D:D, MATCH(A2174,'Deal Info'!A:A, 0))</f>
        <v>#N/A</v>
      </c>
      <c r="AG2174" s="43" t="str">
        <f t="array" ref="AG2174">INDEX('Deal Info'!G:G, MATCH(A2174,'Deal Info'!A:A, 0))</f>
        <v>#N/A</v>
      </c>
    </row>
    <row r="2175" hidden="1">
      <c r="A2175" s="23" t="b">
        <f t="array" ref="A2175">if(G2175='Room Info'!$B$1, INDEX('Room Info'!$A$2:$A3446, MATCH(B2175,'Room Info'!$B$2:$B3446, 0)),if(G2175='Room Info'!$C$1, INDEX('Room Info'!$A$2:$A3446, MATCH(B2175,'Room Info'!$C$2:$C3446, 0)),if(G2175='Room Info'!$D$1, INDEX('Room Info'!$A$2:$A3446, MATCH(B2175,'Room Info'!$D$2:$D3446, 0)),if(G2175='Room Info'!$E$1, INDEX('Room Info'!$A$2:$A3446, MATCH(B2175,'Room Info'!$E$2:$E3446, 0)),if(G2175='Room Info'!$F$1, INDEX('Room Info'!$A$2:$A3446, MATCH(B2175,'Room Info'!$F$2:$F3446, 0)),if(G2175='Room Info'!$H$1, INDEX('Room Info'!$A$2:$A3446, MATCH(B2175,'Room Info'!$H$2:$H3446, 0)),if(G2175='Room Info'!$G$1, INDEX('Room Info'!$A$2:$A3446, MATCH(B2175,'Room Info'!$G$2:$G3446, 0)))))))))</f>
        <v>0</v>
      </c>
      <c r="B2175" s="101"/>
      <c r="C2175" s="115"/>
      <c r="D2175" s="115"/>
      <c r="E2175" s="85"/>
      <c r="F2175" s="138"/>
      <c r="G2175" s="70"/>
      <c r="H2175" s="114"/>
      <c r="I2175" s="114"/>
      <c r="J2175" s="44" t="str">
        <f t="shared" si="311"/>
        <v/>
      </c>
      <c r="K2175" s="116"/>
      <c r="L2175" s="117"/>
      <c r="M2175" s="67"/>
      <c r="N2175" s="33">
        <f t="shared" si="276"/>
        <v>0</v>
      </c>
      <c r="O2175" s="70"/>
      <c r="P2175" s="34" t="str">
        <f t="shared" si="277"/>
        <v/>
      </c>
      <c r="Q2175" s="60"/>
      <c r="R2175" s="36">
        <f t="shared" si="312"/>
        <v>0</v>
      </c>
      <c r="S2175" s="71"/>
      <c r="T2175" s="37">
        <f t="shared" si="302"/>
        <v>0</v>
      </c>
      <c r="U2175" s="62"/>
      <c r="V2175" s="63"/>
      <c r="W2175" s="63"/>
      <c r="X2175" s="35" t="str">
        <f t="shared" si="303"/>
        <v>#N/A</v>
      </c>
      <c r="Y2175" s="35" t="str">
        <f t="shared" si="304"/>
        <v>#N/A</v>
      </c>
      <c r="Z2175" s="40" t="str">
        <f t="shared" si="305"/>
        <v>#N/A</v>
      </c>
      <c r="AA2175" s="34" t="str">
        <f t="shared" si="306"/>
        <v>#N/A</v>
      </c>
      <c r="AB2175" s="41" t="str">
        <f t="shared" si="307"/>
        <v>#N/A</v>
      </c>
      <c r="AC2175" s="42" t="b">
        <v>0</v>
      </c>
      <c r="AD2175" s="66" t="str">
        <f t="shared" si="308"/>
        <v>USD</v>
      </c>
      <c r="AE2175" s="42"/>
      <c r="AF2175" s="42" t="str">
        <f t="array" ref="AF2175">INDEX('Deal Info'!D:D, MATCH(A2175,'Deal Info'!A:A, 0))</f>
        <v>#N/A</v>
      </c>
      <c r="AG2175" s="43" t="str">
        <f t="array" ref="AG2175">INDEX('Deal Info'!G:G, MATCH(A2175,'Deal Info'!A:A, 0))</f>
        <v>#N/A</v>
      </c>
    </row>
    <row r="2176" hidden="1">
      <c r="A2176" s="23" t="b">
        <f t="array" ref="A2176">if(G2176='Room Info'!$B$1, INDEX('Room Info'!$A$2:$A3446, MATCH(B2176,'Room Info'!$B$2:$B3446, 0)),if(G2176='Room Info'!$C$1, INDEX('Room Info'!$A$2:$A3446, MATCH(B2176,'Room Info'!$C$2:$C3446, 0)),if(G2176='Room Info'!$D$1, INDEX('Room Info'!$A$2:$A3446, MATCH(B2176,'Room Info'!$D$2:$D3446, 0)),if(G2176='Room Info'!$E$1, INDEX('Room Info'!$A$2:$A3446, MATCH(B2176,'Room Info'!$E$2:$E3446, 0)),if(G2176='Room Info'!$F$1, INDEX('Room Info'!$A$2:$A3446, MATCH(B2176,'Room Info'!$F$2:$F3446, 0)),if(G2176='Room Info'!$H$1, INDEX('Room Info'!$A$2:$A3446, MATCH(B2176,'Room Info'!$H$2:$H3446, 0)),if(G2176='Room Info'!$G$1, INDEX('Room Info'!$A$2:$A3446, MATCH(B2176,'Room Info'!$G$2:$G3446, 0)))))))))</f>
        <v>0</v>
      </c>
      <c r="B2176" s="101"/>
      <c r="C2176" s="115"/>
      <c r="D2176" s="115"/>
      <c r="E2176" s="85"/>
      <c r="F2176" s="138"/>
      <c r="G2176" s="70"/>
      <c r="H2176" s="114"/>
      <c r="I2176" s="114"/>
      <c r="J2176" s="44" t="str">
        <f t="shared" si="311"/>
        <v/>
      </c>
      <c r="K2176" s="116"/>
      <c r="L2176" s="117"/>
      <c r="M2176" s="67"/>
      <c r="N2176" s="33">
        <f t="shared" si="276"/>
        <v>0</v>
      </c>
      <c r="O2176" s="70"/>
      <c r="P2176" s="34" t="str">
        <f t="shared" si="277"/>
        <v/>
      </c>
      <c r="Q2176" s="60"/>
      <c r="R2176" s="36">
        <f t="shared" si="312"/>
        <v>0</v>
      </c>
      <c r="S2176" s="71"/>
      <c r="T2176" s="37">
        <f t="shared" si="302"/>
        <v>0</v>
      </c>
      <c r="U2176" s="62"/>
      <c r="V2176" s="63"/>
      <c r="W2176" s="63"/>
      <c r="X2176" s="35" t="str">
        <f t="shared" si="303"/>
        <v>#N/A</v>
      </c>
      <c r="Y2176" s="35" t="str">
        <f t="shared" si="304"/>
        <v>#N/A</v>
      </c>
      <c r="Z2176" s="40" t="str">
        <f t="shared" si="305"/>
        <v>#N/A</v>
      </c>
      <c r="AA2176" s="34" t="str">
        <f t="shared" si="306"/>
        <v>#N/A</v>
      </c>
      <c r="AB2176" s="41" t="str">
        <f t="shared" si="307"/>
        <v>#N/A</v>
      </c>
      <c r="AC2176" s="42" t="b">
        <v>0</v>
      </c>
      <c r="AD2176" s="66" t="str">
        <f t="shared" si="308"/>
        <v>USD</v>
      </c>
      <c r="AE2176" s="42"/>
      <c r="AF2176" s="42" t="str">
        <f t="array" ref="AF2176">INDEX('Deal Info'!D:D, MATCH(A2176,'Deal Info'!A:A, 0))</f>
        <v>#N/A</v>
      </c>
      <c r="AG2176" s="43" t="str">
        <f t="array" ref="AG2176">INDEX('Deal Info'!G:G, MATCH(A2176,'Deal Info'!A:A, 0))</f>
        <v>#N/A</v>
      </c>
    </row>
    <row r="2177" hidden="1">
      <c r="A2177" s="23" t="b">
        <f t="array" ref="A2177">if(G2177='Room Info'!$B$1, INDEX('Room Info'!$A$2:$A3446, MATCH(B2177,'Room Info'!$B$2:$B3446, 0)),if(G2177='Room Info'!$C$1, INDEX('Room Info'!$A$2:$A3446, MATCH(B2177,'Room Info'!$C$2:$C3446, 0)),if(G2177='Room Info'!$D$1, INDEX('Room Info'!$A$2:$A3446, MATCH(B2177,'Room Info'!$D$2:$D3446, 0)),if(G2177='Room Info'!$E$1, INDEX('Room Info'!$A$2:$A3446, MATCH(B2177,'Room Info'!$E$2:$E3446, 0)),if(G2177='Room Info'!$F$1, INDEX('Room Info'!$A$2:$A3446, MATCH(B2177,'Room Info'!$F$2:$F3446, 0)),if(G2177='Room Info'!$H$1, INDEX('Room Info'!$A$2:$A3446, MATCH(B2177,'Room Info'!$H$2:$H3446, 0)),if(G2177='Room Info'!$G$1, INDEX('Room Info'!$A$2:$A3446, MATCH(B2177,'Room Info'!$G$2:$G3446, 0)))))))))</f>
        <v>0</v>
      </c>
      <c r="B2177" s="101"/>
      <c r="C2177" s="115"/>
      <c r="D2177" s="115"/>
      <c r="E2177" s="85"/>
      <c r="F2177" s="138"/>
      <c r="G2177" s="70"/>
      <c r="H2177" s="114"/>
      <c r="I2177" s="114"/>
      <c r="J2177" s="44" t="str">
        <f t="shared" si="311"/>
        <v/>
      </c>
      <c r="K2177" s="139"/>
      <c r="L2177" s="140"/>
      <c r="M2177" s="67"/>
      <c r="N2177" s="33">
        <f t="shared" si="276"/>
        <v>0</v>
      </c>
      <c r="O2177" s="101"/>
      <c r="P2177" s="34" t="str">
        <f t="shared" si="277"/>
        <v/>
      </c>
      <c r="Q2177" s="60"/>
      <c r="R2177" s="36">
        <f t="shared" si="312"/>
        <v>0</v>
      </c>
      <c r="S2177" s="102"/>
      <c r="T2177" s="37">
        <f t="shared" si="302"/>
        <v>0</v>
      </c>
      <c r="U2177" s="62"/>
      <c r="V2177" s="63"/>
      <c r="W2177" s="63"/>
      <c r="X2177" s="35" t="str">
        <f t="shared" si="303"/>
        <v>#N/A</v>
      </c>
      <c r="Y2177" s="35" t="str">
        <f t="shared" si="304"/>
        <v>#N/A</v>
      </c>
      <c r="Z2177" s="40" t="str">
        <f t="shared" si="305"/>
        <v>#N/A</v>
      </c>
      <c r="AA2177" s="34" t="str">
        <f t="shared" si="306"/>
        <v>#N/A</v>
      </c>
      <c r="AB2177" s="41" t="str">
        <f t="shared" si="307"/>
        <v>#N/A</v>
      </c>
      <c r="AC2177" s="42" t="b">
        <v>0</v>
      </c>
      <c r="AD2177" s="66" t="str">
        <f t="shared" si="308"/>
        <v>USD</v>
      </c>
      <c r="AE2177" s="42"/>
      <c r="AF2177" s="42" t="str">
        <f t="array" ref="AF2177">INDEX('Deal Info'!D:D, MATCH(A2177,'Deal Info'!A:A, 0))</f>
        <v>#N/A</v>
      </c>
      <c r="AG2177" s="43" t="str">
        <f t="array" ref="AG2177">INDEX('Deal Info'!G:G, MATCH(A2177,'Deal Info'!A:A, 0))</f>
        <v>#N/A</v>
      </c>
    </row>
    <row r="2178" hidden="1">
      <c r="A2178" s="23" t="b">
        <f t="array" ref="A2178">if(G2178='Room Info'!$B$1, INDEX('Room Info'!$A$2:$A3446, MATCH(B2178,'Room Info'!$B$2:$B3446, 0)),if(G2178='Room Info'!$C$1, INDEX('Room Info'!$A$2:$A3446, MATCH(B2178,'Room Info'!$C$2:$C3446, 0)),if(G2178='Room Info'!$D$1, INDEX('Room Info'!$A$2:$A3446, MATCH(B2178,'Room Info'!$D$2:$D3446, 0)),if(G2178='Room Info'!$E$1, INDEX('Room Info'!$A$2:$A3446, MATCH(B2178,'Room Info'!$E$2:$E3446, 0)),if(G2178='Room Info'!$F$1, INDEX('Room Info'!$A$2:$A3446, MATCH(B2178,'Room Info'!$F$2:$F3446, 0)),if(G2178='Room Info'!$H$1, INDEX('Room Info'!$A$2:$A3446, MATCH(B2178,'Room Info'!$H$2:$H3446, 0)),if(G2178='Room Info'!$G$1, INDEX('Room Info'!$A$2:$A3446, MATCH(B2178,'Room Info'!$G$2:$G3446, 0)))))))))</f>
        <v>0</v>
      </c>
      <c r="B2178" s="101"/>
      <c r="C2178" s="115"/>
      <c r="D2178" s="115"/>
      <c r="E2178" s="85"/>
      <c r="F2178" s="138"/>
      <c r="G2178" s="70"/>
      <c r="H2178" s="114"/>
      <c r="I2178" s="114"/>
      <c r="J2178" s="44" t="str">
        <f t="shared" si="311"/>
        <v/>
      </c>
      <c r="K2178" s="139"/>
      <c r="L2178" s="140"/>
      <c r="M2178" s="67"/>
      <c r="N2178" s="33">
        <f t="shared" si="276"/>
        <v>0</v>
      </c>
      <c r="O2178" s="101"/>
      <c r="P2178" s="34" t="str">
        <f t="shared" si="277"/>
        <v/>
      </c>
      <c r="Q2178" s="60"/>
      <c r="R2178" s="36">
        <f t="shared" si="312"/>
        <v>0</v>
      </c>
      <c r="S2178" s="102"/>
      <c r="T2178" s="37">
        <f t="shared" si="302"/>
        <v>0</v>
      </c>
      <c r="U2178" s="62"/>
      <c r="V2178" s="63"/>
      <c r="W2178" s="63"/>
      <c r="X2178" s="35" t="str">
        <f t="shared" si="303"/>
        <v>#N/A</v>
      </c>
      <c r="Y2178" s="35" t="str">
        <f t="shared" si="304"/>
        <v>#N/A</v>
      </c>
      <c r="Z2178" s="40" t="str">
        <f t="shared" si="305"/>
        <v>#N/A</v>
      </c>
      <c r="AA2178" s="34" t="str">
        <f t="shared" si="306"/>
        <v>#N/A</v>
      </c>
      <c r="AB2178" s="41" t="str">
        <f t="shared" si="307"/>
        <v>#N/A</v>
      </c>
      <c r="AC2178" s="42" t="b">
        <v>0</v>
      </c>
      <c r="AD2178" s="66" t="str">
        <f t="shared" si="308"/>
        <v>USD</v>
      </c>
      <c r="AE2178" s="42"/>
      <c r="AF2178" s="42" t="str">
        <f t="array" ref="AF2178">INDEX('Deal Info'!D:D, MATCH(A2178,'Deal Info'!A:A, 0))</f>
        <v>#N/A</v>
      </c>
      <c r="AG2178" s="43" t="str">
        <f t="array" ref="AG2178">INDEX('Deal Info'!G:G, MATCH(A2178,'Deal Info'!A:A, 0))</f>
        <v>#N/A</v>
      </c>
    </row>
    <row r="2179" hidden="1">
      <c r="A2179" s="23" t="b">
        <f t="array" ref="A2179">if(G2179='Room Info'!$B$1, INDEX('Room Info'!$A$2:$A3446, MATCH(B2179,'Room Info'!$B$2:$B3446, 0)),if(G2179='Room Info'!$C$1, INDEX('Room Info'!$A$2:$A3446, MATCH(B2179,'Room Info'!$C$2:$C3446, 0)),if(G2179='Room Info'!$D$1, INDEX('Room Info'!$A$2:$A3446, MATCH(B2179,'Room Info'!$D$2:$D3446, 0)),if(G2179='Room Info'!$E$1, INDEX('Room Info'!$A$2:$A3446, MATCH(B2179,'Room Info'!$E$2:$E3446, 0)),if(G2179='Room Info'!$F$1, INDEX('Room Info'!$A$2:$A3446, MATCH(B2179,'Room Info'!$F$2:$F3446, 0)),if(G2179='Room Info'!$H$1, INDEX('Room Info'!$A$2:$A3446, MATCH(B2179,'Room Info'!$H$2:$H3446, 0)),if(G2179='Room Info'!$G$1, INDEX('Room Info'!$A$2:$A3446, MATCH(B2179,'Room Info'!$G$2:$G3446, 0)))))))))</f>
        <v>0</v>
      </c>
      <c r="B2179" s="101"/>
      <c r="C2179" s="115"/>
      <c r="D2179" s="115"/>
      <c r="E2179" s="85"/>
      <c r="F2179" s="138"/>
      <c r="G2179" s="70"/>
      <c r="H2179" s="114"/>
      <c r="I2179" s="114"/>
      <c r="J2179" s="44" t="str">
        <f t="shared" si="311"/>
        <v/>
      </c>
      <c r="K2179" s="139"/>
      <c r="L2179" s="140"/>
      <c r="M2179" s="67"/>
      <c r="N2179" s="33">
        <f t="shared" si="276"/>
        <v>0</v>
      </c>
      <c r="O2179" s="101"/>
      <c r="P2179" s="34" t="str">
        <f t="shared" si="277"/>
        <v/>
      </c>
      <c r="Q2179" s="60"/>
      <c r="R2179" s="36">
        <f t="shared" si="312"/>
        <v>0</v>
      </c>
      <c r="S2179" s="102"/>
      <c r="T2179" s="37">
        <f t="shared" si="302"/>
        <v>0</v>
      </c>
      <c r="U2179" s="62"/>
      <c r="V2179" s="63"/>
      <c r="W2179" s="63"/>
      <c r="X2179" s="35" t="str">
        <f t="shared" si="303"/>
        <v>#N/A</v>
      </c>
      <c r="Y2179" s="35" t="str">
        <f t="shared" si="304"/>
        <v>#N/A</v>
      </c>
      <c r="Z2179" s="40" t="str">
        <f t="shared" si="305"/>
        <v>#N/A</v>
      </c>
      <c r="AA2179" s="34" t="str">
        <f t="shared" si="306"/>
        <v>#N/A</v>
      </c>
      <c r="AB2179" s="41" t="str">
        <f t="shared" si="307"/>
        <v>#N/A</v>
      </c>
      <c r="AC2179" s="42" t="b">
        <v>0</v>
      </c>
      <c r="AD2179" s="66" t="str">
        <f t="shared" si="308"/>
        <v>USD</v>
      </c>
      <c r="AE2179" s="42"/>
      <c r="AF2179" s="42" t="str">
        <f t="array" ref="AF2179">INDEX('Deal Info'!D:D, MATCH(A2179,'Deal Info'!A:A, 0))</f>
        <v>#N/A</v>
      </c>
      <c r="AG2179" s="43" t="str">
        <f t="array" ref="AG2179">INDEX('Deal Info'!G:G, MATCH(A2179,'Deal Info'!A:A, 0))</f>
        <v>#N/A</v>
      </c>
    </row>
    <row r="2180" hidden="1">
      <c r="A2180" s="23" t="b">
        <f t="array" ref="A2180">if(G2180='Room Info'!$B$1, INDEX('Room Info'!$A$2:$A3446, MATCH(B2180,'Room Info'!$B$2:$B3446, 0)),if(G2180='Room Info'!$C$1, INDEX('Room Info'!$A$2:$A3446, MATCH(B2180,'Room Info'!$C$2:$C3446, 0)),if(G2180='Room Info'!$D$1, INDEX('Room Info'!$A$2:$A3446, MATCH(B2180,'Room Info'!$D$2:$D3446, 0)),if(G2180='Room Info'!$E$1, INDEX('Room Info'!$A$2:$A3446, MATCH(B2180,'Room Info'!$E$2:$E3446, 0)),if(G2180='Room Info'!$F$1, INDEX('Room Info'!$A$2:$A3446, MATCH(B2180,'Room Info'!$F$2:$F3446, 0)),if(G2180='Room Info'!$H$1, INDEX('Room Info'!$A$2:$A3446, MATCH(B2180,'Room Info'!$H$2:$H3446, 0)),if(G2180='Room Info'!$G$1, INDEX('Room Info'!$A$2:$A3446, MATCH(B2180,'Room Info'!$G$2:$G3446, 0)))))))))</f>
        <v>0</v>
      </c>
      <c r="B2180" s="101"/>
      <c r="C2180" s="115"/>
      <c r="D2180" s="115"/>
      <c r="E2180" s="85"/>
      <c r="F2180" s="138"/>
      <c r="G2180" s="70"/>
      <c r="H2180" s="114"/>
      <c r="I2180" s="114"/>
      <c r="J2180" s="44" t="str">
        <f t="shared" si="311"/>
        <v/>
      </c>
      <c r="K2180" s="139"/>
      <c r="L2180" s="140"/>
      <c r="M2180" s="67"/>
      <c r="N2180" s="33">
        <f t="shared" si="276"/>
        <v>0</v>
      </c>
      <c r="O2180" s="101"/>
      <c r="P2180" s="34" t="str">
        <f t="shared" si="277"/>
        <v/>
      </c>
      <c r="Q2180" s="60"/>
      <c r="R2180" s="36">
        <f t="shared" si="312"/>
        <v>0</v>
      </c>
      <c r="S2180" s="102"/>
      <c r="T2180" s="37">
        <f t="shared" si="302"/>
        <v>0</v>
      </c>
      <c r="U2180" s="62"/>
      <c r="V2180" s="63"/>
      <c r="W2180" s="63"/>
      <c r="X2180" s="35" t="str">
        <f t="shared" si="303"/>
        <v>#N/A</v>
      </c>
      <c r="Y2180" s="35" t="str">
        <f t="shared" si="304"/>
        <v>#N/A</v>
      </c>
      <c r="Z2180" s="40" t="str">
        <f t="shared" si="305"/>
        <v>#N/A</v>
      </c>
      <c r="AA2180" s="34" t="str">
        <f t="shared" si="306"/>
        <v>#N/A</v>
      </c>
      <c r="AB2180" s="41" t="str">
        <f t="shared" si="307"/>
        <v>#N/A</v>
      </c>
      <c r="AC2180" s="42" t="b">
        <v>0</v>
      </c>
      <c r="AD2180" s="66" t="str">
        <f t="shared" si="308"/>
        <v>USD</v>
      </c>
      <c r="AE2180" s="42"/>
      <c r="AF2180" s="42" t="str">
        <f t="array" ref="AF2180">INDEX('Deal Info'!D:D, MATCH(A2180,'Deal Info'!A:A, 0))</f>
        <v>#N/A</v>
      </c>
      <c r="AG2180" s="43" t="str">
        <f t="array" ref="AG2180">INDEX('Deal Info'!G:G, MATCH(A2180,'Deal Info'!A:A, 0))</f>
        <v>#N/A</v>
      </c>
    </row>
    <row r="2181" hidden="1">
      <c r="A2181" s="23" t="b">
        <f t="array" ref="A2181">if(G2181='Room Info'!$B$1, INDEX('Room Info'!$A$2:$A3446, MATCH(B2181,'Room Info'!$B$2:$B3446, 0)),if(G2181='Room Info'!$C$1, INDEX('Room Info'!$A$2:$A3446, MATCH(B2181,'Room Info'!$C$2:$C3446, 0)),if(G2181='Room Info'!$D$1, INDEX('Room Info'!$A$2:$A3446, MATCH(B2181,'Room Info'!$D$2:$D3446, 0)),if(G2181='Room Info'!$E$1, INDEX('Room Info'!$A$2:$A3446, MATCH(B2181,'Room Info'!$E$2:$E3446, 0)),if(G2181='Room Info'!$F$1, INDEX('Room Info'!$A$2:$A3446, MATCH(B2181,'Room Info'!$F$2:$F3446, 0)),if(G2181='Room Info'!$H$1, INDEX('Room Info'!$A$2:$A3446, MATCH(B2181,'Room Info'!$H$2:$H3446, 0)),if(G2181='Room Info'!$G$1, INDEX('Room Info'!$A$2:$A3446, MATCH(B2181,'Room Info'!$G$2:$G3446, 0)))))))))</f>
        <v>0</v>
      </c>
      <c r="B2181" s="101"/>
      <c r="C2181" s="115"/>
      <c r="D2181" s="115"/>
      <c r="E2181" s="85"/>
      <c r="F2181" s="138"/>
      <c r="G2181" s="70"/>
      <c r="H2181" s="114"/>
      <c r="I2181" s="114"/>
      <c r="J2181" s="44" t="str">
        <f t="shared" si="311"/>
        <v/>
      </c>
      <c r="K2181" s="139"/>
      <c r="L2181" s="140"/>
      <c r="M2181" s="67"/>
      <c r="N2181" s="33">
        <f t="shared" si="276"/>
        <v>0</v>
      </c>
      <c r="O2181" s="101"/>
      <c r="P2181" s="34" t="str">
        <f t="shared" si="277"/>
        <v/>
      </c>
      <c r="Q2181" s="60"/>
      <c r="R2181" s="36">
        <f t="shared" si="312"/>
        <v>0</v>
      </c>
      <c r="S2181" s="102"/>
      <c r="T2181" s="37">
        <f t="shared" si="302"/>
        <v>0</v>
      </c>
      <c r="U2181" s="62"/>
      <c r="V2181" s="63"/>
      <c r="W2181" s="63"/>
      <c r="X2181" s="35" t="str">
        <f t="shared" si="303"/>
        <v>#N/A</v>
      </c>
      <c r="Y2181" s="35" t="str">
        <f t="shared" si="304"/>
        <v>#N/A</v>
      </c>
      <c r="Z2181" s="40" t="str">
        <f t="shared" si="305"/>
        <v>#N/A</v>
      </c>
      <c r="AA2181" s="34" t="str">
        <f t="shared" si="306"/>
        <v>#N/A</v>
      </c>
      <c r="AB2181" s="41" t="str">
        <f t="shared" si="307"/>
        <v>#N/A</v>
      </c>
      <c r="AC2181" s="42" t="b">
        <v>0</v>
      </c>
      <c r="AD2181" s="66" t="str">
        <f t="shared" si="308"/>
        <v>USD</v>
      </c>
      <c r="AE2181" s="42"/>
      <c r="AF2181" s="42" t="str">
        <f t="array" ref="AF2181">INDEX('Deal Info'!D:D, MATCH(A2181,'Deal Info'!A:A, 0))</f>
        <v>#N/A</v>
      </c>
      <c r="AG2181" s="43" t="str">
        <f t="array" ref="AG2181">INDEX('Deal Info'!G:G, MATCH(A2181,'Deal Info'!A:A, 0))</f>
        <v>#N/A</v>
      </c>
    </row>
    <row r="2182" hidden="1">
      <c r="A2182" s="23" t="b">
        <f t="array" ref="A2182">if(G2182='Room Info'!$B$1, INDEX('Room Info'!$A$2:$A3446, MATCH(B2182,'Room Info'!$B$2:$B3446, 0)),if(G2182='Room Info'!$C$1, INDEX('Room Info'!$A$2:$A3446, MATCH(B2182,'Room Info'!$C$2:$C3446, 0)),if(G2182='Room Info'!$D$1, INDEX('Room Info'!$A$2:$A3446, MATCH(B2182,'Room Info'!$D$2:$D3446, 0)),if(G2182='Room Info'!$E$1, INDEX('Room Info'!$A$2:$A3446, MATCH(B2182,'Room Info'!$E$2:$E3446, 0)),if(G2182='Room Info'!$F$1, INDEX('Room Info'!$A$2:$A3446, MATCH(B2182,'Room Info'!$F$2:$F3446, 0)),if(G2182='Room Info'!$H$1, INDEX('Room Info'!$A$2:$A3446, MATCH(B2182,'Room Info'!$H$2:$H3446, 0)),if(G2182='Room Info'!$G$1, INDEX('Room Info'!$A$2:$A3446, MATCH(B2182,'Room Info'!$G$2:$G3446, 0)))))))))</f>
        <v>0</v>
      </c>
      <c r="B2182" s="101"/>
      <c r="C2182" s="115"/>
      <c r="D2182" s="115"/>
      <c r="E2182" s="85"/>
      <c r="F2182" s="138"/>
      <c r="G2182" s="70"/>
      <c r="H2182" s="114"/>
      <c r="I2182" s="114"/>
      <c r="J2182" s="44" t="str">
        <f t="shared" si="311"/>
        <v/>
      </c>
      <c r="K2182" s="139"/>
      <c r="L2182" s="140"/>
      <c r="M2182" s="67"/>
      <c r="N2182" s="33">
        <f t="shared" si="276"/>
        <v>0</v>
      </c>
      <c r="O2182" s="101"/>
      <c r="P2182" s="34" t="str">
        <f t="shared" si="277"/>
        <v/>
      </c>
      <c r="Q2182" s="60"/>
      <c r="R2182" s="36">
        <f t="shared" si="312"/>
        <v>0</v>
      </c>
      <c r="S2182" s="102"/>
      <c r="T2182" s="37">
        <f t="shared" si="302"/>
        <v>0</v>
      </c>
      <c r="U2182" s="62"/>
      <c r="V2182" s="63"/>
      <c r="W2182" s="63"/>
      <c r="X2182" s="35" t="str">
        <f t="shared" si="303"/>
        <v>#N/A</v>
      </c>
      <c r="Y2182" s="35" t="str">
        <f t="shared" si="304"/>
        <v>#N/A</v>
      </c>
      <c r="Z2182" s="40" t="str">
        <f t="shared" si="305"/>
        <v>#N/A</v>
      </c>
      <c r="AA2182" s="34" t="str">
        <f t="shared" si="306"/>
        <v>#N/A</v>
      </c>
      <c r="AB2182" s="41" t="str">
        <f t="shared" si="307"/>
        <v>#N/A</v>
      </c>
      <c r="AC2182" s="42" t="b">
        <v>0</v>
      </c>
      <c r="AD2182" s="66" t="str">
        <f t="shared" si="308"/>
        <v>USD</v>
      </c>
      <c r="AE2182" s="42"/>
      <c r="AF2182" s="42" t="str">
        <f t="array" ref="AF2182">INDEX('Deal Info'!D:D, MATCH(A2182,'Deal Info'!A:A, 0))</f>
        <v>#N/A</v>
      </c>
      <c r="AG2182" s="43" t="str">
        <f t="array" ref="AG2182">INDEX('Deal Info'!G:G, MATCH(A2182,'Deal Info'!A:A, 0))</f>
        <v>#N/A</v>
      </c>
    </row>
    <row r="2183" hidden="1">
      <c r="A2183" s="23" t="b">
        <f t="array" ref="A2183">if(G2183='Room Info'!$B$1, INDEX('Room Info'!$A$2:$A3446, MATCH(B2183,'Room Info'!$B$2:$B3446, 0)),if(G2183='Room Info'!$C$1, INDEX('Room Info'!$A$2:$A3446, MATCH(B2183,'Room Info'!$C$2:$C3446, 0)),if(G2183='Room Info'!$D$1, INDEX('Room Info'!$A$2:$A3446, MATCH(B2183,'Room Info'!$D$2:$D3446, 0)),if(G2183='Room Info'!$E$1, INDEX('Room Info'!$A$2:$A3446, MATCH(B2183,'Room Info'!$E$2:$E3446, 0)),if(G2183='Room Info'!$F$1, INDEX('Room Info'!$A$2:$A3446, MATCH(B2183,'Room Info'!$F$2:$F3446, 0)),if(G2183='Room Info'!$H$1, INDEX('Room Info'!$A$2:$A3446, MATCH(B2183,'Room Info'!$H$2:$H3446, 0)),if(G2183='Room Info'!$G$1, INDEX('Room Info'!$A$2:$A3446, MATCH(B2183,'Room Info'!$G$2:$G3446, 0)))))))))</f>
        <v>0</v>
      </c>
      <c r="B2183" s="101"/>
      <c r="C2183" s="115"/>
      <c r="D2183" s="115"/>
      <c r="E2183" s="85"/>
      <c r="F2183" s="138"/>
      <c r="G2183" s="70"/>
      <c r="H2183" s="114"/>
      <c r="I2183" s="114"/>
      <c r="J2183" s="44" t="str">
        <f t="shared" si="311"/>
        <v/>
      </c>
      <c r="K2183" s="116"/>
      <c r="L2183" s="117"/>
      <c r="M2183" s="67"/>
      <c r="N2183" s="33">
        <f t="shared" si="276"/>
        <v>0</v>
      </c>
      <c r="O2183" s="70"/>
      <c r="P2183" s="34" t="str">
        <f t="shared" si="277"/>
        <v/>
      </c>
      <c r="Q2183" s="60"/>
      <c r="R2183" s="36">
        <f t="shared" si="312"/>
        <v>0</v>
      </c>
      <c r="S2183" s="71"/>
      <c r="T2183" s="37">
        <f t="shared" si="302"/>
        <v>0</v>
      </c>
      <c r="U2183" s="62"/>
      <c r="V2183" s="63"/>
      <c r="W2183" s="63"/>
      <c r="X2183" s="35" t="str">
        <f t="shared" si="303"/>
        <v>#N/A</v>
      </c>
      <c r="Y2183" s="35" t="str">
        <f t="shared" si="304"/>
        <v>#N/A</v>
      </c>
      <c r="Z2183" s="40" t="str">
        <f t="shared" si="305"/>
        <v>#N/A</v>
      </c>
      <c r="AA2183" s="34" t="str">
        <f t="shared" si="306"/>
        <v>#N/A</v>
      </c>
      <c r="AB2183" s="41" t="str">
        <f t="shared" si="307"/>
        <v>#N/A</v>
      </c>
      <c r="AC2183" s="42" t="b">
        <v>0</v>
      </c>
      <c r="AD2183" s="66" t="str">
        <f t="shared" si="308"/>
        <v>USD</v>
      </c>
      <c r="AE2183" s="42"/>
      <c r="AF2183" s="42" t="str">
        <f t="array" ref="AF2183">INDEX('Deal Info'!D:D, MATCH(A2183,'Deal Info'!A:A, 0))</f>
        <v>#N/A</v>
      </c>
      <c r="AG2183" s="43" t="str">
        <f t="array" ref="AG2183">INDEX('Deal Info'!G:G, MATCH(A2183,'Deal Info'!A:A, 0))</f>
        <v>#N/A</v>
      </c>
    </row>
    <row r="2184" hidden="1">
      <c r="A2184" s="23" t="b">
        <f t="array" ref="A2184">if(G2184='Room Info'!$B$1, INDEX('Room Info'!$A$2:$A3446, MATCH(B2184,'Room Info'!$B$2:$B3446, 0)),if(G2184='Room Info'!$C$1, INDEX('Room Info'!$A$2:$A3446, MATCH(B2184,'Room Info'!$C$2:$C3446, 0)),if(G2184='Room Info'!$D$1, INDEX('Room Info'!$A$2:$A3446, MATCH(B2184,'Room Info'!$D$2:$D3446, 0)),if(G2184='Room Info'!$E$1, INDEX('Room Info'!$A$2:$A3446, MATCH(B2184,'Room Info'!$E$2:$E3446, 0)),if(G2184='Room Info'!$F$1, INDEX('Room Info'!$A$2:$A3446, MATCH(B2184,'Room Info'!$F$2:$F3446, 0)),if(G2184='Room Info'!$H$1, INDEX('Room Info'!$A$2:$A3446, MATCH(B2184,'Room Info'!$H$2:$H3446, 0)),if(G2184='Room Info'!$G$1, INDEX('Room Info'!$A$2:$A3446, MATCH(B2184,'Room Info'!$G$2:$G3446, 0)))))))))</f>
        <v>0</v>
      </c>
      <c r="B2184" s="101"/>
      <c r="C2184" s="115"/>
      <c r="D2184" s="115"/>
      <c r="E2184" s="85"/>
      <c r="F2184" s="138"/>
      <c r="G2184" s="70"/>
      <c r="H2184" s="114"/>
      <c r="I2184" s="114"/>
      <c r="J2184" s="44" t="str">
        <f t="shared" si="311"/>
        <v/>
      </c>
      <c r="K2184" s="116"/>
      <c r="L2184" s="117"/>
      <c r="M2184" s="67"/>
      <c r="N2184" s="33">
        <f t="shared" si="276"/>
        <v>0</v>
      </c>
      <c r="O2184" s="70"/>
      <c r="P2184" s="34" t="str">
        <f t="shared" si="277"/>
        <v/>
      </c>
      <c r="Q2184" s="60"/>
      <c r="R2184" s="36">
        <f t="shared" si="312"/>
        <v>0</v>
      </c>
      <c r="S2184" s="71"/>
      <c r="T2184" s="37">
        <f t="shared" si="302"/>
        <v>0</v>
      </c>
      <c r="U2184" s="62"/>
      <c r="V2184" s="63"/>
      <c r="W2184" s="63"/>
      <c r="X2184" s="35" t="str">
        <f t="shared" si="303"/>
        <v>#N/A</v>
      </c>
      <c r="Y2184" s="35" t="str">
        <f t="shared" si="304"/>
        <v>#N/A</v>
      </c>
      <c r="Z2184" s="40" t="str">
        <f t="shared" si="305"/>
        <v>#N/A</v>
      </c>
      <c r="AA2184" s="34" t="str">
        <f t="shared" si="306"/>
        <v>#N/A</v>
      </c>
      <c r="AB2184" s="41" t="str">
        <f t="shared" si="307"/>
        <v>#N/A</v>
      </c>
      <c r="AC2184" s="42" t="b">
        <v>0</v>
      </c>
      <c r="AD2184" s="66" t="str">
        <f t="shared" si="308"/>
        <v>USD</v>
      </c>
      <c r="AE2184" s="42"/>
      <c r="AF2184" s="42" t="str">
        <f t="array" ref="AF2184">INDEX('Deal Info'!D:D, MATCH(A2184,'Deal Info'!A:A, 0))</f>
        <v>#N/A</v>
      </c>
      <c r="AG2184" s="43" t="str">
        <f t="array" ref="AG2184">INDEX('Deal Info'!G:G, MATCH(A2184,'Deal Info'!A:A, 0))</f>
        <v>#N/A</v>
      </c>
    </row>
    <row r="2185" hidden="1">
      <c r="A2185" s="23" t="b">
        <f t="array" ref="A2185">if(G2185='Room Info'!$B$1, INDEX('Room Info'!$A$2:$A3446, MATCH(B2185,'Room Info'!$B$2:$B3446, 0)),if(G2185='Room Info'!$C$1, INDEX('Room Info'!$A$2:$A3446, MATCH(B2185,'Room Info'!$C$2:$C3446, 0)),if(G2185='Room Info'!$D$1, INDEX('Room Info'!$A$2:$A3446, MATCH(B2185,'Room Info'!$D$2:$D3446, 0)),if(G2185='Room Info'!$E$1, INDEX('Room Info'!$A$2:$A3446, MATCH(B2185,'Room Info'!$E$2:$E3446, 0)),if(G2185='Room Info'!$F$1, INDEX('Room Info'!$A$2:$A3446, MATCH(B2185,'Room Info'!$F$2:$F3446, 0)),if(G2185='Room Info'!$H$1, INDEX('Room Info'!$A$2:$A3446, MATCH(B2185,'Room Info'!$H$2:$H3446, 0)),if(G2185='Room Info'!$G$1, INDEX('Room Info'!$A$2:$A3446, MATCH(B2185,'Room Info'!$G$2:$G3446, 0)))))))))</f>
        <v>0</v>
      </c>
      <c r="B2185" s="101"/>
      <c r="C2185" s="115"/>
      <c r="D2185" s="115"/>
      <c r="E2185" s="85"/>
      <c r="F2185" s="138"/>
      <c r="G2185" s="70"/>
      <c r="H2185" s="114"/>
      <c r="I2185" s="114"/>
      <c r="J2185" s="44" t="str">
        <f t="shared" si="311"/>
        <v/>
      </c>
      <c r="K2185" s="116"/>
      <c r="L2185" s="117"/>
      <c r="M2185" s="67"/>
      <c r="N2185" s="33">
        <f t="shared" si="276"/>
        <v>0</v>
      </c>
      <c r="O2185" s="70"/>
      <c r="P2185" s="34" t="str">
        <f t="shared" si="277"/>
        <v/>
      </c>
      <c r="Q2185" s="60"/>
      <c r="R2185" s="36">
        <f t="shared" si="312"/>
        <v>0</v>
      </c>
      <c r="S2185" s="71"/>
      <c r="T2185" s="37">
        <f t="shared" si="302"/>
        <v>0</v>
      </c>
      <c r="U2185" s="62"/>
      <c r="V2185" s="63"/>
      <c r="W2185" s="63"/>
      <c r="X2185" s="35" t="str">
        <f t="shared" si="303"/>
        <v>#N/A</v>
      </c>
      <c r="Y2185" s="35" t="str">
        <f t="shared" si="304"/>
        <v>#N/A</v>
      </c>
      <c r="Z2185" s="40" t="str">
        <f t="shared" si="305"/>
        <v>#N/A</v>
      </c>
      <c r="AA2185" s="34" t="str">
        <f t="shared" si="306"/>
        <v>#N/A</v>
      </c>
      <c r="AB2185" s="41" t="str">
        <f t="shared" si="307"/>
        <v>#N/A</v>
      </c>
      <c r="AC2185" s="42" t="b">
        <v>0</v>
      </c>
      <c r="AD2185" s="66" t="str">
        <f t="shared" si="308"/>
        <v>USD</v>
      </c>
      <c r="AE2185" s="42"/>
      <c r="AF2185" s="42" t="str">
        <f t="array" ref="AF2185">INDEX('Deal Info'!D:D, MATCH(A2185,'Deal Info'!A:A, 0))</f>
        <v>#N/A</v>
      </c>
      <c r="AG2185" s="43" t="str">
        <f t="array" ref="AG2185">INDEX('Deal Info'!G:G, MATCH(A2185,'Deal Info'!A:A, 0))</f>
        <v>#N/A</v>
      </c>
    </row>
    <row r="2186" hidden="1">
      <c r="A2186" s="23" t="b">
        <f t="array" ref="A2186">if(G2186='Room Info'!$B$1, INDEX('Room Info'!$A$2:$A3446, MATCH(B2186,'Room Info'!$B$2:$B3446, 0)),if(G2186='Room Info'!$C$1, INDEX('Room Info'!$A$2:$A3446, MATCH(B2186,'Room Info'!$C$2:$C3446, 0)),if(G2186='Room Info'!$D$1, INDEX('Room Info'!$A$2:$A3446, MATCH(B2186,'Room Info'!$D$2:$D3446, 0)),if(G2186='Room Info'!$E$1, INDEX('Room Info'!$A$2:$A3446, MATCH(B2186,'Room Info'!$E$2:$E3446, 0)),if(G2186='Room Info'!$F$1, INDEX('Room Info'!$A$2:$A3446, MATCH(B2186,'Room Info'!$F$2:$F3446, 0)),if(G2186='Room Info'!$H$1, INDEX('Room Info'!$A$2:$A3446, MATCH(B2186,'Room Info'!$H$2:$H3446, 0)),if(G2186='Room Info'!$G$1, INDEX('Room Info'!$A$2:$A3446, MATCH(B2186,'Room Info'!$G$2:$G3446, 0)))))))))</f>
        <v>0</v>
      </c>
      <c r="B2186" s="101"/>
      <c r="C2186" s="141"/>
      <c r="D2186" s="141"/>
      <c r="E2186" s="142"/>
      <c r="F2186" s="138"/>
      <c r="G2186" s="101"/>
      <c r="H2186" s="105"/>
      <c r="I2186" s="105"/>
      <c r="J2186" s="44" t="str">
        <f t="shared" si="311"/>
        <v/>
      </c>
      <c r="K2186" s="139"/>
      <c r="L2186" s="140"/>
      <c r="M2186" s="84"/>
      <c r="N2186" s="33">
        <f t="shared" si="276"/>
        <v>0</v>
      </c>
      <c r="O2186" s="101"/>
      <c r="P2186" s="34" t="str">
        <f t="shared" si="277"/>
        <v/>
      </c>
      <c r="Q2186" s="60"/>
      <c r="R2186" s="36">
        <f t="shared" si="312"/>
        <v>0</v>
      </c>
      <c r="S2186" s="102"/>
      <c r="T2186" s="37">
        <f t="shared" si="302"/>
        <v>0</v>
      </c>
      <c r="U2186" s="62"/>
      <c r="V2186" s="63"/>
      <c r="W2186" s="63"/>
      <c r="X2186" s="35" t="str">
        <f t="shared" si="303"/>
        <v>#N/A</v>
      </c>
      <c r="Y2186" s="35" t="str">
        <f t="shared" si="304"/>
        <v>#N/A</v>
      </c>
      <c r="Z2186" s="40" t="str">
        <f t="shared" si="305"/>
        <v>#N/A</v>
      </c>
      <c r="AA2186" s="34" t="str">
        <f t="shared" si="306"/>
        <v>#N/A</v>
      </c>
      <c r="AB2186" s="41" t="str">
        <f t="shared" si="307"/>
        <v>#N/A</v>
      </c>
      <c r="AC2186" s="42" t="b">
        <v>0</v>
      </c>
      <c r="AD2186" s="66" t="str">
        <f t="shared" si="308"/>
        <v>USD</v>
      </c>
      <c r="AE2186" s="42"/>
      <c r="AF2186" s="42" t="str">
        <f t="array" ref="AF2186">INDEX('Deal Info'!D:D, MATCH(A2186,'Deal Info'!A:A, 0))</f>
        <v>#N/A</v>
      </c>
      <c r="AG2186" s="43" t="str">
        <f t="array" ref="AG2186">INDEX('Deal Info'!G:G, MATCH(A2186,'Deal Info'!A:A, 0))</f>
        <v>#N/A</v>
      </c>
    </row>
    <row r="2187" hidden="1">
      <c r="A2187" s="23" t="b">
        <f t="array" ref="A2187">if(G2187='Room Info'!$B$1, INDEX('Room Info'!$A$2:$A3446, MATCH(B2187,'Room Info'!$B$2:$B3446, 0)),if(G2187='Room Info'!$C$1, INDEX('Room Info'!$A$2:$A3446, MATCH(B2187,'Room Info'!$C$2:$C3446, 0)),if(G2187='Room Info'!$D$1, INDEX('Room Info'!$A$2:$A3446, MATCH(B2187,'Room Info'!$D$2:$D3446, 0)),if(G2187='Room Info'!$E$1, INDEX('Room Info'!$A$2:$A3446, MATCH(B2187,'Room Info'!$E$2:$E3446, 0)),if(G2187='Room Info'!$F$1, INDEX('Room Info'!$A$2:$A3446, MATCH(B2187,'Room Info'!$F$2:$F3446, 0)),if(G2187='Room Info'!$H$1, INDEX('Room Info'!$A$2:$A3446, MATCH(B2187,'Room Info'!$H$2:$H3446, 0)),if(G2187='Room Info'!$G$1, INDEX('Room Info'!$A$2:$A3446, MATCH(B2187,'Room Info'!$G$2:$G3446, 0)))))))))</f>
        <v>0</v>
      </c>
      <c r="B2187" s="101"/>
      <c r="C2187" s="115"/>
      <c r="D2187" s="115"/>
      <c r="E2187" s="85"/>
      <c r="F2187" s="138"/>
      <c r="G2187" s="70"/>
      <c r="H2187" s="105"/>
      <c r="I2187" s="105"/>
      <c r="J2187" s="44" t="str">
        <f t="shared" si="311"/>
        <v/>
      </c>
      <c r="K2187" s="139"/>
      <c r="L2187" s="140"/>
      <c r="M2187" s="67"/>
      <c r="N2187" s="33">
        <f t="shared" si="276"/>
        <v>0</v>
      </c>
      <c r="O2187" s="101"/>
      <c r="P2187" s="34" t="str">
        <f t="shared" si="277"/>
        <v/>
      </c>
      <c r="Q2187" s="60"/>
      <c r="R2187" s="36">
        <f t="shared" si="312"/>
        <v>0</v>
      </c>
      <c r="S2187" s="102"/>
      <c r="T2187" s="37">
        <f t="shared" si="302"/>
        <v>0</v>
      </c>
      <c r="U2187" s="62"/>
      <c r="V2187" s="63"/>
      <c r="W2187" s="63"/>
      <c r="X2187" s="35" t="str">
        <f t="shared" si="303"/>
        <v>#N/A</v>
      </c>
      <c r="Y2187" s="35" t="str">
        <f t="shared" si="304"/>
        <v>#N/A</v>
      </c>
      <c r="Z2187" s="40" t="str">
        <f t="shared" si="305"/>
        <v>#N/A</v>
      </c>
      <c r="AA2187" s="34" t="str">
        <f t="shared" si="306"/>
        <v>#N/A</v>
      </c>
      <c r="AB2187" s="41" t="str">
        <f t="shared" si="307"/>
        <v>#N/A</v>
      </c>
      <c r="AC2187" s="42" t="b">
        <v>0</v>
      </c>
      <c r="AD2187" s="66" t="str">
        <f t="shared" si="308"/>
        <v>USD</v>
      </c>
      <c r="AE2187" s="42"/>
      <c r="AF2187" s="42" t="str">
        <f t="array" ref="AF2187">INDEX('Deal Info'!D:D, MATCH(A2187,'Deal Info'!A:A, 0))</f>
        <v>#N/A</v>
      </c>
      <c r="AG2187" s="43" t="str">
        <f t="array" ref="AG2187">INDEX('Deal Info'!G:G, MATCH(A2187,'Deal Info'!A:A, 0))</f>
        <v>#N/A</v>
      </c>
    </row>
    <row r="2188" hidden="1">
      <c r="A2188" s="23" t="b">
        <f t="array" ref="A2188">if(G2188='Room Info'!$B$1, INDEX('Room Info'!$A$2:$A3446, MATCH(B2188,'Room Info'!$B$2:$B3446, 0)),if(G2188='Room Info'!$C$1, INDEX('Room Info'!$A$2:$A3446, MATCH(B2188,'Room Info'!$C$2:$C3446, 0)),if(G2188='Room Info'!$D$1, INDEX('Room Info'!$A$2:$A3446, MATCH(B2188,'Room Info'!$D$2:$D3446, 0)),if(G2188='Room Info'!$E$1, INDEX('Room Info'!$A$2:$A3446, MATCH(B2188,'Room Info'!$E$2:$E3446, 0)),if(G2188='Room Info'!$F$1, INDEX('Room Info'!$A$2:$A3446, MATCH(B2188,'Room Info'!$F$2:$F3446, 0)),if(G2188='Room Info'!$H$1, INDEX('Room Info'!$A$2:$A3446, MATCH(B2188,'Room Info'!$H$2:$H3446, 0)),if(G2188='Room Info'!$G$1, INDEX('Room Info'!$A$2:$A3446, MATCH(B2188,'Room Info'!$G$2:$G3446, 0)))))))))</f>
        <v>0</v>
      </c>
      <c r="B2188" s="101"/>
      <c r="C2188" s="115"/>
      <c r="D2188" s="115"/>
      <c r="E2188" s="85"/>
      <c r="F2188" s="138"/>
      <c r="G2188" s="70"/>
      <c r="H2188" s="105"/>
      <c r="I2188" s="105"/>
      <c r="J2188" s="44" t="str">
        <f t="shared" si="311"/>
        <v/>
      </c>
      <c r="K2188" s="139"/>
      <c r="L2188" s="140"/>
      <c r="M2188" s="67"/>
      <c r="N2188" s="33">
        <f t="shared" si="276"/>
        <v>0</v>
      </c>
      <c r="O2188" s="101"/>
      <c r="P2188" s="34" t="str">
        <f t="shared" si="277"/>
        <v/>
      </c>
      <c r="Q2188" s="60"/>
      <c r="R2188" s="36">
        <f t="shared" si="312"/>
        <v>0</v>
      </c>
      <c r="S2188" s="102"/>
      <c r="T2188" s="37">
        <f t="shared" si="302"/>
        <v>0</v>
      </c>
      <c r="U2188" s="62"/>
      <c r="V2188" s="63"/>
      <c r="W2188" s="63"/>
      <c r="X2188" s="35" t="str">
        <f t="shared" si="303"/>
        <v>#N/A</v>
      </c>
      <c r="Y2188" s="35" t="str">
        <f t="shared" si="304"/>
        <v>#N/A</v>
      </c>
      <c r="Z2188" s="40" t="str">
        <f t="shared" si="305"/>
        <v>#N/A</v>
      </c>
      <c r="AA2188" s="34" t="str">
        <f t="shared" si="306"/>
        <v>#N/A</v>
      </c>
      <c r="AB2188" s="41" t="str">
        <f t="shared" si="307"/>
        <v>#N/A</v>
      </c>
      <c r="AC2188" s="42" t="b">
        <v>0</v>
      </c>
      <c r="AD2188" s="66" t="str">
        <f t="shared" si="308"/>
        <v>USD</v>
      </c>
      <c r="AE2188" s="42"/>
      <c r="AF2188" s="42" t="str">
        <f t="array" ref="AF2188">INDEX('Deal Info'!D:D, MATCH(A2188,'Deal Info'!A:A, 0))</f>
        <v>#N/A</v>
      </c>
      <c r="AG2188" s="43" t="str">
        <f t="array" ref="AG2188">INDEX('Deal Info'!G:G, MATCH(A2188,'Deal Info'!A:A, 0))</f>
        <v>#N/A</v>
      </c>
    </row>
    <row r="2189" hidden="1">
      <c r="A2189" s="23" t="b">
        <f t="array" ref="A2189">if(G2189='Room Info'!$B$1, INDEX('Room Info'!$A$2:$A3446, MATCH(B2189,'Room Info'!$B$2:$B3446, 0)),if(G2189='Room Info'!$C$1, INDEX('Room Info'!$A$2:$A3446, MATCH(B2189,'Room Info'!$C$2:$C3446, 0)),if(G2189='Room Info'!$D$1, INDEX('Room Info'!$A$2:$A3446, MATCH(B2189,'Room Info'!$D$2:$D3446, 0)),if(G2189='Room Info'!$E$1, INDEX('Room Info'!$A$2:$A3446, MATCH(B2189,'Room Info'!$E$2:$E3446, 0)),if(G2189='Room Info'!$F$1, INDEX('Room Info'!$A$2:$A3446, MATCH(B2189,'Room Info'!$F$2:$F3446, 0)),if(G2189='Room Info'!$H$1, INDEX('Room Info'!$A$2:$A3446, MATCH(B2189,'Room Info'!$H$2:$H3446, 0)),if(G2189='Room Info'!$G$1, INDEX('Room Info'!$A$2:$A3446, MATCH(B2189,'Room Info'!$G$2:$G3446, 0)))))))))</f>
        <v>0</v>
      </c>
      <c r="B2189" s="101"/>
      <c r="C2189" s="115"/>
      <c r="D2189" s="141"/>
      <c r="E2189" s="142"/>
      <c r="F2189" s="138"/>
      <c r="G2189" s="101"/>
      <c r="H2189" s="114"/>
      <c r="I2189" s="114"/>
      <c r="J2189" s="44" t="str">
        <f t="shared" si="311"/>
        <v/>
      </c>
      <c r="K2189" s="116"/>
      <c r="L2189" s="117"/>
      <c r="M2189" s="67"/>
      <c r="N2189" s="33">
        <f t="shared" si="276"/>
        <v>0</v>
      </c>
      <c r="O2189" s="70"/>
      <c r="P2189" s="34" t="str">
        <f t="shared" si="277"/>
        <v/>
      </c>
      <c r="Q2189" s="60"/>
      <c r="R2189" s="36">
        <f t="shared" si="312"/>
        <v>0</v>
      </c>
      <c r="S2189" s="71"/>
      <c r="T2189" s="37">
        <f t="shared" si="302"/>
        <v>0</v>
      </c>
      <c r="U2189" s="62"/>
      <c r="V2189" s="63"/>
      <c r="W2189" s="63"/>
      <c r="X2189" s="35" t="str">
        <f t="shared" si="303"/>
        <v>#N/A</v>
      </c>
      <c r="Y2189" s="35" t="str">
        <f t="shared" si="304"/>
        <v>#N/A</v>
      </c>
      <c r="Z2189" s="40" t="str">
        <f t="shared" si="305"/>
        <v>#N/A</v>
      </c>
      <c r="AA2189" s="34" t="str">
        <f t="shared" si="306"/>
        <v>#N/A</v>
      </c>
      <c r="AB2189" s="41" t="str">
        <f t="shared" si="307"/>
        <v>#N/A</v>
      </c>
      <c r="AC2189" s="42" t="b">
        <v>0</v>
      </c>
      <c r="AD2189" s="66" t="str">
        <f t="shared" si="308"/>
        <v>USD</v>
      </c>
      <c r="AE2189" s="42"/>
      <c r="AF2189" s="42" t="str">
        <f t="array" ref="AF2189">INDEX('Deal Info'!D:D, MATCH(A2189,'Deal Info'!A:A, 0))</f>
        <v>#N/A</v>
      </c>
      <c r="AG2189" s="43" t="str">
        <f t="array" ref="AG2189">INDEX('Deal Info'!G:G, MATCH(A2189,'Deal Info'!A:A, 0))</f>
        <v>#N/A</v>
      </c>
    </row>
    <row r="2190" hidden="1">
      <c r="A2190" s="23" t="b">
        <f t="array" ref="A2190">if(G2190='Room Info'!$B$1, INDEX('Room Info'!$A$2:$A3446, MATCH(B2190,'Room Info'!$B$2:$B3446, 0)),if(G2190='Room Info'!$C$1, INDEX('Room Info'!$A$2:$A3446, MATCH(B2190,'Room Info'!$C$2:$C3446, 0)),if(G2190='Room Info'!$D$1, INDEX('Room Info'!$A$2:$A3446, MATCH(B2190,'Room Info'!$D$2:$D3446, 0)),if(G2190='Room Info'!$E$1, INDEX('Room Info'!$A$2:$A3446, MATCH(B2190,'Room Info'!$E$2:$E3446, 0)),if(G2190='Room Info'!$F$1, INDEX('Room Info'!$A$2:$A3446, MATCH(B2190,'Room Info'!$F$2:$F3446, 0)),if(G2190='Room Info'!$H$1, INDEX('Room Info'!$A$2:$A3446, MATCH(B2190,'Room Info'!$H$2:$H3446, 0)),if(G2190='Room Info'!$G$1, INDEX('Room Info'!$A$2:$A3446, MATCH(B2190,'Room Info'!$G$2:$G3446, 0)))))))))</f>
        <v>0</v>
      </c>
      <c r="B2190" s="101"/>
      <c r="C2190" s="115"/>
      <c r="D2190" s="141"/>
      <c r="E2190" s="142"/>
      <c r="F2190" s="138"/>
      <c r="G2190" s="101"/>
      <c r="H2190" s="114"/>
      <c r="I2190" s="114"/>
      <c r="J2190" s="44" t="str">
        <f t="shared" si="311"/>
        <v/>
      </c>
      <c r="K2190" s="116"/>
      <c r="L2190" s="117"/>
      <c r="M2190" s="67"/>
      <c r="N2190" s="33">
        <f t="shared" si="276"/>
        <v>0</v>
      </c>
      <c r="O2190" s="70"/>
      <c r="P2190" s="34" t="str">
        <f t="shared" si="277"/>
        <v/>
      </c>
      <c r="Q2190" s="60"/>
      <c r="R2190" s="36">
        <f t="shared" si="312"/>
        <v>0</v>
      </c>
      <c r="S2190" s="71"/>
      <c r="T2190" s="37">
        <f t="shared" si="302"/>
        <v>0</v>
      </c>
      <c r="U2190" s="62"/>
      <c r="V2190" s="63"/>
      <c r="W2190" s="63"/>
      <c r="X2190" s="35" t="str">
        <f t="shared" si="303"/>
        <v>#N/A</v>
      </c>
      <c r="Y2190" s="35" t="str">
        <f t="shared" si="304"/>
        <v>#N/A</v>
      </c>
      <c r="Z2190" s="40" t="str">
        <f t="shared" si="305"/>
        <v>#N/A</v>
      </c>
      <c r="AA2190" s="34" t="str">
        <f t="shared" si="306"/>
        <v>#N/A</v>
      </c>
      <c r="AB2190" s="41" t="str">
        <f t="shared" si="307"/>
        <v>#N/A</v>
      </c>
      <c r="AC2190" s="42" t="b">
        <v>0</v>
      </c>
      <c r="AD2190" s="66" t="str">
        <f t="shared" si="308"/>
        <v>USD</v>
      </c>
      <c r="AE2190" s="42"/>
      <c r="AF2190" s="42" t="str">
        <f t="array" ref="AF2190">INDEX('Deal Info'!D:D, MATCH(A2190,'Deal Info'!A:A, 0))</f>
        <v>#N/A</v>
      </c>
      <c r="AG2190" s="43" t="str">
        <f t="array" ref="AG2190">INDEX('Deal Info'!G:G, MATCH(A2190,'Deal Info'!A:A, 0))</f>
        <v>#N/A</v>
      </c>
    </row>
    <row r="2191" hidden="1">
      <c r="A2191" s="23" t="b">
        <f t="array" ref="A2191">if(G2191='Room Info'!$B$1, INDEX('Room Info'!$A$2:$A3446, MATCH(B2191,'Room Info'!$B$2:$B3446, 0)),if(G2191='Room Info'!$C$1, INDEX('Room Info'!$A$2:$A3446, MATCH(B2191,'Room Info'!$C$2:$C3446, 0)),if(G2191='Room Info'!$D$1, INDEX('Room Info'!$A$2:$A3446, MATCH(B2191,'Room Info'!$D$2:$D3446, 0)),if(G2191='Room Info'!$E$1, INDEX('Room Info'!$A$2:$A3446, MATCH(B2191,'Room Info'!$E$2:$E3446, 0)),if(G2191='Room Info'!$F$1, INDEX('Room Info'!$A$2:$A3446, MATCH(B2191,'Room Info'!$F$2:$F3446, 0)),if(G2191='Room Info'!$H$1, INDEX('Room Info'!$A$2:$A3446, MATCH(B2191,'Room Info'!$H$2:$H3446, 0)),if(G2191='Room Info'!$G$1, INDEX('Room Info'!$A$2:$A3446, MATCH(B2191,'Room Info'!$G$2:$G3446, 0)))))))))</f>
        <v>0</v>
      </c>
      <c r="B2191" s="101"/>
      <c r="C2191" s="115"/>
      <c r="D2191" s="115"/>
      <c r="E2191" s="85"/>
      <c r="F2191" s="138"/>
      <c r="G2191" s="101"/>
      <c r="H2191" s="114"/>
      <c r="I2191" s="114"/>
      <c r="J2191" s="44" t="str">
        <f t="shared" si="311"/>
        <v/>
      </c>
      <c r="K2191" s="116"/>
      <c r="L2191" s="117"/>
      <c r="M2191" s="67"/>
      <c r="N2191" s="33">
        <f t="shared" si="276"/>
        <v>0</v>
      </c>
      <c r="O2191" s="70"/>
      <c r="P2191" s="34" t="str">
        <f t="shared" si="277"/>
        <v/>
      </c>
      <c r="Q2191" s="60"/>
      <c r="R2191" s="36">
        <f t="shared" si="312"/>
        <v>0</v>
      </c>
      <c r="S2191" s="71"/>
      <c r="T2191" s="37">
        <f t="shared" si="302"/>
        <v>0</v>
      </c>
      <c r="U2191" s="62"/>
      <c r="V2191" s="63"/>
      <c r="W2191" s="63"/>
      <c r="X2191" s="35" t="str">
        <f t="shared" si="303"/>
        <v>#N/A</v>
      </c>
      <c r="Y2191" s="35" t="str">
        <f t="shared" si="304"/>
        <v>#N/A</v>
      </c>
      <c r="Z2191" s="40" t="str">
        <f t="shared" si="305"/>
        <v>#N/A</v>
      </c>
      <c r="AA2191" s="34" t="str">
        <f t="shared" si="306"/>
        <v>#N/A</v>
      </c>
      <c r="AB2191" s="41" t="str">
        <f t="shared" si="307"/>
        <v>#N/A</v>
      </c>
      <c r="AC2191" s="42" t="b">
        <v>0</v>
      </c>
      <c r="AD2191" s="66" t="str">
        <f t="shared" si="308"/>
        <v>USD</v>
      </c>
      <c r="AE2191" s="42"/>
      <c r="AF2191" s="42" t="str">
        <f t="array" ref="AF2191">INDEX('Deal Info'!D:D, MATCH(A2191,'Deal Info'!A:A, 0))</f>
        <v>#N/A</v>
      </c>
      <c r="AG2191" s="43" t="str">
        <f t="array" ref="AG2191">INDEX('Deal Info'!G:G, MATCH(A2191,'Deal Info'!A:A, 0))</f>
        <v>#N/A</v>
      </c>
    </row>
    <row r="2192" hidden="1">
      <c r="A2192" s="23" t="b">
        <f t="array" ref="A2192">if(G2192='Room Info'!$B$1, INDEX('Room Info'!$A$2:$A3446, MATCH(B2192,'Room Info'!$B$2:$B3446, 0)),if(G2192='Room Info'!$C$1, INDEX('Room Info'!$A$2:$A3446, MATCH(B2192,'Room Info'!$C$2:$C3446, 0)),if(G2192='Room Info'!$D$1, INDEX('Room Info'!$A$2:$A3446, MATCH(B2192,'Room Info'!$D$2:$D3446, 0)),if(G2192='Room Info'!$E$1, INDEX('Room Info'!$A$2:$A3446, MATCH(B2192,'Room Info'!$E$2:$E3446, 0)),if(G2192='Room Info'!$F$1, INDEX('Room Info'!$A$2:$A3446, MATCH(B2192,'Room Info'!$F$2:$F3446, 0)),if(G2192='Room Info'!$H$1, INDEX('Room Info'!$A$2:$A3446, MATCH(B2192,'Room Info'!$H$2:$H3446, 0)),if(G2192='Room Info'!$G$1, INDEX('Room Info'!$A$2:$A3446, MATCH(B2192,'Room Info'!$G$2:$G3446, 0)))))))))</f>
        <v>0</v>
      </c>
      <c r="B2192" s="101"/>
      <c r="C2192" s="115"/>
      <c r="D2192" s="115"/>
      <c r="E2192" s="85"/>
      <c r="F2192" s="138"/>
      <c r="G2192" s="101"/>
      <c r="H2192" s="114"/>
      <c r="I2192" s="114"/>
      <c r="J2192" s="44" t="str">
        <f t="shared" si="311"/>
        <v/>
      </c>
      <c r="K2192" s="116"/>
      <c r="L2192" s="117"/>
      <c r="M2192" s="67"/>
      <c r="N2192" s="33">
        <f t="shared" si="276"/>
        <v>0</v>
      </c>
      <c r="O2192" s="70"/>
      <c r="P2192" s="34" t="str">
        <f t="shared" si="277"/>
        <v/>
      </c>
      <c r="Q2192" s="60"/>
      <c r="R2192" s="36">
        <f t="shared" si="312"/>
        <v>0</v>
      </c>
      <c r="S2192" s="71"/>
      <c r="T2192" s="37">
        <f t="shared" si="302"/>
        <v>0</v>
      </c>
      <c r="U2192" s="62"/>
      <c r="V2192" s="63"/>
      <c r="W2192" s="63"/>
      <c r="X2192" s="35" t="str">
        <f t="shared" si="303"/>
        <v>#N/A</v>
      </c>
      <c r="Y2192" s="35" t="str">
        <f t="shared" si="304"/>
        <v>#N/A</v>
      </c>
      <c r="Z2192" s="40" t="str">
        <f t="shared" si="305"/>
        <v>#N/A</v>
      </c>
      <c r="AA2192" s="34" t="str">
        <f t="shared" si="306"/>
        <v>#N/A</v>
      </c>
      <c r="AB2192" s="41" t="str">
        <f t="shared" si="307"/>
        <v>#N/A</v>
      </c>
      <c r="AC2192" s="42" t="b">
        <v>0</v>
      </c>
      <c r="AD2192" s="66" t="str">
        <f t="shared" si="308"/>
        <v>USD</v>
      </c>
      <c r="AE2192" s="42"/>
      <c r="AF2192" s="42" t="str">
        <f t="array" ref="AF2192">INDEX('Deal Info'!D:D, MATCH(A2192,'Deal Info'!A:A, 0))</f>
        <v>#N/A</v>
      </c>
      <c r="AG2192" s="43" t="str">
        <f t="array" ref="AG2192">INDEX('Deal Info'!G:G, MATCH(A2192,'Deal Info'!A:A, 0))</f>
        <v>#N/A</v>
      </c>
    </row>
    <row r="2193" hidden="1">
      <c r="A2193" s="23" t="b">
        <f t="array" ref="A2193">if(G2193='Room Info'!$B$1, INDEX('Room Info'!$A$2:$A3446, MATCH(B2193,'Room Info'!$B$2:$B3446, 0)),if(G2193='Room Info'!$C$1, INDEX('Room Info'!$A$2:$A3446, MATCH(B2193,'Room Info'!$C$2:$C3446, 0)),if(G2193='Room Info'!$D$1, INDEX('Room Info'!$A$2:$A3446, MATCH(B2193,'Room Info'!$D$2:$D3446, 0)),if(G2193='Room Info'!$E$1, INDEX('Room Info'!$A$2:$A3446, MATCH(B2193,'Room Info'!$E$2:$E3446, 0)),if(G2193='Room Info'!$F$1, INDEX('Room Info'!$A$2:$A3446, MATCH(B2193,'Room Info'!$F$2:$F3446, 0)),if(G2193='Room Info'!$H$1, INDEX('Room Info'!$A$2:$A3446, MATCH(B2193,'Room Info'!$H$2:$H3446, 0)),if(G2193='Room Info'!$G$1, INDEX('Room Info'!$A$2:$A3446, MATCH(B2193,'Room Info'!$G$2:$G3446, 0)))))))))</f>
        <v>0</v>
      </c>
      <c r="B2193" s="101"/>
      <c r="C2193" s="115"/>
      <c r="D2193" s="115"/>
      <c r="E2193" s="85"/>
      <c r="F2193" s="138"/>
      <c r="G2193" s="101"/>
      <c r="H2193" s="114"/>
      <c r="I2193" s="114"/>
      <c r="J2193" s="44" t="str">
        <f t="shared" si="311"/>
        <v/>
      </c>
      <c r="K2193" s="116"/>
      <c r="L2193" s="117"/>
      <c r="M2193" s="67"/>
      <c r="N2193" s="33">
        <f t="shared" si="276"/>
        <v>0</v>
      </c>
      <c r="O2193" s="70"/>
      <c r="P2193" s="34" t="str">
        <f t="shared" si="277"/>
        <v/>
      </c>
      <c r="Q2193" s="60"/>
      <c r="R2193" s="36">
        <f t="shared" si="312"/>
        <v>0</v>
      </c>
      <c r="S2193" s="71"/>
      <c r="T2193" s="37">
        <f t="shared" si="302"/>
        <v>0</v>
      </c>
      <c r="U2193" s="62"/>
      <c r="V2193" s="63"/>
      <c r="W2193" s="63"/>
      <c r="X2193" s="35" t="str">
        <f t="shared" si="303"/>
        <v>#N/A</v>
      </c>
      <c r="Y2193" s="35" t="str">
        <f t="shared" si="304"/>
        <v>#N/A</v>
      </c>
      <c r="Z2193" s="40" t="str">
        <f t="shared" si="305"/>
        <v>#N/A</v>
      </c>
      <c r="AA2193" s="34" t="str">
        <f t="shared" si="306"/>
        <v>#N/A</v>
      </c>
      <c r="AB2193" s="41" t="str">
        <f t="shared" si="307"/>
        <v>#N/A</v>
      </c>
      <c r="AC2193" s="42" t="b">
        <v>0</v>
      </c>
      <c r="AD2193" s="66" t="str">
        <f t="shared" si="308"/>
        <v>USD</v>
      </c>
      <c r="AE2193" s="42"/>
      <c r="AF2193" s="42" t="str">
        <f t="array" ref="AF2193">INDEX('Deal Info'!D:D, MATCH(A2193,'Deal Info'!A:A, 0))</f>
        <v>#N/A</v>
      </c>
      <c r="AG2193" s="43" t="str">
        <f t="array" ref="AG2193">INDEX('Deal Info'!G:G, MATCH(A2193,'Deal Info'!A:A, 0))</f>
        <v>#N/A</v>
      </c>
    </row>
    <row r="2194" hidden="1">
      <c r="A2194" s="23" t="b">
        <f t="array" ref="A2194">if(G2194='Room Info'!$B$1, INDEX('Room Info'!$A$2:$A3446, MATCH(B2194,'Room Info'!$B$2:$B3446, 0)),if(G2194='Room Info'!$C$1, INDEX('Room Info'!$A$2:$A3446, MATCH(B2194,'Room Info'!$C$2:$C3446, 0)),if(G2194='Room Info'!$D$1, INDEX('Room Info'!$A$2:$A3446, MATCH(B2194,'Room Info'!$D$2:$D3446, 0)),if(G2194='Room Info'!$E$1, INDEX('Room Info'!$A$2:$A3446, MATCH(B2194,'Room Info'!$E$2:$E3446, 0)),if(G2194='Room Info'!$F$1, INDEX('Room Info'!$A$2:$A3446, MATCH(B2194,'Room Info'!$F$2:$F3446, 0)),if(G2194='Room Info'!$H$1, INDEX('Room Info'!$A$2:$A3446, MATCH(B2194,'Room Info'!$H$2:$H3446, 0)),if(G2194='Room Info'!$G$1, INDEX('Room Info'!$A$2:$A3446, MATCH(B2194,'Room Info'!$G$2:$G3446, 0)))))))))</f>
        <v>0</v>
      </c>
      <c r="B2194" s="101"/>
      <c r="C2194" s="115"/>
      <c r="D2194" s="115"/>
      <c r="E2194" s="85"/>
      <c r="F2194" s="138"/>
      <c r="G2194" s="101"/>
      <c r="H2194" s="114"/>
      <c r="I2194" s="114"/>
      <c r="J2194" s="44" t="str">
        <f t="shared" si="311"/>
        <v/>
      </c>
      <c r="K2194" s="116"/>
      <c r="L2194" s="117"/>
      <c r="M2194" s="67"/>
      <c r="N2194" s="33">
        <f t="shared" si="276"/>
        <v>0</v>
      </c>
      <c r="O2194" s="70"/>
      <c r="P2194" s="34" t="str">
        <f t="shared" si="277"/>
        <v/>
      </c>
      <c r="Q2194" s="60"/>
      <c r="R2194" s="36">
        <f t="shared" si="312"/>
        <v>0</v>
      </c>
      <c r="S2194" s="71"/>
      <c r="T2194" s="37">
        <f t="shared" si="302"/>
        <v>0</v>
      </c>
      <c r="U2194" s="62"/>
      <c r="V2194" s="63"/>
      <c r="W2194" s="63"/>
      <c r="X2194" s="35" t="str">
        <f t="shared" si="303"/>
        <v>#N/A</v>
      </c>
      <c r="Y2194" s="35" t="str">
        <f t="shared" si="304"/>
        <v>#N/A</v>
      </c>
      <c r="Z2194" s="40" t="str">
        <f t="shared" si="305"/>
        <v>#N/A</v>
      </c>
      <c r="AA2194" s="34" t="str">
        <f t="shared" si="306"/>
        <v>#N/A</v>
      </c>
      <c r="AB2194" s="41" t="str">
        <f t="shared" si="307"/>
        <v>#N/A</v>
      </c>
      <c r="AC2194" s="42" t="b">
        <v>0</v>
      </c>
      <c r="AD2194" s="66" t="str">
        <f t="shared" si="308"/>
        <v>USD</v>
      </c>
      <c r="AE2194" s="42"/>
      <c r="AF2194" s="42" t="str">
        <f t="array" ref="AF2194">INDEX('Deal Info'!D:D, MATCH(A2194,'Deal Info'!A:A, 0))</f>
        <v>#N/A</v>
      </c>
      <c r="AG2194" s="43" t="str">
        <f t="array" ref="AG2194">INDEX('Deal Info'!G:G, MATCH(A2194,'Deal Info'!A:A, 0))</f>
        <v>#N/A</v>
      </c>
    </row>
    <row r="2195" hidden="1">
      <c r="A2195" s="23" t="b">
        <f t="array" ref="A2195">if(G2195='Room Info'!$B$1, INDEX('Room Info'!$A$2:$A3446, MATCH(B2195,'Room Info'!$B$2:$B3446, 0)),if(G2195='Room Info'!$C$1, INDEX('Room Info'!$A$2:$A3446, MATCH(B2195,'Room Info'!$C$2:$C3446, 0)),if(G2195='Room Info'!$D$1, INDEX('Room Info'!$A$2:$A3446, MATCH(B2195,'Room Info'!$D$2:$D3446, 0)),if(G2195='Room Info'!$E$1, INDEX('Room Info'!$A$2:$A3446, MATCH(B2195,'Room Info'!$E$2:$E3446, 0)),if(G2195='Room Info'!$F$1, INDEX('Room Info'!$A$2:$A3446, MATCH(B2195,'Room Info'!$F$2:$F3446, 0)),if(G2195='Room Info'!$H$1, INDEX('Room Info'!$A$2:$A3446, MATCH(B2195,'Room Info'!$H$2:$H3446, 0)),if(G2195='Room Info'!$G$1, INDEX('Room Info'!$A$2:$A3446, MATCH(B2195,'Room Info'!$G$2:$G3446, 0)))))))))</f>
        <v>0</v>
      </c>
      <c r="B2195" s="101"/>
      <c r="C2195" s="115"/>
      <c r="D2195" s="115"/>
      <c r="E2195" s="85"/>
      <c r="F2195" s="138"/>
      <c r="G2195" s="101"/>
      <c r="H2195" s="114"/>
      <c r="I2195" s="114"/>
      <c r="J2195" s="44" t="str">
        <f t="shared" si="311"/>
        <v/>
      </c>
      <c r="K2195" s="116"/>
      <c r="L2195" s="117"/>
      <c r="M2195" s="67"/>
      <c r="N2195" s="33">
        <f t="shared" si="276"/>
        <v>0</v>
      </c>
      <c r="O2195" s="70"/>
      <c r="P2195" s="34" t="str">
        <f t="shared" si="277"/>
        <v/>
      </c>
      <c r="Q2195" s="60"/>
      <c r="R2195" s="36">
        <f t="shared" si="312"/>
        <v>0</v>
      </c>
      <c r="S2195" s="71"/>
      <c r="T2195" s="37">
        <f t="shared" si="302"/>
        <v>0</v>
      </c>
      <c r="U2195" s="62"/>
      <c r="V2195" s="63"/>
      <c r="W2195" s="63"/>
      <c r="X2195" s="35" t="str">
        <f t="shared" si="303"/>
        <v>#N/A</v>
      </c>
      <c r="Y2195" s="35" t="str">
        <f t="shared" si="304"/>
        <v>#N/A</v>
      </c>
      <c r="Z2195" s="40" t="str">
        <f t="shared" si="305"/>
        <v>#N/A</v>
      </c>
      <c r="AA2195" s="34" t="str">
        <f t="shared" si="306"/>
        <v>#N/A</v>
      </c>
      <c r="AB2195" s="41" t="str">
        <f t="shared" si="307"/>
        <v>#N/A</v>
      </c>
      <c r="AC2195" s="42" t="b">
        <v>0</v>
      </c>
      <c r="AD2195" s="66" t="str">
        <f t="shared" si="308"/>
        <v>USD</v>
      </c>
      <c r="AE2195" s="42"/>
      <c r="AF2195" s="42" t="str">
        <f t="array" ref="AF2195">INDEX('Deal Info'!D:D, MATCH(A2195,'Deal Info'!A:A, 0))</f>
        <v>#N/A</v>
      </c>
      <c r="AG2195" s="43" t="str">
        <f t="array" ref="AG2195">INDEX('Deal Info'!G:G, MATCH(A2195,'Deal Info'!A:A, 0))</f>
        <v>#N/A</v>
      </c>
    </row>
    <row r="2196" hidden="1">
      <c r="A2196" s="23" t="b">
        <f t="array" ref="A2196">if(G2196='Room Info'!$B$1, INDEX('Room Info'!$A$2:$A3446, MATCH(B2196,'Room Info'!$B$2:$B3446, 0)),if(G2196='Room Info'!$C$1, INDEX('Room Info'!$A$2:$A3446, MATCH(B2196,'Room Info'!$C$2:$C3446, 0)),if(G2196='Room Info'!$D$1, INDEX('Room Info'!$A$2:$A3446, MATCH(B2196,'Room Info'!$D$2:$D3446, 0)),if(G2196='Room Info'!$E$1, INDEX('Room Info'!$A$2:$A3446, MATCH(B2196,'Room Info'!$E$2:$E3446, 0)),if(G2196='Room Info'!$F$1, INDEX('Room Info'!$A$2:$A3446, MATCH(B2196,'Room Info'!$F$2:$F3446, 0)),if(G2196='Room Info'!$H$1, INDEX('Room Info'!$A$2:$A3446, MATCH(B2196,'Room Info'!$H$2:$H3446, 0)),if(G2196='Room Info'!$G$1, INDEX('Room Info'!$A$2:$A3446, MATCH(B2196,'Room Info'!$G$2:$G3446, 0)))))))))</f>
        <v>0</v>
      </c>
      <c r="B2196" s="101"/>
      <c r="C2196" s="115"/>
      <c r="D2196" s="115"/>
      <c r="E2196" s="85"/>
      <c r="F2196" s="138"/>
      <c r="G2196" s="101"/>
      <c r="H2196" s="114"/>
      <c r="I2196" s="114"/>
      <c r="J2196" s="44" t="str">
        <f t="shared" si="311"/>
        <v/>
      </c>
      <c r="K2196" s="116"/>
      <c r="L2196" s="117"/>
      <c r="M2196" s="67"/>
      <c r="N2196" s="33">
        <f t="shared" si="276"/>
        <v>0</v>
      </c>
      <c r="O2196" s="70"/>
      <c r="P2196" s="34" t="str">
        <f t="shared" si="277"/>
        <v/>
      </c>
      <c r="Q2196" s="60"/>
      <c r="R2196" s="36">
        <f t="shared" si="312"/>
        <v>0</v>
      </c>
      <c r="S2196" s="71"/>
      <c r="T2196" s="37">
        <f t="shared" si="302"/>
        <v>0</v>
      </c>
      <c r="U2196" s="62"/>
      <c r="V2196" s="63"/>
      <c r="W2196" s="63"/>
      <c r="X2196" s="35" t="str">
        <f t="shared" si="303"/>
        <v>#N/A</v>
      </c>
      <c r="Y2196" s="35" t="str">
        <f t="shared" si="304"/>
        <v>#N/A</v>
      </c>
      <c r="Z2196" s="40" t="str">
        <f t="shared" si="305"/>
        <v>#N/A</v>
      </c>
      <c r="AA2196" s="34" t="str">
        <f t="shared" si="306"/>
        <v>#N/A</v>
      </c>
      <c r="AB2196" s="41" t="str">
        <f t="shared" si="307"/>
        <v>#N/A</v>
      </c>
      <c r="AC2196" s="42" t="b">
        <v>0</v>
      </c>
      <c r="AD2196" s="66" t="str">
        <f t="shared" si="308"/>
        <v>USD</v>
      </c>
      <c r="AE2196" s="42"/>
      <c r="AF2196" s="42" t="str">
        <f t="array" ref="AF2196">INDEX('Deal Info'!D:D, MATCH(A2196,'Deal Info'!A:A, 0))</f>
        <v>#N/A</v>
      </c>
      <c r="AG2196" s="43" t="str">
        <f t="array" ref="AG2196">INDEX('Deal Info'!G:G, MATCH(A2196,'Deal Info'!A:A, 0))</f>
        <v>#N/A</v>
      </c>
    </row>
    <row r="2197" hidden="1">
      <c r="A2197" s="23" t="b">
        <f t="array" ref="A2197">if(G2197='Room Info'!$B$1, INDEX('Room Info'!$A$2:$A3446, MATCH(B2197,'Room Info'!$B$2:$B3446, 0)),if(G2197='Room Info'!$C$1, INDEX('Room Info'!$A$2:$A3446, MATCH(B2197,'Room Info'!$C$2:$C3446, 0)),if(G2197='Room Info'!$D$1, INDEX('Room Info'!$A$2:$A3446, MATCH(B2197,'Room Info'!$D$2:$D3446, 0)),if(G2197='Room Info'!$E$1, INDEX('Room Info'!$A$2:$A3446, MATCH(B2197,'Room Info'!$E$2:$E3446, 0)),if(G2197='Room Info'!$F$1, INDEX('Room Info'!$A$2:$A3446, MATCH(B2197,'Room Info'!$F$2:$F3446, 0)),if(G2197='Room Info'!$H$1, INDEX('Room Info'!$A$2:$A3446, MATCH(B2197,'Room Info'!$H$2:$H3446, 0)),if(G2197='Room Info'!$G$1, INDEX('Room Info'!$A$2:$A3446, MATCH(B2197,'Room Info'!$G$2:$G3446, 0)))))))))</f>
        <v>0</v>
      </c>
      <c r="B2197" s="101"/>
      <c r="C2197" s="115"/>
      <c r="D2197" s="115"/>
      <c r="E2197" s="85"/>
      <c r="F2197" s="138"/>
      <c r="G2197" s="101"/>
      <c r="H2197" s="114"/>
      <c r="I2197" s="114"/>
      <c r="J2197" s="44" t="str">
        <f t="shared" si="311"/>
        <v/>
      </c>
      <c r="K2197" s="116"/>
      <c r="L2197" s="117"/>
      <c r="M2197" s="67"/>
      <c r="N2197" s="33">
        <f t="shared" si="276"/>
        <v>0</v>
      </c>
      <c r="O2197" s="70"/>
      <c r="P2197" s="34" t="str">
        <f t="shared" si="277"/>
        <v/>
      </c>
      <c r="Q2197" s="60"/>
      <c r="R2197" s="36">
        <f t="shared" si="312"/>
        <v>0</v>
      </c>
      <c r="S2197" s="71"/>
      <c r="T2197" s="37">
        <f t="shared" si="302"/>
        <v>0</v>
      </c>
      <c r="U2197" s="62"/>
      <c r="V2197" s="63"/>
      <c r="W2197" s="63"/>
      <c r="X2197" s="35" t="str">
        <f t="shared" si="303"/>
        <v>#N/A</v>
      </c>
      <c r="Y2197" s="35" t="str">
        <f t="shared" si="304"/>
        <v>#N/A</v>
      </c>
      <c r="Z2197" s="40" t="str">
        <f t="shared" si="305"/>
        <v>#N/A</v>
      </c>
      <c r="AA2197" s="34" t="str">
        <f t="shared" si="306"/>
        <v>#N/A</v>
      </c>
      <c r="AB2197" s="41" t="str">
        <f t="shared" si="307"/>
        <v>#N/A</v>
      </c>
      <c r="AC2197" s="42" t="b">
        <v>0</v>
      </c>
      <c r="AD2197" s="66" t="str">
        <f t="shared" si="308"/>
        <v>USD</v>
      </c>
      <c r="AE2197" s="42"/>
      <c r="AF2197" s="42" t="str">
        <f t="array" ref="AF2197">INDEX('Deal Info'!D:D, MATCH(A2197,'Deal Info'!A:A, 0))</f>
        <v>#N/A</v>
      </c>
      <c r="AG2197" s="43" t="str">
        <f t="array" ref="AG2197">INDEX('Deal Info'!G:G, MATCH(A2197,'Deal Info'!A:A, 0))</f>
        <v>#N/A</v>
      </c>
    </row>
    <row r="2198" hidden="1">
      <c r="A2198" s="23" t="b">
        <f t="array" ref="A2198">if(G2198='Room Info'!$B$1, INDEX('Room Info'!$A$2:$A3446, MATCH(B2198,'Room Info'!$B$2:$B3446, 0)),if(G2198='Room Info'!$C$1, INDEX('Room Info'!$A$2:$A3446, MATCH(B2198,'Room Info'!$C$2:$C3446, 0)),if(G2198='Room Info'!$D$1, INDEX('Room Info'!$A$2:$A3446, MATCH(B2198,'Room Info'!$D$2:$D3446, 0)),if(G2198='Room Info'!$E$1, INDEX('Room Info'!$A$2:$A3446, MATCH(B2198,'Room Info'!$E$2:$E3446, 0)),if(G2198='Room Info'!$F$1, INDEX('Room Info'!$A$2:$A3446, MATCH(B2198,'Room Info'!$F$2:$F3446, 0)),if(G2198='Room Info'!$H$1, INDEX('Room Info'!$A$2:$A3446, MATCH(B2198,'Room Info'!$H$2:$H3446, 0)),if(G2198='Room Info'!$G$1, INDEX('Room Info'!$A$2:$A3446, MATCH(B2198,'Room Info'!$G$2:$G3446, 0)))))))))</f>
        <v>0</v>
      </c>
      <c r="B2198" s="101"/>
      <c r="C2198" s="141"/>
      <c r="D2198" s="115"/>
      <c r="E2198" s="85"/>
      <c r="F2198" s="138"/>
      <c r="G2198" s="101"/>
      <c r="H2198" s="105"/>
      <c r="I2198" s="105"/>
      <c r="J2198" s="44" t="str">
        <f t="shared" si="311"/>
        <v/>
      </c>
      <c r="K2198" s="116"/>
      <c r="L2198" s="117"/>
      <c r="M2198" s="67"/>
      <c r="N2198" s="33">
        <f t="shared" si="276"/>
        <v>0</v>
      </c>
      <c r="O2198" s="70"/>
      <c r="P2198" s="34" t="str">
        <f t="shared" si="277"/>
        <v/>
      </c>
      <c r="Q2198" s="60"/>
      <c r="R2198" s="36">
        <f t="shared" si="312"/>
        <v>0</v>
      </c>
      <c r="S2198" s="71"/>
      <c r="T2198" s="37">
        <f t="shared" si="302"/>
        <v>0</v>
      </c>
      <c r="U2198" s="62"/>
      <c r="V2198" s="63"/>
      <c r="W2198" s="63"/>
      <c r="X2198" s="35" t="str">
        <f t="shared" si="303"/>
        <v>#N/A</v>
      </c>
      <c r="Y2198" s="35" t="str">
        <f t="shared" si="304"/>
        <v>#N/A</v>
      </c>
      <c r="Z2198" s="40" t="str">
        <f t="shared" si="305"/>
        <v>#N/A</v>
      </c>
      <c r="AA2198" s="34" t="str">
        <f t="shared" si="306"/>
        <v>#N/A</v>
      </c>
      <c r="AB2198" s="41" t="str">
        <f t="shared" si="307"/>
        <v>#N/A</v>
      </c>
      <c r="AC2198" s="42" t="b">
        <v>0</v>
      </c>
      <c r="AD2198" s="66" t="str">
        <f t="shared" si="308"/>
        <v>USD</v>
      </c>
      <c r="AE2198" s="42"/>
      <c r="AF2198" s="42" t="str">
        <f t="array" ref="AF2198">INDEX('Deal Info'!D:D, MATCH(A2198,'Deal Info'!A:A, 0))</f>
        <v>#N/A</v>
      </c>
      <c r="AG2198" s="43" t="str">
        <f t="array" ref="AG2198">INDEX('Deal Info'!G:G, MATCH(A2198,'Deal Info'!A:A, 0))</f>
        <v>#N/A</v>
      </c>
    </row>
    <row r="2199" hidden="1">
      <c r="A2199" s="23" t="b">
        <f t="array" ref="A2199">if(G2199='Room Info'!$B$1, INDEX('Room Info'!$A$2:$A3446, MATCH(B2199,'Room Info'!$B$2:$B3446, 0)),if(G2199='Room Info'!$C$1, INDEX('Room Info'!$A$2:$A3446, MATCH(B2199,'Room Info'!$C$2:$C3446, 0)),if(G2199='Room Info'!$D$1, INDEX('Room Info'!$A$2:$A3446, MATCH(B2199,'Room Info'!$D$2:$D3446, 0)),if(G2199='Room Info'!$E$1, INDEX('Room Info'!$A$2:$A3446, MATCH(B2199,'Room Info'!$E$2:$E3446, 0)),if(G2199='Room Info'!$F$1, INDEX('Room Info'!$A$2:$A3446, MATCH(B2199,'Room Info'!$F$2:$F3446, 0)),if(G2199='Room Info'!$H$1, INDEX('Room Info'!$A$2:$A3446, MATCH(B2199,'Room Info'!$H$2:$H3446, 0)),if(G2199='Room Info'!$G$1, INDEX('Room Info'!$A$2:$A3446, MATCH(B2199,'Room Info'!$G$2:$G3446, 0)))))))))</f>
        <v>0</v>
      </c>
      <c r="B2199" s="101"/>
      <c r="C2199" s="141"/>
      <c r="D2199" s="115"/>
      <c r="E2199" s="85"/>
      <c r="F2199" s="138"/>
      <c r="G2199" s="101"/>
      <c r="H2199" s="105"/>
      <c r="I2199" s="105"/>
      <c r="J2199" s="44" t="str">
        <f t="shared" si="311"/>
        <v/>
      </c>
      <c r="K2199" s="116"/>
      <c r="L2199" s="117"/>
      <c r="M2199" s="67"/>
      <c r="N2199" s="33">
        <f t="shared" si="276"/>
        <v>0</v>
      </c>
      <c r="O2199" s="70"/>
      <c r="P2199" s="34" t="str">
        <f t="shared" si="277"/>
        <v/>
      </c>
      <c r="Q2199" s="60"/>
      <c r="R2199" s="36">
        <f t="shared" si="312"/>
        <v>0</v>
      </c>
      <c r="S2199" s="71"/>
      <c r="T2199" s="37">
        <f t="shared" si="302"/>
        <v>0</v>
      </c>
      <c r="U2199" s="62"/>
      <c r="V2199" s="63"/>
      <c r="W2199" s="63"/>
      <c r="X2199" s="35" t="str">
        <f t="shared" si="303"/>
        <v>#N/A</v>
      </c>
      <c r="Y2199" s="35" t="str">
        <f t="shared" si="304"/>
        <v>#N/A</v>
      </c>
      <c r="Z2199" s="40" t="str">
        <f t="shared" si="305"/>
        <v>#N/A</v>
      </c>
      <c r="AA2199" s="34" t="str">
        <f t="shared" si="306"/>
        <v>#N/A</v>
      </c>
      <c r="AB2199" s="41" t="str">
        <f t="shared" si="307"/>
        <v>#N/A</v>
      </c>
      <c r="AC2199" s="42" t="b">
        <v>0</v>
      </c>
      <c r="AD2199" s="66" t="str">
        <f t="shared" si="308"/>
        <v>USD</v>
      </c>
      <c r="AE2199" s="42"/>
      <c r="AF2199" s="42" t="str">
        <f t="array" ref="AF2199">INDEX('Deal Info'!D:D, MATCH(A2199,'Deal Info'!A:A, 0))</f>
        <v>#N/A</v>
      </c>
      <c r="AG2199" s="43" t="str">
        <f t="array" ref="AG2199">INDEX('Deal Info'!G:G, MATCH(A2199,'Deal Info'!A:A, 0))</f>
        <v>#N/A</v>
      </c>
    </row>
    <row r="2200" hidden="1">
      <c r="A2200" s="23" t="b">
        <f t="array" ref="A2200">if(G2200='Room Info'!$B$1, INDEX('Room Info'!$A$2:$A3446, MATCH(B2200,'Room Info'!$B$2:$B3446, 0)),if(G2200='Room Info'!$C$1, INDEX('Room Info'!$A$2:$A3446, MATCH(B2200,'Room Info'!$C$2:$C3446, 0)),if(G2200='Room Info'!$D$1, INDEX('Room Info'!$A$2:$A3446, MATCH(B2200,'Room Info'!$D$2:$D3446, 0)),if(G2200='Room Info'!$E$1, INDEX('Room Info'!$A$2:$A3446, MATCH(B2200,'Room Info'!$E$2:$E3446, 0)),if(G2200='Room Info'!$F$1, INDEX('Room Info'!$A$2:$A3446, MATCH(B2200,'Room Info'!$F$2:$F3446, 0)),if(G2200='Room Info'!$H$1, INDEX('Room Info'!$A$2:$A3446, MATCH(B2200,'Room Info'!$H$2:$H3446, 0)),if(G2200='Room Info'!$G$1, INDEX('Room Info'!$A$2:$A3446, MATCH(B2200,'Room Info'!$G$2:$G3446, 0)))))))))</f>
        <v>0</v>
      </c>
      <c r="B2200" s="101"/>
      <c r="C2200" s="141"/>
      <c r="D2200" s="115"/>
      <c r="E2200" s="85"/>
      <c r="F2200" s="138"/>
      <c r="G2200" s="101"/>
      <c r="H2200" s="114"/>
      <c r="I2200" s="114"/>
      <c r="J2200" s="44" t="str">
        <f t="shared" si="311"/>
        <v/>
      </c>
      <c r="K2200" s="116"/>
      <c r="L2200" s="117"/>
      <c r="M2200" s="67"/>
      <c r="N2200" s="33">
        <f t="shared" si="276"/>
        <v>0</v>
      </c>
      <c r="O2200" s="70"/>
      <c r="P2200" s="34" t="str">
        <f t="shared" si="277"/>
        <v/>
      </c>
      <c r="Q2200" s="60"/>
      <c r="R2200" s="36">
        <f t="shared" si="312"/>
        <v>0</v>
      </c>
      <c r="S2200" s="71"/>
      <c r="T2200" s="37">
        <f t="shared" si="302"/>
        <v>0</v>
      </c>
      <c r="U2200" s="62"/>
      <c r="V2200" s="63"/>
      <c r="W2200" s="63"/>
      <c r="X2200" s="35" t="str">
        <f t="shared" si="303"/>
        <v>#N/A</v>
      </c>
      <c r="Y2200" s="35" t="str">
        <f t="shared" si="304"/>
        <v>#N/A</v>
      </c>
      <c r="Z2200" s="40" t="str">
        <f t="shared" si="305"/>
        <v>#N/A</v>
      </c>
      <c r="AA2200" s="34" t="str">
        <f t="shared" si="306"/>
        <v>#N/A</v>
      </c>
      <c r="AB2200" s="41" t="str">
        <f t="shared" si="307"/>
        <v>#N/A</v>
      </c>
      <c r="AC2200" s="42" t="b">
        <v>0</v>
      </c>
      <c r="AD2200" s="66" t="str">
        <f t="shared" si="308"/>
        <v>USD</v>
      </c>
      <c r="AE2200" s="42"/>
      <c r="AF2200" s="42" t="str">
        <f t="array" ref="AF2200">INDEX('Deal Info'!D:D, MATCH(A2200,'Deal Info'!A:A, 0))</f>
        <v>#N/A</v>
      </c>
      <c r="AG2200" s="43" t="str">
        <f t="array" ref="AG2200">INDEX('Deal Info'!G:G, MATCH(A2200,'Deal Info'!A:A, 0))</f>
        <v>#N/A</v>
      </c>
    </row>
    <row r="2201" hidden="1">
      <c r="A2201" s="23" t="b">
        <f t="array" ref="A2201">if(G2201='Room Info'!$B$1, INDEX('Room Info'!$A$2:$A3446, MATCH(B2201,'Room Info'!$B$2:$B3446, 0)),if(G2201='Room Info'!$C$1, INDEX('Room Info'!$A$2:$A3446, MATCH(B2201,'Room Info'!$C$2:$C3446, 0)),if(G2201='Room Info'!$D$1, INDEX('Room Info'!$A$2:$A3446, MATCH(B2201,'Room Info'!$D$2:$D3446, 0)),if(G2201='Room Info'!$E$1, INDEX('Room Info'!$A$2:$A3446, MATCH(B2201,'Room Info'!$E$2:$E3446, 0)),if(G2201='Room Info'!$F$1, INDEX('Room Info'!$A$2:$A3446, MATCH(B2201,'Room Info'!$F$2:$F3446, 0)),if(G2201='Room Info'!$H$1, INDEX('Room Info'!$A$2:$A3446, MATCH(B2201,'Room Info'!$H$2:$H3446, 0)),if(G2201='Room Info'!$G$1, INDEX('Room Info'!$A$2:$A3446, MATCH(B2201,'Room Info'!$G$2:$G3446, 0)))))))))</f>
        <v>0</v>
      </c>
      <c r="B2201" s="101"/>
      <c r="C2201" s="115"/>
      <c r="D2201" s="115"/>
      <c r="E2201" s="85"/>
      <c r="F2201" s="138"/>
      <c r="G2201" s="70"/>
      <c r="H2201" s="70"/>
      <c r="I2201" s="70"/>
      <c r="J2201" s="44" t="str">
        <f t="shared" si="311"/>
        <v/>
      </c>
      <c r="K2201" s="116"/>
      <c r="L2201" s="117"/>
      <c r="M2201" s="67"/>
      <c r="N2201" s="33">
        <f t="shared" si="276"/>
        <v>0</v>
      </c>
      <c r="O2201" s="70"/>
      <c r="P2201" s="34" t="str">
        <f t="shared" si="277"/>
        <v/>
      </c>
      <c r="Q2201" s="60"/>
      <c r="R2201" s="36">
        <f t="shared" si="312"/>
        <v>0</v>
      </c>
      <c r="S2201" s="71"/>
      <c r="T2201" s="37">
        <f t="shared" si="302"/>
        <v>0</v>
      </c>
      <c r="U2201" s="62"/>
      <c r="V2201" s="63"/>
      <c r="W2201" s="63"/>
      <c r="X2201" s="35" t="str">
        <f t="shared" si="303"/>
        <v>#N/A</v>
      </c>
      <c r="Y2201" s="35" t="str">
        <f t="shared" si="304"/>
        <v>#N/A</v>
      </c>
      <c r="Z2201" s="40" t="str">
        <f t="shared" si="305"/>
        <v>#N/A</v>
      </c>
      <c r="AA2201" s="34" t="str">
        <f t="shared" si="306"/>
        <v>#N/A</v>
      </c>
      <c r="AB2201" s="41" t="str">
        <f t="shared" si="307"/>
        <v>#N/A</v>
      </c>
      <c r="AC2201" s="42" t="b">
        <v>0</v>
      </c>
      <c r="AD2201" s="66" t="str">
        <f t="shared" si="308"/>
        <v>USD</v>
      </c>
      <c r="AE2201" s="42"/>
      <c r="AF2201" s="42" t="str">
        <f t="array" ref="AF2201">INDEX('Deal Info'!D:D, MATCH(A2201,'Deal Info'!A:A, 0))</f>
        <v>#N/A</v>
      </c>
      <c r="AG2201" s="43" t="str">
        <f t="array" ref="AG2201">INDEX('Deal Info'!G:G, MATCH(A2201,'Deal Info'!A:A, 0))</f>
        <v>#N/A</v>
      </c>
    </row>
    <row r="2202" hidden="1">
      <c r="A2202" s="23" t="b">
        <f t="array" ref="A2202">if(G2202='Room Info'!$B$1, INDEX('Room Info'!$A$2:$A3446, MATCH(B2202,'Room Info'!$B$2:$B3446, 0)),if(G2202='Room Info'!$C$1, INDEX('Room Info'!$A$2:$A3446, MATCH(B2202,'Room Info'!$C$2:$C3446, 0)),if(G2202='Room Info'!$D$1, INDEX('Room Info'!$A$2:$A3446, MATCH(B2202,'Room Info'!$D$2:$D3446, 0)),if(G2202='Room Info'!$E$1, INDEX('Room Info'!$A$2:$A3446, MATCH(B2202,'Room Info'!$E$2:$E3446, 0)),if(G2202='Room Info'!$F$1, INDEX('Room Info'!$A$2:$A3446, MATCH(B2202,'Room Info'!$F$2:$F3446, 0)),if(G2202='Room Info'!$H$1, INDEX('Room Info'!$A$2:$A3446, MATCH(B2202,'Room Info'!$H$2:$H3446, 0)),if(G2202='Room Info'!$G$1, INDEX('Room Info'!$A$2:$A3446, MATCH(B2202,'Room Info'!$G$2:$G3446, 0)))))))))</f>
        <v>0</v>
      </c>
      <c r="B2202" s="70"/>
      <c r="C2202" s="115"/>
      <c r="D2202" s="115"/>
      <c r="E2202" s="85"/>
      <c r="F2202" s="101"/>
      <c r="G2202" s="70"/>
      <c r="H2202" s="114"/>
      <c r="I2202" s="114"/>
      <c r="J2202" s="44" t="str">
        <f t="shared" si="311"/>
        <v/>
      </c>
      <c r="K2202" s="139"/>
      <c r="L2202" s="140"/>
      <c r="M2202" s="67"/>
      <c r="N2202" s="33">
        <f t="shared" si="276"/>
        <v>0</v>
      </c>
      <c r="O2202" s="101"/>
      <c r="P2202" s="34" t="str">
        <f t="shared" si="277"/>
        <v/>
      </c>
      <c r="Q2202" s="60"/>
      <c r="R2202" s="36">
        <f t="shared" si="312"/>
        <v>0</v>
      </c>
      <c r="S2202" s="102"/>
      <c r="T2202" s="37">
        <f t="shared" si="302"/>
        <v>0</v>
      </c>
      <c r="U2202" s="62"/>
      <c r="V2202" s="63"/>
      <c r="W2202" s="63"/>
      <c r="X2202" s="35" t="str">
        <f t="shared" si="303"/>
        <v>#N/A</v>
      </c>
      <c r="Y2202" s="35" t="str">
        <f t="shared" si="304"/>
        <v>#N/A</v>
      </c>
      <c r="Z2202" s="40" t="str">
        <f t="shared" si="305"/>
        <v>#N/A</v>
      </c>
      <c r="AA2202" s="34" t="str">
        <f t="shared" si="306"/>
        <v>#N/A</v>
      </c>
      <c r="AB2202" s="41" t="str">
        <f t="shared" si="307"/>
        <v>#N/A</v>
      </c>
      <c r="AC2202" s="42" t="b">
        <v>0</v>
      </c>
      <c r="AD2202" s="66" t="str">
        <f t="shared" si="308"/>
        <v>USD</v>
      </c>
      <c r="AE2202" s="42"/>
      <c r="AF2202" s="42" t="str">
        <f t="array" ref="AF2202">INDEX('Deal Info'!D:D, MATCH(A2202,'Deal Info'!A:A, 0))</f>
        <v>#N/A</v>
      </c>
      <c r="AG2202" s="43" t="str">
        <f t="array" ref="AG2202">INDEX('Deal Info'!G:G, MATCH(A2202,'Deal Info'!A:A, 0))</f>
        <v>#N/A</v>
      </c>
    </row>
    <row r="2203" hidden="1">
      <c r="A2203" s="23" t="b">
        <f t="array" ref="A2203">if(G2203='Room Info'!$B$1, INDEX('Room Info'!$A$2:$A3446, MATCH(B2203,'Room Info'!$B$2:$B3446, 0)),if(G2203='Room Info'!$C$1, INDEX('Room Info'!$A$2:$A3446, MATCH(B2203,'Room Info'!$C$2:$C3446, 0)),if(G2203='Room Info'!$D$1, INDEX('Room Info'!$A$2:$A3446, MATCH(B2203,'Room Info'!$D$2:$D3446, 0)),if(G2203='Room Info'!$E$1, INDEX('Room Info'!$A$2:$A3446, MATCH(B2203,'Room Info'!$E$2:$E3446, 0)),if(G2203='Room Info'!$F$1, INDEX('Room Info'!$A$2:$A3446, MATCH(B2203,'Room Info'!$F$2:$F3446, 0)),if(G2203='Room Info'!$H$1, INDEX('Room Info'!$A$2:$A3446, MATCH(B2203,'Room Info'!$H$2:$H3446, 0)),if(G2203='Room Info'!$G$1, INDEX('Room Info'!$A$2:$A3446, MATCH(B2203,'Room Info'!$G$2:$G3446, 0)))))))))</f>
        <v>0</v>
      </c>
      <c r="B2203" s="70"/>
      <c r="C2203" s="115"/>
      <c r="D2203" s="115"/>
      <c r="E2203" s="85"/>
      <c r="F2203" s="101"/>
      <c r="G2203" s="70"/>
      <c r="H2203" s="114"/>
      <c r="I2203" s="114"/>
      <c r="J2203" s="44" t="str">
        <f t="shared" si="311"/>
        <v/>
      </c>
      <c r="K2203" s="139"/>
      <c r="L2203" s="140"/>
      <c r="M2203" s="67"/>
      <c r="N2203" s="33">
        <f t="shared" si="276"/>
        <v>0</v>
      </c>
      <c r="O2203" s="101"/>
      <c r="P2203" s="34" t="str">
        <f t="shared" si="277"/>
        <v/>
      </c>
      <c r="Q2203" s="60"/>
      <c r="R2203" s="36">
        <f t="shared" si="312"/>
        <v>0</v>
      </c>
      <c r="S2203" s="102"/>
      <c r="T2203" s="37">
        <f t="shared" si="302"/>
        <v>0</v>
      </c>
      <c r="U2203" s="62"/>
      <c r="V2203" s="63"/>
      <c r="W2203" s="63"/>
      <c r="X2203" s="35" t="str">
        <f t="shared" si="303"/>
        <v>#N/A</v>
      </c>
      <c r="Y2203" s="35" t="str">
        <f t="shared" si="304"/>
        <v>#N/A</v>
      </c>
      <c r="Z2203" s="40" t="str">
        <f t="shared" si="305"/>
        <v>#N/A</v>
      </c>
      <c r="AA2203" s="34" t="str">
        <f t="shared" si="306"/>
        <v>#N/A</v>
      </c>
      <c r="AB2203" s="41" t="str">
        <f t="shared" si="307"/>
        <v>#N/A</v>
      </c>
      <c r="AC2203" s="42" t="b">
        <v>0</v>
      </c>
      <c r="AD2203" s="66" t="str">
        <f t="shared" si="308"/>
        <v>USD</v>
      </c>
      <c r="AE2203" s="42"/>
      <c r="AF2203" s="42" t="str">
        <f t="array" ref="AF2203">INDEX('Deal Info'!D:D, MATCH(A2203,'Deal Info'!A:A, 0))</f>
        <v>#N/A</v>
      </c>
      <c r="AG2203" s="43" t="str">
        <f t="array" ref="AG2203">INDEX('Deal Info'!G:G, MATCH(A2203,'Deal Info'!A:A, 0))</f>
        <v>#N/A</v>
      </c>
    </row>
    <row r="2204" hidden="1">
      <c r="A2204" s="23" t="b">
        <f t="array" ref="A2204">if(G2204='Room Info'!$B$1, INDEX('Room Info'!$A$2:$A3446, MATCH(B2204,'Room Info'!$B$2:$B3446, 0)),if(G2204='Room Info'!$C$1, INDEX('Room Info'!$A$2:$A3446, MATCH(B2204,'Room Info'!$C$2:$C3446, 0)),if(G2204='Room Info'!$D$1, INDEX('Room Info'!$A$2:$A3446, MATCH(B2204,'Room Info'!$D$2:$D3446, 0)),if(G2204='Room Info'!$E$1, INDEX('Room Info'!$A$2:$A3446, MATCH(B2204,'Room Info'!$E$2:$E3446, 0)),if(G2204='Room Info'!$F$1, INDEX('Room Info'!$A$2:$A3446, MATCH(B2204,'Room Info'!$F$2:$F3446, 0)),if(G2204='Room Info'!$H$1, INDEX('Room Info'!$A$2:$A3446, MATCH(B2204,'Room Info'!$H$2:$H3446, 0)),if(G2204='Room Info'!$G$1, INDEX('Room Info'!$A$2:$A3446, MATCH(B2204,'Room Info'!$G$2:$G3446, 0)))))))))</f>
        <v>0</v>
      </c>
      <c r="B2204" s="101"/>
      <c r="C2204" s="115"/>
      <c r="D2204" s="115"/>
      <c r="E2204" s="85"/>
      <c r="F2204" s="138"/>
      <c r="G2204" s="70"/>
      <c r="H2204" s="114"/>
      <c r="I2204" s="114"/>
      <c r="J2204" s="44" t="str">
        <f t="shared" si="311"/>
        <v/>
      </c>
      <c r="K2204" s="116"/>
      <c r="L2204" s="117"/>
      <c r="M2204" s="67"/>
      <c r="N2204" s="33">
        <f t="shared" si="276"/>
        <v>0</v>
      </c>
      <c r="O2204" s="70"/>
      <c r="P2204" s="34" t="str">
        <f t="shared" si="277"/>
        <v/>
      </c>
      <c r="Q2204" s="60"/>
      <c r="R2204" s="36">
        <f t="shared" si="312"/>
        <v>0</v>
      </c>
      <c r="S2204" s="71"/>
      <c r="T2204" s="37">
        <f t="shared" si="302"/>
        <v>0</v>
      </c>
      <c r="U2204" s="62"/>
      <c r="V2204" s="63"/>
      <c r="W2204" s="63"/>
      <c r="X2204" s="35" t="str">
        <f t="shared" si="303"/>
        <v>#N/A</v>
      </c>
      <c r="Y2204" s="35" t="str">
        <f t="shared" si="304"/>
        <v>#N/A</v>
      </c>
      <c r="Z2204" s="40" t="str">
        <f t="shared" si="305"/>
        <v>#N/A</v>
      </c>
      <c r="AA2204" s="34" t="str">
        <f t="shared" si="306"/>
        <v>#N/A</v>
      </c>
      <c r="AB2204" s="41" t="str">
        <f t="shared" si="307"/>
        <v>#N/A</v>
      </c>
      <c r="AC2204" s="42" t="b">
        <v>0</v>
      </c>
      <c r="AD2204" s="66" t="str">
        <f t="shared" si="308"/>
        <v>USD</v>
      </c>
      <c r="AE2204" s="42"/>
      <c r="AF2204" s="42" t="str">
        <f t="array" ref="AF2204">INDEX('Deal Info'!D:D, MATCH(A2204,'Deal Info'!A:A, 0))</f>
        <v>#N/A</v>
      </c>
      <c r="AG2204" s="43" t="str">
        <f t="array" ref="AG2204">INDEX('Deal Info'!G:G, MATCH(A2204,'Deal Info'!A:A, 0))</f>
        <v>#N/A</v>
      </c>
    </row>
    <row r="2205" hidden="1">
      <c r="A2205" s="23" t="b">
        <f t="array" ref="A2205">if(G2205='Room Info'!$B$1, INDEX('Room Info'!$A$2:$A3446, MATCH(B2205,'Room Info'!$B$2:$B3446, 0)),if(G2205='Room Info'!$C$1, INDEX('Room Info'!$A$2:$A3446, MATCH(B2205,'Room Info'!$C$2:$C3446, 0)),if(G2205='Room Info'!$D$1, INDEX('Room Info'!$A$2:$A3446, MATCH(B2205,'Room Info'!$D$2:$D3446, 0)),if(G2205='Room Info'!$E$1, INDEX('Room Info'!$A$2:$A3446, MATCH(B2205,'Room Info'!$E$2:$E3446, 0)),if(G2205='Room Info'!$F$1, INDEX('Room Info'!$A$2:$A3446, MATCH(B2205,'Room Info'!$F$2:$F3446, 0)),if(G2205='Room Info'!$H$1, INDEX('Room Info'!$A$2:$A3446, MATCH(B2205,'Room Info'!$H$2:$H3446, 0)),if(G2205='Room Info'!$G$1, INDEX('Room Info'!$A$2:$A3446, MATCH(B2205,'Room Info'!$G$2:$G3446, 0)))))))))</f>
        <v>0</v>
      </c>
      <c r="B2205" s="101"/>
      <c r="C2205" s="115"/>
      <c r="D2205" s="115"/>
      <c r="E2205" s="85"/>
      <c r="F2205" s="138"/>
      <c r="G2205" s="70"/>
      <c r="H2205" s="114"/>
      <c r="I2205" s="114"/>
      <c r="J2205" s="44" t="str">
        <f t="shared" si="311"/>
        <v/>
      </c>
      <c r="K2205" s="116"/>
      <c r="L2205" s="117"/>
      <c r="M2205" s="67"/>
      <c r="N2205" s="33">
        <f t="shared" si="276"/>
        <v>0</v>
      </c>
      <c r="O2205" s="70"/>
      <c r="P2205" s="34" t="str">
        <f t="shared" si="277"/>
        <v/>
      </c>
      <c r="Q2205" s="60"/>
      <c r="R2205" s="36">
        <f t="shared" si="312"/>
        <v>0</v>
      </c>
      <c r="S2205" s="71"/>
      <c r="T2205" s="37">
        <f t="shared" si="302"/>
        <v>0</v>
      </c>
      <c r="U2205" s="62"/>
      <c r="V2205" s="63"/>
      <c r="W2205" s="63"/>
      <c r="X2205" s="35" t="str">
        <f t="shared" si="303"/>
        <v>#N/A</v>
      </c>
      <c r="Y2205" s="35" t="str">
        <f t="shared" si="304"/>
        <v>#N/A</v>
      </c>
      <c r="Z2205" s="40" t="str">
        <f t="shared" si="305"/>
        <v>#N/A</v>
      </c>
      <c r="AA2205" s="34" t="str">
        <f t="shared" si="306"/>
        <v>#N/A</v>
      </c>
      <c r="AB2205" s="41" t="str">
        <f t="shared" si="307"/>
        <v>#N/A</v>
      </c>
      <c r="AC2205" s="42" t="b">
        <v>0</v>
      </c>
      <c r="AD2205" s="66" t="str">
        <f t="shared" si="308"/>
        <v>USD</v>
      </c>
      <c r="AE2205" s="42"/>
      <c r="AF2205" s="42" t="str">
        <f t="array" ref="AF2205">INDEX('Deal Info'!D:D, MATCH(A2205,'Deal Info'!A:A, 0))</f>
        <v>#N/A</v>
      </c>
      <c r="AG2205" s="43" t="str">
        <f t="array" ref="AG2205">INDEX('Deal Info'!G:G, MATCH(A2205,'Deal Info'!A:A, 0))</f>
        <v>#N/A</v>
      </c>
    </row>
    <row r="2206" hidden="1">
      <c r="A2206" s="23" t="b">
        <f t="array" ref="A2206">if(G2206='Room Info'!$B$1, INDEX('Room Info'!$A$2:$A3446, MATCH(B2206,'Room Info'!$B$2:$B3446, 0)),if(G2206='Room Info'!$C$1, INDEX('Room Info'!$A$2:$A3446, MATCH(B2206,'Room Info'!$C$2:$C3446, 0)),if(G2206='Room Info'!$D$1, INDEX('Room Info'!$A$2:$A3446, MATCH(B2206,'Room Info'!$D$2:$D3446, 0)),if(G2206='Room Info'!$E$1, INDEX('Room Info'!$A$2:$A3446, MATCH(B2206,'Room Info'!$E$2:$E3446, 0)),if(G2206='Room Info'!$F$1, INDEX('Room Info'!$A$2:$A3446, MATCH(B2206,'Room Info'!$F$2:$F3446, 0)),if(G2206='Room Info'!$H$1, INDEX('Room Info'!$A$2:$A3446, MATCH(B2206,'Room Info'!$H$2:$H3446, 0)),if(G2206='Room Info'!$G$1, INDEX('Room Info'!$A$2:$A3446, MATCH(B2206,'Room Info'!$G$2:$G3446, 0)))))))))</f>
        <v>0</v>
      </c>
      <c r="B2206" s="101"/>
      <c r="C2206" s="115"/>
      <c r="D2206" s="115"/>
      <c r="E2206" s="85"/>
      <c r="F2206" s="101"/>
      <c r="G2206" s="70"/>
      <c r="H2206" s="114"/>
      <c r="I2206" s="114"/>
      <c r="J2206" s="44" t="str">
        <f t="shared" si="311"/>
        <v/>
      </c>
      <c r="K2206" s="116"/>
      <c r="L2206" s="117"/>
      <c r="M2206" s="67"/>
      <c r="N2206" s="33">
        <f t="shared" si="276"/>
        <v>0</v>
      </c>
      <c r="O2206" s="70"/>
      <c r="P2206" s="34" t="str">
        <f t="shared" si="277"/>
        <v/>
      </c>
      <c r="Q2206" s="60"/>
      <c r="R2206" s="36">
        <f t="shared" si="312"/>
        <v>0</v>
      </c>
      <c r="S2206" s="71"/>
      <c r="T2206" s="37">
        <f t="shared" si="302"/>
        <v>0</v>
      </c>
      <c r="U2206" s="62"/>
      <c r="V2206" s="63"/>
      <c r="W2206" s="63"/>
      <c r="X2206" s="35" t="str">
        <f t="shared" si="303"/>
        <v>#N/A</v>
      </c>
      <c r="Y2206" s="35" t="str">
        <f t="shared" si="304"/>
        <v>#N/A</v>
      </c>
      <c r="Z2206" s="40" t="str">
        <f t="shared" si="305"/>
        <v>#N/A</v>
      </c>
      <c r="AA2206" s="34" t="str">
        <f t="shared" si="306"/>
        <v>#N/A</v>
      </c>
      <c r="AB2206" s="41" t="str">
        <f t="shared" si="307"/>
        <v>#N/A</v>
      </c>
      <c r="AC2206" s="42" t="b">
        <v>0</v>
      </c>
      <c r="AD2206" s="66" t="str">
        <f t="shared" si="308"/>
        <v>USD</v>
      </c>
      <c r="AE2206" s="42"/>
      <c r="AF2206" s="42" t="str">
        <f t="array" ref="AF2206">INDEX('Deal Info'!D:D, MATCH(A2206,'Deal Info'!A:A, 0))</f>
        <v>#N/A</v>
      </c>
      <c r="AG2206" s="43" t="str">
        <f t="array" ref="AG2206">INDEX('Deal Info'!G:G, MATCH(A2206,'Deal Info'!A:A, 0))</f>
        <v>#N/A</v>
      </c>
    </row>
    <row r="2207" hidden="1">
      <c r="A2207" s="23" t="b">
        <f t="array" ref="A2207">if(G2207='Room Info'!$B$1, INDEX('Room Info'!$A$2:$A3446, MATCH(B2207,'Room Info'!$B$2:$B3446, 0)),if(G2207='Room Info'!$C$1, INDEX('Room Info'!$A$2:$A3446, MATCH(B2207,'Room Info'!$C$2:$C3446, 0)),if(G2207='Room Info'!$D$1, INDEX('Room Info'!$A$2:$A3446, MATCH(B2207,'Room Info'!$D$2:$D3446, 0)),if(G2207='Room Info'!$E$1, INDEX('Room Info'!$A$2:$A3446, MATCH(B2207,'Room Info'!$E$2:$E3446, 0)),if(G2207='Room Info'!$F$1, INDEX('Room Info'!$A$2:$A3446, MATCH(B2207,'Room Info'!$F$2:$F3446, 0)),if(G2207='Room Info'!$H$1, INDEX('Room Info'!$A$2:$A3446, MATCH(B2207,'Room Info'!$H$2:$H3446, 0)),if(G2207='Room Info'!$G$1, INDEX('Room Info'!$A$2:$A3446, MATCH(B2207,'Room Info'!$G$2:$G3446, 0)))))))))</f>
        <v>0</v>
      </c>
      <c r="B2207" s="101"/>
      <c r="C2207" s="115"/>
      <c r="D2207" s="115"/>
      <c r="E2207" s="85"/>
      <c r="F2207" s="101"/>
      <c r="G2207" s="70"/>
      <c r="H2207" s="114"/>
      <c r="I2207" s="114"/>
      <c r="J2207" s="44" t="str">
        <f t="shared" si="311"/>
        <v/>
      </c>
      <c r="K2207" s="116"/>
      <c r="L2207" s="117"/>
      <c r="M2207" s="67"/>
      <c r="N2207" s="33">
        <f t="shared" si="276"/>
        <v>0</v>
      </c>
      <c r="O2207" s="70"/>
      <c r="P2207" s="34" t="str">
        <f t="shared" si="277"/>
        <v/>
      </c>
      <c r="Q2207" s="60"/>
      <c r="R2207" s="36">
        <f t="shared" si="312"/>
        <v>0</v>
      </c>
      <c r="S2207" s="71"/>
      <c r="T2207" s="37">
        <f t="shared" si="302"/>
        <v>0</v>
      </c>
      <c r="U2207" s="62"/>
      <c r="V2207" s="63"/>
      <c r="W2207" s="63"/>
      <c r="X2207" s="35" t="str">
        <f t="shared" si="303"/>
        <v>#N/A</v>
      </c>
      <c r="Y2207" s="35" t="str">
        <f t="shared" si="304"/>
        <v>#N/A</v>
      </c>
      <c r="Z2207" s="40" t="str">
        <f t="shared" si="305"/>
        <v>#N/A</v>
      </c>
      <c r="AA2207" s="34" t="str">
        <f t="shared" si="306"/>
        <v>#N/A</v>
      </c>
      <c r="AB2207" s="41" t="str">
        <f t="shared" si="307"/>
        <v>#N/A</v>
      </c>
      <c r="AC2207" s="42" t="b">
        <v>0</v>
      </c>
      <c r="AD2207" s="66" t="str">
        <f t="shared" si="308"/>
        <v>USD</v>
      </c>
      <c r="AE2207" s="42"/>
      <c r="AF2207" s="42" t="str">
        <f t="array" ref="AF2207">INDEX('Deal Info'!D:D, MATCH(A2207,'Deal Info'!A:A, 0))</f>
        <v>#N/A</v>
      </c>
      <c r="AG2207" s="43" t="str">
        <f t="array" ref="AG2207">INDEX('Deal Info'!G:G, MATCH(A2207,'Deal Info'!A:A, 0))</f>
        <v>#N/A</v>
      </c>
    </row>
    <row r="2208" hidden="1">
      <c r="A2208" s="23" t="b">
        <f t="array" ref="A2208">if(G2208='Room Info'!$B$1, INDEX('Room Info'!$A$2:$A3446, MATCH(B2208,'Room Info'!$B$2:$B3446, 0)),if(G2208='Room Info'!$C$1, INDEX('Room Info'!$A$2:$A3446, MATCH(B2208,'Room Info'!$C$2:$C3446, 0)),if(G2208='Room Info'!$D$1, INDEX('Room Info'!$A$2:$A3446, MATCH(B2208,'Room Info'!$D$2:$D3446, 0)),if(G2208='Room Info'!$E$1, INDEX('Room Info'!$A$2:$A3446, MATCH(B2208,'Room Info'!$E$2:$E3446, 0)),if(G2208='Room Info'!$F$1, INDEX('Room Info'!$A$2:$A3446, MATCH(B2208,'Room Info'!$F$2:$F3446, 0)),if(G2208='Room Info'!$H$1, INDEX('Room Info'!$A$2:$A3446, MATCH(B2208,'Room Info'!$H$2:$H3446, 0)),if(G2208='Room Info'!$G$1, INDEX('Room Info'!$A$2:$A3446, MATCH(B2208,'Room Info'!$G$2:$G3446, 0)))))))))</f>
        <v>0</v>
      </c>
      <c r="B2208" s="101"/>
      <c r="C2208" s="115"/>
      <c r="D2208" s="115"/>
      <c r="E2208" s="85"/>
      <c r="F2208" s="101"/>
      <c r="G2208" s="70"/>
      <c r="H2208" s="114"/>
      <c r="I2208" s="114"/>
      <c r="J2208" s="44" t="str">
        <f t="shared" si="311"/>
        <v/>
      </c>
      <c r="K2208" s="116"/>
      <c r="L2208" s="117"/>
      <c r="M2208" s="67"/>
      <c r="N2208" s="33">
        <f t="shared" si="276"/>
        <v>0</v>
      </c>
      <c r="O2208" s="70"/>
      <c r="P2208" s="34" t="str">
        <f t="shared" si="277"/>
        <v/>
      </c>
      <c r="Q2208" s="60"/>
      <c r="R2208" s="36">
        <f t="shared" si="312"/>
        <v>0</v>
      </c>
      <c r="S2208" s="71"/>
      <c r="T2208" s="37">
        <f t="shared" si="302"/>
        <v>0</v>
      </c>
      <c r="U2208" s="62"/>
      <c r="V2208" s="63"/>
      <c r="W2208" s="63"/>
      <c r="X2208" s="35" t="str">
        <f t="shared" si="303"/>
        <v>#N/A</v>
      </c>
      <c r="Y2208" s="35" t="str">
        <f t="shared" si="304"/>
        <v>#N/A</v>
      </c>
      <c r="Z2208" s="40" t="str">
        <f t="shared" si="305"/>
        <v>#N/A</v>
      </c>
      <c r="AA2208" s="34" t="str">
        <f t="shared" si="306"/>
        <v>#N/A</v>
      </c>
      <c r="AB2208" s="41" t="str">
        <f t="shared" si="307"/>
        <v>#N/A</v>
      </c>
      <c r="AC2208" s="42" t="b">
        <v>0</v>
      </c>
      <c r="AD2208" s="66" t="str">
        <f t="shared" si="308"/>
        <v>USD</v>
      </c>
      <c r="AE2208" s="42"/>
      <c r="AF2208" s="42" t="str">
        <f t="array" ref="AF2208">INDEX('Deal Info'!D:D, MATCH(A2208,'Deal Info'!A:A, 0))</f>
        <v>#N/A</v>
      </c>
      <c r="AG2208" s="43" t="str">
        <f t="array" ref="AG2208">INDEX('Deal Info'!G:G, MATCH(A2208,'Deal Info'!A:A, 0))</f>
        <v>#N/A</v>
      </c>
    </row>
    <row r="2209" hidden="1">
      <c r="A2209" s="23" t="b">
        <f t="array" ref="A2209">if(G2209='Room Info'!$B$1, INDEX('Room Info'!$A$2:$A3446, MATCH(B2209,'Room Info'!$B$2:$B3446, 0)),if(G2209='Room Info'!$C$1, INDEX('Room Info'!$A$2:$A3446, MATCH(B2209,'Room Info'!$C$2:$C3446, 0)),if(G2209='Room Info'!$D$1, INDEX('Room Info'!$A$2:$A3446, MATCH(B2209,'Room Info'!$D$2:$D3446, 0)),if(G2209='Room Info'!$E$1, INDEX('Room Info'!$A$2:$A3446, MATCH(B2209,'Room Info'!$E$2:$E3446, 0)),if(G2209='Room Info'!$F$1, INDEX('Room Info'!$A$2:$A3446, MATCH(B2209,'Room Info'!$F$2:$F3446, 0)),if(G2209='Room Info'!$H$1, INDEX('Room Info'!$A$2:$A3446, MATCH(B2209,'Room Info'!$H$2:$H3446, 0)),if(G2209='Room Info'!$G$1, INDEX('Room Info'!$A$2:$A3446, MATCH(B2209,'Room Info'!$G$2:$G3446, 0)))))))))</f>
        <v>0</v>
      </c>
      <c r="B2209" s="101"/>
      <c r="C2209" s="141"/>
      <c r="D2209" s="141"/>
      <c r="E2209" s="142"/>
      <c r="F2209" s="138"/>
      <c r="G2209" s="101"/>
      <c r="H2209" s="105"/>
      <c r="I2209" s="105"/>
      <c r="J2209" s="44" t="str">
        <f t="shared" si="311"/>
        <v/>
      </c>
      <c r="K2209" s="139"/>
      <c r="L2209" s="140"/>
      <c r="M2209" s="84"/>
      <c r="N2209" s="33">
        <f t="shared" si="276"/>
        <v>0</v>
      </c>
      <c r="O2209" s="101"/>
      <c r="P2209" s="34" t="str">
        <f t="shared" si="277"/>
        <v/>
      </c>
      <c r="Q2209" s="60"/>
      <c r="R2209" s="36">
        <f t="shared" si="312"/>
        <v>0</v>
      </c>
      <c r="S2209" s="102"/>
      <c r="T2209" s="37">
        <f t="shared" si="302"/>
        <v>0</v>
      </c>
      <c r="U2209" s="62"/>
      <c r="V2209" s="63"/>
      <c r="W2209" s="63"/>
      <c r="X2209" s="35" t="str">
        <f t="shared" si="303"/>
        <v>#N/A</v>
      </c>
      <c r="Y2209" s="35" t="str">
        <f t="shared" si="304"/>
        <v>#N/A</v>
      </c>
      <c r="Z2209" s="40" t="str">
        <f t="shared" si="305"/>
        <v>#N/A</v>
      </c>
      <c r="AA2209" s="34" t="str">
        <f t="shared" si="306"/>
        <v>#N/A</v>
      </c>
      <c r="AB2209" s="41" t="str">
        <f t="shared" si="307"/>
        <v>#N/A</v>
      </c>
      <c r="AC2209" s="42" t="b">
        <v>0</v>
      </c>
      <c r="AD2209" s="66" t="str">
        <f t="shared" si="308"/>
        <v>USD</v>
      </c>
      <c r="AE2209" s="42"/>
      <c r="AF2209" s="42" t="str">
        <f t="array" ref="AF2209">INDEX('Deal Info'!D:D, MATCH(A2209,'Deal Info'!A:A, 0))</f>
        <v>#N/A</v>
      </c>
      <c r="AG2209" s="43" t="str">
        <f t="array" ref="AG2209">INDEX('Deal Info'!G:G, MATCH(A2209,'Deal Info'!A:A, 0))</f>
        <v>#N/A</v>
      </c>
    </row>
    <row r="2210" hidden="1">
      <c r="A2210" s="23" t="b">
        <f t="array" ref="A2210">if(G2210='Room Info'!$B$1, INDEX('Room Info'!$A$2:$A3446, MATCH(B2210,'Room Info'!$B$2:$B3446, 0)),if(G2210='Room Info'!$C$1, INDEX('Room Info'!$A$2:$A3446, MATCH(B2210,'Room Info'!$C$2:$C3446, 0)),if(G2210='Room Info'!$D$1, INDEX('Room Info'!$A$2:$A3446, MATCH(B2210,'Room Info'!$D$2:$D3446, 0)),if(G2210='Room Info'!$E$1, INDEX('Room Info'!$A$2:$A3446, MATCH(B2210,'Room Info'!$E$2:$E3446, 0)),if(G2210='Room Info'!$F$1, INDEX('Room Info'!$A$2:$A3446, MATCH(B2210,'Room Info'!$F$2:$F3446, 0)),if(G2210='Room Info'!$H$1, INDEX('Room Info'!$A$2:$A3446, MATCH(B2210,'Room Info'!$H$2:$H3446, 0)),if(G2210='Room Info'!$G$1, INDEX('Room Info'!$A$2:$A3446, MATCH(B2210,'Room Info'!$G$2:$G3446, 0)))))))))</f>
        <v>0</v>
      </c>
      <c r="B2210" s="101"/>
      <c r="C2210" s="141"/>
      <c r="D2210" s="141"/>
      <c r="E2210" s="142"/>
      <c r="F2210" s="138"/>
      <c r="G2210" s="101"/>
      <c r="H2210" s="105"/>
      <c r="I2210" s="105"/>
      <c r="J2210" s="44" t="str">
        <f t="shared" si="311"/>
        <v/>
      </c>
      <c r="K2210" s="139"/>
      <c r="L2210" s="140"/>
      <c r="M2210" s="84"/>
      <c r="N2210" s="33">
        <f t="shared" si="276"/>
        <v>0</v>
      </c>
      <c r="O2210" s="101"/>
      <c r="P2210" s="34" t="str">
        <f t="shared" si="277"/>
        <v/>
      </c>
      <c r="Q2210" s="60"/>
      <c r="R2210" s="36">
        <f t="shared" si="312"/>
        <v>0</v>
      </c>
      <c r="S2210" s="102"/>
      <c r="T2210" s="37">
        <f t="shared" si="302"/>
        <v>0</v>
      </c>
      <c r="U2210" s="62"/>
      <c r="V2210" s="63"/>
      <c r="W2210" s="63"/>
      <c r="X2210" s="35" t="str">
        <f t="shared" si="303"/>
        <v>#N/A</v>
      </c>
      <c r="Y2210" s="35" t="str">
        <f t="shared" si="304"/>
        <v>#N/A</v>
      </c>
      <c r="Z2210" s="40" t="str">
        <f t="shared" si="305"/>
        <v>#N/A</v>
      </c>
      <c r="AA2210" s="34" t="str">
        <f t="shared" si="306"/>
        <v>#N/A</v>
      </c>
      <c r="AB2210" s="41" t="str">
        <f t="shared" si="307"/>
        <v>#N/A</v>
      </c>
      <c r="AC2210" s="42" t="b">
        <v>0</v>
      </c>
      <c r="AD2210" s="66" t="str">
        <f t="shared" si="308"/>
        <v>USD</v>
      </c>
      <c r="AE2210" s="42"/>
      <c r="AF2210" s="42" t="str">
        <f t="array" ref="AF2210">INDEX('Deal Info'!D:D, MATCH(A2210,'Deal Info'!A:A, 0))</f>
        <v>#N/A</v>
      </c>
      <c r="AG2210" s="43" t="str">
        <f t="array" ref="AG2210">INDEX('Deal Info'!G:G, MATCH(A2210,'Deal Info'!A:A, 0))</f>
        <v>#N/A</v>
      </c>
    </row>
    <row r="2211" hidden="1">
      <c r="A2211" s="23" t="b">
        <f t="array" ref="A2211">if(G2211='Room Info'!$B$1, INDEX('Room Info'!$A$2:$A3446, MATCH(B2211,'Room Info'!$B$2:$B3446, 0)),if(G2211='Room Info'!$C$1, INDEX('Room Info'!$A$2:$A3446, MATCH(B2211,'Room Info'!$C$2:$C3446, 0)),if(G2211='Room Info'!$D$1, INDEX('Room Info'!$A$2:$A3446, MATCH(B2211,'Room Info'!$D$2:$D3446, 0)),if(G2211='Room Info'!$E$1, INDEX('Room Info'!$A$2:$A3446, MATCH(B2211,'Room Info'!$E$2:$E3446, 0)),if(G2211='Room Info'!$F$1, INDEX('Room Info'!$A$2:$A3446, MATCH(B2211,'Room Info'!$F$2:$F3446, 0)),if(G2211='Room Info'!$H$1, INDEX('Room Info'!$A$2:$A3446, MATCH(B2211,'Room Info'!$H$2:$H3446, 0)),if(G2211='Room Info'!$G$1, INDEX('Room Info'!$A$2:$A3446, MATCH(B2211,'Room Info'!$G$2:$G3446, 0)))))))))</f>
        <v>0</v>
      </c>
      <c r="B2211" s="101"/>
      <c r="C2211" s="141"/>
      <c r="D2211" s="141"/>
      <c r="E2211" s="142"/>
      <c r="F2211" s="138"/>
      <c r="G2211" s="101"/>
      <c r="H2211" s="105"/>
      <c r="I2211" s="105"/>
      <c r="J2211" s="44" t="str">
        <f t="shared" si="311"/>
        <v/>
      </c>
      <c r="K2211" s="139"/>
      <c r="L2211" s="140"/>
      <c r="M2211" s="84"/>
      <c r="N2211" s="33">
        <f t="shared" si="276"/>
        <v>0</v>
      </c>
      <c r="O2211" s="101"/>
      <c r="P2211" s="34" t="str">
        <f t="shared" si="277"/>
        <v/>
      </c>
      <c r="Q2211" s="60"/>
      <c r="R2211" s="36">
        <f t="shared" si="312"/>
        <v>0</v>
      </c>
      <c r="S2211" s="102"/>
      <c r="T2211" s="37">
        <f t="shared" si="302"/>
        <v>0</v>
      </c>
      <c r="U2211" s="62"/>
      <c r="V2211" s="63"/>
      <c r="W2211" s="63"/>
      <c r="X2211" s="35" t="str">
        <f t="shared" si="303"/>
        <v>#N/A</v>
      </c>
      <c r="Y2211" s="35" t="str">
        <f t="shared" si="304"/>
        <v>#N/A</v>
      </c>
      <c r="Z2211" s="40" t="str">
        <f t="shared" si="305"/>
        <v>#N/A</v>
      </c>
      <c r="AA2211" s="34" t="str">
        <f t="shared" si="306"/>
        <v>#N/A</v>
      </c>
      <c r="AB2211" s="41" t="str">
        <f t="shared" si="307"/>
        <v>#N/A</v>
      </c>
      <c r="AC2211" s="42" t="b">
        <v>0</v>
      </c>
      <c r="AD2211" s="66" t="str">
        <f t="shared" si="308"/>
        <v>USD</v>
      </c>
      <c r="AE2211" s="42"/>
      <c r="AF2211" s="42" t="str">
        <f t="array" ref="AF2211">INDEX('Deal Info'!D:D, MATCH(A2211,'Deal Info'!A:A, 0))</f>
        <v>#N/A</v>
      </c>
      <c r="AG2211" s="43" t="str">
        <f t="array" ref="AG2211">INDEX('Deal Info'!G:G, MATCH(A2211,'Deal Info'!A:A, 0))</f>
        <v>#N/A</v>
      </c>
    </row>
    <row r="2212" hidden="1">
      <c r="A2212" s="23" t="b">
        <f t="array" ref="A2212">if(G2212='Room Info'!$B$1, INDEX('Room Info'!$A$2:$A3446, MATCH(B2212,'Room Info'!$B$2:$B3446, 0)),if(G2212='Room Info'!$C$1, INDEX('Room Info'!$A$2:$A3446, MATCH(B2212,'Room Info'!$C$2:$C3446, 0)),if(G2212='Room Info'!$D$1, INDEX('Room Info'!$A$2:$A3446, MATCH(B2212,'Room Info'!$D$2:$D3446, 0)),if(G2212='Room Info'!$E$1, INDEX('Room Info'!$A$2:$A3446, MATCH(B2212,'Room Info'!$E$2:$E3446, 0)),if(G2212='Room Info'!$F$1, INDEX('Room Info'!$A$2:$A3446, MATCH(B2212,'Room Info'!$F$2:$F3446, 0)),if(G2212='Room Info'!$H$1, INDEX('Room Info'!$A$2:$A3446, MATCH(B2212,'Room Info'!$H$2:$H3446, 0)),if(G2212='Room Info'!$G$1, INDEX('Room Info'!$A$2:$A3446, MATCH(B2212,'Room Info'!$G$2:$G3446, 0)))))))))</f>
        <v>0</v>
      </c>
      <c r="B2212" s="101"/>
      <c r="C2212" s="141"/>
      <c r="D2212" s="141"/>
      <c r="E2212" s="142"/>
      <c r="F2212" s="138"/>
      <c r="G2212" s="70"/>
      <c r="H2212" s="114"/>
      <c r="I2212" s="114"/>
      <c r="J2212" s="44" t="str">
        <f t="shared" si="311"/>
        <v/>
      </c>
      <c r="K2212" s="139"/>
      <c r="L2212" s="140"/>
      <c r="M2212" s="67"/>
      <c r="N2212" s="33">
        <f t="shared" si="276"/>
        <v>0</v>
      </c>
      <c r="O2212" s="101"/>
      <c r="P2212" s="34" t="str">
        <f t="shared" si="277"/>
        <v/>
      </c>
      <c r="Q2212" s="60"/>
      <c r="R2212" s="36">
        <f t="shared" si="312"/>
        <v>0</v>
      </c>
      <c r="S2212" s="102"/>
      <c r="T2212" s="37">
        <f t="shared" si="302"/>
        <v>0</v>
      </c>
      <c r="U2212" s="62"/>
      <c r="V2212" s="63"/>
      <c r="W2212" s="63"/>
      <c r="X2212" s="35" t="str">
        <f t="shared" si="303"/>
        <v>#N/A</v>
      </c>
      <c r="Y2212" s="35" t="str">
        <f t="shared" si="304"/>
        <v>#N/A</v>
      </c>
      <c r="Z2212" s="40" t="str">
        <f t="shared" si="305"/>
        <v>#N/A</v>
      </c>
      <c r="AA2212" s="34" t="str">
        <f t="shared" si="306"/>
        <v>#N/A</v>
      </c>
      <c r="AB2212" s="41" t="str">
        <f t="shared" si="307"/>
        <v>#N/A</v>
      </c>
      <c r="AC2212" s="42" t="b">
        <v>0</v>
      </c>
      <c r="AD2212" s="66" t="str">
        <f t="shared" si="308"/>
        <v>USD</v>
      </c>
      <c r="AE2212" s="42"/>
      <c r="AF2212" s="42" t="str">
        <f t="array" ref="AF2212">INDEX('Deal Info'!D:D, MATCH(A2212,'Deal Info'!A:A, 0))</f>
        <v>#N/A</v>
      </c>
      <c r="AG2212" s="43" t="str">
        <f t="array" ref="AG2212">INDEX('Deal Info'!G:G, MATCH(A2212,'Deal Info'!A:A, 0))</f>
        <v>#N/A</v>
      </c>
    </row>
    <row r="2213" hidden="1">
      <c r="A2213" s="23" t="b">
        <f t="array" ref="A2213">if(G2213='Room Info'!$B$1, INDEX('Room Info'!$A$2:$A3446, MATCH(B2213,'Room Info'!$B$2:$B3446, 0)),if(G2213='Room Info'!$C$1, INDEX('Room Info'!$A$2:$A3446, MATCH(B2213,'Room Info'!$C$2:$C3446, 0)),if(G2213='Room Info'!$D$1, INDEX('Room Info'!$A$2:$A3446, MATCH(B2213,'Room Info'!$D$2:$D3446, 0)),if(G2213='Room Info'!$E$1, INDEX('Room Info'!$A$2:$A3446, MATCH(B2213,'Room Info'!$E$2:$E3446, 0)),if(G2213='Room Info'!$F$1, INDEX('Room Info'!$A$2:$A3446, MATCH(B2213,'Room Info'!$F$2:$F3446, 0)),if(G2213='Room Info'!$H$1, INDEX('Room Info'!$A$2:$A3446, MATCH(B2213,'Room Info'!$H$2:$H3446, 0)),if(G2213='Room Info'!$G$1, INDEX('Room Info'!$A$2:$A3446, MATCH(B2213,'Room Info'!$G$2:$G3446, 0)))))))))</f>
        <v>0</v>
      </c>
      <c r="B2213" s="101"/>
      <c r="C2213" s="141"/>
      <c r="D2213" s="141"/>
      <c r="E2213" s="142"/>
      <c r="F2213" s="138"/>
      <c r="G2213" s="70"/>
      <c r="H2213" s="114"/>
      <c r="I2213" s="114"/>
      <c r="J2213" s="44" t="str">
        <f t="shared" si="311"/>
        <v/>
      </c>
      <c r="K2213" s="139"/>
      <c r="L2213" s="140"/>
      <c r="M2213" s="67"/>
      <c r="N2213" s="33">
        <f t="shared" si="276"/>
        <v>0</v>
      </c>
      <c r="O2213" s="101"/>
      <c r="P2213" s="34" t="str">
        <f t="shared" si="277"/>
        <v/>
      </c>
      <c r="Q2213" s="60"/>
      <c r="R2213" s="36">
        <f t="shared" si="312"/>
        <v>0</v>
      </c>
      <c r="S2213" s="102"/>
      <c r="T2213" s="37">
        <f t="shared" si="302"/>
        <v>0</v>
      </c>
      <c r="U2213" s="62"/>
      <c r="V2213" s="63"/>
      <c r="W2213" s="63"/>
      <c r="X2213" s="35" t="str">
        <f t="shared" si="303"/>
        <v>#N/A</v>
      </c>
      <c r="Y2213" s="35" t="str">
        <f t="shared" si="304"/>
        <v>#N/A</v>
      </c>
      <c r="Z2213" s="40" t="str">
        <f t="shared" si="305"/>
        <v>#N/A</v>
      </c>
      <c r="AA2213" s="34" t="str">
        <f t="shared" si="306"/>
        <v>#N/A</v>
      </c>
      <c r="AB2213" s="41" t="str">
        <f t="shared" si="307"/>
        <v>#N/A</v>
      </c>
      <c r="AC2213" s="42" t="b">
        <v>0</v>
      </c>
      <c r="AD2213" s="66" t="str">
        <f t="shared" si="308"/>
        <v>USD</v>
      </c>
      <c r="AE2213" s="42"/>
      <c r="AF2213" s="42" t="str">
        <f t="array" ref="AF2213">INDEX('Deal Info'!D:D, MATCH(A2213,'Deal Info'!A:A, 0))</f>
        <v>#N/A</v>
      </c>
      <c r="AG2213" s="43" t="str">
        <f t="array" ref="AG2213">INDEX('Deal Info'!G:G, MATCH(A2213,'Deal Info'!A:A, 0))</f>
        <v>#N/A</v>
      </c>
    </row>
    <row r="2214" hidden="1">
      <c r="A2214" s="23" t="b">
        <f t="array" ref="A2214">if(G2214='Room Info'!$B$1, INDEX('Room Info'!$A$2:$A3446, MATCH(B2214,'Room Info'!$B$2:$B3446, 0)),if(G2214='Room Info'!$C$1, INDEX('Room Info'!$A$2:$A3446, MATCH(B2214,'Room Info'!$C$2:$C3446, 0)),if(G2214='Room Info'!$D$1, INDEX('Room Info'!$A$2:$A3446, MATCH(B2214,'Room Info'!$D$2:$D3446, 0)),if(G2214='Room Info'!$E$1, INDEX('Room Info'!$A$2:$A3446, MATCH(B2214,'Room Info'!$E$2:$E3446, 0)),if(G2214='Room Info'!$F$1, INDEX('Room Info'!$A$2:$A3446, MATCH(B2214,'Room Info'!$F$2:$F3446, 0)),if(G2214='Room Info'!$H$1, INDEX('Room Info'!$A$2:$A3446, MATCH(B2214,'Room Info'!$H$2:$H3446, 0)),if(G2214='Room Info'!$G$1, INDEX('Room Info'!$A$2:$A3446, MATCH(B2214,'Room Info'!$G$2:$G3446, 0)))))))))</f>
        <v>0</v>
      </c>
      <c r="B2214" s="101"/>
      <c r="C2214" s="141"/>
      <c r="D2214" s="141"/>
      <c r="E2214" s="142"/>
      <c r="F2214" s="138"/>
      <c r="G2214" s="70"/>
      <c r="H2214" s="114"/>
      <c r="I2214" s="114"/>
      <c r="J2214" s="44" t="str">
        <f t="shared" si="311"/>
        <v/>
      </c>
      <c r="K2214" s="139"/>
      <c r="L2214" s="140"/>
      <c r="M2214" s="67"/>
      <c r="N2214" s="33">
        <f t="shared" si="276"/>
        <v>0</v>
      </c>
      <c r="O2214" s="101"/>
      <c r="P2214" s="34" t="str">
        <f t="shared" si="277"/>
        <v/>
      </c>
      <c r="Q2214" s="60"/>
      <c r="R2214" s="36">
        <f t="shared" si="312"/>
        <v>0</v>
      </c>
      <c r="S2214" s="102"/>
      <c r="T2214" s="37">
        <f t="shared" si="302"/>
        <v>0</v>
      </c>
      <c r="U2214" s="62"/>
      <c r="V2214" s="63"/>
      <c r="W2214" s="63"/>
      <c r="X2214" s="35" t="str">
        <f t="shared" si="303"/>
        <v>#N/A</v>
      </c>
      <c r="Y2214" s="35" t="str">
        <f t="shared" si="304"/>
        <v>#N/A</v>
      </c>
      <c r="Z2214" s="40" t="str">
        <f t="shared" si="305"/>
        <v>#N/A</v>
      </c>
      <c r="AA2214" s="34" t="str">
        <f t="shared" si="306"/>
        <v>#N/A</v>
      </c>
      <c r="AB2214" s="41" t="str">
        <f t="shared" si="307"/>
        <v>#N/A</v>
      </c>
      <c r="AC2214" s="42" t="b">
        <v>0</v>
      </c>
      <c r="AD2214" s="66" t="str">
        <f t="shared" si="308"/>
        <v>USD</v>
      </c>
      <c r="AE2214" s="42"/>
      <c r="AF2214" s="42" t="str">
        <f t="array" ref="AF2214">INDEX('Deal Info'!D:D, MATCH(A2214,'Deal Info'!A:A, 0))</f>
        <v>#N/A</v>
      </c>
      <c r="AG2214" s="43" t="str">
        <f t="array" ref="AG2214">INDEX('Deal Info'!G:G, MATCH(A2214,'Deal Info'!A:A, 0))</f>
        <v>#N/A</v>
      </c>
    </row>
    <row r="2215" hidden="1">
      <c r="A2215" s="23" t="b">
        <f t="array" ref="A2215">if(G2215='Room Info'!$B$1, INDEX('Room Info'!$A$2:$A3446, MATCH(B2215,'Room Info'!$B$2:$B3446, 0)),if(G2215='Room Info'!$C$1, INDEX('Room Info'!$A$2:$A3446, MATCH(B2215,'Room Info'!$C$2:$C3446, 0)),if(G2215='Room Info'!$D$1, INDEX('Room Info'!$A$2:$A3446, MATCH(B2215,'Room Info'!$D$2:$D3446, 0)),if(G2215='Room Info'!$E$1, INDEX('Room Info'!$A$2:$A3446, MATCH(B2215,'Room Info'!$E$2:$E3446, 0)),if(G2215='Room Info'!$F$1, INDEX('Room Info'!$A$2:$A3446, MATCH(B2215,'Room Info'!$F$2:$F3446, 0)),if(G2215='Room Info'!$H$1, INDEX('Room Info'!$A$2:$A3446, MATCH(B2215,'Room Info'!$H$2:$H3446, 0)),if(G2215='Room Info'!$G$1, INDEX('Room Info'!$A$2:$A3446, MATCH(B2215,'Room Info'!$G$2:$G3446, 0)))))))))</f>
        <v>0</v>
      </c>
      <c r="B2215" s="101"/>
      <c r="C2215" s="141"/>
      <c r="D2215" s="141"/>
      <c r="E2215" s="142"/>
      <c r="F2215" s="138"/>
      <c r="G2215" s="70"/>
      <c r="H2215" s="114"/>
      <c r="I2215" s="114"/>
      <c r="J2215" s="44" t="str">
        <f t="shared" si="311"/>
        <v/>
      </c>
      <c r="K2215" s="139"/>
      <c r="L2215" s="140"/>
      <c r="M2215" s="67"/>
      <c r="N2215" s="33">
        <f t="shared" si="276"/>
        <v>0</v>
      </c>
      <c r="O2215" s="101"/>
      <c r="P2215" s="34" t="str">
        <f t="shared" si="277"/>
        <v/>
      </c>
      <c r="Q2215" s="60"/>
      <c r="R2215" s="36">
        <f t="shared" si="312"/>
        <v>0</v>
      </c>
      <c r="S2215" s="102"/>
      <c r="T2215" s="37">
        <f t="shared" si="302"/>
        <v>0</v>
      </c>
      <c r="U2215" s="62"/>
      <c r="V2215" s="63"/>
      <c r="W2215" s="63"/>
      <c r="X2215" s="35" t="str">
        <f t="shared" si="303"/>
        <v>#N/A</v>
      </c>
      <c r="Y2215" s="35" t="str">
        <f t="shared" si="304"/>
        <v>#N/A</v>
      </c>
      <c r="Z2215" s="40" t="str">
        <f t="shared" si="305"/>
        <v>#N/A</v>
      </c>
      <c r="AA2215" s="34" t="str">
        <f t="shared" si="306"/>
        <v>#N/A</v>
      </c>
      <c r="AB2215" s="41" t="str">
        <f t="shared" si="307"/>
        <v>#N/A</v>
      </c>
      <c r="AC2215" s="42" t="b">
        <v>0</v>
      </c>
      <c r="AD2215" s="66" t="str">
        <f t="shared" si="308"/>
        <v>USD</v>
      </c>
      <c r="AE2215" s="42"/>
      <c r="AF2215" s="42" t="str">
        <f t="array" ref="AF2215">INDEX('Deal Info'!D:D, MATCH(A2215,'Deal Info'!A:A, 0))</f>
        <v>#N/A</v>
      </c>
      <c r="AG2215" s="43" t="str">
        <f t="array" ref="AG2215">INDEX('Deal Info'!G:G, MATCH(A2215,'Deal Info'!A:A, 0))</f>
        <v>#N/A</v>
      </c>
    </row>
    <row r="2216" hidden="1">
      <c r="A2216" s="23" t="b">
        <f t="array" ref="A2216">if(G2216='Room Info'!$B$1, INDEX('Room Info'!$A$2:$A3446, MATCH(B2216,'Room Info'!$B$2:$B3446, 0)),if(G2216='Room Info'!$C$1, INDEX('Room Info'!$A$2:$A3446, MATCH(B2216,'Room Info'!$C$2:$C3446, 0)),if(G2216='Room Info'!$D$1, INDEX('Room Info'!$A$2:$A3446, MATCH(B2216,'Room Info'!$D$2:$D3446, 0)),if(G2216='Room Info'!$E$1, INDEX('Room Info'!$A$2:$A3446, MATCH(B2216,'Room Info'!$E$2:$E3446, 0)),if(G2216='Room Info'!$F$1, INDEX('Room Info'!$A$2:$A3446, MATCH(B2216,'Room Info'!$F$2:$F3446, 0)),if(G2216='Room Info'!$H$1, INDEX('Room Info'!$A$2:$A3446, MATCH(B2216,'Room Info'!$H$2:$H3446, 0)),if(G2216='Room Info'!$G$1, INDEX('Room Info'!$A$2:$A3446, MATCH(B2216,'Room Info'!$G$2:$G3446, 0)))))))))</f>
        <v>0</v>
      </c>
      <c r="B2216" s="101"/>
      <c r="C2216" s="141"/>
      <c r="D2216" s="141"/>
      <c r="E2216" s="142"/>
      <c r="F2216" s="138"/>
      <c r="G2216" s="70"/>
      <c r="H2216" s="114"/>
      <c r="I2216" s="114"/>
      <c r="J2216" s="44" t="str">
        <f t="shared" si="311"/>
        <v/>
      </c>
      <c r="K2216" s="139"/>
      <c r="L2216" s="140"/>
      <c r="M2216" s="67"/>
      <c r="N2216" s="33">
        <f t="shared" si="276"/>
        <v>0</v>
      </c>
      <c r="O2216" s="101"/>
      <c r="P2216" s="34" t="str">
        <f t="shared" si="277"/>
        <v/>
      </c>
      <c r="Q2216" s="60"/>
      <c r="R2216" s="36">
        <f t="shared" si="312"/>
        <v>0</v>
      </c>
      <c r="S2216" s="102"/>
      <c r="T2216" s="37">
        <f t="shared" si="302"/>
        <v>0</v>
      </c>
      <c r="U2216" s="62"/>
      <c r="V2216" s="63"/>
      <c r="W2216" s="63"/>
      <c r="X2216" s="35" t="str">
        <f t="shared" si="303"/>
        <v>#N/A</v>
      </c>
      <c r="Y2216" s="35" t="str">
        <f t="shared" si="304"/>
        <v>#N/A</v>
      </c>
      <c r="Z2216" s="40" t="str">
        <f t="shared" si="305"/>
        <v>#N/A</v>
      </c>
      <c r="AA2216" s="34" t="str">
        <f t="shared" si="306"/>
        <v>#N/A</v>
      </c>
      <c r="AB2216" s="41" t="str">
        <f t="shared" si="307"/>
        <v>#N/A</v>
      </c>
      <c r="AC2216" s="42" t="b">
        <v>0</v>
      </c>
      <c r="AD2216" s="66" t="str">
        <f t="shared" si="308"/>
        <v>USD</v>
      </c>
      <c r="AE2216" s="42"/>
      <c r="AF2216" s="42" t="str">
        <f t="array" ref="AF2216">INDEX('Deal Info'!D:D, MATCH(A2216,'Deal Info'!A:A, 0))</f>
        <v>#N/A</v>
      </c>
      <c r="AG2216" s="43" t="str">
        <f t="array" ref="AG2216">INDEX('Deal Info'!G:G, MATCH(A2216,'Deal Info'!A:A, 0))</f>
        <v>#N/A</v>
      </c>
    </row>
    <row r="2217" hidden="1">
      <c r="A2217" s="23" t="b">
        <f t="array" ref="A2217">if(G2217='Room Info'!$B$1, INDEX('Room Info'!$A$2:$A3446, MATCH(B2217,'Room Info'!$B$2:$B3446, 0)),if(G2217='Room Info'!$C$1, INDEX('Room Info'!$A$2:$A3446, MATCH(B2217,'Room Info'!$C$2:$C3446, 0)),if(G2217='Room Info'!$D$1, INDEX('Room Info'!$A$2:$A3446, MATCH(B2217,'Room Info'!$D$2:$D3446, 0)),if(G2217='Room Info'!$E$1, INDEX('Room Info'!$A$2:$A3446, MATCH(B2217,'Room Info'!$E$2:$E3446, 0)),if(G2217='Room Info'!$F$1, INDEX('Room Info'!$A$2:$A3446, MATCH(B2217,'Room Info'!$F$2:$F3446, 0)),if(G2217='Room Info'!$H$1, INDEX('Room Info'!$A$2:$A3446, MATCH(B2217,'Room Info'!$H$2:$H3446, 0)),if(G2217='Room Info'!$G$1, INDEX('Room Info'!$A$2:$A3446, MATCH(B2217,'Room Info'!$G$2:$G3446, 0)))))))))</f>
        <v>0</v>
      </c>
      <c r="B2217" s="101"/>
      <c r="C2217" s="141"/>
      <c r="D2217" s="141"/>
      <c r="E2217" s="142"/>
      <c r="F2217" s="138"/>
      <c r="G2217" s="70"/>
      <c r="H2217" s="114"/>
      <c r="I2217" s="114"/>
      <c r="J2217" s="44" t="str">
        <f t="shared" si="311"/>
        <v/>
      </c>
      <c r="K2217" s="139"/>
      <c r="L2217" s="140"/>
      <c r="M2217" s="67"/>
      <c r="N2217" s="33">
        <f t="shared" si="276"/>
        <v>0</v>
      </c>
      <c r="O2217" s="101"/>
      <c r="P2217" s="34" t="str">
        <f t="shared" si="277"/>
        <v/>
      </c>
      <c r="Q2217" s="60"/>
      <c r="R2217" s="36">
        <f t="shared" si="312"/>
        <v>0</v>
      </c>
      <c r="S2217" s="102"/>
      <c r="T2217" s="37">
        <f t="shared" si="302"/>
        <v>0</v>
      </c>
      <c r="U2217" s="62"/>
      <c r="V2217" s="63"/>
      <c r="W2217" s="63"/>
      <c r="X2217" s="35" t="str">
        <f t="shared" si="303"/>
        <v>#N/A</v>
      </c>
      <c r="Y2217" s="35" t="str">
        <f t="shared" si="304"/>
        <v>#N/A</v>
      </c>
      <c r="Z2217" s="40" t="str">
        <f t="shared" si="305"/>
        <v>#N/A</v>
      </c>
      <c r="AA2217" s="34" t="str">
        <f t="shared" si="306"/>
        <v>#N/A</v>
      </c>
      <c r="AB2217" s="41" t="str">
        <f t="shared" si="307"/>
        <v>#N/A</v>
      </c>
      <c r="AC2217" s="42" t="b">
        <v>0</v>
      </c>
      <c r="AD2217" s="66" t="str">
        <f t="shared" si="308"/>
        <v>USD</v>
      </c>
      <c r="AE2217" s="42"/>
      <c r="AF2217" s="42" t="str">
        <f t="array" ref="AF2217">INDEX('Deal Info'!D:D, MATCH(A2217,'Deal Info'!A:A, 0))</f>
        <v>#N/A</v>
      </c>
      <c r="AG2217" s="43" t="str">
        <f t="array" ref="AG2217">INDEX('Deal Info'!G:G, MATCH(A2217,'Deal Info'!A:A, 0))</f>
        <v>#N/A</v>
      </c>
    </row>
    <row r="2218" hidden="1">
      <c r="A2218" s="23" t="b">
        <f t="array" ref="A2218">if(G2218='Room Info'!$B$1, INDEX('Room Info'!$A$2:$A3446, MATCH(B2218,'Room Info'!$B$2:$B3446, 0)),if(G2218='Room Info'!$C$1, INDEX('Room Info'!$A$2:$A3446, MATCH(B2218,'Room Info'!$C$2:$C3446, 0)),if(G2218='Room Info'!$D$1, INDEX('Room Info'!$A$2:$A3446, MATCH(B2218,'Room Info'!$D$2:$D3446, 0)),if(G2218='Room Info'!$E$1, INDEX('Room Info'!$A$2:$A3446, MATCH(B2218,'Room Info'!$E$2:$E3446, 0)),if(G2218='Room Info'!$F$1, INDEX('Room Info'!$A$2:$A3446, MATCH(B2218,'Room Info'!$F$2:$F3446, 0)),if(G2218='Room Info'!$H$1, INDEX('Room Info'!$A$2:$A3446, MATCH(B2218,'Room Info'!$H$2:$H3446, 0)),if(G2218='Room Info'!$G$1, INDEX('Room Info'!$A$2:$A3446, MATCH(B2218,'Room Info'!$G$2:$G3446, 0)))))))))</f>
        <v>0</v>
      </c>
      <c r="B2218" s="101"/>
      <c r="C2218" s="141"/>
      <c r="D2218" s="141"/>
      <c r="E2218" s="142"/>
      <c r="F2218" s="138"/>
      <c r="G2218" s="70"/>
      <c r="H2218" s="114"/>
      <c r="I2218" s="114"/>
      <c r="J2218" s="44" t="str">
        <f t="shared" si="311"/>
        <v/>
      </c>
      <c r="K2218" s="139"/>
      <c r="L2218" s="140"/>
      <c r="M2218" s="67"/>
      <c r="N2218" s="33">
        <f t="shared" si="276"/>
        <v>0</v>
      </c>
      <c r="O2218" s="101"/>
      <c r="P2218" s="34" t="str">
        <f t="shared" si="277"/>
        <v/>
      </c>
      <c r="Q2218" s="60"/>
      <c r="R2218" s="36">
        <f t="shared" si="312"/>
        <v>0</v>
      </c>
      <c r="S2218" s="102"/>
      <c r="T2218" s="37">
        <f t="shared" si="302"/>
        <v>0</v>
      </c>
      <c r="U2218" s="62"/>
      <c r="V2218" s="63"/>
      <c r="W2218" s="63"/>
      <c r="X2218" s="35" t="str">
        <f t="shared" si="303"/>
        <v>#N/A</v>
      </c>
      <c r="Y2218" s="35" t="str">
        <f t="shared" si="304"/>
        <v>#N/A</v>
      </c>
      <c r="Z2218" s="40" t="str">
        <f t="shared" si="305"/>
        <v>#N/A</v>
      </c>
      <c r="AA2218" s="34" t="str">
        <f t="shared" si="306"/>
        <v>#N/A</v>
      </c>
      <c r="AB2218" s="41" t="str">
        <f t="shared" si="307"/>
        <v>#N/A</v>
      </c>
      <c r="AC2218" s="42" t="b">
        <v>0</v>
      </c>
      <c r="AD2218" s="66" t="str">
        <f t="shared" si="308"/>
        <v>USD</v>
      </c>
      <c r="AE2218" s="42"/>
      <c r="AF2218" s="42" t="str">
        <f t="array" ref="AF2218">INDEX('Deal Info'!D:D, MATCH(A2218,'Deal Info'!A:A, 0))</f>
        <v>#N/A</v>
      </c>
      <c r="AG2218" s="43" t="str">
        <f t="array" ref="AG2218">INDEX('Deal Info'!G:G, MATCH(A2218,'Deal Info'!A:A, 0))</f>
        <v>#N/A</v>
      </c>
    </row>
    <row r="2219" hidden="1">
      <c r="A2219" s="23" t="b">
        <f t="array" ref="A2219">if(G2219='Room Info'!$B$1, INDEX('Room Info'!$A$2:$A3446, MATCH(B2219,'Room Info'!$B$2:$B3446, 0)),if(G2219='Room Info'!$C$1, INDEX('Room Info'!$A$2:$A3446, MATCH(B2219,'Room Info'!$C$2:$C3446, 0)),if(G2219='Room Info'!$D$1, INDEX('Room Info'!$A$2:$A3446, MATCH(B2219,'Room Info'!$D$2:$D3446, 0)),if(G2219='Room Info'!$E$1, INDEX('Room Info'!$A$2:$A3446, MATCH(B2219,'Room Info'!$E$2:$E3446, 0)),if(G2219='Room Info'!$F$1, INDEX('Room Info'!$A$2:$A3446, MATCH(B2219,'Room Info'!$F$2:$F3446, 0)),if(G2219='Room Info'!$H$1, INDEX('Room Info'!$A$2:$A3446, MATCH(B2219,'Room Info'!$H$2:$H3446, 0)),if(G2219='Room Info'!$G$1, INDEX('Room Info'!$A$2:$A3446, MATCH(B2219,'Room Info'!$G$2:$G3446, 0)))))))))</f>
        <v>0</v>
      </c>
      <c r="B2219" s="101"/>
      <c r="C2219" s="141"/>
      <c r="D2219" s="141"/>
      <c r="E2219" s="142"/>
      <c r="F2219" s="138"/>
      <c r="G2219" s="70"/>
      <c r="H2219" s="114"/>
      <c r="I2219" s="114"/>
      <c r="J2219" s="44" t="str">
        <f t="shared" si="311"/>
        <v/>
      </c>
      <c r="K2219" s="116"/>
      <c r="L2219" s="117"/>
      <c r="M2219" s="67"/>
      <c r="N2219" s="33">
        <f t="shared" si="276"/>
        <v>0</v>
      </c>
      <c r="O2219" s="70"/>
      <c r="P2219" s="34" t="str">
        <f t="shared" si="277"/>
        <v/>
      </c>
      <c r="Q2219" s="60"/>
      <c r="R2219" s="36">
        <f t="shared" si="312"/>
        <v>0</v>
      </c>
      <c r="S2219" s="71"/>
      <c r="T2219" s="37">
        <f t="shared" si="302"/>
        <v>0</v>
      </c>
      <c r="U2219" s="62"/>
      <c r="V2219" s="63"/>
      <c r="W2219" s="63"/>
      <c r="X2219" s="35" t="str">
        <f t="shared" si="303"/>
        <v>#N/A</v>
      </c>
      <c r="Y2219" s="35" t="str">
        <f t="shared" si="304"/>
        <v>#N/A</v>
      </c>
      <c r="Z2219" s="40" t="str">
        <f t="shared" si="305"/>
        <v>#N/A</v>
      </c>
      <c r="AA2219" s="34" t="str">
        <f t="shared" si="306"/>
        <v>#N/A</v>
      </c>
      <c r="AB2219" s="41" t="str">
        <f t="shared" si="307"/>
        <v>#N/A</v>
      </c>
      <c r="AC2219" s="42" t="b">
        <v>0</v>
      </c>
      <c r="AD2219" s="66" t="str">
        <f t="shared" si="308"/>
        <v>USD</v>
      </c>
      <c r="AE2219" s="42"/>
      <c r="AF2219" s="42" t="str">
        <f t="array" ref="AF2219">INDEX('Deal Info'!D:D, MATCH(A2219,'Deal Info'!A:A, 0))</f>
        <v>#N/A</v>
      </c>
      <c r="AG2219" s="43" t="str">
        <f t="array" ref="AG2219">INDEX('Deal Info'!G:G, MATCH(A2219,'Deal Info'!A:A, 0))</f>
        <v>#N/A</v>
      </c>
    </row>
    <row r="2220" hidden="1">
      <c r="A2220" s="23" t="b">
        <f t="array" ref="A2220">if(G2220='Room Info'!$B$1, INDEX('Room Info'!$A$2:$A3446, MATCH(B2220,'Room Info'!$B$2:$B3446, 0)),if(G2220='Room Info'!$C$1, INDEX('Room Info'!$A$2:$A3446, MATCH(B2220,'Room Info'!$C$2:$C3446, 0)),if(G2220='Room Info'!$D$1, INDEX('Room Info'!$A$2:$A3446, MATCH(B2220,'Room Info'!$D$2:$D3446, 0)),if(G2220='Room Info'!$E$1, INDEX('Room Info'!$A$2:$A3446, MATCH(B2220,'Room Info'!$E$2:$E3446, 0)),if(G2220='Room Info'!$F$1, INDEX('Room Info'!$A$2:$A3446, MATCH(B2220,'Room Info'!$F$2:$F3446, 0)),if(G2220='Room Info'!$H$1, INDEX('Room Info'!$A$2:$A3446, MATCH(B2220,'Room Info'!$H$2:$H3446, 0)),if(G2220='Room Info'!$G$1, INDEX('Room Info'!$A$2:$A3446, MATCH(B2220,'Room Info'!$G$2:$G3446, 0)))))))))</f>
        <v>0</v>
      </c>
      <c r="B2220" s="101"/>
      <c r="C2220" s="141"/>
      <c r="D2220" s="141"/>
      <c r="E2220" s="142"/>
      <c r="F2220" s="138"/>
      <c r="G2220" s="101"/>
      <c r="H2220" s="105"/>
      <c r="I2220" s="105"/>
      <c r="J2220" s="44" t="str">
        <f t="shared" si="311"/>
        <v/>
      </c>
      <c r="K2220" s="139"/>
      <c r="L2220" s="140"/>
      <c r="M2220" s="84"/>
      <c r="N2220" s="33">
        <f t="shared" si="276"/>
        <v>0</v>
      </c>
      <c r="O2220" s="101"/>
      <c r="P2220" s="34" t="str">
        <f t="shared" si="277"/>
        <v/>
      </c>
      <c r="Q2220" s="60"/>
      <c r="R2220" s="36">
        <f t="shared" si="312"/>
        <v>0</v>
      </c>
      <c r="S2220" s="102"/>
      <c r="T2220" s="37">
        <f t="shared" si="302"/>
        <v>0</v>
      </c>
      <c r="U2220" s="62"/>
      <c r="V2220" s="63"/>
      <c r="W2220" s="63"/>
      <c r="X2220" s="35" t="str">
        <f t="shared" si="303"/>
        <v>#N/A</v>
      </c>
      <c r="Y2220" s="35" t="str">
        <f t="shared" si="304"/>
        <v>#N/A</v>
      </c>
      <c r="Z2220" s="40" t="str">
        <f t="shared" si="305"/>
        <v>#N/A</v>
      </c>
      <c r="AA2220" s="34" t="str">
        <f t="shared" si="306"/>
        <v>#N/A</v>
      </c>
      <c r="AB2220" s="41" t="str">
        <f t="shared" si="307"/>
        <v>#N/A</v>
      </c>
      <c r="AC2220" s="42" t="b">
        <v>0</v>
      </c>
      <c r="AD2220" s="66" t="str">
        <f t="shared" si="308"/>
        <v>USD</v>
      </c>
      <c r="AE2220" s="42"/>
      <c r="AF2220" s="42" t="str">
        <f t="array" ref="AF2220">INDEX('Deal Info'!D:D, MATCH(A2220,'Deal Info'!A:A, 0))</f>
        <v>#N/A</v>
      </c>
      <c r="AG2220" s="43" t="str">
        <f t="array" ref="AG2220">INDEX('Deal Info'!G:G, MATCH(A2220,'Deal Info'!A:A, 0))</f>
        <v>#N/A</v>
      </c>
    </row>
    <row r="2221" hidden="1">
      <c r="A2221" s="23" t="b">
        <f t="array" ref="A2221">if(G2221='Room Info'!$B$1, INDEX('Room Info'!$A$2:$A3446, MATCH(B2221,'Room Info'!$B$2:$B3446, 0)),if(G2221='Room Info'!$C$1, INDEX('Room Info'!$A$2:$A3446, MATCH(B2221,'Room Info'!$C$2:$C3446, 0)),if(G2221='Room Info'!$D$1, INDEX('Room Info'!$A$2:$A3446, MATCH(B2221,'Room Info'!$D$2:$D3446, 0)),if(G2221='Room Info'!$E$1, INDEX('Room Info'!$A$2:$A3446, MATCH(B2221,'Room Info'!$E$2:$E3446, 0)),if(G2221='Room Info'!$F$1, INDEX('Room Info'!$A$2:$A3446, MATCH(B2221,'Room Info'!$F$2:$F3446, 0)),if(G2221='Room Info'!$H$1, INDEX('Room Info'!$A$2:$A3446, MATCH(B2221,'Room Info'!$H$2:$H3446, 0)),if(G2221='Room Info'!$G$1, INDEX('Room Info'!$A$2:$A3446, MATCH(B2221,'Room Info'!$G$2:$G3446, 0)))))))))</f>
        <v>0</v>
      </c>
      <c r="B2221" s="101"/>
      <c r="C2221" s="115"/>
      <c r="D2221" s="115"/>
      <c r="E2221" s="85"/>
      <c r="F2221" s="138"/>
      <c r="G2221" s="70"/>
      <c r="H2221" s="114"/>
      <c r="I2221" s="114"/>
      <c r="J2221" s="44" t="str">
        <f t="shared" si="311"/>
        <v/>
      </c>
      <c r="K2221" s="116"/>
      <c r="L2221" s="117"/>
      <c r="M2221" s="67"/>
      <c r="N2221" s="33">
        <f t="shared" si="276"/>
        <v>0</v>
      </c>
      <c r="O2221" s="70"/>
      <c r="P2221" s="34" t="str">
        <f t="shared" si="277"/>
        <v/>
      </c>
      <c r="Q2221" s="60"/>
      <c r="R2221" s="36">
        <f t="shared" si="312"/>
        <v>0</v>
      </c>
      <c r="S2221" s="71"/>
      <c r="T2221" s="37">
        <f t="shared" si="302"/>
        <v>0</v>
      </c>
      <c r="U2221" s="62"/>
      <c r="V2221" s="63"/>
      <c r="W2221" s="63"/>
      <c r="X2221" s="35" t="str">
        <f t="shared" si="303"/>
        <v>#N/A</v>
      </c>
      <c r="Y2221" s="35" t="str">
        <f t="shared" si="304"/>
        <v>#N/A</v>
      </c>
      <c r="Z2221" s="40" t="str">
        <f t="shared" si="305"/>
        <v>#N/A</v>
      </c>
      <c r="AA2221" s="34" t="str">
        <f t="shared" si="306"/>
        <v>#N/A</v>
      </c>
      <c r="AB2221" s="41" t="str">
        <f t="shared" si="307"/>
        <v>#N/A</v>
      </c>
      <c r="AC2221" s="42" t="b">
        <v>0</v>
      </c>
      <c r="AD2221" s="66" t="str">
        <f t="shared" si="308"/>
        <v>USD</v>
      </c>
      <c r="AE2221" s="42"/>
      <c r="AF2221" s="42" t="str">
        <f t="array" ref="AF2221">INDEX('Deal Info'!D:D, MATCH(A2221,'Deal Info'!A:A, 0))</f>
        <v>#N/A</v>
      </c>
      <c r="AG2221" s="43" t="str">
        <f t="array" ref="AG2221">INDEX('Deal Info'!G:G, MATCH(A2221,'Deal Info'!A:A, 0))</f>
        <v>#N/A</v>
      </c>
    </row>
    <row r="2222" hidden="1">
      <c r="A2222" s="23" t="b">
        <f t="array" ref="A2222">if(G2222='Room Info'!$B$1, INDEX('Room Info'!$A$2:$A3446, MATCH(B2222,'Room Info'!$B$2:$B3446, 0)),if(G2222='Room Info'!$C$1, INDEX('Room Info'!$A$2:$A3446, MATCH(B2222,'Room Info'!$C$2:$C3446, 0)),if(G2222='Room Info'!$D$1, INDEX('Room Info'!$A$2:$A3446, MATCH(B2222,'Room Info'!$D$2:$D3446, 0)),if(G2222='Room Info'!$E$1, INDEX('Room Info'!$A$2:$A3446, MATCH(B2222,'Room Info'!$E$2:$E3446, 0)),if(G2222='Room Info'!$F$1, INDEX('Room Info'!$A$2:$A3446, MATCH(B2222,'Room Info'!$F$2:$F3446, 0)),if(G2222='Room Info'!$H$1, INDEX('Room Info'!$A$2:$A3446, MATCH(B2222,'Room Info'!$H$2:$H3446, 0)),if(G2222='Room Info'!$G$1, INDEX('Room Info'!$A$2:$A3446, MATCH(B2222,'Room Info'!$G$2:$G3446, 0)))))))))</f>
        <v>0</v>
      </c>
      <c r="B2222" s="101"/>
      <c r="C2222" s="115"/>
      <c r="D2222" s="115"/>
      <c r="E2222" s="85"/>
      <c r="F2222" s="138"/>
      <c r="G2222" s="70"/>
      <c r="H2222" s="114"/>
      <c r="I2222" s="114"/>
      <c r="J2222" s="44" t="str">
        <f t="shared" si="311"/>
        <v/>
      </c>
      <c r="K2222" s="116"/>
      <c r="L2222" s="117"/>
      <c r="M2222" s="67"/>
      <c r="N2222" s="33">
        <f t="shared" si="276"/>
        <v>0</v>
      </c>
      <c r="O2222" s="70"/>
      <c r="P2222" s="34" t="str">
        <f t="shared" si="277"/>
        <v/>
      </c>
      <c r="Q2222" s="60"/>
      <c r="R2222" s="36">
        <f t="shared" si="312"/>
        <v>0</v>
      </c>
      <c r="S2222" s="71"/>
      <c r="T2222" s="37">
        <f t="shared" si="302"/>
        <v>0</v>
      </c>
      <c r="U2222" s="62"/>
      <c r="V2222" s="63"/>
      <c r="W2222" s="63"/>
      <c r="X2222" s="35" t="str">
        <f t="shared" si="303"/>
        <v>#N/A</v>
      </c>
      <c r="Y2222" s="35" t="str">
        <f t="shared" si="304"/>
        <v>#N/A</v>
      </c>
      <c r="Z2222" s="40" t="str">
        <f t="shared" si="305"/>
        <v>#N/A</v>
      </c>
      <c r="AA2222" s="34" t="str">
        <f t="shared" si="306"/>
        <v>#N/A</v>
      </c>
      <c r="AB2222" s="41" t="str">
        <f t="shared" si="307"/>
        <v>#N/A</v>
      </c>
      <c r="AC2222" s="42" t="b">
        <v>0</v>
      </c>
      <c r="AD2222" s="66" t="str">
        <f t="shared" si="308"/>
        <v>USD</v>
      </c>
      <c r="AE2222" s="42"/>
      <c r="AF2222" s="42" t="str">
        <f t="array" ref="AF2222">INDEX('Deal Info'!D:D, MATCH(A2222,'Deal Info'!A:A, 0))</f>
        <v>#N/A</v>
      </c>
      <c r="AG2222" s="43" t="str">
        <f t="array" ref="AG2222">INDEX('Deal Info'!G:G, MATCH(A2222,'Deal Info'!A:A, 0))</f>
        <v>#N/A</v>
      </c>
    </row>
    <row r="2223" hidden="1">
      <c r="A2223" s="23" t="b">
        <f t="array" ref="A2223">if(G2223='Room Info'!$B$1, INDEX('Room Info'!$A$2:$A3446, MATCH(B2223,'Room Info'!$B$2:$B3446, 0)),if(G2223='Room Info'!$C$1, INDEX('Room Info'!$A$2:$A3446, MATCH(B2223,'Room Info'!$C$2:$C3446, 0)),if(G2223='Room Info'!$D$1, INDEX('Room Info'!$A$2:$A3446, MATCH(B2223,'Room Info'!$D$2:$D3446, 0)),if(G2223='Room Info'!$E$1, INDEX('Room Info'!$A$2:$A3446, MATCH(B2223,'Room Info'!$E$2:$E3446, 0)),if(G2223='Room Info'!$F$1, INDEX('Room Info'!$A$2:$A3446, MATCH(B2223,'Room Info'!$F$2:$F3446, 0)),if(G2223='Room Info'!$H$1, INDEX('Room Info'!$A$2:$A3446, MATCH(B2223,'Room Info'!$H$2:$H3446, 0)),if(G2223='Room Info'!$G$1, INDEX('Room Info'!$A$2:$A3446, MATCH(B2223,'Room Info'!$G$2:$G3446, 0)))))))))</f>
        <v>0</v>
      </c>
      <c r="B2223" s="101"/>
      <c r="C2223" s="115"/>
      <c r="D2223" s="115"/>
      <c r="E2223" s="85"/>
      <c r="F2223" s="138"/>
      <c r="G2223" s="70"/>
      <c r="H2223" s="114"/>
      <c r="I2223" s="114"/>
      <c r="J2223" s="44" t="str">
        <f t="shared" si="311"/>
        <v/>
      </c>
      <c r="K2223" s="116"/>
      <c r="L2223" s="117"/>
      <c r="M2223" s="67"/>
      <c r="N2223" s="33">
        <f t="shared" si="276"/>
        <v>0</v>
      </c>
      <c r="O2223" s="70"/>
      <c r="P2223" s="34" t="str">
        <f t="shared" si="277"/>
        <v/>
      </c>
      <c r="Q2223" s="60"/>
      <c r="R2223" s="36">
        <f t="shared" si="312"/>
        <v>0</v>
      </c>
      <c r="S2223" s="71"/>
      <c r="T2223" s="37">
        <f t="shared" si="302"/>
        <v>0</v>
      </c>
      <c r="U2223" s="62"/>
      <c r="V2223" s="63"/>
      <c r="W2223" s="63"/>
      <c r="X2223" s="35" t="str">
        <f t="shared" si="303"/>
        <v>#N/A</v>
      </c>
      <c r="Y2223" s="35" t="str">
        <f t="shared" si="304"/>
        <v>#N/A</v>
      </c>
      <c r="Z2223" s="40" t="str">
        <f t="shared" si="305"/>
        <v>#N/A</v>
      </c>
      <c r="AA2223" s="34" t="str">
        <f t="shared" si="306"/>
        <v>#N/A</v>
      </c>
      <c r="AB2223" s="41" t="str">
        <f t="shared" si="307"/>
        <v>#N/A</v>
      </c>
      <c r="AC2223" s="42" t="b">
        <v>0</v>
      </c>
      <c r="AD2223" s="66" t="str">
        <f t="shared" si="308"/>
        <v>USD</v>
      </c>
      <c r="AE2223" s="42"/>
      <c r="AF2223" s="42" t="str">
        <f t="array" ref="AF2223">INDEX('Deal Info'!D:D, MATCH(A2223,'Deal Info'!A:A, 0))</f>
        <v>#N/A</v>
      </c>
      <c r="AG2223" s="43" t="str">
        <f t="array" ref="AG2223">INDEX('Deal Info'!G:G, MATCH(A2223,'Deal Info'!A:A, 0))</f>
        <v>#N/A</v>
      </c>
    </row>
    <row r="2224" hidden="1">
      <c r="A2224" s="23" t="b">
        <f t="array" ref="A2224">if(G2224='Room Info'!$B$1, INDEX('Room Info'!$A$2:$A3446, MATCH(B2224,'Room Info'!$B$2:$B3446, 0)),if(G2224='Room Info'!$C$1, INDEX('Room Info'!$A$2:$A3446, MATCH(B2224,'Room Info'!$C$2:$C3446, 0)),if(G2224='Room Info'!$D$1, INDEX('Room Info'!$A$2:$A3446, MATCH(B2224,'Room Info'!$D$2:$D3446, 0)),if(G2224='Room Info'!$E$1, INDEX('Room Info'!$A$2:$A3446, MATCH(B2224,'Room Info'!$E$2:$E3446, 0)),if(G2224='Room Info'!$F$1, INDEX('Room Info'!$A$2:$A3446, MATCH(B2224,'Room Info'!$F$2:$F3446, 0)),if(G2224='Room Info'!$H$1, INDEX('Room Info'!$A$2:$A3446, MATCH(B2224,'Room Info'!$H$2:$H3446, 0)),if(G2224='Room Info'!$G$1, INDEX('Room Info'!$A$2:$A3446, MATCH(B2224,'Room Info'!$G$2:$G3446, 0)))))))))</f>
        <v>0</v>
      </c>
      <c r="B2224" s="101"/>
      <c r="C2224" s="115"/>
      <c r="D2224" s="115"/>
      <c r="E2224" s="85"/>
      <c r="F2224" s="138"/>
      <c r="G2224" s="70"/>
      <c r="H2224" s="114"/>
      <c r="I2224" s="114"/>
      <c r="J2224" s="44" t="str">
        <f t="shared" si="311"/>
        <v/>
      </c>
      <c r="K2224" s="116"/>
      <c r="L2224" s="117"/>
      <c r="M2224" s="67"/>
      <c r="N2224" s="33">
        <f t="shared" si="276"/>
        <v>0</v>
      </c>
      <c r="O2224" s="70"/>
      <c r="P2224" s="34" t="str">
        <f t="shared" si="277"/>
        <v/>
      </c>
      <c r="Q2224" s="60"/>
      <c r="R2224" s="36">
        <f t="shared" si="312"/>
        <v>0</v>
      </c>
      <c r="S2224" s="71"/>
      <c r="T2224" s="37">
        <f t="shared" si="302"/>
        <v>0</v>
      </c>
      <c r="U2224" s="62"/>
      <c r="V2224" s="63"/>
      <c r="W2224" s="63"/>
      <c r="X2224" s="35" t="str">
        <f t="shared" si="303"/>
        <v>#N/A</v>
      </c>
      <c r="Y2224" s="35" t="str">
        <f t="shared" si="304"/>
        <v>#N/A</v>
      </c>
      <c r="Z2224" s="40" t="str">
        <f t="shared" si="305"/>
        <v>#N/A</v>
      </c>
      <c r="AA2224" s="34" t="str">
        <f t="shared" si="306"/>
        <v>#N/A</v>
      </c>
      <c r="AB2224" s="41" t="str">
        <f t="shared" si="307"/>
        <v>#N/A</v>
      </c>
      <c r="AC2224" s="42" t="b">
        <v>0</v>
      </c>
      <c r="AD2224" s="66" t="str">
        <f t="shared" si="308"/>
        <v>USD</v>
      </c>
      <c r="AE2224" s="42"/>
      <c r="AF2224" s="42" t="str">
        <f t="array" ref="AF2224">INDEX('Deal Info'!D:D, MATCH(A2224,'Deal Info'!A:A, 0))</f>
        <v>#N/A</v>
      </c>
      <c r="AG2224" s="43" t="str">
        <f t="array" ref="AG2224">INDEX('Deal Info'!G:G, MATCH(A2224,'Deal Info'!A:A, 0))</f>
        <v>#N/A</v>
      </c>
    </row>
    <row r="2225" hidden="1">
      <c r="A2225" s="23" t="b">
        <f t="array" ref="A2225">if(G2225='Room Info'!$B$1, INDEX('Room Info'!$A$2:$A3446, MATCH(B2225,'Room Info'!$B$2:$B3446, 0)),if(G2225='Room Info'!$C$1, INDEX('Room Info'!$A$2:$A3446, MATCH(B2225,'Room Info'!$C$2:$C3446, 0)),if(G2225='Room Info'!$D$1, INDEX('Room Info'!$A$2:$A3446, MATCH(B2225,'Room Info'!$D$2:$D3446, 0)),if(G2225='Room Info'!$E$1, INDEX('Room Info'!$A$2:$A3446, MATCH(B2225,'Room Info'!$E$2:$E3446, 0)),if(G2225='Room Info'!$F$1, INDEX('Room Info'!$A$2:$A3446, MATCH(B2225,'Room Info'!$F$2:$F3446, 0)),if(G2225='Room Info'!$H$1, INDEX('Room Info'!$A$2:$A3446, MATCH(B2225,'Room Info'!$H$2:$H3446, 0)),if(G2225='Room Info'!$G$1, INDEX('Room Info'!$A$2:$A3446, MATCH(B2225,'Room Info'!$G$2:$G3446, 0)))))))))</f>
        <v>0</v>
      </c>
      <c r="B2225" s="101"/>
      <c r="C2225" s="115"/>
      <c r="D2225" s="115"/>
      <c r="E2225" s="85"/>
      <c r="F2225" s="138"/>
      <c r="G2225" s="101"/>
      <c r="H2225" s="114"/>
      <c r="I2225" s="114"/>
      <c r="J2225" s="44" t="str">
        <f t="shared" si="311"/>
        <v/>
      </c>
      <c r="K2225" s="116"/>
      <c r="L2225" s="117"/>
      <c r="M2225" s="67"/>
      <c r="N2225" s="33">
        <f t="shared" si="276"/>
        <v>0</v>
      </c>
      <c r="O2225" s="70"/>
      <c r="P2225" s="34" t="str">
        <f t="shared" si="277"/>
        <v/>
      </c>
      <c r="Q2225" s="60"/>
      <c r="R2225" s="36">
        <f t="shared" si="312"/>
        <v>0</v>
      </c>
      <c r="S2225" s="71"/>
      <c r="T2225" s="37">
        <f t="shared" si="302"/>
        <v>0</v>
      </c>
      <c r="U2225" s="62"/>
      <c r="V2225" s="63"/>
      <c r="W2225" s="63"/>
      <c r="X2225" s="35" t="str">
        <f t="shared" si="303"/>
        <v>#N/A</v>
      </c>
      <c r="Y2225" s="35" t="str">
        <f t="shared" si="304"/>
        <v>#N/A</v>
      </c>
      <c r="Z2225" s="40" t="str">
        <f t="shared" si="305"/>
        <v>#N/A</v>
      </c>
      <c r="AA2225" s="34" t="str">
        <f t="shared" si="306"/>
        <v>#N/A</v>
      </c>
      <c r="AB2225" s="41" t="str">
        <f t="shared" si="307"/>
        <v>#N/A</v>
      </c>
      <c r="AC2225" s="42" t="b">
        <v>0</v>
      </c>
      <c r="AD2225" s="66" t="str">
        <f t="shared" si="308"/>
        <v>USD</v>
      </c>
      <c r="AE2225" s="42"/>
      <c r="AF2225" s="42" t="str">
        <f t="array" ref="AF2225">INDEX('Deal Info'!D:D, MATCH(A2225,'Deal Info'!A:A, 0))</f>
        <v>#N/A</v>
      </c>
      <c r="AG2225" s="43" t="str">
        <f t="array" ref="AG2225">INDEX('Deal Info'!G:G, MATCH(A2225,'Deal Info'!A:A, 0))</f>
        <v>#N/A</v>
      </c>
    </row>
    <row r="2226" hidden="1">
      <c r="A2226" s="23" t="b">
        <f t="array" ref="A2226">if(G2226='Room Info'!$B$1, INDEX('Room Info'!$A$2:$A3446, MATCH(B2226,'Room Info'!$B$2:$B3446, 0)),if(G2226='Room Info'!$C$1, INDEX('Room Info'!$A$2:$A3446, MATCH(B2226,'Room Info'!$C$2:$C3446, 0)),if(G2226='Room Info'!$D$1, INDEX('Room Info'!$A$2:$A3446, MATCH(B2226,'Room Info'!$D$2:$D3446, 0)),if(G2226='Room Info'!$E$1, INDEX('Room Info'!$A$2:$A3446, MATCH(B2226,'Room Info'!$E$2:$E3446, 0)),if(G2226='Room Info'!$F$1, INDEX('Room Info'!$A$2:$A3446, MATCH(B2226,'Room Info'!$F$2:$F3446, 0)),if(G2226='Room Info'!$H$1, INDEX('Room Info'!$A$2:$A3446, MATCH(B2226,'Room Info'!$H$2:$H3446, 0)),if(G2226='Room Info'!$G$1, INDEX('Room Info'!$A$2:$A3446, MATCH(B2226,'Room Info'!$G$2:$G3446, 0)))))))))</f>
        <v>0</v>
      </c>
      <c r="B2226" s="101"/>
      <c r="C2226" s="115"/>
      <c r="D2226" s="115"/>
      <c r="E2226" s="85"/>
      <c r="F2226" s="101"/>
      <c r="G2226" s="101"/>
      <c r="H2226" s="114"/>
      <c r="I2226" s="114"/>
      <c r="J2226" s="44" t="str">
        <f t="shared" si="311"/>
        <v/>
      </c>
      <c r="K2226" s="116"/>
      <c r="L2226" s="117"/>
      <c r="M2226" s="67"/>
      <c r="N2226" s="33">
        <f t="shared" si="276"/>
        <v>0</v>
      </c>
      <c r="O2226" s="70"/>
      <c r="P2226" s="34" t="str">
        <f t="shared" si="277"/>
        <v/>
      </c>
      <c r="Q2226" s="60"/>
      <c r="R2226" s="36">
        <f t="shared" si="312"/>
        <v>0</v>
      </c>
      <c r="S2226" s="71"/>
      <c r="T2226" s="37">
        <f t="shared" si="302"/>
        <v>0</v>
      </c>
      <c r="U2226" s="62"/>
      <c r="V2226" s="63"/>
      <c r="W2226" s="63"/>
      <c r="X2226" s="35" t="str">
        <f t="shared" si="303"/>
        <v>#N/A</v>
      </c>
      <c r="Y2226" s="35" t="str">
        <f t="shared" si="304"/>
        <v>#N/A</v>
      </c>
      <c r="Z2226" s="40" t="str">
        <f t="shared" si="305"/>
        <v>#N/A</v>
      </c>
      <c r="AA2226" s="34" t="str">
        <f t="shared" si="306"/>
        <v>#N/A</v>
      </c>
      <c r="AB2226" s="41" t="str">
        <f t="shared" si="307"/>
        <v>#N/A</v>
      </c>
      <c r="AC2226" s="42" t="b">
        <v>0</v>
      </c>
      <c r="AD2226" s="66" t="str">
        <f t="shared" si="308"/>
        <v>USD</v>
      </c>
      <c r="AE2226" s="42"/>
      <c r="AF2226" s="42" t="str">
        <f t="array" ref="AF2226">INDEX('Deal Info'!D:D, MATCH(A2226,'Deal Info'!A:A, 0))</f>
        <v>#N/A</v>
      </c>
      <c r="AG2226" s="43" t="str">
        <f t="array" ref="AG2226">INDEX('Deal Info'!G:G, MATCH(A2226,'Deal Info'!A:A, 0))</f>
        <v>#N/A</v>
      </c>
    </row>
    <row r="2227" hidden="1">
      <c r="A2227" s="23" t="b">
        <f t="array" ref="A2227">if(G2227='Room Info'!$B$1, INDEX('Room Info'!$A$2:$A3446, MATCH(B2227,'Room Info'!$B$2:$B3446, 0)),if(G2227='Room Info'!$C$1, INDEX('Room Info'!$A$2:$A3446, MATCH(B2227,'Room Info'!$C$2:$C3446, 0)),if(G2227='Room Info'!$D$1, INDEX('Room Info'!$A$2:$A3446, MATCH(B2227,'Room Info'!$D$2:$D3446, 0)),if(G2227='Room Info'!$E$1, INDEX('Room Info'!$A$2:$A3446, MATCH(B2227,'Room Info'!$E$2:$E3446, 0)),if(G2227='Room Info'!$F$1, INDEX('Room Info'!$A$2:$A3446, MATCH(B2227,'Room Info'!$F$2:$F3446, 0)),if(G2227='Room Info'!$H$1, INDEX('Room Info'!$A$2:$A3446, MATCH(B2227,'Room Info'!$H$2:$H3446, 0)),if(G2227='Room Info'!$G$1, INDEX('Room Info'!$A$2:$A3446, MATCH(B2227,'Room Info'!$G$2:$G3446, 0)))))))))</f>
        <v>0</v>
      </c>
      <c r="B2227" s="101"/>
      <c r="C2227" s="115"/>
      <c r="D2227" s="115"/>
      <c r="E2227" s="85"/>
      <c r="F2227" s="101"/>
      <c r="G2227" s="101"/>
      <c r="H2227" s="114"/>
      <c r="I2227" s="114"/>
      <c r="J2227" s="44" t="str">
        <f t="shared" si="311"/>
        <v/>
      </c>
      <c r="K2227" s="116"/>
      <c r="L2227" s="117"/>
      <c r="M2227" s="67"/>
      <c r="N2227" s="33">
        <f t="shared" si="276"/>
        <v>0</v>
      </c>
      <c r="O2227" s="70"/>
      <c r="P2227" s="34" t="str">
        <f t="shared" si="277"/>
        <v/>
      </c>
      <c r="Q2227" s="60"/>
      <c r="R2227" s="36">
        <f t="shared" si="312"/>
        <v>0</v>
      </c>
      <c r="S2227" s="71"/>
      <c r="T2227" s="37">
        <f t="shared" si="302"/>
        <v>0</v>
      </c>
      <c r="U2227" s="62"/>
      <c r="V2227" s="63"/>
      <c r="W2227" s="63"/>
      <c r="X2227" s="35" t="str">
        <f t="shared" si="303"/>
        <v>#N/A</v>
      </c>
      <c r="Y2227" s="35" t="str">
        <f t="shared" si="304"/>
        <v>#N/A</v>
      </c>
      <c r="Z2227" s="40" t="str">
        <f t="shared" si="305"/>
        <v>#N/A</v>
      </c>
      <c r="AA2227" s="34" t="str">
        <f t="shared" si="306"/>
        <v>#N/A</v>
      </c>
      <c r="AB2227" s="41" t="str">
        <f t="shared" si="307"/>
        <v>#N/A</v>
      </c>
      <c r="AC2227" s="42" t="b">
        <v>0</v>
      </c>
      <c r="AD2227" s="66" t="str">
        <f t="shared" si="308"/>
        <v>USD</v>
      </c>
      <c r="AE2227" s="42"/>
      <c r="AF2227" s="42" t="str">
        <f t="array" ref="AF2227">INDEX('Deal Info'!D:D, MATCH(A2227,'Deal Info'!A:A, 0))</f>
        <v>#N/A</v>
      </c>
      <c r="AG2227" s="43" t="str">
        <f t="array" ref="AG2227">INDEX('Deal Info'!G:G, MATCH(A2227,'Deal Info'!A:A, 0))</f>
        <v>#N/A</v>
      </c>
    </row>
    <row r="2228" hidden="1">
      <c r="A2228" s="23" t="b">
        <f t="array" ref="A2228">if(G2228='Room Info'!$B$1, INDEX('Room Info'!$A$2:$A3446, MATCH(B2228,'Room Info'!$B$2:$B3446, 0)),if(G2228='Room Info'!$C$1, INDEX('Room Info'!$A$2:$A3446, MATCH(B2228,'Room Info'!$C$2:$C3446, 0)),if(G2228='Room Info'!$D$1, INDEX('Room Info'!$A$2:$A3446, MATCH(B2228,'Room Info'!$D$2:$D3446, 0)),if(G2228='Room Info'!$E$1, INDEX('Room Info'!$A$2:$A3446, MATCH(B2228,'Room Info'!$E$2:$E3446, 0)),if(G2228='Room Info'!$F$1, INDEX('Room Info'!$A$2:$A3446, MATCH(B2228,'Room Info'!$F$2:$F3446, 0)),if(G2228='Room Info'!$H$1, INDEX('Room Info'!$A$2:$A3446, MATCH(B2228,'Room Info'!$H$2:$H3446, 0)),if(G2228='Room Info'!$G$1, INDEX('Room Info'!$A$2:$A3446, MATCH(B2228,'Room Info'!$G$2:$G3446, 0)))))))))</f>
        <v>0</v>
      </c>
      <c r="B2228" s="101"/>
      <c r="C2228" s="115"/>
      <c r="D2228" s="115"/>
      <c r="E2228" s="85"/>
      <c r="F2228" s="138"/>
      <c r="G2228" s="101"/>
      <c r="H2228" s="114"/>
      <c r="I2228" s="114"/>
      <c r="J2228" s="44" t="str">
        <f t="shared" si="311"/>
        <v/>
      </c>
      <c r="K2228" s="116"/>
      <c r="L2228" s="117"/>
      <c r="M2228" s="67"/>
      <c r="N2228" s="33">
        <f t="shared" si="276"/>
        <v>0</v>
      </c>
      <c r="O2228" s="70"/>
      <c r="P2228" s="34" t="str">
        <f t="shared" si="277"/>
        <v/>
      </c>
      <c r="Q2228" s="60"/>
      <c r="R2228" s="36">
        <f t="shared" si="312"/>
        <v>0</v>
      </c>
      <c r="S2228" s="71"/>
      <c r="T2228" s="37">
        <f t="shared" si="302"/>
        <v>0</v>
      </c>
      <c r="U2228" s="62"/>
      <c r="V2228" s="63"/>
      <c r="W2228" s="63"/>
      <c r="X2228" s="35" t="str">
        <f t="shared" si="303"/>
        <v>#N/A</v>
      </c>
      <c r="Y2228" s="35" t="str">
        <f t="shared" si="304"/>
        <v>#N/A</v>
      </c>
      <c r="Z2228" s="40" t="str">
        <f t="shared" si="305"/>
        <v>#N/A</v>
      </c>
      <c r="AA2228" s="34" t="str">
        <f t="shared" si="306"/>
        <v>#N/A</v>
      </c>
      <c r="AB2228" s="41" t="str">
        <f t="shared" si="307"/>
        <v>#N/A</v>
      </c>
      <c r="AC2228" s="42" t="b">
        <v>0</v>
      </c>
      <c r="AD2228" s="66" t="str">
        <f t="shared" si="308"/>
        <v>USD</v>
      </c>
      <c r="AE2228" s="42"/>
      <c r="AF2228" s="42" t="str">
        <f t="array" ref="AF2228">INDEX('Deal Info'!D:D, MATCH(A2228,'Deal Info'!A:A, 0))</f>
        <v>#N/A</v>
      </c>
      <c r="AG2228" s="43" t="str">
        <f t="array" ref="AG2228">INDEX('Deal Info'!G:G, MATCH(A2228,'Deal Info'!A:A, 0))</f>
        <v>#N/A</v>
      </c>
    </row>
    <row r="2229" hidden="1">
      <c r="A2229" s="23" t="b">
        <f t="array" ref="A2229">if(G2229='Room Info'!$B$1, INDEX('Room Info'!$A$2:$A3446, MATCH(B2229,'Room Info'!$B$2:$B3446, 0)),if(G2229='Room Info'!$C$1, INDEX('Room Info'!$A$2:$A3446, MATCH(B2229,'Room Info'!$C$2:$C3446, 0)),if(G2229='Room Info'!$D$1, INDEX('Room Info'!$A$2:$A3446, MATCH(B2229,'Room Info'!$D$2:$D3446, 0)),if(G2229='Room Info'!$E$1, INDEX('Room Info'!$A$2:$A3446, MATCH(B2229,'Room Info'!$E$2:$E3446, 0)),if(G2229='Room Info'!$F$1, INDEX('Room Info'!$A$2:$A3446, MATCH(B2229,'Room Info'!$F$2:$F3446, 0)),if(G2229='Room Info'!$H$1, INDEX('Room Info'!$A$2:$A3446, MATCH(B2229,'Room Info'!$H$2:$H3446, 0)),if(G2229='Room Info'!$G$1, INDEX('Room Info'!$A$2:$A3446, MATCH(B2229,'Room Info'!$G$2:$G3446, 0)))))))))</f>
        <v>0</v>
      </c>
      <c r="B2229" s="101"/>
      <c r="C2229" s="115"/>
      <c r="D2229" s="115"/>
      <c r="E2229" s="85"/>
      <c r="F2229" s="138"/>
      <c r="G2229" s="101"/>
      <c r="H2229" s="114"/>
      <c r="I2229" s="114"/>
      <c r="J2229" s="44" t="str">
        <f t="shared" si="311"/>
        <v/>
      </c>
      <c r="K2229" s="116"/>
      <c r="L2229" s="117"/>
      <c r="M2229" s="67"/>
      <c r="N2229" s="33">
        <f t="shared" si="276"/>
        <v>0</v>
      </c>
      <c r="O2229" s="70"/>
      <c r="P2229" s="34" t="str">
        <f t="shared" si="277"/>
        <v/>
      </c>
      <c r="Q2229" s="60"/>
      <c r="R2229" s="36">
        <f t="shared" si="312"/>
        <v>0</v>
      </c>
      <c r="S2229" s="71"/>
      <c r="T2229" s="37">
        <f t="shared" si="302"/>
        <v>0</v>
      </c>
      <c r="U2229" s="62"/>
      <c r="V2229" s="63"/>
      <c r="W2229" s="63"/>
      <c r="X2229" s="35" t="str">
        <f t="shared" si="303"/>
        <v>#N/A</v>
      </c>
      <c r="Y2229" s="35" t="str">
        <f t="shared" si="304"/>
        <v>#N/A</v>
      </c>
      <c r="Z2229" s="40" t="str">
        <f t="shared" si="305"/>
        <v>#N/A</v>
      </c>
      <c r="AA2229" s="34" t="str">
        <f t="shared" si="306"/>
        <v>#N/A</v>
      </c>
      <c r="AB2229" s="41" t="str">
        <f t="shared" si="307"/>
        <v>#N/A</v>
      </c>
      <c r="AC2229" s="42" t="b">
        <v>0</v>
      </c>
      <c r="AD2229" s="66" t="str">
        <f t="shared" si="308"/>
        <v>USD</v>
      </c>
      <c r="AE2229" s="42"/>
      <c r="AF2229" s="42" t="str">
        <f t="array" ref="AF2229">INDEX('Deal Info'!D:D, MATCH(A2229,'Deal Info'!A:A, 0))</f>
        <v>#N/A</v>
      </c>
      <c r="AG2229" s="43" t="str">
        <f t="array" ref="AG2229">INDEX('Deal Info'!G:G, MATCH(A2229,'Deal Info'!A:A, 0))</f>
        <v>#N/A</v>
      </c>
    </row>
    <row r="2230" hidden="1">
      <c r="A2230" s="23" t="b">
        <f t="array" ref="A2230">if(G2230='Room Info'!$B$1, INDEX('Room Info'!$A$2:$A3446, MATCH(B2230,'Room Info'!$B$2:$B3446, 0)),if(G2230='Room Info'!$C$1, INDEX('Room Info'!$A$2:$A3446, MATCH(B2230,'Room Info'!$C$2:$C3446, 0)),if(G2230='Room Info'!$D$1, INDEX('Room Info'!$A$2:$A3446, MATCH(B2230,'Room Info'!$D$2:$D3446, 0)),if(G2230='Room Info'!$E$1, INDEX('Room Info'!$A$2:$A3446, MATCH(B2230,'Room Info'!$E$2:$E3446, 0)),if(G2230='Room Info'!$F$1, INDEX('Room Info'!$A$2:$A3446, MATCH(B2230,'Room Info'!$F$2:$F3446, 0)),if(G2230='Room Info'!$H$1, INDEX('Room Info'!$A$2:$A3446, MATCH(B2230,'Room Info'!$H$2:$H3446, 0)),if(G2230='Room Info'!$G$1, INDEX('Room Info'!$A$2:$A3446, MATCH(B2230,'Room Info'!$G$2:$G3446, 0)))))))))</f>
        <v>0</v>
      </c>
      <c r="B2230" s="101"/>
      <c r="C2230" s="115"/>
      <c r="D2230" s="115"/>
      <c r="E2230" s="85"/>
      <c r="F2230" s="138"/>
      <c r="G2230" s="101"/>
      <c r="H2230" s="114"/>
      <c r="I2230" s="114"/>
      <c r="J2230" s="44" t="str">
        <f t="shared" si="311"/>
        <v/>
      </c>
      <c r="K2230" s="116"/>
      <c r="L2230" s="117"/>
      <c r="M2230" s="67"/>
      <c r="N2230" s="33">
        <f t="shared" si="276"/>
        <v>0</v>
      </c>
      <c r="O2230" s="70"/>
      <c r="P2230" s="34" t="str">
        <f t="shared" si="277"/>
        <v/>
      </c>
      <c r="Q2230" s="60"/>
      <c r="R2230" s="36">
        <f t="shared" si="312"/>
        <v>0</v>
      </c>
      <c r="S2230" s="71"/>
      <c r="T2230" s="37">
        <f t="shared" si="302"/>
        <v>0</v>
      </c>
      <c r="U2230" s="62"/>
      <c r="V2230" s="63"/>
      <c r="W2230" s="63"/>
      <c r="X2230" s="35" t="str">
        <f t="shared" si="303"/>
        <v>#N/A</v>
      </c>
      <c r="Y2230" s="35" t="str">
        <f t="shared" si="304"/>
        <v>#N/A</v>
      </c>
      <c r="Z2230" s="40" t="str">
        <f t="shared" si="305"/>
        <v>#N/A</v>
      </c>
      <c r="AA2230" s="34" t="str">
        <f t="shared" si="306"/>
        <v>#N/A</v>
      </c>
      <c r="AB2230" s="41" t="str">
        <f t="shared" si="307"/>
        <v>#N/A</v>
      </c>
      <c r="AC2230" s="42" t="b">
        <v>0</v>
      </c>
      <c r="AD2230" s="66" t="str">
        <f t="shared" si="308"/>
        <v>USD</v>
      </c>
      <c r="AE2230" s="42"/>
      <c r="AF2230" s="42" t="str">
        <f t="array" ref="AF2230">INDEX('Deal Info'!D:D, MATCH(A2230,'Deal Info'!A:A, 0))</f>
        <v>#N/A</v>
      </c>
      <c r="AG2230" s="43" t="str">
        <f t="array" ref="AG2230">INDEX('Deal Info'!G:G, MATCH(A2230,'Deal Info'!A:A, 0))</f>
        <v>#N/A</v>
      </c>
    </row>
    <row r="2231" hidden="1">
      <c r="A2231" s="23" t="b">
        <f t="array" ref="A2231">if(G2231='Room Info'!$B$1, INDEX('Room Info'!$A$2:$A3446, MATCH(B2231,'Room Info'!$B$2:$B3446, 0)),if(G2231='Room Info'!$C$1, INDEX('Room Info'!$A$2:$A3446, MATCH(B2231,'Room Info'!$C$2:$C3446, 0)),if(G2231='Room Info'!$D$1, INDEX('Room Info'!$A$2:$A3446, MATCH(B2231,'Room Info'!$D$2:$D3446, 0)),if(G2231='Room Info'!$E$1, INDEX('Room Info'!$A$2:$A3446, MATCH(B2231,'Room Info'!$E$2:$E3446, 0)),if(G2231='Room Info'!$F$1, INDEX('Room Info'!$A$2:$A3446, MATCH(B2231,'Room Info'!$F$2:$F3446, 0)),if(G2231='Room Info'!$H$1, INDEX('Room Info'!$A$2:$A3446, MATCH(B2231,'Room Info'!$H$2:$H3446, 0)),if(G2231='Room Info'!$G$1, INDEX('Room Info'!$A$2:$A3446, MATCH(B2231,'Room Info'!$G$2:$G3446, 0)))))))))</f>
        <v>0</v>
      </c>
      <c r="B2231" s="101"/>
      <c r="C2231" s="115"/>
      <c r="D2231" s="115"/>
      <c r="E2231" s="85"/>
      <c r="F2231" s="138"/>
      <c r="G2231" s="101"/>
      <c r="H2231" s="114"/>
      <c r="I2231" s="114"/>
      <c r="J2231" s="44" t="str">
        <f t="shared" si="311"/>
        <v/>
      </c>
      <c r="K2231" s="116"/>
      <c r="L2231" s="117"/>
      <c r="M2231" s="67"/>
      <c r="N2231" s="33">
        <f t="shared" si="276"/>
        <v>0</v>
      </c>
      <c r="O2231" s="70"/>
      <c r="P2231" s="34" t="str">
        <f t="shared" si="277"/>
        <v/>
      </c>
      <c r="Q2231" s="60"/>
      <c r="R2231" s="36">
        <f t="shared" si="312"/>
        <v>0</v>
      </c>
      <c r="S2231" s="71"/>
      <c r="T2231" s="37">
        <f t="shared" si="302"/>
        <v>0</v>
      </c>
      <c r="U2231" s="62"/>
      <c r="V2231" s="63"/>
      <c r="W2231" s="63"/>
      <c r="X2231" s="35" t="str">
        <f t="shared" si="303"/>
        <v>#N/A</v>
      </c>
      <c r="Y2231" s="35" t="str">
        <f t="shared" si="304"/>
        <v>#N/A</v>
      </c>
      <c r="Z2231" s="40" t="str">
        <f t="shared" si="305"/>
        <v>#N/A</v>
      </c>
      <c r="AA2231" s="34" t="str">
        <f t="shared" si="306"/>
        <v>#N/A</v>
      </c>
      <c r="AB2231" s="41" t="str">
        <f t="shared" si="307"/>
        <v>#N/A</v>
      </c>
      <c r="AC2231" s="42" t="b">
        <v>0</v>
      </c>
      <c r="AD2231" s="66" t="str">
        <f t="shared" si="308"/>
        <v>USD</v>
      </c>
      <c r="AE2231" s="42"/>
      <c r="AF2231" s="42" t="str">
        <f t="array" ref="AF2231">INDEX('Deal Info'!D:D, MATCH(A2231,'Deal Info'!A:A, 0))</f>
        <v>#N/A</v>
      </c>
      <c r="AG2231" s="43" t="str">
        <f t="array" ref="AG2231">INDEX('Deal Info'!G:G, MATCH(A2231,'Deal Info'!A:A, 0))</f>
        <v>#N/A</v>
      </c>
    </row>
    <row r="2232" hidden="1">
      <c r="A2232" s="23" t="b">
        <f t="array" ref="A2232">if(G2232='Room Info'!$B$1, INDEX('Room Info'!$A$2:$A3446, MATCH(B2232,'Room Info'!$B$2:$B3446, 0)),if(G2232='Room Info'!$C$1, INDEX('Room Info'!$A$2:$A3446, MATCH(B2232,'Room Info'!$C$2:$C3446, 0)),if(G2232='Room Info'!$D$1, INDEX('Room Info'!$A$2:$A3446, MATCH(B2232,'Room Info'!$D$2:$D3446, 0)),if(G2232='Room Info'!$E$1, INDEX('Room Info'!$A$2:$A3446, MATCH(B2232,'Room Info'!$E$2:$E3446, 0)),if(G2232='Room Info'!$F$1, INDEX('Room Info'!$A$2:$A3446, MATCH(B2232,'Room Info'!$F$2:$F3446, 0)),if(G2232='Room Info'!$H$1, INDEX('Room Info'!$A$2:$A3446, MATCH(B2232,'Room Info'!$H$2:$H3446, 0)),if(G2232='Room Info'!$G$1, INDEX('Room Info'!$A$2:$A3446, MATCH(B2232,'Room Info'!$G$2:$G3446, 0)))))))))</f>
        <v>0</v>
      </c>
      <c r="B2232" s="101"/>
      <c r="C2232" s="115"/>
      <c r="D2232" s="115"/>
      <c r="E2232" s="85"/>
      <c r="F2232" s="138"/>
      <c r="G2232" s="101"/>
      <c r="H2232" s="114"/>
      <c r="I2232" s="114"/>
      <c r="J2232" s="44" t="str">
        <f t="shared" si="311"/>
        <v/>
      </c>
      <c r="K2232" s="116"/>
      <c r="L2232" s="117"/>
      <c r="M2232" s="67"/>
      <c r="N2232" s="33">
        <f t="shared" si="276"/>
        <v>0</v>
      </c>
      <c r="O2232" s="70"/>
      <c r="P2232" s="34" t="str">
        <f t="shared" si="277"/>
        <v/>
      </c>
      <c r="Q2232" s="60"/>
      <c r="R2232" s="36">
        <f t="shared" si="312"/>
        <v>0</v>
      </c>
      <c r="S2232" s="71"/>
      <c r="T2232" s="37">
        <f t="shared" si="302"/>
        <v>0</v>
      </c>
      <c r="U2232" s="62"/>
      <c r="V2232" s="63"/>
      <c r="W2232" s="63"/>
      <c r="X2232" s="35" t="str">
        <f t="shared" si="303"/>
        <v>#N/A</v>
      </c>
      <c r="Y2232" s="35" t="str">
        <f t="shared" si="304"/>
        <v>#N/A</v>
      </c>
      <c r="Z2232" s="40" t="str">
        <f t="shared" si="305"/>
        <v>#N/A</v>
      </c>
      <c r="AA2232" s="34" t="str">
        <f t="shared" si="306"/>
        <v>#N/A</v>
      </c>
      <c r="AB2232" s="41" t="str">
        <f t="shared" si="307"/>
        <v>#N/A</v>
      </c>
      <c r="AC2232" s="42" t="b">
        <v>0</v>
      </c>
      <c r="AD2232" s="66" t="str">
        <f t="shared" si="308"/>
        <v>USD</v>
      </c>
      <c r="AE2232" s="42"/>
      <c r="AF2232" s="42" t="str">
        <f t="array" ref="AF2232">INDEX('Deal Info'!D:D, MATCH(A2232,'Deal Info'!A:A, 0))</f>
        <v>#N/A</v>
      </c>
      <c r="AG2232" s="43" t="str">
        <f t="array" ref="AG2232">INDEX('Deal Info'!G:G, MATCH(A2232,'Deal Info'!A:A, 0))</f>
        <v>#N/A</v>
      </c>
    </row>
    <row r="2233" hidden="1">
      <c r="A2233" s="23" t="b">
        <f t="array" ref="A2233">if(G2233='Room Info'!$B$1, INDEX('Room Info'!$A$2:$A3446, MATCH(B2233,'Room Info'!$B$2:$B3446, 0)),if(G2233='Room Info'!$C$1, INDEX('Room Info'!$A$2:$A3446, MATCH(B2233,'Room Info'!$C$2:$C3446, 0)),if(G2233='Room Info'!$D$1, INDEX('Room Info'!$A$2:$A3446, MATCH(B2233,'Room Info'!$D$2:$D3446, 0)),if(G2233='Room Info'!$E$1, INDEX('Room Info'!$A$2:$A3446, MATCH(B2233,'Room Info'!$E$2:$E3446, 0)),if(G2233='Room Info'!$F$1, INDEX('Room Info'!$A$2:$A3446, MATCH(B2233,'Room Info'!$F$2:$F3446, 0)),if(G2233='Room Info'!$H$1, INDEX('Room Info'!$A$2:$A3446, MATCH(B2233,'Room Info'!$H$2:$H3446, 0)),if(G2233='Room Info'!$G$1, INDEX('Room Info'!$A$2:$A3446, MATCH(B2233,'Room Info'!$G$2:$G3446, 0)))))))))</f>
        <v>0</v>
      </c>
      <c r="B2233" s="101"/>
      <c r="C2233" s="115"/>
      <c r="D2233" s="115"/>
      <c r="E2233" s="85"/>
      <c r="F2233" s="138"/>
      <c r="G2233" s="101"/>
      <c r="H2233" s="114"/>
      <c r="I2233" s="114"/>
      <c r="J2233" s="44" t="str">
        <f t="shared" si="311"/>
        <v/>
      </c>
      <c r="K2233" s="116"/>
      <c r="L2233" s="117"/>
      <c r="M2233" s="67"/>
      <c r="N2233" s="33">
        <f t="shared" si="276"/>
        <v>0</v>
      </c>
      <c r="O2233" s="70"/>
      <c r="P2233" s="34" t="str">
        <f t="shared" si="277"/>
        <v/>
      </c>
      <c r="Q2233" s="60"/>
      <c r="R2233" s="36">
        <f t="shared" si="312"/>
        <v>0</v>
      </c>
      <c r="S2233" s="71"/>
      <c r="T2233" s="37">
        <f t="shared" si="302"/>
        <v>0</v>
      </c>
      <c r="U2233" s="62"/>
      <c r="V2233" s="63"/>
      <c r="W2233" s="63"/>
      <c r="X2233" s="35" t="str">
        <f t="shared" si="303"/>
        <v>#N/A</v>
      </c>
      <c r="Y2233" s="35" t="str">
        <f t="shared" si="304"/>
        <v>#N/A</v>
      </c>
      <c r="Z2233" s="40" t="str">
        <f t="shared" si="305"/>
        <v>#N/A</v>
      </c>
      <c r="AA2233" s="34" t="str">
        <f t="shared" si="306"/>
        <v>#N/A</v>
      </c>
      <c r="AB2233" s="41" t="str">
        <f t="shared" si="307"/>
        <v>#N/A</v>
      </c>
      <c r="AC2233" s="42" t="b">
        <v>0</v>
      </c>
      <c r="AD2233" s="66" t="str">
        <f t="shared" si="308"/>
        <v>USD</v>
      </c>
      <c r="AE2233" s="42"/>
      <c r="AF2233" s="42" t="str">
        <f t="array" ref="AF2233">INDEX('Deal Info'!D:D, MATCH(A2233,'Deal Info'!A:A, 0))</f>
        <v>#N/A</v>
      </c>
      <c r="AG2233" s="43" t="str">
        <f t="array" ref="AG2233">INDEX('Deal Info'!G:G, MATCH(A2233,'Deal Info'!A:A, 0))</f>
        <v>#N/A</v>
      </c>
    </row>
    <row r="2234" hidden="1">
      <c r="A2234" s="23" t="b">
        <f t="array" ref="A2234">if(G2234='Room Info'!$B$1, INDEX('Room Info'!$A$2:$A3446, MATCH(B2234,'Room Info'!$B$2:$B3446, 0)),if(G2234='Room Info'!$C$1, INDEX('Room Info'!$A$2:$A3446, MATCH(B2234,'Room Info'!$C$2:$C3446, 0)),if(G2234='Room Info'!$D$1, INDEX('Room Info'!$A$2:$A3446, MATCH(B2234,'Room Info'!$D$2:$D3446, 0)),if(G2234='Room Info'!$E$1, INDEX('Room Info'!$A$2:$A3446, MATCH(B2234,'Room Info'!$E$2:$E3446, 0)),if(G2234='Room Info'!$F$1, INDEX('Room Info'!$A$2:$A3446, MATCH(B2234,'Room Info'!$F$2:$F3446, 0)),if(G2234='Room Info'!$H$1, INDEX('Room Info'!$A$2:$A3446, MATCH(B2234,'Room Info'!$H$2:$H3446, 0)),if(G2234='Room Info'!$G$1, INDEX('Room Info'!$A$2:$A3446, MATCH(B2234,'Room Info'!$G$2:$G3446, 0)))))))))</f>
        <v>0</v>
      </c>
      <c r="B2234" s="101"/>
      <c r="C2234" s="115"/>
      <c r="D2234" s="115"/>
      <c r="E2234" s="85"/>
      <c r="F2234" s="138"/>
      <c r="G2234" s="101"/>
      <c r="H2234" s="114"/>
      <c r="I2234" s="114"/>
      <c r="J2234" s="44" t="str">
        <f t="shared" si="311"/>
        <v/>
      </c>
      <c r="K2234" s="116"/>
      <c r="L2234" s="117"/>
      <c r="M2234" s="67"/>
      <c r="N2234" s="33">
        <f t="shared" si="276"/>
        <v>0</v>
      </c>
      <c r="O2234" s="70"/>
      <c r="P2234" s="34" t="str">
        <f t="shared" si="277"/>
        <v/>
      </c>
      <c r="Q2234" s="60"/>
      <c r="R2234" s="36">
        <f t="shared" si="312"/>
        <v>0</v>
      </c>
      <c r="S2234" s="71"/>
      <c r="T2234" s="37">
        <f t="shared" si="302"/>
        <v>0</v>
      </c>
      <c r="U2234" s="62"/>
      <c r="V2234" s="63"/>
      <c r="W2234" s="63"/>
      <c r="X2234" s="35" t="str">
        <f t="shared" si="303"/>
        <v>#N/A</v>
      </c>
      <c r="Y2234" s="35" t="str">
        <f t="shared" si="304"/>
        <v>#N/A</v>
      </c>
      <c r="Z2234" s="40" t="str">
        <f t="shared" si="305"/>
        <v>#N/A</v>
      </c>
      <c r="AA2234" s="34" t="str">
        <f t="shared" si="306"/>
        <v>#N/A</v>
      </c>
      <c r="AB2234" s="41" t="str">
        <f t="shared" si="307"/>
        <v>#N/A</v>
      </c>
      <c r="AC2234" s="42" t="b">
        <v>0</v>
      </c>
      <c r="AD2234" s="66" t="str">
        <f t="shared" si="308"/>
        <v>USD</v>
      </c>
      <c r="AE2234" s="42"/>
      <c r="AF2234" s="42" t="str">
        <f t="array" ref="AF2234">INDEX('Deal Info'!D:D, MATCH(A2234,'Deal Info'!A:A, 0))</f>
        <v>#N/A</v>
      </c>
      <c r="AG2234" s="43" t="str">
        <f t="array" ref="AG2234">INDEX('Deal Info'!G:G, MATCH(A2234,'Deal Info'!A:A, 0))</f>
        <v>#N/A</v>
      </c>
    </row>
    <row r="2235" hidden="1">
      <c r="A2235" s="23" t="b">
        <f t="array" ref="A2235">if(G2235='Room Info'!$B$1, INDEX('Room Info'!$A$2:$A3446, MATCH(B2235,'Room Info'!$B$2:$B3446, 0)),if(G2235='Room Info'!$C$1, INDEX('Room Info'!$A$2:$A3446, MATCH(B2235,'Room Info'!$C$2:$C3446, 0)),if(G2235='Room Info'!$D$1, INDEX('Room Info'!$A$2:$A3446, MATCH(B2235,'Room Info'!$D$2:$D3446, 0)),if(G2235='Room Info'!$E$1, INDEX('Room Info'!$A$2:$A3446, MATCH(B2235,'Room Info'!$E$2:$E3446, 0)),if(G2235='Room Info'!$F$1, INDEX('Room Info'!$A$2:$A3446, MATCH(B2235,'Room Info'!$F$2:$F3446, 0)),if(G2235='Room Info'!$H$1, INDEX('Room Info'!$A$2:$A3446, MATCH(B2235,'Room Info'!$H$2:$H3446, 0)),if(G2235='Room Info'!$G$1, INDEX('Room Info'!$A$2:$A3446, MATCH(B2235,'Room Info'!$G$2:$G3446, 0)))))))))</f>
        <v>0</v>
      </c>
      <c r="B2235" s="101"/>
      <c r="C2235" s="115"/>
      <c r="D2235" s="115"/>
      <c r="E2235" s="85"/>
      <c r="F2235" s="138"/>
      <c r="G2235" s="101"/>
      <c r="H2235" s="114"/>
      <c r="I2235" s="114"/>
      <c r="J2235" s="44" t="str">
        <f t="shared" si="311"/>
        <v/>
      </c>
      <c r="K2235" s="116"/>
      <c r="L2235" s="117"/>
      <c r="M2235" s="67"/>
      <c r="N2235" s="33">
        <f t="shared" si="276"/>
        <v>0</v>
      </c>
      <c r="O2235" s="70"/>
      <c r="P2235" s="34" t="str">
        <f t="shared" si="277"/>
        <v/>
      </c>
      <c r="Q2235" s="60"/>
      <c r="R2235" s="36">
        <f t="shared" si="312"/>
        <v>0</v>
      </c>
      <c r="S2235" s="71"/>
      <c r="T2235" s="37">
        <f t="shared" si="302"/>
        <v>0</v>
      </c>
      <c r="U2235" s="62"/>
      <c r="V2235" s="63"/>
      <c r="W2235" s="63"/>
      <c r="X2235" s="35" t="str">
        <f t="shared" si="303"/>
        <v>#N/A</v>
      </c>
      <c r="Y2235" s="35" t="str">
        <f t="shared" si="304"/>
        <v>#N/A</v>
      </c>
      <c r="Z2235" s="40" t="str">
        <f t="shared" si="305"/>
        <v>#N/A</v>
      </c>
      <c r="AA2235" s="34" t="str">
        <f t="shared" si="306"/>
        <v>#N/A</v>
      </c>
      <c r="AB2235" s="41" t="str">
        <f t="shared" si="307"/>
        <v>#N/A</v>
      </c>
      <c r="AC2235" s="42" t="b">
        <v>0</v>
      </c>
      <c r="AD2235" s="66" t="str">
        <f t="shared" si="308"/>
        <v>USD</v>
      </c>
      <c r="AE2235" s="42"/>
      <c r="AF2235" s="42" t="str">
        <f t="array" ref="AF2235">INDEX('Deal Info'!D:D, MATCH(A2235,'Deal Info'!A:A, 0))</f>
        <v>#N/A</v>
      </c>
      <c r="AG2235" s="43" t="str">
        <f t="array" ref="AG2235">INDEX('Deal Info'!G:G, MATCH(A2235,'Deal Info'!A:A, 0))</f>
        <v>#N/A</v>
      </c>
    </row>
    <row r="2236" hidden="1">
      <c r="A2236" s="23" t="b">
        <f t="array" ref="A2236">if(G2236='Room Info'!$B$1, INDEX('Room Info'!$A$2:$A3446, MATCH(B2236,'Room Info'!$B$2:$B3446, 0)),if(G2236='Room Info'!$C$1, INDEX('Room Info'!$A$2:$A3446, MATCH(B2236,'Room Info'!$C$2:$C3446, 0)),if(G2236='Room Info'!$D$1, INDEX('Room Info'!$A$2:$A3446, MATCH(B2236,'Room Info'!$D$2:$D3446, 0)),if(G2236='Room Info'!$E$1, INDEX('Room Info'!$A$2:$A3446, MATCH(B2236,'Room Info'!$E$2:$E3446, 0)),if(G2236='Room Info'!$F$1, INDEX('Room Info'!$A$2:$A3446, MATCH(B2236,'Room Info'!$F$2:$F3446, 0)),if(G2236='Room Info'!$H$1, INDEX('Room Info'!$A$2:$A3446, MATCH(B2236,'Room Info'!$H$2:$H3446, 0)),if(G2236='Room Info'!$G$1, INDEX('Room Info'!$A$2:$A3446, MATCH(B2236,'Room Info'!$G$2:$G3446, 0)))))))))</f>
        <v>0</v>
      </c>
      <c r="B2236" s="101"/>
      <c r="C2236" s="115"/>
      <c r="D2236" s="115"/>
      <c r="E2236" s="85"/>
      <c r="F2236" s="138"/>
      <c r="G2236" s="101"/>
      <c r="H2236" s="114"/>
      <c r="I2236" s="114"/>
      <c r="J2236" s="44" t="str">
        <f t="shared" si="311"/>
        <v/>
      </c>
      <c r="K2236" s="116"/>
      <c r="L2236" s="117"/>
      <c r="M2236" s="67"/>
      <c r="N2236" s="33">
        <f t="shared" si="276"/>
        <v>0</v>
      </c>
      <c r="O2236" s="70"/>
      <c r="P2236" s="34" t="str">
        <f t="shared" si="277"/>
        <v/>
      </c>
      <c r="Q2236" s="60"/>
      <c r="R2236" s="36">
        <f t="shared" si="312"/>
        <v>0</v>
      </c>
      <c r="S2236" s="71"/>
      <c r="T2236" s="37">
        <f t="shared" si="302"/>
        <v>0</v>
      </c>
      <c r="U2236" s="62"/>
      <c r="V2236" s="63"/>
      <c r="W2236" s="63"/>
      <c r="X2236" s="35" t="str">
        <f t="shared" si="303"/>
        <v>#N/A</v>
      </c>
      <c r="Y2236" s="35" t="str">
        <f t="shared" si="304"/>
        <v>#N/A</v>
      </c>
      <c r="Z2236" s="40" t="str">
        <f t="shared" si="305"/>
        <v>#N/A</v>
      </c>
      <c r="AA2236" s="34" t="str">
        <f t="shared" si="306"/>
        <v>#N/A</v>
      </c>
      <c r="AB2236" s="41" t="str">
        <f t="shared" si="307"/>
        <v>#N/A</v>
      </c>
      <c r="AC2236" s="42" t="b">
        <v>0</v>
      </c>
      <c r="AD2236" s="66" t="str">
        <f t="shared" si="308"/>
        <v>USD</v>
      </c>
      <c r="AE2236" s="42"/>
      <c r="AF2236" s="42" t="str">
        <f t="array" ref="AF2236">INDEX('Deal Info'!D:D, MATCH(A2236,'Deal Info'!A:A, 0))</f>
        <v>#N/A</v>
      </c>
      <c r="AG2236" s="43" t="str">
        <f t="array" ref="AG2236">INDEX('Deal Info'!G:G, MATCH(A2236,'Deal Info'!A:A, 0))</f>
        <v>#N/A</v>
      </c>
    </row>
    <row r="2237" hidden="1">
      <c r="A2237" s="23" t="b">
        <f t="array" ref="A2237">if(G2237='Room Info'!$B$1, INDEX('Room Info'!$A$2:$A3446, MATCH(B2237,'Room Info'!$B$2:$B3446, 0)),if(G2237='Room Info'!$C$1, INDEX('Room Info'!$A$2:$A3446, MATCH(B2237,'Room Info'!$C$2:$C3446, 0)),if(G2237='Room Info'!$D$1, INDEX('Room Info'!$A$2:$A3446, MATCH(B2237,'Room Info'!$D$2:$D3446, 0)),if(G2237='Room Info'!$E$1, INDEX('Room Info'!$A$2:$A3446, MATCH(B2237,'Room Info'!$E$2:$E3446, 0)),if(G2237='Room Info'!$F$1, INDEX('Room Info'!$A$2:$A3446, MATCH(B2237,'Room Info'!$F$2:$F3446, 0)),if(G2237='Room Info'!$H$1, INDEX('Room Info'!$A$2:$A3446, MATCH(B2237,'Room Info'!$H$2:$H3446, 0)),if(G2237='Room Info'!$G$1, INDEX('Room Info'!$A$2:$A3446, MATCH(B2237,'Room Info'!$G$2:$G3446, 0)))))))))</f>
        <v>0</v>
      </c>
      <c r="B2237" s="101"/>
      <c r="C2237" s="115"/>
      <c r="D2237" s="115"/>
      <c r="E2237" s="85"/>
      <c r="F2237" s="138"/>
      <c r="G2237" s="101"/>
      <c r="H2237" s="114"/>
      <c r="I2237" s="114"/>
      <c r="J2237" s="44" t="str">
        <f t="shared" si="311"/>
        <v/>
      </c>
      <c r="K2237" s="116"/>
      <c r="L2237" s="117"/>
      <c r="M2237" s="67"/>
      <c r="N2237" s="33">
        <f t="shared" si="276"/>
        <v>0</v>
      </c>
      <c r="O2237" s="70"/>
      <c r="P2237" s="34" t="str">
        <f t="shared" si="277"/>
        <v/>
      </c>
      <c r="Q2237" s="60"/>
      <c r="R2237" s="36">
        <f t="shared" si="312"/>
        <v>0</v>
      </c>
      <c r="S2237" s="71"/>
      <c r="T2237" s="37">
        <f t="shared" si="302"/>
        <v>0</v>
      </c>
      <c r="U2237" s="62"/>
      <c r="V2237" s="63"/>
      <c r="W2237" s="63"/>
      <c r="X2237" s="35" t="str">
        <f t="shared" si="303"/>
        <v>#N/A</v>
      </c>
      <c r="Y2237" s="35" t="str">
        <f t="shared" si="304"/>
        <v>#N/A</v>
      </c>
      <c r="Z2237" s="40" t="str">
        <f t="shared" si="305"/>
        <v>#N/A</v>
      </c>
      <c r="AA2237" s="34" t="str">
        <f t="shared" si="306"/>
        <v>#N/A</v>
      </c>
      <c r="AB2237" s="41" t="str">
        <f t="shared" si="307"/>
        <v>#N/A</v>
      </c>
      <c r="AC2237" s="42" t="b">
        <v>0</v>
      </c>
      <c r="AD2237" s="66" t="str">
        <f t="shared" si="308"/>
        <v>USD</v>
      </c>
      <c r="AE2237" s="42"/>
      <c r="AF2237" s="42" t="str">
        <f t="array" ref="AF2237">INDEX('Deal Info'!D:D, MATCH(A2237,'Deal Info'!A:A, 0))</f>
        <v>#N/A</v>
      </c>
      <c r="AG2237" s="43" t="str">
        <f t="array" ref="AG2237">INDEX('Deal Info'!G:G, MATCH(A2237,'Deal Info'!A:A, 0))</f>
        <v>#N/A</v>
      </c>
    </row>
    <row r="2238" hidden="1">
      <c r="A2238" s="23" t="b">
        <f t="array" ref="A2238">if(G2238='Room Info'!$B$1, INDEX('Room Info'!$A$2:$A3446, MATCH(B2238,'Room Info'!$B$2:$B3446, 0)),if(G2238='Room Info'!$C$1, INDEX('Room Info'!$A$2:$A3446, MATCH(B2238,'Room Info'!$C$2:$C3446, 0)),if(G2238='Room Info'!$D$1, INDEX('Room Info'!$A$2:$A3446, MATCH(B2238,'Room Info'!$D$2:$D3446, 0)),if(G2238='Room Info'!$E$1, INDEX('Room Info'!$A$2:$A3446, MATCH(B2238,'Room Info'!$E$2:$E3446, 0)),if(G2238='Room Info'!$F$1, INDEX('Room Info'!$A$2:$A3446, MATCH(B2238,'Room Info'!$F$2:$F3446, 0)),if(G2238='Room Info'!$H$1, INDEX('Room Info'!$A$2:$A3446, MATCH(B2238,'Room Info'!$H$2:$H3446, 0)),if(G2238='Room Info'!$G$1, INDEX('Room Info'!$A$2:$A3446, MATCH(B2238,'Room Info'!$G$2:$G3446, 0)))))))))</f>
        <v>0</v>
      </c>
      <c r="B2238" s="101"/>
      <c r="C2238" s="115"/>
      <c r="D2238" s="115"/>
      <c r="E2238" s="85"/>
      <c r="F2238" s="101"/>
      <c r="G2238" s="70"/>
      <c r="H2238" s="105"/>
      <c r="I2238" s="105"/>
      <c r="J2238" s="44" t="str">
        <f t="shared" si="311"/>
        <v/>
      </c>
      <c r="K2238" s="139"/>
      <c r="L2238" s="140"/>
      <c r="M2238" s="67"/>
      <c r="N2238" s="33">
        <f t="shared" si="276"/>
        <v>0</v>
      </c>
      <c r="O2238" s="101"/>
      <c r="P2238" s="34" t="str">
        <f t="shared" si="277"/>
        <v/>
      </c>
      <c r="Q2238" s="60"/>
      <c r="R2238" s="36">
        <f t="shared" si="312"/>
        <v>0</v>
      </c>
      <c r="S2238" s="102"/>
      <c r="T2238" s="37">
        <f t="shared" si="302"/>
        <v>0</v>
      </c>
      <c r="U2238" s="62"/>
      <c r="V2238" s="63"/>
      <c r="W2238" s="63"/>
      <c r="X2238" s="35" t="str">
        <f t="shared" si="303"/>
        <v>#N/A</v>
      </c>
      <c r="Y2238" s="35" t="str">
        <f t="shared" si="304"/>
        <v>#N/A</v>
      </c>
      <c r="Z2238" s="40" t="str">
        <f t="shared" si="305"/>
        <v>#N/A</v>
      </c>
      <c r="AA2238" s="34" t="str">
        <f t="shared" si="306"/>
        <v>#N/A</v>
      </c>
      <c r="AB2238" s="41" t="str">
        <f t="shared" si="307"/>
        <v>#N/A</v>
      </c>
      <c r="AC2238" s="42" t="b">
        <v>0</v>
      </c>
      <c r="AD2238" s="66" t="str">
        <f t="shared" si="308"/>
        <v>USD</v>
      </c>
      <c r="AE2238" s="42"/>
      <c r="AF2238" s="42" t="str">
        <f t="array" ref="AF2238">INDEX('Deal Info'!D:D, MATCH(A2238,'Deal Info'!A:A, 0))</f>
        <v>#N/A</v>
      </c>
      <c r="AG2238" s="43" t="str">
        <f t="array" ref="AG2238">INDEX('Deal Info'!G:G, MATCH(A2238,'Deal Info'!A:A, 0))</f>
        <v>#N/A</v>
      </c>
    </row>
    <row r="2239" hidden="1">
      <c r="A2239" s="23" t="b">
        <f t="array" ref="A2239">if(G2239='Room Info'!$B$1, INDEX('Room Info'!$A$2:$A3446, MATCH(B2239,'Room Info'!$B$2:$B3446, 0)),if(G2239='Room Info'!$C$1, INDEX('Room Info'!$A$2:$A3446, MATCH(B2239,'Room Info'!$C$2:$C3446, 0)),if(G2239='Room Info'!$D$1, INDEX('Room Info'!$A$2:$A3446, MATCH(B2239,'Room Info'!$D$2:$D3446, 0)),if(G2239='Room Info'!$E$1, INDEX('Room Info'!$A$2:$A3446, MATCH(B2239,'Room Info'!$E$2:$E3446, 0)),if(G2239='Room Info'!$F$1, INDEX('Room Info'!$A$2:$A3446, MATCH(B2239,'Room Info'!$F$2:$F3446, 0)),if(G2239='Room Info'!$H$1, INDEX('Room Info'!$A$2:$A3446, MATCH(B2239,'Room Info'!$H$2:$H3446, 0)),if(G2239='Room Info'!$G$1, INDEX('Room Info'!$A$2:$A3446, MATCH(B2239,'Room Info'!$G$2:$G3446, 0)))))))))</f>
        <v>0</v>
      </c>
      <c r="B2239" s="101"/>
      <c r="C2239" s="115"/>
      <c r="D2239" s="115"/>
      <c r="E2239" s="85"/>
      <c r="F2239" s="101"/>
      <c r="G2239" s="70"/>
      <c r="H2239" s="105"/>
      <c r="I2239" s="105"/>
      <c r="J2239" s="44" t="str">
        <f t="shared" si="311"/>
        <v/>
      </c>
      <c r="K2239" s="139"/>
      <c r="L2239" s="140"/>
      <c r="M2239" s="67"/>
      <c r="N2239" s="33">
        <f t="shared" si="276"/>
        <v>0</v>
      </c>
      <c r="O2239" s="101"/>
      <c r="P2239" s="34" t="str">
        <f t="shared" si="277"/>
        <v/>
      </c>
      <c r="Q2239" s="60"/>
      <c r="R2239" s="36">
        <f t="shared" si="312"/>
        <v>0</v>
      </c>
      <c r="S2239" s="102"/>
      <c r="T2239" s="37">
        <f t="shared" si="302"/>
        <v>0</v>
      </c>
      <c r="U2239" s="62"/>
      <c r="V2239" s="63"/>
      <c r="W2239" s="63"/>
      <c r="X2239" s="35" t="str">
        <f t="shared" si="303"/>
        <v>#N/A</v>
      </c>
      <c r="Y2239" s="35" t="str">
        <f t="shared" si="304"/>
        <v>#N/A</v>
      </c>
      <c r="Z2239" s="40" t="str">
        <f t="shared" si="305"/>
        <v>#N/A</v>
      </c>
      <c r="AA2239" s="34" t="str">
        <f t="shared" si="306"/>
        <v>#N/A</v>
      </c>
      <c r="AB2239" s="41" t="str">
        <f t="shared" si="307"/>
        <v>#N/A</v>
      </c>
      <c r="AC2239" s="42" t="b">
        <v>0</v>
      </c>
      <c r="AD2239" s="66" t="str">
        <f t="shared" si="308"/>
        <v>USD</v>
      </c>
      <c r="AE2239" s="42"/>
      <c r="AF2239" s="42" t="str">
        <f t="array" ref="AF2239">INDEX('Deal Info'!D:D, MATCH(A2239,'Deal Info'!A:A, 0))</f>
        <v>#N/A</v>
      </c>
      <c r="AG2239" s="43" t="str">
        <f t="array" ref="AG2239">INDEX('Deal Info'!G:G, MATCH(A2239,'Deal Info'!A:A, 0))</f>
        <v>#N/A</v>
      </c>
    </row>
    <row r="2240" hidden="1">
      <c r="A2240" s="23" t="b">
        <f t="array" ref="A2240">if(G2240='Room Info'!$B$1, INDEX('Room Info'!$A$2:$A3446, MATCH(B2240,'Room Info'!$B$2:$B3446, 0)),if(G2240='Room Info'!$C$1, INDEX('Room Info'!$A$2:$A3446, MATCH(B2240,'Room Info'!$C$2:$C3446, 0)),if(G2240='Room Info'!$D$1, INDEX('Room Info'!$A$2:$A3446, MATCH(B2240,'Room Info'!$D$2:$D3446, 0)),if(G2240='Room Info'!$E$1, INDEX('Room Info'!$A$2:$A3446, MATCH(B2240,'Room Info'!$E$2:$E3446, 0)),if(G2240='Room Info'!$F$1, INDEX('Room Info'!$A$2:$A3446, MATCH(B2240,'Room Info'!$F$2:$F3446, 0)),if(G2240='Room Info'!$H$1, INDEX('Room Info'!$A$2:$A3446, MATCH(B2240,'Room Info'!$H$2:$H3446, 0)),if(G2240='Room Info'!$G$1, INDEX('Room Info'!$A$2:$A3446, MATCH(B2240,'Room Info'!$G$2:$G3446, 0)))))))))</f>
        <v>0</v>
      </c>
      <c r="B2240" s="101"/>
      <c r="C2240" s="115"/>
      <c r="D2240" s="115"/>
      <c r="E2240" s="85"/>
      <c r="F2240" s="101"/>
      <c r="G2240" s="70"/>
      <c r="H2240" s="105"/>
      <c r="I2240" s="105"/>
      <c r="J2240" s="44" t="str">
        <f t="shared" si="311"/>
        <v/>
      </c>
      <c r="K2240" s="139"/>
      <c r="L2240" s="140"/>
      <c r="M2240" s="67"/>
      <c r="N2240" s="33">
        <f t="shared" si="276"/>
        <v>0</v>
      </c>
      <c r="O2240" s="101"/>
      <c r="P2240" s="34" t="str">
        <f t="shared" si="277"/>
        <v/>
      </c>
      <c r="Q2240" s="60"/>
      <c r="R2240" s="36">
        <f t="shared" si="312"/>
        <v>0</v>
      </c>
      <c r="S2240" s="102"/>
      <c r="T2240" s="37">
        <f t="shared" si="302"/>
        <v>0</v>
      </c>
      <c r="U2240" s="62"/>
      <c r="V2240" s="63"/>
      <c r="W2240" s="63"/>
      <c r="X2240" s="35" t="str">
        <f t="shared" si="303"/>
        <v>#N/A</v>
      </c>
      <c r="Y2240" s="35" t="str">
        <f t="shared" si="304"/>
        <v>#N/A</v>
      </c>
      <c r="Z2240" s="40" t="str">
        <f t="shared" si="305"/>
        <v>#N/A</v>
      </c>
      <c r="AA2240" s="34" t="str">
        <f t="shared" si="306"/>
        <v>#N/A</v>
      </c>
      <c r="AB2240" s="41" t="str">
        <f t="shared" si="307"/>
        <v>#N/A</v>
      </c>
      <c r="AC2240" s="42" t="b">
        <v>0</v>
      </c>
      <c r="AD2240" s="66" t="str">
        <f t="shared" si="308"/>
        <v>USD</v>
      </c>
      <c r="AE2240" s="42"/>
      <c r="AF2240" s="42" t="str">
        <f t="array" ref="AF2240">INDEX('Deal Info'!D:D, MATCH(A2240,'Deal Info'!A:A, 0))</f>
        <v>#N/A</v>
      </c>
      <c r="AG2240" s="43" t="str">
        <f t="array" ref="AG2240">INDEX('Deal Info'!G:G, MATCH(A2240,'Deal Info'!A:A, 0))</f>
        <v>#N/A</v>
      </c>
    </row>
    <row r="2241" hidden="1">
      <c r="A2241" s="23" t="b">
        <f t="array" ref="A2241">if(G2241='Room Info'!$B$1, INDEX('Room Info'!$A$2:$A3446, MATCH(B2241,'Room Info'!$B$2:$B3446, 0)),if(G2241='Room Info'!$C$1, INDEX('Room Info'!$A$2:$A3446, MATCH(B2241,'Room Info'!$C$2:$C3446, 0)),if(G2241='Room Info'!$D$1, INDEX('Room Info'!$A$2:$A3446, MATCH(B2241,'Room Info'!$D$2:$D3446, 0)),if(G2241='Room Info'!$E$1, INDEX('Room Info'!$A$2:$A3446, MATCH(B2241,'Room Info'!$E$2:$E3446, 0)),if(G2241='Room Info'!$F$1, INDEX('Room Info'!$A$2:$A3446, MATCH(B2241,'Room Info'!$F$2:$F3446, 0)),if(G2241='Room Info'!$H$1, INDEX('Room Info'!$A$2:$A3446, MATCH(B2241,'Room Info'!$H$2:$H3446, 0)),if(G2241='Room Info'!$G$1, INDEX('Room Info'!$A$2:$A3446, MATCH(B2241,'Room Info'!$G$2:$G3446, 0)))))))))</f>
        <v>0</v>
      </c>
      <c r="B2241" s="101"/>
      <c r="C2241" s="141"/>
      <c r="D2241" s="115"/>
      <c r="E2241" s="85"/>
      <c r="F2241" s="101"/>
      <c r="G2241" s="70"/>
      <c r="H2241" s="114"/>
      <c r="I2241" s="114"/>
      <c r="J2241" s="44" t="str">
        <f t="shared" si="311"/>
        <v/>
      </c>
      <c r="K2241" s="116"/>
      <c r="L2241" s="117"/>
      <c r="M2241" s="67"/>
      <c r="N2241" s="33">
        <f t="shared" si="276"/>
        <v>0</v>
      </c>
      <c r="O2241" s="70"/>
      <c r="P2241" s="34" t="str">
        <f t="shared" si="277"/>
        <v/>
      </c>
      <c r="Q2241" s="60"/>
      <c r="R2241" s="36">
        <f t="shared" si="312"/>
        <v>0</v>
      </c>
      <c r="S2241" s="71"/>
      <c r="T2241" s="37">
        <f t="shared" si="302"/>
        <v>0</v>
      </c>
      <c r="U2241" s="62"/>
      <c r="V2241" s="63"/>
      <c r="W2241" s="63"/>
      <c r="X2241" s="35" t="str">
        <f t="shared" si="303"/>
        <v>#N/A</v>
      </c>
      <c r="Y2241" s="35" t="str">
        <f t="shared" si="304"/>
        <v>#N/A</v>
      </c>
      <c r="Z2241" s="40" t="str">
        <f t="shared" si="305"/>
        <v>#N/A</v>
      </c>
      <c r="AA2241" s="34" t="str">
        <f t="shared" si="306"/>
        <v>#N/A</v>
      </c>
      <c r="AB2241" s="41" t="str">
        <f t="shared" si="307"/>
        <v>#N/A</v>
      </c>
      <c r="AC2241" s="42" t="b">
        <v>0</v>
      </c>
      <c r="AD2241" s="66" t="str">
        <f t="shared" si="308"/>
        <v>USD</v>
      </c>
      <c r="AE2241" s="42"/>
      <c r="AF2241" s="42" t="str">
        <f t="array" ref="AF2241">INDEX('Deal Info'!D:D, MATCH(A2241,'Deal Info'!A:A, 0))</f>
        <v>#N/A</v>
      </c>
      <c r="AG2241" s="43" t="str">
        <f t="array" ref="AG2241">INDEX('Deal Info'!G:G, MATCH(A2241,'Deal Info'!A:A, 0))</f>
        <v>#N/A</v>
      </c>
    </row>
    <row r="2242" hidden="1">
      <c r="A2242" s="23" t="b">
        <f t="array" ref="A2242">if(G2242='Room Info'!$B$1, INDEX('Room Info'!$A$2:$A3446, MATCH(B2242,'Room Info'!$B$2:$B3446, 0)),if(G2242='Room Info'!$C$1, INDEX('Room Info'!$A$2:$A3446, MATCH(B2242,'Room Info'!$C$2:$C3446, 0)),if(G2242='Room Info'!$D$1, INDEX('Room Info'!$A$2:$A3446, MATCH(B2242,'Room Info'!$D$2:$D3446, 0)),if(G2242='Room Info'!$E$1, INDEX('Room Info'!$A$2:$A3446, MATCH(B2242,'Room Info'!$E$2:$E3446, 0)),if(G2242='Room Info'!$F$1, INDEX('Room Info'!$A$2:$A3446, MATCH(B2242,'Room Info'!$F$2:$F3446, 0)),if(G2242='Room Info'!$H$1, INDEX('Room Info'!$A$2:$A3446, MATCH(B2242,'Room Info'!$H$2:$H3446, 0)),if(G2242='Room Info'!$G$1, INDEX('Room Info'!$A$2:$A3446, MATCH(B2242,'Room Info'!$G$2:$G3446, 0)))))))))</f>
        <v>0</v>
      </c>
      <c r="B2242" s="101"/>
      <c r="C2242" s="141"/>
      <c r="D2242" s="115"/>
      <c r="E2242" s="85"/>
      <c r="F2242" s="101"/>
      <c r="G2242" s="70"/>
      <c r="H2242" s="114"/>
      <c r="I2242" s="114"/>
      <c r="J2242" s="44" t="str">
        <f t="shared" si="311"/>
        <v/>
      </c>
      <c r="K2242" s="116"/>
      <c r="L2242" s="117"/>
      <c r="M2242" s="67"/>
      <c r="N2242" s="33">
        <f t="shared" si="276"/>
        <v>0</v>
      </c>
      <c r="O2242" s="70"/>
      <c r="P2242" s="34" t="str">
        <f t="shared" si="277"/>
        <v/>
      </c>
      <c r="Q2242" s="60"/>
      <c r="R2242" s="36">
        <f t="shared" si="312"/>
        <v>0</v>
      </c>
      <c r="S2242" s="71"/>
      <c r="T2242" s="37">
        <f t="shared" si="302"/>
        <v>0</v>
      </c>
      <c r="U2242" s="62"/>
      <c r="V2242" s="63"/>
      <c r="W2242" s="63"/>
      <c r="X2242" s="35" t="str">
        <f t="shared" si="303"/>
        <v>#N/A</v>
      </c>
      <c r="Y2242" s="35" t="str">
        <f t="shared" si="304"/>
        <v>#N/A</v>
      </c>
      <c r="Z2242" s="40" t="str">
        <f t="shared" si="305"/>
        <v>#N/A</v>
      </c>
      <c r="AA2242" s="34" t="str">
        <f t="shared" si="306"/>
        <v>#N/A</v>
      </c>
      <c r="AB2242" s="41" t="str">
        <f t="shared" si="307"/>
        <v>#N/A</v>
      </c>
      <c r="AC2242" s="42" t="b">
        <v>0</v>
      </c>
      <c r="AD2242" s="66" t="str">
        <f t="shared" si="308"/>
        <v>USD</v>
      </c>
      <c r="AE2242" s="42"/>
      <c r="AF2242" s="42" t="str">
        <f t="array" ref="AF2242">INDEX('Deal Info'!D:D, MATCH(A2242,'Deal Info'!A:A, 0))</f>
        <v>#N/A</v>
      </c>
      <c r="AG2242" s="43" t="str">
        <f t="array" ref="AG2242">INDEX('Deal Info'!G:G, MATCH(A2242,'Deal Info'!A:A, 0))</f>
        <v>#N/A</v>
      </c>
    </row>
    <row r="2243" hidden="1">
      <c r="A2243" s="23" t="b">
        <f t="array" ref="A2243">if(G2243='Room Info'!$B$1, INDEX('Room Info'!$A$2:$A3446, MATCH(B2243,'Room Info'!$B$2:$B3446, 0)),if(G2243='Room Info'!$C$1, INDEX('Room Info'!$A$2:$A3446, MATCH(B2243,'Room Info'!$C$2:$C3446, 0)),if(G2243='Room Info'!$D$1, INDEX('Room Info'!$A$2:$A3446, MATCH(B2243,'Room Info'!$D$2:$D3446, 0)),if(G2243='Room Info'!$E$1, INDEX('Room Info'!$A$2:$A3446, MATCH(B2243,'Room Info'!$E$2:$E3446, 0)),if(G2243='Room Info'!$F$1, INDEX('Room Info'!$A$2:$A3446, MATCH(B2243,'Room Info'!$F$2:$F3446, 0)),if(G2243='Room Info'!$H$1, INDEX('Room Info'!$A$2:$A3446, MATCH(B2243,'Room Info'!$H$2:$H3446, 0)),if(G2243='Room Info'!$G$1, INDEX('Room Info'!$A$2:$A3446, MATCH(B2243,'Room Info'!$G$2:$G3446, 0)))))))))</f>
        <v>0</v>
      </c>
      <c r="B2243" s="101"/>
      <c r="C2243" s="141"/>
      <c r="D2243" s="115"/>
      <c r="E2243" s="85"/>
      <c r="F2243" s="138"/>
      <c r="G2243" s="70"/>
      <c r="H2243" s="114"/>
      <c r="I2243" s="114"/>
      <c r="J2243" s="44" t="str">
        <f t="shared" si="311"/>
        <v/>
      </c>
      <c r="K2243" s="116"/>
      <c r="L2243" s="117"/>
      <c r="M2243" s="67"/>
      <c r="N2243" s="33">
        <f t="shared" si="276"/>
        <v>0</v>
      </c>
      <c r="O2243" s="70"/>
      <c r="P2243" s="34" t="str">
        <f t="shared" si="277"/>
        <v/>
      </c>
      <c r="Q2243" s="60"/>
      <c r="R2243" s="36">
        <f t="shared" si="312"/>
        <v>0</v>
      </c>
      <c r="S2243" s="71"/>
      <c r="T2243" s="37">
        <f t="shared" si="302"/>
        <v>0</v>
      </c>
      <c r="U2243" s="62"/>
      <c r="V2243" s="63"/>
      <c r="W2243" s="63"/>
      <c r="X2243" s="35" t="str">
        <f t="shared" si="303"/>
        <v>#N/A</v>
      </c>
      <c r="Y2243" s="35" t="str">
        <f t="shared" si="304"/>
        <v>#N/A</v>
      </c>
      <c r="Z2243" s="40" t="str">
        <f t="shared" si="305"/>
        <v>#N/A</v>
      </c>
      <c r="AA2243" s="34" t="str">
        <f t="shared" si="306"/>
        <v>#N/A</v>
      </c>
      <c r="AB2243" s="41" t="str">
        <f t="shared" si="307"/>
        <v>#N/A</v>
      </c>
      <c r="AC2243" s="42" t="b">
        <v>0</v>
      </c>
      <c r="AD2243" s="66" t="str">
        <f t="shared" si="308"/>
        <v>USD</v>
      </c>
      <c r="AE2243" s="42"/>
      <c r="AF2243" s="42" t="str">
        <f t="array" ref="AF2243">INDEX('Deal Info'!D:D, MATCH(A2243,'Deal Info'!A:A, 0))</f>
        <v>#N/A</v>
      </c>
      <c r="AG2243" s="43" t="str">
        <f t="array" ref="AG2243">INDEX('Deal Info'!G:G, MATCH(A2243,'Deal Info'!A:A, 0))</f>
        <v>#N/A</v>
      </c>
    </row>
    <row r="2244" hidden="1">
      <c r="A2244" s="23" t="b">
        <f t="array" ref="A2244">if(G2244='Room Info'!$B$1, INDEX('Room Info'!$A$2:$A3446, MATCH(B2244,'Room Info'!$B$2:$B3446, 0)),if(G2244='Room Info'!$C$1, INDEX('Room Info'!$A$2:$A3446, MATCH(B2244,'Room Info'!$C$2:$C3446, 0)),if(G2244='Room Info'!$D$1, INDEX('Room Info'!$A$2:$A3446, MATCH(B2244,'Room Info'!$D$2:$D3446, 0)),if(G2244='Room Info'!$E$1, INDEX('Room Info'!$A$2:$A3446, MATCH(B2244,'Room Info'!$E$2:$E3446, 0)),if(G2244='Room Info'!$F$1, INDEX('Room Info'!$A$2:$A3446, MATCH(B2244,'Room Info'!$F$2:$F3446, 0)),if(G2244='Room Info'!$H$1, INDEX('Room Info'!$A$2:$A3446, MATCH(B2244,'Room Info'!$H$2:$H3446, 0)),if(G2244='Room Info'!$G$1, INDEX('Room Info'!$A$2:$A3446, MATCH(B2244,'Room Info'!$G$2:$G3446, 0)))))))))</f>
        <v>0</v>
      </c>
      <c r="B2244" s="101"/>
      <c r="C2244" s="141"/>
      <c r="D2244" s="115"/>
      <c r="E2244" s="85"/>
      <c r="F2244" s="138"/>
      <c r="G2244" s="70"/>
      <c r="H2244" s="114"/>
      <c r="I2244" s="114"/>
      <c r="J2244" s="44" t="str">
        <f t="shared" si="311"/>
        <v/>
      </c>
      <c r="K2244" s="116"/>
      <c r="L2244" s="117"/>
      <c r="M2244" s="67"/>
      <c r="N2244" s="33">
        <f t="shared" si="276"/>
        <v>0</v>
      </c>
      <c r="O2244" s="70"/>
      <c r="P2244" s="34" t="str">
        <f t="shared" si="277"/>
        <v/>
      </c>
      <c r="Q2244" s="60"/>
      <c r="R2244" s="36">
        <f t="shared" si="312"/>
        <v>0</v>
      </c>
      <c r="S2244" s="71"/>
      <c r="T2244" s="37">
        <f t="shared" si="302"/>
        <v>0</v>
      </c>
      <c r="U2244" s="62"/>
      <c r="V2244" s="63"/>
      <c r="W2244" s="63"/>
      <c r="X2244" s="35" t="str">
        <f t="shared" si="303"/>
        <v>#N/A</v>
      </c>
      <c r="Y2244" s="35" t="str">
        <f t="shared" si="304"/>
        <v>#N/A</v>
      </c>
      <c r="Z2244" s="40" t="str">
        <f t="shared" si="305"/>
        <v>#N/A</v>
      </c>
      <c r="AA2244" s="34" t="str">
        <f t="shared" si="306"/>
        <v>#N/A</v>
      </c>
      <c r="AB2244" s="41" t="str">
        <f t="shared" si="307"/>
        <v>#N/A</v>
      </c>
      <c r="AC2244" s="42" t="b">
        <v>0</v>
      </c>
      <c r="AD2244" s="66" t="str">
        <f t="shared" si="308"/>
        <v>USD</v>
      </c>
      <c r="AE2244" s="42"/>
      <c r="AF2244" s="42" t="str">
        <f t="array" ref="AF2244">INDEX('Deal Info'!D:D, MATCH(A2244,'Deal Info'!A:A, 0))</f>
        <v>#N/A</v>
      </c>
      <c r="AG2244" s="43" t="str">
        <f t="array" ref="AG2244">INDEX('Deal Info'!G:G, MATCH(A2244,'Deal Info'!A:A, 0))</f>
        <v>#N/A</v>
      </c>
    </row>
    <row r="2245" hidden="1">
      <c r="A2245" s="23" t="b">
        <f t="array" ref="A2245">if(G2245='Room Info'!$B$1, INDEX('Room Info'!$A$2:$A3446, MATCH(B2245,'Room Info'!$B$2:$B3446, 0)),if(G2245='Room Info'!$C$1, INDEX('Room Info'!$A$2:$A3446, MATCH(B2245,'Room Info'!$C$2:$C3446, 0)),if(G2245='Room Info'!$D$1, INDEX('Room Info'!$A$2:$A3446, MATCH(B2245,'Room Info'!$D$2:$D3446, 0)),if(G2245='Room Info'!$E$1, INDEX('Room Info'!$A$2:$A3446, MATCH(B2245,'Room Info'!$E$2:$E3446, 0)),if(G2245='Room Info'!$F$1, INDEX('Room Info'!$A$2:$A3446, MATCH(B2245,'Room Info'!$F$2:$F3446, 0)),if(G2245='Room Info'!$H$1, INDEX('Room Info'!$A$2:$A3446, MATCH(B2245,'Room Info'!$H$2:$H3446, 0)),if(G2245='Room Info'!$G$1, INDEX('Room Info'!$A$2:$A3446, MATCH(B2245,'Room Info'!$G$2:$G3446, 0)))))))))</f>
        <v>0</v>
      </c>
      <c r="B2245" s="101"/>
      <c r="C2245" s="115"/>
      <c r="D2245" s="115"/>
      <c r="E2245" s="85"/>
      <c r="F2245" s="101"/>
      <c r="G2245" s="70"/>
      <c r="H2245" s="114"/>
      <c r="I2245" s="114"/>
      <c r="J2245" s="44" t="str">
        <f t="shared" si="311"/>
        <v/>
      </c>
      <c r="K2245" s="116"/>
      <c r="L2245" s="117"/>
      <c r="M2245" s="67"/>
      <c r="N2245" s="33">
        <f t="shared" si="276"/>
        <v>0</v>
      </c>
      <c r="O2245" s="70"/>
      <c r="P2245" s="34" t="str">
        <f t="shared" si="277"/>
        <v/>
      </c>
      <c r="Q2245" s="60"/>
      <c r="R2245" s="36">
        <f t="shared" si="312"/>
        <v>0</v>
      </c>
      <c r="S2245" s="71"/>
      <c r="T2245" s="37">
        <f t="shared" si="302"/>
        <v>0</v>
      </c>
      <c r="U2245" s="62"/>
      <c r="V2245" s="63"/>
      <c r="W2245" s="63"/>
      <c r="X2245" s="35" t="str">
        <f t="shared" si="303"/>
        <v>#N/A</v>
      </c>
      <c r="Y2245" s="35" t="str">
        <f t="shared" si="304"/>
        <v>#N/A</v>
      </c>
      <c r="Z2245" s="40" t="str">
        <f t="shared" si="305"/>
        <v>#N/A</v>
      </c>
      <c r="AA2245" s="34" t="str">
        <f t="shared" si="306"/>
        <v>#N/A</v>
      </c>
      <c r="AB2245" s="41" t="str">
        <f t="shared" si="307"/>
        <v>#N/A</v>
      </c>
      <c r="AC2245" s="42" t="b">
        <v>0</v>
      </c>
      <c r="AD2245" s="66" t="str">
        <f t="shared" si="308"/>
        <v>USD</v>
      </c>
      <c r="AE2245" s="42"/>
      <c r="AF2245" s="42" t="str">
        <f t="array" ref="AF2245">INDEX('Deal Info'!D:D, MATCH(A2245,'Deal Info'!A:A, 0))</f>
        <v>#N/A</v>
      </c>
      <c r="AG2245" s="43" t="str">
        <f t="array" ref="AG2245">INDEX('Deal Info'!G:G, MATCH(A2245,'Deal Info'!A:A, 0))</f>
        <v>#N/A</v>
      </c>
    </row>
    <row r="2246" hidden="1">
      <c r="A2246" s="23" t="b">
        <f t="array" ref="A2246">if(G2246='Room Info'!$B$1, INDEX('Room Info'!$A$2:$A3446, MATCH(B2246,'Room Info'!$B$2:$B3446, 0)),if(G2246='Room Info'!$C$1, INDEX('Room Info'!$A$2:$A3446, MATCH(B2246,'Room Info'!$C$2:$C3446, 0)),if(G2246='Room Info'!$D$1, INDEX('Room Info'!$A$2:$A3446, MATCH(B2246,'Room Info'!$D$2:$D3446, 0)),if(G2246='Room Info'!$E$1, INDEX('Room Info'!$A$2:$A3446, MATCH(B2246,'Room Info'!$E$2:$E3446, 0)),if(G2246='Room Info'!$F$1, INDEX('Room Info'!$A$2:$A3446, MATCH(B2246,'Room Info'!$F$2:$F3446, 0)),if(G2246='Room Info'!$H$1, INDEX('Room Info'!$A$2:$A3446, MATCH(B2246,'Room Info'!$H$2:$H3446, 0)),if(G2246='Room Info'!$G$1, INDEX('Room Info'!$A$2:$A3446, MATCH(B2246,'Room Info'!$G$2:$G3446, 0)))))))))</f>
        <v>0</v>
      </c>
      <c r="B2246" s="101"/>
      <c r="C2246" s="115"/>
      <c r="D2246" s="115"/>
      <c r="E2246" s="85"/>
      <c r="F2246" s="101"/>
      <c r="G2246" s="70"/>
      <c r="H2246" s="114"/>
      <c r="I2246" s="114"/>
      <c r="J2246" s="44" t="str">
        <f t="shared" si="311"/>
        <v/>
      </c>
      <c r="K2246" s="116"/>
      <c r="L2246" s="117"/>
      <c r="M2246" s="67"/>
      <c r="N2246" s="33">
        <f t="shared" si="276"/>
        <v>0</v>
      </c>
      <c r="O2246" s="70"/>
      <c r="P2246" s="34" t="str">
        <f t="shared" si="277"/>
        <v/>
      </c>
      <c r="Q2246" s="60"/>
      <c r="R2246" s="36">
        <f t="shared" si="312"/>
        <v>0</v>
      </c>
      <c r="S2246" s="71"/>
      <c r="T2246" s="37">
        <f t="shared" si="302"/>
        <v>0</v>
      </c>
      <c r="U2246" s="62"/>
      <c r="V2246" s="63"/>
      <c r="W2246" s="63"/>
      <c r="X2246" s="35" t="str">
        <f t="shared" si="303"/>
        <v>#N/A</v>
      </c>
      <c r="Y2246" s="35" t="str">
        <f t="shared" si="304"/>
        <v>#N/A</v>
      </c>
      <c r="Z2246" s="40" t="str">
        <f t="shared" si="305"/>
        <v>#N/A</v>
      </c>
      <c r="AA2246" s="34" t="str">
        <f t="shared" si="306"/>
        <v>#N/A</v>
      </c>
      <c r="AB2246" s="41" t="str">
        <f t="shared" si="307"/>
        <v>#N/A</v>
      </c>
      <c r="AC2246" s="42" t="b">
        <v>0</v>
      </c>
      <c r="AD2246" s="66" t="str">
        <f t="shared" si="308"/>
        <v>USD</v>
      </c>
      <c r="AE2246" s="42"/>
      <c r="AF2246" s="42" t="str">
        <f t="array" ref="AF2246">INDEX('Deal Info'!D:D, MATCH(A2246,'Deal Info'!A:A, 0))</f>
        <v>#N/A</v>
      </c>
      <c r="AG2246" s="43" t="str">
        <f t="array" ref="AG2246">INDEX('Deal Info'!G:G, MATCH(A2246,'Deal Info'!A:A, 0))</f>
        <v>#N/A</v>
      </c>
    </row>
    <row r="2247" hidden="1">
      <c r="A2247" s="23" t="b">
        <f t="array" ref="A2247">if(G2247='Room Info'!$B$1, INDEX('Room Info'!$A$2:$A3446, MATCH(B2247,'Room Info'!$B$2:$B3446, 0)),if(G2247='Room Info'!$C$1, INDEX('Room Info'!$A$2:$A3446, MATCH(B2247,'Room Info'!$C$2:$C3446, 0)),if(G2247='Room Info'!$D$1, INDEX('Room Info'!$A$2:$A3446, MATCH(B2247,'Room Info'!$D$2:$D3446, 0)),if(G2247='Room Info'!$E$1, INDEX('Room Info'!$A$2:$A3446, MATCH(B2247,'Room Info'!$E$2:$E3446, 0)),if(G2247='Room Info'!$F$1, INDEX('Room Info'!$A$2:$A3446, MATCH(B2247,'Room Info'!$F$2:$F3446, 0)),if(G2247='Room Info'!$H$1, INDEX('Room Info'!$A$2:$A3446, MATCH(B2247,'Room Info'!$H$2:$H3446, 0)),if(G2247='Room Info'!$G$1, INDEX('Room Info'!$A$2:$A3446, MATCH(B2247,'Room Info'!$G$2:$G3446, 0)))))))))</f>
        <v>0</v>
      </c>
      <c r="B2247" s="70"/>
      <c r="C2247" s="115"/>
      <c r="D2247" s="115"/>
      <c r="E2247" s="85"/>
      <c r="F2247" s="101"/>
      <c r="G2247" s="70"/>
      <c r="H2247" s="114"/>
      <c r="I2247" s="114"/>
      <c r="J2247" s="44" t="str">
        <f t="shared" si="311"/>
        <v/>
      </c>
      <c r="K2247" s="116"/>
      <c r="L2247" s="117"/>
      <c r="M2247" s="67"/>
      <c r="N2247" s="33">
        <f t="shared" si="276"/>
        <v>0</v>
      </c>
      <c r="O2247" s="70"/>
      <c r="P2247" s="34" t="str">
        <f t="shared" si="277"/>
        <v/>
      </c>
      <c r="Q2247" s="60"/>
      <c r="R2247" s="36">
        <f t="shared" si="312"/>
        <v>0</v>
      </c>
      <c r="S2247" s="71"/>
      <c r="T2247" s="37">
        <f t="shared" si="302"/>
        <v>0</v>
      </c>
      <c r="U2247" s="62"/>
      <c r="V2247" s="63"/>
      <c r="W2247" s="63"/>
      <c r="X2247" s="35" t="str">
        <f t="shared" si="303"/>
        <v>#N/A</v>
      </c>
      <c r="Y2247" s="35" t="str">
        <f t="shared" si="304"/>
        <v>#N/A</v>
      </c>
      <c r="Z2247" s="40" t="str">
        <f t="shared" si="305"/>
        <v>#N/A</v>
      </c>
      <c r="AA2247" s="34" t="str">
        <f t="shared" si="306"/>
        <v>#N/A</v>
      </c>
      <c r="AB2247" s="41" t="str">
        <f t="shared" si="307"/>
        <v>#N/A</v>
      </c>
      <c r="AC2247" s="42" t="b">
        <v>0</v>
      </c>
      <c r="AD2247" s="66" t="str">
        <f t="shared" si="308"/>
        <v>USD</v>
      </c>
      <c r="AE2247" s="42"/>
      <c r="AF2247" s="42" t="str">
        <f t="array" ref="AF2247">INDEX('Deal Info'!D:D, MATCH(A2247,'Deal Info'!A:A, 0))</f>
        <v>#N/A</v>
      </c>
      <c r="AG2247" s="43" t="str">
        <f t="array" ref="AG2247">INDEX('Deal Info'!G:G, MATCH(A2247,'Deal Info'!A:A, 0))</f>
        <v>#N/A</v>
      </c>
    </row>
    <row r="2248" hidden="1">
      <c r="A2248" s="23" t="b">
        <f t="array" ref="A2248">if(G2248='Room Info'!$B$1, INDEX('Room Info'!$A$2:$A3446, MATCH(B2248,'Room Info'!$B$2:$B3446, 0)),if(G2248='Room Info'!$C$1, INDEX('Room Info'!$A$2:$A3446, MATCH(B2248,'Room Info'!$C$2:$C3446, 0)),if(G2248='Room Info'!$D$1, INDEX('Room Info'!$A$2:$A3446, MATCH(B2248,'Room Info'!$D$2:$D3446, 0)),if(G2248='Room Info'!$E$1, INDEX('Room Info'!$A$2:$A3446, MATCH(B2248,'Room Info'!$E$2:$E3446, 0)),if(G2248='Room Info'!$F$1, INDEX('Room Info'!$A$2:$A3446, MATCH(B2248,'Room Info'!$F$2:$F3446, 0)),if(G2248='Room Info'!$H$1, INDEX('Room Info'!$A$2:$A3446, MATCH(B2248,'Room Info'!$H$2:$H3446, 0)),if(G2248='Room Info'!$G$1, INDEX('Room Info'!$A$2:$A3446, MATCH(B2248,'Room Info'!$G$2:$G3446, 0)))))))))</f>
        <v>0</v>
      </c>
      <c r="B2248" s="101"/>
      <c r="C2248" s="115"/>
      <c r="D2248" s="115"/>
      <c r="E2248" s="85"/>
      <c r="F2248" s="138"/>
      <c r="G2248" s="70"/>
      <c r="H2248" s="114"/>
      <c r="I2248" s="114"/>
      <c r="J2248" s="44" t="str">
        <f t="shared" si="311"/>
        <v/>
      </c>
      <c r="K2248" s="116"/>
      <c r="L2248" s="117"/>
      <c r="M2248" s="67"/>
      <c r="N2248" s="33">
        <f t="shared" si="276"/>
        <v>0</v>
      </c>
      <c r="O2248" s="70"/>
      <c r="P2248" s="34" t="str">
        <f t="shared" si="277"/>
        <v/>
      </c>
      <c r="Q2248" s="60"/>
      <c r="R2248" s="36">
        <f t="shared" si="312"/>
        <v>0</v>
      </c>
      <c r="S2248" s="71"/>
      <c r="T2248" s="37">
        <f t="shared" si="302"/>
        <v>0</v>
      </c>
      <c r="U2248" s="62"/>
      <c r="V2248" s="63"/>
      <c r="W2248" s="63"/>
      <c r="X2248" s="35" t="str">
        <f t="shared" si="303"/>
        <v>#N/A</v>
      </c>
      <c r="Y2248" s="35" t="str">
        <f t="shared" si="304"/>
        <v>#N/A</v>
      </c>
      <c r="Z2248" s="40" t="str">
        <f t="shared" si="305"/>
        <v>#N/A</v>
      </c>
      <c r="AA2248" s="34" t="str">
        <f t="shared" si="306"/>
        <v>#N/A</v>
      </c>
      <c r="AB2248" s="41" t="str">
        <f t="shared" si="307"/>
        <v>#N/A</v>
      </c>
      <c r="AC2248" s="42" t="b">
        <v>0</v>
      </c>
      <c r="AD2248" s="66" t="str">
        <f t="shared" si="308"/>
        <v>USD</v>
      </c>
      <c r="AE2248" s="42"/>
      <c r="AF2248" s="42" t="str">
        <f t="array" ref="AF2248">INDEX('Deal Info'!D:D, MATCH(A2248,'Deal Info'!A:A, 0))</f>
        <v>#N/A</v>
      </c>
      <c r="AG2248" s="43" t="str">
        <f t="array" ref="AG2248">INDEX('Deal Info'!G:G, MATCH(A2248,'Deal Info'!A:A, 0))</f>
        <v>#N/A</v>
      </c>
    </row>
    <row r="2249" hidden="1">
      <c r="A2249" s="23" t="b">
        <f t="array" ref="A2249">if(G2249='Room Info'!$B$1, INDEX('Room Info'!$A$2:$A3446, MATCH(B2249,'Room Info'!$B$2:$B3446, 0)),if(G2249='Room Info'!$C$1, INDEX('Room Info'!$A$2:$A3446, MATCH(B2249,'Room Info'!$C$2:$C3446, 0)),if(G2249='Room Info'!$D$1, INDEX('Room Info'!$A$2:$A3446, MATCH(B2249,'Room Info'!$D$2:$D3446, 0)),if(G2249='Room Info'!$E$1, INDEX('Room Info'!$A$2:$A3446, MATCH(B2249,'Room Info'!$E$2:$E3446, 0)),if(G2249='Room Info'!$F$1, INDEX('Room Info'!$A$2:$A3446, MATCH(B2249,'Room Info'!$F$2:$F3446, 0)),if(G2249='Room Info'!$H$1, INDEX('Room Info'!$A$2:$A3446, MATCH(B2249,'Room Info'!$H$2:$H3446, 0)),if(G2249='Room Info'!$G$1, INDEX('Room Info'!$A$2:$A3446, MATCH(B2249,'Room Info'!$G$2:$G3446, 0)))))))))</f>
        <v>0</v>
      </c>
      <c r="B2249" s="101"/>
      <c r="C2249" s="115"/>
      <c r="D2249" s="115"/>
      <c r="E2249" s="85"/>
      <c r="F2249" s="138"/>
      <c r="G2249" s="70"/>
      <c r="H2249" s="114"/>
      <c r="I2249" s="114"/>
      <c r="J2249" s="44" t="str">
        <f t="shared" si="311"/>
        <v/>
      </c>
      <c r="K2249" s="116"/>
      <c r="L2249" s="117"/>
      <c r="M2249" s="67"/>
      <c r="N2249" s="33">
        <f t="shared" si="276"/>
        <v>0</v>
      </c>
      <c r="O2249" s="70"/>
      <c r="P2249" s="34" t="str">
        <f t="shared" si="277"/>
        <v/>
      </c>
      <c r="Q2249" s="60"/>
      <c r="R2249" s="36">
        <f t="shared" si="312"/>
        <v>0</v>
      </c>
      <c r="S2249" s="71"/>
      <c r="T2249" s="37">
        <f t="shared" si="302"/>
        <v>0</v>
      </c>
      <c r="U2249" s="62"/>
      <c r="V2249" s="63"/>
      <c r="W2249" s="63"/>
      <c r="X2249" s="35" t="str">
        <f t="shared" si="303"/>
        <v>#N/A</v>
      </c>
      <c r="Y2249" s="35" t="str">
        <f t="shared" si="304"/>
        <v>#N/A</v>
      </c>
      <c r="Z2249" s="40" t="str">
        <f t="shared" si="305"/>
        <v>#N/A</v>
      </c>
      <c r="AA2249" s="34" t="str">
        <f t="shared" si="306"/>
        <v>#N/A</v>
      </c>
      <c r="AB2249" s="41" t="str">
        <f t="shared" si="307"/>
        <v>#N/A</v>
      </c>
      <c r="AC2249" s="42" t="b">
        <v>0</v>
      </c>
      <c r="AD2249" s="66" t="str">
        <f t="shared" si="308"/>
        <v>USD</v>
      </c>
      <c r="AE2249" s="42"/>
      <c r="AF2249" s="42" t="str">
        <f t="array" ref="AF2249">INDEX('Deal Info'!D:D, MATCH(A2249,'Deal Info'!A:A, 0))</f>
        <v>#N/A</v>
      </c>
      <c r="AG2249" s="43" t="str">
        <f t="array" ref="AG2249">INDEX('Deal Info'!G:G, MATCH(A2249,'Deal Info'!A:A, 0))</f>
        <v>#N/A</v>
      </c>
    </row>
    <row r="2250" hidden="1">
      <c r="A2250" s="23" t="b">
        <f t="array" ref="A2250">if(G2250='Room Info'!$B$1, INDEX('Room Info'!$A$2:$A3446, MATCH(B2250,'Room Info'!$B$2:$B3446, 0)),if(G2250='Room Info'!$C$1, INDEX('Room Info'!$A$2:$A3446, MATCH(B2250,'Room Info'!$C$2:$C3446, 0)),if(G2250='Room Info'!$D$1, INDEX('Room Info'!$A$2:$A3446, MATCH(B2250,'Room Info'!$D$2:$D3446, 0)),if(G2250='Room Info'!$E$1, INDEX('Room Info'!$A$2:$A3446, MATCH(B2250,'Room Info'!$E$2:$E3446, 0)),if(G2250='Room Info'!$F$1, INDEX('Room Info'!$A$2:$A3446, MATCH(B2250,'Room Info'!$F$2:$F3446, 0)),if(G2250='Room Info'!$H$1, INDEX('Room Info'!$A$2:$A3446, MATCH(B2250,'Room Info'!$H$2:$H3446, 0)),if(G2250='Room Info'!$G$1, INDEX('Room Info'!$A$2:$A3446, MATCH(B2250,'Room Info'!$G$2:$G3446, 0)))))))))</f>
        <v>0</v>
      </c>
      <c r="B2250" s="101"/>
      <c r="C2250" s="115"/>
      <c r="D2250" s="115"/>
      <c r="E2250" s="85"/>
      <c r="F2250" s="138"/>
      <c r="G2250" s="70"/>
      <c r="H2250" s="114"/>
      <c r="I2250" s="114"/>
      <c r="J2250" s="44" t="str">
        <f t="shared" si="311"/>
        <v/>
      </c>
      <c r="K2250" s="116"/>
      <c r="L2250" s="117"/>
      <c r="M2250" s="67"/>
      <c r="N2250" s="33">
        <f t="shared" si="276"/>
        <v>0</v>
      </c>
      <c r="O2250" s="70"/>
      <c r="P2250" s="34" t="str">
        <f t="shared" si="277"/>
        <v/>
      </c>
      <c r="Q2250" s="60"/>
      <c r="R2250" s="36">
        <f t="shared" si="312"/>
        <v>0</v>
      </c>
      <c r="S2250" s="71"/>
      <c r="T2250" s="37">
        <f t="shared" si="302"/>
        <v>0</v>
      </c>
      <c r="U2250" s="62"/>
      <c r="V2250" s="63"/>
      <c r="W2250" s="63"/>
      <c r="X2250" s="35" t="str">
        <f t="shared" si="303"/>
        <v>#N/A</v>
      </c>
      <c r="Y2250" s="35" t="str">
        <f t="shared" si="304"/>
        <v>#N/A</v>
      </c>
      <c r="Z2250" s="40" t="str">
        <f t="shared" si="305"/>
        <v>#N/A</v>
      </c>
      <c r="AA2250" s="34" t="str">
        <f t="shared" si="306"/>
        <v>#N/A</v>
      </c>
      <c r="AB2250" s="41" t="str">
        <f t="shared" si="307"/>
        <v>#N/A</v>
      </c>
      <c r="AC2250" s="42" t="b">
        <v>0</v>
      </c>
      <c r="AD2250" s="66" t="str">
        <f t="shared" si="308"/>
        <v>USD</v>
      </c>
      <c r="AE2250" s="42"/>
      <c r="AF2250" s="42" t="str">
        <f t="array" ref="AF2250">INDEX('Deal Info'!D:D, MATCH(A2250,'Deal Info'!A:A, 0))</f>
        <v>#N/A</v>
      </c>
      <c r="AG2250" s="43" t="str">
        <f t="array" ref="AG2250">INDEX('Deal Info'!G:G, MATCH(A2250,'Deal Info'!A:A, 0))</f>
        <v>#N/A</v>
      </c>
    </row>
    <row r="2251" hidden="1">
      <c r="A2251" s="23" t="b">
        <f t="array" ref="A2251">if(G2251='Room Info'!$B$1, INDEX('Room Info'!$A$2:$A3446, MATCH(B2251,'Room Info'!$B$2:$B3446, 0)),if(G2251='Room Info'!$C$1, INDEX('Room Info'!$A$2:$A3446, MATCH(B2251,'Room Info'!$C$2:$C3446, 0)),if(G2251='Room Info'!$D$1, INDEX('Room Info'!$A$2:$A3446, MATCH(B2251,'Room Info'!$D$2:$D3446, 0)),if(G2251='Room Info'!$E$1, INDEX('Room Info'!$A$2:$A3446, MATCH(B2251,'Room Info'!$E$2:$E3446, 0)),if(G2251='Room Info'!$F$1, INDEX('Room Info'!$A$2:$A3446, MATCH(B2251,'Room Info'!$F$2:$F3446, 0)),if(G2251='Room Info'!$H$1, INDEX('Room Info'!$A$2:$A3446, MATCH(B2251,'Room Info'!$H$2:$H3446, 0)),if(G2251='Room Info'!$G$1, INDEX('Room Info'!$A$2:$A3446, MATCH(B2251,'Room Info'!$G$2:$G3446, 0)))))))))</f>
        <v>0</v>
      </c>
      <c r="B2251" s="101"/>
      <c r="C2251" s="115"/>
      <c r="D2251" s="115"/>
      <c r="E2251" s="85"/>
      <c r="F2251" s="138"/>
      <c r="G2251" s="70"/>
      <c r="H2251" s="114"/>
      <c r="I2251" s="114"/>
      <c r="J2251" s="44" t="str">
        <f t="shared" si="311"/>
        <v/>
      </c>
      <c r="K2251" s="116"/>
      <c r="L2251" s="117"/>
      <c r="M2251" s="67"/>
      <c r="N2251" s="33">
        <f t="shared" si="276"/>
        <v>0</v>
      </c>
      <c r="O2251" s="70"/>
      <c r="P2251" s="34" t="str">
        <f t="shared" si="277"/>
        <v/>
      </c>
      <c r="Q2251" s="60"/>
      <c r="R2251" s="36">
        <f t="shared" si="312"/>
        <v>0</v>
      </c>
      <c r="S2251" s="71"/>
      <c r="T2251" s="37">
        <f t="shared" si="302"/>
        <v>0</v>
      </c>
      <c r="U2251" s="62"/>
      <c r="V2251" s="63"/>
      <c r="W2251" s="63"/>
      <c r="X2251" s="35" t="str">
        <f t="shared" si="303"/>
        <v>#N/A</v>
      </c>
      <c r="Y2251" s="35" t="str">
        <f t="shared" si="304"/>
        <v>#N/A</v>
      </c>
      <c r="Z2251" s="40" t="str">
        <f t="shared" si="305"/>
        <v>#N/A</v>
      </c>
      <c r="AA2251" s="34" t="str">
        <f t="shared" si="306"/>
        <v>#N/A</v>
      </c>
      <c r="AB2251" s="41" t="str">
        <f t="shared" si="307"/>
        <v>#N/A</v>
      </c>
      <c r="AC2251" s="42" t="b">
        <v>0</v>
      </c>
      <c r="AD2251" s="66" t="str">
        <f t="shared" si="308"/>
        <v>USD</v>
      </c>
      <c r="AE2251" s="42"/>
      <c r="AF2251" s="42" t="str">
        <f t="array" ref="AF2251">INDEX('Deal Info'!D:D, MATCH(A2251,'Deal Info'!A:A, 0))</f>
        <v>#N/A</v>
      </c>
      <c r="AG2251" s="43" t="str">
        <f t="array" ref="AG2251">INDEX('Deal Info'!G:G, MATCH(A2251,'Deal Info'!A:A, 0))</f>
        <v>#N/A</v>
      </c>
    </row>
    <row r="2252" hidden="1">
      <c r="A2252" s="23" t="b">
        <f t="array" ref="A2252">if(G2252='Room Info'!$B$1, INDEX('Room Info'!$A$2:$A3446, MATCH(B2252,'Room Info'!$B$2:$B3446, 0)),if(G2252='Room Info'!$C$1, INDEX('Room Info'!$A$2:$A3446, MATCH(B2252,'Room Info'!$C$2:$C3446, 0)),if(G2252='Room Info'!$D$1, INDEX('Room Info'!$A$2:$A3446, MATCH(B2252,'Room Info'!$D$2:$D3446, 0)),if(G2252='Room Info'!$E$1, INDEX('Room Info'!$A$2:$A3446, MATCH(B2252,'Room Info'!$E$2:$E3446, 0)),if(G2252='Room Info'!$F$1, INDEX('Room Info'!$A$2:$A3446, MATCH(B2252,'Room Info'!$F$2:$F3446, 0)),if(G2252='Room Info'!$H$1, INDEX('Room Info'!$A$2:$A3446, MATCH(B2252,'Room Info'!$H$2:$H3446, 0)),if(G2252='Room Info'!$G$1, INDEX('Room Info'!$A$2:$A3446, MATCH(B2252,'Room Info'!$G$2:$G3446, 0)))))))))</f>
        <v>0</v>
      </c>
      <c r="B2252" s="101"/>
      <c r="C2252" s="115"/>
      <c r="D2252" s="115"/>
      <c r="E2252" s="85"/>
      <c r="F2252" s="138"/>
      <c r="G2252" s="70"/>
      <c r="H2252" s="114"/>
      <c r="I2252" s="114"/>
      <c r="J2252" s="44" t="str">
        <f t="shared" si="311"/>
        <v/>
      </c>
      <c r="K2252" s="116"/>
      <c r="L2252" s="117"/>
      <c r="M2252" s="67"/>
      <c r="N2252" s="33">
        <f t="shared" si="276"/>
        <v>0</v>
      </c>
      <c r="O2252" s="70"/>
      <c r="P2252" s="34" t="str">
        <f t="shared" si="277"/>
        <v/>
      </c>
      <c r="Q2252" s="60"/>
      <c r="R2252" s="36">
        <f t="shared" si="312"/>
        <v>0</v>
      </c>
      <c r="S2252" s="71"/>
      <c r="T2252" s="37">
        <f t="shared" si="302"/>
        <v>0</v>
      </c>
      <c r="U2252" s="62"/>
      <c r="V2252" s="63"/>
      <c r="W2252" s="63"/>
      <c r="X2252" s="35" t="str">
        <f t="shared" si="303"/>
        <v>#N/A</v>
      </c>
      <c r="Y2252" s="35" t="str">
        <f t="shared" si="304"/>
        <v>#N/A</v>
      </c>
      <c r="Z2252" s="40" t="str">
        <f t="shared" si="305"/>
        <v>#N/A</v>
      </c>
      <c r="AA2252" s="34" t="str">
        <f t="shared" si="306"/>
        <v>#N/A</v>
      </c>
      <c r="AB2252" s="41" t="str">
        <f t="shared" si="307"/>
        <v>#N/A</v>
      </c>
      <c r="AC2252" s="42" t="b">
        <v>0</v>
      </c>
      <c r="AD2252" s="66" t="str">
        <f t="shared" si="308"/>
        <v>USD</v>
      </c>
      <c r="AE2252" s="42"/>
      <c r="AF2252" s="42" t="str">
        <f t="array" ref="AF2252">INDEX('Deal Info'!D:D, MATCH(A2252,'Deal Info'!A:A, 0))</f>
        <v>#N/A</v>
      </c>
      <c r="AG2252" s="43" t="str">
        <f t="array" ref="AG2252">INDEX('Deal Info'!G:G, MATCH(A2252,'Deal Info'!A:A, 0))</f>
        <v>#N/A</v>
      </c>
    </row>
    <row r="2253" hidden="1">
      <c r="A2253" s="23" t="b">
        <f t="array" ref="A2253">if(G2253='Room Info'!$B$1, INDEX('Room Info'!$A$2:$A3446, MATCH(B2253,'Room Info'!$B$2:$B3446, 0)),if(G2253='Room Info'!$C$1, INDEX('Room Info'!$A$2:$A3446, MATCH(B2253,'Room Info'!$C$2:$C3446, 0)),if(G2253='Room Info'!$D$1, INDEX('Room Info'!$A$2:$A3446, MATCH(B2253,'Room Info'!$D$2:$D3446, 0)),if(G2253='Room Info'!$E$1, INDEX('Room Info'!$A$2:$A3446, MATCH(B2253,'Room Info'!$E$2:$E3446, 0)),if(G2253='Room Info'!$F$1, INDEX('Room Info'!$A$2:$A3446, MATCH(B2253,'Room Info'!$F$2:$F3446, 0)),if(G2253='Room Info'!$H$1, INDEX('Room Info'!$A$2:$A3446, MATCH(B2253,'Room Info'!$H$2:$H3446, 0)),if(G2253='Room Info'!$G$1, INDEX('Room Info'!$A$2:$A3446, MATCH(B2253,'Room Info'!$G$2:$G3446, 0)))))))))</f>
        <v>0</v>
      </c>
      <c r="B2253" s="101"/>
      <c r="C2253" s="141"/>
      <c r="D2253" s="141"/>
      <c r="E2253" s="142"/>
      <c r="F2253" s="138"/>
      <c r="G2253" s="101"/>
      <c r="H2253" s="105"/>
      <c r="I2253" s="105"/>
      <c r="J2253" s="44" t="str">
        <f t="shared" si="311"/>
        <v/>
      </c>
      <c r="K2253" s="139"/>
      <c r="L2253" s="140"/>
      <c r="M2253" s="84"/>
      <c r="N2253" s="33">
        <f t="shared" si="276"/>
        <v>0</v>
      </c>
      <c r="O2253" s="101"/>
      <c r="P2253" s="34" t="str">
        <f t="shared" si="277"/>
        <v/>
      </c>
      <c r="Q2253" s="60"/>
      <c r="R2253" s="36">
        <f t="shared" si="312"/>
        <v>0</v>
      </c>
      <c r="S2253" s="102"/>
      <c r="T2253" s="37">
        <f t="shared" si="302"/>
        <v>0</v>
      </c>
      <c r="U2253" s="62"/>
      <c r="V2253" s="63"/>
      <c r="W2253" s="63"/>
      <c r="X2253" s="35" t="str">
        <f t="shared" si="303"/>
        <v>#N/A</v>
      </c>
      <c r="Y2253" s="35" t="str">
        <f t="shared" si="304"/>
        <v>#N/A</v>
      </c>
      <c r="Z2253" s="40" t="str">
        <f t="shared" si="305"/>
        <v>#N/A</v>
      </c>
      <c r="AA2253" s="34" t="str">
        <f t="shared" si="306"/>
        <v>#N/A</v>
      </c>
      <c r="AB2253" s="41" t="str">
        <f t="shared" si="307"/>
        <v>#N/A</v>
      </c>
      <c r="AC2253" s="42" t="b">
        <v>0</v>
      </c>
      <c r="AD2253" s="66" t="str">
        <f t="shared" si="308"/>
        <v>USD</v>
      </c>
      <c r="AE2253" s="42"/>
      <c r="AF2253" s="42" t="str">
        <f t="array" ref="AF2253">INDEX('Deal Info'!D:D, MATCH(A2253,'Deal Info'!A:A, 0))</f>
        <v>#N/A</v>
      </c>
      <c r="AG2253" s="43" t="str">
        <f t="array" ref="AG2253">INDEX('Deal Info'!G:G, MATCH(A2253,'Deal Info'!A:A, 0))</f>
        <v>#N/A</v>
      </c>
    </row>
    <row r="2254" hidden="1">
      <c r="A2254" s="23" t="b">
        <f t="array" ref="A2254">if(G2254='Room Info'!$B$1, INDEX('Room Info'!$A$2:$A3446, MATCH(B2254,'Room Info'!$B$2:$B3446, 0)),if(G2254='Room Info'!$C$1, INDEX('Room Info'!$A$2:$A3446, MATCH(B2254,'Room Info'!$C$2:$C3446, 0)),if(G2254='Room Info'!$D$1, INDEX('Room Info'!$A$2:$A3446, MATCH(B2254,'Room Info'!$D$2:$D3446, 0)),if(G2254='Room Info'!$E$1, INDEX('Room Info'!$A$2:$A3446, MATCH(B2254,'Room Info'!$E$2:$E3446, 0)),if(G2254='Room Info'!$F$1, INDEX('Room Info'!$A$2:$A3446, MATCH(B2254,'Room Info'!$F$2:$F3446, 0)),if(G2254='Room Info'!$H$1, INDEX('Room Info'!$A$2:$A3446, MATCH(B2254,'Room Info'!$H$2:$H3446, 0)),if(G2254='Room Info'!$G$1, INDEX('Room Info'!$A$2:$A3446, MATCH(B2254,'Room Info'!$G$2:$G3446, 0)))))))))</f>
        <v>0</v>
      </c>
      <c r="B2254" s="101"/>
      <c r="C2254" s="115"/>
      <c r="D2254" s="115"/>
      <c r="E2254" s="85"/>
      <c r="F2254" s="138"/>
      <c r="G2254" s="70"/>
      <c r="H2254" s="114"/>
      <c r="I2254" s="114"/>
      <c r="J2254" s="44" t="str">
        <f t="shared" si="311"/>
        <v/>
      </c>
      <c r="K2254" s="116"/>
      <c r="L2254" s="117"/>
      <c r="M2254" s="67"/>
      <c r="N2254" s="33">
        <f t="shared" si="276"/>
        <v>0</v>
      </c>
      <c r="O2254" s="70"/>
      <c r="P2254" s="34" t="str">
        <f t="shared" si="277"/>
        <v/>
      </c>
      <c r="Q2254" s="60"/>
      <c r="R2254" s="36">
        <f t="shared" si="312"/>
        <v>0</v>
      </c>
      <c r="S2254" s="71"/>
      <c r="T2254" s="37">
        <f t="shared" si="302"/>
        <v>0</v>
      </c>
      <c r="U2254" s="62"/>
      <c r="V2254" s="63"/>
      <c r="W2254" s="63"/>
      <c r="X2254" s="35" t="str">
        <f t="shared" si="303"/>
        <v>#N/A</v>
      </c>
      <c r="Y2254" s="35" t="str">
        <f t="shared" si="304"/>
        <v>#N/A</v>
      </c>
      <c r="Z2254" s="40" t="str">
        <f t="shared" si="305"/>
        <v>#N/A</v>
      </c>
      <c r="AA2254" s="34" t="str">
        <f t="shared" si="306"/>
        <v>#N/A</v>
      </c>
      <c r="AB2254" s="41" t="str">
        <f t="shared" si="307"/>
        <v>#N/A</v>
      </c>
      <c r="AC2254" s="42" t="b">
        <v>0</v>
      </c>
      <c r="AD2254" s="66" t="str">
        <f t="shared" si="308"/>
        <v>USD</v>
      </c>
      <c r="AE2254" s="42"/>
      <c r="AF2254" s="42" t="str">
        <f t="array" ref="AF2254">INDEX('Deal Info'!D:D, MATCH(A2254,'Deal Info'!A:A, 0))</f>
        <v>#N/A</v>
      </c>
      <c r="AG2254" s="43" t="str">
        <f t="array" ref="AG2254">INDEX('Deal Info'!G:G, MATCH(A2254,'Deal Info'!A:A, 0))</f>
        <v>#N/A</v>
      </c>
    </row>
    <row r="2255" hidden="1">
      <c r="A2255" s="23" t="b">
        <f t="array" ref="A2255">if(G2255='Room Info'!$B$1, INDEX('Room Info'!$A$2:$A3446, MATCH(B2255,'Room Info'!$B$2:$B3446, 0)),if(G2255='Room Info'!$C$1, INDEX('Room Info'!$A$2:$A3446, MATCH(B2255,'Room Info'!$C$2:$C3446, 0)),if(G2255='Room Info'!$D$1, INDEX('Room Info'!$A$2:$A3446, MATCH(B2255,'Room Info'!$D$2:$D3446, 0)),if(G2255='Room Info'!$E$1, INDEX('Room Info'!$A$2:$A3446, MATCH(B2255,'Room Info'!$E$2:$E3446, 0)),if(G2255='Room Info'!$F$1, INDEX('Room Info'!$A$2:$A3446, MATCH(B2255,'Room Info'!$F$2:$F3446, 0)),if(G2255='Room Info'!$H$1, INDEX('Room Info'!$A$2:$A3446, MATCH(B2255,'Room Info'!$H$2:$H3446, 0)),if(G2255='Room Info'!$G$1, INDEX('Room Info'!$A$2:$A3446, MATCH(B2255,'Room Info'!$G$2:$G3446, 0)))))))))</f>
        <v>0</v>
      </c>
      <c r="B2255" s="101"/>
      <c r="C2255" s="115"/>
      <c r="D2255" s="115"/>
      <c r="E2255" s="85"/>
      <c r="F2255" s="138"/>
      <c r="G2255" s="70"/>
      <c r="H2255" s="114"/>
      <c r="I2255" s="114"/>
      <c r="J2255" s="44" t="str">
        <f t="shared" si="311"/>
        <v/>
      </c>
      <c r="K2255" s="116"/>
      <c r="L2255" s="117"/>
      <c r="M2255" s="67"/>
      <c r="N2255" s="33">
        <f t="shared" si="276"/>
        <v>0</v>
      </c>
      <c r="O2255" s="70"/>
      <c r="P2255" s="34" t="str">
        <f t="shared" si="277"/>
        <v/>
      </c>
      <c r="Q2255" s="60"/>
      <c r="R2255" s="36">
        <f t="shared" si="312"/>
        <v>0</v>
      </c>
      <c r="S2255" s="71"/>
      <c r="T2255" s="37">
        <f t="shared" si="302"/>
        <v>0</v>
      </c>
      <c r="U2255" s="62"/>
      <c r="V2255" s="63"/>
      <c r="W2255" s="63"/>
      <c r="X2255" s="35" t="str">
        <f t="shared" si="303"/>
        <v>#N/A</v>
      </c>
      <c r="Y2255" s="35" t="str">
        <f t="shared" si="304"/>
        <v>#N/A</v>
      </c>
      <c r="Z2255" s="40" t="str">
        <f t="shared" si="305"/>
        <v>#N/A</v>
      </c>
      <c r="AA2255" s="34" t="str">
        <f t="shared" si="306"/>
        <v>#N/A</v>
      </c>
      <c r="AB2255" s="41" t="str">
        <f t="shared" si="307"/>
        <v>#N/A</v>
      </c>
      <c r="AC2255" s="42" t="b">
        <v>0</v>
      </c>
      <c r="AD2255" s="66" t="str">
        <f t="shared" si="308"/>
        <v>USD</v>
      </c>
      <c r="AE2255" s="42"/>
      <c r="AF2255" s="42" t="str">
        <f t="array" ref="AF2255">INDEX('Deal Info'!D:D, MATCH(A2255,'Deal Info'!A:A, 0))</f>
        <v>#N/A</v>
      </c>
      <c r="AG2255" s="43" t="str">
        <f t="array" ref="AG2255">INDEX('Deal Info'!G:G, MATCH(A2255,'Deal Info'!A:A, 0))</f>
        <v>#N/A</v>
      </c>
    </row>
    <row r="2256" hidden="1">
      <c r="A2256" s="23" t="b">
        <f t="array" ref="A2256">if(G2256='Room Info'!$B$1, INDEX('Room Info'!$A$2:$A3446, MATCH(B2256,'Room Info'!$B$2:$B3446, 0)),if(G2256='Room Info'!$C$1, INDEX('Room Info'!$A$2:$A3446, MATCH(B2256,'Room Info'!$C$2:$C3446, 0)),if(G2256='Room Info'!$D$1, INDEX('Room Info'!$A$2:$A3446, MATCH(B2256,'Room Info'!$D$2:$D3446, 0)),if(G2256='Room Info'!$E$1, INDEX('Room Info'!$A$2:$A3446, MATCH(B2256,'Room Info'!$E$2:$E3446, 0)),if(G2256='Room Info'!$F$1, INDEX('Room Info'!$A$2:$A3446, MATCH(B2256,'Room Info'!$F$2:$F3446, 0)),if(G2256='Room Info'!$H$1, INDEX('Room Info'!$A$2:$A3446, MATCH(B2256,'Room Info'!$H$2:$H3446, 0)),if(G2256='Room Info'!$G$1, INDEX('Room Info'!$A$2:$A3446, MATCH(B2256,'Room Info'!$G$2:$G3446, 0)))))))))</f>
        <v>0</v>
      </c>
      <c r="B2256" s="101"/>
      <c r="C2256" s="115"/>
      <c r="D2256" s="115"/>
      <c r="E2256" s="85"/>
      <c r="F2256" s="138"/>
      <c r="G2256" s="101"/>
      <c r="H2256" s="114"/>
      <c r="I2256" s="114"/>
      <c r="J2256" s="44" t="str">
        <f t="shared" si="311"/>
        <v/>
      </c>
      <c r="K2256" s="116"/>
      <c r="L2256" s="117"/>
      <c r="M2256" s="67"/>
      <c r="N2256" s="33">
        <f t="shared" si="276"/>
        <v>0</v>
      </c>
      <c r="O2256" s="70"/>
      <c r="P2256" s="34" t="str">
        <f t="shared" si="277"/>
        <v/>
      </c>
      <c r="Q2256" s="60"/>
      <c r="R2256" s="36">
        <f t="shared" si="312"/>
        <v>0</v>
      </c>
      <c r="S2256" s="71"/>
      <c r="T2256" s="37">
        <f t="shared" si="302"/>
        <v>0</v>
      </c>
      <c r="U2256" s="62"/>
      <c r="V2256" s="63"/>
      <c r="W2256" s="63"/>
      <c r="X2256" s="35" t="str">
        <f t="shared" si="303"/>
        <v>#N/A</v>
      </c>
      <c r="Y2256" s="35" t="str">
        <f t="shared" si="304"/>
        <v>#N/A</v>
      </c>
      <c r="Z2256" s="40" t="str">
        <f t="shared" si="305"/>
        <v>#N/A</v>
      </c>
      <c r="AA2256" s="34" t="str">
        <f t="shared" si="306"/>
        <v>#N/A</v>
      </c>
      <c r="AB2256" s="41" t="str">
        <f t="shared" si="307"/>
        <v>#N/A</v>
      </c>
      <c r="AC2256" s="42" t="b">
        <v>0</v>
      </c>
      <c r="AD2256" s="66" t="str">
        <f t="shared" si="308"/>
        <v>USD</v>
      </c>
      <c r="AE2256" s="42"/>
      <c r="AF2256" s="42" t="str">
        <f t="array" ref="AF2256">INDEX('Deal Info'!D:D, MATCH(A2256,'Deal Info'!A:A, 0))</f>
        <v>#N/A</v>
      </c>
      <c r="AG2256" s="43" t="str">
        <f t="array" ref="AG2256">INDEX('Deal Info'!G:G, MATCH(A2256,'Deal Info'!A:A, 0))</f>
        <v>#N/A</v>
      </c>
    </row>
    <row r="2257" hidden="1">
      <c r="A2257" s="23" t="b">
        <f t="array" ref="A2257">if(G2257='Room Info'!$B$1, INDEX('Room Info'!$A$2:$A3446, MATCH(B2257,'Room Info'!$B$2:$B3446, 0)),if(G2257='Room Info'!$C$1, INDEX('Room Info'!$A$2:$A3446, MATCH(B2257,'Room Info'!$C$2:$C3446, 0)),if(G2257='Room Info'!$D$1, INDEX('Room Info'!$A$2:$A3446, MATCH(B2257,'Room Info'!$D$2:$D3446, 0)),if(G2257='Room Info'!$E$1, INDEX('Room Info'!$A$2:$A3446, MATCH(B2257,'Room Info'!$E$2:$E3446, 0)),if(G2257='Room Info'!$F$1, INDEX('Room Info'!$A$2:$A3446, MATCH(B2257,'Room Info'!$F$2:$F3446, 0)),if(G2257='Room Info'!$H$1, INDEX('Room Info'!$A$2:$A3446, MATCH(B2257,'Room Info'!$H$2:$H3446, 0)),if(G2257='Room Info'!$G$1, INDEX('Room Info'!$A$2:$A3446, MATCH(B2257,'Room Info'!$G$2:$G3446, 0)))))))))</f>
        <v>0</v>
      </c>
      <c r="B2257" s="101"/>
      <c r="C2257" s="115"/>
      <c r="D2257" s="115"/>
      <c r="E2257" s="85"/>
      <c r="F2257" s="138"/>
      <c r="G2257" s="101"/>
      <c r="H2257" s="114"/>
      <c r="I2257" s="114"/>
      <c r="J2257" s="44" t="str">
        <f t="shared" si="311"/>
        <v/>
      </c>
      <c r="K2257" s="116"/>
      <c r="L2257" s="117"/>
      <c r="M2257" s="67"/>
      <c r="N2257" s="33">
        <f t="shared" si="276"/>
        <v>0</v>
      </c>
      <c r="O2257" s="70"/>
      <c r="P2257" s="34" t="str">
        <f t="shared" si="277"/>
        <v/>
      </c>
      <c r="Q2257" s="60"/>
      <c r="R2257" s="36">
        <f t="shared" si="312"/>
        <v>0</v>
      </c>
      <c r="S2257" s="71"/>
      <c r="T2257" s="37">
        <f t="shared" si="302"/>
        <v>0</v>
      </c>
      <c r="U2257" s="62"/>
      <c r="V2257" s="63"/>
      <c r="W2257" s="63"/>
      <c r="X2257" s="35" t="str">
        <f t="shared" si="303"/>
        <v>#N/A</v>
      </c>
      <c r="Y2257" s="35" t="str">
        <f t="shared" si="304"/>
        <v>#N/A</v>
      </c>
      <c r="Z2257" s="40" t="str">
        <f t="shared" si="305"/>
        <v>#N/A</v>
      </c>
      <c r="AA2257" s="34" t="str">
        <f t="shared" si="306"/>
        <v>#N/A</v>
      </c>
      <c r="AB2257" s="41" t="str">
        <f t="shared" si="307"/>
        <v>#N/A</v>
      </c>
      <c r="AC2257" s="42" t="b">
        <v>0</v>
      </c>
      <c r="AD2257" s="66" t="str">
        <f t="shared" si="308"/>
        <v>USD</v>
      </c>
      <c r="AE2257" s="42"/>
      <c r="AF2257" s="42" t="str">
        <f t="array" ref="AF2257">INDEX('Deal Info'!D:D, MATCH(A2257,'Deal Info'!A:A, 0))</f>
        <v>#N/A</v>
      </c>
      <c r="AG2257" s="43" t="str">
        <f t="array" ref="AG2257">INDEX('Deal Info'!G:G, MATCH(A2257,'Deal Info'!A:A, 0))</f>
        <v>#N/A</v>
      </c>
    </row>
    <row r="2258" hidden="1">
      <c r="A2258" s="23" t="b">
        <f t="array" ref="A2258">if(G2258='Room Info'!$B$1, INDEX('Room Info'!$A$2:$A3446, MATCH(B2258,'Room Info'!$B$2:$B3446, 0)),if(G2258='Room Info'!$C$1, INDEX('Room Info'!$A$2:$A3446, MATCH(B2258,'Room Info'!$C$2:$C3446, 0)),if(G2258='Room Info'!$D$1, INDEX('Room Info'!$A$2:$A3446, MATCH(B2258,'Room Info'!$D$2:$D3446, 0)),if(G2258='Room Info'!$E$1, INDEX('Room Info'!$A$2:$A3446, MATCH(B2258,'Room Info'!$E$2:$E3446, 0)),if(G2258='Room Info'!$F$1, INDEX('Room Info'!$A$2:$A3446, MATCH(B2258,'Room Info'!$F$2:$F3446, 0)),if(G2258='Room Info'!$H$1, INDEX('Room Info'!$A$2:$A3446, MATCH(B2258,'Room Info'!$H$2:$H3446, 0)),if(G2258='Room Info'!$G$1, INDEX('Room Info'!$A$2:$A3446, MATCH(B2258,'Room Info'!$G$2:$G3446, 0)))))))))</f>
        <v>0</v>
      </c>
      <c r="B2258" s="101"/>
      <c r="C2258" s="115"/>
      <c r="D2258" s="115"/>
      <c r="E2258" s="85"/>
      <c r="F2258" s="138"/>
      <c r="G2258" s="101"/>
      <c r="H2258" s="114"/>
      <c r="I2258" s="114"/>
      <c r="J2258" s="44" t="str">
        <f t="shared" si="311"/>
        <v/>
      </c>
      <c r="K2258" s="116"/>
      <c r="L2258" s="117"/>
      <c r="M2258" s="67"/>
      <c r="N2258" s="33">
        <f t="shared" si="276"/>
        <v>0</v>
      </c>
      <c r="O2258" s="70"/>
      <c r="P2258" s="34" t="str">
        <f t="shared" si="277"/>
        <v/>
      </c>
      <c r="Q2258" s="60"/>
      <c r="R2258" s="36">
        <f t="shared" si="312"/>
        <v>0</v>
      </c>
      <c r="S2258" s="71"/>
      <c r="T2258" s="37">
        <f t="shared" si="302"/>
        <v>0</v>
      </c>
      <c r="U2258" s="62"/>
      <c r="V2258" s="63"/>
      <c r="W2258" s="63"/>
      <c r="X2258" s="35" t="str">
        <f t="shared" si="303"/>
        <v>#N/A</v>
      </c>
      <c r="Y2258" s="35" t="str">
        <f t="shared" si="304"/>
        <v>#N/A</v>
      </c>
      <c r="Z2258" s="40" t="str">
        <f t="shared" si="305"/>
        <v>#N/A</v>
      </c>
      <c r="AA2258" s="34" t="str">
        <f t="shared" si="306"/>
        <v>#N/A</v>
      </c>
      <c r="AB2258" s="41" t="str">
        <f t="shared" si="307"/>
        <v>#N/A</v>
      </c>
      <c r="AC2258" s="42" t="b">
        <v>0</v>
      </c>
      <c r="AD2258" s="66" t="str">
        <f t="shared" si="308"/>
        <v>USD</v>
      </c>
      <c r="AE2258" s="42"/>
      <c r="AF2258" s="42" t="str">
        <f t="array" ref="AF2258">INDEX('Deal Info'!D:D, MATCH(A2258,'Deal Info'!A:A, 0))</f>
        <v>#N/A</v>
      </c>
      <c r="AG2258" s="43" t="str">
        <f t="array" ref="AG2258">INDEX('Deal Info'!G:G, MATCH(A2258,'Deal Info'!A:A, 0))</f>
        <v>#N/A</v>
      </c>
    </row>
    <row r="2259" hidden="1">
      <c r="A2259" s="23" t="b">
        <f t="array" ref="A2259">if(G2259='Room Info'!$B$1, INDEX('Room Info'!$A$2:$A3446, MATCH(B2259,'Room Info'!$B$2:$B3446, 0)),if(G2259='Room Info'!$C$1, INDEX('Room Info'!$A$2:$A3446, MATCH(B2259,'Room Info'!$C$2:$C3446, 0)),if(G2259='Room Info'!$D$1, INDEX('Room Info'!$A$2:$A3446, MATCH(B2259,'Room Info'!$D$2:$D3446, 0)),if(G2259='Room Info'!$E$1, INDEX('Room Info'!$A$2:$A3446, MATCH(B2259,'Room Info'!$E$2:$E3446, 0)),if(G2259='Room Info'!$F$1, INDEX('Room Info'!$A$2:$A3446, MATCH(B2259,'Room Info'!$F$2:$F3446, 0)),if(G2259='Room Info'!$H$1, INDEX('Room Info'!$A$2:$A3446, MATCH(B2259,'Room Info'!$H$2:$H3446, 0)),if(G2259='Room Info'!$G$1, INDEX('Room Info'!$A$2:$A3446, MATCH(B2259,'Room Info'!$G$2:$G3446, 0)))))))))</f>
        <v>0</v>
      </c>
      <c r="B2259" s="101"/>
      <c r="C2259" s="115"/>
      <c r="D2259" s="115"/>
      <c r="E2259" s="85"/>
      <c r="F2259" s="138"/>
      <c r="G2259" s="101"/>
      <c r="H2259" s="114"/>
      <c r="I2259" s="114"/>
      <c r="J2259" s="44" t="str">
        <f t="shared" si="311"/>
        <v/>
      </c>
      <c r="K2259" s="116"/>
      <c r="L2259" s="117"/>
      <c r="M2259" s="67"/>
      <c r="N2259" s="33">
        <f t="shared" si="276"/>
        <v>0</v>
      </c>
      <c r="O2259" s="70"/>
      <c r="P2259" s="34" t="str">
        <f t="shared" si="277"/>
        <v/>
      </c>
      <c r="Q2259" s="60"/>
      <c r="R2259" s="36">
        <f t="shared" si="312"/>
        <v>0</v>
      </c>
      <c r="S2259" s="71"/>
      <c r="T2259" s="37">
        <f t="shared" si="302"/>
        <v>0</v>
      </c>
      <c r="U2259" s="62"/>
      <c r="V2259" s="63"/>
      <c r="W2259" s="63"/>
      <c r="X2259" s="35" t="str">
        <f t="shared" si="303"/>
        <v>#N/A</v>
      </c>
      <c r="Y2259" s="35" t="str">
        <f t="shared" si="304"/>
        <v>#N/A</v>
      </c>
      <c r="Z2259" s="40" t="str">
        <f t="shared" si="305"/>
        <v>#N/A</v>
      </c>
      <c r="AA2259" s="34" t="str">
        <f t="shared" si="306"/>
        <v>#N/A</v>
      </c>
      <c r="AB2259" s="41" t="str">
        <f t="shared" si="307"/>
        <v>#N/A</v>
      </c>
      <c r="AC2259" s="42" t="b">
        <v>0</v>
      </c>
      <c r="AD2259" s="66" t="str">
        <f t="shared" si="308"/>
        <v>USD</v>
      </c>
      <c r="AE2259" s="42"/>
      <c r="AF2259" s="42" t="str">
        <f t="array" ref="AF2259">INDEX('Deal Info'!D:D, MATCH(A2259,'Deal Info'!A:A, 0))</f>
        <v>#N/A</v>
      </c>
      <c r="AG2259" s="43" t="str">
        <f t="array" ref="AG2259">INDEX('Deal Info'!G:G, MATCH(A2259,'Deal Info'!A:A, 0))</f>
        <v>#N/A</v>
      </c>
    </row>
    <row r="2260" hidden="1">
      <c r="A2260" s="23" t="b">
        <f t="array" ref="A2260">if(G2260='Room Info'!$B$1, INDEX('Room Info'!$A$2:$A3446, MATCH(B2260,'Room Info'!$B$2:$B3446, 0)),if(G2260='Room Info'!$C$1, INDEX('Room Info'!$A$2:$A3446, MATCH(B2260,'Room Info'!$C$2:$C3446, 0)),if(G2260='Room Info'!$D$1, INDEX('Room Info'!$A$2:$A3446, MATCH(B2260,'Room Info'!$D$2:$D3446, 0)),if(G2260='Room Info'!$E$1, INDEX('Room Info'!$A$2:$A3446, MATCH(B2260,'Room Info'!$E$2:$E3446, 0)),if(G2260='Room Info'!$F$1, INDEX('Room Info'!$A$2:$A3446, MATCH(B2260,'Room Info'!$F$2:$F3446, 0)),if(G2260='Room Info'!$H$1, INDEX('Room Info'!$A$2:$A3446, MATCH(B2260,'Room Info'!$H$2:$H3446, 0)),if(G2260='Room Info'!$G$1, INDEX('Room Info'!$A$2:$A3446, MATCH(B2260,'Room Info'!$G$2:$G3446, 0)))))))))</f>
        <v>0</v>
      </c>
      <c r="B2260" s="101"/>
      <c r="C2260" s="115"/>
      <c r="D2260" s="115"/>
      <c r="E2260" s="85"/>
      <c r="F2260" s="138"/>
      <c r="G2260" s="101"/>
      <c r="H2260" s="114"/>
      <c r="I2260" s="114"/>
      <c r="J2260" s="44" t="str">
        <f t="shared" si="311"/>
        <v/>
      </c>
      <c r="K2260" s="116"/>
      <c r="L2260" s="117"/>
      <c r="M2260" s="67"/>
      <c r="N2260" s="33">
        <f t="shared" si="276"/>
        <v>0</v>
      </c>
      <c r="O2260" s="70"/>
      <c r="P2260" s="34" t="str">
        <f t="shared" si="277"/>
        <v/>
      </c>
      <c r="Q2260" s="60"/>
      <c r="R2260" s="36">
        <f t="shared" si="312"/>
        <v>0</v>
      </c>
      <c r="S2260" s="71"/>
      <c r="T2260" s="37">
        <f t="shared" si="302"/>
        <v>0</v>
      </c>
      <c r="U2260" s="62"/>
      <c r="V2260" s="63"/>
      <c r="W2260" s="63"/>
      <c r="X2260" s="35" t="str">
        <f t="shared" si="303"/>
        <v>#N/A</v>
      </c>
      <c r="Y2260" s="35" t="str">
        <f t="shared" si="304"/>
        <v>#N/A</v>
      </c>
      <c r="Z2260" s="40" t="str">
        <f t="shared" si="305"/>
        <v>#N/A</v>
      </c>
      <c r="AA2260" s="34" t="str">
        <f t="shared" si="306"/>
        <v>#N/A</v>
      </c>
      <c r="AB2260" s="41" t="str">
        <f t="shared" si="307"/>
        <v>#N/A</v>
      </c>
      <c r="AC2260" s="42" t="b">
        <v>0</v>
      </c>
      <c r="AD2260" s="66" t="str">
        <f t="shared" si="308"/>
        <v>USD</v>
      </c>
      <c r="AE2260" s="42"/>
      <c r="AF2260" s="42" t="str">
        <f t="array" ref="AF2260">INDEX('Deal Info'!D:D, MATCH(A2260,'Deal Info'!A:A, 0))</f>
        <v>#N/A</v>
      </c>
      <c r="AG2260" s="43" t="str">
        <f t="array" ref="AG2260">INDEX('Deal Info'!G:G, MATCH(A2260,'Deal Info'!A:A, 0))</f>
        <v>#N/A</v>
      </c>
    </row>
    <row r="2261" hidden="1">
      <c r="A2261" s="23" t="b">
        <f t="array" ref="A2261">if(G2261='Room Info'!$B$1, INDEX('Room Info'!$A$2:$A3446, MATCH(B2261,'Room Info'!$B$2:$B3446, 0)),if(G2261='Room Info'!$C$1, INDEX('Room Info'!$A$2:$A3446, MATCH(B2261,'Room Info'!$C$2:$C3446, 0)),if(G2261='Room Info'!$D$1, INDEX('Room Info'!$A$2:$A3446, MATCH(B2261,'Room Info'!$D$2:$D3446, 0)),if(G2261='Room Info'!$E$1, INDEX('Room Info'!$A$2:$A3446, MATCH(B2261,'Room Info'!$E$2:$E3446, 0)),if(G2261='Room Info'!$F$1, INDEX('Room Info'!$A$2:$A3446, MATCH(B2261,'Room Info'!$F$2:$F3446, 0)),if(G2261='Room Info'!$H$1, INDEX('Room Info'!$A$2:$A3446, MATCH(B2261,'Room Info'!$H$2:$H3446, 0)),if(G2261='Room Info'!$G$1, INDEX('Room Info'!$A$2:$A3446, MATCH(B2261,'Room Info'!$G$2:$G3446, 0)))))))))</f>
        <v>0</v>
      </c>
      <c r="B2261" s="101"/>
      <c r="C2261" s="141"/>
      <c r="D2261" s="141"/>
      <c r="E2261" s="142"/>
      <c r="F2261" s="138"/>
      <c r="G2261" s="101"/>
      <c r="H2261" s="105"/>
      <c r="I2261" s="105"/>
      <c r="J2261" s="44" t="str">
        <f t="shared" si="311"/>
        <v/>
      </c>
      <c r="K2261" s="139"/>
      <c r="L2261" s="140"/>
      <c r="M2261" s="84"/>
      <c r="N2261" s="33">
        <f t="shared" si="276"/>
        <v>0</v>
      </c>
      <c r="O2261" s="101"/>
      <c r="P2261" s="34" t="str">
        <f t="shared" si="277"/>
        <v/>
      </c>
      <c r="Q2261" s="60"/>
      <c r="R2261" s="36">
        <f t="shared" si="312"/>
        <v>0</v>
      </c>
      <c r="S2261" s="102"/>
      <c r="T2261" s="37">
        <f t="shared" si="302"/>
        <v>0</v>
      </c>
      <c r="U2261" s="62"/>
      <c r="V2261" s="63"/>
      <c r="W2261" s="63"/>
      <c r="X2261" s="35" t="str">
        <f t="shared" si="303"/>
        <v>#N/A</v>
      </c>
      <c r="Y2261" s="35" t="str">
        <f t="shared" si="304"/>
        <v>#N/A</v>
      </c>
      <c r="Z2261" s="40" t="str">
        <f t="shared" si="305"/>
        <v>#N/A</v>
      </c>
      <c r="AA2261" s="34" t="str">
        <f t="shared" si="306"/>
        <v>#N/A</v>
      </c>
      <c r="AB2261" s="41" t="str">
        <f t="shared" si="307"/>
        <v>#N/A</v>
      </c>
      <c r="AC2261" s="42" t="b">
        <v>0</v>
      </c>
      <c r="AD2261" s="66" t="str">
        <f t="shared" si="308"/>
        <v>USD</v>
      </c>
      <c r="AE2261" s="42"/>
      <c r="AF2261" s="42" t="str">
        <f t="array" ref="AF2261">INDEX('Deal Info'!D:D, MATCH(A2261,'Deal Info'!A:A, 0))</f>
        <v>#N/A</v>
      </c>
      <c r="AG2261" s="43" t="str">
        <f t="array" ref="AG2261">INDEX('Deal Info'!G:G, MATCH(A2261,'Deal Info'!A:A, 0))</f>
        <v>#N/A</v>
      </c>
    </row>
    <row r="2262" hidden="1">
      <c r="A2262" s="23" t="b">
        <f t="array" ref="A2262">if(G2262='Room Info'!$B$1, INDEX('Room Info'!$A$2:$A3446, MATCH(B2262,'Room Info'!$B$2:$B3446, 0)),if(G2262='Room Info'!$C$1, INDEX('Room Info'!$A$2:$A3446, MATCH(B2262,'Room Info'!$C$2:$C3446, 0)),if(G2262='Room Info'!$D$1, INDEX('Room Info'!$A$2:$A3446, MATCH(B2262,'Room Info'!$D$2:$D3446, 0)),if(G2262='Room Info'!$E$1, INDEX('Room Info'!$A$2:$A3446, MATCH(B2262,'Room Info'!$E$2:$E3446, 0)),if(G2262='Room Info'!$F$1, INDEX('Room Info'!$A$2:$A3446, MATCH(B2262,'Room Info'!$F$2:$F3446, 0)),if(G2262='Room Info'!$H$1, INDEX('Room Info'!$A$2:$A3446, MATCH(B2262,'Room Info'!$H$2:$H3446, 0)),if(G2262='Room Info'!$G$1, INDEX('Room Info'!$A$2:$A3446, MATCH(B2262,'Room Info'!$G$2:$G3446, 0)))))))))</f>
        <v>0</v>
      </c>
      <c r="B2262" s="101"/>
      <c r="C2262" s="141"/>
      <c r="D2262" s="141"/>
      <c r="E2262" s="142"/>
      <c r="F2262" s="138"/>
      <c r="G2262" s="101"/>
      <c r="H2262" s="105"/>
      <c r="I2262" s="105"/>
      <c r="J2262" s="44" t="str">
        <f t="shared" si="311"/>
        <v/>
      </c>
      <c r="K2262" s="139"/>
      <c r="L2262" s="140"/>
      <c r="M2262" s="84"/>
      <c r="N2262" s="33">
        <f t="shared" si="276"/>
        <v>0</v>
      </c>
      <c r="O2262" s="101"/>
      <c r="P2262" s="34" t="str">
        <f t="shared" si="277"/>
        <v/>
      </c>
      <c r="Q2262" s="60"/>
      <c r="R2262" s="36">
        <f t="shared" si="312"/>
        <v>0</v>
      </c>
      <c r="S2262" s="102"/>
      <c r="T2262" s="37">
        <f t="shared" si="302"/>
        <v>0</v>
      </c>
      <c r="U2262" s="62"/>
      <c r="V2262" s="63"/>
      <c r="W2262" s="63"/>
      <c r="X2262" s="35" t="str">
        <f t="shared" si="303"/>
        <v>#N/A</v>
      </c>
      <c r="Y2262" s="35" t="str">
        <f t="shared" si="304"/>
        <v>#N/A</v>
      </c>
      <c r="Z2262" s="40" t="str">
        <f t="shared" si="305"/>
        <v>#N/A</v>
      </c>
      <c r="AA2262" s="34" t="str">
        <f t="shared" si="306"/>
        <v>#N/A</v>
      </c>
      <c r="AB2262" s="41" t="str">
        <f t="shared" si="307"/>
        <v>#N/A</v>
      </c>
      <c r="AC2262" s="42" t="b">
        <v>0</v>
      </c>
      <c r="AD2262" s="66" t="str">
        <f t="shared" si="308"/>
        <v>USD</v>
      </c>
      <c r="AE2262" s="42"/>
      <c r="AF2262" s="42" t="str">
        <f t="array" ref="AF2262">INDEX('Deal Info'!D:D, MATCH(A2262,'Deal Info'!A:A, 0))</f>
        <v>#N/A</v>
      </c>
      <c r="AG2262" s="43" t="str">
        <f t="array" ref="AG2262">INDEX('Deal Info'!G:G, MATCH(A2262,'Deal Info'!A:A, 0))</f>
        <v>#N/A</v>
      </c>
    </row>
    <row r="2263" hidden="1">
      <c r="A2263" s="23" t="b">
        <f t="array" ref="A2263">if(G2263='Room Info'!$B$1, INDEX('Room Info'!$A$2:$A3446, MATCH(B2263,'Room Info'!$B$2:$B3446, 0)),if(G2263='Room Info'!$C$1, INDEX('Room Info'!$A$2:$A3446, MATCH(B2263,'Room Info'!$C$2:$C3446, 0)),if(G2263='Room Info'!$D$1, INDEX('Room Info'!$A$2:$A3446, MATCH(B2263,'Room Info'!$D$2:$D3446, 0)),if(G2263='Room Info'!$E$1, INDEX('Room Info'!$A$2:$A3446, MATCH(B2263,'Room Info'!$E$2:$E3446, 0)),if(G2263='Room Info'!$F$1, INDEX('Room Info'!$A$2:$A3446, MATCH(B2263,'Room Info'!$F$2:$F3446, 0)),if(G2263='Room Info'!$H$1, INDEX('Room Info'!$A$2:$A3446, MATCH(B2263,'Room Info'!$H$2:$H3446, 0)),if(G2263='Room Info'!$G$1, INDEX('Room Info'!$A$2:$A3446, MATCH(B2263,'Room Info'!$G$2:$G3446, 0)))))))))</f>
        <v>0</v>
      </c>
      <c r="B2263" s="101"/>
      <c r="C2263" s="141"/>
      <c r="D2263" s="141"/>
      <c r="E2263" s="142"/>
      <c r="F2263" s="138"/>
      <c r="G2263" s="101"/>
      <c r="H2263" s="105"/>
      <c r="I2263" s="105"/>
      <c r="J2263" s="44" t="str">
        <f t="shared" si="311"/>
        <v/>
      </c>
      <c r="K2263" s="139"/>
      <c r="L2263" s="140"/>
      <c r="M2263" s="84"/>
      <c r="N2263" s="33">
        <f t="shared" si="276"/>
        <v>0</v>
      </c>
      <c r="O2263" s="101"/>
      <c r="P2263" s="34" t="str">
        <f t="shared" si="277"/>
        <v/>
      </c>
      <c r="Q2263" s="60"/>
      <c r="R2263" s="36">
        <f t="shared" si="312"/>
        <v>0</v>
      </c>
      <c r="S2263" s="102"/>
      <c r="T2263" s="37">
        <f t="shared" si="302"/>
        <v>0</v>
      </c>
      <c r="U2263" s="62"/>
      <c r="V2263" s="63"/>
      <c r="W2263" s="63"/>
      <c r="X2263" s="35" t="str">
        <f t="shared" si="303"/>
        <v>#N/A</v>
      </c>
      <c r="Y2263" s="35" t="str">
        <f t="shared" si="304"/>
        <v>#N/A</v>
      </c>
      <c r="Z2263" s="40" t="str">
        <f t="shared" si="305"/>
        <v>#N/A</v>
      </c>
      <c r="AA2263" s="34" t="str">
        <f t="shared" si="306"/>
        <v>#N/A</v>
      </c>
      <c r="AB2263" s="41" t="str">
        <f t="shared" si="307"/>
        <v>#N/A</v>
      </c>
      <c r="AC2263" s="42" t="b">
        <v>0</v>
      </c>
      <c r="AD2263" s="66" t="str">
        <f t="shared" si="308"/>
        <v>USD</v>
      </c>
      <c r="AE2263" s="42"/>
      <c r="AF2263" s="42" t="str">
        <f t="array" ref="AF2263">INDEX('Deal Info'!D:D, MATCH(A2263,'Deal Info'!A:A, 0))</f>
        <v>#N/A</v>
      </c>
      <c r="AG2263" s="43" t="str">
        <f t="array" ref="AG2263">INDEX('Deal Info'!G:G, MATCH(A2263,'Deal Info'!A:A, 0))</f>
        <v>#N/A</v>
      </c>
    </row>
    <row r="2264" hidden="1">
      <c r="A2264" s="23" t="b">
        <f t="array" ref="A2264">if(G2264='Room Info'!$B$1, INDEX('Room Info'!$A$2:$A3446, MATCH(B2264,'Room Info'!$B$2:$B3446, 0)),if(G2264='Room Info'!$C$1, INDEX('Room Info'!$A$2:$A3446, MATCH(B2264,'Room Info'!$C$2:$C3446, 0)),if(G2264='Room Info'!$D$1, INDEX('Room Info'!$A$2:$A3446, MATCH(B2264,'Room Info'!$D$2:$D3446, 0)),if(G2264='Room Info'!$E$1, INDEX('Room Info'!$A$2:$A3446, MATCH(B2264,'Room Info'!$E$2:$E3446, 0)),if(G2264='Room Info'!$F$1, INDEX('Room Info'!$A$2:$A3446, MATCH(B2264,'Room Info'!$F$2:$F3446, 0)),if(G2264='Room Info'!$H$1, INDEX('Room Info'!$A$2:$A3446, MATCH(B2264,'Room Info'!$H$2:$H3446, 0)),if(G2264='Room Info'!$G$1, INDEX('Room Info'!$A$2:$A3446, MATCH(B2264,'Room Info'!$G$2:$G3446, 0)))))))))</f>
        <v>0</v>
      </c>
      <c r="B2264" s="101"/>
      <c r="C2264" s="141"/>
      <c r="D2264" s="141"/>
      <c r="E2264" s="142"/>
      <c r="F2264" s="138"/>
      <c r="G2264" s="101"/>
      <c r="H2264" s="105"/>
      <c r="I2264" s="105"/>
      <c r="J2264" s="44" t="str">
        <f t="shared" si="311"/>
        <v/>
      </c>
      <c r="K2264" s="139"/>
      <c r="L2264" s="140"/>
      <c r="M2264" s="84"/>
      <c r="N2264" s="33">
        <f t="shared" si="276"/>
        <v>0</v>
      </c>
      <c r="O2264" s="101"/>
      <c r="P2264" s="34" t="str">
        <f t="shared" si="277"/>
        <v/>
      </c>
      <c r="Q2264" s="60"/>
      <c r="R2264" s="36">
        <f t="shared" si="312"/>
        <v>0</v>
      </c>
      <c r="S2264" s="102"/>
      <c r="T2264" s="37">
        <f t="shared" si="302"/>
        <v>0</v>
      </c>
      <c r="U2264" s="62"/>
      <c r="V2264" s="63"/>
      <c r="W2264" s="63"/>
      <c r="X2264" s="35" t="str">
        <f t="shared" si="303"/>
        <v>#N/A</v>
      </c>
      <c r="Y2264" s="35" t="str">
        <f t="shared" si="304"/>
        <v>#N/A</v>
      </c>
      <c r="Z2264" s="40" t="str">
        <f t="shared" si="305"/>
        <v>#N/A</v>
      </c>
      <c r="AA2264" s="34" t="str">
        <f t="shared" si="306"/>
        <v>#N/A</v>
      </c>
      <c r="AB2264" s="41" t="str">
        <f t="shared" si="307"/>
        <v>#N/A</v>
      </c>
      <c r="AC2264" s="42" t="b">
        <v>0</v>
      </c>
      <c r="AD2264" s="66" t="str">
        <f t="shared" si="308"/>
        <v>USD</v>
      </c>
      <c r="AE2264" s="42"/>
      <c r="AF2264" s="42" t="str">
        <f t="array" ref="AF2264">INDEX('Deal Info'!D:D, MATCH(A2264,'Deal Info'!A:A, 0))</f>
        <v>#N/A</v>
      </c>
      <c r="AG2264" s="43" t="str">
        <f t="array" ref="AG2264">INDEX('Deal Info'!G:G, MATCH(A2264,'Deal Info'!A:A, 0))</f>
        <v>#N/A</v>
      </c>
    </row>
    <row r="2265" hidden="1">
      <c r="A2265" s="23" t="b">
        <f t="array" ref="A2265">if(G2265='Room Info'!$B$1, INDEX('Room Info'!$A$2:$A3446, MATCH(B2265,'Room Info'!$B$2:$B3446, 0)),if(G2265='Room Info'!$C$1, INDEX('Room Info'!$A$2:$A3446, MATCH(B2265,'Room Info'!$C$2:$C3446, 0)),if(G2265='Room Info'!$D$1, INDEX('Room Info'!$A$2:$A3446, MATCH(B2265,'Room Info'!$D$2:$D3446, 0)),if(G2265='Room Info'!$E$1, INDEX('Room Info'!$A$2:$A3446, MATCH(B2265,'Room Info'!$E$2:$E3446, 0)),if(G2265='Room Info'!$F$1, INDEX('Room Info'!$A$2:$A3446, MATCH(B2265,'Room Info'!$F$2:$F3446, 0)),if(G2265='Room Info'!$H$1, INDEX('Room Info'!$A$2:$A3446, MATCH(B2265,'Room Info'!$H$2:$H3446, 0)),if(G2265='Room Info'!$G$1, INDEX('Room Info'!$A$2:$A3446, MATCH(B2265,'Room Info'!$G$2:$G3446, 0)))))))))</f>
        <v>0</v>
      </c>
      <c r="B2265" s="101"/>
      <c r="C2265" s="141"/>
      <c r="D2265" s="141"/>
      <c r="E2265" s="142"/>
      <c r="F2265" s="138"/>
      <c r="G2265" s="101"/>
      <c r="H2265" s="105"/>
      <c r="I2265" s="105"/>
      <c r="J2265" s="44" t="str">
        <f t="shared" si="311"/>
        <v/>
      </c>
      <c r="K2265" s="139"/>
      <c r="L2265" s="140"/>
      <c r="M2265" s="84"/>
      <c r="N2265" s="33">
        <f t="shared" si="276"/>
        <v>0</v>
      </c>
      <c r="O2265" s="101"/>
      <c r="P2265" s="34" t="str">
        <f t="shared" si="277"/>
        <v/>
      </c>
      <c r="Q2265" s="60"/>
      <c r="R2265" s="36">
        <f t="shared" si="312"/>
        <v>0</v>
      </c>
      <c r="S2265" s="102"/>
      <c r="T2265" s="37">
        <f t="shared" si="302"/>
        <v>0</v>
      </c>
      <c r="U2265" s="62"/>
      <c r="V2265" s="63"/>
      <c r="W2265" s="63"/>
      <c r="X2265" s="35" t="str">
        <f t="shared" si="303"/>
        <v>#N/A</v>
      </c>
      <c r="Y2265" s="35" t="str">
        <f t="shared" si="304"/>
        <v>#N/A</v>
      </c>
      <c r="Z2265" s="40" t="str">
        <f t="shared" si="305"/>
        <v>#N/A</v>
      </c>
      <c r="AA2265" s="34" t="str">
        <f t="shared" si="306"/>
        <v>#N/A</v>
      </c>
      <c r="AB2265" s="41" t="str">
        <f t="shared" si="307"/>
        <v>#N/A</v>
      </c>
      <c r="AC2265" s="42" t="b">
        <v>0</v>
      </c>
      <c r="AD2265" s="66" t="str">
        <f t="shared" si="308"/>
        <v>USD</v>
      </c>
      <c r="AE2265" s="42"/>
      <c r="AF2265" s="42" t="str">
        <f t="array" ref="AF2265">INDEX('Deal Info'!D:D, MATCH(A2265,'Deal Info'!A:A, 0))</f>
        <v>#N/A</v>
      </c>
      <c r="AG2265" s="43" t="str">
        <f t="array" ref="AG2265">INDEX('Deal Info'!G:G, MATCH(A2265,'Deal Info'!A:A, 0))</f>
        <v>#N/A</v>
      </c>
    </row>
    <row r="2266" hidden="1">
      <c r="A2266" s="23" t="b">
        <f t="array" ref="A2266">if(G2266='Room Info'!$B$1, INDEX('Room Info'!$A$2:$A3446, MATCH(B2266,'Room Info'!$B$2:$B3446, 0)),if(G2266='Room Info'!$C$1, INDEX('Room Info'!$A$2:$A3446, MATCH(B2266,'Room Info'!$C$2:$C3446, 0)),if(G2266='Room Info'!$D$1, INDEX('Room Info'!$A$2:$A3446, MATCH(B2266,'Room Info'!$D$2:$D3446, 0)),if(G2266='Room Info'!$E$1, INDEX('Room Info'!$A$2:$A3446, MATCH(B2266,'Room Info'!$E$2:$E3446, 0)),if(G2266='Room Info'!$F$1, INDEX('Room Info'!$A$2:$A3446, MATCH(B2266,'Room Info'!$F$2:$F3446, 0)),if(G2266='Room Info'!$H$1, INDEX('Room Info'!$A$2:$A3446, MATCH(B2266,'Room Info'!$H$2:$H3446, 0)),if(G2266='Room Info'!$G$1, INDEX('Room Info'!$A$2:$A3446, MATCH(B2266,'Room Info'!$G$2:$G3446, 0)))))))))</f>
        <v>0</v>
      </c>
      <c r="B2266" s="101"/>
      <c r="C2266" s="141"/>
      <c r="D2266" s="141"/>
      <c r="E2266" s="142"/>
      <c r="F2266" s="138"/>
      <c r="G2266" s="101"/>
      <c r="H2266" s="105"/>
      <c r="I2266" s="105"/>
      <c r="J2266" s="44" t="str">
        <f t="shared" si="311"/>
        <v/>
      </c>
      <c r="K2266" s="139"/>
      <c r="L2266" s="140"/>
      <c r="M2266" s="84"/>
      <c r="N2266" s="33">
        <f t="shared" si="276"/>
        <v>0</v>
      </c>
      <c r="O2266" s="101"/>
      <c r="P2266" s="34" t="str">
        <f t="shared" si="277"/>
        <v/>
      </c>
      <c r="Q2266" s="60"/>
      <c r="R2266" s="36">
        <f t="shared" si="312"/>
        <v>0</v>
      </c>
      <c r="S2266" s="102"/>
      <c r="T2266" s="37">
        <f t="shared" si="302"/>
        <v>0</v>
      </c>
      <c r="U2266" s="62"/>
      <c r="V2266" s="63"/>
      <c r="W2266" s="63"/>
      <c r="X2266" s="35" t="str">
        <f t="shared" si="303"/>
        <v>#N/A</v>
      </c>
      <c r="Y2266" s="35" t="str">
        <f t="shared" si="304"/>
        <v>#N/A</v>
      </c>
      <c r="Z2266" s="40" t="str">
        <f t="shared" si="305"/>
        <v>#N/A</v>
      </c>
      <c r="AA2266" s="34" t="str">
        <f t="shared" si="306"/>
        <v>#N/A</v>
      </c>
      <c r="AB2266" s="41" t="str">
        <f t="shared" si="307"/>
        <v>#N/A</v>
      </c>
      <c r="AC2266" s="42" t="b">
        <v>0</v>
      </c>
      <c r="AD2266" s="66" t="str">
        <f t="shared" si="308"/>
        <v>USD</v>
      </c>
      <c r="AE2266" s="42"/>
      <c r="AF2266" s="42" t="str">
        <f t="array" ref="AF2266">INDEX('Deal Info'!D:D, MATCH(A2266,'Deal Info'!A:A, 0))</f>
        <v>#N/A</v>
      </c>
      <c r="AG2266" s="43" t="str">
        <f t="array" ref="AG2266">INDEX('Deal Info'!G:G, MATCH(A2266,'Deal Info'!A:A, 0))</f>
        <v>#N/A</v>
      </c>
    </row>
    <row r="2267" hidden="1">
      <c r="A2267" s="23" t="b">
        <f t="array" ref="A2267">if(G2267='Room Info'!$B$1, INDEX('Room Info'!$A$2:$A3446, MATCH(B2267,'Room Info'!$B$2:$B3446, 0)),if(G2267='Room Info'!$C$1, INDEX('Room Info'!$A$2:$A3446, MATCH(B2267,'Room Info'!$C$2:$C3446, 0)),if(G2267='Room Info'!$D$1, INDEX('Room Info'!$A$2:$A3446, MATCH(B2267,'Room Info'!$D$2:$D3446, 0)),if(G2267='Room Info'!$E$1, INDEX('Room Info'!$A$2:$A3446, MATCH(B2267,'Room Info'!$E$2:$E3446, 0)),if(G2267='Room Info'!$F$1, INDEX('Room Info'!$A$2:$A3446, MATCH(B2267,'Room Info'!$F$2:$F3446, 0)),if(G2267='Room Info'!$H$1, INDEX('Room Info'!$A$2:$A3446, MATCH(B2267,'Room Info'!$H$2:$H3446, 0)),if(G2267='Room Info'!$G$1, INDEX('Room Info'!$A$2:$A3446, MATCH(B2267,'Room Info'!$G$2:$G3446, 0)))))))))</f>
        <v>0</v>
      </c>
      <c r="B2267" s="101"/>
      <c r="C2267" s="141"/>
      <c r="D2267" s="141"/>
      <c r="E2267" s="142"/>
      <c r="F2267" s="138"/>
      <c r="G2267" s="101"/>
      <c r="H2267" s="105"/>
      <c r="I2267" s="105"/>
      <c r="J2267" s="44" t="str">
        <f t="shared" si="311"/>
        <v/>
      </c>
      <c r="K2267" s="139"/>
      <c r="L2267" s="140"/>
      <c r="M2267" s="84"/>
      <c r="N2267" s="33">
        <f t="shared" si="276"/>
        <v>0</v>
      </c>
      <c r="O2267" s="101"/>
      <c r="P2267" s="34" t="str">
        <f t="shared" si="277"/>
        <v/>
      </c>
      <c r="Q2267" s="60"/>
      <c r="R2267" s="36">
        <f t="shared" si="312"/>
        <v>0</v>
      </c>
      <c r="S2267" s="102"/>
      <c r="T2267" s="37">
        <f t="shared" si="302"/>
        <v>0</v>
      </c>
      <c r="U2267" s="62"/>
      <c r="V2267" s="63"/>
      <c r="W2267" s="63"/>
      <c r="X2267" s="35" t="str">
        <f t="shared" si="303"/>
        <v>#N/A</v>
      </c>
      <c r="Y2267" s="35" t="str">
        <f t="shared" si="304"/>
        <v>#N/A</v>
      </c>
      <c r="Z2267" s="40" t="str">
        <f t="shared" si="305"/>
        <v>#N/A</v>
      </c>
      <c r="AA2267" s="34" t="str">
        <f t="shared" si="306"/>
        <v>#N/A</v>
      </c>
      <c r="AB2267" s="41" t="str">
        <f t="shared" si="307"/>
        <v>#N/A</v>
      </c>
      <c r="AC2267" s="42" t="b">
        <v>0</v>
      </c>
      <c r="AD2267" s="66" t="str">
        <f t="shared" si="308"/>
        <v>USD</v>
      </c>
      <c r="AE2267" s="42"/>
      <c r="AF2267" s="42" t="str">
        <f t="array" ref="AF2267">INDEX('Deal Info'!D:D, MATCH(A2267,'Deal Info'!A:A, 0))</f>
        <v>#N/A</v>
      </c>
      <c r="AG2267" s="43" t="str">
        <f t="array" ref="AG2267">INDEX('Deal Info'!G:G, MATCH(A2267,'Deal Info'!A:A, 0))</f>
        <v>#N/A</v>
      </c>
    </row>
    <row r="2268" hidden="1">
      <c r="A2268" s="23" t="b">
        <f t="array" ref="A2268">if(G2268='Room Info'!$B$1, INDEX('Room Info'!$A$2:$A3446, MATCH(B2268,'Room Info'!$B$2:$B3446, 0)),if(G2268='Room Info'!$C$1, INDEX('Room Info'!$A$2:$A3446, MATCH(B2268,'Room Info'!$C$2:$C3446, 0)),if(G2268='Room Info'!$D$1, INDEX('Room Info'!$A$2:$A3446, MATCH(B2268,'Room Info'!$D$2:$D3446, 0)),if(G2268='Room Info'!$E$1, INDEX('Room Info'!$A$2:$A3446, MATCH(B2268,'Room Info'!$E$2:$E3446, 0)),if(G2268='Room Info'!$F$1, INDEX('Room Info'!$A$2:$A3446, MATCH(B2268,'Room Info'!$F$2:$F3446, 0)),if(G2268='Room Info'!$H$1, INDEX('Room Info'!$A$2:$A3446, MATCH(B2268,'Room Info'!$H$2:$H3446, 0)),if(G2268='Room Info'!$G$1, INDEX('Room Info'!$A$2:$A3446, MATCH(B2268,'Room Info'!$G$2:$G3446, 0)))))))))</f>
        <v>0</v>
      </c>
      <c r="B2268" s="101"/>
      <c r="C2268" s="141"/>
      <c r="D2268" s="141"/>
      <c r="E2268" s="142"/>
      <c r="F2268" s="138"/>
      <c r="G2268" s="101"/>
      <c r="H2268" s="105"/>
      <c r="I2268" s="105"/>
      <c r="J2268" s="44" t="str">
        <f t="shared" si="311"/>
        <v/>
      </c>
      <c r="K2268" s="139"/>
      <c r="L2268" s="140"/>
      <c r="M2268" s="84"/>
      <c r="N2268" s="33">
        <f t="shared" si="276"/>
        <v>0</v>
      </c>
      <c r="O2268" s="101"/>
      <c r="P2268" s="34" t="str">
        <f t="shared" si="277"/>
        <v/>
      </c>
      <c r="Q2268" s="60"/>
      <c r="R2268" s="36">
        <f t="shared" si="312"/>
        <v>0</v>
      </c>
      <c r="S2268" s="102"/>
      <c r="T2268" s="37">
        <f t="shared" si="302"/>
        <v>0</v>
      </c>
      <c r="U2268" s="62"/>
      <c r="V2268" s="63"/>
      <c r="W2268" s="63"/>
      <c r="X2268" s="35" t="str">
        <f t="shared" si="303"/>
        <v>#N/A</v>
      </c>
      <c r="Y2268" s="35" t="str">
        <f t="shared" si="304"/>
        <v>#N/A</v>
      </c>
      <c r="Z2268" s="40" t="str">
        <f t="shared" si="305"/>
        <v>#N/A</v>
      </c>
      <c r="AA2268" s="34" t="str">
        <f t="shared" si="306"/>
        <v>#N/A</v>
      </c>
      <c r="AB2268" s="41" t="str">
        <f t="shared" si="307"/>
        <v>#N/A</v>
      </c>
      <c r="AC2268" s="42" t="b">
        <v>0</v>
      </c>
      <c r="AD2268" s="66" t="str">
        <f t="shared" si="308"/>
        <v>USD</v>
      </c>
      <c r="AE2268" s="42"/>
      <c r="AF2268" s="42" t="str">
        <f t="array" ref="AF2268">INDEX('Deal Info'!D:D, MATCH(A2268,'Deal Info'!A:A, 0))</f>
        <v>#N/A</v>
      </c>
      <c r="AG2268" s="43" t="str">
        <f t="array" ref="AG2268">INDEX('Deal Info'!G:G, MATCH(A2268,'Deal Info'!A:A, 0))</f>
        <v>#N/A</v>
      </c>
    </row>
    <row r="2269" hidden="1">
      <c r="A2269" s="23" t="b">
        <f t="array" ref="A2269">if(G2269='Room Info'!$B$1, INDEX('Room Info'!$A$2:$A3446, MATCH(B2269,'Room Info'!$B$2:$B3446, 0)),if(G2269='Room Info'!$C$1, INDEX('Room Info'!$A$2:$A3446, MATCH(B2269,'Room Info'!$C$2:$C3446, 0)),if(G2269='Room Info'!$D$1, INDEX('Room Info'!$A$2:$A3446, MATCH(B2269,'Room Info'!$D$2:$D3446, 0)),if(G2269='Room Info'!$E$1, INDEX('Room Info'!$A$2:$A3446, MATCH(B2269,'Room Info'!$E$2:$E3446, 0)),if(G2269='Room Info'!$F$1, INDEX('Room Info'!$A$2:$A3446, MATCH(B2269,'Room Info'!$F$2:$F3446, 0)),if(G2269='Room Info'!$H$1, INDEX('Room Info'!$A$2:$A3446, MATCH(B2269,'Room Info'!$H$2:$H3446, 0)),if(G2269='Room Info'!$G$1, INDEX('Room Info'!$A$2:$A3446, MATCH(B2269,'Room Info'!$G$2:$G3446, 0)))))))))</f>
        <v>0</v>
      </c>
      <c r="B2269" s="101"/>
      <c r="C2269" s="141"/>
      <c r="D2269" s="141"/>
      <c r="E2269" s="142"/>
      <c r="F2269" s="138"/>
      <c r="G2269" s="101"/>
      <c r="H2269" s="105"/>
      <c r="I2269" s="105"/>
      <c r="J2269" s="44" t="str">
        <f t="shared" si="311"/>
        <v/>
      </c>
      <c r="K2269" s="139"/>
      <c r="L2269" s="140"/>
      <c r="M2269" s="84"/>
      <c r="N2269" s="33">
        <f t="shared" si="276"/>
        <v>0</v>
      </c>
      <c r="O2269" s="101"/>
      <c r="P2269" s="34" t="str">
        <f t="shared" si="277"/>
        <v/>
      </c>
      <c r="Q2269" s="60"/>
      <c r="R2269" s="36">
        <f t="shared" si="312"/>
        <v>0</v>
      </c>
      <c r="S2269" s="102"/>
      <c r="T2269" s="37">
        <f t="shared" si="302"/>
        <v>0</v>
      </c>
      <c r="U2269" s="62"/>
      <c r="V2269" s="63"/>
      <c r="W2269" s="63"/>
      <c r="X2269" s="35" t="str">
        <f t="shared" si="303"/>
        <v>#N/A</v>
      </c>
      <c r="Y2269" s="35" t="str">
        <f t="shared" si="304"/>
        <v>#N/A</v>
      </c>
      <c r="Z2269" s="40" t="str">
        <f t="shared" si="305"/>
        <v>#N/A</v>
      </c>
      <c r="AA2269" s="34" t="str">
        <f t="shared" si="306"/>
        <v>#N/A</v>
      </c>
      <c r="AB2269" s="41" t="str">
        <f t="shared" si="307"/>
        <v>#N/A</v>
      </c>
      <c r="AC2269" s="42" t="b">
        <v>0</v>
      </c>
      <c r="AD2269" s="66" t="str">
        <f t="shared" si="308"/>
        <v>USD</v>
      </c>
      <c r="AE2269" s="42"/>
      <c r="AF2269" s="42" t="str">
        <f t="array" ref="AF2269">INDEX('Deal Info'!D:D, MATCH(A2269,'Deal Info'!A:A, 0))</f>
        <v>#N/A</v>
      </c>
      <c r="AG2269" s="43" t="str">
        <f t="array" ref="AG2269">INDEX('Deal Info'!G:G, MATCH(A2269,'Deal Info'!A:A, 0))</f>
        <v>#N/A</v>
      </c>
    </row>
    <row r="2270" hidden="1">
      <c r="A2270" s="23" t="b">
        <f t="array" ref="A2270">if(G2270='Room Info'!$B$1, INDEX('Room Info'!$A$2:$A3446, MATCH(B2270,'Room Info'!$B$2:$B3446, 0)),if(G2270='Room Info'!$C$1, INDEX('Room Info'!$A$2:$A3446, MATCH(B2270,'Room Info'!$C$2:$C3446, 0)),if(G2270='Room Info'!$D$1, INDEX('Room Info'!$A$2:$A3446, MATCH(B2270,'Room Info'!$D$2:$D3446, 0)),if(G2270='Room Info'!$E$1, INDEX('Room Info'!$A$2:$A3446, MATCH(B2270,'Room Info'!$E$2:$E3446, 0)),if(G2270='Room Info'!$F$1, INDEX('Room Info'!$A$2:$A3446, MATCH(B2270,'Room Info'!$F$2:$F3446, 0)),if(G2270='Room Info'!$H$1, INDEX('Room Info'!$A$2:$A3446, MATCH(B2270,'Room Info'!$H$2:$H3446, 0)),if(G2270='Room Info'!$G$1, INDEX('Room Info'!$A$2:$A3446, MATCH(B2270,'Room Info'!$G$2:$G3446, 0)))))))))</f>
        <v>0</v>
      </c>
      <c r="B2270" s="101"/>
      <c r="C2270" s="141"/>
      <c r="D2270" s="141"/>
      <c r="E2270" s="142"/>
      <c r="F2270" s="138"/>
      <c r="G2270" s="101"/>
      <c r="H2270" s="105"/>
      <c r="I2270" s="105"/>
      <c r="J2270" s="44" t="str">
        <f t="shared" si="311"/>
        <v/>
      </c>
      <c r="K2270" s="139"/>
      <c r="L2270" s="140"/>
      <c r="M2270" s="84"/>
      <c r="N2270" s="33">
        <f t="shared" si="276"/>
        <v>0</v>
      </c>
      <c r="O2270" s="101"/>
      <c r="P2270" s="34" t="str">
        <f t="shared" si="277"/>
        <v/>
      </c>
      <c r="Q2270" s="60"/>
      <c r="R2270" s="36">
        <f t="shared" si="312"/>
        <v>0</v>
      </c>
      <c r="S2270" s="102"/>
      <c r="T2270" s="37">
        <f t="shared" si="302"/>
        <v>0</v>
      </c>
      <c r="U2270" s="62"/>
      <c r="V2270" s="63"/>
      <c r="W2270" s="63"/>
      <c r="X2270" s="35" t="str">
        <f t="shared" si="303"/>
        <v>#N/A</v>
      </c>
      <c r="Y2270" s="35" t="str">
        <f t="shared" si="304"/>
        <v>#N/A</v>
      </c>
      <c r="Z2270" s="40" t="str">
        <f t="shared" si="305"/>
        <v>#N/A</v>
      </c>
      <c r="AA2270" s="34" t="str">
        <f t="shared" si="306"/>
        <v>#N/A</v>
      </c>
      <c r="AB2270" s="41" t="str">
        <f t="shared" si="307"/>
        <v>#N/A</v>
      </c>
      <c r="AC2270" s="42" t="b">
        <v>0</v>
      </c>
      <c r="AD2270" s="66" t="str">
        <f t="shared" si="308"/>
        <v>USD</v>
      </c>
      <c r="AE2270" s="42"/>
      <c r="AF2270" s="42" t="str">
        <f t="array" ref="AF2270">INDEX('Deal Info'!D:D, MATCH(A2270,'Deal Info'!A:A, 0))</f>
        <v>#N/A</v>
      </c>
      <c r="AG2270" s="43" t="str">
        <f t="array" ref="AG2270">INDEX('Deal Info'!G:G, MATCH(A2270,'Deal Info'!A:A, 0))</f>
        <v>#N/A</v>
      </c>
    </row>
    <row r="2271" hidden="1">
      <c r="A2271" s="23" t="b">
        <f t="array" ref="A2271">if(G2271='Room Info'!$B$1, INDEX('Room Info'!$A$2:$A3446, MATCH(B2271,'Room Info'!$B$2:$B3446, 0)),if(G2271='Room Info'!$C$1, INDEX('Room Info'!$A$2:$A3446, MATCH(B2271,'Room Info'!$C$2:$C3446, 0)),if(G2271='Room Info'!$D$1, INDEX('Room Info'!$A$2:$A3446, MATCH(B2271,'Room Info'!$D$2:$D3446, 0)),if(G2271='Room Info'!$E$1, INDEX('Room Info'!$A$2:$A3446, MATCH(B2271,'Room Info'!$E$2:$E3446, 0)),if(G2271='Room Info'!$F$1, INDEX('Room Info'!$A$2:$A3446, MATCH(B2271,'Room Info'!$F$2:$F3446, 0)),if(G2271='Room Info'!$H$1, INDEX('Room Info'!$A$2:$A3446, MATCH(B2271,'Room Info'!$H$2:$H3446, 0)),if(G2271='Room Info'!$G$1, INDEX('Room Info'!$A$2:$A3446, MATCH(B2271,'Room Info'!$G$2:$G3446, 0)))))))))</f>
        <v>0</v>
      </c>
      <c r="B2271" s="101"/>
      <c r="C2271" s="141"/>
      <c r="D2271" s="141"/>
      <c r="E2271" s="142"/>
      <c r="F2271" s="138"/>
      <c r="G2271" s="101"/>
      <c r="H2271" s="105"/>
      <c r="I2271" s="105"/>
      <c r="J2271" s="44" t="str">
        <f t="shared" si="311"/>
        <v/>
      </c>
      <c r="K2271" s="139"/>
      <c r="L2271" s="140"/>
      <c r="M2271" s="84"/>
      <c r="N2271" s="33">
        <f t="shared" si="276"/>
        <v>0</v>
      </c>
      <c r="O2271" s="101"/>
      <c r="P2271" s="34" t="str">
        <f t="shared" si="277"/>
        <v/>
      </c>
      <c r="Q2271" s="60"/>
      <c r="R2271" s="36">
        <f t="shared" si="312"/>
        <v>0</v>
      </c>
      <c r="S2271" s="102"/>
      <c r="T2271" s="37">
        <f t="shared" si="302"/>
        <v>0</v>
      </c>
      <c r="U2271" s="62"/>
      <c r="V2271" s="63"/>
      <c r="W2271" s="63"/>
      <c r="X2271" s="35" t="str">
        <f t="shared" si="303"/>
        <v>#N/A</v>
      </c>
      <c r="Y2271" s="35" t="str">
        <f t="shared" si="304"/>
        <v>#N/A</v>
      </c>
      <c r="Z2271" s="40" t="str">
        <f t="shared" si="305"/>
        <v>#N/A</v>
      </c>
      <c r="AA2271" s="34" t="str">
        <f t="shared" si="306"/>
        <v>#N/A</v>
      </c>
      <c r="AB2271" s="41" t="str">
        <f t="shared" si="307"/>
        <v>#N/A</v>
      </c>
      <c r="AC2271" s="42" t="b">
        <v>0</v>
      </c>
      <c r="AD2271" s="66" t="str">
        <f t="shared" si="308"/>
        <v>USD</v>
      </c>
      <c r="AE2271" s="42"/>
      <c r="AF2271" s="42" t="str">
        <f t="array" ref="AF2271">INDEX('Deal Info'!D:D, MATCH(A2271,'Deal Info'!A:A, 0))</f>
        <v>#N/A</v>
      </c>
      <c r="AG2271" s="43" t="str">
        <f t="array" ref="AG2271">INDEX('Deal Info'!G:G, MATCH(A2271,'Deal Info'!A:A, 0))</f>
        <v>#N/A</v>
      </c>
    </row>
    <row r="2272" hidden="1">
      <c r="A2272" s="23" t="b">
        <f t="array" ref="A2272">if(G2272='Room Info'!$B$1, INDEX('Room Info'!$A$2:$A3446, MATCH(B2272,'Room Info'!$B$2:$B3446, 0)),if(G2272='Room Info'!$C$1, INDEX('Room Info'!$A$2:$A3446, MATCH(B2272,'Room Info'!$C$2:$C3446, 0)),if(G2272='Room Info'!$D$1, INDEX('Room Info'!$A$2:$A3446, MATCH(B2272,'Room Info'!$D$2:$D3446, 0)),if(G2272='Room Info'!$E$1, INDEX('Room Info'!$A$2:$A3446, MATCH(B2272,'Room Info'!$E$2:$E3446, 0)),if(G2272='Room Info'!$F$1, INDEX('Room Info'!$A$2:$A3446, MATCH(B2272,'Room Info'!$F$2:$F3446, 0)),if(G2272='Room Info'!$H$1, INDEX('Room Info'!$A$2:$A3446, MATCH(B2272,'Room Info'!$H$2:$H3446, 0)),if(G2272='Room Info'!$G$1, INDEX('Room Info'!$A$2:$A3446, MATCH(B2272,'Room Info'!$G$2:$G3446, 0)))))))))</f>
        <v>0</v>
      </c>
      <c r="B2272" s="101"/>
      <c r="C2272" s="141"/>
      <c r="D2272" s="141"/>
      <c r="E2272" s="142"/>
      <c r="F2272" s="138"/>
      <c r="G2272" s="101"/>
      <c r="H2272" s="105"/>
      <c r="I2272" s="105"/>
      <c r="J2272" s="44" t="str">
        <f t="shared" si="311"/>
        <v/>
      </c>
      <c r="K2272" s="139"/>
      <c r="L2272" s="140"/>
      <c r="M2272" s="84"/>
      <c r="N2272" s="33">
        <f t="shared" si="276"/>
        <v>0</v>
      </c>
      <c r="O2272" s="101"/>
      <c r="P2272" s="34" t="str">
        <f t="shared" si="277"/>
        <v/>
      </c>
      <c r="Q2272" s="60"/>
      <c r="R2272" s="36">
        <f t="shared" si="312"/>
        <v>0</v>
      </c>
      <c r="S2272" s="102"/>
      <c r="T2272" s="37">
        <f t="shared" si="302"/>
        <v>0</v>
      </c>
      <c r="U2272" s="62"/>
      <c r="V2272" s="63"/>
      <c r="W2272" s="63"/>
      <c r="X2272" s="35" t="str">
        <f t="shared" si="303"/>
        <v>#N/A</v>
      </c>
      <c r="Y2272" s="35" t="str">
        <f t="shared" si="304"/>
        <v>#N/A</v>
      </c>
      <c r="Z2272" s="40" t="str">
        <f t="shared" si="305"/>
        <v>#N/A</v>
      </c>
      <c r="AA2272" s="34" t="str">
        <f t="shared" si="306"/>
        <v>#N/A</v>
      </c>
      <c r="AB2272" s="41" t="str">
        <f t="shared" si="307"/>
        <v>#N/A</v>
      </c>
      <c r="AC2272" s="42" t="b">
        <v>0</v>
      </c>
      <c r="AD2272" s="66" t="str">
        <f t="shared" si="308"/>
        <v>USD</v>
      </c>
      <c r="AE2272" s="42"/>
      <c r="AF2272" s="42" t="str">
        <f t="array" ref="AF2272">INDEX('Deal Info'!D:D, MATCH(A2272,'Deal Info'!A:A, 0))</f>
        <v>#N/A</v>
      </c>
      <c r="AG2272" s="43" t="str">
        <f t="array" ref="AG2272">INDEX('Deal Info'!G:G, MATCH(A2272,'Deal Info'!A:A, 0))</f>
        <v>#N/A</v>
      </c>
    </row>
    <row r="2273" hidden="1">
      <c r="A2273" s="23" t="b">
        <f t="array" ref="A2273">if(G2273='Room Info'!$B$1, INDEX('Room Info'!$A$2:$A3446, MATCH(B2273,'Room Info'!$B$2:$B3446, 0)),if(G2273='Room Info'!$C$1, INDEX('Room Info'!$A$2:$A3446, MATCH(B2273,'Room Info'!$C$2:$C3446, 0)),if(G2273='Room Info'!$D$1, INDEX('Room Info'!$A$2:$A3446, MATCH(B2273,'Room Info'!$D$2:$D3446, 0)),if(G2273='Room Info'!$E$1, INDEX('Room Info'!$A$2:$A3446, MATCH(B2273,'Room Info'!$E$2:$E3446, 0)),if(G2273='Room Info'!$F$1, INDEX('Room Info'!$A$2:$A3446, MATCH(B2273,'Room Info'!$F$2:$F3446, 0)),if(G2273='Room Info'!$H$1, INDEX('Room Info'!$A$2:$A3446, MATCH(B2273,'Room Info'!$H$2:$H3446, 0)),if(G2273='Room Info'!$G$1, INDEX('Room Info'!$A$2:$A3446, MATCH(B2273,'Room Info'!$G$2:$G3446, 0)))))))))</f>
        <v>0</v>
      </c>
      <c r="B2273" s="101"/>
      <c r="C2273" s="141"/>
      <c r="D2273" s="141"/>
      <c r="E2273" s="142"/>
      <c r="F2273" s="138"/>
      <c r="G2273" s="101"/>
      <c r="H2273" s="105"/>
      <c r="I2273" s="105"/>
      <c r="J2273" s="44" t="str">
        <f t="shared" si="311"/>
        <v/>
      </c>
      <c r="K2273" s="139"/>
      <c r="L2273" s="140"/>
      <c r="M2273" s="84"/>
      <c r="N2273" s="33">
        <f t="shared" si="276"/>
        <v>0</v>
      </c>
      <c r="O2273" s="101"/>
      <c r="P2273" s="34" t="str">
        <f t="shared" si="277"/>
        <v/>
      </c>
      <c r="Q2273" s="60"/>
      <c r="R2273" s="36">
        <f t="shared" si="312"/>
        <v>0</v>
      </c>
      <c r="S2273" s="102"/>
      <c r="T2273" s="37">
        <f t="shared" si="302"/>
        <v>0</v>
      </c>
      <c r="U2273" s="62"/>
      <c r="V2273" s="63"/>
      <c r="W2273" s="63"/>
      <c r="X2273" s="35" t="str">
        <f t="shared" si="303"/>
        <v>#N/A</v>
      </c>
      <c r="Y2273" s="35" t="str">
        <f t="shared" si="304"/>
        <v>#N/A</v>
      </c>
      <c r="Z2273" s="40" t="str">
        <f t="shared" si="305"/>
        <v>#N/A</v>
      </c>
      <c r="AA2273" s="34" t="str">
        <f t="shared" si="306"/>
        <v>#N/A</v>
      </c>
      <c r="AB2273" s="41" t="str">
        <f t="shared" si="307"/>
        <v>#N/A</v>
      </c>
      <c r="AC2273" s="42" t="b">
        <v>0</v>
      </c>
      <c r="AD2273" s="66" t="str">
        <f t="shared" si="308"/>
        <v>USD</v>
      </c>
      <c r="AE2273" s="42"/>
      <c r="AF2273" s="42" t="str">
        <f t="array" ref="AF2273">INDEX('Deal Info'!D:D, MATCH(A2273,'Deal Info'!A:A, 0))</f>
        <v>#N/A</v>
      </c>
      <c r="AG2273" s="43" t="str">
        <f t="array" ref="AG2273">INDEX('Deal Info'!G:G, MATCH(A2273,'Deal Info'!A:A, 0))</f>
        <v>#N/A</v>
      </c>
    </row>
    <row r="2274" hidden="1">
      <c r="A2274" s="23" t="b">
        <f t="array" ref="A2274">if(G2274='Room Info'!$B$1, INDEX('Room Info'!$A$2:$A3446, MATCH(B2274,'Room Info'!$B$2:$B3446, 0)),if(G2274='Room Info'!$C$1, INDEX('Room Info'!$A$2:$A3446, MATCH(B2274,'Room Info'!$C$2:$C3446, 0)),if(G2274='Room Info'!$D$1, INDEX('Room Info'!$A$2:$A3446, MATCH(B2274,'Room Info'!$D$2:$D3446, 0)),if(G2274='Room Info'!$E$1, INDEX('Room Info'!$A$2:$A3446, MATCH(B2274,'Room Info'!$E$2:$E3446, 0)),if(G2274='Room Info'!$F$1, INDEX('Room Info'!$A$2:$A3446, MATCH(B2274,'Room Info'!$F$2:$F3446, 0)),if(G2274='Room Info'!$H$1, INDEX('Room Info'!$A$2:$A3446, MATCH(B2274,'Room Info'!$H$2:$H3446, 0)),if(G2274='Room Info'!$G$1, INDEX('Room Info'!$A$2:$A3446, MATCH(B2274,'Room Info'!$G$2:$G3446, 0)))))))))</f>
        <v>0</v>
      </c>
      <c r="B2274" s="101"/>
      <c r="C2274" s="141"/>
      <c r="D2274" s="141"/>
      <c r="E2274" s="142"/>
      <c r="F2274" s="138"/>
      <c r="G2274" s="101"/>
      <c r="H2274" s="105"/>
      <c r="I2274" s="105"/>
      <c r="J2274" s="44" t="str">
        <f t="shared" si="311"/>
        <v/>
      </c>
      <c r="K2274" s="139"/>
      <c r="L2274" s="140"/>
      <c r="M2274" s="84"/>
      <c r="N2274" s="33">
        <f t="shared" si="276"/>
        <v>0</v>
      </c>
      <c r="O2274" s="101"/>
      <c r="P2274" s="34" t="str">
        <f t="shared" si="277"/>
        <v/>
      </c>
      <c r="Q2274" s="60"/>
      <c r="R2274" s="36">
        <f t="shared" si="312"/>
        <v>0</v>
      </c>
      <c r="S2274" s="102"/>
      <c r="T2274" s="37">
        <f t="shared" si="302"/>
        <v>0</v>
      </c>
      <c r="U2274" s="62"/>
      <c r="V2274" s="63"/>
      <c r="W2274" s="63"/>
      <c r="X2274" s="35" t="str">
        <f t="shared" si="303"/>
        <v>#N/A</v>
      </c>
      <c r="Y2274" s="35" t="str">
        <f t="shared" si="304"/>
        <v>#N/A</v>
      </c>
      <c r="Z2274" s="40" t="str">
        <f t="shared" si="305"/>
        <v>#N/A</v>
      </c>
      <c r="AA2274" s="34" t="str">
        <f t="shared" si="306"/>
        <v>#N/A</v>
      </c>
      <c r="AB2274" s="41" t="str">
        <f t="shared" si="307"/>
        <v>#N/A</v>
      </c>
      <c r="AC2274" s="42" t="b">
        <v>0</v>
      </c>
      <c r="AD2274" s="66" t="str">
        <f t="shared" si="308"/>
        <v>USD</v>
      </c>
      <c r="AE2274" s="42"/>
      <c r="AF2274" s="42" t="str">
        <f t="array" ref="AF2274">INDEX('Deal Info'!D:D, MATCH(A2274,'Deal Info'!A:A, 0))</f>
        <v>#N/A</v>
      </c>
      <c r="AG2274" s="43" t="str">
        <f t="array" ref="AG2274">INDEX('Deal Info'!G:G, MATCH(A2274,'Deal Info'!A:A, 0))</f>
        <v>#N/A</v>
      </c>
    </row>
    <row r="2275" hidden="1">
      <c r="A2275" s="23" t="b">
        <f t="array" ref="A2275">if(G2275='Room Info'!$B$1, INDEX('Room Info'!$A$2:$A3446, MATCH(B2275,'Room Info'!$B$2:$B3446, 0)),if(G2275='Room Info'!$C$1, INDEX('Room Info'!$A$2:$A3446, MATCH(B2275,'Room Info'!$C$2:$C3446, 0)),if(G2275='Room Info'!$D$1, INDEX('Room Info'!$A$2:$A3446, MATCH(B2275,'Room Info'!$D$2:$D3446, 0)),if(G2275='Room Info'!$E$1, INDEX('Room Info'!$A$2:$A3446, MATCH(B2275,'Room Info'!$E$2:$E3446, 0)),if(G2275='Room Info'!$F$1, INDEX('Room Info'!$A$2:$A3446, MATCH(B2275,'Room Info'!$F$2:$F3446, 0)),if(G2275='Room Info'!$H$1, INDEX('Room Info'!$A$2:$A3446, MATCH(B2275,'Room Info'!$H$2:$H3446, 0)),if(G2275='Room Info'!$G$1, INDEX('Room Info'!$A$2:$A3446, MATCH(B2275,'Room Info'!$G$2:$G3446, 0)))))))))</f>
        <v>0</v>
      </c>
      <c r="B2275" s="101"/>
      <c r="C2275" s="141"/>
      <c r="D2275" s="141"/>
      <c r="E2275" s="142"/>
      <c r="F2275" s="138"/>
      <c r="G2275" s="101"/>
      <c r="H2275" s="105"/>
      <c r="I2275" s="105"/>
      <c r="J2275" s="44" t="str">
        <f t="shared" si="311"/>
        <v/>
      </c>
      <c r="K2275" s="139"/>
      <c r="L2275" s="140"/>
      <c r="M2275" s="84"/>
      <c r="N2275" s="33">
        <f t="shared" si="276"/>
        <v>0</v>
      </c>
      <c r="O2275" s="101"/>
      <c r="P2275" s="34" t="str">
        <f t="shared" si="277"/>
        <v/>
      </c>
      <c r="Q2275" s="60"/>
      <c r="R2275" s="36">
        <f t="shared" si="312"/>
        <v>0</v>
      </c>
      <c r="S2275" s="102"/>
      <c r="T2275" s="37">
        <f t="shared" si="302"/>
        <v>0</v>
      </c>
      <c r="U2275" s="62"/>
      <c r="V2275" s="63"/>
      <c r="W2275" s="63"/>
      <c r="X2275" s="35" t="str">
        <f t="shared" si="303"/>
        <v>#N/A</v>
      </c>
      <c r="Y2275" s="35" t="str">
        <f t="shared" si="304"/>
        <v>#N/A</v>
      </c>
      <c r="Z2275" s="40" t="str">
        <f t="shared" si="305"/>
        <v>#N/A</v>
      </c>
      <c r="AA2275" s="34" t="str">
        <f t="shared" si="306"/>
        <v>#N/A</v>
      </c>
      <c r="AB2275" s="41" t="str">
        <f t="shared" si="307"/>
        <v>#N/A</v>
      </c>
      <c r="AC2275" s="42" t="b">
        <v>0</v>
      </c>
      <c r="AD2275" s="66" t="str">
        <f t="shared" si="308"/>
        <v>USD</v>
      </c>
      <c r="AE2275" s="42"/>
      <c r="AF2275" s="42" t="str">
        <f t="array" ref="AF2275">INDEX('Deal Info'!D:D, MATCH(A2275,'Deal Info'!A:A, 0))</f>
        <v>#N/A</v>
      </c>
      <c r="AG2275" s="43" t="str">
        <f t="array" ref="AG2275">INDEX('Deal Info'!G:G, MATCH(A2275,'Deal Info'!A:A, 0))</f>
        <v>#N/A</v>
      </c>
    </row>
    <row r="2276" hidden="1">
      <c r="A2276" s="23" t="b">
        <f t="array" ref="A2276">if(G2276='Room Info'!$B$1, INDEX('Room Info'!$A$2:$A3446, MATCH(B2276,'Room Info'!$B$2:$B3446, 0)),if(G2276='Room Info'!$C$1, INDEX('Room Info'!$A$2:$A3446, MATCH(B2276,'Room Info'!$C$2:$C3446, 0)),if(G2276='Room Info'!$D$1, INDEX('Room Info'!$A$2:$A3446, MATCH(B2276,'Room Info'!$D$2:$D3446, 0)),if(G2276='Room Info'!$E$1, INDEX('Room Info'!$A$2:$A3446, MATCH(B2276,'Room Info'!$E$2:$E3446, 0)),if(G2276='Room Info'!$F$1, INDEX('Room Info'!$A$2:$A3446, MATCH(B2276,'Room Info'!$F$2:$F3446, 0)),if(G2276='Room Info'!$H$1, INDEX('Room Info'!$A$2:$A3446, MATCH(B2276,'Room Info'!$H$2:$H3446, 0)),if(G2276='Room Info'!$G$1, INDEX('Room Info'!$A$2:$A3446, MATCH(B2276,'Room Info'!$G$2:$G3446, 0)))))))))</f>
        <v>0</v>
      </c>
      <c r="B2276" s="101"/>
      <c r="C2276" s="141"/>
      <c r="D2276" s="141"/>
      <c r="E2276" s="142"/>
      <c r="F2276" s="138"/>
      <c r="G2276" s="101"/>
      <c r="H2276" s="105"/>
      <c r="I2276" s="105"/>
      <c r="J2276" s="44" t="str">
        <f t="shared" si="311"/>
        <v/>
      </c>
      <c r="K2276" s="139"/>
      <c r="L2276" s="140"/>
      <c r="M2276" s="84"/>
      <c r="N2276" s="33">
        <f t="shared" si="276"/>
        <v>0</v>
      </c>
      <c r="O2276" s="101"/>
      <c r="P2276" s="34" t="str">
        <f t="shared" si="277"/>
        <v/>
      </c>
      <c r="Q2276" s="60"/>
      <c r="R2276" s="36">
        <f t="shared" si="312"/>
        <v>0</v>
      </c>
      <c r="S2276" s="102"/>
      <c r="T2276" s="37">
        <f t="shared" si="302"/>
        <v>0</v>
      </c>
      <c r="U2276" s="62"/>
      <c r="V2276" s="63"/>
      <c r="W2276" s="63"/>
      <c r="X2276" s="35" t="str">
        <f t="shared" si="303"/>
        <v>#N/A</v>
      </c>
      <c r="Y2276" s="35" t="str">
        <f t="shared" si="304"/>
        <v>#N/A</v>
      </c>
      <c r="Z2276" s="40" t="str">
        <f t="shared" si="305"/>
        <v>#N/A</v>
      </c>
      <c r="AA2276" s="34" t="str">
        <f t="shared" si="306"/>
        <v>#N/A</v>
      </c>
      <c r="AB2276" s="41" t="str">
        <f t="shared" si="307"/>
        <v>#N/A</v>
      </c>
      <c r="AC2276" s="42" t="b">
        <v>0</v>
      </c>
      <c r="AD2276" s="66" t="str">
        <f t="shared" si="308"/>
        <v>USD</v>
      </c>
      <c r="AE2276" s="42"/>
      <c r="AF2276" s="42" t="str">
        <f t="array" ref="AF2276">INDEX('Deal Info'!D:D, MATCH(A2276,'Deal Info'!A:A, 0))</f>
        <v>#N/A</v>
      </c>
      <c r="AG2276" s="43" t="str">
        <f t="array" ref="AG2276">INDEX('Deal Info'!G:G, MATCH(A2276,'Deal Info'!A:A, 0))</f>
        <v>#N/A</v>
      </c>
    </row>
    <row r="2277" hidden="1">
      <c r="A2277" s="23" t="b">
        <f t="array" ref="A2277">if(G2277='Room Info'!$B$1, INDEX('Room Info'!$A$2:$A3446, MATCH(B2277,'Room Info'!$B$2:$B3446, 0)),if(G2277='Room Info'!$C$1, INDEX('Room Info'!$A$2:$A3446, MATCH(B2277,'Room Info'!$C$2:$C3446, 0)),if(G2277='Room Info'!$D$1, INDEX('Room Info'!$A$2:$A3446, MATCH(B2277,'Room Info'!$D$2:$D3446, 0)),if(G2277='Room Info'!$E$1, INDEX('Room Info'!$A$2:$A3446, MATCH(B2277,'Room Info'!$E$2:$E3446, 0)),if(G2277='Room Info'!$F$1, INDEX('Room Info'!$A$2:$A3446, MATCH(B2277,'Room Info'!$F$2:$F3446, 0)),if(G2277='Room Info'!$H$1, INDEX('Room Info'!$A$2:$A3446, MATCH(B2277,'Room Info'!$H$2:$H3446, 0)),if(G2277='Room Info'!$G$1, INDEX('Room Info'!$A$2:$A3446, MATCH(B2277,'Room Info'!$G$2:$G3446, 0)))))))))</f>
        <v>0</v>
      </c>
      <c r="B2277" s="101"/>
      <c r="C2277" s="141"/>
      <c r="D2277" s="141"/>
      <c r="E2277" s="142"/>
      <c r="F2277" s="138"/>
      <c r="G2277" s="101"/>
      <c r="H2277" s="105"/>
      <c r="I2277" s="105"/>
      <c r="J2277" s="44" t="str">
        <f t="shared" si="311"/>
        <v/>
      </c>
      <c r="K2277" s="139"/>
      <c r="L2277" s="140"/>
      <c r="M2277" s="84"/>
      <c r="N2277" s="33">
        <f t="shared" si="276"/>
        <v>0</v>
      </c>
      <c r="O2277" s="101"/>
      <c r="P2277" s="34" t="str">
        <f t="shared" si="277"/>
        <v/>
      </c>
      <c r="Q2277" s="60"/>
      <c r="R2277" s="36">
        <f t="shared" si="312"/>
        <v>0</v>
      </c>
      <c r="S2277" s="102"/>
      <c r="T2277" s="37">
        <f t="shared" si="302"/>
        <v>0</v>
      </c>
      <c r="U2277" s="62"/>
      <c r="V2277" s="63"/>
      <c r="W2277" s="63"/>
      <c r="X2277" s="35" t="str">
        <f t="shared" si="303"/>
        <v>#N/A</v>
      </c>
      <c r="Y2277" s="35" t="str">
        <f t="shared" si="304"/>
        <v>#N/A</v>
      </c>
      <c r="Z2277" s="40" t="str">
        <f t="shared" si="305"/>
        <v>#N/A</v>
      </c>
      <c r="AA2277" s="34" t="str">
        <f t="shared" si="306"/>
        <v>#N/A</v>
      </c>
      <c r="AB2277" s="41" t="str">
        <f t="shared" si="307"/>
        <v>#N/A</v>
      </c>
      <c r="AC2277" s="42" t="b">
        <v>0</v>
      </c>
      <c r="AD2277" s="66" t="str">
        <f t="shared" si="308"/>
        <v>USD</v>
      </c>
      <c r="AE2277" s="42"/>
      <c r="AF2277" s="42" t="str">
        <f t="array" ref="AF2277">INDEX('Deal Info'!D:D, MATCH(A2277,'Deal Info'!A:A, 0))</f>
        <v>#N/A</v>
      </c>
      <c r="AG2277" s="43" t="str">
        <f t="array" ref="AG2277">INDEX('Deal Info'!G:G, MATCH(A2277,'Deal Info'!A:A, 0))</f>
        <v>#N/A</v>
      </c>
    </row>
    <row r="2278" hidden="1">
      <c r="A2278" s="23" t="b">
        <f t="array" ref="A2278">if(G2278='Room Info'!$B$1, INDEX('Room Info'!$A$2:$A3446, MATCH(B2278,'Room Info'!$B$2:$B3446, 0)),if(G2278='Room Info'!$C$1, INDEX('Room Info'!$A$2:$A3446, MATCH(B2278,'Room Info'!$C$2:$C3446, 0)),if(G2278='Room Info'!$D$1, INDEX('Room Info'!$A$2:$A3446, MATCH(B2278,'Room Info'!$D$2:$D3446, 0)),if(G2278='Room Info'!$E$1, INDEX('Room Info'!$A$2:$A3446, MATCH(B2278,'Room Info'!$E$2:$E3446, 0)),if(G2278='Room Info'!$F$1, INDEX('Room Info'!$A$2:$A3446, MATCH(B2278,'Room Info'!$F$2:$F3446, 0)),if(G2278='Room Info'!$H$1, INDEX('Room Info'!$A$2:$A3446, MATCH(B2278,'Room Info'!$H$2:$H3446, 0)),if(G2278='Room Info'!$G$1, INDEX('Room Info'!$A$2:$A3446, MATCH(B2278,'Room Info'!$G$2:$G3446, 0)))))))))</f>
        <v>0</v>
      </c>
      <c r="B2278" s="101"/>
      <c r="C2278" s="141"/>
      <c r="D2278" s="141"/>
      <c r="E2278" s="142"/>
      <c r="F2278" s="138"/>
      <c r="G2278" s="101"/>
      <c r="H2278" s="105"/>
      <c r="I2278" s="105"/>
      <c r="J2278" s="44" t="str">
        <f t="shared" si="311"/>
        <v/>
      </c>
      <c r="K2278" s="139"/>
      <c r="L2278" s="140"/>
      <c r="M2278" s="84"/>
      <c r="N2278" s="33">
        <f t="shared" si="276"/>
        <v>0</v>
      </c>
      <c r="O2278" s="101"/>
      <c r="P2278" s="34" t="str">
        <f t="shared" si="277"/>
        <v/>
      </c>
      <c r="Q2278" s="60"/>
      <c r="R2278" s="36">
        <f t="shared" si="312"/>
        <v>0</v>
      </c>
      <c r="S2278" s="102"/>
      <c r="T2278" s="37">
        <f t="shared" si="302"/>
        <v>0</v>
      </c>
      <c r="U2278" s="62"/>
      <c r="V2278" s="63"/>
      <c r="W2278" s="63"/>
      <c r="X2278" s="35" t="str">
        <f t="shared" si="303"/>
        <v>#N/A</v>
      </c>
      <c r="Y2278" s="35" t="str">
        <f t="shared" si="304"/>
        <v>#N/A</v>
      </c>
      <c r="Z2278" s="40" t="str">
        <f t="shared" si="305"/>
        <v>#N/A</v>
      </c>
      <c r="AA2278" s="34" t="str">
        <f t="shared" si="306"/>
        <v>#N/A</v>
      </c>
      <c r="AB2278" s="41" t="str">
        <f t="shared" si="307"/>
        <v>#N/A</v>
      </c>
      <c r="AC2278" s="42" t="b">
        <v>0</v>
      </c>
      <c r="AD2278" s="66" t="str">
        <f t="shared" si="308"/>
        <v>USD</v>
      </c>
      <c r="AE2278" s="42"/>
      <c r="AF2278" s="42" t="str">
        <f t="array" ref="AF2278">INDEX('Deal Info'!D:D, MATCH(A2278,'Deal Info'!A:A, 0))</f>
        <v>#N/A</v>
      </c>
      <c r="AG2278" s="43" t="str">
        <f t="array" ref="AG2278">INDEX('Deal Info'!G:G, MATCH(A2278,'Deal Info'!A:A, 0))</f>
        <v>#N/A</v>
      </c>
    </row>
    <row r="2279" hidden="1">
      <c r="A2279" s="23" t="b">
        <f t="array" ref="A2279">if(G2279='Room Info'!$B$1, INDEX('Room Info'!$A$2:$A3446, MATCH(B2279,'Room Info'!$B$2:$B3446, 0)),if(G2279='Room Info'!$C$1, INDEX('Room Info'!$A$2:$A3446, MATCH(B2279,'Room Info'!$C$2:$C3446, 0)),if(G2279='Room Info'!$D$1, INDEX('Room Info'!$A$2:$A3446, MATCH(B2279,'Room Info'!$D$2:$D3446, 0)),if(G2279='Room Info'!$E$1, INDEX('Room Info'!$A$2:$A3446, MATCH(B2279,'Room Info'!$E$2:$E3446, 0)),if(G2279='Room Info'!$F$1, INDEX('Room Info'!$A$2:$A3446, MATCH(B2279,'Room Info'!$F$2:$F3446, 0)),if(G2279='Room Info'!$H$1, INDEX('Room Info'!$A$2:$A3446, MATCH(B2279,'Room Info'!$H$2:$H3446, 0)),if(G2279='Room Info'!$G$1, INDEX('Room Info'!$A$2:$A3446, MATCH(B2279,'Room Info'!$G$2:$G3446, 0)))))))))</f>
        <v>0</v>
      </c>
      <c r="B2279" s="101"/>
      <c r="C2279" s="141"/>
      <c r="D2279" s="141"/>
      <c r="E2279" s="142"/>
      <c r="F2279" s="138"/>
      <c r="G2279" s="101"/>
      <c r="H2279" s="105"/>
      <c r="I2279" s="105"/>
      <c r="J2279" s="44" t="str">
        <f t="shared" si="311"/>
        <v/>
      </c>
      <c r="K2279" s="139"/>
      <c r="L2279" s="140"/>
      <c r="M2279" s="84"/>
      <c r="N2279" s="33">
        <f t="shared" si="276"/>
        <v>0</v>
      </c>
      <c r="O2279" s="101"/>
      <c r="P2279" s="34" t="str">
        <f t="shared" si="277"/>
        <v/>
      </c>
      <c r="Q2279" s="60"/>
      <c r="R2279" s="36">
        <f t="shared" si="312"/>
        <v>0</v>
      </c>
      <c r="S2279" s="102"/>
      <c r="T2279" s="37">
        <f t="shared" si="302"/>
        <v>0</v>
      </c>
      <c r="U2279" s="62"/>
      <c r="V2279" s="63"/>
      <c r="W2279" s="63"/>
      <c r="X2279" s="35" t="str">
        <f t="shared" si="303"/>
        <v>#N/A</v>
      </c>
      <c r="Y2279" s="35" t="str">
        <f t="shared" si="304"/>
        <v>#N/A</v>
      </c>
      <c r="Z2279" s="40" t="str">
        <f t="shared" si="305"/>
        <v>#N/A</v>
      </c>
      <c r="AA2279" s="34" t="str">
        <f t="shared" si="306"/>
        <v>#N/A</v>
      </c>
      <c r="AB2279" s="41" t="str">
        <f t="shared" si="307"/>
        <v>#N/A</v>
      </c>
      <c r="AC2279" s="42" t="b">
        <v>0</v>
      </c>
      <c r="AD2279" s="66" t="str">
        <f t="shared" si="308"/>
        <v>USD</v>
      </c>
      <c r="AE2279" s="42"/>
      <c r="AF2279" s="42" t="str">
        <f t="array" ref="AF2279">INDEX('Deal Info'!D:D, MATCH(A2279,'Deal Info'!A:A, 0))</f>
        <v>#N/A</v>
      </c>
      <c r="AG2279" s="43" t="str">
        <f t="array" ref="AG2279">INDEX('Deal Info'!G:G, MATCH(A2279,'Deal Info'!A:A, 0))</f>
        <v>#N/A</v>
      </c>
    </row>
    <row r="2280" hidden="1">
      <c r="A2280" s="23" t="b">
        <f t="array" ref="A2280">if(G2280='Room Info'!$B$1, INDEX('Room Info'!$A$2:$A3446, MATCH(B2280,'Room Info'!$B$2:$B3446, 0)),if(G2280='Room Info'!$C$1, INDEX('Room Info'!$A$2:$A3446, MATCH(B2280,'Room Info'!$C$2:$C3446, 0)),if(G2280='Room Info'!$D$1, INDEX('Room Info'!$A$2:$A3446, MATCH(B2280,'Room Info'!$D$2:$D3446, 0)),if(G2280='Room Info'!$E$1, INDEX('Room Info'!$A$2:$A3446, MATCH(B2280,'Room Info'!$E$2:$E3446, 0)),if(G2280='Room Info'!$F$1, INDEX('Room Info'!$A$2:$A3446, MATCH(B2280,'Room Info'!$F$2:$F3446, 0)),if(G2280='Room Info'!$H$1, INDEX('Room Info'!$A$2:$A3446, MATCH(B2280,'Room Info'!$H$2:$H3446, 0)),if(G2280='Room Info'!$G$1, INDEX('Room Info'!$A$2:$A3446, MATCH(B2280,'Room Info'!$G$2:$G3446, 0)))))))))</f>
        <v>0</v>
      </c>
      <c r="B2280" s="101"/>
      <c r="C2280" s="115"/>
      <c r="D2280" s="115"/>
      <c r="E2280" s="85"/>
      <c r="F2280" s="101"/>
      <c r="G2280" s="70"/>
      <c r="H2280" s="114"/>
      <c r="I2280" s="114"/>
      <c r="J2280" s="44" t="str">
        <f t="shared" si="311"/>
        <v/>
      </c>
      <c r="K2280" s="116"/>
      <c r="L2280" s="117"/>
      <c r="M2280" s="67"/>
      <c r="N2280" s="33">
        <f t="shared" si="276"/>
        <v>0</v>
      </c>
      <c r="O2280" s="70"/>
      <c r="P2280" s="34" t="str">
        <f t="shared" si="277"/>
        <v/>
      </c>
      <c r="Q2280" s="60"/>
      <c r="R2280" s="36">
        <f t="shared" si="312"/>
        <v>0</v>
      </c>
      <c r="S2280" s="71"/>
      <c r="T2280" s="37">
        <f t="shared" si="302"/>
        <v>0</v>
      </c>
      <c r="U2280" s="62"/>
      <c r="V2280" s="63"/>
      <c r="W2280" s="63"/>
      <c r="X2280" s="35" t="str">
        <f t="shared" si="303"/>
        <v>#N/A</v>
      </c>
      <c r="Y2280" s="35" t="str">
        <f t="shared" si="304"/>
        <v>#N/A</v>
      </c>
      <c r="Z2280" s="40" t="str">
        <f t="shared" si="305"/>
        <v>#N/A</v>
      </c>
      <c r="AA2280" s="34" t="str">
        <f t="shared" si="306"/>
        <v>#N/A</v>
      </c>
      <c r="AB2280" s="41" t="str">
        <f t="shared" si="307"/>
        <v>#N/A</v>
      </c>
      <c r="AC2280" s="42" t="b">
        <v>0</v>
      </c>
      <c r="AD2280" s="66" t="str">
        <f t="shared" si="308"/>
        <v>USD</v>
      </c>
      <c r="AE2280" s="42"/>
      <c r="AF2280" s="42" t="str">
        <f t="array" ref="AF2280">INDEX('Deal Info'!D:D, MATCH(A2280,'Deal Info'!A:A, 0))</f>
        <v>#N/A</v>
      </c>
      <c r="AG2280" s="43" t="str">
        <f t="array" ref="AG2280">INDEX('Deal Info'!G:G, MATCH(A2280,'Deal Info'!A:A, 0))</f>
        <v>#N/A</v>
      </c>
    </row>
    <row r="2281" hidden="1">
      <c r="A2281" s="23" t="b">
        <f t="array" ref="A2281">if(G2281='Room Info'!$B$1, INDEX('Room Info'!$A$2:$A3446, MATCH(B2281,'Room Info'!$B$2:$B3446, 0)),if(G2281='Room Info'!$C$1, INDEX('Room Info'!$A$2:$A3446, MATCH(B2281,'Room Info'!$C$2:$C3446, 0)),if(G2281='Room Info'!$D$1, INDEX('Room Info'!$A$2:$A3446, MATCH(B2281,'Room Info'!$D$2:$D3446, 0)),if(G2281='Room Info'!$E$1, INDEX('Room Info'!$A$2:$A3446, MATCH(B2281,'Room Info'!$E$2:$E3446, 0)),if(G2281='Room Info'!$F$1, INDEX('Room Info'!$A$2:$A3446, MATCH(B2281,'Room Info'!$F$2:$F3446, 0)),if(G2281='Room Info'!$H$1, INDEX('Room Info'!$A$2:$A3446, MATCH(B2281,'Room Info'!$H$2:$H3446, 0)),if(G2281='Room Info'!$G$1, INDEX('Room Info'!$A$2:$A3446, MATCH(B2281,'Room Info'!$G$2:$G3446, 0)))))))))</f>
        <v>0</v>
      </c>
      <c r="B2281" s="101"/>
      <c r="C2281" s="141"/>
      <c r="D2281" s="141"/>
      <c r="E2281" s="142"/>
      <c r="F2281" s="138"/>
      <c r="G2281" s="101"/>
      <c r="H2281" s="105"/>
      <c r="I2281" s="105"/>
      <c r="J2281" s="44" t="str">
        <f t="shared" si="311"/>
        <v/>
      </c>
      <c r="K2281" s="139"/>
      <c r="L2281" s="140"/>
      <c r="M2281" s="84"/>
      <c r="N2281" s="33">
        <f t="shared" si="276"/>
        <v>0</v>
      </c>
      <c r="O2281" s="101"/>
      <c r="P2281" s="34" t="str">
        <f t="shared" si="277"/>
        <v/>
      </c>
      <c r="Q2281" s="60"/>
      <c r="R2281" s="36">
        <f t="shared" si="312"/>
        <v>0</v>
      </c>
      <c r="S2281" s="102"/>
      <c r="T2281" s="37">
        <f t="shared" si="302"/>
        <v>0</v>
      </c>
      <c r="U2281" s="62"/>
      <c r="V2281" s="63"/>
      <c r="W2281" s="63"/>
      <c r="X2281" s="35" t="str">
        <f t="shared" si="303"/>
        <v>#N/A</v>
      </c>
      <c r="Y2281" s="35" t="str">
        <f t="shared" si="304"/>
        <v>#N/A</v>
      </c>
      <c r="Z2281" s="40" t="str">
        <f t="shared" si="305"/>
        <v>#N/A</v>
      </c>
      <c r="AA2281" s="34" t="str">
        <f t="shared" si="306"/>
        <v>#N/A</v>
      </c>
      <c r="AB2281" s="41" t="str">
        <f t="shared" si="307"/>
        <v>#N/A</v>
      </c>
      <c r="AC2281" s="42" t="b">
        <v>0</v>
      </c>
      <c r="AD2281" s="66" t="str">
        <f t="shared" si="308"/>
        <v>USD</v>
      </c>
      <c r="AE2281" s="42"/>
      <c r="AF2281" s="42" t="str">
        <f t="array" ref="AF2281">INDEX('Deal Info'!D:D, MATCH(A2281,'Deal Info'!A:A, 0))</f>
        <v>#N/A</v>
      </c>
      <c r="AG2281" s="43" t="str">
        <f t="array" ref="AG2281">INDEX('Deal Info'!G:G, MATCH(A2281,'Deal Info'!A:A, 0))</f>
        <v>#N/A</v>
      </c>
    </row>
    <row r="2282" hidden="1">
      <c r="A2282" s="23" t="b">
        <f t="array" ref="A2282">if(G2282='Room Info'!$B$1, INDEX('Room Info'!$A$2:$A3446, MATCH(B2282,'Room Info'!$B$2:$B3446, 0)),if(G2282='Room Info'!$C$1, INDEX('Room Info'!$A$2:$A3446, MATCH(B2282,'Room Info'!$C$2:$C3446, 0)),if(G2282='Room Info'!$D$1, INDEX('Room Info'!$A$2:$A3446, MATCH(B2282,'Room Info'!$D$2:$D3446, 0)),if(G2282='Room Info'!$E$1, INDEX('Room Info'!$A$2:$A3446, MATCH(B2282,'Room Info'!$E$2:$E3446, 0)),if(G2282='Room Info'!$F$1, INDEX('Room Info'!$A$2:$A3446, MATCH(B2282,'Room Info'!$F$2:$F3446, 0)),if(G2282='Room Info'!$H$1, INDEX('Room Info'!$A$2:$A3446, MATCH(B2282,'Room Info'!$H$2:$H3446, 0)),if(G2282='Room Info'!$G$1, INDEX('Room Info'!$A$2:$A3446, MATCH(B2282,'Room Info'!$G$2:$G3446, 0)))))))))</f>
        <v>0</v>
      </c>
      <c r="B2282" s="101"/>
      <c r="C2282" s="141"/>
      <c r="D2282" s="141"/>
      <c r="E2282" s="142"/>
      <c r="F2282" s="138"/>
      <c r="G2282" s="101"/>
      <c r="H2282" s="105"/>
      <c r="I2282" s="105"/>
      <c r="J2282" s="44" t="str">
        <f t="shared" si="311"/>
        <v/>
      </c>
      <c r="K2282" s="139"/>
      <c r="L2282" s="140"/>
      <c r="M2282" s="84"/>
      <c r="N2282" s="33">
        <f t="shared" si="276"/>
        <v>0</v>
      </c>
      <c r="O2282" s="101"/>
      <c r="P2282" s="34" t="str">
        <f t="shared" si="277"/>
        <v/>
      </c>
      <c r="Q2282" s="60"/>
      <c r="R2282" s="36">
        <f t="shared" si="312"/>
        <v>0</v>
      </c>
      <c r="S2282" s="102"/>
      <c r="T2282" s="37">
        <f t="shared" si="302"/>
        <v>0</v>
      </c>
      <c r="U2282" s="62"/>
      <c r="V2282" s="63"/>
      <c r="W2282" s="63"/>
      <c r="X2282" s="35" t="str">
        <f t="shared" si="303"/>
        <v>#N/A</v>
      </c>
      <c r="Y2282" s="35" t="str">
        <f t="shared" si="304"/>
        <v>#N/A</v>
      </c>
      <c r="Z2282" s="40" t="str">
        <f t="shared" si="305"/>
        <v>#N/A</v>
      </c>
      <c r="AA2282" s="34" t="str">
        <f t="shared" si="306"/>
        <v>#N/A</v>
      </c>
      <c r="AB2282" s="41" t="str">
        <f t="shared" si="307"/>
        <v>#N/A</v>
      </c>
      <c r="AC2282" s="42" t="b">
        <v>0</v>
      </c>
      <c r="AD2282" s="66" t="str">
        <f t="shared" si="308"/>
        <v>USD</v>
      </c>
      <c r="AE2282" s="42"/>
      <c r="AF2282" s="42" t="str">
        <f t="array" ref="AF2282">INDEX('Deal Info'!D:D, MATCH(A2282,'Deal Info'!A:A, 0))</f>
        <v>#N/A</v>
      </c>
      <c r="AG2282" s="43" t="str">
        <f t="array" ref="AG2282">INDEX('Deal Info'!G:G, MATCH(A2282,'Deal Info'!A:A, 0))</f>
        <v>#N/A</v>
      </c>
    </row>
    <row r="2283" hidden="1">
      <c r="A2283" s="23" t="b">
        <f t="array" ref="A2283">if(G2283='Room Info'!$B$1, INDEX('Room Info'!$A$2:$A3446, MATCH(B2283,'Room Info'!$B$2:$B3446, 0)),if(G2283='Room Info'!$C$1, INDEX('Room Info'!$A$2:$A3446, MATCH(B2283,'Room Info'!$C$2:$C3446, 0)),if(G2283='Room Info'!$D$1, INDEX('Room Info'!$A$2:$A3446, MATCH(B2283,'Room Info'!$D$2:$D3446, 0)),if(G2283='Room Info'!$E$1, INDEX('Room Info'!$A$2:$A3446, MATCH(B2283,'Room Info'!$E$2:$E3446, 0)),if(G2283='Room Info'!$F$1, INDEX('Room Info'!$A$2:$A3446, MATCH(B2283,'Room Info'!$F$2:$F3446, 0)),if(G2283='Room Info'!$H$1, INDEX('Room Info'!$A$2:$A3446, MATCH(B2283,'Room Info'!$H$2:$H3446, 0)),if(G2283='Room Info'!$G$1, INDEX('Room Info'!$A$2:$A3446, MATCH(B2283,'Room Info'!$G$2:$G3446, 0)))))))))</f>
        <v>0</v>
      </c>
      <c r="B2283" s="101"/>
      <c r="C2283" s="141"/>
      <c r="D2283" s="141"/>
      <c r="E2283" s="142"/>
      <c r="F2283" s="138"/>
      <c r="G2283" s="101"/>
      <c r="H2283" s="105"/>
      <c r="I2283" s="105"/>
      <c r="J2283" s="44" t="str">
        <f t="shared" si="311"/>
        <v/>
      </c>
      <c r="K2283" s="139"/>
      <c r="L2283" s="144"/>
      <c r="M2283" s="67"/>
      <c r="N2283" s="33">
        <f t="shared" si="276"/>
        <v>0</v>
      </c>
      <c r="O2283" s="74"/>
      <c r="P2283" s="34" t="str">
        <f t="shared" si="277"/>
        <v/>
      </c>
      <c r="Q2283" s="60"/>
      <c r="R2283" s="36">
        <f t="shared" si="312"/>
        <v>0</v>
      </c>
      <c r="S2283" s="137"/>
      <c r="T2283" s="37">
        <f t="shared" si="302"/>
        <v>0</v>
      </c>
      <c r="U2283" s="62"/>
      <c r="V2283" s="63"/>
      <c r="W2283" s="63"/>
      <c r="X2283" s="35" t="str">
        <f t="shared" si="303"/>
        <v>#N/A</v>
      </c>
      <c r="Y2283" s="35" t="str">
        <f t="shared" si="304"/>
        <v>#N/A</v>
      </c>
      <c r="Z2283" s="40" t="str">
        <f t="shared" si="305"/>
        <v>#N/A</v>
      </c>
      <c r="AA2283" s="34" t="str">
        <f t="shared" si="306"/>
        <v>#N/A</v>
      </c>
      <c r="AB2283" s="41" t="str">
        <f t="shared" si="307"/>
        <v>#N/A</v>
      </c>
      <c r="AC2283" s="42" t="b">
        <v>0</v>
      </c>
      <c r="AD2283" s="66" t="str">
        <f t="shared" si="308"/>
        <v>USD</v>
      </c>
      <c r="AE2283" s="42"/>
      <c r="AF2283" s="42" t="str">
        <f t="array" ref="AF2283">INDEX('Deal Info'!D:D, MATCH(A2283,'Deal Info'!A:A, 0))</f>
        <v>#N/A</v>
      </c>
      <c r="AG2283" s="43" t="str">
        <f t="array" ref="AG2283">INDEX('Deal Info'!G:G, MATCH(A2283,'Deal Info'!A:A, 0))</f>
        <v>#N/A</v>
      </c>
    </row>
    <row r="2284" hidden="1">
      <c r="A2284" s="23" t="b">
        <f t="array" ref="A2284">if(G2284='Room Info'!$B$1, INDEX('Room Info'!$A$2:$A3446, MATCH(B2284,'Room Info'!$B$2:$B3446, 0)),if(G2284='Room Info'!$C$1, INDEX('Room Info'!$A$2:$A3446, MATCH(B2284,'Room Info'!$C$2:$C3446, 0)),if(G2284='Room Info'!$D$1, INDEX('Room Info'!$A$2:$A3446, MATCH(B2284,'Room Info'!$D$2:$D3446, 0)),if(G2284='Room Info'!$E$1, INDEX('Room Info'!$A$2:$A3446, MATCH(B2284,'Room Info'!$E$2:$E3446, 0)),if(G2284='Room Info'!$F$1, INDEX('Room Info'!$A$2:$A3446, MATCH(B2284,'Room Info'!$F$2:$F3446, 0)),if(G2284='Room Info'!$H$1, INDEX('Room Info'!$A$2:$A3446, MATCH(B2284,'Room Info'!$H$2:$H3446, 0)),if(G2284='Room Info'!$G$1, INDEX('Room Info'!$A$2:$A3446, MATCH(B2284,'Room Info'!$G$2:$G3446, 0)))))))))</f>
        <v>0</v>
      </c>
      <c r="B2284" s="101"/>
      <c r="C2284" s="141"/>
      <c r="D2284" s="141"/>
      <c r="E2284" s="142"/>
      <c r="F2284" s="138"/>
      <c r="G2284" s="101"/>
      <c r="H2284" s="105"/>
      <c r="I2284" s="105"/>
      <c r="J2284" s="44" t="str">
        <f t="shared" si="311"/>
        <v/>
      </c>
      <c r="K2284" s="139"/>
      <c r="L2284" s="144"/>
      <c r="M2284" s="67"/>
      <c r="N2284" s="33">
        <f t="shared" si="276"/>
        <v>0</v>
      </c>
      <c r="O2284" s="74"/>
      <c r="P2284" s="34" t="str">
        <f t="shared" si="277"/>
        <v/>
      </c>
      <c r="Q2284" s="60"/>
      <c r="R2284" s="36">
        <f t="shared" si="312"/>
        <v>0</v>
      </c>
      <c r="S2284" s="137"/>
      <c r="T2284" s="37">
        <f t="shared" si="302"/>
        <v>0</v>
      </c>
      <c r="U2284" s="62"/>
      <c r="V2284" s="63"/>
      <c r="W2284" s="63"/>
      <c r="X2284" s="35" t="str">
        <f t="shared" si="303"/>
        <v>#N/A</v>
      </c>
      <c r="Y2284" s="35" t="str">
        <f t="shared" si="304"/>
        <v>#N/A</v>
      </c>
      <c r="Z2284" s="40" t="str">
        <f t="shared" si="305"/>
        <v>#N/A</v>
      </c>
      <c r="AA2284" s="34" t="str">
        <f t="shared" si="306"/>
        <v>#N/A</v>
      </c>
      <c r="AB2284" s="41" t="str">
        <f t="shared" si="307"/>
        <v>#N/A</v>
      </c>
      <c r="AC2284" s="42" t="b">
        <v>0</v>
      </c>
      <c r="AD2284" s="66" t="str">
        <f t="shared" si="308"/>
        <v>USD</v>
      </c>
      <c r="AE2284" s="42"/>
      <c r="AF2284" s="42" t="str">
        <f t="array" ref="AF2284">INDEX('Deal Info'!D:D, MATCH(A2284,'Deal Info'!A:A, 0))</f>
        <v>#N/A</v>
      </c>
      <c r="AG2284" s="43" t="str">
        <f t="array" ref="AG2284">INDEX('Deal Info'!G:G, MATCH(A2284,'Deal Info'!A:A, 0))</f>
        <v>#N/A</v>
      </c>
    </row>
    <row r="2285" hidden="1">
      <c r="A2285" s="23" t="b">
        <f t="array" ref="A2285">if(G2285='Room Info'!$B$1, INDEX('Room Info'!$A$2:$A3446, MATCH(B2285,'Room Info'!$B$2:$B3446, 0)),if(G2285='Room Info'!$C$1, INDEX('Room Info'!$A$2:$A3446, MATCH(B2285,'Room Info'!$C$2:$C3446, 0)),if(G2285='Room Info'!$D$1, INDEX('Room Info'!$A$2:$A3446, MATCH(B2285,'Room Info'!$D$2:$D3446, 0)),if(G2285='Room Info'!$E$1, INDEX('Room Info'!$A$2:$A3446, MATCH(B2285,'Room Info'!$E$2:$E3446, 0)),if(G2285='Room Info'!$F$1, INDEX('Room Info'!$A$2:$A3446, MATCH(B2285,'Room Info'!$F$2:$F3446, 0)),if(G2285='Room Info'!$H$1, INDEX('Room Info'!$A$2:$A3446, MATCH(B2285,'Room Info'!$H$2:$H3446, 0)),if(G2285='Room Info'!$G$1, INDEX('Room Info'!$A$2:$A3446, MATCH(B2285,'Room Info'!$G$2:$G3446, 0)))))))))</f>
        <v>0</v>
      </c>
      <c r="B2285" s="70"/>
      <c r="C2285" s="115"/>
      <c r="D2285" s="115"/>
      <c r="E2285" s="85"/>
      <c r="F2285" s="138"/>
      <c r="G2285" s="70"/>
      <c r="H2285" s="114"/>
      <c r="I2285" s="114"/>
      <c r="J2285" s="44" t="str">
        <f t="shared" si="311"/>
        <v/>
      </c>
      <c r="K2285" s="116"/>
      <c r="L2285" s="143"/>
      <c r="M2285" s="67"/>
      <c r="N2285" s="33">
        <f t="shared" si="276"/>
        <v>0</v>
      </c>
      <c r="O2285" s="133"/>
      <c r="P2285" s="34" t="str">
        <f t="shared" si="277"/>
        <v/>
      </c>
      <c r="Q2285" s="60"/>
      <c r="R2285" s="36">
        <f t="shared" si="312"/>
        <v>0</v>
      </c>
      <c r="S2285" s="122"/>
      <c r="T2285" s="37">
        <f t="shared" si="302"/>
        <v>0</v>
      </c>
      <c r="U2285" s="62"/>
      <c r="V2285" s="63"/>
      <c r="W2285" s="63"/>
      <c r="X2285" s="35" t="str">
        <f t="shared" si="303"/>
        <v>#N/A</v>
      </c>
      <c r="Y2285" s="35" t="str">
        <f t="shared" si="304"/>
        <v>#N/A</v>
      </c>
      <c r="Z2285" s="40" t="str">
        <f t="shared" si="305"/>
        <v>#N/A</v>
      </c>
      <c r="AA2285" s="34" t="str">
        <f t="shared" si="306"/>
        <v>#N/A</v>
      </c>
      <c r="AB2285" s="41" t="str">
        <f t="shared" si="307"/>
        <v>#N/A</v>
      </c>
      <c r="AC2285" s="42" t="b">
        <v>0</v>
      </c>
      <c r="AD2285" s="66" t="str">
        <f t="shared" si="308"/>
        <v>USD</v>
      </c>
      <c r="AE2285" s="42"/>
      <c r="AF2285" s="42" t="str">
        <f t="array" ref="AF2285">INDEX('Deal Info'!D:D, MATCH(A2285,'Deal Info'!A:A, 0))</f>
        <v>#N/A</v>
      </c>
      <c r="AG2285" s="43" t="str">
        <f t="array" ref="AG2285">INDEX('Deal Info'!G:G, MATCH(A2285,'Deal Info'!A:A, 0))</f>
        <v>#N/A</v>
      </c>
    </row>
    <row r="2286" hidden="1">
      <c r="A2286" s="23" t="b">
        <f t="array" ref="A2286">if(G2286='Room Info'!$B$1, INDEX('Room Info'!$A$2:$A3446, MATCH(B2286,'Room Info'!$B$2:$B3446, 0)),if(G2286='Room Info'!$C$1, INDEX('Room Info'!$A$2:$A3446, MATCH(B2286,'Room Info'!$C$2:$C3446, 0)),if(G2286='Room Info'!$D$1, INDEX('Room Info'!$A$2:$A3446, MATCH(B2286,'Room Info'!$D$2:$D3446, 0)),if(G2286='Room Info'!$E$1, INDEX('Room Info'!$A$2:$A3446, MATCH(B2286,'Room Info'!$E$2:$E3446, 0)),if(G2286='Room Info'!$F$1, INDEX('Room Info'!$A$2:$A3446, MATCH(B2286,'Room Info'!$F$2:$F3446, 0)),if(G2286='Room Info'!$H$1, INDEX('Room Info'!$A$2:$A3446, MATCH(B2286,'Room Info'!$H$2:$H3446, 0)),if(G2286='Room Info'!$G$1, INDEX('Room Info'!$A$2:$A3446, MATCH(B2286,'Room Info'!$G$2:$G3446, 0)))))))))</f>
        <v>0</v>
      </c>
      <c r="B2286" s="70"/>
      <c r="C2286" s="115"/>
      <c r="D2286" s="115"/>
      <c r="E2286" s="85"/>
      <c r="F2286" s="138"/>
      <c r="G2286" s="70"/>
      <c r="H2286" s="114"/>
      <c r="I2286" s="114"/>
      <c r="J2286" s="44" t="str">
        <f t="shared" si="311"/>
        <v/>
      </c>
      <c r="K2286" s="116"/>
      <c r="L2286" s="143"/>
      <c r="M2286" s="67"/>
      <c r="N2286" s="33">
        <f t="shared" si="276"/>
        <v>0</v>
      </c>
      <c r="O2286" s="133"/>
      <c r="P2286" s="34" t="str">
        <f t="shared" si="277"/>
        <v/>
      </c>
      <c r="Q2286" s="60"/>
      <c r="R2286" s="36">
        <f t="shared" si="312"/>
        <v>0</v>
      </c>
      <c r="S2286" s="122"/>
      <c r="T2286" s="37">
        <f t="shared" si="302"/>
        <v>0</v>
      </c>
      <c r="U2286" s="62"/>
      <c r="V2286" s="63"/>
      <c r="W2286" s="63"/>
      <c r="X2286" s="35" t="str">
        <f t="shared" si="303"/>
        <v>#N/A</v>
      </c>
      <c r="Y2286" s="35" t="str">
        <f t="shared" si="304"/>
        <v>#N/A</v>
      </c>
      <c r="Z2286" s="40" t="str">
        <f t="shared" si="305"/>
        <v>#N/A</v>
      </c>
      <c r="AA2286" s="34" t="str">
        <f t="shared" si="306"/>
        <v>#N/A</v>
      </c>
      <c r="AB2286" s="41" t="str">
        <f t="shared" si="307"/>
        <v>#N/A</v>
      </c>
      <c r="AC2286" s="42" t="b">
        <v>0</v>
      </c>
      <c r="AD2286" s="66" t="str">
        <f t="shared" si="308"/>
        <v>USD</v>
      </c>
      <c r="AE2286" s="42"/>
      <c r="AF2286" s="42" t="str">
        <f t="array" ref="AF2286">INDEX('Deal Info'!D:D, MATCH(A2286,'Deal Info'!A:A, 0))</f>
        <v>#N/A</v>
      </c>
      <c r="AG2286" s="43" t="str">
        <f t="array" ref="AG2286">INDEX('Deal Info'!G:G, MATCH(A2286,'Deal Info'!A:A, 0))</f>
        <v>#N/A</v>
      </c>
    </row>
    <row r="2287" hidden="1">
      <c r="A2287" s="23" t="b">
        <f t="array" ref="A2287">if(G2287='Room Info'!$B$1, INDEX('Room Info'!$A$2:$A3446, MATCH(B2287,'Room Info'!$B$2:$B3446, 0)),if(G2287='Room Info'!$C$1, INDEX('Room Info'!$A$2:$A3446, MATCH(B2287,'Room Info'!$C$2:$C3446, 0)),if(G2287='Room Info'!$D$1, INDEX('Room Info'!$A$2:$A3446, MATCH(B2287,'Room Info'!$D$2:$D3446, 0)),if(G2287='Room Info'!$E$1, INDEX('Room Info'!$A$2:$A3446, MATCH(B2287,'Room Info'!$E$2:$E3446, 0)),if(G2287='Room Info'!$F$1, INDEX('Room Info'!$A$2:$A3446, MATCH(B2287,'Room Info'!$F$2:$F3446, 0)),if(G2287='Room Info'!$H$1, INDEX('Room Info'!$A$2:$A3446, MATCH(B2287,'Room Info'!$H$2:$H3446, 0)),if(G2287='Room Info'!$G$1, INDEX('Room Info'!$A$2:$A3446, MATCH(B2287,'Room Info'!$G$2:$G3446, 0)))))))))</f>
        <v>0</v>
      </c>
      <c r="B2287" s="70"/>
      <c r="C2287" s="115"/>
      <c r="D2287" s="115"/>
      <c r="E2287" s="85"/>
      <c r="F2287" s="138"/>
      <c r="G2287" s="70"/>
      <c r="H2287" s="114"/>
      <c r="I2287" s="114"/>
      <c r="J2287" s="44" t="str">
        <f t="shared" si="311"/>
        <v/>
      </c>
      <c r="K2287" s="116"/>
      <c r="L2287" s="143"/>
      <c r="M2287" s="67"/>
      <c r="N2287" s="33">
        <f t="shared" si="276"/>
        <v>0</v>
      </c>
      <c r="O2287" s="133"/>
      <c r="P2287" s="34" t="str">
        <f t="shared" si="277"/>
        <v/>
      </c>
      <c r="Q2287" s="60"/>
      <c r="R2287" s="36">
        <f t="shared" si="312"/>
        <v>0</v>
      </c>
      <c r="S2287" s="122"/>
      <c r="T2287" s="37">
        <f t="shared" si="302"/>
        <v>0</v>
      </c>
      <c r="U2287" s="62"/>
      <c r="V2287" s="63"/>
      <c r="W2287" s="63"/>
      <c r="X2287" s="35" t="str">
        <f t="shared" si="303"/>
        <v>#N/A</v>
      </c>
      <c r="Y2287" s="35" t="str">
        <f t="shared" si="304"/>
        <v>#N/A</v>
      </c>
      <c r="Z2287" s="40" t="str">
        <f t="shared" si="305"/>
        <v>#N/A</v>
      </c>
      <c r="AA2287" s="34" t="str">
        <f t="shared" si="306"/>
        <v>#N/A</v>
      </c>
      <c r="AB2287" s="41" t="str">
        <f t="shared" si="307"/>
        <v>#N/A</v>
      </c>
      <c r="AC2287" s="42" t="b">
        <v>0</v>
      </c>
      <c r="AD2287" s="66" t="str">
        <f t="shared" si="308"/>
        <v>USD</v>
      </c>
      <c r="AE2287" s="42"/>
      <c r="AF2287" s="42" t="str">
        <f t="array" ref="AF2287">INDEX('Deal Info'!D:D, MATCH(A2287,'Deal Info'!A:A, 0))</f>
        <v>#N/A</v>
      </c>
      <c r="AG2287" s="43" t="str">
        <f t="array" ref="AG2287">INDEX('Deal Info'!G:G, MATCH(A2287,'Deal Info'!A:A, 0))</f>
        <v>#N/A</v>
      </c>
    </row>
    <row r="2288" hidden="1">
      <c r="A2288" s="23" t="b">
        <f t="array" ref="A2288">if(G2288='Room Info'!$B$1, INDEX('Room Info'!$A$2:$A3446, MATCH(B2288,'Room Info'!$B$2:$B3446, 0)),if(G2288='Room Info'!$C$1, INDEX('Room Info'!$A$2:$A3446, MATCH(B2288,'Room Info'!$C$2:$C3446, 0)),if(G2288='Room Info'!$D$1, INDEX('Room Info'!$A$2:$A3446, MATCH(B2288,'Room Info'!$D$2:$D3446, 0)),if(G2288='Room Info'!$E$1, INDEX('Room Info'!$A$2:$A3446, MATCH(B2288,'Room Info'!$E$2:$E3446, 0)),if(G2288='Room Info'!$F$1, INDEX('Room Info'!$A$2:$A3446, MATCH(B2288,'Room Info'!$F$2:$F3446, 0)),if(G2288='Room Info'!$H$1, INDEX('Room Info'!$A$2:$A3446, MATCH(B2288,'Room Info'!$H$2:$H3446, 0)),if(G2288='Room Info'!$G$1, INDEX('Room Info'!$A$2:$A3446, MATCH(B2288,'Room Info'!$G$2:$G3446, 0)))))))))</f>
        <v>0</v>
      </c>
      <c r="B2288" s="70"/>
      <c r="C2288" s="115"/>
      <c r="D2288" s="115"/>
      <c r="E2288" s="85"/>
      <c r="F2288" s="138"/>
      <c r="G2288" s="70"/>
      <c r="H2288" s="114"/>
      <c r="I2288" s="114"/>
      <c r="J2288" s="44" t="str">
        <f t="shared" si="311"/>
        <v/>
      </c>
      <c r="K2288" s="116"/>
      <c r="L2288" s="143"/>
      <c r="M2288" s="67"/>
      <c r="N2288" s="33">
        <f t="shared" si="276"/>
        <v>0</v>
      </c>
      <c r="O2288" s="133"/>
      <c r="P2288" s="34" t="str">
        <f t="shared" si="277"/>
        <v/>
      </c>
      <c r="Q2288" s="60"/>
      <c r="R2288" s="36">
        <f t="shared" si="312"/>
        <v>0</v>
      </c>
      <c r="S2288" s="122"/>
      <c r="T2288" s="37">
        <f t="shared" si="302"/>
        <v>0</v>
      </c>
      <c r="U2288" s="62"/>
      <c r="V2288" s="63"/>
      <c r="W2288" s="63"/>
      <c r="X2288" s="35" t="str">
        <f t="shared" si="303"/>
        <v>#N/A</v>
      </c>
      <c r="Y2288" s="35" t="str">
        <f t="shared" si="304"/>
        <v>#N/A</v>
      </c>
      <c r="Z2288" s="40" t="str">
        <f t="shared" si="305"/>
        <v>#N/A</v>
      </c>
      <c r="AA2288" s="34" t="str">
        <f t="shared" si="306"/>
        <v>#N/A</v>
      </c>
      <c r="AB2288" s="41" t="str">
        <f t="shared" si="307"/>
        <v>#N/A</v>
      </c>
      <c r="AC2288" s="42" t="b">
        <v>0</v>
      </c>
      <c r="AD2288" s="66" t="str">
        <f t="shared" si="308"/>
        <v>USD</v>
      </c>
      <c r="AE2288" s="42"/>
      <c r="AF2288" s="42" t="str">
        <f t="array" ref="AF2288">INDEX('Deal Info'!D:D, MATCH(A2288,'Deal Info'!A:A, 0))</f>
        <v>#N/A</v>
      </c>
      <c r="AG2288" s="43" t="str">
        <f t="array" ref="AG2288">INDEX('Deal Info'!G:G, MATCH(A2288,'Deal Info'!A:A, 0))</f>
        <v>#N/A</v>
      </c>
    </row>
    <row r="2289" hidden="1">
      <c r="A2289" s="23" t="b">
        <f t="array" ref="A2289">if(G2289='Room Info'!$B$1, INDEX('Room Info'!$A$2:$A3446, MATCH(B2289,'Room Info'!$B$2:$B3446, 0)),if(G2289='Room Info'!$C$1, INDEX('Room Info'!$A$2:$A3446, MATCH(B2289,'Room Info'!$C$2:$C3446, 0)),if(G2289='Room Info'!$D$1, INDEX('Room Info'!$A$2:$A3446, MATCH(B2289,'Room Info'!$D$2:$D3446, 0)),if(G2289='Room Info'!$E$1, INDEX('Room Info'!$A$2:$A3446, MATCH(B2289,'Room Info'!$E$2:$E3446, 0)),if(G2289='Room Info'!$F$1, INDEX('Room Info'!$A$2:$A3446, MATCH(B2289,'Room Info'!$F$2:$F3446, 0)),if(G2289='Room Info'!$H$1, INDEX('Room Info'!$A$2:$A3446, MATCH(B2289,'Room Info'!$H$2:$H3446, 0)),if(G2289='Room Info'!$G$1, INDEX('Room Info'!$A$2:$A3446, MATCH(B2289,'Room Info'!$G$2:$G3446, 0)))))))))</f>
        <v>0</v>
      </c>
      <c r="B2289" s="70"/>
      <c r="C2289" s="115"/>
      <c r="D2289" s="115"/>
      <c r="E2289" s="85"/>
      <c r="F2289" s="138"/>
      <c r="G2289" s="70"/>
      <c r="H2289" s="114"/>
      <c r="I2289" s="114"/>
      <c r="J2289" s="44" t="str">
        <f t="shared" si="311"/>
        <v/>
      </c>
      <c r="K2289" s="116"/>
      <c r="L2289" s="143"/>
      <c r="M2289" s="67"/>
      <c r="N2289" s="33">
        <f t="shared" si="276"/>
        <v>0</v>
      </c>
      <c r="O2289" s="133"/>
      <c r="P2289" s="34" t="str">
        <f t="shared" si="277"/>
        <v/>
      </c>
      <c r="Q2289" s="60"/>
      <c r="R2289" s="36">
        <f t="shared" si="312"/>
        <v>0</v>
      </c>
      <c r="S2289" s="122"/>
      <c r="T2289" s="37">
        <f t="shared" si="302"/>
        <v>0</v>
      </c>
      <c r="U2289" s="62"/>
      <c r="V2289" s="63"/>
      <c r="W2289" s="63"/>
      <c r="X2289" s="35" t="str">
        <f t="shared" si="303"/>
        <v>#N/A</v>
      </c>
      <c r="Y2289" s="35" t="str">
        <f t="shared" si="304"/>
        <v>#N/A</v>
      </c>
      <c r="Z2289" s="40" t="str">
        <f t="shared" si="305"/>
        <v>#N/A</v>
      </c>
      <c r="AA2289" s="34" t="str">
        <f t="shared" si="306"/>
        <v>#N/A</v>
      </c>
      <c r="AB2289" s="41" t="str">
        <f t="shared" si="307"/>
        <v>#N/A</v>
      </c>
      <c r="AC2289" s="42" t="b">
        <v>0</v>
      </c>
      <c r="AD2289" s="66" t="str">
        <f t="shared" si="308"/>
        <v>USD</v>
      </c>
      <c r="AE2289" s="42"/>
      <c r="AF2289" s="42" t="str">
        <f t="array" ref="AF2289">INDEX('Deal Info'!D:D, MATCH(A2289,'Deal Info'!A:A, 0))</f>
        <v>#N/A</v>
      </c>
      <c r="AG2289" s="43" t="str">
        <f t="array" ref="AG2289">INDEX('Deal Info'!G:G, MATCH(A2289,'Deal Info'!A:A, 0))</f>
        <v>#N/A</v>
      </c>
    </row>
    <row r="2290" hidden="1">
      <c r="A2290" s="23" t="b">
        <f t="array" ref="A2290">if(G2290='Room Info'!$B$1, INDEX('Room Info'!$A$2:$A3446, MATCH(B2290,'Room Info'!$B$2:$B3446, 0)),if(G2290='Room Info'!$C$1, INDEX('Room Info'!$A$2:$A3446, MATCH(B2290,'Room Info'!$C$2:$C3446, 0)),if(G2290='Room Info'!$D$1, INDEX('Room Info'!$A$2:$A3446, MATCH(B2290,'Room Info'!$D$2:$D3446, 0)),if(G2290='Room Info'!$E$1, INDEX('Room Info'!$A$2:$A3446, MATCH(B2290,'Room Info'!$E$2:$E3446, 0)),if(G2290='Room Info'!$F$1, INDEX('Room Info'!$A$2:$A3446, MATCH(B2290,'Room Info'!$F$2:$F3446, 0)),if(G2290='Room Info'!$H$1, INDEX('Room Info'!$A$2:$A3446, MATCH(B2290,'Room Info'!$H$2:$H3446, 0)),if(G2290='Room Info'!$G$1, INDEX('Room Info'!$A$2:$A3446, MATCH(B2290,'Room Info'!$G$2:$G3446, 0)))))))))</f>
        <v>0</v>
      </c>
      <c r="B2290" s="70"/>
      <c r="C2290" s="115"/>
      <c r="D2290" s="115"/>
      <c r="E2290" s="85"/>
      <c r="F2290" s="138"/>
      <c r="G2290" s="70"/>
      <c r="H2290" s="114"/>
      <c r="I2290" s="114"/>
      <c r="J2290" s="44" t="str">
        <f t="shared" si="311"/>
        <v/>
      </c>
      <c r="K2290" s="116"/>
      <c r="L2290" s="143"/>
      <c r="M2290" s="67"/>
      <c r="N2290" s="33">
        <f t="shared" si="276"/>
        <v>0</v>
      </c>
      <c r="O2290" s="133"/>
      <c r="P2290" s="34" t="str">
        <f t="shared" si="277"/>
        <v/>
      </c>
      <c r="Q2290" s="60"/>
      <c r="R2290" s="36">
        <f t="shared" si="312"/>
        <v>0</v>
      </c>
      <c r="S2290" s="122"/>
      <c r="T2290" s="37">
        <f t="shared" si="302"/>
        <v>0</v>
      </c>
      <c r="U2290" s="62"/>
      <c r="V2290" s="63"/>
      <c r="W2290" s="63"/>
      <c r="X2290" s="35" t="str">
        <f t="shared" si="303"/>
        <v>#N/A</v>
      </c>
      <c r="Y2290" s="35" t="str">
        <f t="shared" si="304"/>
        <v>#N/A</v>
      </c>
      <c r="Z2290" s="40" t="str">
        <f t="shared" si="305"/>
        <v>#N/A</v>
      </c>
      <c r="AA2290" s="34" t="str">
        <f t="shared" si="306"/>
        <v>#N/A</v>
      </c>
      <c r="AB2290" s="41" t="str">
        <f t="shared" si="307"/>
        <v>#N/A</v>
      </c>
      <c r="AC2290" s="42" t="b">
        <v>0</v>
      </c>
      <c r="AD2290" s="66" t="str">
        <f t="shared" si="308"/>
        <v>USD</v>
      </c>
      <c r="AE2290" s="42"/>
      <c r="AF2290" s="42" t="str">
        <f t="array" ref="AF2290">INDEX('Deal Info'!D:D, MATCH(A2290,'Deal Info'!A:A, 0))</f>
        <v>#N/A</v>
      </c>
      <c r="AG2290" s="43" t="str">
        <f t="array" ref="AG2290">INDEX('Deal Info'!G:G, MATCH(A2290,'Deal Info'!A:A, 0))</f>
        <v>#N/A</v>
      </c>
    </row>
    <row r="2291" hidden="1">
      <c r="A2291" s="23" t="b">
        <f t="array" ref="A2291">if(G2291='Room Info'!$B$1, INDEX('Room Info'!$A$2:$A3446, MATCH(B2291,'Room Info'!$B$2:$B3446, 0)),if(G2291='Room Info'!$C$1, INDEX('Room Info'!$A$2:$A3446, MATCH(B2291,'Room Info'!$C$2:$C3446, 0)),if(G2291='Room Info'!$D$1, INDEX('Room Info'!$A$2:$A3446, MATCH(B2291,'Room Info'!$D$2:$D3446, 0)),if(G2291='Room Info'!$E$1, INDEX('Room Info'!$A$2:$A3446, MATCH(B2291,'Room Info'!$E$2:$E3446, 0)),if(G2291='Room Info'!$F$1, INDEX('Room Info'!$A$2:$A3446, MATCH(B2291,'Room Info'!$F$2:$F3446, 0)),if(G2291='Room Info'!$H$1, INDEX('Room Info'!$A$2:$A3446, MATCH(B2291,'Room Info'!$H$2:$H3446, 0)),if(G2291='Room Info'!$G$1, INDEX('Room Info'!$A$2:$A3446, MATCH(B2291,'Room Info'!$G$2:$G3446, 0)))))))))</f>
        <v>0</v>
      </c>
      <c r="B2291" s="70"/>
      <c r="C2291" s="115"/>
      <c r="D2291" s="115"/>
      <c r="E2291" s="85"/>
      <c r="F2291" s="138"/>
      <c r="G2291" s="70"/>
      <c r="H2291" s="114"/>
      <c r="I2291" s="114"/>
      <c r="J2291" s="44" t="str">
        <f t="shared" si="311"/>
        <v/>
      </c>
      <c r="K2291" s="116"/>
      <c r="L2291" s="143"/>
      <c r="M2291" s="67"/>
      <c r="N2291" s="33">
        <f t="shared" si="276"/>
        <v>0</v>
      </c>
      <c r="O2291" s="133"/>
      <c r="P2291" s="34" t="str">
        <f t="shared" si="277"/>
        <v/>
      </c>
      <c r="Q2291" s="60"/>
      <c r="R2291" s="36">
        <f t="shared" si="312"/>
        <v>0</v>
      </c>
      <c r="S2291" s="122"/>
      <c r="T2291" s="37">
        <f t="shared" si="302"/>
        <v>0</v>
      </c>
      <c r="U2291" s="62"/>
      <c r="V2291" s="63"/>
      <c r="W2291" s="63"/>
      <c r="X2291" s="35" t="str">
        <f t="shared" si="303"/>
        <v>#N/A</v>
      </c>
      <c r="Y2291" s="35" t="str">
        <f t="shared" si="304"/>
        <v>#N/A</v>
      </c>
      <c r="Z2291" s="40" t="str">
        <f t="shared" si="305"/>
        <v>#N/A</v>
      </c>
      <c r="AA2291" s="34" t="str">
        <f t="shared" si="306"/>
        <v>#N/A</v>
      </c>
      <c r="AB2291" s="41" t="str">
        <f t="shared" si="307"/>
        <v>#N/A</v>
      </c>
      <c r="AC2291" s="42" t="b">
        <v>0</v>
      </c>
      <c r="AD2291" s="66" t="str">
        <f t="shared" si="308"/>
        <v>USD</v>
      </c>
      <c r="AE2291" s="42"/>
      <c r="AF2291" s="42" t="str">
        <f t="array" ref="AF2291">INDEX('Deal Info'!D:D, MATCH(A2291,'Deal Info'!A:A, 0))</f>
        <v>#N/A</v>
      </c>
      <c r="AG2291" s="43" t="str">
        <f t="array" ref="AG2291">INDEX('Deal Info'!G:G, MATCH(A2291,'Deal Info'!A:A, 0))</f>
        <v>#N/A</v>
      </c>
    </row>
    <row r="2292" hidden="1">
      <c r="A2292" s="23" t="b">
        <f t="array" ref="A2292">if(G2292='Room Info'!$B$1, INDEX('Room Info'!$A$2:$A3446, MATCH(B2292,'Room Info'!$B$2:$B3446, 0)),if(G2292='Room Info'!$C$1, INDEX('Room Info'!$A$2:$A3446, MATCH(B2292,'Room Info'!$C$2:$C3446, 0)),if(G2292='Room Info'!$D$1, INDEX('Room Info'!$A$2:$A3446, MATCH(B2292,'Room Info'!$D$2:$D3446, 0)),if(G2292='Room Info'!$E$1, INDEX('Room Info'!$A$2:$A3446, MATCH(B2292,'Room Info'!$E$2:$E3446, 0)),if(G2292='Room Info'!$F$1, INDEX('Room Info'!$A$2:$A3446, MATCH(B2292,'Room Info'!$F$2:$F3446, 0)),if(G2292='Room Info'!$H$1, INDEX('Room Info'!$A$2:$A3446, MATCH(B2292,'Room Info'!$H$2:$H3446, 0)),if(G2292='Room Info'!$G$1, INDEX('Room Info'!$A$2:$A3446, MATCH(B2292,'Room Info'!$G$2:$G3446, 0)))))))))</f>
        <v>0</v>
      </c>
      <c r="B2292" s="70"/>
      <c r="C2292" s="115"/>
      <c r="D2292" s="115"/>
      <c r="E2292" s="85"/>
      <c r="F2292" s="138"/>
      <c r="G2292" s="70"/>
      <c r="H2292" s="114"/>
      <c r="I2292" s="114"/>
      <c r="J2292" s="44" t="str">
        <f t="shared" si="311"/>
        <v/>
      </c>
      <c r="K2292" s="116"/>
      <c r="L2292" s="143"/>
      <c r="M2292" s="67"/>
      <c r="N2292" s="33">
        <f t="shared" si="276"/>
        <v>0</v>
      </c>
      <c r="O2292" s="133"/>
      <c r="P2292" s="34" t="str">
        <f t="shared" si="277"/>
        <v/>
      </c>
      <c r="Q2292" s="60"/>
      <c r="R2292" s="36">
        <f t="shared" si="312"/>
        <v>0</v>
      </c>
      <c r="S2292" s="122"/>
      <c r="T2292" s="37">
        <f t="shared" si="302"/>
        <v>0</v>
      </c>
      <c r="U2292" s="62"/>
      <c r="V2292" s="63"/>
      <c r="W2292" s="63"/>
      <c r="X2292" s="35" t="str">
        <f t="shared" si="303"/>
        <v>#N/A</v>
      </c>
      <c r="Y2292" s="35" t="str">
        <f t="shared" si="304"/>
        <v>#N/A</v>
      </c>
      <c r="Z2292" s="40" t="str">
        <f t="shared" si="305"/>
        <v>#N/A</v>
      </c>
      <c r="AA2292" s="34" t="str">
        <f t="shared" si="306"/>
        <v>#N/A</v>
      </c>
      <c r="AB2292" s="41" t="str">
        <f t="shared" si="307"/>
        <v>#N/A</v>
      </c>
      <c r="AC2292" s="42" t="b">
        <v>0</v>
      </c>
      <c r="AD2292" s="66" t="str">
        <f t="shared" si="308"/>
        <v>USD</v>
      </c>
      <c r="AE2292" s="42"/>
      <c r="AF2292" s="42" t="str">
        <f t="array" ref="AF2292">INDEX('Deal Info'!D:D, MATCH(A2292,'Deal Info'!A:A, 0))</f>
        <v>#N/A</v>
      </c>
      <c r="AG2292" s="43" t="str">
        <f t="array" ref="AG2292">INDEX('Deal Info'!G:G, MATCH(A2292,'Deal Info'!A:A, 0))</f>
        <v>#N/A</v>
      </c>
    </row>
    <row r="2293" hidden="1">
      <c r="A2293" s="23" t="b">
        <f t="array" ref="A2293">if(G2293='Room Info'!$B$1, INDEX('Room Info'!$A$2:$A3446, MATCH(B2293,'Room Info'!$B$2:$B3446, 0)),if(G2293='Room Info'!$C$1, INDEX('Room Info'!$A$2:$A3446, MATCH(B2293,'Room Info'!$C$2:$C3446, 0)),if(G2293='Room Info'!$D$1, INDEX('Room Info'!$A$2:$A3446, MATCH(B2293,'Room Info'!$D$2:$D3446, 0)),if(G2293='Room Info'!$E$1, INDEX('Room Info'!$A$2:$A3446, MATCH(B2293,'Room Info'!$E$2:$E3446, 0)),if(G2293='Room Info'!$F$1, INDEX('Room Info'!$A$2:$A3446, MATCH(B2293,'Room Info'!$F$2:$F3446, 0)),if(G2293='Room Info'!$H$1, INDEX('Room Info'!$A$2:$A3446, MATCH(B2293,'Room Info'!$H$2:$H3446, 0)),if(G2293='Room Info'!$G$1, INDEX('Room Info'!$A$2:$A3446, MATCH(B2293,'Room Info'!$G$2:$G3446, 0)))))))))</f>
        <v>0</v>
      </c>
      <c r="B2293" s="101"/>
      <c r="C2293" s="115"/>
      <c r="D2293" s="115"/>
      <c r="E2293" s="85"/>
      <c r="F2293" s="101"/>
      <c r="G2293" s="70"/>
      <c r="H2293" s="114"/>
      <c r="I2293" s="114"/>
      <c r="J2293" s="44" t="str">
        <f t="shared" si="311"/>
        <v/>
      </c>
      <c r="K2293" s="116"/>
      <c r="L2293" s="117"/>
      <c r="M2293" s="67"/>
      <c r="N2293" s="33">
        <f t="shared" si="276"/>
        <v>0</v>
      </c>
      <c r="O2293" s="70"/>
      <c r="P2293" s="34" t="str">
        <f t="shared" si="277"/>
        <v/>
      </c>
      <c r="Q2293" s="60"/>
      <c r="R2293" s="36">
        <f t="shared" si="312"/>
        <v>0</v>
      </c>
      <c r="S2293" s="71"/>
      <c r="T2293" s="37">
        <f t="shared" si="302"/>
        <v>0</v>
      </c>
      <c r="U2293" s="62"/>
      <c r="V2293" s="63"/>
      <c r="W2293" s="63"/>
      <c r="X2293" s="35" t="str">
        <f t="shared" si="303"/>
        <v>#N/A</v>
      </c>
      <c r="Y2293" s="35" t="str">
        <f t="shared" si="304"/>
        <v>#N/A</v>
      </c>
      <c r="Z2293" s="40" t="str">
        <f t="shared" si="305"/>
        <v>#N/A</v>
      </c>
      <c r="AA2293" s="34" t="str">
        <f t="shared" si="306"/>
        <v>#N/A</v>
      </c>
      <c r="AB2293" s="41" t="str">
        <f t="shared" si="307"/>
        <v>#N/A</v>
      </c>
      <c r="AC2293" s="42" t="b">
        <v>0</v>
      </c>
      <c r="AD2293" s="66" t="str">
        <f t="shared" si="308"/>
        <v>USD</v>
      </c>
      <c r="AE2293" s="42"/>
      <c r="AF2293" s="42" t="str">
        <f t="array" ref="AF2293">INDEX('Deal Info'!D:D, MATCH(A2293,'Deal Info'!A:A, 0))</f>
        <v>#N/A</v>
      </c>
      <c r="AG2293" s="43" t="str">
        <f t="array" ref="AG2293">INDEX('Deal Info'!G:G, MATCH(A2293,'Deal Info'!A:A, 0))</f>
        <v>#N/A</v>
      </c>
    </row>
    <row r="2294" hidden="1">
      <c r="A2294" s="23" t="b">
        <f t="array" ref="A2294">if(G2294='Room Info'!$B$1, INDEX('Room Info'!$A$2:$A3446, MATCH(B2294,'Room Info'!$B$2:$B3446, 0)),if(G2294='Room Info'!$C$1, INDEX('Room Info'!$A$2:$A3446, MATCH(B2294,'Room Info'!$C$2:$C3446, 0)),if(G2294='Room Info'!$D$1, INDEX('Room Info'!$A$2:$A3446, MATCH(B2294,'Room Info'!$D$2:$D3446, 0)),if(G2294='Room Info'!$E$1, INDEX('Room Info'!$A$2:$A3446, MATCH(B2294,'Room Info'!$E$2:$E3446, 0)),if(G2294='Room Info'!$F$1, INDEX('Room Info'!$A$2:$A3446, MATCH(B2294,'Room Info'!$F$2:$F3446, 0)),if(G2294='Room Info'!$H$1, INDEX('Room Info'!$A$2:$A3446, MATCH(B2294,'Room Info'!$H$2:$H3446, 0)),if(G2294='Room Info'!$G$1, INDEX('Room Info'!$A$2:$A3446, MATCH(B2294,'Room Info'!$G$2:$G3446, 0)))))))))</f>
        <v>0</v>
      </c>
      <c r="B2294" s="101"/>
      <c r="C2294" s="115"/>
      <c r="D2294" s="115"/>
      <c r="E2294" s="85"/>
      <c r="F2294" s="101"/>
      <c r="G2294" s="70"/>
      <c r="H2294" s="114"/>
      <c r="I2294" s="114"/>
      <c r="J2294" s="44" t="str">
        <f t="shared" si="311"/>
        <v/>
      </c>
      <c r="K2294" s="116"/>
      <c r="L2294" s="117"/>
      <c r="M2294" s="67"/>
      <c r="N2294" s="33">
        <f t="shared" si="276"/>
        <v>0</v>
      </c>
      <c r="O2294" s="70"/>
      <c r="P2294" s="34" t="str">
        <f t="shared" si="277"/>
        <v/>
      </c>
      <c r="Q2294" s="60"/>
      <c r="R2294" s="36">
        <f t="shared" si="312"/>
        <v>0</v>
      </c>
      <c r="S2294" s="71"/>
      <c r="T2294" s="37">
        <f t="shared" si="302"/>
        <v>0</v>
      </c>
      <c r="U2294" s="62"/>
      <c r="V2294" s="63"/>
      <c r="W2294" s="63"/>
      <c r="X2294" s="35" t="str">
        <f t="shared" si="303"/>
        <v>#N/A</v>
      </c>
      <c r="Y2294" s="35" t="str">
        <f t="shared" si="304"/>
        <v>#N/A</v>
      </c>
      <c r="Z2294" s="40" t="str">
        <f t="shared" si="305"/>
        <v>#N/A</v>
      </c>
      <c r="AA2294" s="34" t="str">
        <f t="shared" si="306"/>
        <v>#N/A</v>
      </c>
      <c r="AB2294" s="41" t="str">
        <f t="shared" si="307"/>
        <v>#N/A</v>
      </c>
      <c r="AC2294" s="42" t="b">
        <v>0</v>
      </c>
      <c r="AD2294" s="66" t="str">
        <f t="shared" si="308"/>
        <v>USD</v>
      </c>
      <c r="AE2294" s="42"/>
      <c r="AF2294" s="42" t="str">
        <f t="array" ref="AF2294">INDEX('Deal Info'!D:D, MATCH(A2294,'Deal Info'!A:A, 0))</f>
        <v>#N/A</v>
      </c>
      <c r="AG2294" s="43" t="str">
        <f t="array" ref="AG2294">INDEX('Deal Info'!G:G, MATCH(A2294,'Deal Info'!A:A, 0))</f>
        <v>#N/A</v>
      </c>
    </row>
    <row r="2295" hidden="1">
      <c r="A2295" s="23" t="b">
        <f t="array" ref="A2295">if(G2295='Room Info'!$B$1, INDEX('Room Info'!$A$2:$A3446, MATCH(B2295,'Room Info'!$B$2:$B3446, 0)),if(G2295='Room Info'!$C$1, INDEX('Room Info'!$A$2:$A3446, MATCH(B2295,'Room Info'!$C$2:$C3446, 0)),if(G2295='Room Info'!$D$1, INDEX('Room Info'!$A$2:$A3446, MATCH(B2295,'Room Info'!$D$2:$D3446, 0)),if(G2295='Room Info'!$E$1, INDEX('Room Info'!$A$2:$A3446, MATCH(B2295,'Room Info'!$E$2:$E3446, 0)),if(G2295='Room Info'!$F$1, INDEX('Room Info'!$A$2:$A3446, MATCH(B2295,'Room Info'!$F$2:$F3446, 0)),if(G2295='Room Info'!$H$1, INDEX('Room Info'!$A$2:$A3446, MATCH(B2295,'Room Info'!$H$2:$H3446, 0)),if(G2295='Room Info'!$G$1, INDEX('Room Info'!$A$2:$A3446, MATCH(B2295,'Room Info'!$G$2:$G3446, 0)))))))))</f>
        <v>0</v>
      </c>
      <c r="B2295" s="101"/>
      <c r="C2295" s="115"/>
      <c r="D2295" s="115"/>
      <c r="E2295" s="85"/>
      <c r="F2295" s="101"/>
      <c r="G2295" s="70"/>
      <c r="H2295" s="114"/>
      <c r="I2295" s="114"/>
      <c r="J2295" s="44" t="str">
        <f t="shared" si="311"/>
        <v/>
      </c>
      <c r="K2295" s="116"/>
      <c r="L2295" s="117"/>
      <c r="M2295" s="67"/>
      <c r="N2295" s="33">
        <f t="shared" si="276"/>
        <v>0</v>
      </c>
      <c r="O2295" s="70"/>
      <c r="P2295" s="34" t="str">
        <f t="shared" si="277"/>
        <v/>
      </c>
      <c r="Q2295" s="60"/>
      <c r="R2295" s="36">
        <f t="shared" si="312"/>
        <v>0</v>
      </c>
      <c r="S2295" s="71"/>
      <c r="T2295" s="37">
        <f t="shared" si="302"/>
        <v>0</v>
      </c>
      <c r="U2295" s="62"/>
      <c r="V2295" s="63"/>
      <c r="W2295" s="63"/>
      <c r="X2295" s="35" t="str">
        <f t="shared" si="303"/>
        <v>#N/A</v>
      </c>
      <c r="Y2295" s="35" t="str">
        <f t="shared" si="304"/>
        <v>#N/A</v>
      </c>
      <c r="Z2295" s="40" t="str">
        <f t="shared" si="305"/>
        <v>#N/A</v>
      </c>
      <c r="AA2295" s="34" t="str">
        <f t="shared" si="306"/>
        <v>#N/A</v>
      </c>
      <c r="AB2295" s="41" t="str">
        <f t="shared" si="307"/>
        <v>#N/A</v>
      </c>
      <c r="AC2295" s="42" t="b">
        <v>0</v>
      </c>
      <c r="AD2295" s="66" t="str">
        <f t="shared" si="308"/>
        <v>USD</v>
      </c>
      <c r="AE2295" s="42"/>
      <c r="AF2295" s="42" t="str">
        <f t="array" ref="AF2295">INDEX('Deal Info'!D:D, MATCH(A2295,'Deal Info'!A:A, 0))</f>
        <v>#N/A</v>
      </c>
      <c r="AG2295" s="43" t="str">
        <f t="array" ref="AG2295">INDEX('Deal Info'!G:G, MATCH(A2295,'Deal Info'!A:A, 0))</f>
        <v>#N/A</v>
      </c>
    </row>
    <row r="2296" hidden="1">
      <c r="A2296" s="23" t="b">
        <f t="array" ref="A2296">if(G2296='Room Info'!$B$1, INDEX('Room Info'!$A$2:$A3446, MATCH(B2296,'Room Info'!$B$2:$B3446, 0)),if(G2296='Room Info'!$C$1, INDEX('Room Info'!$A$2:$A3446, MATCH(B2296,'Room Info'!$C$2:$C3446, 0)),if(G2296='Room Info'!$D$1, INDEX('Room Info'!$A$2:$A3446, MATCH(B2296,'Room Info'!$D$2:$D3446, 0)),if(G2296='Room Info'!$E$1, INDEX('Room Info'!$A$2:$A3446, MATCH(B2296,'Room Info'!$E$2:$E3446, 0)),if(G2296='Room Info'!$F$1, INDEX('Room Info'!$A$2:$A3446, MATCH(B2296,'Room Info'!$F$2:$F3446, 0)),if(G2296='Room Info'!$H$1, INDEX('Room Info'!$A$2:$A3446, MATCH(B2296,'Room Info'!$H$2:$H3446, 0)),if(G2296='Room Info'!$G$1, INDEX('Room Info'!$A$2:$A3446, MATCH(B2296,'Room Info'!$G$2:$G3446, 0)))))))))</f>
        <v>0</v>
      </c>
      <c r="B2296" s="101"/>
      <c r="C2296" s="141"/>
      <c r="D2296" s="141"/>
      <c r="E2296" s="142"/>
      <c r="F2296" s="101"/>
      <c r="G2296" s="101"/>
      <c r="H2296" s="105"/>
      <c r="I2296" s="105"/>
      <c r="J2296" s="44" t="str">
        <f t="shared" si="311"/>
        <v/>
      </c>
      <c r="K2296" s="139"/>
      <c r="L2296" s="140"/>
      <c r="M2296" s="84"/>
      <c r="N2296" s="33">
        <f t="shared" si="276"/>
        <v>0</v>
      </c>
      <c r="O2296" s="101"/>
      <c r="P2296" s="34" t="str">
        <f t="shared" si="277"/>
        <v/>
      </c>
      <c r="Q2296" s="60"/>
      <c r="R2296" s="36">
        <f t="shared" si="312"/>
        <v>0</v>
      </c>
      <c r="S2296" s="102"/>
      <c r="T2296" s="37">
        <f t="shared" si="302"/>
        <v>0</v>
      </c>
      <c r="U2296" s="62"/>
      <c r="V2296" s="63"/>
      <c r="W2296" s="63"/>
      <c r="X2296" s="35" t="str">
        <f t="shared" si="303"/>
        <v>#N/A</v>
      </c>
      <c r="Y2296" s="35" t="str">
        <f t="shared" si="304"/>
        <v>#N/A</v>
      </c>
      <c r="Z2296" s="40" t="str">
        <f t="shared" si="305"/>
        <v>#N/A</v>
      </c>
      <c r="AA2296" s="34" t="str">
        <f t="shared" si="306"/>
        <v>#N/A</v>
      </c>
      <c r="AB2296" s="41" t="str">
        <f t="shared" si="307"/>
        <v>#N/A</v>
      </c>
      <c r="AC2296" s="42" t="b">
        <v>0</v>
      </c>
      <c r="AD2296" s="66" t="str">
        <f t="shared" si="308"/>
        <v>USD</v>
      </c>
      <c r="AE2296" s="42"/>
      <c r="AF2296" s="42" t="str">
        <f t="array" ref="AF2296">INDEX('Deal Info'!D:D, MATCH(A2296,'Deal Info'!A:A, 0))</f>
        <v>#N/A</v>
      </c>
      <c r="AG2296" s="43" t="str">
        <f t="array" ref="AG2296">INDEX('Deal Info'!G:G, MATCH(A2296,'Deal Info'!A:A, 0))</f>
        <v>#N/A</v>
      </c>
    </row>
    <row r="2297" hidden="1">
      <c r="A2297" s="23" t="b">
        <f t="array" ref="A2297">if(G2297='Room Info'!$B$1, INDEX('Room Info'!$A$2:$A3446, MATCH(B2297,'Room Info'!$B$2:$B3446, 0)),if(G2297='Room Info'!$C$1, INDEX('Room Info'!$A$2:$A3446, MATCH(B2297,'Room Info'!$C$2:$C3446, 0)),if(G2297='Room Info'!$D$1, INDEX('Room Info'!$A$2:$A3446, MATCH(B2297,'Room Info'!$D$2:$D3446, 0)),if(G2297='Room Info'!$E$1, INDEX('Room Info'!$A$2:$A3446, MATCH(B2297,'Room Info'!$E$2:$E3446, 0)),if(G2297='Room Info'!$F$1, INDEX('Room Info'!$A$2:$A3446, MATCH(B2297,'Room Info'!$F$2:$F3446, 0)),if(G2297='Room Info'!$H$1, INDEX('Room Info'!$A$2:$A3446, MATCH(B2297,'Room Info'!$H$2:$H3446, 0)),if(G2297='Room Info'!$G$1, INDEX('Room Info'!$A$2:$A3446, MATCH(B2297,'Room Info'!$G$2:$G3446, 0)))))))))</f>
        <v>0</v>
      </c>
      <c r="B2297" s="101"/>
      <c r="C2297" s="115"/>
      <c r="D2297" s="115"/>
      <c r="E2297" s="85"/>
      <c r="F2297" s="138"/>
      <c r="G2297" s="70"/>
      <c r="H2297" s="114"/>
      <c r="I2297" s="114"/>
      <c r="J2297" s="44" t="str">
        <f t="shared" si="311"/>
        <v/>
      </c>
      <c r="K2297" s="116"/>
      <c r="L2297" s="117"/>
      <c r="M2297" s="67"/>
      <c r="N2297" s="33">
        <f t="shared" si="276"/>
        <v>0</v>
      </c>
      <c r="O2297" s="70"/>
      <c r="P2297" s="34" t="str">
        <f t="shared" si="277"/>
        <v/>
      </c>
      <c r="Q2297" s="60"/>
      <c r="R2297" s="36">
        <f t="shared" si="312"/>
        <v>0</v>
      </c>
      <c r="S2297" s="71"/>
      <c r="T2297" s="37">
        <f t="shared" si="302"/>
        <v>0</v>
      </c>
      <c r="U2297" s="62"/>
      <c r="V2297" s="63"/>
      <c r="W2297" s="63"/>
      <c r="X2297" s="35" t="str">
        <f t="shared" si="303"/>
        <v>#N/A</v>
      </c>
      <c r="Y2297" s="35" t="str">
        <f t="shared" si="304"/>
        <v>#N/A</v>
      </c>
      <c r="Z2297" s="40" t="str">
        <f t="shared" si="305"/>
        <v>#N/A</v>
      </c>
      <c r="AA2297" s="34" t="str">
        <f t="shared" si="306"/>
        <v>#N/A</v>
      </c>
      <c r="AB2297" s="41" t="str">
        <f t="shared" si="307"/>
        <v>#N/A</v>
      </c>
      <c r="AC2297" s="42" t="b">
        <v>0</v>
      </c>
      <c r="AD2297" s="66" t="str">
        <f t="shared" si="308"/>
        <v>USD</v>
      </c>
      <c r="AE2297" s="42"/>
      <c r="AF2297" s="42" t="str">
        <f t="array" ref="AF2297">INDEX('Deal Info'!D:D, MATCH(A2297,'Deal Info'!A:A, 0))</f>
        <v>#N/A</v>
      </c>
      <c r="AG2297" s="43" t="str">
        <f t="array" ref="AG2297">INDEX('Deal Info'!G:G, MATCH(A2297,'Deal Info'!A:A, 0))</f>
        <v>#N/A</v>
      </c>
    </row>
    <row r="2298" hidden="1">
      <c r="A2298" s="23" t="b">
        <f t="array" ref="A2298">if(G2298='Room Info'!$B$1, INDEX('Room Info'!$A$2:$A3446, MATCH(B2298,'Room Info'!$B$2:$B3446, 0)),if(G2298='Room Info'!$C$1, INDEX('Room Info'!$A$2:$A3446, MATCH(B2298,'Room Info'!$C$2:$C3446, 0)),if(G2298='Room Info'!$D$1, INDEX('Room Info'!$A$2:$A3446, MATCH(B2298,'Room Info'!$D$2:$D3446, 0)),if(G2298='Room Info'!$E$1, INDEX('Room Info'!$A$2:$A3446, MATCH(B2298,'Room Info'!$E$2:$E3446, 0)),if(G2298='Room Info'!$F$1, INDEX('Room Info'!$A$2:$A3446, MATCH(B2298,'Room Info'!$F$2:$F3446, 0)),if(G2298='Room Info'!$H$1, INDEX('Room Info'!$A$2:$A3446, MATCH(B2298,'Room Info'!$H$2:$H3446, 0)),if(G2298='Room Info'!$G$1, INDEX('Room Info'!$A$2:$A3446, MATCH(B2298,'Room Info'!$G$2:$G3446, 0)))))))))</f>
        <v>0</v>
      </c>
      <c r="B2298" s="101"/>
      <c r="C2298" s="115"/>
      <c r="D2298" s="115"/>
      <c r="E2298" s="85"/>
      <c r="F2298" s="138"/>
      <c r="G2298" s="70"/>
      <c r="H2298" s="114"/>
      <c r="I2298" s="114"/>
      <c r="J2298" s="44" t="str">
        <f t="shared" si="311"/>
        <v/>
      </c>
      <c r="K2298" s="116"/>
      <c r="L2298" s="117"/>
      <c r="M2298" s="67"/>
      <c r="N2298" s="33">
        <f t="shared" si="276"/>
        <v>0</v>
      </c>
      <c r="O2298" s="70"/>
      <c r="P2298" s="34" t="str">
        <f t="shared" si="277"/>
        <v/>
      </c>
      <c r="Q2298" s="60"/>
      <c r="R2298" s="36">
        <f t="shared" si="312"/>
        <v>0</v>
      </c>
      <c r="S2298" s="71"/>
      <c r="T2298" s="37">
        <f t="shared" si="302"/>
        <v>0</v>
      </c>
      <c r="U2298" s="62"/>
      <c r="V2298" s="63"/>
      <c r="W2298" s="63"/>
      <c r="X2298" s="35" t="str">
        <f t="shared" si="303"/>
        <v>#N/A</v>
      </c>
      <c r="Y2298" s="35" t="str">
        <f t="shared" si="304"/>
        <v>#N/A</v>
      </c>
      <c r="Z2298" s="40" t="str">
        <f t="shared" si="305"/>
        <v>#N/A</v>
      </c>
      <c r="AA2298" s="34" t="str">
        <f t="shared" si="306"/>
        <v>#N/A</v>
      </c>
      <c r="AB2298" s="41" t="str">
        <f t="shared" si="307"/>
        <v>#N/A</v>
      </c>
      <c r="AC2298" s="42" t="b">
        <v>0</v>
      </c>
      <c r="AD2298" s="66" t="str">
        <f t="shared" si="308"/>
        <v>USD</v>
      </c>
      <c r="AE2298" s="42"/>
      <c r="AF2298" s="42" t="str">
        <f t="array" ref="AF2298">INDEX('Deal Info'!D:D, MATCH(A2298,'Deal Info'!A:A, 0))</f>
        <v>#N/A</v>
      </c>
      <c r="AG2298" s="43" t="str">
        <f t="array" ref="AG2298">INDEX('Deal Info'!G:G, MATCH(A2298,'Deal Info'!A:A, 0))</f>
        <v>#N/A</v>
      </c>
    </row>
    <row r="2299" hidden="1">
      <c r="A2299" s="23" t="b">
        <f t="array" ref="A2299">if(G2299='Room Info'!$B$1, INDEX('Room Info'!$A$2:$A3446, MATCH(B2299,'Room Info'!$B$2:$B3446, 0)),if(G2299='Room Info'!$C$1, INDEX('Room Info'!$A$2:$A3446, MATCH(B2299,'Room Info'!$C$2:$C3446, 0)),if(G2299='Room Info'!$D$1, INDEX('Room Info'!$A$2:$A3446, MATCH(B2299,'Room Info'!$D$2:$D3446, 0)),if(G2299='Room Info'!$E$1, INDEX('Room Info'!$A$2:$A3446, MATCH(B2299,'Room Info'!$E$2:$E3446, 0)),if(G2299='Room Info'!$F$1, INDEX('Room Info'!$A$2:$A3446, MATCH(B2299,'Room Info'!$F$2:$F3446, 0)),if(G2299='Room Info'!$H$1, INDEX('Room Info'!$A$2:$A3446, MATCH(B2299,'Room Info'!$H$2:$H3446, 0)),if(G2299='Room Info'!$G$1, INDEX('Room Info'!$A$2:$A3446, MATCH(B2299,'Room Info'!$G$2:$G3446, 0)))))))))</f>
        <v>0</v>
      </c>
      <c r="B2299" s="101"/>
      <c r="C2299" s="115"/>
      <c r="D2299" s="115"/>
      <c r="E2299" s="85"/>
      <c r="F2299" s="138"/>
      <c r="G2299" s="70"/>
      <c r="H2299" s="114"/>
      <c r="I2299" s="114"/>
      <c r="J2299" s="44" t="str">
        <f t="shared" si="311"/>
        <v/>
      </c>
      <c r="K2299" s="116"/>
      <c r="L2299" s="117"/>
      <c r="M2299" s="67"/>
      <c r="N2299" s="33">
        <f t="shared" si="276"/>
        <v>0</v>
      </c>
      <c r="O2299" s="70"/>
      <c r="P2299" s="34" t="str">
        <f t="shared" si="277"/>
        <v/>
      </c>
      <c r="Q2299" s="60"/>
      <c r="R2299" s="36">
        <f t="shared" si="312"/>
        <v>0</v>
      </c>
      <c r="S2299" s="71"/>
      <c r="T2299" s="37">
        <f t="shared" si="302"/>
        <v>0</v>
      </c>
      <c r="U2299" s="62"/>
      <c r="V2299" s="63"/>
      <c r="W2299" s="63"/>
      <c r="X2299" s="35" t="str">
        <f t="shared" si="303"/>
        <v>#N/A</v>
      </c>
      <c r="Y2299" s="35" t="str">
        <f t="shared" si="304"/>
        <v>#N/A</v>
      </c>
      <c r="Z2299" s="40" t="str">
        <f t="shared" si="305"/>
        <v>#N/A</v>
      </c>
      <c r="AA2299" s="34" t="str">
        <f t="shared" si="306"/>
        <v>#N/A</v>
      </c>
      <c r="AB2299" s="41" t="str">
        <f t="shared" si="307"/>
        <v>#N/A</v>
      </c>
      <c r="AC2299" s="42" t="b">
        <v>0</v>
      </c>
      <c r="AD2299" s="66" t="str">
        <f t="shared" si="308"/>
        <v>USD</v>
      </c>
      <c r="AE2299" s="42"/>
      <c r="AF2299" s="42" t="str">
        <f t="array" ref="AF2299">INDEX('Deal Info'!D:D, MATCH(A2299,'Deal Info'!A:A, 0))</f>
        <v>#N/A</v>
      </c>
      <c r="AG2299" s="43" t="str">
        <f t="array" ref="AG2299">INDEX('Deal Info'!G:G, MATCH(A2299,'Deal Info'!A:A, 0))</f>
        <v>#N/A</v>
      </c>
    </row>
    <row r="2300" hidden="1">
      <c r="A2300" s="23" t="b">
        <f t="array" ref="A2300">if(G2300='Room Info'!$B$1, INDEX('Room Info'!$A$2:$A3446, MATCH(B2300,'Room Info'!$B$2:$B3446, 0)),if(G2300='Room Info'!$C$1, INDEX('Room Info'!$A$2:$A3446, MATCH(B2300,'Room Info'!$C$2:$C3446, 0)),if(G2300='Room Info'!$D$1, INDEX('Room Info'!$A$2:$A3446, MATCH(B2300,'Room Info'!$D$2:$D3446, 0)),if(G2300='Room Info'!$E$1, INDEX('Room Info'!$A$2:$A3446, MATCH(B2300,'Room Info'!$E$2:$E3446, 0)),if(G2300='Room Info'!$F$1, INDEX('Room Info'!$A$2:$A3446, MATCH(B2300,'Room Info'!$F$2:$F3446, 0)),if(G2300='Room Info'!$H$1, INDEX('Room Info'!$A$2:$A3446, MATCH(B2300,'Room Info'!$H$2:$H3446, 0)),if(G2300='Room Info'!$G$1, INDEX('Room Info'!$A$2:$A3446, MATCH(B2300,'Room Info'!$G$2:$G3446, 0)))))))))</f>
        <v>0</v>
      </c>
      <c r="B2300" s="101"/>
      <c r="C2300" s="115"/>
      <c r="D2300" s="115"/>
      <c r="E2300" s="85"/>
      <c r="F2300" s="138"/>
      <c r="G2300" s="101"/>
      <c r="H2300" s="114"/>
      <c r="I2300" s="114"/>
      <c r="J2300" s="44" t="str">
        <f t="shared" si="311"/>
        <v/>
      </c>
      <c r="K2300" s="116"/>
      <c r="L2300" s="117"/>
      <c r="M2300" s="67"/>
      <c r="N2300" s="33">
        <f t="shared" si="276"/>
        <v>0</v>
      </c>
      <c r="O2300" s="70"/>
      <c r="P2300" s="34" t="str">
        <f t="shared" si="277"/>
        <v/>
      </c>
      <c r="Q2300" s="60"/>
      <c r="R2300" s="36">
        <f t="shared" si="312"/>
        <v>0</v>
      </c>
      <c r="S2300" s="71"/>
      <c r="T2300" s="37">
        <f t="shared" si="302"/>
        <v>0</v>
      </c>
      <c r="U2300" s="62"/>
      <c r="V2300" s="63"/>
      <c r="W2300" s="63"/>
      <c r="X2300" s="35" t="str">
        <f t="shared" si="303"/>
        <v>#N/A</v>
      </c>
      <c r="Y2300" s="35" t="str">
        <f t="shared" si="304"/>
        <v>#N/A</v>
      </c>
      <c r="Z2300" s="40" t="str">
        <f t="shared" si="305"/>
        <v>#N/A</v>
      </c>
      <c r="AA2300" s="34" t="str">
        <f t="shared" si="306"/>
        <v>#N/A</v>
      </c>
      <c r="AB2300" s="41" t="str">
        <f t="shared" si="307"/>
        <v>#N/A</v>
      </c>
      <c r="AC2300" s="42" t="b">
        <v>0</v>
      </c>
      <c r="AD2300" s="66" t="str">
        <f t="shared" si="308"/>
        <v>USD</v>
      </c>
      <c r="AE2300" s="42"/>
      <c r="AF2300" s="42" t="str">
        <f t="array" ref="AF2300">INDEX('Deal Info'!D:D, MATCH(A2300,'Deal Info'!A:A, 0))</f>
        <v>#N/A</v>
      </c>
      <c r="AG2300" s="43" t="str">
        <f t="array" ref="AG2300">INDEX('Deal Info'!G:G, MATCH(A2300,'Deal Info'!A:A, 0))</f>
        <v>#N/A</v>
      </c>
    </row>
    <row r="2301" hidden="1">
      <c r="A2301" s="23" t="b">
        <f t="array" ref="A2301">if(G2301='Room Info'!$B$1, INDEX('Room Info'!$A$2:$A3446, MATCH(B2301,'Room Info'!$B$2:$B3446, 0)),if(G2301='Room Info'!$C$1, INDEX('Room Info'!$A$2:$A3446, MATCH(B2301,'Room Info'!$C$2:$C3446, 0)),if(G2301='Room Info'!$D$1, INDEX('Room Info'!$A$2:$A3446, MATCH(B2301,'Room Info'!$D$2:$D3446, 0)),if(G2301='Room Info'!$E$1, INDEX('Room Info'!$A$2:$A3446, MATCH(B2301,'Room Info'!$E$2:$E3446, 0)),if(G2301='Room Info'!$F$1, INDEX('Room Info'!$A$2:$A3446, MATCH(B2301,'Room Info'!$F$2:$F3446, 0)),if(G2301='Room Info'!$H$1, INDEX('Room Info'!$A$2:$A3446, MATCH(B2301,'Room Info'!$H$2:$H3446, 0)),if(G2301='Room Info'!$G$1, INDEX('Room Info'!$A$2:$A3446, MATCH(B2301,'Room Info'!$G$2:$G3446, 0)))))))))</f>
        <v>0</v>
      </c>
      <c r="B2301" s="101"/>
      <c r="C2301" s="115"/>
      <c r="D2301" s="115"/>
      <c r="E2301" s="85"/>
      <c r="F2301" s="138"/>
      <c r="G2301" s="101"/>
      <c r="H2301" s="114"/>
      <c r="I2301" s="114"/>
      <c r="J2301" s="44" t="str">
        <f t="shared" si="311"/>
        <v/>
      </c>
      <c r="K2301" s="116"/>
      <c r="L2301" s="117"/>
      <c r="M2301" s="67"/>
      <c r="N2301" s="33">
        <f t="shared" si="276"/>
        <v>0</v>
      </c>
      <c r="O2301" s="70"/>
      <c r="P2301" s="34" t="str">
        <f t="shared" si="277"/>
        <v/>
      </c>
      <c r="Q2301" s="60"/>
      <c r="R2301" s="36">
        <f t="shared" si="312"/>
        <v>0</v>
      </c>
      <c r="S2301" s="71"/>
      <c r="T2301" s="37">
        <f t="shared" si="302"/>
        <v>0</v>
      </c>
      <c r="U2301" s="62"/>
      <c r="V2301" s="63"/>
      <c r="W2301" s="63"/>
      <c r="X2301" s="35" t="str">
        <f t="shared" si="303"/>
        <v>#N/A</v>
      </c>
      <c r="Y2301" s="35" t="str">
        <f t="shared" si="304"/>
        <v>#N/A</v>
      </c>
      <c r="Z2301" s="40" t="str">
        <f t="shared" si="305"/>
        <v>#N/A</v>
      </c>
      <c r="AA2301" s="34" t="str">
        <f t="shared" si="306"/>
        <v>#N/A</v>
      </c>
      <c r="AB2301" s="41" t="str">
        <f t="shared" si="307"/>
        <v>#N/A</v>
      </c>
      <c r="AC2301" s="42" t="b">
        <v>0</v>
      </c>
      <c r="AD2301" s="66" t="str">
        <f t="shared" si="308"/>
        <v>USD</v>
      </c>
      <c r="AE2301" s="42"/>
      <c r="AF2301" s="42" t="str">
        <f t="array" ref="AF2301">INDEX('Deal Info'!D:D, MATCH(A2301,'Deal Info'!A:A, 0))</f>
        <v>#N/A</v>
      </c>
      <c r="AG2301" s="43" t="str">
        <f t="array" ref="AG2301">INDEX('Deal Info'!G:G, MATCH(A2301,'Deal Info'!A:A, 0))</f>
        <v>#N/A</v>
      </c>
    </row>
    <row r="2302" hidden="1">
      <c r="A2302" s="23" t="b">
        <f t="array" ref="A2302">if(G2302='Room Info'!$B$1, INDEX('Room Info'!$A$2:$A3446, MATCH(B2302,'Room Info'!$B$2:$B3446, 0)),if(G2302='Room Info'!$C$1, INDEX('Room Info'!$A$2:$A3446, MATCH(B2302,'Room Info'!$C$2:$C3446, 0)),if(G2302='Room Info'!$D$1, INDEX('Room Info'!$A$2:$A3446, MATCH(B2302,'Room Info'!$D$2:$D3446, 0)),if(G2302='Room Info'!$E$1, INDEX('Room Info'!$A$2:$A3446, MATCH(B2302,'Room Info'!$E$2:$E3446, 0)),if(G2302='Room Info'!$F$1, INDEX('Room Info'!$A$2:$A3446, MATCH(B2302,'Room Info'!$F$2:$F3446, 0)),if(G2302='Room Info'!$H$1, INDEX('Room Info'!$A$2:$A3446, MATCH(B2302,'Room Info'!$H$2:$H3446, 0)),if(G2302='Room Info'!$G$1, INDEX('Room Info'!$A$2:$A3446, MATCH(B2302,'Room Info'!$G$2:$G3446, 0)))))))))</f>
        <v>0</v>
      </c>
      <c r="B2302" s="101"/>
      <c r="C2302" s="115"/>
      <c r="D2302" s="115"/>
      <c r="E2302" s="85"/>
      <c r="F2302" s="101"/>
      <c r="G2302" s="70"/>
      <c r="H2302" s="114"/>
      <c r="I2302" s="114"/>
      <c r="J2302" s="44" t="str">
        <f t="shared" si="311"/>
        <v/>
      </c>
      <c r="K2302" s="139"/>
      <c r="L2302" s="140"/>
      <c r="M2302" s="67"/>
      <c r="N2302" s="33">
        <f t="shared" si="276"/>
        <v>0</v>
      </c>
      <c r="O2302" s="101"/>
      <c r="P2302" s="34" t="str">
        <f t="shared" si="277"/>
        <v/>
      </c>
      <c r="Q2302" s="60"/>
      <c r="R2302" s="36">
        <f t="shared" si="312"/>
        <v>0</v>
      </c>
      <c r="S2302" s="102"/>
      <c r="T2302" s="37">
        <f t="shared" si="302"/>
        <v>0</v>
      </c>
      <c r="U2302" s="62"/>
      <c r="V2302" s="63"/>
      <c r="W2302" s="63"/>
      <c r="X2302" s="35" t="str">
        <f t="shared" si="303"/>
        <v>#N/A</v>
      </c>
      <c r="Y2302" s="35" t="str">
        <f t="shared" si="304"/>
        <v>#N/A</v>
      </c>
      <c r="Z2302" s="40" t="str">
        <f t="shared" si="305"/>
        <v>#N/A</v>
      </c>
      <c r="AA2302" s="34" t="str">
        <f t="shared" si="306"/>
        <v>#N/A</v>
      </c>
      <c r="AB2302" s="41" t="str">
        <f t="shared" si="307"/>
        <v>#N/A</v>
      </c>
      <c r="AC2302" s="42" t="b">
        <v>0</v>
      </c>
      <c r="AD2302" s="66" t="str">
        <f t="shared" si="308"/>
        <v>USD</v>
      </c>
      <c r="AE2302" s="42"/>
      <c r="AF2302" s="42" t="str">
        <f t="array" ref="AF2302">INDEX('Deal Info'!D:D, MATCH(A2302,'Deal Info'!A:A, 0))</f>
        <v>#N/A</v>
      </c>
      <c r="AG2302" s="43" t="str">
        <f t="array" ref="AG2302">INDEX('Deal Info'!G:G, MATCH(A2302,'Deal Info'!A:A, 0))</f>
        <v>#N/A</v>
      </c>
    </row>
    <row r="2303" hidden="1">
      <c r="A2303" s="23" t="b">
        <f t="array" ref="A2303">if(G2303='Room Info'!$B$1, INDEX('Room Info'!$A$2:$A3446, MATCH(B2303,'Room Info'!$B$2:$B3446, 0)),if(G2303='Room Info'!$C$1, INDEX('Room Info'!$A$2:$A3446, MATCH(B2303,'Room Info'!$C$2:$C3446, 0)),if(G2303='Room Info'!$D$1, INDEX('Room Info'!$A$2:$A3446, MATCH(B2303,'Room Info'!$D$2:$D3446, 0)),if(G2303='Room Info'!$E$1, INDEX('Room Info'!$A$2:$A3446, MATCH(B2303,'Room Info'!$E$2:$E3446, 0)),if(G2303='Room Info'!$F$1, INDEX('Room Info'!$A$2:$A3446, MATCH(B2303,'Room Info'!$F$2:$F3446, 0)),if(G2303='Room Info'!$H$1, INDEX('Room Info'!$A$2:$A3446, MATCH(B2303,'Room Info'!$H$2:$H3446, 0)),if(G2303='Room Info'!$G$1, INDEX('Room Info'!$A$2:$A3446, MATCH(B2303,'Room Info'!$G$2:$G3446, 0)))))))))</f>
        <v>0</v>
      </c>
      <c r="B2303" s="101"/>
      <c r="C2303" s="115"/>
      <c r="D2303" s="115"/>
      <c r="E2303" s="85"/>
      <c r="F2303" s="138"/>
      <c r="G2303" s="101"/>
      <c r="H2303" s="114"/>
      <c r="I2303" s="114"/>
      <c r="J2303" s="44" t="str">
        <f t="shared" si="311"/>
        <v/>
      </c>
      <c r="K2303" s="116"/>
      <c r="L2303" s="117"/>
      <c r="M2303" s="67"/>
      <c r="N2303" s="33">
        <f t="shared" si="276"/>
        <v>0</v>
      </c>
      <c r="O2303" s="70"/>
      <c r="P2303" s="34" t="str">
        <f t="shared" si="277"/>
        <v/>
      </c>
      <c r="Q2303" s="60"/>
      <c r="R2303" s="36">
        <f t="shared" si="312"/>
        <v>0</v>
      </c>
      <c r="S2303" s="71"/>
      <c r="T2303" s="37">
        <f t="shared" si="302"/>
        <v>0</v>
      </c>
      <c r="U2303" s="62"/>
      <c r="V2303" s="63"/>
      <c r="W2303" s="63"/>
      <c r="X2303" s="35" t="str">
        <f t="shared" si="303"/>
        <v>#N/A</v>
      </c>
      <c r="Y2303" s="35" t="str">
        <f t="shared" si="304"/>
        <v>#N/A</v>
      </c>
      <c r="Z2303" s="40" t="str">
        <f t="shared" si="305"/>
        <v>#N/A</v>
      </c>
      <c r="AA2303" s="34" t="str">
        <f t="shared" si="306"/>
        <v>#N/A</v>
      </c>
      <c r="AB2303" s="41" t="str">
        <f t="shared" si="307"/>
        <v>#N/A</v>
      </c>
      <c r="AC2303" s="42" t="b">
        <v>0</v>
      </c>
      <c r="AD2303" s="66" t="str">
        <f t="shared" si="308"/>
        <v>USD</v>
      </c>
      <c r="AE2303" s="42"/>
      <c r="AF2303" s="42" t="str">
        <f t="array" ref="AF2303">INDEX('Deal Info'!D:D, MATCH(A2303,'Deal Info'!A:A, 0))</f>
        <v>#N/A</v>
      </c>
      <c r="AG2303" s="43" t="str">
        <f t="array" ref="AG2303">INDEX('Deal Info'!G:G, MATCH(A2303,'Deal Info'!A:A, 0))</f>
        <v>#N/A</v>
      </c>
    </row>
    <row r="2304" hidden="1">
      <c r="A2304" s="23" t="b">
        <f t="array" ref="A2304">if(G2304='Room Info'!$B$1, INDEX('Room Info'!$A$2:$A3446, MATCH(B2304,'Room Info'!$B$2:$B3446, 0)),if(G2304='Room Info'!$C$1, INDEX('Room Info'!$A$2:$A3446, MATCH(B2304,'Room Info'!$C$2:$C3446, 0)),if(G2304='Room Info'!$D$1, INDEX('Room Info'!$A$2:$A3446, MATCH(B2304,'Room Info'!$D$2:$D3446, 0)),if(G2304='Room Info'!$E$1, INDEX('Room Info'!$A$2:$A3446, MATCH(B2304,'Room Info'!$E$2:$E3446, 0)),if(G2304='Room Info'!$F$1, INDEX('Room Info'!$A$2:$A3446, MATCH(B2304,'Room Info'!$F$2:$F3446, 0)),if(G2304='Room Info'!$H$1, INDEX('Room Info'!$A$2:$A3446, MATCH(B2304,'Room Info'!$H$2:$H3446, 0)),if(G2304='Room Info'!$G$1, INDEX('Room Info'!$A$2:$A3446, MATCH(B2304,'Room Info'!$G$2:$G3446, 0)))))))))</f>
        <v>0</v>
      </c>
      <c r="B2304" s="101"/>
      <c r="C2304" s="115"/>
      <c r="D2304" s="115"/>
      <c r="E2304" s="85"/>
      <c r="F2304" s="138"/>
      <c r="G2304" s="101"/>
      <c r="H2304" s="114"/>
      <c r="I2304" s="114"/>
      <c r="J2304" s="44" t="str">
        <f t="shared" si="311"/>
        <v/>
      </c>
      <c r="K2304" s="116"/>
      <c r="L2304" s="117"/>
      <c r="M2304" s="67"/>
      <c r="N2304" s="33">
        <f t="shared" si="276"/>
        <v>0</v>
      </c>
      <c r="O2304" s="70"/>
      <c r="P2304" s="34" t="str">
        <f t="shared" si="277"/>
        <v/>
      </c>
      <c r="Q2304" s="60"/>
      <c r="R2304" s="36">
        <f t="shared" si="312"/>
        <v>0</v>
      </c>
      <c r="S2304" s="71"/>
      <c r="T2304" s="37">
        <f t="shared" si="302"/>
        <v>0</v>
      </c>
      <c r="U2304" s="62"/>
      <c r="V2304" s="63"/>
      <c r="W2304" s="63"/>
      <c r="X2304" s="35" t="str">
        <f t="shared" si="303"/>
        <v>#N/A</v>
      </c>
      <c r="Y2304" s="35" t="str">
        <f t="shared" si="304"/>
        <v>#N/A</v>
      </c>
      <c r="Z2304" s="40" t="str">
        <f t="shared" si="305"/>
        <v>#N/A</v>
      </c>
      <c r="AA2304" s="34" t="str">
        <f t="shared" si="306"/>
        <v>#N/A</v>
      </c>
      <c r="AB2304" s="41" t="str">
        <f t="shared" si="307"/>
        <v>#N/A</v>
      </c>
      <c r="AC2304" s="42" t="b">
        <v>0</v>
      </c>
      <c r="AD2304" s="66" t="str">
        <f t="shared" si="308"/>
        <v>USD</v>
      </c>
      <c r="AE2304" s="42"/>
      <c r="AF2304" s="42" t="str">
        <f t="array" ref="AF2304">INDEX('Deal Info'!D:D, MATCH(A2304,'Deal Info'!A:A, 0))</f>
        <v>#N/A</v>
      </c>
      <c r="AG2304" s="43" t="str">
        <f t="array" ref="AG2304">INDEX('Deal Info'!G:G, MATCH(A2304,'Deal Info'!A:A, 0))</f>
        <v>#N/A</v>
      </c>
    </row>
    <row r="2305" hidden="1">
      <c r="A2305" s="23" t="b">
        <f t="array" ref="A2305">if(G2305='Room Info'!$B$1, INDEX('Room Info'!$A$2:$A3446, MATCH(B2305,'Room Info'!$B$2:$B3446, 0)),if(G2305='Room Info'!$C$1, INDEX('Room Info'!$A$2:$A3446, MATCH(B2305,'Room Info'!$C$2:$C3446, 0)),if(G2305='Room Info'!$D$1, INDEX('Room Info'!$A$2:$A3446, MATCH(B2305,'Room Info'!$D$2:$D3446, 0)),if(G2305='Room Info'!$E$1, INDEX('Room Info'!$A$2:$A3446, MATCH(B2305,'Room Info'!$E$2:$E3446, 0)),if(G2305='Room Info'!$F$1, INDEX('Room Info'!$A$2:$A3446, MATCH(B2305,'Room Info'!$F$2:$F3446, 0)),if(G2305='Room Info'!$H$1, INDEX('Room Info'!$A$2:$A3446, MATCH(B2305,'Room Info'!$H$2:$H3446, 0)),if(G2305='Room Info'!$G$1, INDEX('Room Info'!$A$2:$A3446, MATCH(B2305,'Room Info'!$G$2:$G3446, 0)))))))))</f>
        <v>0</v>
      </c>
      <c r="B2305" s="101"/>
      <c r="C2305" s="115"/>
      <c r="D2305" s="115"/>
      <c r="E2305" s="85"/>
      <c r="F2305" s="138"/>
      <c r="G2305" s="101"/>
      <c r="H2305" s="114"/>
      <c r="I2305" s="114"/>
      <c r="J2305" s="44" t="str">
        <f t="shared" si="311"/>
        <v/>
      </c>
      <c r="K2305" s="116"/>
      <c r="L2305" s="117"/>
      <c r="M2305" s="67"/>
      <c r="N2305" s="33">
        <f t="shared" si="276"/>
        <v>0</v>
      </c>
      <c r="O2305" s="70"/>
      <c r="P2305" s="34" t="str">
        <f t="shared" si="277"/>
        <v/>
      </c>
      <c r="Q2305" s="60"/>
      <c r="R2305" s="36">
        <f t="shared" si="312"/>
        <v>0</v>
      </c>
      <c r="S2305" s="71"/>
      <c r="T2305" s="37">
        <f t="shared" si="302"/>
        <v>0</v>
      </c>
      <c r="U2305" s="62"/>
      <c r="V2305" s="63"/>
      <c r="W2305" s="63"/>
      <c r="X2305" s="35" t="str">
        <f t="shared" si="303"/>
        <v>#N/A</v>
      </c>
      <c r="Y2305" s="35" t="str">
        <f t="shared" si="304"/>
        <v>#N/A</v>
      </c>
      <c r="Z2305" s="40" t="str">
        <f t="shared" si="305"/>
        <v>#N/A</v>
      </c>
      <c r="AA2305" s="34" t="str">
        <f t="shared" si="306"/>
        <v>#N/A</v>
      </c>
      <c r="AB2305" s="41" t="str">
        <f t="shared" si="307"/>
        <v>#N/A</v>
      </c>
      <c r="AC2305" s="42" t="b">
        <v>0</v>
      </c>
      <c r="AD2305" s="66" t="str">
        <f t="shared" si="308"/>
        <v>USD</v>
      </c>
      <c r="AE2305" s="42"/>
      <c r="AF2305" s="42" t="str">
        <f t="array" ref="AF2305">INDEX('Deal Info'!D:D, MATCH(A2305,'Deal Info'!A:A, 0))</f>
        <v>#N/A</v>
      </c>
      <c r="AG2305" s="43" t="str">
        <f t="array" ref="AG2305">INDEX('Deal Info'!G:G, MATCH(A2305,'Deal Info'!A:A, 0))</f>
        <v>#N/A</v>
      </c>
    </row>
    <row r="2306" hidden="1">
      <c r="A2306" s="23" t="b">
        <f t="array" ref="A2306">if(G2306='Room Info'!$B$1, INDEX('Room Info'!$A$2:$A3446, MATCH(B2306,'Room Info'!$B$2:$B3446, 0)),if(G2306='Room Info'!$C$1, INDEX('Room Info'!$A$2:$A3446, MATCH(B2306,'Room Info'!$C$2:$C3446, 0)),if(G2306='Room Info'!$D$1, INDEX('Room Info'!$A$2:$A3446, MATCH(B2306,'Room Info'!$D$2:$D3446, 0)),if(G2306='Room Info'!$E$1, INDEX('Room Info'!$A$2:$A3446, MATCH(B2306,'Room Info'!$E$2:$E3446, 0)),if(G2306='Room Info'!$F$1, INDEX('Room Info'!$A$2:$A3446, MATCH(B2306,'Room Info'!$F$2:$F3446, 0)),if(G2306='Room Info'!$H$1, INDEX('Room Info'!$A$2:$A3446, MATCH(B2306,'Room Info'!$H$2:$H3446, 0)),if(G2306='Room Info'!$G$1, INDEX('Room Info'!$A$2:$A3446, MATCH(B2306,'Room Info'!$G$2:$G3446, 0)))))))))</f>
        <v>0</v>
      </c>
      <c r="B2306" s="101"/>
      <c r="C2306" s="115"/>
      <c r="D2306" s="115"/>
      <c r="E2306" s="85"/>
      <c r="F2306" s="138"/>
      <c r="G2306" s="101"/>
      <c r="H2306" s="114"/>
      <c r="I2306" s="114"/>
      <c r="J2306" s="44" t="str">
        <f t="shared" si="311"/>
        <v/>
      </c>
      <c r="K2306" s="116"/>
      <c r="L2306" s="117"/>
      <c r="M2306" s="67"/>
      <c r="N2306" s="33">
        <f t="shared" si="276"/>
        <v>0</v>
      </c>
      <c r="O2306" s="70"/>
      <c r="P2306" s="34" t="str">
        <f t="shared" si="277"/>
        <v/>
      </c>
      <c r="Q2306" s="60"/>
      <c r="R2306" s="36">
        <f t="shared" si="312"/>
        <v>0</v>
      </c>
      <c r="S2306" s="71"/>
      <c r="T2306" s="37">
        <f t="shared" si="302"/>
        <v>0</v>
      </c>
      <c r="U2306" s="62"/>
      <c r="V2306" s="63"/>
      <c r="W2306" s="63"/>
      <c r="X2306" s="35" t="str">
        <f t="shared" si="303"/>
        <v>#N/A</v>
      </c>
      <c r="Y2306" s="35" t="str">
        <f t="shared" si="304"/>
        <v>#N/A</v>
      </c>
      <c r="Z2306" s="40" t="str">
        <f t="shared" si="305"/>
        <v>#N/A</v>
      </c>
      <c r="AA2306" s="34" t="str">
        <f t="shared" si="306"/>
        <v>#N/A</v>
      </c>
      <c r="AB2306" s="41" t="str">
        <f t="shared" si="307"/>
        <v>#N/A</v>
      </c>
      <c r="AC2306" s="42" t="b">
        <v>0</v>
      </c>
      <c r="AD2306" s="66" t="str">
        <f t="shared" si="308"/>
        <v>USD</v>
      </c>
      <c r="AE2306" s="42"/>
      <c r="AF2306" s="42" t="str">
        <f t="array" ref="AF2306">INDEX('Deal Info'!D:D, MATCH(A2306,'Deal Info'!A:A, 0))</f>
        <v>#N/A</v>
      </c>
      <c r="AG2306" s="43" t="str">
        <f t="array" ref="AG2306">INDEX('Deal Info'!G:G, MATCH(A2306,'Deal Info'!A:A, 0))</f>
        <v>#N/A</v>
      </c>
    </row>
    <row r="2307" hidden="1">
      <c r="A2307" s="23" t="b">
        <f t="array" ref="A2307">if(G2307='Room Info'!$B$1, INDEX('Room Info'!$A$2:$A3446, MATCH(B2307,'Room Info'!$B$2:$B3446, 0)),if(G2307='Room Info'!$C$1, INDEX('Room Info'!$A$2:$A3446, MATCH(B2307,'Room Info'!$C$2:$C3446, 0)),if(G2307='Room Info'!$D$1, INDEX('Room Info'!$A$2:$A3446, MATCH(B2307,'Room Info'!$D$2:$D3446, 0)),if(G2307='Room Info'!$E$1, INDEX('Room Info'!$A$2:$A3446, MATCH(B2307,'Room Info'!$E$2:$E3446, 0)),if(G2307='Room Info'!$F$1, INDEX('Room Info'!$A$2:$A3446, MATCH(B2307,'Room Info'!$F$2:$F3446, 0)),if(G2307='Room Info'!$H$1, INDEX('Room Info'!$A$2:$A3446, MATCH(B2307,'Room Info'!$H$2:$H3446, 0)),if(G2307='Room Info'!$G$1, INDEX('Room Info'!$A$2:$A3446, MATCH(B2307,'Room Info'!$G$2:$G3446, 0)))))))))</f>
        <v>0</v>
      </c>
      <c r="B2307" s="101"/>
      <c r="C2307" s="115"/>
      <c r="D2307" s="115"/>
      <c r="E2307" s="85"/>
      <c r="F2307" s="138"/>
      <c r="G2307" s="101"/>
      <c r="H2307" s="114"/>
      <c r="I2307" s="114"/>
      <c r="J2307" s="44" t="str">
        <f t="shared" si="311"/>
        <v/>
      </c>
      <c r="K2307" s="116"/>
      <c r="L2307" s="117"/>
      <c r="M2307" s="67"/>
      <c r="N2307" s="33">
        <f t="shared" si="276"/>
        <v>0</v>
      </c>
      <c r="O2307" s="70"/>
      <c r="P2307" s="34" t="str">
        <f t="shared" si="277"/>
        <v/>
      </c>
      <c r="Q2307" s="60"/>
      <c r="R2307" s="36">
        <f t="shared" si="312"/>
        <v>0</v>
      </c>
      <c r="S2307" s="71"/>
      <c r="T2307" s="37">
        <f t="shared" si="302"/>
        <v>0</v>
      </c>
      <c r="U2307" s="62"/>
      <c r="V2307" s="63"/>
      <c r="W2307" s="63"/>
      <c r="X2307" s="35" t="str">
        <f t="shared" si="303"/>
        <v>#N/A</v>
      </c>
      <c r="Y2307" s="35" t="str">
        <f t="shared" si="304"/>
        <v>#N/A</v>
      </c>
      <c r="Z2307" s="40" t="str">
        <f t="shared" si="305"/>
        <v>#N/A</v>
      </c>
      <c r="AA2307" s="34" t="str">
        <f t="shared" si="306"/>
        <v>#N/A</v>
      </c>
      <c r="AB2307" s="41" t="str">
        <f t="shared" si="307"/>
        <v>#N/A</v>
      </c>
      <c r="AC2307" s="42" t="b">
        <v>0</v>
      </c>
      <c r="AD2307" s="66" t="str">
        <f t="shared" si="308"/>
        <v>USD</v>
      </c>
      <c r="AE2307" s="42"/>
      <c r="AF2307" s="42" t="str">
        <f t="array" ref="AF2307">INDEX('Deal Info'!D:D, MATCH(A2307,'Deal Info'!A:A, 0))</f>
        <v>#N/A</v>
      </c>
      <c r="AG2307" s="43" t="str">
        <f t="array" ref="AG2307">INDEX('Deal Info'!G:G, MATCH(A2307,'Deal Info'!A:A, 0))</f>
        <v>#N/A</v>
      </c>
    </row>
    <row r="2308" hidden="1">
      <c r="A2308" s="23" t="b">
        <f t="array" ref="A2308">if(G2308='Room Info'!$B$1, INDEX('Room Info'!$A$2:$A3446, MATCH(B2308,'Room Info'!$B$2:$B3446, 0)),if(G2308='Room Info'!$C$1, INDEX('Room Info'!$A$2:$A3446, MATCH(B2308,'Room Info'!$C$2:$C3446, 0)),if(G2308='Room Info'!$D$1, INDEX('Room Info'!$A$2:$A3446, MATCH(B2308,'Room Info'!$D$2:$D3446, 0)),if(G2308='Room Info'!$E$1, INDEX('Room Info'!$A$2:$A3446, MATCH(B2308,'Room Info'!$E$2:$E3446, 0)),if(G2308='Room Info'!$F$1, INDEX('Room Info'!$A$2:$A3446, MATCH(B2308,'Room Info'!$F$2:$F3446, 0)),if(G2308='Room Info'!$H$1, INDEX('Room Info'!$A$2:$A3446, MATCH(B2308,'Room Info'!$H$2:$H3446, 0)),if(G2308='Room Info'!$G$1, INDEX('Room Info'!$A$2:$A3446, MATCH(B2308,'Room Info'!$G$2:$G3446, 0)))))))))</f>
        <v>0</v>
      </c>
      <c r="B2308" s="101"/>
      <c r="C2308" s="115"/>
      <c r="D2308" s="115"/>
      <c r="E2308" s="85"/>
      <c r="F2308" s="101"/>
      <c r="G2308" s="101"/>
      <c r="H2308" s="114"/>
      <c r="I2308" s="114"/>
      <c r="J2308" s="44" t="str">
        <f t="shared" si="311"/>
        <v/>
      </c>
      <c r="K2308" s="116"/>
      <c r="L2308" s="117"/>
      <c r="M2308" s="67"/>
      <c r="N2308" s="33">
        <f t="shared" si="276"/>
        <v>0</v>
      </c>
      <c r="O2308" s="70"/>
      <c r="P2308" s="34" t="str">
        <f t="shared" si="277"/>
        <v/>
      </c>
      <c r="Q2308" s="60"/>
      <c r="R2308" s="36">
        <f t="shared" si="312"/>
        <v>0</v>
      </c>
      <c r="S2308" s="71"/>
      <c r="T2308" s="37">
        <f t="shared" si="302"/>
        <v>0</v>
      </c>
      <c r="U2308" s="62"/>
      <c r="V2308" s="63"/>
      <c r="W2308" s="63"/>
      <c r="X2308" s="35" t="str">
        <f t="shared" si="303"/>
        <v>#N/A</v>
      </c>
      <c r="Y2308" s="35" t="str">
        <f t="shared" si="304"/>
        <v>#N/A</v>
      </c>
      <c r="Z2308" s="40" t="str">
        <f t="shared" si="305"/>
        <v>#N/A</v>
      </c>
      <c r="AA2308" s="34" t="str">
        <f t="shared" si="306"/>
        <v>#N/A</v>
      </c>
      <c r="AB2308" s="41" t="str">
        <f t="shared" si="307"/>
        <v>#N/A</v>
      </c>
      <c r="AC2308" s="42" t="b">
        <v>0</v>
      </c>
      <c r="AD2308" s="66" t="str">
        <f t="shared" si="308"/>
        <v>USD</v>
      </c>
      <c r="AE2308" s="42"/>
      <c r="AF2308" s="42" t="str">
        <f t="array" ref="AF2308">INDEX('Deal Info'!D:D, MATCH(A2308,'Deal Info'!A:A, 0))</f>
        <v>#N/A</v>
      </c>
      <c r="AG2308" s="43" t="str">
        <f t="array" ref="AG2308">INDEX('Deal Info'!G:G, MATCH(A2308,'Deal Info'!A:A, 0))</f>
        <v>#N/A</v>
      </c>
    </row>
    <row r="2309" hidden="1">
      <c r="A2309" s="23" t="b">
        <f t="array" ref="A2309">if(G2309='Room Info'!$B$1, INDEX('Room Info'!$A$2:$A3446, MATCH(B2309,'Room Info'!$B$2:$B3446, 0)),if(G2309='Room Info'!$C$1, INDEX('Room Info'!$A$2:$A3446, MATCH(B2309,'Room Info'!$C$2:$C3446, 0)),if(G2309='Room Info'!$D$1, INDEX('Room Info'!$A$2:$A3446, MATCH(B2309,'Room Info'!$D$2:$D3446, 0)),if(G2309='Room Info'!$E$1, INDEX('Room Info'!$A$2:$A3446, MATCH(B2309,'Room Info'!$E$2:$E3446, 0)),if(G2309='Room Info'!$F$1, INDEX('Room Info'!$A$2:$A3446, MATCH(B2309,'Room Info'!$F$2:$F3446, 0)),if(G2309='Room Info'!$H$1, INDEX('Room Info'!$A$2:$A3446, MATCH(B2309,'Room Info'!$H$2:$H3446, 0)),if(G2309='Room Info'!$G$1, INDEX('Room Info'!$A$2:$A3446, MATCH(B2309,'Room Info'!$G$2:$G3446, 0)))))))))</f>
        <v>0</v>
      </c>
      <c r="B2309" s="101"/>
      <c r="C2309" s="115"/>
      <c r="D2309" s="115"/>
      <c r="E2309" s="85"/>
      <c r="F2309" s="101"/>
      <c r="G2309" s="70"/>
      <c r="H2309" s="114"/>
      <c r="I2309" s="114"/>
      <c r="J2309" s="44" t="str">
        <f t="shared" si="311"/>
        <v/>
      </c>
      <c r="K2309" s="116"/>
      <c r="L2309" s="117"/>
      <c r="M2309" s="67"/>
      <c r="N2309" s="33">
        <f t="shared" si="276"/>
        <v>0</v>
      </c>
      <c r="O2309" s="70"/>
      <c r="P2309" s="34" t="str">
        <f t="shared" si="277"/>
        <v/>
      </c>
      <c r="Q2309" s="60"/>
      <c r="R2309" s="36">
        <f t="shared" si="312"/>
        <v>0</v>
      </c>
      <c r="S2309" s="71"/>
      <c r="T2309" s="37">
        <f t="shared" si="302"/>
        <v>0</v>
      </c>
      <c r="U2309" s="62"/>
      <c r="V2309" s="63"/>
      <c r="W2309" s="63"/>
      <c r="X2309" s="35" t="str">
        <f t="shared" si="303"/>
        <v>#N/A</v>
      </c>
      <c r="Y2309" s="35" t="str">
        <f t="shared" si="304"/>
        <v>#N/A</v>
      </c>
      <c r="Z2309" s="40" t="str">
        <f t="shared" si="305"/>
        <v>#N/A</v>
      </c>
      <c r="AA2309" s="34" t="str">
        <f t="shared" si="306"/>
        <v>#N/A</v>
      </c>
      <c r="AB2309" s="41" t="str">
        <f t="shared" si="307"/>
        <v>#N/A</v>
      </c>
      <c r="AC2309" s="42" t="b">
        <v>0</v>
      </c>
      <c r="AD2309" s="66" t="str">
        <f t="shared" si="308"/>
        <v>USD</v>
      </c>
      <c r="AE2309" s="42"/>
      <c r="AF2309" s="42" t="str">
        <f t="array" ref="AF2309">INDEX('Deal Info'!D:D, MATCH(A2309,'Deal Info'!A:A, 0))</f>
        <v>#N/A</v>
      </c>
      <c r="AG2309" s="43" t="str">
        <f t="array" ref="AG2309">INDEX('Deal Info'!G:G, MATCH(A2309,'Deal Info'!A:A, 0))</f>
        <v>#N/A</v>
      </c>
    </row>
    <row r="2310" hidden="1">
      <c r="A2310" s="23" t="b">
        <f t="array" ref="A2310">if(G2310='Room Info'!$B$1, INDEX('Room Info'!$A$2:$A3446, MATCH(B2310,'Room Info'!$B$2:$B3446, 0)),if(G2310='Room Info'!$C$1, INDEX('Room Info'!$A$2:$A3446, MATCH(B2310,'Room Info'!$C$2:$C3446, 0)),if(G2310='Room Info'!$D$1, INDEX('Room Info'!$A$2:$A3446, MATCH(B2310,'Room Info'!$D$2:$D3446, 0)),if(G2310='Room Info'!$E$1, INDEX('Room Info'!$A$2:$A3446, MATCH(B2310,'Room Info'!$E$2:$E3446, 0)),if(G2310='Room Info'!$F$1, INDEX('Room Info'!$A$2:$A3446, MATCH(B2310,'Room Info'!$F$2:$F3446, 0)),if(G2310='Room Info'!$H$1, INDEX('Room Info'!$A$2:$A3446, MATCH(B2310,'Room Info'!$H$2:$H3446, 0)),if(G2310='Room Info'!$G$1, INDEX('Room Info'!$A$2:$A3446, MATCH(B2310,'Room Info'!$G$2:$G3446, 0)))))))))</f>
        <v>0</v>
      </c>
      <c r="B2310" s="101"/>
      <c r="C2310" s="115"/>
      <c r="D2310" s="115"/>
      <c r="E2310" s="85"/>
      <c r="F2310" s="138"/>
      <c r="G2310" s="70"/>
      <c r="H2310" s="114"/>
      <c r="I2310" s="114"/>
      <c r="J2310" s="44" t="str">
        <f t="shared" si="311"/>
        <v/>
      </c>
      <c r="K2310" s="116"/>
      <c r="L2310" s="117"/>
      <c r="M2310" s="67"/>
      <c r="N2310" s="33">
        <f t="shared" si="276"/>
        <v>0</v>
      </c>
      <c r="O2310" s="70"/>
      <c r="P2310" s="34" t="str">
        <f t="shared" si="277"/>
        <v/>
      </c>
      <c r="Q2310" s="60"/>
      <c r="R2310" s="36">
        <f t="shared" si="312"/>
        <v>0</v>
      </c>
      <c r="S2310" s="71"/>
      <c r="T2310" s="37">
        <f t="shared" si="302"/>
        <v>0</v>
      </c>
      <c r="U2310" s="62"/>
      <c r="V2310" s="63"/>
      <c r="W2310" s="63"/>
      <c r="X2310" s="35" t="str">
        <f t="shared" si="303"/>
        <v>#N/A</v>
      </c>
      <c r="Y2310" s="35" t="str">
        <f t="shared" si="304"/>
        <v>#N/A</v>
      </c>
      <c r="Z2310" s="40" t="str">
        <f t="shared" si="305"/>
        <v>#N/A</v>
      </c>
      <c r="AA2310" s="34" t="str">
        <f t="shared" si="306"/>
        <v>#N/A</v>
      </c>
      <c r="AB2310" s="41" t="str">
        <f t="shared" si="307"/>
        <v>#N/A</v>
      </c>
      <c r="AC2310" s="42" t="b">
        <v>0</v>
      </c>
      <c r="AD2310" s="66" t="str">
        <f t="shared" si="308"/>
        <v>USD</v>
      </c>
      <c r="AE2310" s="42"/>
      <c r="AF2310" s="42" t="str">
        <f t="array" ref="AF2310">INDEX('Deal Info'!D:D, MATCH(A2310,'Deal Info'!A:A, 0))</f>
        <v>#N/A</v>
      </c>
      <c r="AG2310" s="43" t="str">
        <f t="array" ref="AG2310">INDEX('Deal Info'!G:G, MATCH(A2310,'Deal Info'!A:A, 0))</f>
        <v>#N/A</v>
      </c>
    </row>
    <row r="2311" hidden="1">
      <c r="A2311" s="23" t="b">
        <f t="array" ref="A2311">if(G2311='Room Info'!$B$1, INDEX('Room Info'!$A$2:$A3446, MATCH(B2311,'Room Info'!$B$2:$B3446, 0)),if(G2311='Room Info'!$C$1, INDEX('Room Info'!$A$2:$A3446, MATCH(B2311,'Room Info'!$C$2:$C3446, 0)),if(G2311='Room Info'!$D$1, INDEX('Room Info'!$A$2:$A3446, MATCH(B2311,'Room Info'!$D$2:$D3446, 0)),if(G2311='Room Info'!$E$1, INDEX('Room Info'!$A$2:$A3446, MATCH(B2311,'Room Info'!$E$2:$E3446, 0)),if(G2311='Room Info'!$F$1, INDEX('Room Info'!$A$2:$A3446, MATCH(B2311,'Room Info'!$F$2:$F3446, 0)),if(G2311='Room Info'!$H$1, INDEX('Room Info'!$A$2:$A3446, MATCH(B2311,'Room Info'!$H$2:$H3446, 0)),if(G2311='Room Info'!$G$1, INDEX('Room Info'!$A$2:$A3446, MATCH(B2311,'Room Info'!$G$2:$G3446, 0)))))))))</f>
        <v>0</v>
      </c>
      <c r="B2311" s="101"/>
      <c r="C2311" s="115"/>
      <c r="D2311" s="115"/>
      <c r="E2311" s="85"/>
      <c r="F2311" s="138"/>
      <c r="G2311" s="70"/>
      <c r="H2311" s="114"/>
      <c r="I2311" s="114"/>
      <c r="J2311" s="44" t="str">
        <f t="shared" si="311"/>
        <v/>
      </c>
      <c r="K2311" s="116"/>
      <c r="L2311" s="117"/>
      <c r="M2311" s="67"/>
      <c r="N2311" s="33">
        <f t="shared" si="276"/>
        <v>0</v>
      </c>
      <c r="O2311" s="70"/>
      <c r="P2311" s="34" t="str">
        <f t="shared" si="277"/>
        <v/>
      </c>
      <c r="Q2311" s="60"/>
      <c r="R2311" s="36">
        <f t="shared" si="312"/>
        <v>0</v>
      </c>
      <c r="S2311" s="71"/>
      <c r="T2311" s="37">
        <f t="shared" si="302"/>
        <v>0</v>
      </c>
      <c r="U2311" s="62"/>
      <c r="V2311" s="63"/>
      <c r="W2311" s="63"/>
      <c r="X2311" s="35" t="str">
        <f t="shared" si="303"/>
        <v>#N/A</v>
      </c>
      <c r="Y2311" s="35" t="str">
        <f t="shared" si="304"/>
        <v>#N/A</v>
      </c>
      <c r="Z2311" s="40" t="str">
        <f t="shared" si="305"/>
        <v>#N/A</v>
      </c>
      <c r="AA2311" s="34" t="str">
        <f t="shared" si="306"/>
        <v>#N/A</v>
      </c>
      <c r="AB2311" s="41" t="str">
        <f t="shared" si="307"/>
        <v>#N/A</v>
      </c>
      <c r="AC2311" s="42" t="b">
        <v>0</v>
      </c>
      <c r="AD2311" s="66" t="str">
        <f t="shared" si="308"/>
        <v>USD</v>
      </c>
      <c r="AE2311" s="42"/>
      <c r="AF2311" s="42" t="str">
        <f t="array" ref="AF2311">INDEX('Deal Info'!D:D, MATCH(A2311,'Deal Info'!A:A, 0))</f>
        <v>#N/A</v>
      </c>
      <c r="AG2311" s="43" t="str">
        <f t="array" ref="AG2311">INDEX('Deal Info'!G:G, MATCH(A2311,'Deal Info'!A:A, 0))</f>
        <v>#N/A</v>
      </c>
    </row>
    <row r="2312" hidden="1">
      <c r="A2312" s="23" t="b">
        <f t="array" ref="A2312">if(G2312='Room Info'!$B$1, INDEX('Room Info'!$A$2:$A3446, MATCH(B2312,'Room Info'!$B$2:$B3446, 0)),if(G2312='Room Info'!$C$1, INDEX('Room Info'!$A$2:$A3446, MATCH(B2312,'Room Info'!$C$2:$C3446, 0)),if(G2312='Room Info'!$D$1, INDEX('Room Info'!$A$2:$A3446, MATCH(B2312,'Room Info'!$D$2:$D3446, 0)),if(G2312='Room Info'!$E$1, INDEX('Room Info'!$A$2:$A3446, MATCH(B2312,'Room Info'!$E$2:$E3446, 0)),if(G2312='Room Info'!$F$1, INDEX('Room Info'!$A$2:$A3446, MATCH(B2312,'Room Info'!$F$2:$F3446, 0)),if(G2312='Room Info'!$H$1, INDEX('Room Info'!$A$2:$A3446, MATCH(B2312,'Room Info'!$H$2:$H3446, 0)),if(G2312='Room Info'!$G$1, INDEX('Room Info'!$A$2:$A3446, MATCH(B2312,'Room Info'!$G$2:$G3446, 0)))))))))</f>
        <v>0</v>
      </c>
      <c r="B2312" s="101"/>
      <c r="C2312" s="115"/>
      <c r="D2312" s="115"/>
      <c r="E2312" s="85"/>
      <c r="F2312" s="138"/>
      <c r="G2312" s="70"/>
      <c r="H2312" s="114"/>
      <c r="I2312" s="114"/>
      <c r="J2312" s="44" t="str">
        <f t="shared" si="311"/>
        <v/>
      </c>
      <c r="K2312" s="139"/>
      <c r="L2312" s="140"/>
      <c r="M2312" s="67"/>
      <c r="N2312" s="33">
        <f t="shared" si="276"/>
        <v>0</v>
      </c>
      <c r="O2312" s="101"/>
      <c r="P2312" s="34" t="str">
        <f t="shared" si="277"/>
        <v/>
      </c>
      <c r="Q2312" s="60"/>
      <c r="R2312" s="36">
        <f t="shared" si="312"/>
        <v>0</v>
      </c>
      <c r="S2312" s="102"/>
      <c r="T2312" s="37">
        <f t="shared" si="302"/>
        <v>0</v>
      </c>
      <c r="U2312" s="62"/>
      <c r="V2312" s="63"/>
      <c r="W2312" s="63"/>
      <c r="X2312" s="35" t="str">
        <f t="shared" si="303"/>
        <v>#N/A</v>
      </c>
      <c r="Y2312" s="35" t="str">
        <f t="shared" si="304"/>
        <v>#N/A</v>
      </c>
      <c r="Z2312" s="40" t="str">
        <f t="shared" si="305"/>
        <v>#N/A</v>
      </c>
      <c r="AA2312" s="34" t="str">
        <f t="shared" si="306"/>
        <v>#N/A</v>
      </c>
      <c r="AB2312" s="41" t="str">
        <f t="shared" si="307"/>
        <v>#N/A</v>
      </c>
      <c r="AC2312" s="42" t="b">
        <v>0</v>
      </c>
      <c r="AD2312" s="66" t="str">
        <f t="shared" si="308"/>
        <v>USD</v>
      </c>
      <c r="AE2312" s="42"/>
      <c r="AF2312" s="42" t="str">
        <f t="array" ref="AF2312">INDEX('Deal Info'!D:D, MATCH(A2312,'Deal Info'!A:A, 0))</f>
        <v>#N/A</v>
      </c>
      <c r="AG2312" s="43" t="str">
        <f t="array" ref="AG2312">INDEX('Deal Info'!G:G, MATCH(A2312,'Deal Info'!A:A, 0))</f>
        <v>#N/A</v>
      </c>
    </row>
    <row r="2313" hidden="1">
      <c r="A2313" s="23" t="b">
        <f t="array" ref="A2313">if(G2313='Room Info'!$B$1, INDEX('Room Info'!$A$2:$A3446, MATCH(B2313,'Room Info'!$B$2:$B3446, 0)),if(G2313='Room Info'!$C$1, INDEX('Room Info'!$A$2:$A3446, MATCH(B2313,'Room Info'!$C$2:$C3446, 0)),if(G2313='Room Info'!$D$1, INDEX('Room Info'!$A$2:$A3446, MATCH(B2313,'Room Info'!$D$2:$D3446, 0)),if(G2313='Room Info'!$E$1, INDEX('Room Info'!$A$2:$A3446, MATCH(B2313,'Room Info'!$E$2:$E3446, 0)),if(G2313='Room Info'!$F$1, INDEX('Room Info'!$A$2:$A3446, MATCH(B2313,'Room Info'!$F$2:$F3446, 0)),if(G2313='Room Info'!$H$1, INDEX('Room Info'!$A$2:$A3446, MATCH(B2313,'Room Info'!$H$2:$H3446, 0)),if(G2313='Room Info'!$G$1, INDEX('Room Info'!$A$2:$A3446, MATCH(B2313,'Room Info'!$G$2:$G3446, 0)))))))))</f>
        <v>0</v>
      </c>
      <c r="B2313" s="101"/>
      <c r="C2313" s="115"/>
      <c r="D2313" s="115"/>
      <c r="E2313" s="85"/>
      <c r="F2313" s="138"/>
      <c r="G2313" s="70"/>
      <c r="H2313" s="114"/>
      <c r="I2313" s="114"/>
      <c r="J2313" s="44" t="str">
        <f t="shared" si="311"/>
        <v/>
      </c>
      <c r="K2313" s="139"/>
      <c r="L2313" s="140"/>
      <c r="M2313" s="67"/>
      <c r="N2313" s="33">
        <f t="shared" si="276"/>
        <v>0</v>
      </c>
      <c r="O2313" s="101"/>
      <c r="P2313" s="34" t="str">
        <f t="shared" si="277"/>
        <v/>
      </c>
      <c r="Q2313" s="60"/>
      <c r="R2313" s="36">
        <f t="shared" si="312"/>
        <v>0</v>
      </c>
      <c r="S2313" s="102"/>
      <c r="T2313" s="37">
        <f t="shared" si="302"/>
        <v>0</v>
      </c>
      <c r="U2313" s="62"/>
      <c r="V2313" s="63"/>
      <c r="W2313" s="63"/>
      <c r="X2313" s="35" t="str">
        <f t="shared" si="303"/>
        <v>#N/A</v>
      </c>
      <c r="Y2313" s="35" t="str">
        <f t="shared" si="304"/>
        <v>#N/A</v>
      </c>
      <c r="Z2313" s="40" t="str">
        <f t="shared" si="305"/>
        <v>#N/A</v>
      </c>
      <c r="AA2313" s="34" t="str">
        <f t="shared" si="306"/>
        <v>#N/A</v>
      </c>
      <c r="AB2313" s="41" t="str">
        <f t="shared" si="307"/>
        <v>#N/A</v>
      </c>
      <c r="AC2313" s="42" t="b">
        <v>0</v>
      </c>
      <c r="AD2313" s="66" t="str">
        <f t="shared" si="308"/>
        <v>USD</v>
      </c>
      <c r="AE2313" s="42"/>
      <c r="AF2313" s="42" t="str">
        <f t="array" ref="AF2313">INDEX('Deal Info'!D:D, MATCH(A2313,'Deal Info'!A:A, 0))</f>
        <v>#N/A</v>
      </c>
      <c r="AG2313" s="43" t="str">
        <f t="array" ref="AG2313">INDEX('Deal Info'!G:G, MATCH(A2313,'Deal Info'!A:A, 0))</f>
        <v>#N/A</v>
      </c>
    </row>
    <row r="2314" hidden="1">
      <c r="A2314" s="23" t="b">
        <f t="array" ref="A2314">if(G2314='Room Info'!$B$1, INDEX('Room Info'!$A$2:$A3446, MATCH(B2314,'Room Info'!$B$2:$B3446, 0)),if(G2314='Room Info'!$C$1, INDEX('Room Info'!$A$2:$A3446, MATCH(B2314,'Room Info'!$C$2:$C3446, 0)),if(G2314='Room Info'!$D$1, INDEX('Room Info'!$A$2:$A3446, MATCH(B2314,'Room Info'!$D$2:$D3446, 0)),if(G2314='Room Info'!$E$1, INDEX('Room Info'!$A$2:$A3446, MATCH(B2314,'Room Info'!$E$2:$E3446, 0)),if(G2314='Room Info'!$F$1, INDEX('Room Info'!$A$2:$A3446, MATCH(B2314,'Room Info'!$F$2:$F3446, 0)),if(G2314='Room Info'!$H$1, INDEX('Room Info'!$A$2:$A3446, MATCH(B2314,'Room Info'!$H$2:$H3446, 0)),if(G2314='Room Info'!$G$1, INDEX('Room Info'!$A$2:$A3446, MATCH(B2314,'Room Info'!$G$2:$G3446, 0)))))))))</f>
        <v>0</v>
      </c>
      <c r="B2314" s="101"/>
      <c r="C2314" s="115"/>
      <c r="D2314" s="115"/>
      <c r="E2314" s="85"/>
      <c r="F2314" s="138"/>
      <c r="G2314" s="70"/>
      <c r="H2314" s="114"/>
      <c r="I2314" s="114"/>
      <c r="J2314" s="44" t="str">
        <f t="shared" si="311"/>
        <v/>
      </c>
      <c r="K2314" s="139"/>
      <c r="L2314" s="140"/>
      <c r="M2314" s="67"/>
      <c r="N2314" s="33">
        <f t="shared" si="276"/>
        <v>0</v>
      </c>
      <c r="O2314" s="101"/>
      <c r="P2314" s="34" t="str">
        <f t="shared" si="277"/>
        <v/>
      </c>
      <c r="Q2314" s="60"/>
      <c r="R2314" s="36">
        <f t="shared" si="312"/>
        <v>0</v>
      </c>
      <c r="S2314" s="102"/>
      <c r="T2314" s="37">
        <f t="shared" si="302"/>
        <v>0</v>
      </c>
      <c r="U2314" s="62"/>
      <c r="V2314" s="63"/>
      <c r="W2314" s="63"/>
      <c r="X2314" s="35" t="str">
        <f t="shared" si="303"/>
        <v>#N/A</v>
      </c>
      <c r="Y2314" s="35" t="str">
        <f t="shared" si="304"/>
        <v>#N/A</v>
      </c>
      <c r="Z2314" s="40" t="str">
        <f t="shared" si="305"/>
        <v>#N/A</v>
      </c>
      <c r="AA2314" s="34" t="str">
        <f t="shared" si="306"/>
        <v>#N/A</v>
      </c>
      <c r="AB2314" s="41" t="str">
        <f t="shared" si="307"/>
        <v>#N/A</v>
      </c>
      <c r="AC2314" s="42" t="b">
        <v>0</v>
      </c>
      <c r="AD2314" s="66" t="str">
        <f t="shared" si="308"/>
        <v>USD</v>
      </c>
      <c r="AE2314" s="42"/>
      <c r="AF2314" s="42" t="str">
        <f t="array" ref="AF2314">INDEX('Deal Info'!D:D, MATCH(A2314,'Deal Info'!A:A, 0))</f>
        <v>#N/A</v>
      </c>
      <c r="AG2314" s="43" t="str">
        <f t="array" ref="AG2314">INDEX('Deal Info'!G:G, MATCH(A2314,'Deal Info'!A:A, 0))</f>
        <v>#N/A</v>
      </c>
    </row>
    <row r="2315" hidden="1">
      <c r="A2315" s="23" t="b">
        <f t="array" ref="A2315">if(G2315='Room Info'!$B$1, INDEX('Room Info'!$A$2:$A3446, MATCH(B2315,'Room Info'!$B$2:$B3446, 0)),if(G2315='Room Info'!$C$1, INDEX('Room Info'!$A$2:$A3446, MATCH(B2315,'Room Info'!$C$2:$C3446, 0)),if(G2315='Room Info'!$D$1, INDEX('Room Info'!$A$2:$A3446, MATCH(B2315,'Room Info'!$D$2:$D3446, 0)),if(G2315='Room Info'!$E$1, INDEX('Room Info'!$A$2:$A3446, MATCH(B2315,'Room Info'!$E$2:$E3446, 0)),if(G2315='Room Info'!$F$1, INDEX('Room Info'!$A$2:$A3446, MATCH(B2315,'Room Info'!$F$2:$F3446, 0)),if(G2315='Room Info'!$H$1, INDEX('Room Info'!$A$2:$A3446, MATCH(B2315,'Room Info'!$H$2:$H3446, 0)),if(G2315='Room Info'!$G$1, INDEX('Room Info'!$A$2:$A3446, MATCH(B2315,'Room Info'!$G$2:$G3446, 0)))))))))</f>
        <v>0</v>
      </c>
      <c r="B2315" s="101"/>
      <c r="C2315" s="115"/>
      <c r="D2315" s="115"/>
      <c r="E2315" s="85"/>
      <c r="F2315" s="138"/>
      <c r="G2315" s="70"/>
      <c r="H2315" s="114"/>
      <c r="I2315" s="114"/>
      <c r="J2315" s="44" t="str">
        <f t="shared" si="311"/>
        <v/>
      </c>
      <c r="K2315" s="139"/>
      <c r="L2315" s="140"/>
      <c r="M2315" s="67"/>
      <c r="N2315" s="33">
        <f t="shared" si="276"/>
        <v>0</v>
      </c>
      <c r="O2315" s="101"/>
      <c r="P2315" s="34" t="str">
        <f t="shared" si="277"/>
        <v/>
      </c>
      <c r="Q2315" s="60"/>
      <c r="R2315" s="36">
        <f t="shared" si="312"/>
        <v>0</v>
      </c>
      <c r="S2315" s="102"/>
      <c r="T2315" s="37">
        <f t="shared" si="302"/>
        <v>0</v>
      </c>
      <c r="U2315" s="62"/>
      <c r="V2315" s="63"/>
      <c r="W2315" s="63"/>
      <c r="X2315" s="35" t="str">
        <f t="shared" si="303"/>
        <v>#N/A</v>
      </c>
      <c r="Y2315" s="35" t="str">
        <f t="shared" si="304"/>
        <v>#N/A</v>
      </c>
      <c r="Z2315" s="40" t="str">
        <f t="shared" si="305"/>
        <v>#N/A</v>
      </c>
      <c r="AA2315" s="34" t="str">
        <f t="shared" si="306"/>
        <v>#N/A</v>
      </c>
      <c r="AB2315" s="41" t="str">
        <f t="shared" si="307"/>
        <v>#N/A</v>
      </c>
      <c r="AC2315" s="42" t="b">
        <v>0</v>
      </c>
      <c r="AD2315" s="66" t="str">
        <f t="shared" si="308"/>
        <v>USD</v>
      </c>
      <c r="AE2315" s="42"/>
      <c r="AF2315" s="42" t="str">
        <f t="array" ref="AF2315">INDEX('Deal Info'!D:D, MATCH(A2315,'Deal Info'!A:A, 0))</f>
        <v>#N/A</v>
      </c>
      <c r="AG2315" s="43" t="str">
        <f t="array" ref="AG2315">INDEX('Deal Info'!G:G, MATCH(A2315,'Deal Info'!A:A, 0))</f>
        <v>#N/A</v>
      </c>
    </row>
    <row r="2316" hidden="1">
      <c r="A2316" s="23" t="b">
        <f t="array" ref="A2316">if(G2316='Room Info'!$B$1, INDEX('Room Info'!$A$2:$A3446, MATCH(B2316,'Room Info'!$B$2:$B3446, 0)),if(G2316='Room Info'!$C$1, INDEX('Room Info'!$A$2:$A3446, MATCH(B2316,'Room Info'!$C$2:$C3446, 0)),if(G2316='Room Info'!$D$1, INDEX('Room Info'!$A$2:$A3446, MATCH(B2316,'Room Info'!$D$2:$D3446, 0)),if(G2316='Room Info'!$E$1, INDEX('Room Info'!$A$2:$A3446, MATCH(B2316,'Room Info'!$E$2:$E3446, 0)),if(G2316='Room Info'!$F$1, INDEX('Room Info'!$A$2:$A3446, MATCH(B2316,'Room Info'!$F$2:$F3446, 0)),if(G2316='Room Info'!$H$1, INDEX('Room Info'!$A$2:$A3446, MATCH(B2316,'Room Info'!$H$2:$H3446, 0)),if(G2316='Room Info'!$G$1, INDEX('Room Info'!$A$2:$A3446, MATCH(B2316,'Room Info'!$G$2:$G3446, 0)))))))))</f>
        <v>0</v>
      </c>
      <c r="B2316" s="101"/>
      <c r="C2316" s="141"/>
      <c r="D2316" s="141"/>
      <c r="E2316" s="142"/>
      <c r="F2316" s="138"/>
      <c r="G2316" s="101"/>
      <c r="H2316" s="105"/>
      <c r="I2316" s="105"/>
      <c r="J2316" s="44" t="str">
        <f t="shared" si="311"/>
        <v/>
      </c>
      <c r="K2316" s="139"/>
      <c r="L2316" s="140"/>
      <c r="M2316" s="84"/>
      <c r="N2316" s="33">
        <f t="shared" si="276"/>
        <v>0</v>
      </c>
      <c r="O2316" s="101"/>
      <c r="P2316" s="34" t="str">
        <f t="shared" si="277"/>
        <v/>
      </c>
      <c r="Q2316" s="60"/>
      <c r="R2316" s="36">
        <f t="shared" si="312"/>
        <v>0</v>
      </c>
      <c r="S2316" s="102"/>
      <c r="T2316" s="37">
        <f t="shared" si="302"/>
        <v>0</v>
      </c>
      <c r="U2316" s="62"/>
      <c r="V2316" s="63"/>
      <c r="W2316" s="63"/>
      <c r="X2316" s="35" t="str">
        <f t="shared" si="303"/>
        <v>#N/A</v>
      </c>
      <c r="Y2316" s="35" t="str">
        <f t="shared" si="304"/>
        <v>#N/A</v>
      </c>
      <c r="Z2316" s="40" t="str">
        <f t="shared" si="305"/>
        <v>#N/A</v>
      </c>
      <c r="AA2316" s="34" t="str">
        <f t="shared" si="306"/>
        <v>#N/A</v>
      </c>
      <c r="AB2316" s="41" t="str">
        <f t="shared" si="307"/>
        <v>#N/A</v>
      </c>
      <c r="AC2316" s="42" t="b">
        <v>0</v>
      </c>
      <c r="AD2316" s="66" t="str">
        <f t="shared" si="308"/>
        <v>USD</v>
      </c>
      <c r="AE2316" s="42"/>
      <c r="AF2316" s="42" t="str">
        <f t="array" ref="AF2316">INDEX('Deal Info'!D:D, MATCH(A2316,'Deal Info'!A:A, 0))</f>
        <v>#N/A</v>
      </c>
      <c r="AG2316" s="43" t="str">
        <f t="array" ref="AG2316">INDEX('Deal Info'!G:G, MATCH(A2316,'Deal Info'!A:A, 0))</f>
        <v>#N/A</v>
      </c>
    </row>
    <row r="2317" hidden="1">
      <c r="A2317" s="23" t="b">
        <f t="array" ref="A2317">if(G2317='Room Info'!$B$1, INDEX('Room Info'!$A$2:$A3446, MATCH(B2317,'Room Info'!$B$2:$B3446, 0)),if(G2317='Room Info'!$C$1, INDEX('Room Info'!$A$2:$A3446, MATCH(B2317,'Room Info'!$C$2:$C3446, 0)),if(G2317='Room Info'!$D$1, INDEX('Room Info'!$A$2:$A3446, MATCH(B2317,'Room Info'!$D$2:$D3446, 0)),if(G2317='Room Info'!$E$1, INDEX('Room Info'!$A$2:$A3446, MATCH(B2317,'Room Info'!$E$2:$E3446, 0)),if(G2317='Room Info'!$F$1, INDEX('Room Info'!$A$2:$A3446, MATCH(B2317,'Room Info'!$F$2:$F3446, 0)),if(G2317='Room Info'!$H$1, INDEX('Room Info'!$A$2:$A3446, MATCH(B2317,'Room Info'!$H$2:$H3446, 0)),if(G2317='Room Info'!$G$1, INDEX('Room Info'!$A$2:$A3446, MATCH(B2317,'Room Info'!$G$2:$G3446, 0)))))))))</f>
        <v>0</v>
      </c>
      <c r="B2317" s="101"/>
      <c r="C2317" s="141"/>
      <c r="D2317" s="141"/>
      <c r="E2317" s="142"/>
      <c r="F2317" s="138"/>
      <c r="G2317" s="101"/>
      <c r="H2317" s="105"/>
      <c r="I2317" s="105"/>
      <c r="J2317" s="44" t="str">
        <f t="shared" si="311"/>
        <v/>
      </c>
      <c r="K2317" s="139"/>
      <c r="L2317" s="140"/>
      <c r="M2317" s="84"/>
      <c r="N2317" s="33">
        <f t="shared" si="276"/>
        <v>0</v>
      </c>
      <c r="O2317" s="101"/>
      <c r="P2317" s="34" t="str">
        <f t="shared" si="277"/>
        <v/>
      </c>
      <c r="Q2317" s="60"/>
      <c r="R2317" s="36">
        <f t="shared" si="312"/>
        <v>0</v>
      </c>
      <c r="S2317" s="102"/>
      <c r="T2317" s="37">
        <f t="shared" si="302"/>
        <v>0</v>
      </c>
      <c r="U2317" s="62"/>
      <c r="V2317" s="63"/>
      <c r="W2317" s="63"/>
      <c r="X2317" s="35" t="str">
        <f t="shared" si="303"/>
        <v>#N/A</v>
      </c>
      <c r="Y2317" s="35" t="str">
        <f t="shared" si="304"/>
        <v>#N/A</v>
      </c>
      <c r="Z2317" s="40" t="str">
        <f t="shared" si="305"/>
        <v>#N/A</v>
      </c>
      <c r="AA2317" s="34" t="str">
        <f t="shared" si="306"/>
        <v>#N/A</v>
      </c>
      <c r="AB2317" s="41" t="str">
        <f t="shared" si="307"/>
        <v>#N/A</v>
      </c>
      <c r="AC2317" s="42" t="b">
        <v>0</v>
      </c>
      <c r="AD2317" s="66" t="str">
        <f t="shared" si="308"/>
        <v>USD</v>
      </c>
      <c r="AE2317" s="42"/>
      <c r="AF2317" s="42" t="str">
        <f t="array" ref="AF2317">INDEX('Deal Info'!D:D, MATCH(A2317,'Deal Info'!A:A, 0))</f>
        <v>#N/A</v>
      </c>
      <c r="AG2317" s="43" t="str">
        <f t="array" ref="AG2317">INDEX('Deal Info'!G:G, MATCH(A2317,'Deal Info'!A:A, 0))</f>
        <v>#N/A</v>
      </c>
    </row>
    <row r="2318" hidden="1">
      <c r="A2318" s="23" t="b">
        <f t="array" ref="A2318">if(G2318='Room Info'!$B$1, INDEX('Room Info'!$A$2:$A3446, MATCH(B2318,'Room Info'!$B$2:$B3446, 0)),if(G2318='Room Info'!$C$1, INDEX('Room Info'!$A$2:$A3446, MATCH(B2318,'Room Info'!$C$2:$C3446, 0)),if(G2318='Room Info'!$D$1, INDEX('Room Info'!$A$2:$A3446, MATCH(B2318,'Room Info'!$D$2:$D3446, 0)),if(G2318='Room Info'!$E$1, INDEX('Room Info'!$A$2:$A3446, MATCH(B2318,'Room Info'!$E$2:$E3446, 0)),if(G2318='Room Info'!$F$1, INDEX('Room Info'!$A$2:$A3446, MATCH(B2318,'Room Info'!$F$2:$F3446, 0)),if(G2318='Room Info'!$H$1, INDEX('Room Info'!$A$2:$A3446, MATCH(B2318,'Room Info'!$H$2:$H3446, 0)),if(G2318='Room Info'!$G$1, INDEX('Room Info'!$A$2:$A3446, MATCH(B2318,'Room Info'!$G$2:$G3446, 0)))))))))</f>
        <v>0</v>
      </c>
      <c r="B2318" s="101"/>
      <c r="C2318" s="115"/>
      <c r="D2318" s="115"/>
      <c r="E2318" s="85"/>
      <c r="F2318" s="138"/>
      <c r="G2318" s="70"/>
      <c r="H2318" s="105"/>
      <c r="I2318" s="105"/>
      <c r="J2318" s="44" t="str">
        <f t="shared" si="311"/>
        <v/>
      </c>
      <c r="K2318" s="139"/>
      <c r="L2318" s="140"/>
      <c r="M2318" s="67"/>
      <c r="N2318" s="33">
        <f t="shared" si="276"/>
        <v>0</v>
      </c>
      <c r="O2318" s="101"/>
      <c r="P2318" s="34" t="str">
        <f t="shared" si="277"/>
        <v/>
      </c>
      <c r="Q2318" s="60"/>
      <c r="R2318" s="36">
        <f t="shared" si="312"/>
        <v>0</v>
      </c>
      <c r="S2318" s="102"/>
      <c r="T2318" s="37">
        <f t="shared" si="302"/>
        <v>0</v>
      </c>
      <c r="U2318" s="62"/>
      <c r="V2318" s="63"/>
      <c r="W2318" s="63"/>
      <c r="X2318" s="35" t="str">
        <f t="shared" si="303"/>
        <v>#N/A</v>
      </c>
      <c r="Y2318" s="35" t="str">
        <f t="shared" si="304"/>
        <v>#N/A</v>
      </c>
      <c r="Z2318" s="40" t="str">
        <f t="shared" si="305"/>
        <v>#N/A</v>
      </c>
      <c r="AA2318" s="34" t="str">
        <f t="shared" si="306"/>
        <v>#N/A</v>
      </c>
      <c r="AB2318" s="41" t="str">
        <f t="shared" si="307"/>
        <v>#N/A</v>
      </c>
      <c r="AC2318" s="42" t="b">
        <v>0</v>
      </c>
      <c r="AD2318" s="66" t="str">
        <f t="shared" si="308"/>
        <v>USD</v>
      </c>
      <c r="AE2318" s="42"/>
      <c r="AF2318" s="42" t="str">
        <f t="array" ref="AF2318">INDEX('Deal Info'!D:D, MATCH(A2318,'Deal Info'!A:A, 0))</f>
        <v>#N/A</v>
      </c>
      <c r="AG2318" s="43" t="str">
        <f t="array" ref="AG2318">INDEX('Deal Info'!G:G, MATCH(A2318,'Deal Info'!A:A, 0))</f>
        <v>#N/A</v>
      </c>
    </row>
    <row r="2319" hidden="1">
      <c r="A2319" s="23" t="b">
        <f t="array" ref="A2319">if(G2319='Room Info'!$B$1, INDEX('Room Info'!$A$2:$A3446, MATCH(B2319,'Room Info'!$B$2:$B3446, 0)),if(G2319='Room Info'!$C$1, INDEX('Room Info'!$A$2:$A3446, MATCH(B2319,'Room Info'!$C$2:$C3446, 0)),if(G2319='Room Info'!$D$1, INDEX('Room Info'!$A$2:$A3446, MATCH(B2319,'Room Info'!$D$2:$D3446, 0)),if(G2319='Room Info'!$E$1, INDEX('Room Info'!$A$2:$A3446, MATCH(B2319,'Room Info'!$E$2:$E3446, 0)),if(G2319='Room Info'!$F$1, INDEX('Room Info'!$A$2:$A3446, MATCH(B2319,'Room Info'!$F$2:$F3446, 0)),if(G2319='Room Info'!$H$1, INDEX('Room Info'!$A$2:$A3446, MATCH(B2319,'Room Info'!$H$2:$H3446, 0)),if(G2319='Room Info'!$G$1, INDEX('Room Info'!$A$2:$A3446, MATCH(B2319,'Room Info'!$G$2:$G3446, 0)))))))))</f>
        <v>0</v>
      </c>
      <c r="B2319" s="101"/>
      <c r="C2319" s="115"/>
      <c r="D2319" s="115"/>
      <c r="E2319" s="85"/>
      <c r="F2319" s="138"/>
      <c r="G2319" s="70"/>
      <c r="H2319" s="105"/>
      <c r="I2319" s="105"/>
      <c r="J2319" s="44" t="str">
        <f t="shared" si="311"/>
        <v/>
      </c>
      <c r="K2319" s="139"/>
      <c r="L2319" s="140"/>
      <c r="M2319" s="67"/>
      <c r="N2319" s="33">
        <f t="shared" si="276"/>
        <v>0</v>
      </c>
      <c r="O2319" s="101"/>
      <c r="P2319" s="34" t="str">
        <f t="shared" si="277"/>
        <v/>
      </c>
      <c r="Q2319" s="60"/>
      <c r="R2319" s="36">
        <f t="shared" si="312"/>
        <v>0</v>
      </c>
      <c r="S2319" s="102"/>
      <c r="T2319" s="37">
        <f t="shared" si="302"/>
        <v>0</v>
      </c>
      <c r="U2319" s="62"/>
      <c r="V2319" s="63"/>
      <c r="W2319" s="63"/>
      <c r="X2319" s="35" t="str">
        <f t="shared" si="303"/>
        <v>#N/A</v>
      </c>
      <c r="Y2319" s="35" t="str">
        <f t="shared" si="304"/>
        <v>#N/A</v>
      </c>
      <c r="Z2319" s="40" t="str">
        <f t="shared" si="305"/>
        <v>#N/A</v>
      </c>
      <c r="AA2319" s="34" t="str">
        <f t="shared" si="306"/>
        <v>#N/A</v>
      </c>
      <c r="AB2319" s="41" t="str">
        <f t="shared" si="307"/>
        <v>#N/A</v>
      </c>
      <c r="AC2319" s="42" t="b">
        <v>0</v>
      </c>
      <c r="AD2319" s="66" t="str">
        <f t="shared" si="308"/>
        <v>USD</v>
      </c>
      <c r="AE2319" s="42"/>
      <c r="AF2319" s="42" t="str">
        <f t="array" ref="AF2319">INDEX('Deal Info'!D:D, MATCH(A2319,'Deal Info'!A:A, 0))</f>
        <v>#N/A</v>
      </c>
      <c r="AG2319" s="43" t="str">
        <f t="array" ref="AG2319">INDEX('Deal Info'!G:G, MATCH(A2319,'Deal Info'!A:A, 0))</f>
        <v>#N/A</v>
      </c>
    </row>
    <row r="2320" hidden="1">
      <c r="A2320" s="23" t="b">
        <f t="array" ref="A2320">if(G2320='Room Info'!$B$1, INDEX('Room Info'!$A$2:$A3446, MATCH(B2320,'Room Info'!$B$2:$B3446, 0)),if(G2320='Room Info'!$C$1, INDEX('Room Info'!$A$2:$A3446, MATCH(B2320,'Room Info'!$C$2:$C3446, 0)),if(G2320='Room Info'!$D$1, INDEX('Room Info'!$A$2:$A3446, MATCH(B2320,'Room Info'!$D$2:$D3446, 0)),if(G2320='Room Info'!$E$1, INDEX('Room Info'!$A$2:$A3446, MATCH(B2320,'Room Info'!$E$2:$E3446, 0)),if(G2320='Room Info'!$F$1, INDEX('Room Info'!$A$2:$A3446, MATCH(B2320,'Room Info'!$F$2:$F3446, 0)),if(G2320='Room Info'!$H$1, INDEX('Room Info'!$A$2:$A3446, MATCH(B2320,'Room Info'!$H$2:$H3446, 0)),if(G2320='Room Info'!$G$1, INDEX('Room Info'!$A$2:$A3446, MATCH(B2320,'Room Info'!$G$2:$G3446, 0)))))))))</f>
        <v>0</v>
      </c>
      <c r="B2320" s="101"/>
      <c r="C2320" s="115"/>
      <c r="D2320" s="115"/>
      <c r="E2320" s="85"/>
      <c r="F2320" s="138"/>
      <c r="G2320" s="70"/>
      <c r="H2320" s="105"/>
      <c r="I2320" s="105"/>
      <c r="J2320" s="44" t="str">
        <f t="shared" si="311"/>
        <v/>
      </c>
      <c r="K2320" s="139"/>
      <c r="L2320" s="140"/>
      <c r="M2320" s="67"/>
      <c r="N2320" s="33">
        <f t="shared" si="276"/>
        <v>0</v>
      </c>
      <c r="O2320" s="101"/>
      <c r="P2320" s="34" t="str">
        <f t="shared" si="277"/>
        <v/>
      </c>
      <c r="Q2320" s="60"/>
      <c r="R2320" s="36">
        <f t="shared" si="312"/>
        <v>0</v>
      </c>
      <c r="S2320" s="102"/>
      <c r="T2320" s="37">
        <f t="shared" si="302"/>
        <v>0</v>
      </c>
      <c r="U2320" s="62"/>
      <c r="V2320" s="63"/>
      <c r="W2320" s="63"/>
      <c r="X2320" s="35" t="str">
        <f t="shared" si="303"/>
        <v>#N/A</v>
      </c>
      <c r="Y2320" s="35" t="str">
        <f t="shared" si="304"/>
        <v>#N/A</v>
      </c>
      <c r="Z2320" s="40" t="str">
        <f t="shared" si="305"/>
        <v>#N/A</v>
      </c>
      <c r="AA2320" s="34" t="str">
        <f t="shared" si="306"/>
        <v>#N/A</v>
      </c>
      <c r="AB2320" s="41" t="str">
        <f t="shared" si="307"/>
        <v>#N/A</v>
      </c>
      <c r="AC2320" s="42" t="b">
        <v>0</v>
      </c>
      <c r="AD2320" s="66" t="str">
        <f t="shared" si="308"/>
        <v>USD</v>
      </c>
      <c r="AE2320" s="42"/>
      <c r="AF2320" s="42" t="str">
        <f t="array" ref="AF2320">INDEX('Deal Info'!D:D, MATCH(A2320,'Deal Info'!A:A, 0))</f>
        <v>#N/A</v>
      </c>
      <c r="AG2320" s="43" t="str">
        <f t="array" ref="AG2320">INDEX('Deal Info'!G:G, MATCH(A2320,'Deal Info'!A:A, 0))</f>
        <v>#N/A</v>
      </c>
    </row>
    <row r="2321" hidden="1">
      <c r="A2321" s="23" t="b">
        <f t="array" ref="A2321">if(G2321='Room Info'!$B$1, INDEX('Room Info'!$A$2:$A3446, MATCH(B2321,'Room Info'!$B$2:$B3446, 0)),if(G2321='Room Info'!$C$1, INDEX('Room Info'!$A$2:$A3446, MATCH(B2321,'Room Info'!$C$2:$C3446, 0)),if(G2321='Room Info'!$D$1, INDEX('Room Info'!$A$2:$A3446, MATCH(B2321,'Room Info'!$D$2:$D3446, 0)),if(G2321='Room Info'!$E$1, INDEX('Room Info'!$A$2:$A3446, MATCH(B2321,'Room Info'!$E$2:$E3446, 0)),if(G2321='Room Info'!$F$1, INDEX('Room Info'!$A$2:$A3446, MATCH(B2321,'Room Info'!$F$2:$F3446, 0)),if(G2321='Room Info'!$H$1, INDEX('Room Info'!$A$2:$A3446, MATCH(B2321,'Room Info'!$H$2:$H3446, 0)),if(G2321='Room Info'!$G$1, INDEX('Room Info'!$A$2:$A3446, MATCH(B2321,'Room Info'!$G$2:$G3446, 0)))))))))</f>
        <v>0</v>
      </c>
      <c r="B2321" s="101"/>
      <c r="C2321" s="115"/>
      <c r="D2321" s="115"/>
      <c r="E2321" s="85"/>
      <c r="F2321" s="138"/>
      <c r="G2321" s="70"/>
      <c r="H2321" s="105"/>
      <c r="I2321" s="105"/>
      <c r="J2321" s="44" t="str">
        <f t="shared" si="311"/>
        <v/>
      </c>
      <c r="K2321" s="139"/>
      <c r="L2321" s="140"/>
      <c r="M2321" s="67"/>
      <c r="N2321" s="33">
        <f t="shared" si="276"/>
        <v>0</v>
      </c>
      <c r="O2321" s="101"/>
      <c r="P2321" s="34" t="str">
        <f t="shared" si="277"/>
        <v/>
      </c>
      <c r="Q2321" s="60"/>
      <c r="R2321" s="36">
        <f t="shared" si="312"/>
        <v>0</v>
      </c>
      <c r="S2321" s="102"/>
      <c r="T2321" s="37">
        <f t="shared" si="302"/>
        <v>0</v>
      </c>
      <c r="U2321" s="62"/>
      <c r="V2321" s="63"/>
      <c r="W2321" s="63"/>
      <c r="X2321" s="35" t="str">
        <f t="shared" si="303"/>
        <v>#N/A</v>
      </c>
      <c r="Y2321" s="35" t="str">
        <f t="shared" si="304"/>
        <v>#N/A</v>
      </c>
      <c r="Z2321" s="40" t="str">
        <f t="shared" si="305"/>
        <v>#N/A</v>
      </c>
      <c r="AA2321" s="34" t="str">
        <f t="shared" si="306"/>
        <v>#N/A</v>
      </c>
      <c r="AB2321" s="41" t="str">
        <f t="shared" si="307"/>
        <v>#N/A</v>
      </c>
      <c r="AC2321" s="42" t="b">
        <v>0</v>
      </c>
      <c r="AD2321" s="66" t="str">
        <f t="shared" si="308"/>
        <v>USD</v>
      </c>
      <c r="AE2321" s="42"/>
      <c r="AF2321" s="42" t="str">
        <f t="array" ref="AF2321">INDEX('Deal Info'!D:D, MATCH(A2321,'Deal Info'!A:A, 0))</f>
        <v>#N/A</v>
      </c>
      <c r="AG2321" s="43" t="str">
        <f t="array" ref="AG2321">INDEX('Deal Info'!G:G, MATCH(A2321,'Deal Info'!A:A, 0))</f>
        <v>#N/A</v>
      </c>
    </row>
    <row r="2322" hidden="1">
      <c r="A2322" s="23" t="b">
        <f t="array" ref="A2322">if(G2322='Room Info'!$B$1, INDEX('Room Info'!$A$2:$A3446, MATCH(B2322,'Room Info'!$B$2:$B3446, 0)),if(G2322='Room Info'!$C$1, INDEX('Room Info'!$A$2:$A3446, MATCH(B2322,'Room Info'!$C$2:$C3446, 0)),if(G2322='Room Info'!$D$1, INDEX('Room Info'!$A$2:$A3446, MATCH(B2322,'Room Info'!$D$2:$D3446, 0)),if(G2322='Room Info'!$E$1, INDEX('Room Info'!$A$2:$A3446, MATCH(B2322,'Room Info'!$E$2:$E3446, 0)),if(G2322='Room Info'!$F$1, INDEX('Room Info'!$A$2:$A3446, MATCH(B2322,'Room Info'!$F$2:$F3446, 0)),if(G2322='Room Info'!$H$1, INDEX('Room Info'!$A$2:$A3446, MATCH(B2322,'Room Info'!$H$2:$H3446, 0)),if(G2322='Room Info'!$G$1, INDEX('Room Info'!$A$2:$A3446, MATCH(B2322,'Room Info'!$G$2:$G3446, 0)))))))))</f>
        <v>0</v>
      </c>
      <c r="B2322" s="101"/>
      <c r="C2322" s="141"/>
      <c r="D2322" s="115"/>
      <c r="E2322" s="85"/>
      <c r="F2322" s="138"/>
      <c r="G2322" s="101"/>
      <c r="H2322" s="114"/>
      <c r="I2322" s="114"/>
      <c r="J2322" s="44" t="str">
        <f t="shared" si="311"/>
        <v/>
      </c>
      <c r="K2322" s="116"/>
      <c r="L2322" s="117"/>
      <c r="M2322" s="67"/>
      <c r="N2322" s="33">
        <f t="shared" si="276"/>
        <v>0</v>
      </c>
      <c r="O2322" s="70"/>
      <c r="P2322" s="34" t="str">
        <f t="shared" si="277"/>
        <v/>
      </c>
      <c r="Q2322" s="60"/>
      <c r="R2322" s="36">
        <f t="shared" si="312"/>
        <v>0</v>
      </c>
      <c r="S2322" s="71"/>
      <c r="T2322" s="37">
        <f t="shared" si="302"/>
        <v>0</v>
      </c>
      <c r="U2322" s="62"/>
      <c r="V2322" s="63"/>
      <c r="W2322" s="63"/>
      <c r="X2322" s="35" t="str">
        <f t="shared" si="303"/>
        <v>#N/A</v>
      </c>
      <c r="Y2322" s="35" t="str">
        <f t="shared" si="304"/>
        <v>#N/A</v>
      </c>
      <c r="Z2322" s="40" t="str">
        <f t="shared" si="305"/>
        <v>#N/A</v>
      </c>
      <c r="AA2322" s="34" t="str">
        <f t="shared" si="306"/>
        <v>#N/A</v>
      </c>
      <c r="AB2322" s="41" t="str">
        <f t="shared" si="307"/>
        <v>#N/A</v>
      </c>
      <c r="AC2322" s="42" t="b">
        <v>0</v>
      </c>
      <c r="AD2322" s="66" t="str">
        <f t="shared" si="308"/>
        <v>USD</v>
      </c>
      <c r="AE2322" s="42"/>
      <c r="AF2322" s="42" t="str">
        <f t="array" ref="AF2322">INDEX('Deal Info'!D:D, MATCH(A2322,'Deal Info'!A:A, 0))</f>
        <v>#N/A</v>
      </c>
      <c r="AG2322" s="43" t="str">
        <f t="array" ref="AG2322">INDEX('Deal Info'!G:G, MATCH(A2322,'Deal Info'!A:A, 0))</f>
        <v>#N/A</v>
      </c>
    </row>
    <row r="2323" hidden="1">
      <c r="A2323" s="23" t="b">
        <f t="array" ref="A2323">if(G2323='Room Info'!$B$1, INDEX('Room Info'!$A$2:$A3446, MATCH(B2323,'Room Info'!$B$2:$B3446, 0)),if(G2323='Room Info'!$C$1, INDEX('Room Info'!$A$2:$A3446, MATCH(B2323,'Room Info'!$C$2:$C3446, 0)),if(G2323='Room Info'!$D$1, INDEX('Room Info'!$A$2:$A3446, MATCH(B2323,'Room Info'!$D$2:$D3446, 0)),if(G2323='Room Info'!$E$1, INDEX('Room Info'!$A$2:$A3446, MATCH(B2323,'Room Info'!$E$2:$E3446, 0)),if(G2323='Room Info'!$F$1, INDEX('Room Info'!$A$2:$A3446, MATCH(B2323,'Room Info'!$F$2:$F3446, 0)),if(G2323='Room Info'!$H$1, INDEX('Room Info'!$A$2:$A3446, MATCH(B2323,'Room Info'!$H$2:$H3446, 0)),if(G2323='Room Info'!$G$1, INDEX('Room Info'!$A$2:$A3446, MATCH(B2323,'Room Info'!$G$2:$G3446, 0)))))))))</f>
        <v>0</v>
      </c>
      <c r="B2323" s="101"/>
      <c r="C2323" s="141"/>
      <c r="D2323" s="115"/>
      <c r="E2323" s="85"/>
      <c r="F2323" s="138"/>
      <c r="G2323" s="101"/>
      <c r="H2323" s="114"/>
      <c r="I2323" s="114"/>
      <c r="J2323" s="44" t="str">
        <f t="shared" si="311"/>
        <v/>
      </c>
      <c r="K2323" s="116"/>
      <c r="L2323" s="117"/>
      <c r="M2323" s="67"/>
      <c r="N2323" s="33">
        <f t="shared" si="276"/>
        <v>0</v>
      </c>
      <c r="O2323" s="70"/>
      <c r="P2323" s="34" t="str">
        <f t="shared" si="277"/>
        <v/>
      </c>
      <c r="Q2323" s="60"/>
      <c r="R2323" s="36">
        <f t="shared" si="312"/>
        <v>0</v>
      </c>
      <c r="S2323" s="71"/>
      <c r="T2323" s="37">
        <f t="shared" si="302"/>
        <v>0</v>
      </c>
      <c r="U2323" s="62"/>
      <c r="V2323" s="63"/>
      <c r="W2323" s="63"/>
      <c r="X2323" s="35" t="str">
        <f t="shared" si="303"/>
        <v>#N/A</v>
      </c>
      <c r="Y2323" s="35" t="str">
        <f t="shared" si="304"/>
        <v>#N/A</v>
      </c>
      <c r="Z2323" s="40" t="str">
        <f t="shared" si="305"/>
        <v>#N/A</v>
      </c>
      <c r="AA2323" s="34" t="str">
        <f t="shared" si="306"/>
        <v>#N/A</v>
      </c>
      <c r="AB2323" s="41" t="str">
        <f t="shared" si="307"/>
        <v>#N/A</v>
      </c>
      <c r="AC2323" s="42" t="b">
        <v>0</v>
      </c>
      <c r="AD2323" s="66" t="str">
        <f t="shared" si="308"/>
        <v>USD</v>
      </c>
      <c r="AE2323" s="42"/>
      <c r="AF2323" s="42" t="str">
        <f t="array" ref="AF2323">INDEX('Deal Info'!D:D, MATCH(A2323,'Deal Info'!A:A, 0))</f>
        <v>#N/A</v>
      </c>
      <c r="AG2323" s="43" t="str">
        <f t="array" ref="AG2323">INDEX('Deal Info'!G:G, MATCH(A2323,'Deal Info'!A:A, 0))</f>
        <v>#N/A</v>
      </c>
    </row>
    <row r="2324" hidden="1">
      <c r="A2324" s="23" t="b">
        <f t="array" ref="A2324">if(G2324='Room Info'!$B$1, INDEX('Room Info'!$A$2:$A3446, MATCH(B2324,'Room Info'!$B$2:$B3446, 0)),if(G2324='Room Info'!$C$1, INDEX('Room Info'!$A$2:$A3446, MATCH(B2324,'Room Info'!$C$2:$C3446, 0)),if(G2324='Room Info'!$D$1, INDEX('Room Info'!$A$2:$A3446, MATCH(B2324,'Room Info'!$D$2:$D3446, 0)),if(G2324='Room Info'!$E$1, INDEX('Room Info'!$A$2:$A3446, MATCH(B2324,'Room Info'!$E$2:$E3446, 0)),if(G2324='Room Info'!$F$1, INDEX('Room Info'!$A$2:$A3446, MATCH(B2324,'Room Info'!$F$2:$F3446, 0)),if(G2324='Room Info'!$H$1, INDEX('Room Info'!$A$2:$A3446, MATCH(B2324,'Room Info'!$H$2:$H3446, 0)),if(G2324='Room Info'!$G$1, INDEX('Room Info'!$A$2:$A3446, MATCH(B2324,'Room Info'!$G$2:$G3446, 0)))))))))</f>
        <v>0</v>
      </c>
      <c r="B2324" s="101"/>
      <c r="C2324" s="115"/>
      <c r="D2324" s="115"/>
      <c r="E2324" s="85"/>
      <c r="F2324" s="138"/>
      <c r="G2324" s="101"/>
      <c r="H2324" s="114"/>
      <c r="I2324" s="114"/>
      <c r="J2324" s="44" t="str">
        <f t="shared" si="311"/>
        <v/>
      </c>
      <c r="K2324" s="116"/>
      <c r="L2324" s="117"/>
      <c r="M2324" s="67"/>
      <c r="N2324" s="33">
        <f t="shared" si="276"/>
        <v>0</v>
      </c>
      <c r="O2324" s="70"/>
      <c r="P2324" s="34" t="str">
        <f t="shared" si="277"/>
        <v/>
      </c>
      <c r="Q2324" s="60"/>
      <c r="R2324" s="36">
        <f t="shared" si="312"/>
        <v>0</v>
      </c>
      <c r="S2324" s="71"/>
      <c r="T2324" s="37">
        <f t="shared" si="302"/>
        <v>0</v>
      </c>
      <c r="U2324" s="62"/>
      <c r="V2324" s="63"/>
      <c r="W2324" s="63"/>
      <c r="X2324" s="35" t="str">
        <f t="shared" si="303"/>
        <v>#N/A</v>
      </c>
      <c r="Y2324" s="35" t="str">
        <f t="shared" si="304"/>
        <v>#N/A</v>
      </c>
      <c r="Z2324" s="40" t="str">
        <f t="shared" si="305"/>
        <v>#N/A</v>
      </c>
      <c r="AA2324" s="34" t="str">
        <f t="shared" si="306"/>
        <v>#N/A</v>
      </c>
      <c r="AB2324" s="41" t="str">
        <f t="shared" si="307"/>
        <v>#N/A</v>
      </c>
      <c r="AC2324" s="42" t="b">
        <v>0</v>
      </c>
      <c r="AD2324" s="66" t="str">
        <f t="shared" si="308"/>
        <v>USD</v>
      </c>
      <c r="AE2324" s="42"/>
      <c r="AF2324" s="42" t="str">
        <f t="array" ref="AF2324">INDEX('Deal Info'!D:D, MATCH(A2324,'Deal Info'!A:A, 0))</f>
        <v>#N/A</v>
      </c>
      <c r="AG2324" s="43" t="str">
        <f t="array" ref="AG2324">INDEX('Deal Info'!G:G, MATCH(A2324,'Deal Info'!A:A, 0))</f>
        <v>#N/A</v>
      </c>
    </row>
    <row r="2325" hidden="1">
      <c r="A2325" s="23" t="b">
        <f t="array" ref="A2325">if(G2325='Room Info'!$B$1, INDEX('Room Info'!$A$2:$A3446, MATCH(B2325,'Room Info'!$B$2:$B3446, 0)),if(G2325='Room Info'!$C$1, INDEX('Room Info'!$A$2:$A3446, MATCH(B2325,'Room Info'!$C$2:$C3446, 0)),if(G2325='Room Info'!$D$1, INDEX('Room Info'!$A$2:$A3446, MATCH(B2325,'Room Info'!$D$2:$D3446, 0)),if(G2325='Room Info'!$E$1, INDEX('Room Info'!$A$2:$A3446, MATCH(B2325,'Room Info'!$E$2:$E3446, 0)),if(G2325='Room Info'!$F$1, INDEX('Room Info'!$A$2:$A3446, MATCH(B2325,'Room Info'!$F$2:$F3446, 0)),if(G2325='Room Info'!$H$1, INDEX('Room Info'!$A$2:$A3446, MATCH(B2325,'Room Info'!$H$2:$H3446, 0)),if(G2325='Room Info'!$G$1, INDEX('Room Info'!$A$2:$A3446, MATCH(B2325,'Room Info'!$G$2:$G3446, 0)))))))))</f>
        <v>0</v>
      </c>
      <c r="B2325" s="101"/>
      <c r="C2325" s="115"/>
      <c r="D2325" s="115"/>
      <c r="E2325" s="85"/>
      <c r="F2325" s="138"/>
      <c r="G2325" s="101"/>
      <c r="H2325" s="114"/>
      <c r="I2325" s="114"/>
      <c r="J2325" s="44" t="str">
        <f t="shared" si="311"/>
        <v/>
      </c>
      <c r="K2325" s="116"/>
      <c r="L2325" s="117"/>
      <c r="M2325" s="67"/>
      <c r="N2325" s="33">
        <f t="shared" si="276"/>
        <v>0</v>
      </c>
      <c r="O2325" s="70"/>
      <c r="P2325" s="34" t="str">
        <f t="shared" si="277"/>
        <v/>
      </c>
      <c r="Q2325" s="60"/>
      <c r="R2325" s="36">
        <f t="shared" si="312"/>
        <v>0</v>
      </c>
      <c r="S2325" s="71"/>
      <c r="T2325" s="37">
        <f t="shared" si="302"/>
        <v>0</v>
      </c>
      <c r="U2325" s="62"/>
      <c r="V2325" s="63"/>
      <c r="W2325" s="63"/>
      <c r="X2325" s="35" t="str">
        <f t="shared" si="303"/>
        <v>#N/A</v>
      </c>
      <c r="Y2325" s="35" t="str">
        <f t="shared" si="304"/>
        <v>#N/A</v>
      </c>
      <c r="Z2325" s="40" t="str">
        <f t="shared" si="305"/>
        <v>#N/A</v>
      </c>
      <c r="AA2325" s="34" t="str">
        <f t="shared" si="306"/>
        <v>#N/A</v>
      </c>
      <c r="AB2325" s="41" t="str">
        <f t="shared" si="307"/>
        <v>#N/A</v>
      </c>
      <c r="AC2325" s="42" t="b">
        <v>0</v>
      </c>
      <c r="AD2325" s="66" t="str">
        <f t="shared" si="308"/>
        <v>USD</v>
      </c>
      <c r="AE2325" s="42"/>
      <c r="AF2325" s="42" t="str">
        <f t="array" ref="AF2325">INDEX('Deal Info'!D:D, MATCH(A2325,'Deal Info'!A:A, 0))</f>
        <v>#N/A</v>
      </c>
      <c r="AG2325" s="43" t="str">
        <f t="array" ref="AG2325">INDEX('Deal Info'!G:G, MATCH(A2325,'Deal Info'!A:A, 0))</f>
        <v>#N/A</v>
      </c>
    </row>
    <row r="2326" hidden="1">
      <c r="A2326" s="23" t="b">
        <f t="array" ref="A2326">if(G2326='Room Info'!$B$1, INDEX('Room Info'!$A$2:$A3446, MATCH(B2326,'Room Info'!$B$2:$B3446, 0)),if(G2326='Room Info'!$C$1, INDEX('Room Info'!$A$2:$A3446, MATCH(B2326,'Room Info'!$C$2:$C3446, 0)),if(G2326='Room Info'!$D$1, INDEX('Room Info'!$A$2:$A3446, MATCH(B2326,'Room Info'!$D$2:$D3446, 0)),if(G2326='Room Info'!$E$1, INDEX('Room Info'!$A$2:$A3446, MATCH(B2326,'Room Info'!$E$2:$E3446, 0)),if(G2326='Room Info'!$F$1, INDEX('Room Info'!$A$2:$A3446, MATCH(B2326,'Room Info'!$F$2:$F3446, 0)),if(G2326='Room Info'!$H$1, INDEX('Room Info'!$A$2:$A3446, MATCH(B2326,'Room Info'!$H$2:$H3446, 0)),if(G2326='Room Info'!$G$1, INDEX('Room Info'!$A$2:$A3446, MATCH(B2326,'Room Info'!$G$2:$G3446, 0)))))))))</f>
        <v>0</v>
      </c>
      <c r="B2326" s="101"/>
      <c r="C2326" s="115"/>
      <c r="D2326" s="115"/>
      <c r="E2326" s="85"/>
      <c r="F2326" s="138"/>
      <c r="G2326" s="101"/>
      <c r="H2326" s="114"/>
      <c r="I2326" s="114"/>
      <c r="J2326" s="44" t="str">
        <f t="shared" si="311"/>
        <v/>
      </c>
      <c r="K2326" s="116"/>
      <c r="L2326" s="117"/>
      <c r="M2326" s="67"/>
      <c r="N2326" s="33">
        <f t="shared" si="276"/>
        <v>0</v>
      </c>
      <c r="O2326" s="70"/>
      <c r="P2326" s="34" t="str">
        <f t="shared" si="277"/>
        <v/>
      </c>
      <c r="Q2326" s="60"/>
      <c r="R2326" s="36">
        <f t="shared" si="312"/>
        <v>0</v>
      </c>
      <c r="S2326" s="71"/>
      <c r="T2326" s="37">
        <f t="shared" si="302"/>
        <v>0</v>
      </c>
      <c r="U2326" s="62"/>
      <c r="V2326" s="63"/>
      <c r="W2326" s="63"/>
      <c r="X2326" s="35" t="str">
        <f t="shared" si="303"/>
        <v>#N/A</v>
      </c>
      <c r="Y2326" s="35" t="str">
        <f t="shared" si="304"/>
        <v>#N/A</v>
      </c>
      <c r="Z2326" s="40" t="str">
        <f t="shared" si="305"/>
        <v>#N/A</v>
      </c>
      <c r="AA2326" s="34" t="str">
        <f t="shared" si="306"/>
        <v>#N/A</v>
      </c>
      <c r="AB2326" s="41" t="str">
        <f t="shared" si="307"/>
        <v>#N/A</v>
      </c>
      <c r="AC2326" s="42" t="b">
        <v>0</v>
      </c>
      <c r="AD2326" s="66" t="str">
        <f t="shared" si="308"/>
        <v>USD</v>
      </c>
      <c r="AE2326" s="42"/>
      <c r="AF2326" s="42" t="str">
        <f t="array" ref="AF2326">INDEX('Deal Info'!D:D, MATCH(A2326,'Deal Info'!A:A, 0))</f>
        <v>#N/A</v>
      </c>
      <c r="AG2326" s="43" t="str">
        <f t="array" ref="AG2326">INDEX('Deal Info'!G:G, MATCH(A2326,'Deal Info'!A:A, 0))</f>
        <v>#N/A</v>
      </c>
    </row>
    <row r="2327" hidden="1">
      <c r="A2327" s="23" t="b">
        <f t="array" ref="A2327">if(G2327='Room Info'!$B$1, INDEX('Room Info'!$A$2:$A3446, MATCH(B2327,'Room Info'!$B$2:$B3446, 0)),if(G2327='Room Info'!$C$1, INDEX('Room Info'!$A$2:$A3446, MATCH(B2327,'Room Info'!$C$2:$C3446, 0)),if(G2327='Room Info'!$D$1, INDEX('Room Info'!$A$2:$A3446, MATCH(B2327,'Room Info'!$D$2:$D3446, 0)),if(G2327='Room Info'!$E$1, INDEX('Room Info'!$A$2:$A3446, MATCH(B2327,'Room Info'!$E$2:$E3446, 0)),if(G2327='Room Info'!$F$1, INDEX('Room Info'!$A$2:$A3446, MATCH(B2327,'Room Info'!$F$2:$F3446, 0)),if(G2327='Room Info'!$H$1, INDEX('Room Info'!$A$2:$A3446, MATCH(B2327,'Room Info'!$H$2:$H3446, 0)),if(G2327='Room Info'!$G$1, INDEX('Room Info'!$A$2:$A3446, MATCH(B2327,'Room Info'!$G$2:$G3446, 0)))))))))</f>
        <v>0</v>
      </c>
      <c r="B2327" s="101"/>
      <c r="C2327" s="115"/>
      <c r="D2327" s="115"/>
      <c r="E2327" s="85"/>
      <c r="F2327" s="138"/>
      <c r="G2327" s="101"/>
      <c r="H2327" s="114"/>
      <c r="I2327" s="114"/>
      <c r="J2327" s="44" t="str">
        <f t="shared" si="311"/>
        <v/>
      </c>
      <c r="K2327" s="116"/>
      <c r="L2327" s="117"/>
      <c r="M2327" s="67"/>
      <c r="N2327" s="33">
        <f t="shared" si="276"/>
        <v>0</v>
      </c>
      <c r="O2327" s="70"/>
      <c r="P2327" s="34" t="str">
        <f t="shared" si="277"/>
        <v/>
      </c>
      <c r="Q2327" s="60"/>
      <c r="R2327" s="36">
        <f t="shared" si="312"/>
        <v>0</v>
      </c>
      <c r="S2327" s="71"/>
      <c r="T2327" s="37">
        <f t="shared" si="302"/>
        <v>0</v>
      </c>
      <c r="U2327" s="62"/>
      <c r="V2327" s="63"/>
      <c r="W2327" s="63"/>
      <c r="X2327" s="35" t="str">
        <f t="shared" si="303"/>
        <v>#N/A</v>
      </c>
      <c r="Y2327" s="35" t="str">
        <f t="shared" si="304"/>
        <v>#N/A</v>
      </c>
      <c r="Z2327" s="40" t="str">
        <f t="shared" si="305"/>
        <v>#N/A</v>
      </c>
      <c r="AA2327" s="34" t="str">
        <f t="shared" si="306"/>
        <v>#N/A</v>
      </c>
      <c r="AB2327" s="41" t="str">
        <f t="shared" si="307"/>
        <v>#N/A</v>
      </c>
      <c r="AC2327" s="42" t="b">
        <v>0</v>
      </c>
      <c r="AD2327" s="66" t="str">
        <f t="shared" si="308"/>
        <v>USD</v>
      </c>
      <c r="AE2327" s="42"/>
      <c r="AF2327" s="42" t="str">
        <f t="array" ref="AF2327">INDEX('Deal Info'!D:D, MATCH(A2327,'Deal Info'!A:A, 0))</f>
        <v>#N/A</v>
      </c>
      <c r="AG2327" s="43" t="str">
        <f t="array" ref="AG2327">INDEX('Deal Info'!G:G, MATCH(A2327,'Deal Info'!A:A, 0))</f>
        <v>#N/A</v>
      </c>
    </row>
    <row r="2328" hidden="1">
      <c r="A2328" s="23" t="b">
        <f t="array" ref="A2328">if(G2328='Room Info'!$B$1, INDEX('Room Info'!$A$2:$A3446, MATCH(B2328,'Room Info'!$B$2:$B3446, 0)),if(G2328='Room Info'!$C$1, INDEX('Room Info'!$A$2:$A3446, MATCH(B2328,'Room Info'!$C$2:$C3446, 0)),if(G2328='Room Info'!$D$1, INDEX('Room Info'!$A$2:$A3446, MATCH(B2328,'Room Info'!$D$2:$D3446, 0)),if(G2328='Room Info'!$E$1, INDEX('Room Info'!$A$2:$A3446, MATCH(B2328,'Room Info'!$E$2:$E3446, 0)),if(G2328='Room Info'!$F$1, INDEX('Room Info'!$A$2:$A3446, MATCH(B2328,'Room Info'!$F$2:$F3446, 0)),if(G2328='Room Info'!$H$1, INDEX('Room Info'!$A$2:$A3446, MATCH(B2328,'Room Info'!$H$2:$H3446, 0)),if(G2328='Room Info'!$G$1, INDEX('Room Info'!$A$2:$A3446, MATCH(B2328,'Room Info'!$G$2:$G3446, 0)))))))))</f>
        <v>0</v>
      </c>
      <c r="B2328" s="101"/>
      <c r="C2328" s="115"/>
      <c r="D2328" s="115"/>
      <c r="E2328" s="85"/>
      <c r="F2328" s="138"/>
      <c r="G2328" s="101"/>
      <c r="H2328" s="114"/>
      <c r="I2328" s="114"/>
      <c r="J2328" s="44" t="str">
        <f t="shared" si="311"/>
        <v/>
      </c>
      <c r="K2328" s="116"/>
      <c r="L2328" s="117"/>
      <c r="M2328" s="67"/>
      <c r="N2328" s="33">
        <f t="shared" si="276"/>
        <v>0</v>
      </c>
      <c r="O2328" s="70"/>
      <c r="P2328" s="34" t="str">
        <f t="shared" si="277"/>
        <v/>
      </c>
      <c r="Q2328" s="60"/>
      <c r="R2328" s="36">
        <f t="shared" si="312"/>
        <v>0</v>
      </c>
      <c r="S2328" s="71"/>
      <c r="T2328" s="37">
        <f t="shared" si="302"/>
        <v>0</v>
      </c>
      <c r="U2328" s="62"/>
      <c r="V2328" s="63"/>
      <c r="W2328" s="63"/>
      <c r="X2328" s="35" t="str">
        <f t="shared" si="303"/>
        <v>#N/A</v>
      </c>
      <c r="Y2328" s="35" t="str">
        <f t="shared" si="304"/>
        <v>#N/A</v>
      </c>
      <c r="Z2328" s="40" t="str">
        <f t="shared" si="305"/>
        <v>#N/A</v>
      </c>
      <c r="AA2328" s="34" t="str">
        <f t="shared" si="306"/>
        <v>#N/A</v>
      </c>
      <c r="AB2328" s="41" t="str">
        <f t="shared" si="307"/>
        <v>#N/A</v>
      </c>
      <c r="AC2328" s="42" t="b">
        <v>0</v>
      </c>
      <c r="AD2328" s="66" t="str">
        <f t="shared" si="308"/>
        <v>USD</v>
      </c>
      <c r="AE2328" s="42"/>
      <c r="AF2328" s="42" t="str">
        <f t="array" ref="AF2328">INDEX('Deal Info'!D:D, MATCH(A2328,'Deal Info'!A:A, 0))</f>
        <v>#N/A</v>
      </c>
      <c r="AG2328" s="43" t="str">
        <f t="array" ref="AG2328">INDEX('Deal Info'!G:G, MATCH(A2328,'Deal Info'!A:A, 0))</f>
        <v>#N/A</v>
      </c>
    </row>
    <row r="2329" hidden="1">
      <c r="A2329" s="23" t="b">
        <f t="array" ref="A2329">if(G2329='Room Info'!$B$1, INDEX('Room Info'!$A$2:$A3446, MATCH(B2329,'Room Info'!$B$2:$B3446, 0)),if(G2329='Room Info'!$C$1, INDEX('Room Info'!$A$2:$A3446, MATCH(B2329,'Room Info'!$C$2:$C3446, 0)),if(G2329='Room Info'!$D$1, INDEX('Room Info'!$A$2:$A3446, MATCH(B2329,'Room Info'!$D$2:$D3446, 0)),if(G2329='Room Info'!$E$1, INDEX('Room Info'!$A$2:$A3446, MATCH(B2329,'Room Info'!$E$2:$E3446, 0)),if(G2329='Room Info'!$F$1, INDEX('Room Info'!$A$2:$A3446, MATCH(B2329,'Room Info'!$F$2:$F3446, 0)),if(G2329='Room Info'!$H$1, INDEX('Room Info'!$A$2:$A3446, MATCH(B2329,'Room Info'!$H$2:$H3446, 0)),if(G2329='Room Info'!$G$1, INDEX('Room Info'!$A$2:$A3446, MATCH(B2329,'Room Info'!$G$2:$G3446, 0)))))))))</f>
        <v>0</v>
      </c>
      <c r="B2329" s="101"/>
      <c r="C2329" s="115"/>
      <c r="D2329" s="115"/>
      <c r="E2329" s="85"/>
      <c r="F2329" s="138"/>
      <c r="G2329" s="101"/>
      <c r="H2329" s="114"/>
      <c r="I2329" s="114"/>
      <c r="J2329" s="44" t="str">
        <f t="shared" si="311"/>
        <v/>
      </c>
      <c r="K2329" s="116"/>
      <c r="L2329" s="117"/>
      <c r="M2329" s="67"/>
      <c r="N2329" s="33">
        <f t="shared" si="276"/>
        <v>0</v>
      </c>
      <c r="O2329" s="70"/>
      <c r="P2329" s="34" t="str">
        <f t="shared" si="277"/>
        <v/>
      </c>
      <c r="Q2329" s="60"/>
      <c r="R2329" s="36">
        <f t="shared" si="312"/>
        <v>0</v>
      </c>
      <c r="S2329" s="71"/>
      <c r="T2329" s="37">
        <f t="shared" si="302"/>
        <v>0</v>
      </c>
      <c r="U2329" s="62"/>
      <c r="V2329" s="63"/>
      <c r="W2329" s="63"/>
      <c r="X2329" s="35" t="str">
        <f t="shared" si="303"/>
        <v>#N/A</v>
      </c>
      <c r="Y2329" s="35" t="str">
        <f t="shared" si="304"/>
        <v>#N/A</v>
      </c>
      <c r="Z2329" s="40" t="str">
        <f t="shared" si="305"/>
        <v>#N/A</v>
      </c>
      <c r="AA2329" s="34" t="str">
        <f t="shared" si="306"/>
        <v>#N/A</v>
      </c>
      <c r="AB2329" s="41" t="str">
        <f t="shared" si="307"/>
        <v>#N/A</v>
      </c>
      <c r="AC2329" s="42" t="b">
        <v>0</v>
      </c>
      <c r="AD2329" s="66" t="str">
        <f t="shared" si="308"/>
        <v>USD</v>
      </c>
      <c r="AE2329" s="42"/>
      <c r="AF2329" s="42" t="str">
        <f t="array" ref="AF2329">INDEX('Deal Info'!D:D, MATCH(A2329,'Deal Info'!A:A, 0))</f>
        <v>#N/A</v>
      </c>
      <c r="AG2329" s="43" t="str">
        <f t="array" ref="AG2329">INDEX('Deal Info'!G:G, MATCH(A2329,'Deal Info'!A:A, 0))</f>
        <v>#N/A</v>
      </c>
    </row>
    <row r="2330" hidden="1">
      <c r="A2330" s="23" t="b">
        <f t="array" ref="A2330">if(G2330='Room Info'!$B$1, INDEX('Room Info'!$A$2:$A3446, MATCH(B2330,'Room Info'!$B$2:$B3446, 0)),if(G2330='Room Info'!$C$1, INDEX('Room Info'!$A$2:$A3446, MATCH(B2330,'Room Info'!$C$2:$C3446, 0)),if(G2330='Room Info'!$D$1, INDEX('Room Info'!$A$2:$A3446, MATCH(B2330,'Room Info'!$D$2:$D3446, 0)),if(G2330='Room Info'!$E$1, INDEX('Room Info'!$A$2:$A3446, MATCH(B2330,'Room Info'!$E$2:$E3446, 0)),if(G2330='Room Info'!$F$1, INDEX('Room Info'!$A$2:$A3446, MATCH(B2330,'Room Info'!$F$2:$F3446, 0)),if(G2330='Room Info'!$H$1, INDEX('Room Info'!$A$2:$A3446, MATCH(B2330,'Room Info'!$H$2:$H3446, 0)),if(G2330='Room Info'!$G$1, INDEX('Room Info'!$A$2:$A3446, MATCH(B2330,'Room Info'!$G$2:$G3446, 0)))))))))</f>
        <v>0</v>
      </c>
      <c r="B2330" s="101"/>
      <c r="C2330" s="115"/>
      <c r="D2330" s="115"/>
      <c r="E2330" s="85"/>
      <c r="F2330" s="138"/>
      <c r="G2330" s="70"/>
      <c r="H2330" s="70"/>
      <c r="I2330" s="70"/>
      <c r="J2330" s="44" t="str">
        <f t="shared" si="311"/>
        <v/>
      </c>
      <c r="K2330" s="116"/>
      <c r="L2330" s="117"/>
      <c r="M2330" s="67"/>
      <c r="N2330" s="33">
        <f t="shared" si="276"/>
        <v>0</v>
      </c>
      <c r="O2330" s="70"/>
      <c r="P2330" s="34" t="str">
        <f t="shared" si="277"/>
        <v/>
      </c>
      <c r="Q2330" s="60"/>
      <c r="R2330" s="36">
        <f t="shared" si="312"/>
        <v>0</v>
      </c>
      <c r="S2330" s="71"/>
      <c r="T2330" s="37">
        <f t="shared" si="302"/>
        <v>0</v>
      </c>
      <c r="U2330" s="62"/>
      <c r="V2330" s="63"/>
      <c r="W2330" s="63"/>
      <c r="X2330" s="35" t="str">
        <f t="shared" si="303"/>
        <v>#N/A</v>
      </c>
      <c r="Y2330" s="35" t="str">
        <f t="shared" si="304"/>
        <v>#N/A</v>
      </c>
      <c r="Z2330" s="40" t="str">
        <f t="shared" si="305"/>
        <v>#N/A</v>
      </c>
      <c r="AA2330" s="34" t="str">
        <f t="shared" si="306"/>
        <v>#N/A</v>
      </c>
      <c r="AB2330" s="41" t="str">
        <f t="shared" si="307"/>
        <v>#N/A</v>
      </c>
      <c r="AC2330" s="42" t="b">
        <v>0</v>
      </c>
      <c r="AD2330" s="66" t="str">
        <f t="shared" si="308"/>
        <v>USD</v>
      </c>
      <c r="AE2330" s="42"/>
      <c r="AF2330" s="42" t="str">
        <f t="array" ref="AF2330">INDEX('Deal Info'!D:D, MATCH(A2330,'Deal Info'!A:A, 0))</f>
        <v>#N/A</v>
      </c>
      <c r="AG2330" s="43" t="str">
        <f t="array" ref="AG2330">INDEX('Deal Info'!G:G, MATCH(A2330,'Deal Info'!A:A, 0))</f>
        <v>#N/A</v>
      </c>
    </row>
    <row r="2331" hidden="1">
      <c r="A2331" s="23" t="b">
        <f t="array" ref="A2331">if(G2331='Room Info'!$B$1, INDEX('Room Info'!$A$2:$A3446, MATCH(B2331,'Room Info'!$B$2:$B3446, 0)),if(G2331='Room Info'!$C$1, INDEX('Room Info'!$A$2:$A3446, MATCH(B2331,'Room Info'!$C$2:$C3446, 0)),if(G2331='Room Info'!$D$1, INDEX('Room Info'!$A$2:$A3446, MATCH(B2331,'Room Info'!$D$2:$D3446, 0)),if(G2331='Room Info'!$E$1, INDEX('Room Info'!$A$2:$A3446, MATCH(B2331,'Room Info'!$E$2:$E3446, 0)),if(G2331='Room Info'!$F$1, INDEX('Room Info'!$A$2:$A3446, MATCH(B2331,'Room Info'!$F$2:$F3446, 0)),if(G2331='Room Info'!$H$1, INDEX('Room Info'!$A$2:$A3446, MATCH(B2331,'Room Info'!$H$2:$H3446, 0)),if(G2331='Room Info'!$G$1, INDEX('Room Info'!$A$2:$A3446, MATCH(B2331,'Room Info'!$G$2:$G3446, 0)))))))))</f>
        <v>0</v>
      </c>
      <c r="B2331" s="101"/>
      <c r="C2331" s="115"/>
      <c r="D2331" s="115"/>
      <c r="E2331" s="85"/>
      <c r="F2331" s="138"/>
      <c r="G2331" s="70"/>
      <c r="H2331" s="70"/>
      <c r="I2331" s="70"/>
      <c r="J2331" s="44" t="str">
        <f t="shared" si="311"/>
        <v/>
      </c>
      <c r="K2331" s="116"/>
      <c r="L2331" s="117"/>
      <c r="M2331" s="67"/>
      <c r="N2331" s="33">
        <f t="shared" si="276"/>
        <v>0</v>
      </c>
      <c r="O2331" s="70"/>
      <c r="P2331" s="34" t="str">
        <f t="shared" si="277"/>
        <v/>
      </c>
      <c r="Q2331" s="60"/>
      <c r="R2331" s="36">
        <f t="shared" si="312"/>
        <v>0</v>
      </c>
      <c r="S2331" s="71"/>
      <c r="T2331" s="37">
        <f t="shared" si="302"/>
        <v>0</v>
      </c>
      <c r="U2331" s="62"/>
      <c r="V2331" s="63"/>
      <c r="W2331" s="63"/>
      <c r="X2331" s="35" t="str">
        <f t="shared" si="303"/>
        <v>#N/A</v>
      </c>
      <c r="Y2331" s="35" t="str">
        <f t="shared" si="304"/>
        <v>#N/A</v>
      </c>
      <c r="Z2331" s="40" t="str">
        <f t="shared" si="305"/>
        <v>#N/A</v>
      </c>
      <c r="AA2331" s="34" t="str">
        <f t="shared" si="306"/>
        <v>#N/A</v>
      </c>
      <c r="AB2331" s="41" t="str">
        <f t="shared" si="307"/>
        <v>#N/A</v>
      </c>
      <c r="AC2331" s="42" t="b">
        <v>0</v>
      </c>
      <c r="AD2331" s="66" t="str">
        <f t="shared" si="308"/>
        <v>USD</v>
      </c>
      <c r="AE2331" s="42"/>
      <c r="AF2331" s="42" t="str">
        <f t="array" ref="AF2331">INDEX('Deal Info'!D:D, MATCH(A2331,'Deal Info'!A:A, 0))</f>
        <v>#N/A</v>
      </c>
      <c r="AG2331" s="43" t="str">
        <f t="array" ref="AG2331">INDEX('Deal Info'!G:G, MATCH(A2331,'Deal Info'!A:A, 0))</f>
        <v>#N/A</v>
      </c>
    </row>
    <row r="2332" hidden="1">
      <c r="A2332" s="23" t="b">
        <f t="array" ref="A2332">if(G2332='Room Info'!$B$1, INDEX('Room Info'!$A$2:$A3446, MATCH(B2332,'Room Info'!$B$2:$B3446, 0)),if(G2332='Room Info'!$C$1, INDEX('Room Info'!$A$2:$A3446, MATCH(B2332,'Room Info'!$C$2:$C3446, 0)),if(G2332='Room Info'!$D$1, INDEX('Room Info'!$A$2:$A3446, MATCH(B2332,'Room Info'!$D$2:$D3446, 0)),if(G2332='Room Info'!$E$1, INDEX('Room Info'!$A$2:$A3446, MATCH(B2332,'Room Info'!$E$2:$E3446, 0)),if(G2332='Room Info'!$F$1, INDEX('Room Info'!$A$2:$A3446, MATCH(B2332,'Room Info'!$F$2:$F3446, 0)),if(G2332='Room Info'!$H$1, INDEX('Room Info'!$A$2:$A3446, MATCH(B2332,'Room Info'!$H$2:$H3446, 0)),if(G2332='Room Info'!$G$1, INDEX('Room Info'!$A$2:$A3446, MATCH(B2332,'Room Info'!$G$2:$G3446, 0)))))))))</f>
        <v>0</v>
      </c>
      <c r="B2332" s="70"/>
      <c r="C2332" s="115"/>
      <c r="D2332" s="115"/>
      <c r="E2332" s="85"/>
      <c r="F2332" s="101"/>
      <c r="G2332" s="70"/>
      <c r="H2332" s="114"/>
      <c r="I2332" s="114"/>
      <c r="J2332" s="44" t="str">
        <f t="shared" si="311"/>
        <v/>
      </c>
      <c r="K2332" s="139"/>
      <c r="L2332" s="140"/>
      <c r="M2332" s="67"/>
      <c r="N2332" s="33">
        <f t="shared" si="276"/>
        <v>0</v>
      </c>
      <c r="O2332" s="101"/>
      <c r="P2332" s="34" t="str">
        <f t="shared" si="277"/>
        <v/>
      </c>
      <c r="Q2332" s="60"/>
      <c r="R2332" s="36">
        <f t="shared" si="312"/>
        <v>0</v>
      </c>
      <c r="S2332" s="102"/>
      <c r="T2332" s="37">
        <f t="shared" si="302"/>
        <v>0</v>
      </c>
      <c r="U2332" s="62"/>
      <c r="V2332" s="63"/>
      <c r="W2332" s="63"/>
      <c r="X2332" s="35" t="str">
        <f t="shared" si="303"/>
        <v>#N/A</v>
      </c>
      <c r="Y2332" s="35" t="str">
        <f t="shared" si="304"/>
        <v>#N/A</v>
      </c>
      <c r="Z2332" s="40" t="str">
        <f t="shared" si="305"/>
        <v>#N/A</v>
      </c>
      <c r="AA2332" s="34" t="str">
        <f t="shared" si="306"/>
        <v>#N/A</v>
      </c>
      <c r="AB2332" s="41" t="str">
        <f t="shared" si="307"/>
        <v>#N/A</v>
      </c>
      <c r="AC2332" s="42" t="b">
        <v>0</v>
      </c>
      <c r="AD2332" s="66" t="str">
        <f t="shared" si="308"/>
        <v>USD</v>
      </c>
      <c r="AE2332" s="42"/>
      <c r="AF2332" s="42" t="str">
        <f t="array" ref="AF2332">INDEX('Deal Info'!D:D, MATCH(A2332,'Deal Info'!A:A, 0))</f>
        <v>#N/A</v>
      </c>
      <c r="AG2332" s="43" t="str">
        <f t="array" ref="AG2332">INDEX('Deal Info'!G:G, MATCH(A2332,'Deal Info'!A:A, 0))</f>
        <v>#N/A</v>
      </c>
    </row>
    <row r="2333" hidden="1">
      <c r="A2333" s="23" t="b">
        <f t="array" ref="A2333">if(G2333='Room Info'!$B$1, INDEX('Room Info'!$A$2:$A3446, MATCH(B2333,'Room Info'!$B$2:$B3446, 0)),if(G2333='Room Info'!$C$1, INDEX('Room Info'!$A$2:$A3446, MATCH(B2333,'Room Info'!$C$2:$C3446, 0)),if(G2333='Room Info'!$D$1, INDEX('Room Info'!$A$2:$A3446, MATCH(B2333,'Room Info'!$D$2:$D3446, 0)),if(G2333='Room Info'!$E$1, INDEX('Room Info'!$A$2:$A3446, MATCH(B2333,'Room Info'!$E$2:$E3446, 0)),if(G2333='Room Info'!$F$1, INDEX('Room Info'!$A$2:$A3446, MATCH(B2333,'Room Info'!$F$2:$F3446, 0)),if(G2333='Room Info'!$H$1, INDEX('Room Info'!$A$2:$A3446, MATCH(B2333,'Room Info'!$H$2:$H3446, 0)),if(G2333='Room Info'!$G$1, INDEX('Room Info'!$A$2:$A3446, MATCH(B2333,'Room Info'!$G$2:$G3446, 0)))))))))</f>
        <v>0</v>
      </c>
      <c r="B2333" s="101"/>
      <c r="C2333" s="115"/>
      <c r="D2333" s="115"/>
      <c r="E2333" s="85"/>
      <c r="F2333" s="101"/>
      <c r="G2333" s="70"/>
      <c r="H2333" s="114"/>
      <c r="I2333" s="114"/>
      <c r="J2333" s="44" t="str">
        <f t="shared" si="311"/>
        <v/>
      </c>
      <c r="K2333" s="116"/>
      <c r="L2333" s="117"/>
      <c r="M2333" s="67"/>
      <c r="N2333" s="33">
        <f t="shared" si="276"/>
        <v>0</v>
      </c>
      <c r="O2333" s="70"/>
      <c r="P2333" s="34" t="str">
        <f t="shared" si="277"/>
        <v/>
      </c>
      <c r="Q2333" s="60"/>
      <c r="R2333" s="36">
        <f t="shared" si="312"/>
        <v>0</v>
      </c>
      <c r="S2333" s="71"/>
      <c r="T2333" s="37">
        <f t="shared" si="302"/>
        <v>0</v>
      </c>
      <c r="U2333" s="62"/>
      <c r="V2333" s="63"/>
      <c r="W2333" s="63"/>
      <c r="X2333" s="35" t="str">
        <f t="shared" si="303"/>
        <v>#N/A</v>
      </c>
      <c r="Y2333" s="35" t="str">
        <f t="shared" si="304"/>
        <v>#N/A</v>
      </c>
      <c r="Z2333" s="40" t="str">
        <f t="shared" si="305"/>
        <v>#N/A</v>
      </c>
      <c r="AA2333" s="34" t="str">
        <f t="shared" si="306"/>
        <v>#N/A</v>
      </c>
      <c r="AB2333" s="41" t="str">
        <f t="shared" si="307"/>
        <v>#N/A</v>
      </c>
      <c r="AC2333" s="42" t="b">
        <v>0</v>
      </c>
      <c r="AD2333" s="66" t="str">
        <f t="shared" si="308"/>
        <v>USD</v>
      </c>
      <c r="AE2333" s="42"/>
      <c r="AF2333" s="42" t="str">
        <f t="array" ref="AF2333">INDEX('Deal Info'!D:D, MATCH(A2333,'Deal Info'!A:A, 0))</f>
        <v>#N/A</v>
      </c>
      <c r="AG2333" s="43" t="str">
        <f t="array" ref="AG2333">INDEX('Deal Info'!G:G, MATCH(A2333,'Deal Info'!A:A, 0))</f>
        <v>#N/A</v>
      </c>
    </row>
    <row r="2334" hidden="1">
      <c r="A2334" s="23" t="b">
        <f t="array" ref="A2334">if(G2334='Room Info'!$B$1, INDEX('Room Info'!$A$2:$A3446, MATCH(B2334,'Room Info'!$B$2:$B3446, 0)),if(G2334='Room Info'!$C$1, INDEX('Room Info'!$A$2:$A3446, MATCH(B2334,'Room Info'!$C$2:$C3446, 0)),if(G2334='Room Info'!$D$1, INDEX('Room Info'!$A$2:$A3446, MATCH(B2334,'Room Info'!$D$2:$D3446, 0)),if(G2334='Room Info'!$E$1, INDEX('Room Info'!$A$2:$A3446, MATCH(B2334,'Room Info'!$E$2:$E3446, 0)),if(G2334='Room Info'!$F$1, INDEX('Room Info'!$A$2:$A3446, MATCH(B2334,'Room Info'!$F$2:$F3446, 0)),if(G2334='Room Info'!$H$1, INDEX('Room Info'!$A$2:$A3446, MATCH(B2334,'Room Info'!$H$2:$H3446, 0)),if(G2334='Room Info'!$G$1, INDEX('Room Info'!$A$2:$A3446, MATCH(B2334,'Room Info'!$G$2:$G3446, 0)))))))))</f>
        <v>0</v>
      </c>
      <c r="B2334" s="101"/>
      <c r="C2334" s="141"/>
      <c r="D2334" s="141"/>
      <c r="E2334" s="142"/>
      <c r="F2334" s="138"/>
      <c r="G2334" s="101"/>
      <c r="H2334" s="105"/>
      <c r="I2334" s="105"/>
      <c r="J2334" s="44" t="str">
        <f t="shared" si="311"/>
        <v/>
      </c>
      <c r="K2334" s="139"/>
      <c r="L2334" s="140"/>
      <c r="M2334" s="84"/>
      <c r="N2334" s="33">
        <f t="shared" si="276"/>
        <v>0</v>
      </c>
      <c r="O2334" s="101"/>
      <c r="P2334" s="34" t="str">
        <f t="shared" si="277"/>
        <v/>
      </c>
      <c r="Q2334" s="60"/>
      <c r="R2334" s="36">
        <f t="shared" si="312"/>
        <v>0</v>
      </c>
      <c r="S2334" s="102"/>
      <c r="T2334" s="37">
        <f t="shared" si="302"/>
        <v>0</v>
      </c>
      <c r="U2334" s="62"/>
      <c r="V2334" s="63"/>
      <c r="W2334" s="63"/>
      <c r="X2334" s="35" t="str">
        <f t="shared" si="303"/>
        <v>#N/A</v>
      </c>
      <c r="Y2334" s="35" t="str">
        <f t="shared" si="304"/>
        <v>#N/A</v>
      </c>
      <c r="Z2334" s="40" t="str">
        <f t="shared" si="305"/>
        <v>#N/A</v>
      </c>
      <c r="AA2334" s="34" t="str">
        <f t="shared" si="306"/>
        <v>#N/A</v>
      </c>
      <c r="AB2334" s="41" t="str">
        <f t="shared" si="307"/>
        <v>#N/A</v>
      </c>
      <c r="AC2334" s="42" t="b">
        <v>0</v>
      </c>
      <c r="AD2334" s="66" t="str">
        <f t="shared" si="308"/>
        <v>USD</v>
      </c>
      <c r="AE2334" s="42"/>
      <c r="AF2334" s="42" t="str">
        <f t="array" ref="AF2334">INDEX('Deal Info'!D:D, MATCH(A2334,'Deal Info'!A:A, 0))</f>
        <v>#N/A</v>
      </c>
      <c r="AG2334" s="43" t="str">
        <f t="array" ref="AG2334">INDEX('Deal Info'!G:G, MATCH(A2334,'Deal Info'!A:A, 0))</f>
        <v>#N/A</v>
      </c>
    </row>
    <row r="2335" hidden="1">
      <c r="A2335" s="23" t="b">
        <f t="array" ref="A2335">if(G2335='Room Info'!$B$1, INDEX('Room Info'!$A$2:$A3446, MATCH(B2335,'Room Info'!$B$2:$B3446, 0)),if(G2335='Room Info'!$C$1, INDEX('Room Info'!$A$2:$A3446, MATCH(B2335,'Room Info'!$C$2:$C3446, 0)),if(G2335='Room Info'!$D$1, INDEX('Room Info'!$A$2:$A3446, MATCH(B2335,'Room Info'!$D$2:$D3446, 0)),if(G2335='Room Info'!$E$1, INDEX('Room Info'!$A$2:$A3446, MATCH(B2335,'Room Info'!$E$2:$E3446, 0)),if(G2335='Room Info'!$F$1, INDEX('Room Info'!$A$2:$A3446, MATCH(B2335,'Room Info'!$F$2:$F3446, 0)),if(G2335='Room Info'!$H$1, INDEX('Room Info'!$A$2:$A3446, MATCH(B2335,'Room Info'!$H$2:$H3446, 0)),if(G2335='Room Info'!$G$1, INDEX('Room Info'!$A$2:$A3446, MATCH(B2335,'Room Info'!$G$2:$G3446, 0)))))))))</f>
        <v>0</v>
      </c>
      <c r="B2335" s="101"/>
      <c r="C2335" s="141"/>
      <c r="D2335" s="141"/>
      <c r="E2335" s="142"/>
      <c r="F2335" s="138"/>
      <c r="G2335" s="101"/>
      <c r="H2335" s="105"/>
      <c r="I2335" s="105"/>
      <c r="J2335" s="44" t="str">
        <f t="shared" si="311"/>
        <v/>
      </c>
      <c r="K2335" s="139"/>
      <c r="L2335" s="140"/>
      <c r="M2335" s="84"/>
      <c r="N2335" s="33">
        <f t="shared" si="276"/>
        <v>0</v>
      </c>
      <c r="O2335" s="101"/>
      <c r="P2335" s="34" t="str">
        <f t="shared" si="277"/>
        <v/>
      </c>
      <c r="Q2335" s="60"/>
      <c r="R2335" s="36">
        <f t="shared" si="312"/>
        <v>0</v>
      </c>
      <c r="S2335" s="102"/>
      <c r="T2335" s="37">
        <f t="shared" si="302"/>
        <v>0</v>
      </c>
      <c r="U2335" s="62"/>
      <c r="V2335" s="63"/>
      <c r="W2335" s="63"/>
      <c r="X2335" s="35" t="str">
        <f t="shared" si="303"/>
        <v>#N/A</v>
      </c>
      <c r="Y2335" s="35" t="str">
        <f t="shared" si="304"/>
        <v>#N/A</v>
      </c>
      <c r="Z2335" s="40" t="str">
        <f t="shared" si="305"/>
        <v>#N/A</v>
      </c>
      <c r="AA2335" s="34" t="str">
        <f t="shared" si="306"/>
        <v>#N/A</v>
      </c>
      <c r="AB2335" s="41" t="str">
        <f t="shared" si="307"/>
        <v>#N/A</v>
      </c>
      <c r="AC2335" s="42" t="b">
        <v>0</v>
      </c>
      <c r="AD2335" s="66" t="str">
        <f t="shared" si="308"/>
        <v>USD</v>
      </c>
      <c r="AE2335" s="42"/>
      <c r="AF2335" s="42" t="str">
        <f t="array" ref="AF2335">INDEX('Deal Info'!D:D, MATCH(A2335,'Deal Info'!A:A, 0))</f>
        <v>#N/A</v>
      </c>
      <c r="AG2335" s="43" t="str">
        <f t="array" ref="AG2335">INDEX('Deal Info'!G:G, MATCH(A2335,'Deal Info'!A:A, 0))</f>
        <v>#N/A</v>
      </c>
    </row>
    <row r="2336" hidden="1">
      <c r="A2336" s="23" t="b">
        <f t="array" ref="A2336">if(G2336='Room Info'!$B$1, INDEX('Room Info'!$A$2:$A3446, MATCH(B2336,'Room Info'!$B$2:$B3446, 0)),if(G2336='Room Info'!$C$1, INDEX('Room Info'!$A$2:$A3446, MATCH(B2336,'Room Info'!$C$2:$C3446, 0)),if(G2336='Room Info'!$D$1, INDEX('Room Info'!$A$2:$A3446, MATCH(B2336,'Room Info'!$D$2:$D3446, 0)),if(G2336='Room Info'!$E$1, INDEX('Room Info'!$A$2:$A3446, MATCH(B2336,'Room Info'!$E$2:$E3446, 0)),if(G2336='Room Info'!$F$1, INDEX('Room Info'!$A$2:$A3446, MATCH(B2336,'Room Info'!$F$2:$F3446, 0)),if(G2336='Room Info'!$H$1, INDEX('Room Info'!$A$2:$A3446, MATCH(B2336,'Room Info'!$H$2:$H3446, 0)),if(G2336='Room Info'!$G$1, INDEX('Room Info'!$A$2:$A3446, MATCH(B2336,'Room Info'!$G$2:$G3446, 0)))))))))</f>
        <v>0</v>
      </c>
      <c r="B2336" s="101"/>
      <c r="C2336" s="141"/>
      <c r="D2336" s="141"/>
      <c r="E2336" s="142"/>
      <c r="F2336" s="138"/>
      <c r="G2336" s="101"/>
      <c r="H2336" s="105"/>
      <c r="I2336" s="105"/>
      <c r="J2336" s="44" t="str">
        <f t="shared" si="311"/>
        <v/>
      </c>
      <c r="K2336" s="139"/>
      <c r="L2336" s="140"/>
      <c r="M2336" s="84"/>
      <c r="N2336" s="33">
        <f t="shared" si="276"/>
        <v>0</v>
      </c>
      <c r="O2336" s="101"/>
      <c r="P2336" s="34" t="str">
        <f t="shared" si="277"/>
        <v/>
      </c>
      <c r="Q2336" s="60"/>
      <c r="R2336" s="36">
        <f t="shared" si="312"/>
        <v>0</v>
      </c>
      <c r="S2336" s="102"/>
      <c r="T2336" s="37">
        <f t="shared" si="302"/>
        <v>0</v>
      </c>
      <c r="U2336" s="62"/>
      <c r="V2336" s="63"/>
      <c r="W2336" s="63"/>
      <c r="X2336" s="35" t="str">
        <f t="shared" si="303"/>
        <v>#N/A</v>
      </c>
      <c r="Y2336" s="35" t="str">
        <f t="shared" si="304"/>
        <v>#N/A</v>
      </c>
      <c r="Z2336" s="40" t="str">
        <f t="shared" si="305"/>
        <v>#N/A</v>
      </c>
      <c r="AA2336" s="34" t="str">
        <f t="shared" si="306"/>
        <v>#N/A</v>
      </c>
      <c r="AB2336" s="41" t="str">
        <f t="shared" si="307"/>
        <v>#N/A</v>
      </c>
      <c r="AC2336" s="42" t="b">
        <v>0</v>
      </c>
      <c r="AD2336" s="66" t="str">
        <f t="shared" si="308"/>
        <v>USD</v>
      </c>
      <c r="AE2336" s="42"/>
      <c r="AF2336" s="42" t="str">
        <f t="array" ref="AF2336">INDEX('Deal Info'!D:D, MATCH(A2336,'Deal Info'!A:A, 0))</f>
        <v>#N/A</v>
      </c>
      <c r="AG2336" s="43" t="str">
        <f t="array" ref="AG2336">INDEX('Deal Info'!G:G, MATCH(A2336,'Deal Info'!A:A, 0))</f>
        <v>#N/A</v>
      </c>
    </row>
    <row r="2337" hidden="1">
      <c r="A2337" s="23" t="b">
        <f t="array" ref="A2337">if(G2337='Room Info'!$B$1, INDEX('Room Info'!$A$2:$A3446, MATCH(B2337,'Room Info'!$B$2:$B3446, 0)),if(G2337='Room Info'!$C$1, INDEX('Room Info'!$A$2:$A3446, MATCH(B2337,'Room Info'!$C$2:$C3446, 0)),if(G2337='Room Info'!$D$1, INDEX('Room Info'!$A$2:$A3446, MATCH(B2337,'Room Info'!$D$2:$D3446, 0)),if(G2337='Room Info'!$E$1, INDEX('Room Info'!$A$2:$A3446, MATCH(B2337,'Room Info'!$E$2:$E3446, 0)),if(G2337='Room Info'!$F$1, INDEX('Room Info'!$A$2:$A3446, MATCH(B2337,'Room Info'!$F$2:$F3446, 0)),if(G2337='Room Info'!$H$1, INDEX('Room Info'!$A$2:$A3446, MATCH(B2337,'Room Info'!$H$2:$H3446, 0)),if(G2337='Room Info'!$G$1, INDEX('Room Info'!$A$2:$A3446, MATCH(B2337,'Room Info'!$G$2:$G3446, 0)))))))))</f>
        <v>0</v>
      </c>
      <c r="B2337" s="101"/>
      <c r="C2337" s="141"/>
      <c r="D2337" s="141"/>
      <c r="E2337" s="142"/>
      <c r="F2337" s="138"/>
      <c r="G2337" s="101"/>
      <c r="H2337" s="105"/>
      <c r="I2337" s="105"/>
      <c r="J2337" s="44" t="str">
        <f t="shared" si="311"/>
        <v/>
      </c>
      <c r="K2337" s="139"/>
      <c r="L2337" s="140"/>
      <c r="M2337" s="84"/>
      <c r="N2337" s="33">
        <f t="shared" si="276"/>
        <v>0</v>
      </c>
      <c r="O2337" s="101"/>
      <c r="P2337" s="34" t="str">
        <f t="shared" si="277"/>
        <v/>
      </c>
      <c r="Q2337" s="60"/>
      <c r="R2337" s="36">
        <f t="shared" si="312"/>
        <v>0</v>
      </c>
      <c r="S2337" s="102"/>
      <c r="T2337" s="37">
        <f t="shared" si="302"/>
        <v>0</v>
      </c>
      <c r="U2337" s="62"/>
      <c r="V2337" s="63"/>
      <c r="W2337" s="63"/>
      <c r="X2337" s="35" t="str">
        <f t="shared" si="303"/>
        <v>#N/A</v>
      </c>
      <c r="Y2337" s="35" t="str">
        <f t="shared" si="304"/>
        <v>#N/A</v>
      </c>
      <c r="Z2337" s="40" t="str">
        <f t="shared" si="305"/>
        <v>#N/A</v>
      </c>
      <c r="AA2337" s="34" t="str">
        <f t="shared" si="306"/>
        <v>#N/A</v>
      </c>
      <c r="AB2337" s="41" t="str">
        <f t="shared" si="307"/>
        <v>#N/A</v>
      </c>
      <c r="AC2337" s="42" t="b">
        <v>0</v>
      </c>
      <c r="AD2337" s="66" t="str">
        <f t="shared" si="308"/>
        <v>USD</v>
      </c>
      <c r="AE2337" s="42"/>
      <c r="AF2337" s="42" t="str">
        <f t="array" ref="AF2337">INDEX('Deal Info'!D:D, MATCH(A2337,'Deal Info'!A:A, 0))</f>
        <v>#N/A</v>
      </c>
      <c r="AG2337" s="43" t="str">
        <f t="array" ref="AG2337">INDEX('Deal Info'!G:G, MATCH(A2337,'Deal Info'!A:A, 0))</f>
        <v>#N/A</v>
      </c>
    </row>
    <row r="2338" hidden="1">
      <c r="A2338" s="23" t="b">
        <f t="array" ref="A2338">if(G2338='Room Info'!$B$1, INDEX('Room Info'!$A$2:$A3446, MATCH(B2338,'Room Info'!$B$2:$B3446, 0)),if(G2338='Room Info'!$C$1, INDEX('Room Info'!$A$2:$A3446, MATCH(B2338,'Room Info'!$C$2:$C3446, 0)),if(G2338='Room Info'!$D$1, INDEX('Room Info'!$A$2:$A3446, MATCH(B2338,'Room Info'!$D$2:$D3446, 0)),if(G2338='Room Info'!$E$1, INDEX('Room Info'!$A$2:$A3446, MATCH(B2338,'Room Info'!$E$2:$E3446, 0)),if(G2338='Room Info'!$F$1, INDEX('Room Info'!$A$2:$A3446, MATCH(B2338,'Room Info'!$F$2:$F3446, 0)),if(G2338='Room Info'!$H$1, INDEX('Room Info'!$A$2:$A3446, MATCH(B2338,'Room Info'!$H$2:$H3446, 0)),if(G2338='Room Info'!$G$1, INDEX('Room Info'!$A$2:$A3446, MATCH(B2338,'Room Info'!$G$2:$G3446, 0)))))))))</f>
        <v>0</v>
      </c>
      <c r="B2338" s="101"/>
      <c r="C2338" s="141"/>
      <c r="D2338" s="141"/>
      <c r="E2338" s="142"/>
      <c r="F2338" s="138"/>
      <c r="G2338" s="70"/>
      <c r="H2338" s="105"/>
      <c r="I2338" s="105"/>
      <c r="J2338" s="44" t="str">
        <f t="shared" si="311"/>
        <v/>
      </c>
      <c r="K2338" s="139"/>
      <c r="L2338" s="140"/>
      <c r="M2338" s="67"/>
      <c r="N2338" s="33">
        <f t="shared" si="276"/>
        <v>0</v>
      </c>
      <c r="O2338" s="101"/>
      <c r="P2338" s="34" t="str">
        <f t="shared" si="277"/>
        <v/>
      </c>
      <c r="Q2338" s="60"/>
      <c r="R2338" s="36">
        <f t="shared" si="312"/>
        <v>0</v>
      </c>
      <c r="S2338" s="102"/>
      <c r="T2338" s="37">
        <f t="shared" si="302"/>
        <v>0</v>
      </c>
      <c r="U2338" s="62"/>
      <c r="V2338" s="63"/>
      <c r="W2338" s="63"/>
      <c r="X2338" s="35" t="str">
        <f t="shared" si="303"/>
        <v>#N/A</v>
      </c>
      <c r="Y2338" s="35" t="str">
        <f t="shared" si="304"/>
        <v>#N/A</v>
      </c>
      <c r="Z2338" s="40" t="str">
        <f t="shared" si="305"/>
        <v>#N/A</v>
      </c>
      <c r="AA2338" s="34" t="str">
        <f t="shared" si="306"/>
        <v>#N/A</v>
      </c>
      <c r="AB2338" s="41" t="str">
        <f t="shared" si="307"/>
        <v>#N/A</v>
      </c>
      <c r="AC2338" s="42" t="b">
        <v>0</v>
      </c>
      <c r="AD2338" s="66" t="str">
        <f t="shared" si="308"/>
        <v>USD</v>
      </c>
      <c r="AE2338" s="42"/>
      <c r="AF2338" s="42" t="str">
        <f t="array" ref="AF2338">INDEX('Deal Info'!D:D, MATCH(A2338,'Deal Info'!A:A, 0))</f>
        <v>#N/A</v>
      </c>
      <c r="AG2338" s="43" t="str">
        <f t="array" ref="AG2338">INDEX('Deal Info'!G:G, MATCH(A2338,'Deal Info'!A:A, 0))</f>
        <v>#N/A</v>
      </c>
    </row>
    <row r="2339" hidden="1">
      <c r="A2339" s="23" t="b">
        <f t="array" ref="A2339">if(G2339='Room Info'!$B$1, INDEX('Room Info'!$A$2:$A3446, MATCH(B2339,'Room Info'!$B$2:$B3446, 0)),if(G2339='Room Info'!$C$1, INDEX('Room Info'!$A$2:$A3446, MATCH(B2339,'Room Info'!$C$2:$C3446, 0)),if(G2339='Room Info'!$D$1, INDEX('Room Info'!$A$2:$A3446, MATCH(B2339,'Room Info'!$D$2:$D3446, 0)),if(G2339='Room Info'!$E$1, INDEX('Room Info'!$A$2:$A3446, MATCH(B2339,'Room Info'!$E$2:$E3446, 0)),if(G2339='Room Info'!$F$1, INDEX('Room Info'!$A$2:$A3446, MATCH(B2339,'Room Info'!$F$2:$F3446, 0)),if(G2339='Room Info'!$H$1, INDEX('Room Info'!$A$2:$A3446, MATCH(B2339,'Room Info'!$H$2:$H3446, 0)),if(G2339='Room Info'!$G$1, INDEX('Room Info'!$A$2:$A3446, MATCH(B2339,'Room Info'!$G$2:$G3446, 0)))))))))</f>
        <v>0</v>
      </c>
      <c r="B2339" s="101"/>
      <c r="C2339" s="141"/>
      <c r="D2339" s="141"/>
      <c r="E2339" s="142"/>
      <c r="F2339" s="138"/>
      <c r="G2339" s="70"/>
      <c r="H2339" s="105"/>
      <c r="I2339" s="105"/>
      <c r="J2339" s="44" t="str">
        <f t="shared" si="311"/>
        <v/>
      </c>
      <c r="K2339" s="139"/>
      <c r="L2339" s="140"/>
      <c r="M2339" s="67"/>
      <c r="N2339" s="33">
        <f t="shared" si="276"/>
        <v>0</v>
      </c>
      <c r="O2339" s="101"/>
      <c r="P2339" s="34" t="str">
        <f t="shared" si="277"/>
        <v/>
      </c>
      <c r="Q2339" s="60"/>
      <c r="R2339" s="36">
        <f t="shared" si="312"/>
        <v>0</v>
      </c>
      <c r="S2339" s="102"/>
      <c r="T2339" s="37">
        <f t="shared" si="302"/>
        <v>0</v>
      </c>
      <c r="U2339" s="62"/>
      <c r="V2339" s="63"/>
      <c r="W2339" s="63"/>
      <c r="X2339" s="35" t="str">
        <f t="shared" si="303"/>
        <v>#N/A</v>
      </c>
      <c r="Y2339" s="35" t="str">
        <f t="shared" si="304"/>
        <v>#N/A</v>
      </c>
      <c r="Z2339" s="40" t="str">
        <f t="shared" si="305"/>
        <v>#N/A</v>
      </c>
      <c r="AA2339" s="34" t="str">
        <f t="shared" si="306"/>
        <v>#N/A</v>
      </c>
      <c r="AB2339" s="41" t="str">
        <f t="shared" si="307"/>
        <v>#N/A</v>
      </c>
      <c r="AC2339" s="42" t="b">
        <v>0</v>
      </c>
      <c r="AD2339" s="66" t="str">
        <f t="shared" si="308"/>
        <v>USD</v>
      </c>
      <c r="AE2339" s="42"/>
      <c r="AF2339" s="42" t="str">
        <f t="array" ref="AF2339">INDEX('Deal Info'!D:D, MATCH(A2339,'Deal Info'!A:A, 0))</f>
        <v>#N/A</v>
      </c>
      <c r="AG2339" s="43" t="str">
        <f t="array" ref="AG2339">INDEX('Deal Info'!G:G, MATCH(A2339,'Deal Info'!A:A, 0))</f>
        <v>#N/A</v>
      </c>
    </row>
    <row r="2340" hidden="1">
      <c r="A2340" s="23" t="b">
        <f t="array" ref="A2340">if(G2340='Room Info'!$B$1, INDEX('Room Info'!$A$2:$A3446, MATCH(B2340,'Room Info'!$B$2:$B3446, 0)),if(G2340='Room Info'!$C$1, INDEX('Room Info'!$A$2:$A3446, MATCH(B2340,'Room Info'!$C$2:$C3446, 0)),if(G2340='Room Info'!$D$1, INDEX('Room Info'!$A$2:$A3446, MATCH(B2340,'Room Info'!$D$2:$D3446, 0)),if(G2340='Room Info'!$E$1, INDEX('Room Info'!$A$2:$A3446, MATCH(B2340,'Room Info'!$E$2:$E3446, 0)),if(G2340='Room Info'!$F$1, INDEX('Room Info'!$A$2:$A3446, MATCH(B2340,'Room Info'!$F$2:$F3446, 0)),if(G2340='Room Info'!$H$1, INDEX('Room Info'!$A$2:$A3446, MATCH(B2340,'Room Info'!$H$2:$H3446, 0)),if(G2340='Room Info'!$G$1, INDEX('Room Info'!$A$2:$A3446, MATCH(B2340,'Room Info'!$G$2:$G3446, 0)))))))))</f>
        <v>0</v>
      </c>
      <c r="B2340" s="101"/>
      <c r="C2340" s="141"/>
      <c r="D2340" s="141"/>
      <c r="E2340" s="142"/>
      <c r="F2340" s="138"/>
      <c r="G2340" s="70"/>
      <c r="H2340" s="105"/>
      <c r="I2340" s="105"/>
      <c r="J2340" s="44" t="str">
        <f t="shared" si="311"/>
        <v/>
      </c>
      <c r="K2340" s="139"/>
      <c r="L2340" s="140"/>
      <c r="M2340" s="67"/>
      <c r="N2340" s="33">
        <f t="shared" si="276"/>
        <v>0</v>
      </c>
      <c r="O2340" s="101"/>
      <c r="P2340" s="34" t="str">
        <f t="shared" si="277"/>
        <v/>
      </c>
      <c r="Q2340" s="60"/>
      <c r="R2340" s="36">
        <f t="shared" si="312"/>
        <v>0</v>
      </c>
      <c r="S2340" s="102"/>
      <c r="T2340" s="37">
        <f t="shared" si="302"/>
        <v>0</v>
      </c>
      <c r="U2340" s="62"/>
      <c r="V2340" s="63"/>
      <c r="W2340" s="63"/>
      <c r="X2340" s="35" t="str">
        <f t="shared" si="303"/>
        <v>#N/A</v>
      </c>
      <c r="Y2340" s="35" t="str">
        <f t="shared" si="304"/>
        <v>#N/A</v>
      </c>
      <c r="Z2340" s="40" t="str">
        <f t="shared" si="305"/>
        <v>#N/A</v>
      </c>
      <c r="AA2340" s="34" t="str">
        <f t="shared" si="306"/>
        <v>#N/A</v>
      </c>
      <c r="AB2340" s="41" t="str">
        <f t="shared" si="307"/>
        <v>#N/A</v>
      </c>
      <c r="AC2340" s="42" t="b">
        <v>0</v>
      </c>
      <c r="AD2340" s="66" t="str">
        <f t="shared" si="308"/>
        <v>USD</v>
      </c>
      <c r="AE2340" s="42"/>
      <c r="AF2340" s="42" t="str">
        <f t="array" ref="AF2340">INDEX('Deal Info'!D:D, MATCH(A2340,'Deal Info'!A:A, 0))</f>
        <v>#N/A</v>
      </c>
      <c r="AG2340" s="43" t="str">
        <f t="array" ref="AG2340">INDEX('Deal Info'!G:G, MATCH(A2340,'Deal Info'!A:A, 0))</f>
        <v>#N/A</v>
      </c>
    </row>
    <row r="2341" hidden="1">
      <c r="A2341" s="23" t="b">
        <f t="array" ref="A2341">if(G2341='Room Info'!$B$1, INDEX('Room Info'!$A$2:$A3446, MATCH(B2341,'Room Info'!$B$2:$B3446, 0)),if(G2341='Room Info'!$C$1, INDEX('Room Info'!$A$2:$A3446, MATCH(B2341,'Room Info'!$C$2:$C3446, 0)),if(G2341='Room Info'!$D$1, INDEX('Room Info'!$A$2:$A3446, MATCH(B2341,'Room Info'!$D$2:$D3446, 0)),if(G2341='Room Info'!$E$1, INDEX('Room Info'!$A$2:$A3446, MATCH(B2341,'Room Info'!$E$2:$E3446, 0)),if(G2341='Room Info'!$F$1, INDEX('Room Info'!$A$2:$A3446, MATCH(B2341,'Room Info'!$F$2:$F3446, 0)),if(G2341='Room Info'!$H$1, INDEX('Room Info'!$A$2:$A3446, MATCH(B2341,'Room Info'!$H$2:$H3446, 0)),if(G2341='Room Info'!$G$1, INDEX('Room Info'!$A$2:$A3446, MATCH(B2341,'Room Info'!$G$2:$G3446, 0)))))))))</f>
        <v>0</v>
      </c>
      <c r="B2341" s="101"/>
      <c r="C2341" s="115"/>
      <c r="D2341" s="115"/>
      <c r="E2341" s="85"/>
      <c r="F2341" s="138"/>
      <c r="G2341" s="70"/>
      <c r="H2341" s="114"/>
      <c r="I2341" s="114"/>
      <c r="J2341" s="44" t="str">
        <f t="shared" si="311"/>
        <v/>
      </c>
      <c r="K2341" s="116"/>
      <c r="L2341" s="117"/>
      <c r="M2341" s="67"/>
      <c r="N2341" s="33">
        <f t="shared" si="276"/>
        <v>0</v>
      </c>
      <c r="O2341" s="70"/>
      <c r="P2341" s="34" t="str">
        <f t="shared" si="277"/>
        <v/>
      </c>
      <c r="Q2341" s="60"/>
      <c r="R2341" s="36">
        <f t="shared" si="312"/>
        <v>0</v>
      </c>
      <c r="S2341" s="71"/>
      <c r="T2341" s="37">
        <f t="shared" si="302"/>
        <v>0</v>
      </c>
      <c r="U2341" s="62"/>
      <c r="V2341" s="63"/>
      <c r="W2341" s="63"/>
      <c r="X2341" s="35" t="str">
        <f t="shared" si="303"/>
        <v>#N/A</v>
      </c>
      <c r="Y2341" s="35" t="str">
        <f t="shared" si="304"/>
        <v>#N/A</v>
      </c>
      <c r="Z2341" s="40" t="str">
        <f t="shared" si="305"/>
        <v>#N/A</v>
      </c>
      <c r="AA2341" s="34" t="str">
        <f t="shared" si="306"/>
        <v>#N/A</v>
      </c>
      <c r="AB2341" s="41" t="str">
        <f t="shared" si="307"/>
        <v>#N/A</v>
      </c>
      <c r="AC2341" s="42" t="b">
        <v>0</v>
      </c>
      <c r="AD2341" s="66" t="str">
        <f t="shared" si="308"/>
        <v>USD</v>
      </c>
      <c r="AE2341" s="42"/>
      <c r="AF2341" s="42" t="str">
        <f t="array" ref="AF2341">INDEX('Deal Info'!D:D, MATCH(A2341,'Deal Info'!A:A, 0))</f>
        <v>#N/A</v>
      </c>
      <c r="AG2341" s="43" t="str">
        <f t="array" ref="AG2341">INDEX('Deal Info'!G:G, MATCH(A2341,'Deal Info'!A:A, 0))</f>
        <v>#N/A</v>
      </c>
    </row>
    <row r="2342" hidden="1">
      <c r="A2342" s="23" t="b">
        <f t="array" ref="A2342">if(G2342='Room Info'!$B$1, INDEX('Room Info'!$A$2:$A3446, MATCH(B2342,'Room Info'!$B$2:$B3446, 0)),if(G2342='Room Info'!$C$1, INDEX('Room Info'!$A$2:$A3446, MATCH(B2342,'Room Info'!$C$2:$C3446, 0)),if(G2342='Room Info'!$D$1, INDEX('Room Info'!$A$2:$A3446, MATCH(B2342,'Room Info'!$D$2:$D3446, 0)),if(G2342='Room Info'!$E$1, INDEX('Room Info'!$A$2:$A3446, MATCH(B2342,'Room Info'!$E$2:$E3446, 0)),if(G2342='Room Info'!$F$1, INDEX('Room Info'!$A$2:$A3446, MATCH(B2342,'Room Info'!$F$2:$F3446, 0)),if(G2342='Room Info'!$H$1, INDEX('Room Info'!$A$2:$A3446, MATCH(B2342,'Room Info'!$H$2:$H3446, 0)),if(G2342='Room Info'!$G$1, INDEX('Room Info'!$A$2:$A3446, MATCH(B2342,'Room Info'!$G$2:$G3446, 0)))))))))</f>
        <v>0</v>
      </c>
      <c r="B2342" s="101"/>
      <c r="C2342" s="115"/>
      <c r="D2342" s="115"/>
      <c r="E2342" s="85"/>
      <c r="F2342" s="138"/>
      <c r="G2342" s="70"/>
      <c r="H2342" s="114"/>
      <c r="I2342" s="114"/>
      <c r="J2342" s="44" t="str">
        <f t="shared" si="311"/>
        <v/>
      </c>
      <c r="K2342" s="116"/>
      <c r="L2342" s="117"/>
      <c r="M2342" s="67"/>
      <c r="N2342" s="33">
        <f t="shared" si="276"/>
        <v>0</v>
      </c>
      <c r="O2342" s="70"/>
      <c r="P2342" s="34" t="str">
        <f t="shared" si="277"/>
        <v/>
      </c>
      <c r="Q2342" s="60"/>
      <c r="R2342" s="36">
        <f t="shared" si="312"/>
        <v>0</v>
      </c>
      <c r="S2342" s="71"/>
      <c r="T2342" s="37">
        <f t="shared" si="302"/>
        <v>0</v>
      </c>
      <c r="U2342" s="62"/>
      <c r="V2342" s="63"/>
      <c r="W2342" s="63"/>
      <c r="X2342" s="35" t="str">
        <f t="shared" si="303"/>
        <v>#N/A</v>
      </c>
      <c r="Y2342" s="35" t="str">
        <f t="shared" si="304"/>
        <v>#N/A</v>
      </c>
      <c r="Z2342" s="40" t="str">
        <f t="shared" si="305"/>
        <v>#N/A</v>
      </c>
      <c r="AA2342" s="34" t="str">
        <f t="shared" si="306"/>
        <v>#N/A</v>
      </c>
      <c r="AB2342" s="41" t="str">
        <f t="shared" si="307"/>
        <v>#N/A</v>
      </c>
      <c r="AC2342" s="42" t="b">
        <v>0</v>
      </c>
      <c r="AD2342" s="66" t="str">
        <f t="shared" si="308"/>
        <v>USD</v>
      </c>
      <c r="AE2342" s="42"/>
      <c r="AF2342" s="42" t="str">
        <f t="array" ref="AF2342">INDEX('Deal Info'!D:D, MATCH(A2342,'Deal Info'!A:A, 0))</f>
        <v>#N/A</v>
      </c>
      <c r="AG2342" s="43" t="str">
        <f t="array" ref="AG2342">INDEX('Deal Info'!G:G, MATCH(A2342,'Deal Info'!A:A, 0))</f>
        <v>#N/A</v>
      </c>
    </row>
    <row r="2343" hidden="1">
      <c r="A2343" s="23" t="b">
        <f t="array" ref="A2343">if(G2343='Room Info'!$B$1, INDEX('Room Info'!$A$2:$A3446, MATCH(B2343,'Room Info'!$B$2:$B3446, 0)),if(G2343='Room Info'!$C$1, INDEX('Room Info'!$A$2:$A3446, MATCH(B2343,'Room Info'!$C$2:$C3446, 0)),if(G2343='Room Info'!$D$1, INDEX('Room Info'!$A$2:$A3446, MATCH(B2343,'Room Info'!$D$2:$D3446, 0)),if(G2343='Room Info'!$E$1, INDEX('Room Info'!$A$2:$A3446, MATCH(B2343,'Room Info'!$E$2:$E3446, 0)),if(G2343='Room Info'!$F$1, INDEX('Room Info'!$A$2:$A3446, MATCH(B2343,'Room Info'!$F$2:$F3446, 0)),if(G2343='Room Info'!$H$1, INDEX('Room Info'!$A$2:$A3446, MATCH(B2343,'Room Info'!$H$2:$H3446, 0)),if(G2343='Room Info'!$G$1, INDEX('Room Info'!$A$2:$A3446, MATCH(B2343,'Room Info'!$G$2:$G3446, 0)))))))))</f>
        <v>0</v>
      </c>
      <c r="B2343" s="101"/>
      <c r="C2343" s="115"/>
      <c r="D2343" s="115"/>
      <c r="E2343" s="85"/>
      <c r="F2343" s="138"/>
      <c r="G2343" s="70"/>
      <c r="H2343" s="114"/>
      <c r="I2343" s="114"/>
      <c r="J2343" s="44" t="str">
        <f t="shared" si="311"/>
        <v/>
      </c>
      <c r="K2343" s="116"/>
      <c r="L2343" s="117"/>
      <c r="M2343" s="67"/>
      <c r="N2343" s="33">
        <f t="shared" si="276"/>
        <v>0</v>
      </c>
      <c r="O2343" s="70"/>
      <c r="P2343" s="34" t="str">
        <f t="shared" si="277"/>
        <v/>
      </c>
      <c r="Q2343" s="60"/>
      <c r="R2343" s="36">
        <f t="shared" si="312"/>
        <v>0</v>
      </c>
      <c r="S2343" s="71"/>
      <c r="T2343" s="37">
        <f t="shared" si="302"/>
        <v>0</v>
      </c>
      <c r="U2343" s="62"/>
      <c r="V2343" s="63"/>
      <c r="W2343" s="63"/>
      <c r="X2343" s="35" t="str">
        <f t="shared" si="303"/>
        <v>#N/A</v>
      </c>
      <c r="Y2343" s="35" t="str">
        <f t="shared" si="304"/>
        <v>#N/A</v>
      </c>
      <c r="Z2343" s="40" t="str">
        <f t="shared" si="305"/>
        <v>#N/A</v>
      </c>
      <c r="AA2343" s="34" t="str">
        <f t="shared" si="306"/>
        <v>#N/A</v>
      </c>
      <c r="AB2343" s="41" t="str">
        <f t="shared" si="307"/>
        <v>#N/A</v>
      </c>
      <c r="AC2343" s="42" t="b">
        <v>0</v>
      </c>
      <c r="AD2343" s="66" t="str">
        <f t="shared" si="308"/>
        <v>USD</v>
      </c>
      <c r="AE2343" s="42"/>
      <c r="AF2343" s="42" t="str">
        <f t="array" ref="AF2343">INDEX('Deal Info'!D:D, MATCH(A2343,'Deal Info'!A:A, 0))</f>
        <v>#N/A</v>
      </c>
      <c r="AG2343" s="43" t="str">
        <f t="array" ref="AG2343">INDEX('Deal Info'!G:G, MATCH(A2343,'Deal Info'!A:A, 0))</f>
        <v>#N/A</v>
      </c>
    </row>
    <row r="2344" hidden="1">
      <c r="A2344" s="23" t="b">
        <f t="array" ref="A2344">if(G2344='Room Info'!$B$1, INDEX('Room Info'!$A$2:$A3446, MATCH(B2344,'Room Info'!$B$2:$B3446, 0)),if(G2344='Room Info'!$C$1, INDEX('Room Info'!$A$2:$A3446, MATCH(B2344,'Room Info'!$C$2:$C3446, 0)),if(G2344='Room Info'!$D$1, INDEX('Room Info'!$A$2:$A3446, MATCH(B2344,'Room Info'!$D$2:$D3446, 0)),if(G2344='Room Info'!$E$1, INDEX('Room Info'!$A$2:$A3446, MATCH(B2344,'Room Info'!$E$2:$E3446, 0)),if(G2344='Room Info'!$F$1, INDEX('Room Info'!$A$2:$A3446, MATCH(B2344,'Room Info'!$F$2:$F3446, 0)),if(G2344='Room Info'!$H$1, INDEX('Room Info'!$A$2:$A3446, MATCH(B2344,'Room Info'!$H$2:$H3446, 0)),if(G2344='Room Info'!$G$1, INDEX('Room Info'!$A$2:$A3446, MATCH(B2344,'Room Info'!$G$2:$G3446, 0)))))))))</f>
        <v>0</v>
      </c>
      <c r="B2344" s="101"/>
      <c r="C2344" s="115"/>
      <c r="D2344" s="115"/>
      <c r="E2344" s="85"/>
      <c r="F2344" s="138"/>
      <c r="G2344" s="101"/>
      <c r="H2344" s="114"/>
      <c r="I2344" s="114"/>
      <c r="J2344" s="44" t="str">
        <f t="shared" si="311"/>
        <v/>
      </c>
      <c r="K2344" s="116"/>
      <c r="L2344" s="117"/>
      <c r="M2344" s="67"/>
      <c r="N2344" s="33">
        <f t="shared" si="276"/>
        <v>0</v>
      </c>
      <c r="O2344" s="70"/>
      <c r="P2344" s="34" t="str">
        <f t="shared" si="277"/>
        <v/>
      </c>
      <c r="Q2344" s="60"/>
      <c r="R2344" s="36">
        <f t="shared" si="312"/>
        <v>0</v>
      </c>
      <c r="S2344" s="71"/>
      <c r="T2344" s="37">
        <f t="shared" si="302"/>
        <v>0</v>
      </c>
      <c r="U2344" s="62"/>
      <c r="V2344" s="63"/>
      <c r="W2344" s="63"/>
      <c r="X2344" s="35" t="str">
        <f t="shared" si="303"/>
        <v>#N/A</v>
      </c>
      <c r="Y2344" s="35" t="str">
        <f t="shared" si="304"/>
        <v>#N/A</v>
      </c>
      <c r="Z2344" s="40" t="str">
        <f t="shared" si="305"/>
        <v>#N/A</v>
      </c>
      <c r="AA2344" s="34" t="str">
        <f t="shared" si="306"/>
        <v>#N/A</v>
      </c>
      <c r="AB2344" s="41" t="str">
        <f t="shared" si="307"/>
        <v>#N/A</v>
      </c>
      <c r="AC2344" s="42" t="b">
        <v>0</v>
      </c>
      <c r="AD2344" s="66" t="str">
        <f t="shared" si="308"/>
        <v>USD</v>
      </c>
      <c r="AE2344" s="42"/>
      <c r="AF2344" s="42" t="str">
        <f t="array" ref="AF2344">INDEX('Deal Info'!D:D, MATCH(A2344,'Deal Info'!A:A, 0))</f>
        <v>#N/A</v>
      </c>
      <c r="AG2344" s="43" t="str">
        <f t="array" ref="AG2344">INDEX('Deal Info'!G:G, MATCH(A2344,'Deal Info'!A:A, 0))</f>
        <v>#N/A</v>
      </c>
    </row>
    <row r="2345" hidden="1">
      <c r="A2345" s="23" t="b">
        <f t="array" ref="A2345">if(G2345='Room Info'!$B$1, INDEX('Room Info'!$A$2:$A3446, MATCH(B2345,'Room Info'!$B$2:$B3446, 0)),if(G2345='Room Info'!$C$1, INDEX('Room Info'!$A$2:$A3446, MATCH(B2345,'Room Info'!$C$2:$C3446, 0)),if(G2345='Room Info'!$D$1, INDEX('Room Info'!$A$2:$A3446, MATCH(B2345,'Room Info'!$D$2:$D3446, 0)),if(G2345='Room Info'!$E$1, INDEX('Room Info'!$A$2:$A3446, MATCH(B2345,'Room Info'!$E$2:$E3446, 0)),if(G2345='Room Info'!$F$1, INDEX('Room Info'!$A$2:$A3446, MATCH(B2345,'Room Info'!$F$2:$F3446, 0)),if(G2345='Room Info'!$H$1, INDEX('Room Info'!$A$2:$A3446, MATCH(B2345,'Room Info'!$H$2:$H3446, 0)),if(G2345='Room Info'!$G$1, INDEX('Room Info'!$A$2:$A3446, MATCH(B2345,'Room Info'!$G$2:$G3446, 0)))))))))</f>
        <v>0</v>
      </c>
      <c r="B2345" s="101"/>
      <c r="C2345" s="115"/>
      <c r="D2345" s="115"/>
      <c r="E2345" s="85"/>
      <c r="F2345" s="138"/>
      <c r="G2345" s="101"/>
      <c r="H2345" s="114"/>
      <c r="I2345" s="114"/>
      <c r="J2345" s="44" t="str">
        <f t="shared" si="311"/>
        <v/>
      </c>
      <c r="K2345" s="116"/>
      <c r="L2345" s="117"/>
      <c r="M2345" s="67"/>
      <c r="N2345" s="33">
        <f t="shared" si="276"/>
        <v>0</v>
      </c>
      <c r="O2345" s="70"/>
      <c r="P2345" s="34" t="str">
        <f t="shared" si="277"/>
        <v/>
      </c>
      <c r="Q2345" s="60"/>
      <c r="R2345" s="36">
        <f t="shared" si="312"/>
        <v>0</v>
      </c>
      <c r="S2345" s="71"/>
      <c r="T2345" s="37">
        <f t="shared" si="302"/>
        <v>0</v>
      </c>
      <c r="U2345" s="62"/>
      <c r="V2345" s="63"/>
      <c r="W2345" s="63"/>
      <c r="X2345" s="35" t="str">
        <f t="shared" si="303"/>
        <v>#N/A</v>
      </c>
      <c r="Y2345" s="35" t="str">
        <f t="shared" si="304"/>
        <v>#N/A</v>
      </c>
      <c r="Z2345" s="40" t="str">
        <f t="shared" si="305"/>
        <v>#N/A</v>
      </c>
      <c r="AA2345" s="34" t="str">
        <f t="shared" si="306"/>
        <v>#N/A</v>
      </c>
      <c r="AB2345" s="41" t="str">
        <f t="shared" si="307"/>
        <v>#N/A</v>
      </c>
      <c r="AC2345" s="42" t="b">
        <v>0</v>
      </c>
      <c r="AD2345" s="66" t="str">
        <f t="shared" si="308"/>
        <v>USD</v>
      </c>
      <c r="AE2345" s="42"/>
      <c r="AF2345" s="42" t="str">
        <f t="array" ref="AF2345">INDEX('Deal Info'!D:D, MATCH(A2345,'Deal Info'!A:A, 0))</f>
        <v>#N/A</v>
      </c>
      <c r="AG2345" s="43" t="str">
        <f t="array" ref="AG2345">INDEX('Deal Info'!G:G, MATCH(A2345,'Deal Info'!A:A, 0))</f>
        <v>#N/A</v>
      </c>
    </row>
    <row r="2346" hidden="1">
      <c r="A2346" s="23" t="b">
        <f t="array" ref="A2346">if(G2346='Room Info'!$B$1, INDEX('Room Info'!$A$2:$A3446, MATCH(B2346,'Room Info'!$B$2:$B3446, 0)),if(G2346='Room Info'!$C$1, INDEX('Room Info'!$A$2:$A3446, MATCH(B2346,'Room Info'!$C$2:$C3446, 0)),if(G2346='Room Info'!$D$1, INDEX('Room Info'!$A$2:$A3446, MATCH(B2346,'Room Info'!$D$2:$D3446, 0)),if(G2346='Room Info'!$E$1, INDEX('Room Info'!$A$2:$A3446, MATCH(B2346,'Room Info'!$E$2:$E3446, 0)),if(G2346='Room Info'!$F$1, INDEX('Room Info'!$A$2:$A3446, MATCH(B2346,'Room Info'!$F$2:$F3446, 0)),if(G2346='Room Info'!$H$1, INDEX('Room Info'!$A$2:$A3446, MATCH(B2346,'Room Info'!$H$2:$H3446, 0)),if(G2346='Room Info'!$G$1, INDEX('Room Info'!$A$2:$A3446, MATCH(B2346,'Room Info'!$G$2:$G3446, 0)))))))))</f>
        <v>0</v>
      </c>
      <c r="B2346" s="101"/>
      <c r="C2346" s="115"/>
      <c r="D2346" s="115"/>
      <c r="E2346" s="85"/>
      <c r="F2346" s="138"/>
      <c r="G2346" s="101"/>
      <c r="H2346" s="114"/>
      <c r="I2346" s="114"/>
      <c r="J2346" s="44" t="str">
        <f t="shared" si="311"/>
        <v/>
      </c>
      <c r="K2346" s="116"/>
      <c r="L2346" s="117"/>
      <c r="M2346" s="67"/>
      <c r="N2346" s="33">
        <f t="shared" si="276"/>
        <v>0</v>
      </c>
      <c r="O2346" s="70"/>
      <c r="P2346" s="34" t="str">
        <f t="shared" si="277"/>
        <v/>
      </c>
      <c r="Q2346" s="60"/>
      <c r="R2346" s="36">
        <f t="shared" si="312"/>
        <v>0</v>
      </c>
      <c r="S2346" s="71"/>
      <c r="T2346" s="37">
        <f t="shared" si="302"/>
        <v>0</v>
      </c>
      <c r="U2346" s="62"/>
      <c r="V2346" s="63"/>
      <c r="W2346" s="63"/>
      <c r="X2346" s="35" t="str">
        <f t="shared" si="303"/>
        <v>#N/A</v>
      </c>
      <c r="Y2346" s="35" t="str">
        <f t="shared" si="304"/>
        <v>#N/A</v>
      </c>
      <c r="Z2346" s="40" t="str">
        <f t="shared" si="305"/>
        <v>#N/A</v>
      </c>
      <c r="AA2346" s="34" t="str">
        <f t="shared" si="306"/>
        <v>#N/A</v>
      </c>
      <c r="AB2346" s="41" t="str">
        <f t="shared" si="307"/>
        <v>#N/A</v>
      </c>
      <c r="AC2346" s="42" t="b">
        <v>0</v>
      </c>
      <c r="AD2346" s="66" t="str">
        <f t="shared" si="308"/>
        <v>USD</v>
      </c>
      <c r="AE2346" s="42"/>
      <c r="AF2346" s="42" t="str">
        <f t="array" ref="AF2346">INDEX('Deal Info'!D:D, MATCH(A2346,'Deal Info'!A:A, 0))</f>
        <v>#N/A</v>
      </c>
      <c r="AG2346" s="43" t="str">
        <f t="array" ref="AG2346">INDEX('Deal Info'!G:G, MATCH(A2346,'Deal Info'!A:A, 0))</f>
        <v>#N/A</v>
      </c>
    </row>
    <row r="2347" hidden="1">
      <c r="A2347" s="23" t="b">
        <f t="array" ref="A2347">if(G2347='Room Info'!$B$1, INDEX('Room Info'!$A$2:$A3446, MATCH(B2347,'Room Info'!$B$2:$B3446, 0)),if(G2347='Room Info'!$C$1, INDEX('Room Info'!$A$2:$A3446, MATCH(B2347,'Room Info'!$C$2:$C3446, 0)),if(G2347='Room Info'!$D$1, INDEX('Room Info'!$A$2:$A3446, MATCH(B2347,'Room Info'!$D$2:$D3446, 0)),if(G2347='Room Info'!$E$1, INDEX('Room Info'!$A$2:$A3446, MATCH(B2347,'Room Info'!$E$2:$E3446, 0)),if(G2347='Room Info'!$F$1, INDEX('Room Info'!$A$2:$A3446, MATCH(B2347,'Room Info'!$F$2:$F3446, 0)),if(G2347='Room Info'!$H$1, INDEX('Room Info'!$A$2:$A3446, MATCH(B2347,'Room Info'!$H$2:$H3446, 0)),if(G2347='Room Info'!$G$1, INDEX('Room Info'!$A$2:$A3446, MATCH(B2347,'Room Info'!$G$2:$G3446, 0)))))))))</f>
        <v>0</v>
      </c>
      <c r="B2347" s="101"/>
      <c r="C2347" s="115"/>
      <c r="D2347" s="115"/>
      <c r="E2347" s="85"/>
      <c r="F2347" s="138"/>
      <c r="G2347" s="101"/>
      <c r="H2347" s="114"/>
      <c r="I2347" s="114"/>
      <c r="J2347" s="44" t="str">
        <f t="shared" si="311"/>
        <v/>
      </c>
      <c r="K2347" s="116"/>
      <c r="L2347" s="117"/>
      <c r="M2347" s="67"/>
      <c r="N2347" s="33">
        <f t="shared" si="276"/>
        <v>0</v>
      </c>
      <c r="O2347" s="70"/>
      <c r="P2347" s="34" t="str">
        <f t="shared" si="277"/>
        <v/>
      </c>
      <c r="Q2347" s="60"/>
      <c r="R2347" s="36">
        <f t="shared" si="312"/>
        <v>0</v>
      </c>
      <c r="S2347" s="71"/>
      <c r="T2347" s="37">
        <f t="shared" si="302"/>
        <v>0</v>
      </c>
      <c r="U2347" s="62"/>
      <c r="V2347" s="63"/>
      <c r="W2347" s="63"/>
      <c r="X2347" s="35" t="str">
        <f t="shared" si="303"/>
        <v>#N/A</v>
      </c>
      <c r="Y2347" s="35" t="str">
        <f t="shared" si="304"/>
        <v>#N/A</v>
      </c>
      <c r="Z2347" s="40" t="str">
        <f t="shared" si="305"/>
        <v>#N/A</v>
      </c>
      <c r="AA2347" s="34" t="str">
        <f t="shared" si="306"/>
        <v>#N/A</v>
      </c>
      <c r="AB2347" s="41" t="str">
        <f t="shared" si="307"/>
        <v>#N/A</v>
      </c>
      <c r="AC2347" s="42" t="b">
        <v>0</v>
      </c>
      <c r="AD2347" s="66" t="str">
        <f t="shared" si="308"/>
        <v>USD</v>
      </c>
      <c r="AE2347" s="42"/>
      <c r="AF2347" s="42" t="str">
        <f t="array" ref="AF2347">INDEX('Deal Info'!D:D, MATCH(A2347,'Deal Info'!A:A, 0))</f>
        <v>#N/A</v>
      </c>
      <c r="AG2347" s="43" t="str">
        <f t="array" ref="AG2347">INDEX('Deal Info'!G:G, MATCH(A2347,'Deal Info'!A:A, 0))</f>
        <v>#N/A</v>
      </c>
    </row>
    <row r="2348" hidden="1">
      <c r="A2348" s="23" t="b">
        <f t="array" ref="A2348">if(G2348='Room Info'!$B$1, INDEX('Room Info'!$A$2:$A3446, MATCH(B2348,'Room Info'!$B$2:$B3446, 0)),if(G2348='Room Info'!$C$1, INDEX('Room Info'!$A$2:$A3446, MATCH(B2348,'Room Info'!$C$2:$C3446, 0)),if(G2348='Room Info'!$D$1, INDEX('Room Info'!$A$2:$A3446, MATCH(B2348,'Room Info'!$D$2:$D3446, 0)),if(G2348='Room Info'!$E$1, INDEX('Room Info'!$A$2:$A3446, MATCH(B2348,'Room Info'!$E$2:$E3446, 0)),if(G2348='Room Info'!$F$1, INDEX('Room Info'!$A$2:$A3446, MATCH(B2348,'Room Info'!$F$2:$F3446, 0)),if(G2348='Room Info'!$H$1, INDEX('Room Info'!$A$2:$A3446, MATCH(B2348,'Room Info'!$H$2:$H3446, 0)),if(G2348='Room Info'!$G$1, INDEX('Room Info'!$A$2:$A3446, MATCH(B2348,'Room Info'!$G$2:$G3446, 0)))))))))</f>
        <v>0</v>
      </c>
      <c r="B2348" s="101"/>
      <c r="C2348" s="115"/>
      <c r="D2348" s="115"/>
      <c r="E2348" s="85"/>
      <c r="F2348" s="138"/>
      <c r="G2348" s="101"/>
      <c r="H2348" s="114"/>
      <c r="I2348" s="114"/>
      <c r="J2348" s="44" t="str">
        <f t="shared" si="311"/>
        <v/>
      </c>
      <c r="K2348" s="116"/>
      <c r="L2348" s="117"/>
      <c r="M2348" s="67"/>
      <c r="N2348" s="33">
        <f t="shared" si="276"/>
        <v>0</v>
      </c>
      <c r="O2348" s="70"/>
      <c r="P2348" s="34" t="str">
        <f t="shared" si="277"/>
        <v/>
      </c>
      <c r="Q2348" s="60"/>
      <c r="R2348" s="36">
        <f t="shared" si="312"/>
        <v>0</v>
      </c>
      <c r="S2348" s="71"/>
      <c r="T2348" s="37">
        <f t="shared" si="302"/>
        <v>0</v>
      </c>
      <c r="U2348" s="62"/>
      <c r="V2348" s="63"/>
      <c r="W2348" s="63"/>
      <c r="X2348" s="35" t="str">
        <f t="shared" si="303"/>
        <v>#N/A</v>
      </c>
      <c r="Y2348" s="35" t="str">
        <f t="shared" si="304"/>
        <v>#N/A</v>
      </c>
      <c r="Z2348" s="40" t="str">
        <f t="shared" si="305"/>
        <v>#N/A</v>
      </c>
      <c r="AA2348" s="34" t="str">
        <f t="shared" si="306"/>
        <v>#N/A</v>
      </c>
      <c r="AB2348" s="41" t="str">
        <f t="shared" si="307"/>
        <v>#N/A</v>
      </c>
      <c r="AC2348" s="42" t="b">
        <v>0</v>
      </c>
      <c r="AD2348" s="66" t="str">
        <f t="shared" si="308"/>
        <v>USD</v>
      </c>
      <c r="AE2348" s="42"/>
      <c r="AF2348" s="42" t="str">
        <f t="array" ref="AF2348">INDEX('Deal Info'!D:D, MATCH(A2348,'Deal Info'!A:A, 0))</f>
        <v>#N/A</v>
      </c>
      <c r="AG2348" s="43" t="str">
        <f t="array" ref="AG2348">INDEX('Deal Info'!G:G, MATCH(A2348,'Deal Info'!A:A, 0))</f>
        <v>#N/A</v>
      </c>
    </row>
    <row r="2349" hidden="1">
      <c r="A2349" s="23" t="b">
        <f t="array" ref="A2349">if(G2349='Room Info'!$B$1, INDEX('Room Info'!$A$2:$A3446, MATCH(B2349,'Room Info'!$B$2:$B3446, 0)),if(G2349='Room Info'!$C$1, INDEX('Room Info'!$A$2:$A3446, MATCH(B2349,'Room Info'!$C$2:$C3446, 0)),if(G2349='Room Info'!$D$1, INDEX('Room Info'!$A$2:$A3446, MATCH(B2349,'Room Info'!$D$2:$D3446, 0)),if(G2349='Room Info'!$E$1, INDEX('Room Info'!$A$2:$A3446, MATCH(B2349,'Room Info'!$E$2:$E3446, 0)),if(G2349='Room Info'!$F$1, INDEX('Room Info'!$A$2:$A3446, MATCH(B2349,'Room Info'!$F$2:$F3446, 0)),if(G2349='Room Info'!$H$1, INDEX('Room Info'!$A$2:$A3446, MATCH(B2349,'Room Info'!$H$2:$H3446, 0)),if(G2349='Room Info'!$G$1, INDEX('Room Info'!$A$2:$A3446, MATCH(B2349,'Room Info'!$G$2:$G3446, 0)))))))))</f>
        <v>0</v>
      </c>
      <c r="B2349" s="101"/>
      <c r="C2349" s="115"/>
      <c r="D2349" s="115"/>
      <c r="E2349" s="85"/>
      <c r="F2349" s="138"/>
      <c r="G2349" s="101"/>
      <c r="H2349" s="114"/>
      <c r="I2349" s="114"/>
      <c r="J2349" s="44" t="str">
        <f t="shared" si="311"/>
        <v/>
      </c>
      <c r="K2349" s="116"/>
      <c r="L2349" s="117"/>
      <c r="M2349" s="67"/>
      <c r="N2349" s="33">
        <f t="shared" si="276"/>
        <v>0</v>
      </c>
      <c r="O2349" s="70"/>
      <c r="P2349" s="34" t="str">
        <f t="shared" si="277"/>
        <v/>
      </c>
      <c r="Q2349" s="60"/>
      <c r="R2349" s="36">
        <f t="shared" si="312"/>
        <v>0</v>
      </c>
      <c r="S2349" s="71"/>
      <c r="T2349" s="37">
        <f t="shared" si="302"/>
        <v>0</v>
      </c>
      <c r="U2349" s="62"/>
      <c r="V2349" s="63"/>
      <c r="W2349" s="63"/>
      <c r="X2349" s="35" t="str">
        <f t="shared" si="303"/>
        <v>#N/A</v>
      </c>
      <c r="Y2349" s="35" t="str">
        <f t="shared" si="304"/>
        <v>#N/A</v>
      </c>
      <c r="Z2349" s="40" t="str">
        <f t="shared" si="305"/>
        <v>#N/A</v>
      </c>
      <c r="AA2349" s="34" t="str">
        <f t="shared" si="306"/>
        <v>#N/A</v>
      </c>
      <c r="AB2349" s="41" t="str">
        <f t="shared" si="307"/>
        <v>#N/A</v>
      </c>
      <c r="AC2349" s="42" t="b">
        <v>0</v>
      </c>
      <c r="AD2349" s="66" t="str">
        <f t="shared" si="308"/>
        <v>USD</v>
      </c>
      <c r="AE2349" s="42"/>
      <c r="AF2349" s="42" t="str">
        <f t="array" ref="AF2349">INDEX('Deal Info'!D:D, MATCH(A2349,'Deal Info'!A:A, 0))</f>
        <v>#N/A</v>
      </c>
      <c r="AG2349" s="43" t="str">
        <f t="array" ref="AG2349">INDEX('Deal Info'!G:G, MATCH(A2349,'Deal Info'!A:A, 0))</f>
        <v>#N/A</v>
      </c>
    </row>
    <row r="2350" hidden="1">
      <c r="A2350" s="23" t="b">
        <f t="array" ref="A2350">if(G2350='Room Info'!$B$1, INDEX('Room Info'!$A$2:$A3446, MATCH(B2350,'Room Info'!$B$2:$B3446, 0)),if(G2350='Room Info'!$C$1, INDEX('Room Info'!$A$2:$A3446, MATCH(B2350,'Room Info'!$C$2:$C3446, 0)),if(G2350='Room Info'!$D$1, INDEX('Room Info'!$A$2:$A3446, MATCH(B2350,'Room Info'!$D$2:$D3446, 0)),if(G2350='Room Info'!$E$1, INDEX('Room Info'!$A$2:$A3446, MATCH(B2350,'Room Info'!$E$2:$E3446, 0)),if(G2350='Room Info'!$F$1, INDEX('Room Info'!$A$2:$A3446, MATCH(B2350,'Room Info'!$F$2:$F3446, 0)),if(G2350='Room Info'!$H$1, INDEX('Room Info'!$A$2:$A3446, MATCH(B2350,'Room Info'!$H$2:$H3446, 0)),if(G2350='Room Info'!$G$1, INDEX('Room Info'!$A$2:$A3446, MATCH(B2350,'Room Info'!$G$2:$G3446, 0)))))))))</f>
        <v>0</v>
      </c>
      <c r="B2350" s="101"/>
      <c r="C2350" s="115"/>
      <c r="D2350" s="115"/>
      <c r="E2350" s="85"/>
      <c r="F2350" s="138"/>
      <c r="G2350" s="101"/>
      <c r="H2350" s="114"/>
      <c r="I2350" s="114"/>
      <c r="J2350" s="44" t="str">
        <f t="shared" si="311"/>
        <v/>
      </c>
      <c r="K2350" s="116"/>
      <c r="L2350" s="117"/>
      <c r="M2350" s="67"/>
      <c r="N2350" s="33">
        <f t="shared" si="276"/>
        <v>0</v>
      </c>
      <c r="O2350" s="70"/>
      <c r="P2350" s="34" t="str">
        <f t="shared" si="277"/>
        <v/>
      </c>
      <c r="Q2350" s="60"/>
      <c r="R2350" s="36">
        <f t="shared" si="312"/>
        <v>0</v>
      </c>
      <c r="S2350" s="71"/>
      <c r="T2350" s="37">
        <f t="shared" si="302"/>
        <v>0</v>
      </c>
      <c r="U2350" s="62"/>
      <c r="V2350" s="63"/>
      <c r="W2350" s="63"/>
      <c r="X2350" s="35" t="str">
        <f t="shared" si="303"/>
        <v>#N/A</v>
      </c>
      <c r="Y2350" s="35" t="str">
        <f t="shared" si="304"/>
        <v>#N/A</v>
      </c>
      <c r="Z2350" s="40" t="str">
        <f t="shared" si="305"/>
        <v>#N/A</v>
      </c>
      <c r="AA2350" s="34" t="str">
        <f t="shared" si="306"/>
        <v>#N/A</v>
      </c>
      <c r="AB2350" s="41" t="str">
        <f t="shared" si="307"/>
        <v>#N/A</v>
      </c>
      <c r="AC2350" s="42" t="b">
        <v>0</v>
      </c>
      <c r="AD2350" s="66" t="str">
        <f t="shared" si="308"/>
        <v>USD</v>
      </c>
      <c r="AE2350" s="42"/>
      <c r="AF2350" s="42" t="str">
        <f t="array" ref="AF2350">INDEX('Deal Info'!D:D, MATCH(A2350,'Deal Info'!A:A, 0))</f>
        <v>#N/A</v>
      </c>
      <c r="AG2350" s="43" t="str">
        <f t="array" ref="AG2350">INDEX('Deal Info'!G:G, MATCH(A2350,'Deal Info'!A:A, 0))</f>
        <v>#N/A</v>
      </c>
    </row>
    <row r="2351" hidden="1">
      <c r="A2351" s="23" t="b">
        <f t="array" ref="A2351">if(G2351='Room Info'!$B$1, INDEX('Room Info'!$A$2:$A3446, MATCH(B2351,'Room Info'!$B$2:$B3446, 0)),if(G2351='Room Info'!$C$1, INDEX('Room Info'!$A$2:$A3446, MATCH(B2351,'Room Info'!$C$2:$C3446, 0)),if(G2351='Room Info'!$D$1, INDEX('Room Info'!$A$2:$A3446, MATCH(B2351,'Room Info'!$D$2:$D3446, 0)),if(G2351='Room Info'!$E$1, INDEX('Room Info'!$A$2:$A3446, MATCH(B2351,'Room Info'!$E$2:$E3446, 0)),if(G2351='Room Info'!$F$1, INDEX('Room Info'!$A$2:$A3446, MATCH(B2351,'Room Info'!$F$2:$F3446, 0)),if(G2351='Room Info'!$H$1, INDEX('Room Info'!$A$2:$A3446, MATCH(B2351,'Room Info'!$H$2:$H3446, 0)),if(G2351='Room Info'!$G$1, INDEX('Room Info'!$A$2:$A3446, MATCH(B2351,'Room Info'!$G$2:$G3446, 0)))))))))</f>
        <v>0</v>
      </c>
      <c r="B2351" s="101"/>
      <c r="C2351" s="115"/>
      <c r="D2351" s="115"/>
      <c r="E2351" s="85"/>
      <c r="F2351" s="138"/>
      <c r="G2351" s="101"/>
      <c r="H2351" s="114"/>
      <c r="I2351" s="114"/>
      <c r="J2351" s="44" t="str">
        <f t="shared" si="311"/>
        <v/>
      </c>
      <c r="K2351" s="116"/>
      <c r="L2351" s="117"/>
      <c r="M2351" s="67"/>
      <c r="N2351" s="33">
        <f t="shared" si="276"/>
        <v>0</v>
      </c>
      <c r="O2351" s="70"/>
      <c r="P2351" s="34" t="str">
        <f t="shared" si="277"/>
        <v/>
      </c>
      <c r="Q2351" s="60"/>
      <c r="R2351" s="36">
        <f t="shared" si="312"/>
        <v>0</v>
      </c>
      <c r="S2351" s="71"/>
      <c r="T2351" s="37">
        <f t="shared" si="302"/>
        <v>0</v>
      </c>
      <c r="U2351" s="62"/>
      <c r="V2351" s="63"/>
      <c r="W2351" s="63"/>
      <c r="X2351" s="35" t="str">
        <f t="shared" si="303"/>
        <v>#N/A</v>
      </c>
      <c r="Y2351" s="35" t="str">
        <f t="shared" si="304"/>
        <v>#N/A</v>
      </c>
      <c r="Z2351" s="40" t="str">
        <f t="shared" si="305"/>
        <v>#N/A</v>
      </c>
      <c r="AA2351" s="34" t="str">
        <f t="shared" si="306"/>
        <v>#N/A</v>
      </c>
      <c r="AB2351" s="41" t="str">
        <f t="shared" si="307"/>
        <v>#N/A</v>
      </c>
      <c r="AC2351" s="42" t="b">
        <v>0</v>
      </c>
      <c r="AD2351" s="66" t="str">
        <f t="shared" si="308"/>
        <v>USD</v>
      </c>
      <c r="AE2351" s="42"/>
      <c r="AF2351" s="42" t="str">
        <f t="array" ref="AF2351">INDEX('Deal Info'!D:D, MATCH(A2351,'Deal Info'!A:A, 0))</f>
        <v>#N/A</v>
      </c>
      <c r="AG2351" s="43" t="str">
        <f t="array" ref="AG2351">INDEX('Deal Info'!G:G, MATCH(A2351,'Deal Info'!A:A, 0))</f>
        <v>#N/A</v>
      </c>
    </row>
    <row r="2352" hidden="1">
      <c r="A2352" s="23" t="b">
        <f t="array" ref="A2352">if(G2352='Room Info'!$B$1, INDEX('Room Info'!$A$2:$A3446, MATCH(B2352,'Room Info'!$B$2:$B3446, 0)),if(G2352='Room Info'!$C$1, INDEX('Room Info'!$A$2:$A3446, MATCH(B2352,'Room Info'!$C$2:$C3446, 0)),if(G2352='Room Info'!$D$1, INDEX('Room Info'!$A$2:$A3446, MATCH(B2352,'Room Info'!$D$2:$D3446, 0)),if(G2352='Room Info'!$E$1, INDEX('Room Info'!$A$2:$A3446, MATCH(B2352,'Room Info'!$E$2:$E3446, 0)),if(G2352='Room Info'!$F$1, INDEX('Room Info'!$A$2:$A3446, MATCH(B2352,'Room Info'!$F$2:$F3446, 0)),if(G2352='Room Info'!$H$1, INDEX('Room Info'!$A$2:$A3446, MATCH(B2352,'Room Info'!$H$2:$H3446, 0)),if(G2352='Room Info'!$G$1, INDEX('Room Info'!$A$2:$A3446, MATCH(B2352,'Room Info'!$G$2:$G3446, 0)))))))))</f>
        <v>0</v>
      </c>
      <c r="B2352" s="101"/>
      <c r="C2352" s="115"/>
      <c r="D2352" s="115"/>
      <c r="E2352" s="85"/>
      <c r="F2352" s="101"/>
      <c r="G2352" s="70"/>
      <c r="H2352" s="105"/>
      <c r="I2352" s="105"/>
      <c r="J2352" s="44" t="str">
        <f t="shared" si="311"/>
        <v/>
      </c>
      <c r="K2352" s="139"/>
      <c r="L2352" s="140"/>
      <c r="M2352" s="67"/>
      <c r="N2352" s="33">
        <f t="shared" si="276"/>
        <v>0</v>
      </c>
      <c r="O2352" s="101"/>
      <c r="P2352" s="34" t="str">
        <f t="shared" si="277"/>
        <v/>
      </c>
      <c r="Q2352" s="60"/>
      <c r="R2352" s="36">
        <f t="shared" si="312"/>
        <v>0</v>
      </c>
      <c r="S2352" s="102"/>
      <c r="T2352" s="37">
        <f t="shared" si="302"/>
        <v>0</v>
      </c>
      <c r="U2352" s="62"/>
      <c r="V2352" s="63"/>
      <c r="W2352" s="63"/>
      <c r="X2352" s="35" t="str">
        <f t="shared" si="303"/>
        <v>#N/A</v>
      </c>
      <c r="Y2352" s="35" t="str">
        <f t="shared" si="304"/>
        <v>#N/A</v>
      </c>
      <c r="Z2352" s="40" t="str">
        <f t="shared" si="305"/>
        <v>#N/A</v>
      </c>
      <c r="AA2352" s="34" t="str">
        <f t="shared" si="306"/>
        <v>#N/A</v>
      </c>
      <c r="AB2352" s="41" t="str">
        <f t="shared" si="307"/>
        <v>#N/A</v>
      </c>
      <c r="AC2352" s="42" t="b">
        <v>0</v>
      </c>
      <c r="AD2352" s="66" t="str">
        <f t="shared" si="308"/>
        <v>USD</v>
      </c>
      <c r="AE2352" s="42"/>
      <c r="AF2352" s="42" t="str">
        <f t="array" ref="AF2352">INDEX('Deal Info'!D:D, MATCH(A2352,'Deal Info'!A:A, 0))</f>
        <v>#N/A</v>
      </c>
      <c r="AG2352" s="43" t="str">
        <f t="array" ref="AG2352">INDEX('Deal Info'!G:G, MATCH(A2352,'Deal Info'!A:A, 0))</f>
        <v>#N/A</v>
      </c>
    </row>
    <row r="2353" hidden="1">
      <c r="A2353" s="23" t="b">
        <f t="array" ref="A2353">if(G2353='Room Info'!$B$1, INDEX('Room Info'!$A$2:$A3446, MATCH(B2353,'Room Info'!$B$2:$B3446, 0)),if(G2353='Room Info'!$C$1, INDEX('Room Info'!$A$2:$A3446, MATCH(B2353,'Room Info'!$C$2:$C3446, 0)),if(G2353='Room Info'!$D$1, INDEX('Room Info'!$A$2:$A3446, MATCH(B2353,'Room Info'!$D$2:$D3446, 0)),if(G2353='Room Info'!$E$1, INDEX('Room Info'!$A$2:$A3446, MATCH(B2353,'Room Info'!$E$2:$E3446, 0)),if(G2353='Room Info'!$F$1, INDEX('Room Info'!$A$2:$A3446, MATCH(B2353,'Room Info'!$F$2:$F3446, 0)),if(G2353='Room Info'!$H$1, INDEX('Room Info'!$A$2:$A3446, MATCH(B2353,'Room Info'!$H$2:$H3446, 0)),if(G2353='Room Info'!$G$1, INDEX('Room Info'!$A$2:$A3446, MATCH(B2353,'Room Info'!$G$2:$G3446, 0)))))))))</f>
        <v>0</v>
      </c>
      <c r="B2353" s="101"/>
      <c r="C2353" s="115"/>
      <c r="D2353" s="115"/>
      <c r="E2353" s="85"/>
      <c r="F2353" s="101"/>
      <c r="G2353" s="70"/>
      <c r="H2353" s="105"/>
      <c r="I2353" s="105"/>
      <c r="J2353" s="44" t="str">
        <f t="shared" si="311"/>
        <v/>
      </c>
      <c r="K2353" s="139"/>
      <c r="L2353" s="140"/>
      <c r="M2353" s="67"/>
      <c r="N2353" s="33">
        <f t="shared" si="276"/>
        <v>0</v>
      </c>
      <c r="O2353" s="101"/>
      <c r="P2353" s="34" t="str">
        <f t="shared" si="277"/>
        <v/>
      </c>
      <c r="Q2353" s="60"/>
      <c r="R2353" s="36">
        <f t="shared" si="312"/>
        <v>0</v>
      </c>
      <c r="S2353" s="102"/>
      <c r="T2353" s="37">
        <f t="shared" si="302"/>
        <v>0</v>
      </c>
      <c r="U2353" s="62"/>
      <c r="V2353" s="63"/>
      <c r="W2353" s="63"/>
      <c r="X2353" s="35" t="str">
        <f t="shared" si="303"/>
        <v>#N/A</v>
      </c>
      <c r="Y2353" s="35" t="str">
        <f t="shared" si="304"/>
        <v>#N/A</v>
      </c>
      <c r="Z2353" s="40" t="str">
        <f t="shared" si="305"/>
        <v>#N/A</v>
      </c>
      <c r="AA2353" s="34" t="str">
        <f t="shared" si="306"/>
        <v>#N/A</v>
      </c>
      <c r="AB2353" s="41" t="str">
        <f t="shared" si="307"/>
        <v>#N/A</v>
      </c>
      <c r="AC2353" s="42" t="b">
        <v>0</v>
      </c>
      <c r="AD2353" s="66" t="str">
        <f t="shared" si="308"/>
        <v>USD</v>
      </c>
      <c r="AE2353" s="42"/>
      <c r="AF2353" s="42" t="str">
        <f t="array" ref="AF2353">INDEX('Deal Info'!D:D, MATCH(A2353,'Deal Info'!A:A, 0))</f>
        <v>#N/A</v>
      </c>
      <c r="AG2353" s="43" t="str">
        <f t="array" ref="AG2353">INDEX('Deal Info'!G:G, MATCH(A2353,'Deal Info'!A:A, 0))</f>
        <v>#N/A</v>
      </c>
    </row>
    <row r="2354" hidden="1">
      <c r="A2354" s="23" t="b">
        <f t="array" ref="A2354">if(G2354='Room Info'!$B$1, INDEX('Room Info'!$A$2:$A3446, MATCH(B2354,'Room Info'!$B$2:$B3446, 0)),if(G2354='Room Info'!$C$1, INDEX('Room Info'!$A$2:$A3446, MATCH(B2354,'Room Info'!$C$2:$C3446, 0)),if(G2354='Room Info'!$D$1, INDEX('Room Info'!$A$2:$A3446, MATCH(B2354,'Room Info'!$D$2:$D3446, 0)),if(G2354='Room Info'!$E$1, INDEX('Room Info'!$A$2:$A3446, MATCH(B2354,'Room Info'!$E$2:$E3446, 0)),if(G2354='Room Info'!$F$1, INDEX('Room Info'!$A$2:$A3446, MATCH(B2354,'Room Info'!$F$2:$F3446, 0)),if(G2354='Room Info'!$H$1, INDEX('Room Info'!$A$2:$A3446, MATCH(B2354,'Room Info'!$H$2:$H3446, 0)),if(G2354='Room Info'!$G$1, INDEX('Room Info'!$A$2:$A3446, MATCH(B2354,'Room Info'!$G$2:$G3446, 0)))))))))</f>
        <v>0</v>
      </c>
      <c r="B2354" s="101"/>
      <c r="C2354" s="115"/>
      <c r="D2354" s="115"/>
      <c r="E2354" s="85"/>
      <c r="F2354" s="101"/>
      <c r="G2354" s="70"/>
      <c r="H2354" s="105"/>
      <c r="I2354" s="105"/>
      <c r="J2354" s="44" t="str">
        <f t="shared" si="311"/>
        <v/>
      </c>
      <c r="K2354" s="139"/>
      <c r="L2354" s="140"/>
      <c r="M2354" s="67"/>
      <c r="N2354" s="33">
        <f t="shared" si="276"/>
        <v>0</v>
      </c>
      <c r="O2354" s="101"/>
      <c r="P2354" s="34" t="str">
        <f t="shared" si="277"/>
        <v/>
      </c>
      <c r="Q2354" s="60"/>
      <c r="R2354" s="36">
        <f t="shared" si="312"/>
        <v>0</v>
      </c>
      <c r="S2354" s="102"/>
      <c r="T2354" s="37">
        <f t="shared" si="302"/>
        <v>0</v>
      </c>
      <c r="U2354" s="62"/>
      <c r="V2354" s="63"/>
      <c r="W2354" s="63"/>
      <c r="X2354" s="35" t="str">
        <f t="shared" si="303"/>
        <v>#N/A</v>
      </c>
      <c r="Y2354" s="35" t="str">
        <f t="shared" si="304"/>
        <v>#N/A</v>
      </c>
      <c r="Z2354" s="40" t="str">
        <f t="shared" si="305"/>
        <v>#N/A</v>
      </c>
      <c r="AA2354" s="34" t="str">
        <f t="shared" si="306"/>
        <v>#N/A</v>
      </c>
      <c r="AB2354" s="41" t="str">
        <f t="shared" si="307"/>
        <v>#N/A</v>
      </c>
      <c r="AC2354" s="42" t="b">
        <v>0</v>
      </c>
      <c r="AD2354" s="66" t="str">
        <f t="shared" si="308"/>
        <v>USD</v>
      </c>
      <c r="AE2354" s="42"/>
      <c r="AF2354" s="42" t="str">
        <f t="array" ref="AF2354">INDEX('Deal Info'!D:D, MATCH(A2354,'Deal Info'!A:A, 0))</f>
        <v>#N/A</v>
      </c>
      <c r="AG2354" s="43" t="str">
        <f t="array" ref="AG2354">INDEX('Deal Info'!G:G, MATCH(A2354,'Deal Info'!A:A, 0))</f>
        <v>#N/A</v>
      </c>
    </row>
    <row r="2355" hidden="1">
      <c r="A2355" s="23" t="b">
        <f t="array" ref="A2355">if(G2355='Room Info'!$B$1, INDEX('Room Info'!$A$2:$A3446, MATCH(B2355,'Room Info'!$B$2:$B3446, 0)),if(G2355='Room Info'!$C$1, INDEX('Room Info'!$A$2:$A3446, MATCH(B2355,'Room Info'!$C$2:$C3446, 0)),if(G2355='Room Info'!$D$1, INDEX('Room Info'!$A$2:$A3446, MATCH(B2355,'Room Info'!$D$2:$D3446, 0)),if(G2355='Room Info'!$E$1, INDEX('Room Info'!$A$2:$A3446, MATCH(B2355,'Room Info'!$E$2:$E3446, 0)),if(G2355='Room Info'!$F$1, INDEX('Room Info'!$A$2:$A3446, MATCH(B2355,'Room Info'!$F$2:$F3446, 0)),if(G2355='Room Info'!$H$1, INDEX('Room Info'!$A$2:$A3446, MATCH(B2355,'Room Info'!$H$2:$H3446, 0)),if(G2355='Room Info'!$G$1, INDEX('Room Info'!$A$2:$A3446, MATCH(B2355,'Room Info'!$G$2:$G3446, 0)))))))))</f>
        <v>0</v>
      </c>
      <c r="B2355" s="101"/>
      <c r="C2355" s="115"/>
      <c r="D2355" s="115"/>
      <c r="E2355" s="85"/>
      <c r="F2355" s="101"/>
      <c r="G2355" s="70"/>
      <c r="H2355" s="105"/>
      <c r="I2355" s="105"/>
      <c r="J2355" s="44" t="str">
        <f t="shared" si="311"/>
        <v/>
      </c>
      <c r="K2355" s="139"/>
      <c r="L2355" s="140"/>
      <c r="M2355" s="67"/>
      <c r="N2355" s="33">
        <f t="shared" si="276"/>
        <v>0</v>
      </c>
      <c r="O2355" s="101"/>
      <c r="P2355" s="34" t="str">
        <f t="shared" si="277"/>
        <v/>
      </c>
      <c r="Q2355" s="60"/>
      <c r="R2355" s="36">
        <f t="shared" si="312"/>
        <v>0</v>
      </c>
      <c r="S2355" s="102"/>
      <c r="T2355" s="37">
        <f t="shared" si="302"/>
        <v>0</v>
      </c>
      <c r="U2355" s="62"/>
      <c r="V2355" s="63"/>
      <c r="W2355" s="63"/>
      <c r="X2355" s="35" t="str">
        <f t="shared" si="303"/>
        <v>#N/A</v>
      </c>
      <c r="Y2355" s="35" t="str">
        <f t="shared" si="304"/>
        <v>#N/A</v>
      </c>
      <c r="Z2355" s="40" t="str">
        <f t="shared" si="305"/>
        <v>#N/A</v>
      </c>
      <c r="AA2355" s="34" t="str">
        <f t="shared" si="306"/>
        <v>#N/A</v>
      </c>
      <c r="AB2355" s="41" t="str">
        <f t="shared" si="307"/>
        <v>#N/A</v>
      </c>
      <c r="AC2355" s="42" t="b">
        <v>0</v>
      </c>
      <c r="AD2355" s="66" t="str">
        <f t="shared" si="308"/>
        <v>USD</v>
      </c>
      <c r="AE2355" s="42"/>
      <c r="AF2355" s="42" t="str">
        <f t="array" ref="AF2355">INDEX('Deal Info'!D:D, MATCH(A2355,'Deal Info'!A:A, 0))</f>
        <v>#N/A</v>
      </c>
      <c r="AG2355" s="43" t="str">
        <f t="array" ref="AG2355">INDEX('Deal Info'!G:G, MATCH(A2355,'Deal Info'!A:A, 0))</f>
        <v>#N/A</v>
      </c>
    </row>
    <row r="2356" hidden="1">
      <c r="A2356" s="23" t="b">
        <f t="array" ref="A2356">if(G2356='Room Info'!$B$1, INDEX('Room Info'!$A$2:$A3446, MATCH(B2356,'Room Info'!$B$2:$B3446, 0)),if(G2356='Room Info'!$C$1, INDEX('Room Info'!$A$2:$A3446, MATCH(B2356,'Room Info'!$C$2:$C3446, 0)),if(G2356='Room Info'!$D$1, INDEX('Room Info'!$A$2:$A3446, MATCH(B2356,'Room Info'!$D$2:$D3446, 0)),if(G2356='Room Info'!$E$1, INDEX('Room Info'!$A$2:$A3446, MATCH(B2356,'Room Info'!$E$2:$E3446, 0)),if(G2356='Room Info'!$F$1, INDEX('Room Info'!$A$2:$A3446, MATCH(B2356,'Room Info'!$F$2:$F3446, 0)),if(G2356='Room Info'!$H$1, INDEX('Room Info'!$A$2:$A3446, MATCH(B2356,'Room Info'!$H$2:$H3446, 0)),if(G2356='Room Info'!$G$1, INDEX('Room Info'!$A$2:$A3446, MATCH(B2356,'Room Info'!$G$2:$G3446, 0)))))))))</f>
        <v>0</v>
      </c>
      <c r="B2356" s="101"/>
      <c r="C2356" s="115"/>
      <c r="D2356" s="115"/>
      <c r="E2356" s="85"/>
      <c r="F2356" s="101"/>
      <c r="G2356" s="70"/>
      <c r="H2356" s="114"/>
      <c r="I2356" s="114"/>
      <c r="J2356" s="44" t="str">
        <f t="shared" si="311"/>
        <v/>
      </c>
      <c r="K2356" s="116"/>
      <c r="L2356" s="117"/>
      <c r="M2356" s="67"/>
      <c r="N2356" s="33">
        <f t="shared" si="276"/>
        <v>0</v>
      </c>
      <c r="O2356" s="70"/>
      <c r="P2356" s="34" t="str">
        <f t="shared" si="277"/>
        <v/>
      </c>
      <c r="Q2356" s="60"/>
      <c r="R2356" s="36">
        <f t="shared" si="312"/>
        <v>0</v>
      </c>
      <c r="S2356" s="71"/>
      <c r="T2356" s="37">
        <f t="shared" si="302"/>
        <v>0</v>
      </c>
      <c r="U2356" s="62"/>
      <c r="V2356" s="63"/>
      <c r="W2356" s="63"/>
      <c r="X2356" s="35" t="str">
        <f t="shared" si="303"/>
        <v>#N/A</v>
      </c>
      <c r="Y2356" s="35" t="str">
        <f t="shared" si="304"/>
        <v>#N/A</v>
      </c>
      <c r="Z2356" s="40" t="str">
        <f t="shared" si="305"/>
        <v>#N/A</v>
      </c>
      <c r="AA2356" s="34" t="str">
        <f t="shared" si="306"/>
        <v>#N/A</v>
      </c>
      <c r="AB2356" s="41" t="str">
        <f t="shared" si="307"/>
        <v>#N/A</v>
      </c>
      <c r="AC2356" s="42" t="b">
        <v>0</v>
      </c>
      <c r="AD2356" s="66" t="str">
        <f t="shared" si="308"/>
        <v>USD</v>
      </c>
      <c r="AE2356" s="42"/>
      <c r="AF2356" s="42" t="str">
        <f t="array" ref="AF2356">INDEX('Deal Info'!D:D, MATCH(A2356,'Deal Info'!A:A, 0))</f>
        <v>#N/A</v>
      </c>
      <c r="AG2356" s="43" t="str">
        <f t="array" ref="AG2356">INDEX('Deal Info'!G:G, MATCH(A2356,'Deal Info'!A:A, 0))</f>
        <v>#N/A</v>
      </c>
    </row>
    <row r="2357" hidden="1">
      <c r="A2357" s="23" t="b">
        <f t="array" ref="A2357">if(G2357='Room Info'!$B$1, INDEX('Room Info'!$A$2:$A3446, MATCH(B2357,'Room Info'!$B$2:$B3446, 0)),if(G2357='Room Info'!$C$1, INDEX('Room Info'!$A$2:$A3446, MATCH(B2357,'Room Info'!$C$2:$C3446, 0)),if(G2357='Room Info'!$D$1, INDEX('Room Info'!$A$2:$A3446, MATCH(B2357,'Room Info'!$D$2:$D3446, 0)),if(G2357='Room Info'!$E$1, INDEX('Room Info'!$A$2:$A3446, MATCH(B2357,'Room Info'!$E$2:$E3446, 0)),if(G2357='Room Info'!$F$1, INDEX('Room Info'!$A$2:$A3446, MATCH(B2357,'Room Info'!$F$2:$F3446, 0)),if(G2357='Room Info'!$H$1, INDEX('Room Info'!$A$2:$A3446, MATCH(B2357,'Room Info'!$H$2:$H3446, 0)),if(G2357='Room Info'!$G$1, INDEX('Room Info'!$A$2:$A3446, MATCH(B2357,'Room Info'!$G$2:$G3446, 0)))))))))</f>
        <v>0</v>
      </c>
      <c r="B2357" s="101"/>
      <c r="C2357" s="115"/>
      <c r="D2357" s="115"/>
      <c r="E2357" s="85"/>
      <c r="F2357" s="101"/>
      <c r="G2357" s="70"/>
      <c r="H2357" s="114"/>
      <c r="I2357" s="114"/>
      <c r="J2357" s="44" t="str">
        <f t="shared" si="311"/>
        <v/>
      </c>
      <c r="K2357" s="116"/>
      <c r="L2357" s="117"/>
      <c r="M2357" s="67"/>
      <c r="N2357" s="33">
        <f t="shared" si="276"/>
        <v>0</v>
      </c>
      <c r="O2357" s="70"/>
      <c r="P2357" s="34" t="str">
        <f t="shared" si="277"/>
        <v/>
      </c>
      <c r="Q2357" s="60"/>
      <c r="R2357" s="36">
        <f t="shared" si="312"/>
        <v>0</v>
      </c>
      <c r="S2357" s="71"/>
      <c r="T2357" s="37">
        <f t="shared" si="302"/>
        <v>0</v>
      </c>
      <c r="U2357" s="62"/>
      <c r="V2357" s="63"/>
      <c r="W2357" s="63"/>
      <c r="X2357" s="35" t="str">
        <f t="shared" si="303"/>
        <v>#N/A</v>
      </c>
      <c r="Y2357" s="35" t="str">
        <f t="shared" si="304"/>
        <v>#N/A</v>
      </c>
      <c r="Z2357" s="40" t="str">
        <f t="shared" si="305"/>
        <v>#N/A</v>
      </c>
      <c r="AA2357" s="34" t="str">
        <f t="shared" si="306"/>
        <v>#N/A</v>
      </c>
      <c r="AB2357" s="41" t="str">
        <f t="shared" si="307"/>
        <v>#N/A</v>
      </c>
      <c r="AC2357" s="42" t="b">
        <v>0</v>
      </c>
      <c r="AD2357" s="66" t="str">
        <f t="shared" si="308"/>
        <v>USD</v>
      </c>
      <c r="AE2357" s="42"/>
      <c r="AF2357" s="42" t="str">
        <f t="array" ref="AF2357">INDEX('Deal Info'!D:D, MATCH(A2357,'Deal Info'!A:A, 0))</f>
        <v>#N/A</v>
      </c>
      <c r="AG2357" s="43" t="str">
        <f t="array" ref="AG2357">INDEX('Deal Info'!G:G, MATCH(A2357,'Deal Info'!A:A, 0))</f>
        <v>#N/A</v>
      </c>
    </row>
    <row r="2358" hidden="1">
      <c r="A2358" s="23" t="b">
        <f t="array" ref="A2358">if(G2358='Room Info'!$B$1, INDEX('Room Info'!$A$2:$A3446, MATCH(B2358,'Room Info'!$B$2:$B3446, 0)),if(G2358='Room Info'!$C$1, INDEX('Room Info'!$A$2:$A3446, MATCH(B2358,'Room Info'!$C$2:$C3446, 0)),if(G2358='Room Info'!$D$1, INDEX('Room Info'!$A$2:$A3446, MATCH(B2358,'Room Info'!$D$2:$D3446, 0)),if(G2358='Room Info'!$E$1, INDEX('Room Info'!$A$2:$A3446, MATCH(B2358,'Room Info'!$E$2:$E3446, 0)),if(G2358='Room Info'!$F$1, INDEX('Room Info'!$A$2:$A3446, MATCH(B2358,'Room Info'!$F$2:$F3446, 0)),if(G2358='Room Info'!$H$1, INDEX('Room Info'!$A$2:$A3446, MATCH(B2358,'Room Info'!$H$2:$H3446, 0)),if(G2358='Room Info'!$G$1, INDEX('Room Info'!$A$2:$A3446, MATCH(B2358,'Room Info'!$G$2:$G3446, 0)))))))))</f>
        <v>0</v>
      </c>
      <c r="B2358" s="101"/>
      <c r="C2358" s="115"/>
      <c r="D2358" s="115"/>
      <c r="E2358" s="85"/>
      <c r="F2358" s="101"/>
      <c r="G2358" s="70"/>
      <c r="H2358" s="114"/>
      <c r="I2358" s="114"/>
      <c r="J2358" s="44" t="str">
        <f t="shared" si="311"/>
        <v/>
      </c>
      <c r="K2358" s="116"/>
      <c r="L2358" s="117"/>
      <c r="M2358" s="67"/>
      <c r="N2358" s="33">
        <f t="shared" si="276"/>
        <v>0</v>
      </c>
      <c r="O2358" s="70"/>
      <c r="P2358" s="34" t="str">
        <f t="shared" si="277"/>
        <v/>
      </c>
      <c r="Q2358" s="60"/>
      <c r="R2358" s="36">
        <f t="shared" si="312"/>
        <v>0</v>
      </c>
      <c r="S2358" s="71"/>
      <c r="T2358" s="37">
        <f t="shared" si="302"/>
        <v>0</v>
      </c>
      <c r="U2358" s="62"/>
      <c r="V2358" s="63"/>
      <c r="W2358" s="63"/>
      <c r="X2358" s="35" t="str">
        <f t="shared" si="303"/>
        <v>#N/A</v>
      </c>
      <c r="Y2358" s="35" t="str">
        <f t="shared" si="304"/>
        <v>#N/A</v>
      </c>
      <c r="Z2358" s="40" t="str">
        <f t="shared" si="305"/>
        <v>#N/A</v>
      </c>
      <c r="AA2358" s="34" t="str">
        <f t="shared" si="306"/>
        <v>#N/A</v>
      </c>
      <c r="AB2358" s="41" t="str">
        <f t="shared" si="307"/>
        <v>#N/A</v>
      </c>
      <c r="AC2358" s="42" t="b">
        <v>0</v>
      </c>
      <c r="AD2358" s="66" t="str">
        <f t="shared" si="308"/>
        <v>USD</v>
      </c>
      <c r="AE2358" s="42"/>
      <c r="AF2358" s="42" t="str">
        <f t="array" ref="AF2358">INDEX('Deal Info'!D:D, MATCH(A2358,'Deal Info'!A:A, 0))</f>
        <v>#N/A</v>
      </c>
      <c r="AG2358" s="43" t="str">
        <f t="array" ref="AG2358">INDEX('Deal Info'!G:G, MATCH(A2358,'Deal Info'!A:A, 0))</f>
        <v>#N/A</v>
      </c>
    </row>
    <row r="2359" hidden="1">
      <c r="A2359" s="23" t="b">
        <f t="array" ref="A2359">if(G2359='Room Info'!$B$1, INDEX('Room Info'!$A$2:$A3446, MATCH(B2359,'Room Info'!$B$2:$B3446, 0)),if(G2359='Room Info'!$C$1, INDEX('Room Info'!$A$2:$A3446, MATCH(B2359,'Room Info'!$C$2:$C3446, 0)),if(G2359='Room Info'!$D$1, INDEX('Room Info'!$A$2:$A3446, MATCH(B2359,'Room Info'!$D$2:$D3446, 0)),if(G2359='Room Info'!$E$1, INDEX('Room Info'!$A$2:$A3446, MATCH(B2359,'Room Info'!$E$2:$E3446, 0)),if(G2359='Room Info'!$F$1, INDEX('Room Info'!$A$2:$A3446, MATCH(B2359,'Room Info'!$F$2:$F3446, 0)),if(G2359='Room Info'!$H$1, INDEX('Room Info'!$A$2:$A3446, MATCH(B2359,'Room Info'!$H$2:$H3446, 0)),if(G2359='Room Info'!$G$1, INDEX('Room Info'!$A$2:$A3446, MATCH(B2359,'Room Info'!$G$2:$G3446, 0)))))))))</f>
        <v>0</v>
      </c>
      <c r="B2359" s="101"/>
      <c r="C2359" s="115"/>
      <c r="D2359" s="115"/>
      <c r="E2359" s="85"/>
      <c r="F2359" s="101"/>
      <c r="G2359" s="70"/>
      <c r="H2359" s="114"/>
      <c r="I2359" s="114"/>
      <c r="J2359" s="44" t="str">
        <f t="shared" si="311"/>
        <v/>
      </c>
      <c r="K2359" s="116"/>
      <c r="L2359" s="117"/>
      <c r="M2359" s="67"/>
      <c r="N2359" s="33">
        <f t="shared" si="276"/>
        <v>0</v>
      </c>
      <c r="O2359" s="70"/>
      <c r="P2359" s="34" t="str">
        <f t="shared" si="277"/>
        <v/>
      </c>
      <c r="Q2359" s="60"/>
      <c r="R2359" s="36">
        <f t="shared" si="312"/>
        <v>0</v>
      </c>
      <c r="S2359" s="71"/>
      <c r="T2359" s="37">
        <f t="shared" si="302"/>
        <v>0</v>
      </c>
      <c r="U2359" s="62"/>
      <c r="V2359" s="63"/>
      <c r="W2359" s="63"/>
      <c r="X2359" s="35" t="str">
        <f t="shared" si="303"/>
        <v>#N/A</v>
      </c>
      <c r="Y2359" s="35" t="str">
        <f t="shared" si="304"/>
        <v>#N/A</v>
      </c>
      <c r="Z2359" s="40" t="str">
        <f t="shared" si="305"/>
        <v>#N/A</v>
      </c>
      <c r="AA2359" s="34" t="str">
        <f t="shared" si="306"/>
        <v>#N/A</v>
      </c>
      <c r="AB2359" s="41" t="str">
        <f t="shared" si="307"/>
        <v>#N/A</v>
      </c>
      <c r="AC2359" s="42" t="b">
        <v>0</v>
      </c>
      <c r="AD2359" s="66" t="str">
        <f t="shared" si="308"/>
        <v>USD</v>
      </c>
      <c r="AE2359" s="42"/>
      <c r="AF2359" s="42" t="str">
        <f t="array" ref="AF2359">INDEX('Deal Info'!D:D, MATCH(A2359,'Deal Info'!A:A, 0))</f>
        <v>#N/A</v>
      </c>
      <c r="AG2359" s="43" t="str">
        <f t="array" ref="AG2359">INDEX('Deal Info'!G:G, MATCH(A2359,'Deal Info'!A:A, 0))</f>
        <v>#N/A</v>
      </c>
    </row>
    <row r="2360" hidden="1">
      <c r="A2360" s="23" t="b">
        <f t="array" ref="A2360">if(G2360='Room Info'!$B$1, INDEX('Room Info'!$A$2:$A3446, MATCH(B2360,'Room Info'!$B$2:$B3446, 0)),if(G2360='Room Info'!$C$1, INDEX('Room Info'!$A$2:$A3446, MATCH(B2360,'Room Info'!$C$2:$C3446, 0)),if(G2360='Room Info'!$D$1, INDEX('Room Info'!$A$2:$A3446, MATCH(B2360,'Room Info'!$D$2:$D3446, 0)),if(G2360='Room Info'!$E$1, INDEX('Room Info'!$A$2:$A3446, MATCH(B2360,'Room Info'!$E$2:$E3446, 0)),if(G2360='Room Info'!$F$1, INDEX('Room Info'!$A$2:$A3446, MATCH(B2360,'Room Info'!$F$2:$F3446, 0)),if(G2360='Room Info'!$H$1, INDEX('Room Info'!$A$2:$A3446, MATCH(B2360,'Room Info'!$H$2:$H3446, 0)),if(G2360='Room Info'!$G$1, INDEX('Room Info'!$A$2:$A3446, MATCH(B2360,'Room Info'!$G$2:$G3446, 0)))))))))</f>
        <v>0</v>
      </c>
      <c r="B2360" s="70"/>
      <c r="C2360" s="115"/>
      <c r="D2360" s="115"/>
      <c r="E2360" s="85"/>
      <c r="F2360" s="101"/>
      <c r="G2360" s="70"/>
      <c r="H2360" s="114"/>
      <c r="I2360" s="114"/>
      <c r="J2360" s="44" t="str">
        <f t="shared" si="311"/>
        <v/>
      </c>
      <c r="K2360" s="116"/>
      <c r="L2360" s="117"/>
      <c r="M2360" s="67"/>
      <c r="N2360" s="33">
        <f t="shared" si="276"/>
        <v>0</v>
      </c>
      <c r="O2360" s="70"/>
      <c r="P2360" s="34" t="str">
        <f t="shared" si="277"/>
        <v/>
      </c>
      <c r="Q2360" s="60"/>
      <c r="R2360" s="36">
        <f t="shared" si="312"/>
        <v>0</v>
      </c>
      <c r="S2360" s="71"/>
      <c r="T2360" s="37">
        <f t="shared" si="302"/>
        <v>0</v>
      </c>
      <c r="U2360" s="62"/>
      <c r="V2360" s="63"/>
      <c r="W2360" s="63"/>
      <c r="X2360" s="35" t="str">
        <f t="shared" si="303"/>
        <v>#N/A</v>
      </c>
      <c r="Y2360" s="35" t="str">
        <f t="shared" si="304"/>
        <v>#N/A</v>
      </c>
      <c r="Z2360" s="40" t="str">
        <f t="shared" si="305"/>
        <v>#N/A</v>
      </c>
      <c r="AA2360" s="34" t="str">
        <f t="shared" si="306"/>
        <v>#N/A</v>
      </c>
      <c r="AB2360" s="41" t="str">
        <f t="shared" si="307"/>
        <v>#N/A</v>
      </c>
      <c r="AC2360" s="42" t="b">
        <v>0</v>
      </c>
      <c r="AD2360" s="66" t="str">
        <f t="shared" si="308"/>
        <v>USD</v>
      </c>
      <c r="AE2360" s="42"/>
      <c r="AF2360" s="42" t="str">
        <f t="array" ref="AF2360">INDEX('Deal Info'!D:D, MATCH(A2360,'Deal Info'!A:A, 0))</f>
        <v>#N/A</v>
      </c>
      <c r="AG2360" s="43" t="str">
        <f t="array" ref="AG2360">INDEX('Deal Info'!G:G, MATCH(A2360,'Deal Info'!A:A, 0))</f>
        <v>#N/A</v>
      </c>
    </row>
    <row r="2361" hidden="1">
      <c r="A2361" s="23" t="b">
        <f t="array" ref="A2361">if(G2361='Room Info'!$B$1, INDEX('Room Info'!$A$2:$A3446, MATCH(B2361,'Room Info'!$B$2:$B3446, 0)),if(G2361='Room Info'!$C$1, INDEX('Room Info'!$A$2:$A3446, MATCH(B2361,'Room Info'!$C$2:$C3446, 0)),if(G2361='Room Info'!$D$1, INDEX('Room Info'!$A$2:$A3446, MATCH(B2361,'Room Info'!$D$2:$D3446, 0)),if(G2361='Room Info'!$E$1, INDEX('Room Info'!$A$2:$A3446, MATCH(B2361,'Room Info'!$E$2:$E3446, 0)),if(G2361='Room Info'!$F$1, INDEX('Room Info'!$A$2:$A3446, MATCH(B2361,'Room Info'!$F$2:$F3446, 0)),if(G2361='Room Info'!$H$1, INDEX('Room Info'!$A$2:$A3446, MATCH(B2361,'Room Info'!$H$2:$H3446, 0)),if(G2361='Room Info'!$G$1, INDEX('Room Info'!$A$2:$A3446, MATCH(B2361,'Room Info'!$G$2:$G3446, 0)))))))))</f>
        <v>0</v>
      </c>
      <c r="B2361" s="70"/>
      <c r="C2361" s="115"/>
      <c r="D2361" s="115"/>
      <c r="E2361" s="85"/>
      <c r="F2361" s="101"/>
      <c r="G2361" s="70"/>
      <c r="H2361" s="114"/>
      <c r="I2361" s="114"/>
      <c r="J2361" s="44" t="str">
        <f t="shared" si="311"/>
        <v/>
      </c>
      <c r="K2361" s="116"/>
      <c r="L2361" s="117"/>
      <c r="M2361" s="67"/>
      <c r="N2361" s="33">
        <f t="shared" si="276"/>
        <v>0</v>
      </c>
      <c r="O2361" s="70"/>
      <c r="P2361" s="34" t="str">
        <f t="shared" si="277"/>
        <v/>
      </c>
      <c r="Q2361" s="60"/>
      <c r="R2361" s="36">
        <f t="shared" si="312"/>
        <v>0</v>
      </c>
      <c r="S2361" s="71"/>
      <c r="T2361" s="37">
        <f t="shared" si="302"/>
        <v>0</v>
      </c>
      <c r="U2361" s="62"/>
      <c r="V2361" s="63"/>
      <c r="W2361" s="63"/>
      <c r="X2361" s="35" t="str">
        <f t="shared" si="303"/>
        <v>#N/A</v>
      </c>
      <c r="Y2361" s="35" t="str">
        <f t="shared" si="304"/>
        <v>#N/A</v>
      </c>
      <c r="Z2361" s="40" t="str">
        <f t="shared" si="305"/>
        <v>#N/A</v>
      </c>
      <c r="AA2361" s="34" t="str">
        <f t="shared" si="306"/>
        <v>#N/A</v>
      </c>
      <c r="AB2361" s="41" t="str">
        <f t="shared" si="307"/>
        <v>#N/A</v>
      </c>
      <c r="AC2361" s="42" t="b">
        <v>0</v>
      </c>
      <c r="AD2361" s="66" t="str">
        <f t="shared" si="308"/>
        <v>USD</v>
      </c>
      <c r="AE2361" s="42"/>
      <c r="AF2361" s="42" t="str">
        <f t="array" ref="AF2361">INDEX('Deal Info'!D:D, MATCH(A2361,'Deal Info'!A:A, 0))</f>
        <v>#N/A</v>
      </c>
      <c r="AG2361" s="43" t="str">
        <f t="array" ref="AG2361">INDEX('Deal Info'!G:G, MATCH(A2361,'Deal Info'!A:A, 0))</f>
        <v>#N/A</v>
      </c>
    </row>
    <row r="2362" hidden="1">
      <c r="A2362" s="23" t="b">
        <f t="array" ref="A2362">if(G2362='Room Info'!$B$1, INDEX('Room Info'!$A$2:$A3446, MATCH(B2362,'Room Info'!$B$2:$B3446, 0)),if(G2362='Room Info'!$C$1, INDEX('Room Info'!$A$2:$A3446, MATCH(B2362,'Room Info'!$C$2:$C3446, 0)),if(G2362='Room Info'!$D$1, INDEX('Room Info'!$A$2:$A3446, MATCH(B2362,'Room Info'!$D$2:$D3446, 0)),if(G2362='Room Info'!$E$1, INDEX('Room Info'!$A$2:$A3446, MATCH(B2362,'Room Info'!$E$2:$E3446, 0)),if(G2362='Room Info'!$F$1, INDEX('Room Info'!$A$2:$A3446, MATCH(B2362,'Room Info'!$F$2:$F3446, 0)),if(G2362='Room Info'!$H$1, INDEX('Room Info'!$A$2:$A3446, MATCH(B2362,'Room Info'!$H$2:$H3446, 0)),if(G2362='Room Info'!$G$1, INDEX('Room Info'!$A$2:$A3446, MATCH(B2362,'Room Info'!$G$2:$G3446, 0)))))))))</f>
        <v>0</v>
      </c>
      <c r="B2362" s="70"/>
      <c r="C2362" s="115"/>
      <c r="D2362" s="115"/>
      <c r="E2362" s="85"/>
      <c r="F2362" s="101"/>
      <c r="G2362" s="70"/>
      <c r="H2362" s="114"/>
      <c r="I2362" s="114"/>
      <c r="J2362" s="44" t="str">
        <f t="shared" si="311"/>
        <v/>
      </c>
      <c r="K2362" s="116"/>
      <c r="L2362" s="117"/>
      <c r="M2362" s="67"/>
      <c r="N2362" s="33">
        <f t="shared" si="276"/>
        <v>0</v>
      </c>
      <c r="O2362" s="70"/>
      <c r="P2362" s="34" t="str">
        <f t="shared" si="277"/>
        <v/>
      </c>
      <c r="Q2362" s="60"/>
      <c r="R2362" s="36">
        <f t="shared" si="312"/>
        <v>0</v>
      </c>
      <c r="S2362" s="71"/>
      <c r="T2362" s="37">
        <f t="shared" si="302"/>
        <v>0</v>
      </c>
      <c r="U2362" s="62"/>
      <c r="V2362" s="63"/>
      <c r="W2362" s="63"/>
      <c r="X2362" s="35" t="str">
        <f t="shared" si="303"/>
        <v>#N/A</v>
      </c>
      <c r="Y2362" s="35" t="str">
        <f t="shared" si="304"/>
        <v>#N/A</v>
      </c>
      <c r="Z2362" s="40" t="str">
        <f t="shared" si="305"/>
        <v>#N/A</v>
      </c>
      <c r="AA2362" s="34" t="str">
        <f t="shared" si="306"/>
        <v>#N/A</v>
      </c>
      <c r="AB2362" s="41" t="str">
        <f t="shared" si="307"/>
        <v>#N/A</v>
      </c>
      <c r="AC2362" s="42" t="b">
        <v>0</v>
      </c>
      <c r="AD2362" s="66" t="str">
        <f t="shared" si="308"/>
        <v>USD</v>
      </c>
      <c r="AE2362" s="42"/>
      <c r="AF2362" s="42" t="str">
        <f t="array" ref="AF2362">INDEX('Deal Info'!D:D, MATCH(A2362,'Deal Info'!A:A, 0))</f>
        <v>#N/A</v>
      </c>
      <c r="AG2362" s="43" t="str">
        <f t="array" ref="AG2362">INDEX('Deal Info'!G:G, MATCH(A2362,'Deal Info'!A:A, 0))</f>
        <v>#N/A</v>
      </c>
    </row>
    <row r="2363" hidden="1">
      <c r="A2363" s="23" t="b">
        <f t="array" ref="A2363">if(G2363='Room Info'!$B$1, INDEX('Room Info'!$A$2:$A3446, MATCH(B2363,'Room Info'!$B$2:$B3446, 0)),if(G2363='Room Info'!$C$1, INDEX('Room Info'!$A$2:$A3446, MATCH(B2363,'Room Info'!$C$2:$C3446, 0)),if(G2363='Room Info'!$D$1, INDEX('Room Info'!$A$2:$A3446, MATCH(B2363,'Room Info'!$D$2:$D3446, 0)),if(G2363='Room Info'!$E$1, INDEX('Room Info'!$A$2:$A3446, MATCH(B2363,'Room Info'!$E$2:$E3446, 0)),if(G2363='Room Info'!$F$1, INDEX('Room Info'!$A$2:$A3446, MATCH(B2363,'Room Info'!$F$2:$F3446, 0)),if(G2363='Room Info'!$H$1, INDEX('Room Info'!$A$2:$A3446, MATCH(B2363,'Room Info'!$H$2:$H3446, 0)),if(G2363='Room Info'!$G$1, INDEX('Room Info'!$A$2:$A3446, MATCH(B2363,'Room Info'!$G$2:$G3446, 0)))))))))</f>
        <v>0</v>
      </c>
      <c r="B2363" s="70"/>
      <c r="C2363" s="115"/>
      <c r="D2363" s="115"/>
      <c r="E2363" s="85"/>
      <c r="F2363" s="101"/>
      <c r="G2363" s="70"/>
      <c r="H2363" s="114"/>
      <c r="I2363" s="114"/>
      <c r="J2363" s="44" t="str">
        <f t="shared" si="311"/>
        <v/>
      </c>
      <c r="K2363" s="116"/>
      <c r="L2363" s="117"/>
      <c r="M2363" s="67"/>
      <c r="N2363" s="33">
        <f t="shared" si="276"/>
        <v>0</v>
      </c>
      <c r="O2363" s="70"/>
      <c r="P2363" s="34" t="str">
        <f t="shared" si="277"/>
        <v/>
      </c>
      <c r="Q2363" s="60"/>
      <c r="R2363" s="36">
        <f t="shared" si="312"/>
        <v>0</v>
      </c>
      <c r="S2363" s="71"/>
      <c r="T2363" s="37">
        <f t="shared" si="302"/>
        <v>0</v>
      </c>
      <c r="U2363" s="62"/>
      <c r="V2363" s="63"/>
      <c r="W2363" s="63"/>
      <c r="X2363" s="35" t="str">
        <f t="shared" si="303"/>
        <v>#N/A</v>
      </c>
      <c r="Y2363" s="35" t="str">
        <f t="shared" si="304"/>
        <v>#N/A</v>
      </c>
      <c r="Z2363" s="40" t="str">
        <f t="shared" si="305"/>
        <v>#N/A</v>
      </c>
      <c r="AA2363" s="34" t="str">
        <f t="shared" si="306"/>
        <v>#N/A</v>
      </c>
      <c r="AB2363" s="41" t="str">
        <f t="shared" si="307"/>
        <v>#N/A</v>
      </c>
      <c r="AC2363" s="42" t="b">
        <v>0</v>
      </c>
      <c r="AD2363" s="66" t="str">
        <f t="shared" si="308"/>
        <v>USD</v>
      </c>
      <c r="AE2363" s="42"/>
      <c r="AF2363" s="42" t="str">
        <f t="array" ref="AF2363">INDEX('Deal Info'!D:D, MATCH(A2363,'Deal Info'!A:A, 0))</f>
        <v>#N/A</v>
      </c>
      <c r="AG2363" s="43" t="str">
        <f t="array" ref="AG2363">INDEX('Deal Info'!G:G, MATCH(A2363,'Deal Info'!A:A, 0))</f>
        <v>#N/A</v>
      </c>
    </row>
    <row r="2364" hidden="1">
      <c r="A2364" s="23" t="b">
        <f t="array" ref="A2364">if(G2364='Room Info'!$B$1, INDEX('Room Info'!$A$2:$A3446, MATCH(B2364,'Room Info'!$B$2:$B3446, 0)),if(G2364='Room Info'!$C$1, INDEX('Room Info'!$A$2:$A3446, MATCH(B2364,'Room Info'!$C$2:$C3446, 0)),if(G2364='Room Info'!$D$1, INDEX('Room Info'!$A$2:$A3446, MATCH(B2364,'Room Info'!$D$2:$D3446, 0)),if(G2364='Room Info'!$E$1, INDEX('Room Info'!$A$2:$A3446, MATCH(B2364,'Room Info'!$E$2:$E3446, 0)),if(G2364='Room Info'!$F$1, INDEX('Room Info'!$A$2:$A3446, MATCH(B2364,'Room Info'!$F$2:$F3446, 0)),if(G2364='Room Info'!$H$1, INDEX('Room Info'!$A$2:$A3446, MATCH(B2364,'Room Info'!$H$2:$H3446, 0)),if(G2364='Room Info'!$G$1, INDEX('Room Info'!$A$2:$A3446, MATCH(B2364,'Room Info'!$G$2:$G3446, 0)))))))))</f>
        <v>0</v>
      </c>
      <c r="B2364" s="101"/>
      <c r="C2364" s="115"/>
      <c r="D2364" s="115"/>
      <c r="E2364" s="85"/>
      <c r="F2364" s="138"/>
      <c r="G2364" s="101"/>
      <c r="H2364" s="114"/>
      <c r="I2364" s="114"/>
      <c r="J2364" s="44" t="str">
        <f t="shared" si="311"/>
        <v/>
      </c>
      <c r="K2364" s="116"/>
      <c r="L2364" s="117"/>
      <c r="M2364" s="67"/>
      <c r="N2364" s="33">
        <f t="shared" si="276"/>
        <v>0</v>
      </c>
      <c r="O2364" s="70"/>
      <c r="P2364" s="34" t="str">
        <f t="shared" si="277"/>
        <v/>
      </c>
      <c r="Q2364" s="60"/>
      <c r="R2364" s="36">
        <f t="shared" si="312"/>
        <v>0</v>
      </c>
      <c r="S2364" s="71"/>
      <c r="T2364" s="37">
        <f t="shared" si="302"/>
        <v>0</v>
      </c>
      <c r="U2364" s="62"/>
      <c r="V2364" s="63"/>
      <c r="W2364" s="63"/>
      <c r="X2364" s="35" t="str">
        <f t="shared" si="303"/>
        <v>#N/A</v>
      </c>
      <c r="Y2364" s="35" t="str">
        <f t="shared" si="304"/>
        <v>#N/A</v>
      </c>
      <c r="Z2364" s="40" t="str">
        <f t="shared" si="305"/>
        <v>#N/A</v>
      </c>
      <c r="AA2364" s="34" t="str">
        <f t="shared" si="306"/>
        <v>#N/A</v>
      </c>
      <c r="AB2364" s="41" t="str">
        <f t="shared" si="307"/>
        <v>#N/A</v>
      </c>
      <c r="AC2364" s="42" t="b">
        <v>0</v>
      </c>
      <c r="AD2364" s="66" t="str">
        <f t="shared" si="308"/>
        <v>USD</v>
      </c>
      <c r="AE2364" s="42"/>
      <c r="AF2364" s="42" t="str">
        <f t="array" ref="AF2364">INDEX('Deal Info'!D:D, MATCH(A2364,'Deal Info'!A:A, 0))</f>
        <v>#N/A</v>
      </c>
      <c r="AG2364" s="43" t="str">
        <f t="array" ref="AG2364">INDEX('Deal Info'!G:G, MATCH(A2364,'Deal Info'!A:A, 0))</f>
        <v>#N/A</v>
      </c>
    </row>
    <row r="2365" hidden="1">
      <c r="A2365" s="23" t="b">
        <f t="array" ref="A2365">if(G2365='Room Info'!$B$1, INDEX('Room Info'!$A$2:$A3446, MATCH(B2365,'Room Info'!$B$2:$B3446, 0)),if(G2365='Room Info'!$C$1, INDEX('Room Info'!$A$2:$A3446, MATCH(B2365,'Room Info'!$C$2:$C3446, 0)),if(G2365='Room Info'!$D$1, INDEX('Room Info'!$A$2:$A3446, MATCH(B2365,'Room Info'!$D$2:$D3446, 0)),if(G2365='Room Info'!$E$1, INDEX('Room Info'!$A$2:$A3446, MATCH(B2365,'Room Info'!$E$2:$E3446, 0)),if(G2365='Room Info'!$F$1, INDEX('Room Info'!$A$2:$A3446, MATCH(B2365,'Room Info'!$F$2:$F3446, 0)),if(G2365='Room Info'!$H$1, INDEX('Room Info'!$A$2:$A3446, MATCH(B2365,'Room Info'!$H$2:$H3446, 0)),if(G2365='Room Info'!$G$1, INDEX('Room Info'!$A$2:$A3446, MATCH(B2365,'Room Info'!$G$2:$G3446, 0)))))))))</f>
        <v>0</v>
      </c>
      <c r="B2365" s="101"/>
      <c r="C2365" s="115"/>
      <c r="D2365" s="115"/>
      <c r="E2365" s="85"/>
      <c r="F2365" s="138"/>
      <c r="G2365" s="101"/>
      <c r="H2365" s="114"/>
      <c r="I2365" s="114"/>
      <c r="J2365" s="44" t="str">
        <f t="shared" si="311"/>
        <v/>
      </c>
      <c r="K2365" s="116"/>
      <c r="L2365" s="117"/>
      <c r="M2365" s="67"/>
      <c r="N2365" s="33">
        <f t="shared" si="276"/>
        <v>0</v>
      </c>
      <c r="O2365" s="70"/>
      <c r="P2365" s="34" t="str">
        <f t="shared" si="277"/>
        <v/>
      </c>
      <c r="Q2365" s="60"/>
      <c r="R2365" s="36">
        <f t="shared" si="312"/>
        <v>0</v>
      </c>
      <c r="S2365" s="71"/>
      <c r="T2365" s="37">
        <f t="shared" si="302"/>
        <v>0</v>
      </c>
      <c r="U2365" s="62"/>
      <c r="V2365" s="63"/>
      <c r="W2365" s="63"/>
      <c r="X2365" s="35" t="str">
        <f t="shared" si="303"/>
        <v>#N/A</v>
      </c>
      <c r="Y2365" s="35" t="str">
        <f t="shared" si="304"/>
        <v>#N/A</v>
      </c>
      <c r="Z2365" s="40" t="str">
        <f t="shared" si="305"/>
        <v>#N/A</v>
      </c>
      <c r="AA2365" s="34" t="str">
        <f t="shared" si="306"/>
        <v>#N/A</v>
      </c>
      <c r="AB2365" s="41" t="str">
        <f t="shared" si="307"/>
        <v>#N/A</v>
      </c>
      <c r="AC2365" s="42" t="b">
        <v>0</v>
      </c>
      <c r="AD2365" s="66" t="str">
        <f t="shared" si="308"/>
        <v>USD</v>
      </c>
      <c r="AE2365" s="42"/>
      <c r="AF2365" s="42" t="str">
        <f t="array" ref="AF2365">INDEX('Deal Info'!D:D, MATCH(A2365,'Deal Info'!A:A, 0))</f>
        <v>#N/A</v>
      </c>
      <c r="AG2365" s="43" t="str">
        <f t="array" ref="AG2365">INDEX('Deal Info'!G:G, MATCH(A2365,'Deal Info'!A:A, 0))</f>
        <v>#N/A</v>
      </c>
    </row>
    <row r="2366" hidden="1">
      <c r="A2366" s="23" t="b">
        <f t="array" ref="A2366">if(G2366='Room Info'!$B$1, INDEX('Room Info'!$A$2:$A3446, MATCH(B2366,'Room Info'!$B$2:$B3446, 0)),if(G2366='Room Info'!$C$1, INDEX('Room Info'!$A$2:$A3446, MATCH(B2366,'Room Info'!$C$2:$C3446, 0)),if(G2366='Room Info'!$D$1, INDEX('Room Info'!$A$2:$A3446, MATCH(B2366,'Room Info'!$D$2:$D3446, 0)),if(G2366='Room Info'!$E$1, INDEX('Room Info'!$A$2:$A3446, MATCH(B2366,'Room Info'!$E$2:$E3446, 0)),if(G2366='Room Info'!$F$1, INDEX('Room Info'!$A$2:$A3446, MATCH(B2366,'Room Info'!$F$2:$F3446, 0)),if(G2366='Room Info'!$H$1, INDEX('Room Info'!$A$2:$A3446, MATCH(B2366,'Room Info'!$H$2:$H3446, 0)),if(G2366='Room Info'!$G$1, INDEX('Room Info'!$A$2:$A3446, MATCH(B2366,'Room Info'!$G$2:$G3446, 0)))))))))</f>
        <v>0</v>
      </c>
      <c r="B2366" s="101"/>
      <c r="C2366" s="115"/>
      <c r="D2366" s="115"/>
      <c r="E2366" s="85"/>
      <c r="F2366" s="138"/>
      <c r="G2366" s="101"/>
      <c r="H2366" s="114"/>
      <c r="I2366" s="114"/>
      <c r="J2366" s="44" t="str">
        <f t="shared" si="311"/>
        <v/>
      </c>
      <c r="K2366" s="116"/>
      <c r="L2366" s="117"/>
      <c r="M2366" s="67"/>
      <c r="N2366" s="33">
        <f t="shared" si="276"/>
        <v>0</v>
      </c>
      <c r="O2366" s="70"/>
      <c r="P2366" s="34" t="str">
        <f t="shared" si="277"/>
        <v/>
      </c>
      <c r="Q2366" s="60"/>
      <c r="R2366" s="36">
        <f t="shared" si="312"/>
        <v>0</v>
      </c>
      <c r="S2366" s="71"/>
      <c r="T2366" s="37">
        <f t="shared" si="302"/>
        <v>0</v>
      </c>
      <c r="U2366" s="62"/>
      <c r="V2366" s="63"/>
      <c r="W2366" s="63"/>
      <c r="X2366" s="35" t="str">
        <f t="shared" si="303"/>
        <v>#N/A</v>
      </c>
      <c r="Y2366" s="35" t="str">
        <f t="shared" si="304"/>
        <v>#N/A</v>
      </c>
      <c r="Z2366" s="40" t="str">
        <f t="shared" si="305"/>
        <v>#N/A</v>
      </c>
      <c r="AA2366" s="34" t="str">
        <f t="shared" si="306"/>
        <v>#N/A</v>
      </c>
      <c r="AB2366" s="41" t="str">
        <f t="shared" si="307"/>
        <v>#N/A</v>
      </c>
      <c r="AC2366" s="42" t="b">
        <v>0</v>
      </c>
      <c r="AD2366" s="66" t="str">
        <f t="shared" si="308"/>
        <v>USD</v>
      </c>
      <c r="AE2366" s="42"/>
      <c r="AF2366" s="42" t="str">
        <f t="array" ref="AF2366">INDEX('Deal Info'!D:D, MATCH(A2366,'Deal Info'!A:A, 0))</f>
        <v>#N/A</v>
      </c>
      <c r="AG2366" s="43" t="str">
        <f t="array" ref="AG2366">INDEX('Deal Info'!G:G, MATCH(A2366,'Deal Info'!A:A, 0))</f>
        <v>#N/A</v>
      </c>
    </row>
    <row r="2367" hidden="1">
      <c r="A2367" s="23" t="b">
        <f t="array" ref="A2367">if(G2367='Room Info'!$B$1, INDEX('Room Info'!$A$2:$A3446, MATCH(B2367,'Room Info'!$B$2:$B3446, 0)),if(G2367='Room Info'!$C$1, INDEX('Room Info'!$A$2:$A3446, MATCH(B2367,'Room Info'!$C$2:$C3446, 0)),if(G2367='Room Info'!$D$1, INDEX('Room Info'!$A$2:$A3446, MATCH(B2367,'Room Info'!$D$2:$D3446, 0)),if(G2367='Room Info'!$E$1, INDEX('Room Info'!$A$2:$A3446, MATCH(B2367,'Room Info'!$E$2:$E3446, 0)),if(G2367='Room Info'!$F$1, INDEX('Room Info'!$A$2:$A3446, MATCH(B2367,'Room Info'!$F$2:$F3446, 0)),if(G2367='Room Info'!$H$1, INDEX('Room Info'!$A$2:$A3446, MATCH(B2367,'Room Info'!$H$2:$H3446, 0)),if(G2367='Room Info'!$G$1, INDEX('Room Info'!$A$2:$A3446, MATCH(B2367,'Room Info'!$G$2:$G3446, 0)))))))))</f>
        <v>0</v>
      </c>
      <c r="B2367" s="101"/>
      <c r="C2367" s="115"/>
      <c r="D2367" s="115"/>
      <c r="E2367" s="85"/>
      <c r="F2367" s="138"/>
      <c r="G2367" s="101"/>
      <c r="H2367" s="114"/>
      <c r="I2367" s="114"/>
      <c r="J2367" s="44" t="str">
        <f t="shared" si="311"/>
        <v/>
      </c>
      <c r="K2367" s="116"/>
      <c r="L2367" s="117"/>
      <c r="M2367" s="67"/>
      <c r="N2367" s="33">
        <f t="shared" si="276"/>
        <v>0</v>
      </c>
      <c r="O2367" s="70"/>
      <c r="P2367" s="34" t="str">
        <f t="shared" si="277"/>
        <v/>
      </c>
      <c r="Q2367" s="60"/>
      <c r="R2367" s="36">
        <f t="shared" si="312"/>
        <v>0</v>
      </c>
      <c r="S2367" s="71"/>
      <c r="T2367" s="37">
        <f t="shared" si="302"/>
        <v>0</v>
      </c>
      <c r="U2367" s="62"/>
      <c r="V2367" s="63"/>
      <c r="W2367" s="63"/>
      <c r="X2367" s="35" t="str">
        <f t="shared" si="303"/>
        <v>#N/A</v>
      </c>
      <c r="Y2367" s="35" t="str">
        <f t="shared" si="304"/>
        <v>#N/A</v>
      </c>
      <c r="Z2367" s="40" t="str">
        <f t="shared" si="305"/>
        <v>#N/A</v>
      </c>
      <c r="AA2367" s="34" t="str">
        <f t="shared" si="306"/>
        <v>#N/A</v>
      </c>
      <c r="AB2367" s="41" t="str">
        <f t="shared" si="307"/>
        <v>#N/A</v>
      </c>
      <c r="AC2367" s="42" t="b">
        <v>0</v>
      </c>
      <c r="AD2367" s="66" t="str">
        <f t="shared" si="308"/>
        <v>USD</v>
      </c>
      <c r="AE2367" s="42"/>
      <c r="AF2367" s="42" t="str">
        <f t="array" ref="AF2367">INDEX('Deal Info'!D:D, MATCH(A2367,'Deal Info'!A:A, 0))</f>
        <v>#N/A</v>
      </c>
      <c r="AG2367" s="43" t="str">
        <f t="array" ref="AG2367">INDEX('Deal Info'!G:G, MATCH(A2367,'Deal Info'!A:A, 0))</f>
        <v>#N/A</v>
      </c>
    </row>
    <row r="2368" hidden="1">
      <c r="A2368" s="23" t="b">
        <f t="array" ref="A2368">if(G2368='Room Info'!$B$1, INDEX('Room Info'!$A$2:$A3446, MATCH(B2368,'Room Info'!$B$2:$B3446, 0)),if(G2368='Room Info'!$C$1, INDEX('Room Info'!$A$2:$A3446, MATCH(B2368,'Room Info'!$C$2:$C3446, 0)),if(G2368='Room Info'!$D$1, INDEX('Room Info'!$A$2:$A3446, MATCH(B2368,'Room Info'!$D$2:$D3446, 0)),if(G2368='Room Info'!$E$1, INDEX('Room Info'!$A$2:$A3446, MATCH(B2368,'Room Info'!$E$2:$E3446, 0)),if(G2368='Room Info'!$F$1, INDEX('Room Info'!$A$2:$A3446, MATCH(B2368,'Room Info'!$F$2:$F3446, 0)),if(G2368='Room Info'!$H$1, INDEX('Room Info'!$A$2:$A3446, MATCH(B2368,'Room Info'!$H$2:$H3446, 0)),if(G2368='Room Info'!$G$1, INDEX('Room Info'!$A$2:$A3446, MATCH(B2368,'Room Info'!$G$2:$G3446, 0)))))))))</f>
        <v>0</v>
      </c>
      <c r="B2368" s="101"/>
      <c r="C2368" s="141"/>
      <c r="D2368" s="141"/>
      <c r="E2368" s="142"/>
      <c r="F2368" s="138"/>
      <c r="G2368" s="101"/>
      <c r="H2368" s="105"/>
      <c r="I2368" s="105"/>
      <c r="J2368" s="44" t="str">
        <f t="shared" si="311"/>
        <v/>
      </c>
      <c r="K2368" s="139"/>
      <c r="L2368" s="140"/>
      <c r="M2368" s="84"/>
      <c r="N2368" s="33">
        <f t="shared" si="276"/>
        <v>0</v>
      </c>
      <c r="O2368" s="101"/>
      <c r="P2368" s="34" t="str">
        <f t="shared" si="277"/>
        <v/>
      </c>
      <c r="Q2368" s="60"/>
      <c r="R2368" s="36">
        <f t="shared" si="312"/>
        <v>0</v>
      </c>
      <c r="S2368" s="102"/>
      <c r="T2368" s="37">
        <f t="shared" si="302"/>
        <v>0</v>
      </c>
      <c r="U2368" s="62"/>
      <c r="V2368" s="63"/>
      <c r="W2368" s="63"/>
      <c r="X2368" s="35" t="str">
        <f t="shared" si="303"/>
        <v>#N/A</v>
      </c>
      <c r="Y2368" s="35" t="str">
        <f t="shared" si="304"/>
        <v>#N/A</v>
      </c>
      <c r="Z2368" s="40" t="str">
        <f t="shared" si="305"/>
        <v>#N/A</v>
      </c>
      <c r="AA2368" s="34" t="str">
        <f t="shared" si="306"/>
        <v>#N/A</v>
      </c>
      <c r="AB2368" s="41" t="str">
        <f t="shared" si="307"/>
        <v>#N/A</v>
      </c>
      <c r="AC2368" s="42" t="b">
        <v>0</v>
      </c>
      <c r="AD2368" s="66" t="str">
        <f t="shared" si="308"/>
        <v>USD</v>
      </c>
      <c r="AE2368" s="42"/>
      <c r="AF2368" s="42" t="str">
        <f t="array" ref="AF2368">INDEX('Deal Info'!D:D, MATCH(A2368,'Deal Info'!A:A, 0))</f>
        <v>#N/A</v>
      </c>
      <c r="AG2368" s="43" t="str">
        <f t="array" ref="AG2368">INDEX('Deal Info'!G:G, MATCH(A2368,'Deal Info'!A:A, 0))</f>
        <v>#N/A</v>
      </c>
    </row>
    <row r="2369" hidden="1">
      <c r="A2369" s="23" t="b">
        <f t="array" ref="A2369">if(G2369='Room Info'!$B$1, INDEX('Room Info'!$A$2:$A3446, MATCH(B2369,'Room Info'!$B$2:$B3446, 0)),if(G2369='Room Info'!$C$1, INDEX('Room Info'!$A$2:$A3446, MATCH(B2369,'Room Info'!$C$2:$C3446, 0)),if(G2369='Room Info'!$D$1, INDEX('Room Info'!$A$2:$A3446, MATCH(B2369,'Room Info'!$D$2:$D3446, 0)),if(G2369='Room Info'!$E$1, INDEX('Room Info'!$A$2:$A3446, MATCH(B2369,'Room Info'!$E$2:$E3446, 0)),if(G2369='Room Info'!$F$1, INDEX('Room Info'!$A$2:$A3446, MATCH(B2369,'Room Info'!$F$2:$F3446, 0)),if(G2369='Room Info'!$H$1, INDEX('Room Info'!$A$2:$A3446, MATCH(B2369,'Room Info'!$H$2:$H3446, 0)),if(G2369='Room Info'!$G$1, INDEX('Room Info'!$A$2:$A3446, MATCH(B2369,'Room Info'!$G$2:$G3446, 0)))))))))</f>
        <v>0</v>
      </c>
      <c r="B2369" s="101"/>
      <c r="C2369" s="115"/>
      <c r="D2369" s="115"/>
      <c r="E2369" s="85"/>
      <c r="F2369" s="138"/>
      <c r="G2369" s="101"/>
      <c r="H2369" s="114"/>
      <c r="I2369" s="114"/>
      <c r="J2369" s="44" t="str">
        <f t="shared" si="311"/>
        <v/>
      </c>
      <c r="K2369" s="116"/>
      <c r="L2369" s="117"/>
      <c r="M2369" s="67"/>
      <c r="N2369" s="33">
        <f t="shared" si="276"/>
        <v>0</v>
      </c>
      <c r="O2369" s="70"/>
      <c r="P2369" s="34" t="str">
        <f t="shared" si="277"/>
        <v/>
      </c>
      <c r="Q2369" s="60"/>
      <c r="R2369" s="36">
        <f t="shared" si="312"/>
        <v>0</v>
      </c>
      <c r="S2369" s="71"/>
      <c r="T2369" s="37">
        <f t="shared" si="302"/>
        <v>0</v>
      </c>
      <c r="U2369" s="62"/>
      <c r="V2369" s="63"/>
      <c r="W2369" s="63"/>
      <c r="X2369" s="35" t="str">
        <f t="shared" si="303"/>
        <v>#N/A</v>
      </c>
      <c r="Y2369" s="35" t="str">
        <f t="shared" si="304"/>
        <v>#N/A</v>
      </c>
      <c r="Z2369" s="40" t="str">
        <f t="shared" si="305"/>
        <v>#N/A</v>
      </c>
      <c r="AA2369" s="34" t="str">
        <f t="shared" si="306"/>
        <v>#N/A</v>
      </c>
      <c r="AB2369" s="41" t="str">
        <f t="shared" si="307"/>
        <v>#N/A</v>
      </c>
      <c r="AC2369" s="42" t="b">
        <v>0</v>
      </c>
      <c r="AD2369" s="66" t="str">
        <f t="shared" si="308"/>
        <v>USD</v>
      </c>
      <c r="AE2369" s="42"/>
      <c r="AF2369" s="42" t="str">
        <f t="array" ref="AF2369">INDEX('Deal Info'!D:D, MATCH(A2369,'Deal Info'!A:A, 0))</f>
        <v>#N/A</v>
      </c>
      <c r="AG2369" s="43" t="str">
        <f t="array" ref="AG2369">INDEX('Deal Info'!G:G, MATCH(A2369,'Deal Info'!A:A, 0))</f>
        <v>#N/A</v>
      </c>
    </row>
    <row r="2370" hidden="1">
      <c r="A2370" s="23" t="b">
        <f t="array" ref="A2370">if(G2370='Room Info'!$B$1, INDEX('Room Info'!$A$2:$A3446, MATCH(B2370,'Room Info'!$B$2:$B3446, 0)),if(G2370='Room Info'!$C$1, INDEX('Room Info'!$A$2:$A3446, MATCH(B2370,'Room Info'!$C$2:$C3446, 0)),if(G2370='Room Info'!$D$1, INDEX('Room Info'!$A$2:$A3446, MATCH(B2370,'Room Info'!$D$2:$D3446, 0)),if(G2370='Room Info'!$E$1, INDEX('Room Info'!$A$2:$A3446, MATCH(B2370,'Room Info'!$E$2:$E3446, 0)),if(G2370='Room Info'!$F$1, INDEX('Room Info'!$A$2:$A3446, MATCH(B2370,'Room Info'!$F$2:$F3446, 0)),if(G2370='Room Info'!$H$1, INDEX('Room Info'!$A$2:$A3446, MATCH(B2370,'Room Info'!$H$2:$H3446, 0)),if(G2370='Room Info'!$G$1, INDEX('Room Info'!$A$2:$A3446, MATCH(B2370,'Room Info'!$G$2:$G3446, 0)))))))))</f>
        <v>0</v>
      </c>
      <c r="B2370" s="101"/>
      <c r="C2370" s="115"/>
      <c r="D2370" s="115"/>
      <c r="E2370" s="85"/>
      <c r="F2370" s="138"/>
      <c r="G2370" s="101"/>
      <c r="H2370" s="114"/>
      <c r="I2370" s="114"/>
      <c r="J2370" s="44" t="str">
        <f t="shared" si="311"/>
        <v/>
      </c>
      <c r="K2370" s="116"/>
      <c r="L2370" s="117"/>
      <c r="M2370" s="67"/>
      <c r="N2370" s="33">
        <f t="shared" si="276"/>
        <v>0</v>
      </c>
      <c r="O2370" s="70"/>
      <c r="P2370" s="34" t="str">
        <f t="shared" si="277"/>
        <v/>
      </c>
      <c r="Q2370" s="60"/>
      <c r="R2370" s="36">
        <f t="shared" si="312"/>
        <v>0</v>
      </c>
      <c r="S2370" s="71"/>
      <c r="T2370" s="37">
        <f t="shared" si="302"/>
        <v>0</v>
      </c>
      <c r="U2370" s="62"/>
      <c r="V2370" s="63"/>
      <c r="W2370" s="63"/>
      <c r="X2370" s="35" t="str">
        <f t="shared" si="303"/>
        <v>#N/A</v>
      </c>
      <c r="Y2370" s="35" t="str">
        <f t="shared" si="304"/>
        <v>#N/A</v>
      </c>
      <c r="Z2370" s="40" t="str">
        <f t="shared" si="305"/>
        <v>#N/A</v>
      </c>
      <c r="AA2370" s="34" t="str">
        <f t="shared" si="306"/>
        <v>#N/A</v>
      </c>
      <c r="AB2370" s="41" t="str">
        <f t="shared" si="307"/>
        <v>#N/A</v>
      </c>
      <c r="AC2370" s="42" t="b">
        <v>0</v>
      </c>
      <c r="AD2370" s="66" t="str">
        <f t="shared" si="308"/>
        <v>USD</v>
      </c>
      <c r="AE2370" s="42"/>
      <c r="AF2370" s="42" t="str">
        <f t="array" ref="AF2370">INDEX('Deal Info'!D:D, MATCH(A2370,'Deal Info'!A:A, 0))</f>
        <v>#N/A</v>
      </c>
      <c r="AG2370" s="43" t="str">
        <f t="array" ref="AG2370">INDEX('Deal Info'!G:G, MATCH(A2370,'Deal Info'!A:A, 0))</f>
        <v>#N/A</v>
      </c>
    </row>
    <row r="2371" hidden="1">
      <c r="A2371" s="23" t="b">
        <f t="array" ref="A2371">if(G2371='Room Info'!$B$1, INDEX('Room Info'!$A$2:$A3446, MATCH(B2371,'Room Info'!$B$2:$B3446, 0)),if(G2371='Room Info'!$C$1, INDEX('Room Info'!$A$2:$A3446, MATCH(B2371,'Room Info'!$C$2:$C3446, 0)),if(G2371='Room Info'!$D$1, INDEX('Room Info'!$A$2:$A3446, MATCH(B2371,'Room Info'!$D$2:$D3446, 0)),if(G2371='Room Info'!$E$1, INDEX('Room Info'!$A$2:$A3446, MATCH(B2371,'Room Info'!$E$2:$E3446, 0)),if(G2371='Room Info'!$F$1, INDEX('Room Info'!$A$2:$A3446, MATCH(B2371,'Room Info'!$F$2:$F3446, 0)),if(G2371='Room Info'!$H$1, INDEX('Room Info'!$A$2:$A3446, MATCH(B2371,'Room Info'!$H$2:$H3446, 0)),if(G2371='Room Info'!$G$1, INDEX('Room Info'!$A$2:$A3446, MATCH(B2371,'Room Info'!$G$2:$G3446, 0)))))))))</f>
        <v>0</v>
      </c>
      <c r="B2371" s="101"/>
      <c r="C2371" s="115"/>
      <c r="D2371" s="115"/>
      <c r="E2371" s="85"/>
      <c r="F2371" s="138"/>
      <c r="G2371" s="101"/>
      <c r="H2371" s="114"/>
      <c r="I2371" s="114"/>
      <c r="J2371" s="44" t="str">
        <f t="shared" si="311"/>
        <v/>
      </c>
      <c r="K2371" s="116"/>
      <c r="L2371" s="117"/>
      <c r="M2371" s="67"/>
      <c r="N2371" s="33">
        <f t="shared" si="276"/>
        <v>0</v>
      </c>
      <c r="O2371" s="70"/>
      <c r="P2371" s="34" t="str">
        <f t="shared" si="277"/>
        <v/>
      </c>
      <c r="Q2371" s="60"/>
      <c r="R2371" s="36">
        <f t="shared" si="312"/>
        <v>0</v>
      </c>
      <c r="S2371" s="71"/>
      <c r="T2371" s="37">
        <f t="shared" si="302"/>
        <v>0</v>
      </c>
      <c r="U2371" s="62"/>
      <c r="V2371" s="63"/>
      <c r="W2371" s="63"/>
      <c r="X2371" s="35" t="str">
        <f t="shared" si="303"/>
        <v>#N/A</v>
      </c>
      <c r="Y2371" s="35" t="str">
        <f t="shared" si="304"/>
        <v>#N/A</v>
      </c>
      <c r="Z2371" s="40" t="str">
        <f t="shared" si="305"/>
        <v>#N/A</v>
      </c>
      <c r="AA2371" s="34" t="str">
        <f t="shared" si="306"/>
        <v>#N/A</v>
      </c>
      <c r="AB2371" s="41" t="str">
        <f t="shared" si="307"/>
        <v>#N/A</v>
      </c>
      <c r="AC2371" s="42" t="b">
        <v>0</v>
      </c>
      <c r="AD2371" s="66" t="str">
        <f t="shared" si="308"/>
        <v>USD</v>
      </c>
      <c r="AE2371" s="42"/>
      <c r="AF2371" s="42" t="str">
        <f t="array" ref="AF2371">INDEX('Deal Info'!D:D, MATCH(A2371,'Deal Info'!A:A, 0))</f>
        <v>#N/A</v>
      </c>
      <c r="AG2371" s="43" t="str">
        <f t="array" ref="AG2371">INDEX('Deal Info'!G:G, MATCH(A2371,'Deal Info'!A:A, 0))</f>
        <v>#N/A</v>
      </c>
    </row>
    <row r="2372" hidden="1">
      <c r="A2372" s="23" t="b">
        <f t="array" ref="A2372">if(G2372='Room Info'!$B$1, INDEX('Room Info'!$A$2:$A3446, MATCH(B2372,'Room Info'!$B$2:$B3446, 0)),if(G2372='Room Info'!$C$1, INDEX('Room Info'!$A$2:$A3446, MATCH(B2372,'Room Info'!$C$2:$C3446, 0)),if(G2372='Room Info'!$D$1, INDEX('Room Info'!$A$2:$A3446, MATCH(B2372,'Room Info'!$D$2:$D3446, 0)),if(G2372='Room Info'!$E$1, INDEX('Room Info'!$A$2:$A3446, MATCH(B2372,'Room Info'!$E$2:$E3446, 0)),if(G2372='Room Info'!$F$1, INDEX('Room Info'!$A$2:$A3446, MATCH(B2372,'Room Info'!$F$2:$F3446, 0)),if(G2372='Room Info'!$H$1, INDEX('Room Info'!$A$2:$A3446, MATCH(B2372,'Room Info'!$H$2:$H3446, 0)),if(G2372='Room Info'!$G$1, INDEX('Room Info'!$A$2:$A3446, MATCH(B2372,'Room Info'!$G$2:$G3446, 0)))))))))</f>
        <v>0</v>
      </c>
      <c r="B2372" s="101"/>
      <c r="C2372" s="115"/>
      <c r="D2372" s="115"/>
      <c r="E2372" s="85"/>
      <c r="F2372" s="138"/>
      <c r="G2372" s="101"/>
      <c r="H2372" s="114"/>
      <c r="I2372" s="114"/>
      <c r="J2372" s="44" t="str">
        <f t="shared" si="311"/>
        <v/>
      </c>
      <c r="K2372" s="116"/>
      <c r="L2372" s="117"/>
      <c r="M2372" s="67"/>
      <c r="N2372" s="33">
        <f t="shared" si="276"/>
        <v>0</v>
      </c>
      <c r="O2372" s="70"/>
      <c r="P2372" s="34" t="str">
        <f t="shared" si="277"/>
        <v/>
      </c>
      <c r="Q2372" s="60"/>
      <c r="R2372" s="36">
        <f t="shared" si="312"/>
        <v>0</v>
      </c>
      <c r="S2372" s="71"/>
      <c r="T2372" s="37">
        <f t="shared" si="302"/>
        <v>0</v>
      </c>
      <c r="U2372" s="62"/>
      <c r="V2372" s="63"/>
      <c r="W2372" s="63"/>
      <c r="X2372" s="35" t="str">
        <f t="shared" si="303"/>
        <v>#N/A</v>
      </c>
      <c r="Y2372" s="35" t="str">
        <f t="shared" si="304"/>
        <v>#N/A</v>
      </c>
      <c r="Z2372" s="40" t="str">
        <f t="shared" si="305"/>
        <v>#N/A</v>
      </c>
      <c r="AA2372" s="34" t="str">
        <f t="shared" si="306"/>
        <v>#N/A</v>
      </c>
      <c r="AB2372" s="41" t="str">
        <f t="shared" si="307"/>
        <v>#N/A</v>
      </c>
      <c r="AC2372" s="42" t="b">
        <v>0</v>
      </c>
      <c r="AD2372" s="66" t="str">
        <f t="shared" si="308"/>
        <v>USD</v>
      </c>
      <c r="AE2372" s="42"/>
      <c r="AF2372" s="42" t="str">
        <f t="array" ref="AF2372">INDEX('Deal Info'!D:D, MATCH(A2372,'Deal Info'!A:A, 0))</f>
        <v>#N/A</v>
      </c>
      <c r="AG2372" s="43" t="str">
        <f t="array" ref="AG2372">INDEX('Deal Info'!G:G, MATCH(A2372,'Deal Info'!A:A, 0))</f>
        <v>#N/A</v>
      </c>
    </row>
    <row r="2373" hidden="1">
      <c r="A2373" s="23" t="b">
        <f t="array" ref="A2373">if(G2373='Room Info'!$B$1, INDEX('Room Info'!$A$2:$A3446, MATCH(B2373,'Room Info'!$B$2:$B3446, 0)),if(G2373='Room Info'!$C$1, INDEX('Room Info'!$A$2:$A3446, MATCH(B2373,'Room Info'!$C$2:$C3446, 0)),if(G2373='Room Info'!$D$1, INDEX('Room Info'!$A$2:$A3446, MATCH(B2373,'Room Info'!$D$2:$D3446, 0)),if(G2373='Room Info'!$E$1, INDEX('Room Info'!$A$2:$A3446, MATCH(B2373,'Room Info'!$E$2:$E3446, 0)),if(G2373='Room Info'!$F$1, INDEX('Room Info'!$A$2:$A3446, MATCH(B2373,'Room Info'!$F$2:$F3446, 0)),if(G2373='Room Info'!$H$1, INDEX('Room Info'!$A$2:$A3446, MATCH(B2373,'Room Info'!$H$2:$H3446, 0)),if(G2373='Room Info'!$G$1, INDEX('Room Info'!$A$2:$A3446, MATCH(B2373,'Room Info'!$G$2:$G3446, 0)))))))))</f>
        <v>0</v>
      </c>
      <c r="B2373" s="101"/>
      <c r="C2373" s="115"/>
      <c r="D2373" s="115"/>
      <c r="E2373" s="85"/>
      <c r="F2373" s="138"/>
      <c r="G2373" s="101"/>
      <c r="H2373" s="114"/>
      <c r="I2373" s="114"/>
      <c r="J2373" s="44" t="str">
        <f t="shared" si="311"/>
        <v/>
      </c>
      <c r="K2373" s="116"/>
      <c r="L2373" s="117"/>
      <c r="M2373" s="67"/>
      <c r="N2373" s="33">
        <f t="shared" si="276"/>
        <v>0</v>
      </c>
      <c r="O2373" s="70"/>
      <c r="P2373" s="34" t="str">
        <f t="shared" si="277"/>
        <v/>
      </c>
      <c r="Q2373" s="60"/>
      <c r="R2373" s="36">
        <f t="shared" si="312"/>
        <v>0</v>
      </c>
      <c r="S2373" s="71"/>
      <c r="T2373" s="37">
        <f t="shared" si="302"/>
        <v>0</v>
      </c>
      <c r="U2373" s="62"/>
      <c r="V2373" s="63"/>
      <c r="W2373" s="63"/>
      <c r="X2373" s="35" t="str">
        <f t="shared" si="303"/>
        <v>#N/A</v>
      </c>
      <c r="Y2373" s="35" t="str">
        <f t="shared" si="304"/>
        <v>#N/A</v>
      </c>
      <c r="Z2373" s="40" t="str">
        <f t="shared" si="305"/>
        <v>#N/A</v>
      </c>
      <c r="AA2373" s="34" t="str">
        <f t="shared" si="306"/>
        <v>#N/A</v>
      </c>
      <c r="AB2373" s="41" t="str">
        <f t="shared" si="307"/>
        <v>#N/A</v>
      </c>
      <c r="AC2373" s="42" t="b">
        <v>0</v>
      </c>
      <c r="AD2373" s="66" t="str">
        <f t="shared" si="308"/>
        <v>USD</v>
      </c>
      <c r="AE2373" s="42"/>
      <c r="AF2373" s="42" t="str">
        <f t="array" ref="AF2373">INDEX('Deal Info'!D:D, MATCH(A2373,'Deal Info'!A:A, 0))</f>
        <v>#N/A</v>
      </c>
      <c r="AG2373" s="43" t="str">
        <f t="array" ref="AG2373">INDEX('Deal Info'!G:G, MATCH(A2373,'Deal Info'!A:A, 0))</f>
        <v>#N/A</v>
      </c>
    </row>
    <row r="2374" hidden="1">
      <c r="A2374" s="23" t="b">
        <f t="array" ref="A2374">if(G2374='Room Info'!$B$1, INDEX('Room Info'!$A$2:$A3446, MATCH(B2374,'Room Info'!$B$2:$B3446, 0)),if(G2374='Room Info'!$C$1, INDEX('Room Info'!$A$2:$A3446, MATCH(B2374,'Room Info'!$C$2:$C3446, 0)),if(G2374='Room Info'!$D$1, INDEX('Room Info'!$A$2:$A3446, MATCH(B2374,'Room Info'!$D$2:$D3446, 0)),if(G2374='Room Info'!$E$1, INDEX('Room Info'!$A$2:$A3446, MATCH(B2374,'Room Info'!$E$2:$E3446, 0)),if(G2374='Room Info'!$F$1, INDEX('Room Info'!$A$2:$A3446, MATCH(B2374,'Room Info'!$F$2:$F3446, 0)),if(G2374='Room Info'!$H$1, INDEX('Room Info'!$A$2:$A3446, MATCH(B2374,'Room Info'!$H$2:$H3446, 0)),if(G2374='Room Info'!$G$1, INDEX('Room Info'!$A$2:$A3446, MATCH(B2374,'Room Info'!$G$2:$G3446, 0)))))))))</f>
        <v>0</v>
      </c>
      <c r="B2374" s="101"/>
      <c r="C2374" s="115"/>
      <c r="D2374" s="115"/>
      <c r="E2374" s="85"/>
      <c r="F2374" s="138"/>
      <c r="G2374" s="101"/>
      <c r="H2374" s="114"/>
      <c r="I2374" s="114"/>
      <c r="J2374" s="44" t="str">
        <f t="shared" si="311"/>
        <v/>
      </c>
      <c r="K2374" s="116"/>
      <c r="L2374" s="117"/>
      <c r="M2374" s="67"/>
      <c r="N2374" s="33">
        <f t="shared" si="276"/>
        <v>0</v>
      </c>
      <c r="O2374" s="70"/>
      <c r="P2374" s="34" t="str">
        <f t="shared" si="277"/>
        <v/>
      </c>
      <c r="Q2374" s="60"/>
      <c r="R2374" s="36">
        <f t="shared" si="312"/>
        <v>0</v>
      </c>
      <c r="S2374" s="71"/>
      <c r="T2374" s="37">
        <f t="shared" si="302"/>
        <v>0</v>
      </c>
      <c r="U2374" s="62"/>
      <c r="V2374" s="63"/>
      <c r="W2374" s="63"/>
      <c r="X2374" s="35" t="str">
        <f t="shared" si="303"/>
        <v>#N/A</v>
      </c>
      <c r="Y2374" s="35" t="str">
        <f t="shared" si="304"/>
        <v>#N/A</v>
      </c>
      <c r="Z2374" s="40" t="str">
        <f t="shared" si="305"/>
        <v>#N/A</v>
      </c>
      <c r="AA2374" s="34" t="str">
        <f t="shared" si="306"/>
        <v>#N/A</v>
      </c>
      <c r="AB2374" s="41" t="str">
        <f t="shared" si="307"/>
        <v>#N/A</v>
      </c>
      <c r="AC2374" s="42" t="b">
        <v>0</v>
      </c>
      <c r="AD2374" s="66" t="str">
        <f t="shared" si="308"/>
        <v>USD</v>
      </c>
      <c r="AE2374" s="42"/>
      <c r="AF2374" s="42" t="str">
        <f t="array" ref="AF2374">INDEX('Deal Info'!D:D, MATCH(A2374,'Deal Info'!A:A, 0))</f>
        <v>#N/A</v>
      </c>
      <c r="AG2374" s="43" t="str">
        <f t="array" ref="AG2374">INDEX('Deal Info'!G:G, MATCH(A2374,'Deal Info'!A:A, 0))</f>
        <v>#N/A</v>
      </c>
    </row>
    <row r="2375" hidden="1">
      <c r="A2375" s="23" t="b">
        <f t="array" ref="A2375">if(G2375='Room Info'!$B$1, INDEX('Room Info'!$A$2:$A3446, MATCH(B2375,'Room Info'!$B$2:$B3446, 0)),if(G2375='Room Info'!$C$1, INDEX('Room Info'!$A$2:$A3446, MATCH(B2375,'Room Info'!$C$2:$C3446, 0)),if(G2375='Room Info'!$D$1, INDEX('Room Info'!$A$2:$A3446, MATCH(B2375,'Room Info'!$D$2:$D3446, 0)),if(G2375='Room Info'!$E$1, INDEX('Room Info'!$A$2:$A3446, MATCH(B2375,'Room Info'!$E$2:$E3446, 0)),if(G2375='Room Info'!$F$1, INDEX('Room Info'!$A$2:$A3446, MATCH(B2375,'Room Info'!$F$2:$F3446, 0)),if(G2375='Room Info'!$H$1, INDEX('Room Info'!$A$2:$A3446, MATCH(B2375,'Room Info'!$H$2:$H3446, 0)),if(G2375='Room Info'!$G$1, INDEX('Room Info'!$A$2:$A3446, MATCH(B2375,'Room Info'!$G$2:$G3446, 0)))))))))</f>
        <v>0</v>
      </c>
      <c r="B2375" s="101"/>
      <c r="C2375" s="115"/>
      <c r="D2375" s="115"/>
      <c r="E2375" s="85"/>
      <c r="F2375" s="138"/>
      <c r="G2375" s="101"/>
      <c r="H2375" s="114"/>
      <c r="I2375" s="114"/>
      <c r="J2375" s="44" t="str">
        <f t="shared" si="311"/>
        <v/>
      </c>
      <c r="K2375" s="116"/>
      <c r="L2375" s="117"/>
      <c r="M2375" s="67"/>
      <c r="N2375" s="33">
        <f t="shared" si="276"/>
        <v>0</v>
      </c>
      <c r="O2375" s="70"/>
      <c r="P2375" s="34" t="str">
        <f t="shared" si="277"/>
        <v/>
      </c>
      <c r="Q2375" s="60"/>
      <c r="R2375" s="36">
        <f t="shared" si="312"/>
        <v>0</v>
      </c>
      <c r="S2375" s="71"/>
      <c r="T2375" s="37">
        <f t="shared" si="302"/>
        <v>0</v>
      </c>
      <c r="U2375" s="62"/>
      <c r="V2375" s="63"/>
      <c r="W2375" s="63"/>
      <c r="X2375" s="35" t="str">
        <f t="shared" si="303"/>
        <v>#N/A</v>
      </c>
      <c r="Y2375" s="35" t="str">
        <f t="shared" si="304"/>
        <v>#N/A</v>
      </c>
      <c r="Z2375" s="40" t="str">
        <f t="shared" si="305"/>
        <v>#N/A</v>
      </c>
      <c r="AA2375" s="34" t="str">
        <f t="shared" si="306"/>
        <v>#N/A</v>
      </c>
      <c r="AB2375" s="41" t="str">
        <f t="shared" si="307"/>
        <v>#N/A</v>
      </c>
      <c r="AC2375" s="42" t="b">
        <v>0</v>
      </c>
      <c r="AD2375" s="66" t="str">
        <f t="shared" si="308"/>
        <v>USD</v>
      </c>
      <c r="AE2375" s="42"/>
      <c r="AF2375" s="42" t="str">
        <f t="array" ref="AF2375">INDEX('Deal Info'!D:D, MATCH(A2375,'Deal Info'!A:A, 0))</f>
        <v>#N/A</v>
      </c>
      <c r="AG2375" s="43" t="str">
        <f t="array" ref="AG2375">INDEX('Deal Info'!G:G, MATCH(A2375,'Deal Info'!A:A, 0))</f>
        <v>#N/A</v>
      </c>
    </row>
    <row r="2376" hidden="1">
      <c r="A2376" s="23" t="b">
        <f t="array" ref="A2376">if(G2376='Room Info'!$B$1, INDEX('Room Info'!$A$2:$A3446, MATCH(B2376,'Room Info'!$B$2:$B3446, 0)),if(G2376='Room Info'!$C$1, INDEX('Room Info'!$A$2:$A3446, MATCH(B2376,'Room Info'!$C$2:$C3446, 0)),if(G2376='Room Info'!$D$1, INDEX('Room Info'!$A$2:$A3446, MATCH(B2376,'Room Info'!$D$2:$D3446, 0)),if(G2376='Room Info'!$E$1, INDEX('Room Info'!$A$2:$A3446, MATCH(B2376,'Room Info'!$E$2:$E3446, 0)),if(G2376='Room Info'!$F$1, INDEX('Room Info'!$A$2:$A3446, MATCH(B2376,'Room Info'!$F$2:$F3446, 0)),if(G2376='Room Info'!$H$1, INDEX('Room Info'!$A$2:$A3446, MATCH(B2376,'Room Info'!$H$2:$H3446, 0)),if(G2376='Room Info'!$G$1, INDEX('Room Info'!$A$2:$A3446, MATCH(B2376,'Room Info'!$G$2:$G3446, 0)))))))))</f>
        <v>0</v>
      </c>
      <c r="B2376" s="101"/>
      <c r="C2376" s="115"/>
      <c r="D2376" s="115"/>
      <c r="E2376" s="85"/>
      <c r="F2376" s="138"/>
      <c r="G2376" s="70"/>
      <c r="H2376" s="114"/>
      <c r="I2376" s="114"/>
      <c r="J2376" s="44" t="str">
        <f t="shared" si="311"/>
        <v/>
      </c>
      <c r="K2376" s="116"/>
      <c r="L2376" s="117"/>
      <c r="M2376" s="67"/>
      <c r="N2376" s="33">
        <f t="shared" si="276"/>
        <v>0</v>
      </c>
      <c r="O2376" s="70"/>
      <c r="P2376" s="34" t="str">
        <f t="shared" si="277"/>
        <v/>
      </c>
      <c r="Q2376" s="60"/>
      <c r="R2376" s="36">
        <f t="shared" si="312"/>
        <v>0</v>
      </c>
      <c r="S2376" s="71"/>
      <c r="T2376" s="37">
        <f t="shared" si="302"/>
        <v>0</v>
      </c>
      <c r="U2376" s="62"/>
      <c r="V2376" s="63"/>
      <c r="W2376" s="63"/>
      <c r="X2376" s="35" t="str">
        <f t="shared" si="303"/>
        <v>#N/A</v>
      </c>
      <c r="Y2376" s="35" t="str">
        <f t="shared" si="304"/>
        <v>#N/A</v>
      </c>
      <c r="Z2376" s="40" t="str">
        <f t="shared" si="305"/>
        <v>#N/A</v>
      </c>
      <c r="AA2376" s="34" t="str">
        <f t="shared" si="306"/>
        <v>#N/A</v>
      </c>
      <c r="AB2376" s="41" t="str">
        <f t="shared" si="307"/>
        <v>#N/A</v>
      </c>
      <c r="AC2376" s="42" t="b">
        <v>0</v>
      </c>
      <c r="AD2376" s="66" t="str">
        <f t="shared" si="308"/>
        <v>USD</v>
      </c>
      <c r="AE2376" s="42"/>
      <c r="AF2376" s="42" t="str">
        <f t="array" ref="AF2376">INDEX('Deal Info'!D:D, MATCH(A2376,'Deal Info'!A:A, 0))</f>
        <v>#N/A</v>
      </c>
      <c r="AG2376" s="43" t="str">
        <f t="array" ref="AG2376">INDEX('Deal Info'!G:G, MATCH(A2376,'Deal Info'!A:A, 0))</f>
        <v>#N/A</v>
      </c>
    </row>
    <row r="2377" hidden="1">
      <c r="A2377" s="23" t="b">
        <f t="array" ref="A2377">if(G2377='Room Info'!$B$1, INDEX('Room Info'!$A$2:$A3446, MATCH(B2377,'Room Info'!$B$2:$B3446, 0)),if(G2377='Room Info'!$C$1, INDEX('Room Info'!$A$2:$A3446, MATCH(B2377,'Room Info'!$C$2:$C3446, 0)),if(G2377='Room Info'!$D$1, INDEX('Room Info'!$A$2:$A3446, MATCH(B2377,'Room Info'!$D$2:$D3446, 0)),if(G2377='Room Info'!$E$1, INDEX('Room Info'!$A$2:$A3446, MATCH(B2377,'Room Info'!$E$2:$E3446, 0)),if(G2377='Room Info'!$F$1, INDEX('Room Info'!$A$2:$A3446, MATCH(B2377,'Room Info'!$F$2:$F3446, 0)),if(G2377='Room Info'!$H$1, INDEX('Room Info'!$A$2:$A3446, MATCH(B2377,'Room Info'!$H$2:$H3446, 0)),if(G2377='Room Info'!$G$1, INDEX('Room Info'!$A$2:$A3446, MATCH(B2377,'Room Info'!$G$2:$G3446, 0)))))))))</f>
        <v>0</v>
      </c>
      <c r="B2377" s="101"/>
      <c r="C2377" s="115"/>
      <c r="D2377" s="115"/>
      <c r="E2377" s="85"/>
      <c r="F2377" s="138"/>
      <c r="G2377" s="70"/>
      <c r="H2377" s="114"/>
      <c r="I2377" s="114"/>
      <c r="J2377" s="44" t="str">
        <f t="shared" si="311"/>
        <v/>
      </c>
      <c r="K2377" s="116"/>
      <c r="L2377" s="117"/>
      <c r="M2377" s="67"/>
      <c r="N2377" s="33">
        <f t="shared" si="276"/>
        <v>0</v>
      </c>
      <c r="O2377" s="70"/>
      <c r="P2377" s="34" t="str">
        <f t="shared" si="277"/>
        <v/>
      </c>
      <c r="Q2377" s="60"/>
      <c r="R2377" s="36">
        <f t="shared" si="312"/>
        <v>0</v>
      </c>
      <c r="S2377" s="71"/>
      <c r="T2377" s="37">
        <f t="shared" si="302"/>
        <v>0</v>
      </c>
      <c r="U2377" s="62"/>
      <c r="V2377" s="63"/>
      <c r="W2377" s="63"/>
      <c r="X2377" s="35" t="str">
        <f t="shared" si="303"/>
        <v>#N/A</v>
      </c>
      <c r="Y2377" s="35" t="str">
        <f t="shared" si="304"/>
        <v>#N/A</v>
      </c>
      <c r="Z2377" s="40" t="str">
        <f t="shared" si="305"/>
        <v>#N/A</v>
      </c>
      <c r="AA2377" s="34" t="str">
        <f t="shared" si="306"/>
        <v>#N/A</v>
      </c>
      <c r="AB2377" s="41" t="str">
        <f t="shared" si="307"/>
        <v>#N/A</v>
      </c>
      <c r="AC2377" s="42" t="b">
        <v>0</v>
      </c>
      <c r="AD2377" s="66" t="str">
        <f t="shared" si="308"/>
        <v>USD</v>
      </c>
      <c r="AE2377" s="42"/>
      <c r="AF2377" s="42" t="str">
        <f t="array" ref="AF2377">INDEX('Deal Info'!D:D, MATCH(A2377,'Deal Info'!A:A, 0))</f>
        <v>#N/A</v>
      </c>
      <c r="AG2377" s="43" t="str">
        <f t="array" ref="AG2377">INDEX('Deal Info'!G:G, MATCH(A2377,'Deal Info'!A:A, 0))</f>
        <v>#N/A</v>
      </c>
    </row>
    <row r="2378" hidden="1">
      <c r="A2378" s="23" t="b">
        <f t="array" ref="A2378">if(G2378='Room Info'!$B$1, INDEX('Room Info'!$A$2:$A3446, MATCH(B2378,'Room Info'!$B$2:$B3446, 0)),if(G2378='Room Info'!$C$1, INDEX('Room Info'!$A$2:$A3446, MATCH(B2378,'Room Info'!$C$2:$C3446, 0)),if(G2378='Room Info'!$D$1, INDEX('Room Info'!$A$2:$A3446, MATCH(B2378,'Room Info'!$D$2:$D3446, 0)),if(G2378='Room Info'!$E$1, INDEX('Room Info'!$A$2:$A3446, MATCH(B2378,'Room Info'!$E$2:$E3446, 0)),if(G2378='Room Info'!$F$1, INDEX('Room Info'!$A$2:$A3446, MATCH(B2378,'Room Info'!$F$2:$F3446, 0)),if(G2378='Room Info'!$H$1, INDEX('Room Info'!$A$2:$A3446, MATCH(B2378,'Room Info'!$H$2:$H3446, 0)),if(G2378='Room Info'!$G$1, INDEX('Room Info'!$A$2:$A3446, MATCH(B2378,'Room Info'!$G$2:$G3446, 0)))))))))</f>
        <v>0</v>
      </c>
      <c r="B2378" s="101"/>
      <c r="C2378" s="115"/>
      <c r="D2378" s="115"/>
      <c r="E2378" s="85"/>
      <c r="F2378" s="138"/>
      <c r="G2378" s="70"/>
      <c r="H2378" s="114"/>
      <c r="I2378" s="114"/>
      <c r="J2378" s="44" t="str">
        <f t="shared" si="311"/>
        <v/>
      </c>
      <c r="K2378" s="116"/>
      <c r="L2378" s="117"/>
      <c r="M2378" s="67"/>
      <c r="N2378" s="33">
        <f t="shared" si="276"/>
        <v>0</v>
      </c>
      <c r="O2378" s="70"/>
      <c r="P2378" s="34" t="str">
        <f t="shared" si="277"/>
        <v/>
      </c>
      <c r="Q2378" s="60"/>
      <c r="R2378" s="36">
        <f t="shared" si="312"/>
        <v>0</v>
      </c>
      <c r="S2378" s="71"/>
      <c r="T2378" s="37">
        <f t="shared" si="302"/>
        <v>0</v>
      </c>
      <c r="U2378" s="62"/>
      <c r="V2378" s="63"/>
      <c r="W2378" s="63"/>
      <c r="X2378" s="35" t="str">
        <f t="shared" si="303"/>
        <v>#N/A</v>
      </c>
      <c r="Y2378" s="35" t="str">
        <f t="shared" si="304"/>
        <v>#N/A</v>
      </c>
      <c r="Z2378" s="40" t="str">
        <f t="shared" si="305"/>
        <v>#N/A</v>
      </c>
      <c r="AA2378" s="34" t="str">
        <f t="shared" si="306"/>
        <v>#N/A</v>
      </c>
      <c r="AB2378" s="41" t="str">
        <f t="shared" si="307"/>
        <v>#N/A</v>
      </c>
      <c r="AC2378" s="42" t="b">
        <v>0</v>
      </c>
      <c r="AD2378" s="66" t="str">
        <f t="shared" si="308"/>
        <v>USD</v>
      </c>
      <c r="AE2378" s="42"/>
      <c r="AF2378" s="42" t="str">
        <f t="array" ref="AF2378">INDEX('Deal Info'!D:D, MATCH(A2378,'Deal Info'!A:A, 0))</f>
        <v>#N/A</v>
      </c>
      <c r="AG2378" s="43" t="str">
        <f t="array" ref="AG2378">INDEX('Deal Info'!G:G, MATCH(A2378,'Deal Info'!A:A, 0))</f>
        <v>#N/A</v>
      </c>
    </row>
    <row r="2379" hidden="1">
      <c r="A2379" s="23" t="b">
        <f t="array" ref="A2379">if(G2379='Room Info'!$B$1, INDEX('Room Info'!$A$2:$A3446, MATCH(B2379,'Room Info'!$B$2:$B3446, 0)),if(G2379='Room Info'!$C$1, INDEX('Room Info'!$A$2:$A3446, MATCH(B2379,'Room Info'!$C$2:$C3446, 0)),if(G2379='Room Info'!$D$1, INDEX('Room Info'!$A$2:$A3446, MATCH(B2379,'Room Info'!$D$2:$D3446, 0)),if(G2379='Room Info'!$E$1, INDEX('Room Info'!$A$2:$A3446, MATCH(B2379,'Room Info'!$E$2:$E3446, 0)),if(G2379='Room Info'!$F$1, INDEX('Room Info'!$A$2:$A3446, MATCH(B2379,'Room Info'!$F$2:$F3446, 0)),if(G2379='Room Info'!$H$1, INDEX('Room Info'!$A$2:$A3446, MATCH(B2379,'Room Info'!$H$2:$H3446, 0)),if(G2379='Room Info'!$G$1, INDEX('Room Info'!$A$2:$A3446, MATCH(B2379,'Room Info'!$G$2:$G3446, 0)))))))))</f>
        <v>0</v>
      </c>
      <c r="B2379" s="101"/>
      <c r="C2379" s="141"/>
      <c r="D2379" s="141"/>
      <c r="E2379" s="142"/>
      <c r="F2379" s="138"/>
      <c r="G2379" s="101"/>
      <c r="H2379" s="105"/>
      <c r="I2379" s="105"/>
      <c r="J2379" s="44" t="str">
        <f t="shared" si="311"/>
        <v/>
      </c>
      <c r="K2379" s="139"/>
      <c r="L2379" s="140"/>
      <c r="M2379" s="84"/>
      <c r="N2379" s="33">
        <f t="shared" si="276"/>
        <v>0</v>
      </c>
      <c r="O2379" s="101"/>
      <c r="P2379" s="34" t="str">
        <f t="shared" si="277"/>
        <v/>
      </c>
      <c r="Q2379" s="60"/>
      <c r="R2379" s="36">
        <f t="shared" si="312"/>
        <v>0</v>
      </c>
      <c r="S2379" s="102"/>
      <c r="T2379" s="37">
        <f t="shared" si="302"/>
        <v>0</v>
      </c>
      <c r="U2379" s="62"/>
      <c r="V2379" s="63"/>
      <c r="W2379" s="63"/>
      <c r="X2379" s="35" t="str">
        <f t="shared" si="303"/>
        <v>#N/A</v>
      </c>
      <c r="Y2379" s="35" t="str">
        <f t="shared" si="304"/>
        <v>#N/A</v>
      </c>
      <c r="Z2379" s="40" t="str">
        <f t="shared" si="305"/>
        <v>#N/A</v>
      </c>
      <c r="AA2379" s="34" t="str">
        <f t="shared" si="306"/>
        <v>#N/A</v>
      </c>
      <c r="AB2379" s="41" t="str">
        <f t="shared" si="307"/>
        <v>#N/A</v>
      </c>
      <c r="AC2379" s="42" t="b">
        <v>0</v>
      </c>
      <c r="AD2379" s="66" t="str">
        <f t="shared" si="308"/>
        <v>USD</v>
      </c>
      <c r="AE2379" s="42"/>
      <c r="AF2379" s="42" t="str">
        <f t="array" ref="AF2379">INDEX('Deal Info'!D:D, MATCH(A2379,'Deal Info'!A:A, 0))</f>
        <v>#N/A</v>
      </c>
      <c r="AG2379" s="43" t="str">
        <f t="array" ref="AG2379">INDEX('Deal Info'!G:G, MATCH(A2379,'Deal Info'!A:A, 0))</f>
        <v>#N/A</v>
      </c>
    </row>
    <row r="2380" hidden="1">
      <c r="A2380" s="23" t="b">
        <f t="array" ref="A2380">if(G2380='Room Info'!$B$1, INDEX('Room Info'!$A$2:$A3446, MATCH(B2380,'Room Info'!$B$2:$B3446, 0)),if(G2380='Room Info'!$C$1, INDEX('Room Info'!$A$2:$A3446, MATCH(B2380,'Room Info'!$C$2:$C3446, 0)),if(G2380='Room Info'!$D$1, INDEX('Room Info'!$A$2:$A3446, MATCH(B2380,'Room Info'!$D$2:$D3446, 0)),if(G2380='Room Info'!$E$1, INDEX('Room Info'!$A$2:$A3446, MATCH(B2380,'Room Info'!$E$2:$E3446, 0)),if(G2380='Room Info'!$F$1, INDEX('Room Info'!$A$2:$A3446, MATCH(B2380,'Room Info'!$F$2:$F3446, 0)),if(G2380='Room Info'!$H$1, INDEX('Room Info'!$A$2:$A3446, MATCH(B2380,'Room Info'!$H$2:$H3446, 0)),if(G2380='Room Info'!$G$1, INDEX('Room Info'!$A$2:$A3446, MATCH(B2380,'Room Info'!$G$2:$G3446, 0)))))))))</f>
        <v>0</v>
      </c>
      <c r="B2380" s="101"/>
      <c r="C2380" s="141"/>
      <c r="D2380" s="141"/>
      <c r="E2380" s="142"/>
      <c r="F2380" s="138"/>
      <c r="G2380" s="101"/>
      <c r="H2380" s="105"/>
      <c r="I2380" s="105"/>
      <c r="J2380" s="44" t="str">
        <f t="shared" si="311"/>
        <v/>
      </c>
      <c r="K2380" s="139"/>
      <c r="L2380" s="140"/>
      <c r="M2380" s="84"/>
      <c r="N2380" s="33">
        <f t="shared" si="276"/>
        <v>0</v>
      </c>
      <c r="O2380" s="101"/>
      <c r="P2380" s="34" t="str">
        <f t="shared" si="277"/>
        <v/>
      </c>
      <c r="Q2380" s="60"/>
      <c r="R2380" s="36">
        <f t="shared" si="312"/>
        <v>0</v>
      </c>
      <c r="S2380" s="102"/>
      <c r="T2380" s="37">
        <f t="shared" si="302"/>
        <v>0</v>
      </c>
      <c r="U2380" s="62"/>
      <c r="V2380" s="63"/>
      <c r="W2380" s="63"/>
      <c r="X2380" s="35" t="str">
        <f t="shared" si="303"/>
        <v>#N/A</v>
      </c>
      <c r="Y2380" s="35" t="str">
        <f t="shared" si="304"/>
        <v>#N/A</v>
      </c>
      <c r="Z2380" s="40" t="str">
        <f t="shared" si="305"/>
        <v>#N/A</v>
      </c>
      <c r="AA2380" s="34" t="str">
        <f t="shared" si="306"/>
        <v>#N/A</v>
      </c>
      <c r="AB2380" s="41" t="str">
        <f t="shared" si="307"/>
        <v>#N/A</v>
      </c>
      <c r="AC2380" s="42" t="b">
        <v>0</v>
      </c>
      <c r="AD2380" s="66" t="str">
        <f t="shared" si="308"/>
        <v>USD</v>
      </c>
      <c r="AE2380" s="42"/>
      <c r="AF2380" s="42" t="str">
        <f t="array" ref="AF2380">INDEX('Deal Info'!D:D, MATCH(A2380,'Deal Info'!A:A, 0))</f>
        <v>#N/A</v>
      </c>
      <c r="AG2380" s="43" t="str">
        <f t="array" ref="AG2380">INDEX('Deal Info'!G:G, MATCH(A2380,'Deal Info'!A:A, 0))</f>
        <v>#N/A</v>
      </c>
    </row>
    <row r="2381" hidden="1">
      <c r="A2381" s="23" t="b">
        <f t="array" ref="A2381">if(G2381='Room Info'!$B$1, INDEX('Room Info'!$A$2:$A3446, MATCH(B2381,'Room Info'!$B$2:$B3446, 0)),if(G2381='Room Info'!$C$1, INDEX('Room Info'!$A$2:$A3446, MATCH(B2381,'Room Info'!$C$2:$C3446, 0)),if(G2381='Room Info'!$D$1, INDEX('Room Info'!$A$2:$A3446, MATCH(B2381,'Room Info'!$D$2:$D3446, 0)),if(G2381='Room Info'!$E$1, INDEX('Room Info'!$A$2:$A3446, MATCH(B2381,'Room Info'!$E$2:$E3446, 0)),if(G2381='Room Info'!$F$1, INDEX('Room Info'!$A$2:$A3446, MATCH(B2381,'Room Info'!$F$2:$F3446, 0)),if(G2381='Room Info'!$H$1, INDEX('Room Info'!$A$2:$A3446, MATCH(B2381,'Room Info'!$H$2:$H3446, 0)),if(G2381='Room Info'!$G$1, INDEX('Room Info'!$A$2:$A3446, MATCH(B2381,'Room Info'!$G$2:$G3446, 0)))))))))</f>
        <v>0</v>
      </c>
      <c r="B2381" s="101"/>
      <c r="C2381" s="141"/>
      <c r="D2381" s="141"/>
      <c r="E2381" s="142"/>
      <c r="F2381" s="138"/>
      <c r="G2381" s="101"/>
      <c r="H2381" s="105"/>
      <c r="I2381" s="105"/>
      <c r="J2381" s="44" t="str">
        <f t="shared" si="311"/>
        <v/>
      </c>
      <c r="K2381" s="139"/>
      <c r="L2381" s="140"/>
      <c r="M2381" s="84"/>
      <c r="N2381" s="33">
        <f t="shared" si="276"/>
        <v>0</v>
      </c>
      <c r="O2381" s="101"/>
      <c r="P2381" s="34" t="str">
        <f t="shared" si="277"/>
        <v/>
      </c>
      <c r="Q2381" s="60"/>
      <c r="R2381" s="36">
        <f t="shared" si="312"/>
        <v>0</v>
      </c>
      <c r="S2381" s="102"/>
      <c r="T2381" s="37">
        <f t="shared" si="302"/>
        <v>0</v>
      </c>
      <c r="U2381" s="62"/>
      <c r="V2381" s="63"/>
      <c r="W2381" s="63"/>
      <c r="X2381" s="35" t="str">
        <f t="shared" si="303"/>
        <v>#N/A</v>
      </c>
      <c r="Y2381" s="35" t="str">
        <f t="shared" si="304"/>
        <v>#N/A</v>
      </c>
      <c r="Z2381" s="40" t="str">
        <f t="shared" si="305"/>
        <v>#N/A</v>
      </c>
      <c r="AA2381" s="34" t="str">
        <f t="shared" si="306"/>
        <v>#N/A</v>
      </c>
      <c r="AB2381" s="41" t="str">
        <f t="shared" si="307"/>
        <v>#N/A</v>
      </c>
      <c r="AC2381" s="42" t="b">
        <v>0</v>
      </c>
      <c r="AD2381" s="66" t="str">
        <f t="shared" si="308"/>
        <v>USD</v>
      </c>
      <c r="AE2381" s="42"/>
      <c r="AF2381" s="42" t="str">
        <f t="array" ref="AF2381">INDEX('Deal Info'!D:D, MATCH(A2381,'Deal Info'!A:A, 0))</f>
        <v>#N/A</v>
      </c>
      <c r="AG2381" s="43" t="str">
        <f t="array" ref="AG2381">INDEX('Deal Info'!G:G, MATCH(A2381,'Deal Info'!A:A, 0))</f>
        <v>#N/A</v>
      </c>
    </row>
    <row r="2382" hidden="1">
      <c r="A2382" s="23" t="b">
        <f t="array" ref="A2382">if(G2382='Room Info'!$B$1, INDEX('Room Info'!$A$2:$A3446, MATCH(B2382,'Room Info'!$B$2:$B3446, 0)),if(G2382='Room Info'!$C$1, INDEX('Room Info'!$A$2:$A3446, MATCH(B2382,'Room Info'!$C$2:$C3446, 0)),if(G2382='Room Info'!$D$1, INDEX('Room Info'!$A$2:$A3446, MATCH(B2382,'Room Info'!$D$2:$D3446, 0)),if(G2382='Room Info'!$E$1, INDEX('Room Info'!$A$2:$A3446, MATCH(B2382,'Room Info'!$E$2:$E3446, 0)),if(G2382='Room Info'!$F$1, INDEX('Room Info'!$A$2:$A3446, MATCH(B2382,'Room Info'!$F$2:$F3446, 0)),if(G2382='Room Info'!$H$1, INDEX('Room Info'!$A$2:$A3446, MATCH(B2382,'Room Info'!$H$2:$H3446, 0)),if(G2382='Room Info'!$G$1, INDEX('Room Info'!$A$2:$A3446, MATCH(B2382,'Room Info'!$G$2:$G3446, 0)))))))))</f>
        <v>0</v>
      </c>
      <c r="B2382" s="70"/>
      <c r="C2382" s="115"/>
      <c r="D2382" s="115"/>
      <c r="E2382" s="85"/>
      <c r="F2382" s="138"/>
      <c r="G2382" s="70"/>
      <c r="H2382" s="114"/>
      <c r="I2382" s="114"/>
      <c r="J2382" s="44" t="str">
        <f t="shared" si="311"/>
        <v/>
      </c>
      <c r="K2382" s="116"/>
      <c r="L2382" s="117"/>
      <c r="M2382" s="67"/>
      <c r="N2382" s="33">
        <f t="shared" si="276"/>
        <v>0</v>
      </c>
      <c r="O2382" s="70"/>
      <c r="P2382" s="34" t="str">
        <f t="shared" si="277"/>
        <v/>
      </c>
      <c r="Q2382" s="60"/>
      <c r="R2382" s="36">
        <f t="shared" si="312"/>
        <v>0</v>
      </c>
      <c r="S2382" s="71"/>
      <c r="T2382" s="37">
        <f t="shared" si="302"/>
        <v>0</v>
      </c>
      <c r="U2382" s="62"/>
      <c r="V2382" s="63"/>
      <c r="W2382" s="63"/>
      <c r="X2382" s="35" t="str">
        <f t="shared" si="303"/>
        <v>#N/A</v>
      </c>
      <c r="Y2382" s="35" t="str">
        <f t="shared" si="304"/>
        <v>#N/A</v>
      </c>
      <c r="Z2382" s="40" t="str">
        <f t="shared" si="305"/>
        <v>#N/A</v>
      </c>
      <c r="AA2382" s="34" t="str">
        <f t="shared" si="306"/>
        <v>#N/A</v>
      </c>
      <c r="AB2382" s="41" t="str">
        <f t="shared" si="307"/>
        <v>#N/A</v>
      </c>
      <c r="AC2382" s="42" t="b">
        <v>0</v>
      </c>
      <c r="AD2382" s="66" t="str">
        <f t="shared" si="308"/>
        <v>USD</v>
      </c>
      <c r="AE2382" s="42"/>
      <c r="AF2382" s="42" t="str">
        <f t="array" ref="AF2382">INDEX('Deal Info'!D:D, MATCH(A2382,'Deal Info'!A:A, 0))</f>
        <v>#N/A</v>
      </c>
      <c r="AG2382" s="43" t="str">
        <f t="array" ref="AG2382">INDEX('Deal Info'!G:G, MATCH(A2382,'Deal Info'!A:A, 0))</f>
        <v>#N/A</v>
      </c>
    </row>
    <row r="2383" hidden="1">
      <c r="A2383" s="23" t="b">
        <f t="array" ref="A2383">if(G2383='Room Info'!$B$1, INDEX('Room Info'!$A$2:$A3446, MATCH(B2383,'Room Info'!$B$2:$B3446, 0)),if(G2383='Room Info'!$C$1, INDEX('Room Info'!$A$2:$A3446, MATCH(B2383,'Room Info'!$C$2:$C3446, 0)),if(G2383='Room Info'!$D$1, INDEX('Room Info'!$A$2:$A3446, MATCH(B2383,'Room Info'!$D$2:$D3446, 0)),if(G2383='Room Info'!$E$1, INDEX('Room Info'!$A$2:$A3446, MATCH(B2383,'Room Info'!$E$2:$E3446, 0)),if(G2383='Room Info'!$F$1, INDEX('Room Info'!$A$2:$A3446, MATCH(B2383,'Room Info'!$F$2:$F3446, 0)),if(G2383='Room Info'!$H$1, INDEX('Room Info'!$A$2:$A3446, MATCH(B2383,'Room Info'!$H$2:$H3446, 0)),if(G2383='Room Info'!$G$1, INDEX('Room Info'!$A$2:$A3446, MATCH(B2383,'Room Info'!$G$2:$G3446, 0)))))))))</f>
        <v>0</v>
      </c>
      <c r="B2383" s="70"/>
      <c r="C2383" s="115"/>
      <c r="D2383" s="115"/>
      <c r="E2383" s="85"/>
      <c r="F2383" s="138"/>
      <c r="G2383" s="70"/>
      <c r="H2383" s="114"/>
      <c r="I2383" s="114"/>
      <c r="J2383" s="44" t="str">
        <f t="shared" si="311"/>
        <v/>
      </c>
      <c r="K2383" s="116"/>
      <c r="L2383" s="117"/>
      <c r="M2383" s="67"/>
      <c r="N2383" s="33">
        <f t="shared" si="276"/>
        <v>0</v>
      </c>
      <c r="O2383" s="70"/>
      <c r="P2383" s="34" t="str">
        <f t="shared" si="277"/>
        <v/>
      </c>
      <c r="Q2383" s="60"/>
      <c r="R2383" s="36">
        <f t="shared" si="312"/>
        <v>0</v>
      </c>
      <c r="S2383" s="71"/>
      <c r="T2383" s="37">
        <f t="shared" si="302"/>
        <v>0</v>
      </c>
      <c r="U2383" s="62"/>
      <c r="V2383" s="63"/>
      <c r="W2383" s="63"/>
      <c r="X2383" s="35" t="str">
        <f t="shared" si="303"/>
        <v>#N/A</v>
      </c>
      <c r="Y2383" s="35" t="str">
        <f t="shared" si="304"/>
        <v>#N/A</v>
      </c>
      <c r="Z2383" s="40" t="str">
        <f t="shared" si="305"/>
        <v>#N/A</v>
      </c>
      <c r="AA2383" s="34" t="str">
        <f t="shared" si="306"/>
        <v>#N/A</v>
      </c>
      <c r="AB2383" s="41" t="str">
        <f t="shared" si="307"/>
        <v>#N/A</v>
      </c>
      <c r="AC2383" s="42" t="b">
        <v>0</v>
      </c>
      <c r="AD2383" s="66" t="str">
        <f t="shared" si="308"/>
        <v>USD</v>
      </c>
      <c r="AE2383" s="42"/>
      <c r="AF2383" s="42" t="str">
        <f t="array" ref="AF2383">INDEX('Deal Info'!D:D, MATCH(A2383,'Deal Info'!A:A, 0))</f>
        <v>#N/A</v>
      </c>
      <c r="AG2383" s="43" t="str">
        <f t="array" ref="AG2383">INDEX('Deal Info'!G:G, MATCH(A2383,'Deal Info'!A:A, 0))</f>
        <v>#N/A</v>
      </c>
    </row>
    <row r="2384" hidden="1">
      <c r="A2384" s="23" t="b">
        <f t="array" ref="A2384">if(G2384='Room Info'!$B$1, INDEX('Room Info'!$A$2:$A3446, MATCH(B2384,'Room Info'!$B$2:$B3446, 0)),if(G2384='Room Info'!$C$1, INDEX('Room Info'!$A$2:$A3446, MATCH(B2384,'Room Info'!$C$2:$C3446, 0)),if(G2384='Room Info'!$D$1, INDEX('Room Info'!$A$2:$A3446, MATCH(B2384,'Room Info'!$D$2:$D3446, 0)),if(G2384='Room Info'!$E$1, INDEX('Room Info'!$A$2:$A3446, MATCH(B2384,'Room Info'!$E$2:$E3446, 0)),if(G2384='Room Info'!$F$1, INDEX('Room Info'!$A$2:$A3446, MATCH(B2384,'Room Info'!$F$2:$F3446, 0)),if(G2384='Room Info'!$H$1, INDEX('Room Info'!$A$2:$A3446, MATCH(B2384,'Room Info'!$H$2:$H3446, 0)),if(G2384='Room Info'!$G$1, INDEX('Room Info'!$A$2:$A3446, MATCH(B2384,'Room Info'!$G$2:$G3446, 0)))))))))</f>
        <v>0</v>
      </c>
      <c r="B2384" s="70"/>
      <c r="C2384" s="115"/>
      <c r="D2384" s="115"/>
      <c r="E2384" s="85"/>
      <c r="F2384" s="138"/>
      <c r="G2384" s="70"/>
      <c r="H2384" s="114"/>
      <c r="I2384" s="114"/>
      <c r="J2384" s="44" t="str">
        <f t="shared" si="311"/>
        <v/>
      </c>
      <c r="K2384" s="116"/>
      <c r="L2384" s="117"/>
      <c r="M2384" s="67"/>
      <c r="N2384" s="33">
        <f t="shared" si="276"/>
        <v>0</v>
      </c>
      <c r="O2384" s="70"/>
      <c r="P2384" s="34" t="str">
        <f t="shared" si="277"/>
        <v/>
      </c>
      <c r="Q2384" s="60"/>
      <c r="R2384" s="36">
        <f t="shared" si="312"/>
        <v>0</v>
      </c>
      <c r="S2384" s="71"/>
      <c r="T2384" s="37">
        <f t="shared" si="302"/>
        <v>0</v>
      </c>
      <c r="U2384" s="62"/>
      <c r="V2384" s="63"/>
      <c r="W2384" s="63"/>
      <c r="X2384" s="35" t="str">
        <f t="shared" si="303"/>
        <v>#N/A</v>
      </c>
      <c r="Y2384" s="35" t="str">
        <f t="shared" si="304"/>
        <v>#N/A</v>
      </c>
      <c r="Z2384" s="40" t="str">
        <f t="shared" si="305"/>
        <v>#N/A</v>
      </c>
      <c r="AA2384" s="34" t="str">
        <f t="shared" si="306"/>
        <v>#N/A</v>
      </c>
      <c r="AB2384" s="41" t="str">
        <f t="shared" si="307"/>
        <v>#N/A</v>
      </c>
      <c r="AC2384" s="42" t="b">
        <v>0</v>
      </c>
      <c r="AD2384" s="66" t="str">
        <f t="shared" si="308"/>
        <v>USD</v>
      </c>
      <c r="AE2384" s="42"/>
      <c r="AF2384" s="42" t="str">
        <f t="array" ref="AF2384">INDEX('Deal Info'!D:D, MATCH(A2384,'Deal Info'!A:A, 0))</f>
        <v>#N/A</v>
      </c>
      <c r="AG2384" s="43" t="str">
        <f t="array" ref="AG2384">INDEX('Deal Info'!G:G, MATCH(A2384,'Deal Info'!A:A, 0))</f>
        <v>#N/A</v>
      </c>
    </row>
    <row r="2385" hidden="1">
      <c r="A2385" s="23" t="b">
        <f t="array" ref="A2385">if(G2385='Room Info'!$B$1, INDEX('Room Info'!$A$2:$A3446, MATCH(B2385,'Room Info'!$B$2:$B3446, 0)),if(G2385='Room Info'!$C$1, INDEX('Room Info'!$A$2:$A3446, MATCH(B2385,'Room Info'!$C$2:$C3446, 0)),if(G2385='Room Info'!$D$1, INDEX('Room Info'!$A$2:$A3446, MATCH(B2385,'Room Info'!$D$2:$D3446, 0)),if(G2385='Room Info'!$E$1, INDEX('Room Info'!$A$2:$A3446, MATCH(B2385,'Room Info'!$E$2:$E3446, 0)),if(G2385='Room Info'!$F$1, INDEX('Room Info'!$A$2:$A3446, MATCH(B2385,'Room Info'!$F$2:$F3446, 0)),if(G2385='Room Info'!$H$1, INDEX('Room Info'!$A$2:$A3446, MATCH(B2385,'Room Info'!$H$2:$H3446, 0)),if(G2385='Room Info'!$G$1, INDEX('Room Info'!$A$2:$A3446, MATCH(B2385,'Room Info'!$G$2:$G3446, 0)))))))))</f>
        <v>0</v>
      </c>
      <c r="B2385" s="70"/>
      <c r="C2385" s="115"/>
      <c r="D2385" s="115"/>
      <c r="E2385" s="85"/>
      <c r="F2385" s="138"/>
      <c r="G2385" s="70"/>
      <c r="H2385" s="114"/>
      <c r="I2385" s="114"/>
      <c r="J2385" s="44" t="str">
        <f t="shared" si="311"/>
        <v/>
      </c>
      <c r="K2385" s="116"/>
      <c r="L2385" s="143"/>
      <c r="M2385" s="67"/>
      <c r="N2385" s="33">
        <f t="shared" si="276"/>
        <v>0</v>
      </c>
      <c r="O2385" s="133"/>
      <c r="P2385" s="34" t="str">
        <f t="shared" si="277"/>
        <v/>
      </c>
      <c r="Q2385" s="60"/>
      <c r="R2385" s="36">
        <f t="shared" si="312"/>
        <v>0</v>
      </c>
      <c r="S2385" s="122"/>
      <c r="T2385" s="37">
        <f t="shared" si="302"/>
        <v>0</v>
      </c>
      <c r="U2385" s="62"/>
      <c r="V2385" s="63"/>
      <c r="W2385" s="63"/>
      <c r="X2385" s="35" t="str">
        <f t="shared" si="303"/>
        <v>#N/A</v>
      </c>
      <c r="Y2385" s="35" t="str">
        <f t="shared" si="304"/>
        <v>#N/A</v>
      </c>
      <c r="Z2385" s="40" t="str">
        <f t="shared" si="305"/>
        <v>#N/A</v>
      </c>
      <c r="AA2385" s="34" t="str">
        <f t="shared" si="306"/>
        <v>#N/A</v>
      </c>
      <c r="AB2385" s="41" t="str">
        <f t="shared" si="307"/>
        <v>#N/A</v>
      </c>
      <c r="AC2385" s="42" t="b">
        <v>0</v>
      </c>
      <c r="AD2385" s="66" t="str">
        <f t="shared" si="308"/>
        <v>USD</v>
      </c>
      <c r="AE2385" s="42"/>
      <c r="AF2385" s="42" t="str">
        <f t="array" ref="AF2385">INDEX('Deal Info'!D:D, MATCH(A2385,'Deal Info'!A:A, 0))</f>
        <v>#N/A</v>
      </c>
      <c r="AG2385" s="43" t="str">
        <f t="array" ref="AG2385">INDEX('Deal Info'!G:G, MATCH(A2385,'Deal Info'!A:A, 0))</f>
        <v>#N/A</v>
      </c>
    </row>
    <row r="2386" hidden="1">
      <c r="A2386" s="23" t="b">
        <f t="array" ref="A2386">if(G2386='Room Info'!$B$1, INDEX('Room Info'!$A$2:$A3446, MATCH(B2386,'Room Info'!$B$2:$B3446, 0)),if(G2386='Room Info'!$C$1, INDEX('Room Info'!$A$2:$A3446, MATCH(B2386,'Room Info'!$C$2:$C3446, 0)),if(G2386='Room Info'!$D$1, INDEX('Room Info'!$A$2:$A3446, MATCH(B2386,'Room Info'!$D$2:$D3446, 0)),if(G2386='Room Info'!$E$1, INDEX('Room Info'!$A$2:$A3446, MATCH(B2386,'Room Info'!$E$2:$E3446, 0)),if(G2386='Room Info'!$F$1, INDEX('Room Info'!$A$2:$A3446, MATCH(B2386,'Room Info'!$F$2:$F3446, 0)),if(G2386='Room Info'!$H$1, INDEX('Room Info'!$A$2:$A3446, MATCH(B2386,'Room Info'!$H$2:$H3446, 0)),if(G2386='Room Info'!$G$1, INDEX('Room Info'!$A$2:$A3446, MATCH(B2386,'Room Info'!$G$2:$G3446, 0)))))))))</f>
        <v>0</v>
      </c>
      <c r="B2386" s="70"/>
      <c r="C2386" s="115"/>
      <c r="D2386" s="115"/>
      <c r="E2386" s="85"/>
      <c r="F2386" s="138"/>
      <c r="G2386" s="70"/>
      <c r="H2386" s="114"/>
      <c r="I2386" s="114"/>
      <c r="J2386" s="44" t="str">
        <f t="shared" si="311"/>
        <v/>
      </c>
      <c r="K2386" s="116"/>
      <c r="L2386" s="143"/>
      <c r="M2386" s="67"/>
      <c r="N2386" s="33">
        <f t="shared" si="276"/>
        <v>0</v>
      </c>
      <c r="O2386" s="133"/>
      <c r="P2386" s="34" t="str">
        <f t="shared" si="277"/>
        <v/>
      </c>
      <c r="Q2386" s="60"/>
      <c r="R2386" s="36">
        <f t="shared" si="312"/>
        <v>0</v>
      </c>
      <c r="S2386" s="122"/>
      <c r="T2386" s="37">
        <f t="shared" si="302"/>
        <v>0</v>
      </c>
      <c r="U2386" s="62"/>
      <c r="V2386" s="63"/>
      <c r="W2386" s="63"/>
      <c r="X2386" s="35" t="str">
        <f t="shared" si="303"/>
        <v>#N/A</v>
      </c>
      <c r="Y2386" s="35" t="str">
        <f t="shared" si="304"/>
        <v>#N/A</v>
      </c>
      <c r="Z2386" s="40" t="str">
        <f t="shared" si="305"/>
        <v>#N/A</v>
      </c>
      <c r="AA2386" s="34" t="str">
        <f t="shared" si="306"/>
        <v>#N/A</v>
      </c>
      <c r="AB2386" s="41" t="str">
        <f t="shared" si="307"/>
        <v>#N/A</v>
      </c>
      <c r="AC2386" s="42" t="b">
        <v>0</v>
      </c>
      <c r="AD2386" s="66" t="str">
        <f t="shared" si="308"/>
        <v>USD</v>
      </c>
      <c r="AE2386" s="42"/>
      <c r="AF2386" s="42" t="str">
        <f t="array" ref="AF2386">INDEX('Deal Info'!D:D, MATCH(A2386,'Deal Info'!A:A, 0))</f>
        <v>#N/A</v>
      </c>
      <c r="AG2386" s="43" t="str">
        <f t="array" ref="AG2386">INDEX('Deal Info'!G:G, MATCH(A2386,'Deal Info'!A:A, 0))</f>
        <v>#N/A</v>
      </c>
    </row>
    <row r="2387" hidden="1">
      <c r="A2387" s="23" t="b">
        <f t="array" ref="A2387">if(G2387='Room Info'!$B$1, INDEX('Room Info'!$A$2:$A3446, MATCH(B2387,'Room Info'!$B$2:$B3446, 0)),if(G2387='Room Info'!$C$1, INDEX('Room Info'!$A$2:$A3446, MATCH(B2387,'Room Info'!$C$2:$C3446, 0)),if(G2387='Room Info'!$D$1, INDEX('Room Info'!$A$2:$A3446, MATCH(B2387,'Room Info'!$D$2:$D3446, 0)),if(G2387='Room Info'!$E$1, INDEX('Room Info'!$A$2:$A3446, MATCH(B2387,'Room Info'!$E$2:$E3446, 0)),if(G2387='Room Info'!$F$1, INDEX('Room Info'!$A$2:$A3446, MATCH(B2387,'Room Info'!$F$2:$F3446, 0)),if(G2387='Room Info'!$H$1, INDEX('Room Info'!$A$2:$A3446, MATCH(B2387,'Room Info'!$H$2:$H3446, 0)),if(G2387='Room Info'!$G$1, INDEX('Room Info'!$A$2:$A3446, MATCH(B2387,'Room Info'!$G$2:$G3446, 0)))))))))</f>
        <v>0</v>
      </c>
      <c r="B2387" s="70"/>
      <c r="C2387" s="115"/>
      <c r="D2387" s="115"/>
      <c r="E2387" s="85"/>
      <c r="F2387" s="138"/>
      <c r="G2387" s="70"/>
      <c r="H2387" s="114"/>
      <c r="I2387" s="114"/>
      <c r="J2387" s="44" t="str">
        <f t="shared" si="311"/>
        <v/>
      </c>
      <c r="K2387" s="116"/>
      <c r="L2387" s="143"/>
      <c r="M2387" s="67"/>
      <c r="N2387" s="33">
        <f t="shared" si="276"/>
        <v>0</v>
      </c>
      <c r="O2387" s="133"/>
      <c r="P2387" s="34" t="str">
        <f t="shared" si="277"/>
        <v/>
      </c>
      <c r="Q2387" s="60"/>
      <c r="R2387" s="36">
        <f t="shared" si="312"/>
        <v>0</v>
      </c>
      <c r="S2387" s="122"/>
      <c r="T2387" s="37">
        <f t="shared" si="302"/>
        <v>0</v>
      </c>
      <c r="U2387" s="62"/>
      <c r="V2387" s="63"/>
      <c r="W2387" s="63"/>
      <c r="X2387" s="35" t="str">
        <f t="shared" si="303"/>
        <v>#N/A</v>
      </c>
      <c r="Y2387" s="35" t="str">
        <f t="shared" si="304"/>
        <v>#N/A</v>
      </c>
      <c r="Z2387" s="40" t="str">
        <f t="shared" si="305"/>
        <v>#N/A</v>
      </c>
      <c r="AA2387" s="34" t="str">
        <f t="shared" si="306"/>
        <v>#N/A</v>
      </c>
      <c r="AB2387" s="41" t="str">
        <f t="shared" si="307"/>
        <v>#N/A</v>
      </c>
      <c r="AC2387" s="42" t="b">
        <v>0</v>
      </c>
      <c r="AD2387" s="66" t="str">
        <f t="shared" si="308"/>
        <v>USD</v>
      </c>
      <c r="AE2387" s="42"/>
      <c r="AF2387" s="42" t="str">
        <f t="array" ref="AF2387">INDEX('Deal Info'!D:D, MATCH(A2387,'Deal Info'!A:A, 0))</f>
        <v>#N/A</v>
      </c>
      <c r="AG2387" s="43" t="str">
        <f t="array" ref="AG2387">INDEX('Deal Info'!G:G, MATCH(A2387,'Deal Info'!A:A, 0))</f>
        <v>#N/A</v>
      </c>
    </row>
    <row r="2388" hidden="1">
      <c r="A2388" s="23" t="b">
        <f t="array" ref="A2388">if(G2388='Room Info'!$B$1, INDEX('Room Info'!$A$2:$A3446, MATCH(B2388,'Room Info'!$B$2:$B3446, 0)),if(G2388='Room Info'!$C$1, INDEX('Room Info'!$A$2:$A3446, MATCH(B2388,'Room Info'!$C$2:$C3446, 0)),if(G2388='Room Info'!$D$1, INDEX('Room Info'!$A$2:$A3446, MATCH(B2388,'Room Info'!$D$2:$D3446, 0)),if(G2388='Room Info'!$E$1, INDEX('Room Info'!$A$2:$A3446, MATCH(B2388,'Room Info'!$E$2:$E3446, 0)),if(G2388='Room Info'!$F$1, INDEX('Room Info'!$A$2:$A3446, MATCH(B2388,'Room Info'!$F$2:$F3446, 0)),if(G2388='Room Info'!$H$1, INDEX('Room Info'!$A$2:$A3446, MATCH(B2388,'Room Info'!$H$2:$H3446, 0)),if(G2388='Room Info'!$G$1, INDEX('Room Info'!$A$2:$A3446, MATCH(B2388,'Room Info'!$G$2:$G3446, 0)))))))))</f>
        <v>0</v>
      </c>
      <c r="B2388" s="70"/>
      <c r="C2388" s="115"/>
      <c r="D2388" s="115"/>
      <c r="E2388" s="85"/>
      <c r="F2388" s="138"/>
      <c r="G2388" s="70"/>
      <c r="H2388" s="114"/>
      <c r="I2388" s="114"/>
      <c r="J2388" s="44" t="str">
        <f t="shared" si="311"/>
        <v/>
      </c>
      <c r="K2388" s="116"/>
      <c r="L2388" s="143"/>
      <c r="M2388" s="67"/>
      <c r="N2388" s="33">
        <f t="shared" si="276"/>
        <v>0</v>
      </c>
      <c r="O2388" s="133"/>
      <c r="P2388" s="34" t="str">
        <f t="shared" si="277"/>
        <v/>
      </c>
      <c r="Q2388" s="60"/>
      <c r="R2388" s="36">
        <f t="shared" si="312"/>
        <v>0</v>
      </c>
      <c r="S2388" s="122"/>
      <c r="T2388" s="37">
        <f t="shared" si="302"/>
        <v>0</v>
      </c>
      <c r="U2388" s="62"/>
      <c r="V2388" s="63"/>
      <c r="W2388" s="63"/>
      <c r="X2388" s="35" t="str">
        <f t="shared" si="303"/>
        <v>#N/A</v>
      </c>
      <c r="Y2388" s="35" t="str">
        <f t="shared" si="304"/>
        <v>#N/A</v>
      </c>
      <c r="Z2388" s="40" t="str">
        <f t="shared" si="305"/>
        <v>#N/A</v>
      </c>
      <c r="AA2388" s="34" t="str">
        <f t="shared" si="306"/>
        <v>#N/A</v>
      </c>
      <c r="AB2388" s="41" t="str">
        <f t="shared" si="307"/>
        <v>#N/A</v>
      </c>
      <c r="AC2388" s="42" t="b">
        <v>0</v>
      </c>
      <c r="AD2388" s="66" t="str">
        <f t="shared" si="308"/>
        <v>USD</v>
      </c>
      <c r="AE2388" s="42"/>
      <c r="AF2388" s="42" t="str">
        <f t="array" ref="AF2388">INDEX('Deal Info'!D:D, MATCH(A2388,'Deal Info'!A:A, 0))</f>
        <v>#N/A</v>
      </c>
      <c r="AG2388" s="43" t="str">
        <f t="array" ref="AG2388">INDEX('Deal Info'!G:G, MATCH(A2388,'Deal Info'!A:A, 0))</f>
        <v>#N/A</v>
      </c>
    </row>
    <row r="2389" hidden="1">
      <c r="A2389" s="23" t="b">
        <f t="array" ref="A2389">if(G2389='Room Info'!$B$1, INDEX('Room Info'!$A$2:$A3446, MATCH(B2389,'Room Info'!$B$2:$B3446, 0)),if(G2389='Room Info'!$C$1, INDEX('Room Info'!$A$2:$A3446, MATCH(B2389,'Room Info'!$C$2:$C3446, 0)),if(G2389='Room Info'!$D$1, INDEX('Room Info'!$A$2:$A3446, MATCH(B2389,'Room Info'!$D$2:$D3446, 0)),if(G2389='Room Info'!$E$1, INDEX('Room Info'!$A$2:$A3446, MATCH(B2389,'Room Info'!$E$2:$E3446, 0)),if(G2389='Room Info'!$F$1, INDEX('Room Info'!$A$2:$A3446, MATCH(B2389,'Room Info'!$F$2:$F3446, 0)),if(G2389='Room Info'!$H$1, INDEX('Room Info'!$A$2:$A3446, MATCH(B2389,'Room Info'!$H$2:$H3446, 0)),if(G2389='Room Info'!$G$1, INDEX('Room Info'!$A$2:$A3446, MATCH(B2389,'Room Info'!$G$2:$G3446, 0)))))))))</f>
        <v>0</v>
      </c>
      <c r="B2389" s="70"/>
      <c r="C2389" s="115"/>
      <c r="D2389" s="115"/>
      <c r="E2389" s="85"/>
      <c r="F2389" s="138"/>
      <c r="G2389" s="70"/>
      <c r="H2389" s="114"/>
      <c r="I2389" s="114"/>
      <c r="J2389" s="44" t="str">
        <f t="shared" si="311"/>
        <v/>
      </c>
      <c r="K2389" s="116"/>
      <c r="L2389" s="143"/>
      <c r="M2389" s="67"/>
      <c r="N2389" s="33">
        <f t="shared" si="276"/>
        <v>0</v>
      </c>
      <c r="O2389" s="133"/>
      <c r="P2389" s="34" t="str">
        <f t="shared" si="277"/>
        <v/>
      </c>
      <c r="Q2389" s="60"/>
      <c r="R2389" s="36">
        <f t="shared" si="312"/>
        <v>0</v>
      </c>
      <c r="S2389" s="122"/>
      <c r="T2389" s="37">
        <f t="shared" si="302"/>
        <v>0</v>
      </c>
      <c r="U2389" s="62"/>
      <c r="V2389" s="63"/>
      <c r="W2389" s="63"/>
      <c r="X2389" s="35" t="str">
        <f t="shared" si="303"/>
        <v>#N/A</v>
      </c>
      <c r="Y2389" s="35" t="str">
        <f t="shared" si="304"/>
        <v>#N/A</v>
      </c>
      <c r="Z2389" s="40" t="str">
        <f t="shared" si="305"/>
        <v>#N/A</v>
      </c>
      <c r="AA2389" s="34" t="str">
        <f t="shared" si="306"/>
        <v>#N/A</v>
      </c>
      <c r="AB2389" s="41" t="str">
        <f t="shared" si="307"/>
        <v>#N/A</v>
      </c>
      <c r="AC2389" s="42" t="b">
        <v>0</v>
      </c>
      <c r="AD2389" s="66" t="str">
        <f t="shared" si="308"/>
        <v>USD</v>
      </c>
      <c r="AE2389" s="42"/>
      <c r="AF2389" s="42" t="str">
        <f t="array" ref="AF2389">INDEX('Deal Info'!D:D, MATCH(A2389,'Deal Info'!A:A, 0))</f>
        <v>#N/A</v>
      </c>
      <c r="AG2389" s="43" t="str">
        <f t="array" ref="AG2389">INDEX('Deal Info'!G:G, MATCH(A2389,'Deal Info'!A:A, 0))</f>
        <v>#N/A</v>
      </c>
    </row>
    <row r="2390" hidden="1">
      <c r="A2390" s="23" t="b">
        <f t="array" ref="A2390">if(G2390='Room Info'!$B$1, INDEX('Room Info'!$A$2:$A3446, MATCH(B2390,'Room Info'!$B$2:$B3446, 0)),if(G2390='Room Info'!$C$1, INDEX('Room Info'!$A$2:$A3446, MATCH(B2390,'Room Info'!$C$2:$C3446, 0)),if(G2390='Room Info'!$D$1, INDEX('Room Info'!$A$2:$A3446, MATCH(B2390,'Room Info'!$D$2:$D3446, 0)),if(G2390='Room Info'!$E$1, INDEX('Room Info'!$A$2:$A3446, MATCH(B2390,'Room Info'!$E$2:$E3446, 0)),if(G2390='Room Info'!$F$1, INDEX('Room Info'!$A$2:$A3446, MATCH(B2390,'Room Info'!$F$2:$F3446, 0)),if(G2390='Room Info'!$H$1, INDEX('Room Info'!$A$2:$A3446, MATCH(B2390,'Room Info'!$H$2:$H3446, 0)),if(G2390='Room Info'!$G$1, INDEX('Room Info'!$A$2:$A3446, MATCH(B2390,'Room Info'!$G$2:$G3446, 0)))))))))</f>
        <v>0</v>
      </c>
      <c r="B2390" s="70"/>
      <c r="C2390" s="115"/>
      <c r="D2390" s="115"/>
      <c r="E2390" s="85"/>
      <c r="F2390" s="138"/>
      <c r="G2390" s="70"/>
      <c r="H2390" s="114"/>
      <c r="I2390" s="114"/>
      <c r="J2390" s="44" t="str">
        <f t="shared" si="311"/>
        <v/>
      </c>
      <c r="K2390" s="116"/>
      <c r="L2390" s="143"/>
      <c r="M2390" s="67"/>
      <c r="N2390" s="33">
        <f t="shared" si="276"/>
        <v>0</v>
      </c>
      <c r="O2390" s="133"/>
      <c r="P2390" s="34" t="str">
        <f t="shared" si="277"/>
        <v/>
      </c>
      <c r="Q2390" s="60"/>
      <c r="R2390" s="36">
        <f t="shared" si="312"/>
        <v>0</v>
      </c>
      <c r="S2390" s="122"/>
      <c r="T2390" s="37">
        <f t="shared" si="302"/>
        <v>0</v>
      </c>
      <c r="U2390" s="62"/>
      <c r="V2390" s="63"/>
      <c r="W2390" s="63"/>
      <c r="X2390" s="35" t="str">
        <f t="shared" si="303"/>
        <v>#N/A</v>
      </c>
      <c r="Y2390" s="35" t="str">
        <f t="shared" si="304"/>
        <v>#N/A</v>
      </c>
      <c r="Z2390" s="40" t="str">
        <f t="shared" si="305"/>
        <v>#N/A</v>
      </c>
      <c r="AA2390" s="34" t="str">
        <f t="shared" si="306"/>
        <v>#N/A</v>
      </c>
      <c r="AB2390" s="41" t="str">
        <f t="shared" si="307"/>
        <v>#N/A</v>
      </c>
      <c r="AC2390" s="42" t="b">
        <v>0</v>
      </c>
      <c r="AD2390" s="66" t="str">
        <f t="shared" si="308"/>
        <v>USD</v>
      </c>
      <c r="AE2390" s="42"/>
      <c r="AF2390" s="42" t="str">
        <f t="array" ref="AF2390">INDEX('Deal Info'!D:D, MATCH(A2390,'Deal Info'!A:A, 0))</f>
        <v>#N/A</v>
      </c>
      <c r="AG2390" s="43" t="str">
        <f t="array" ref="AG2390">INDEX('Deal Info'!G:G, MATCH(A2390,'Deal Info'!A:A, 0))</f>
        <v>#N/A</v>
      </c>
    </row>
    <row r="2391" hidden="1">
      <c r="A2391" s="23" t="b">
        <f t="array" ref="A2391">if(G2391='Room Info'!$B$1, INDEX('Room Info'!$A$2:$A3446, MATCH(B2391,'Room Info'!$B$2:$B3446, 0)),if(G2391='Room Info'!$C$1, INDEX('Room Info'!$A$2:$A3446, MATCH(B2391,'Room Info'!$C$2:$C3446, 0)),if(G2391='Room Info'!$D$1, INDEX('Room Info'!$A$2:$A3446, MATCH(B2391,'Room Info'!$D$2:$D3446, 0)),if(G2391='Room Info'!$E$1, INDEX('Room Info'!$A$2:$A3446, MATCH(B2391,'Room Info'!$E$2:$E3446, 0)),if(G2391='Room Info'!$F$1, INDEX('Room Info'!$A$2:$A3446, MATCH(B2391,'Room Info'!$F$2:$F3446, 0)),if(G2391='Room Info'!$H$1, INDEX('Room Info'!$A$2:$A3446, MATCH(B2391,'Room Info'!$H$2:$H3446, 0)),if(G2391='Room Info'!$G$1, INDEX('Room Info'!$A$2:$A3446, MATCH(B2391,'Room Info'!$G$2:$G3446, 0)))))))))</f>
        <v>0</v>
      </c>
      <c r="B2391" s="101"/>
      <c r="C2391" s="141"/>
      <c r="D2391" s="141"/>
      <c r="E2391" s="142"/>
      <c r="F2391" s="138"/>
      <c r="G2391" s="101"/>
      <c r="H2391" s="105"/>
      <c r="I2391" s="105"/>
      <c r="J2391" s="44" t="str">
        <f t="shared" si="311"/>
        <v/>
      </c>
      <c r="K2391" s="139"/>
      <c r="L2391" s="140"/>
      <c r="M2391" s="84"/>
      <c r="N2391" s="33">
        <f t="shared" si="276"/>
        <v>0</v>
      </c>
      <c r="O2391" s="101"/>
      <c r="P2391" s="34" t="str">
        <f t="shared" si="277"/>
        <v/>
      </c>
      <c r="Q2391" s="60"/>
      <c r="R2391" s="36">
        <f t="shared" si="312"/>
        <v>0</v>
      </c>
      <c r="S2391" s="102"/>
      <c r="T2391" s="37">
        <f t="shared" si="302"/>
        <v>0</v>
      </c>
      <c r="U2391" s="62"/>
      <c r="V2391" s="63"/>
      <c r="W2391" s="63"/>
      <c r="X2391" s="35" t="str">
        <f t="shared" si="303"/>
        <v>#N/A</v>
      </c>
      <c r="Y2391" s="35" t="str">
        <f t="shared" si="304"/>
        <v>#N/A</v>
      </c>
      <c r="Z2391" s="40" t="str">
        <f t="shared" si="305"/>
        <v>#N/A</v>
      </c>
      <c r="AA2391" s="34" t="str">
        <f t="shared" si="306"/>
        <v>#N/A</v>
      </c>
      <c r="AB2391" s="41" t="str">
        <f t="shared" si="307"/>
        <v>#N/A</v>
      </c>
      <c r="AC2391" s="42" t="b">
        <v>0</v>
      </c>
      <c r="AD2391" s="66" t="str">
        <f t="shared" si="308"/>
        <v>USD</v>
      </c>
      <c r="AE2391" s="42"/>
      <c r="AF2391" s="42" t="str">
        <f t="array" ref="AF2391">INDEX('Deal Info'!D:D, MATCH(A2391,'Deal Info'!A:A, 0))</f>
        <v>#N/A</v>
      </c>
      <c r="AG2391" s="43" t="str">
        <f t="array" ref="AG2391">INDEX('Deal Info'!G:G, MATCH(A2391,'Deal Info'!A:A, 0))</f>
        <v>#N/A</v>
      </c>
    </row>
    <row r="2392" hidden="1">
      <c r="A2392" s="23" t="b">
        <f t="array" ref="A2392">if(G2392='Room Info'!$B$1, INDEX('Room Info'!$A$2:$A3446, MATCH(B2392,'Room Info'!$B$2:$B3446, 0)),if(G2392='Room Info'!$C$1, INDEX('Room Info'!$A$2:$A3446, MATCH(B2392,'Room Info'!$C$2:$C3446, 0)),if(G2392='Room Info'!$D$1, INDEX('Room Info'!$A$2:$A3446, MATCH(B2392,'Room Info'!$D$2:$D3446, 0)),if(G2392='Room Info'!$E$1, INDEX('Room Info'!$A$2:$A3446, MATCH(B2392,'Room Info'!$E$2:$E3446, 0)),if(G2392='Room Info'!$F$1, INDEX('Room Info'!$A$2:$A3446, MATCH(B2392,'Room Info'!$F$2:$F3446, 0)),if(G2392='Room Info'!$H$1, INDEX('Room Info'!$A$2:$A3446, MATCH(B2392,'Room Info'!$H$2:$H3446, 0)),if(G2392='Room Info'!$G$1, INDEX('Room Info'!$A$2:$A3446, MATCH(B2392,'Room Info'!$G$2:$G3446, 0)))))))))</f>
        <v>0</v>
      </c>
      <c r="B2392" s="101"/>
      <c r="C2392" s="141"/>
      <c r="D2392" s="141"/>
      <c r="E2392" s="142"/>
      <c r="F2392" s="138"/>
      <c r="G2392" s="101"/>
      <c r="H2392" s="105"/>
      <c r="I2392" s="105"/>
      <c r="J2392" s="44" t="str">
        <f t="shared" si="311"/>
        <v/>
      </c>
      <c r="K2392" s="139"/>
      <c r="L2392" s="140"/>
      <c r="M2392" s="84"/>
      <c r="N2392" s="33">
        <f t="shared" si="276"/>
        <v>0</v>
      </c>
      <c r="O2392" s="101"/>
      <c r="P2392" s="34" t="str">
        <f t="shared" si="277"/>
        <v/>
      </c>
      <c r="Q2392" s="60"/>
      <c r="R2392" s="36">
        <f t="shared" si="312"/>
        <v>0</v>
      </c>
      <c r="S2392" s="102"/>
      <c r="T2392" s="37">
        <f t="shared" si="302"/>
        <v>0</v>
      </c>
      <c r="U2392" s="62"/>
      <c r="V2392" s="63"/>
      <c r="W2392" s="63"/>
      <c r="X2392" s="35" t="str">
        <f t="shared" si="303"/>
        <v>#N/A</v>
      </c>
      <c r="Y2392" s="35" t="str">
        <f t="shared" si="304"/>
        <v>#N/A</v>
      </c>
      <c r="Z2392" s="40" t="str">
        <f t="shared" si="305"/>
        <v>#N/A</v>
      </c>
      <c r="AA2392" s="34" t="str">
        <f t="shared" si="306"/>
        <v>#N/A</v>
      </c>
      <c r="AB2392" s="41" t="str">
        <f t="shared" si="307"/>
        <v>#N/A</v>
      </c>
      <c r="AC2392" s="42" t="b">
        <v>0</v>
      </c>
      <c r="AD2392" s="66" t="str">
        <f t="shared" si="308"/>
        <v>USD</v>
      </c>
      <c r="AE2392" s="42"/>
      <c r="AF2392" s="42" t="str">
        <f t="array" ref="AF2392">INDEX('Deal Info'!D:D, MATCH(A2392,'Deal Info'!A:A, 0))</f>
        <v>#N/A</v>
      </c>
      <c r="AG2392" s="43" t="str">
        <f t="array" ref="AG2392">INDEX('Deal Info'!G:G, MATCH(A2392,'Deal Info'!A:A, 0))</f>
        <v>#N/A</v>
      </c>
    </row>
    <row r="2393" hidden="1">
      <c r="A2393" s="23" t="b">
        <f t="array" ref="A2393">if(G2393='Room Info'!$B$1, INDEX('Room Info'!$A$2:$A3446, MATCH(B2393,'Room Info'!$B$2:$B3446, 0)),if(G2393='Room Info'!$C$1, INDEX('Room Info'!$A$2:$A3446, MATCH(B2393,'Room Info'!$C$2:$C3446, 0)),if(G2393='Room Info'!$D$1, INDEX('Room Info'!$A$2:$A3446, MATCH(B2393,'Room Info'!$D$2:$D3446, 0)),if(G2393='Room Info'!$E$1, INDEX('Room Info'!$A$2:$A3446, MATCH(B2393,'Room Info'!$E$2:$E3446, 0)),if(G2393='Room Info'!$F$1, INDEX('Room Info'!$A$2:$A3446, MATCH(B2393,'Room Info'!$F$2:$F3446, 0)),if(G2393='Room Info'!$H$1, INDEX('Room Info'!$A$2:$A3446, MATCH(B2393,'Room Info'!$H$2:$H3446, 0)),if(G2393='Room Info'!$G$1, INDEX('Room Info'!$A$2:$A3446, MATCH(B2393,'Room Info'!$G$2:$G3446, 0)))))))))</f>
        <v>0</v>
      </c>
      <c r="B2393" s="101"/>
      <c r="C2393" s="141"/>
      <c r="D2393" s="141"/>
      <c r="E2393" s="142"/>
      <c r="F2393" s="138"/>
      <c r="G2393" s="101"/>
      <c r="H2393" s="105"/>
      <c r="I2393" s="105"/>
      <c r="J2393" s="44" t="str">
        <f t="shared" si="311"/>
        <v/>
      </c>
      <c r="K2393" s="139"/>
      <c r="L2393" s="140"/>
      <c r="M2393" s="84"/>
      <c r="N2393" s="33">
        <f t="shared" si="276"/>
        <v>0</v>
      </c>
      <c r="O2393" s="101"/>
      <c r="P2393" s="34" t="str">
        <f t="shared" si="277"/>
        <v/>
      </c>
      <c r="Q2393" s="60"/>
      <c r="R2393" s="36">
        <f t="shared" si="312"/>
        <v>0</v>
      </c>
      <c r="S2393" s="102"/>
      <c r="T2393" s="37">
        <f t="shared" si="302"/>
        <v>0</v>
      </c>
      <c r="U2393" s="62"/>
      <c r="V2393" s="63"/>
      <c r="W2393" s="63"/>
      <c r="X2393" s="35" t="str">
        <f t="shared" si="303"/>
        <v>#N/A</v>
      </c>
      <c r="Y2393" s="35" t="str">
        <f t="shared" si="304"/>
        <v>#N/A</v>
      </c>
      <c r="Z2393" s="40" t="str">
        <f t="shared" si="305"/>
        <v>#N/A</v>
      </c>
      <c r="AA2393" s="34" t="str">
        <f t="shared" si="306"/>
        <v>#N/A</v>
      </c>
      <c r="AB2393" s="41" t="str">
        <f t="shared" si="307"/>
        <v>#N/A</v>
      </c>
      <c r="AC2393" s="42" t="b">
        <v>0</v>
      </c>
      <c r="AD2393" s="66" t="str">
        <f t="shared" si="308"/>
        <v>USD</v>
      </c>
      <c r="AE2393" s="42"/>
      <c r="AF2393" s="42" t="str">
        <f t="array" ref="AF2393">INDEX('Deal Info'!D:D, MATCH(A2393,'Deal Info'!A:A, 0))</f>
        <v>#N/A</v>
      </c>
      <c r="AG2393" s="43" t="str">
        <f t="array" ref="AG2393">INDEX('Deal Info'!G:G, MATCH(A2393,'Deal Info'!A:A, 0))</f>
        <v>#N/A</v>
      </c>
    </row>
    <row r="2394" hidden="1">
      <c r="A2394" s="23" t="b">
        <f t="array" ref="A2394">if(G2394='Room Info'!$B$1, INDEX('Room Info'!$A$2:$A3446, MATCH(B2394,'Room Info'!$B$2:$B3446, 0)),if(G2394='Room Info'!$C$1, INDEX('Room Info'!$A$2:$A3446, MATCH(B2394,'Room Info'!$C$2:$C3446, 0)),if(G2394='Room Info'!$D$1, INDEX('Room Info'!$A$2:$A3446, MATCH(B2394,'Room Info'!$D$2:$D3446, 0)),if(G2394='Room Info'!$E$1, INDEX('Room Info'!$A$2:$A3446, MATCH(B2394,'Room Info'!$E$2:$E3446, 0)),if(G2394='Room Info'!$F$1, INDEX('Room Info'!$A$2:$A3446, MATCH(B2394,'Room Info'!$F$2:$F3446, 0)),if(G2394='Room Info'!$H$1, INDEX('Room Info'!$A$2:$A3446, MATCH(B2394,'Room Info'!$H$2:$H3446, 0)),if(G2394='Room Info'!$G$1, INDEX('Room Info'!$A$2:$A3446, MATCH(B2394,'Room Info'!$G$2:$G3446, 0)))))))))</f>
        <v>0</v>
      </c>
      <c r="B2394" s="101"/>
      <c r="C2394" s="141"/>
      <c r="D2394" s="141"/>
      <c r="E2394" s="142"/>
      <c r="F2394" s="138"/>
      <c r="G2394" s="101"/>
      <c r="H2394" s="105"/>
      <c r="I2394" s="105"/>
      <c r="J2394" s="44" t="str">
        <f t="shared" si="311"/>
        <v/>
      </c>
      <c r="K2394" s="139"/>
      <c r="L2394" s="140"/>
      <c r="M2394" s="84"/>
      <c r="N2394" s="33">
        <f t="shared" si="276"/>
        <v>0</v>
      </c>
      <c r="O2394" s="101"/>
      <c r="P2394" s="34" t="str">
        <f t="shared" si="277"/>
        <v/>
      </c>
      <c r="Q2394" s="60"/>
      <c r="R2394" s="36">
        <f t="shared" si="312"/>
        <v>0</v>
      </c>
      <c r="S2394" s="102"/>
      <c r="T2394" s="37">
        <f t="shared" si="302"/>
        <v>0</v>
      </c>
      <c r="U2394" s="62"/>
      <c r="V2394" s="63"/>
      <c r="W2394" s="63"/>
      <c r="X2394" s="35" t="str">
        <f t="shared" si="303"/>
        <v>#N/A</v>
      </c>
      <c r="Y2394" s="35" t="str">
        <f t="shared" si="304"/>
        <v>#N/A</v>
      </c>
      <c r="Z2394" s="40" t="str">
        <f t="shared" si="305"/>
        <v>#N/A</v>
      </c>
      <c r="AA2394" s="34" t="str">
        <f t="shared" si="306"/>
        <v>#N/A</v>
      </c>
      <c r="AB2394" s="41" t="str">
        <f t="shared" si="307"/>
        <v>#N/A</v>
      </c>
      <c r="AC2394" s="42" t="b">
        <v>0</v>
      </c>
      <c r="AD2394" s="66" t="str">
        <f t="shared" si="308"/>
        <v>USD</v>
      </c>
      <c r="AE2394" s="42"/>
      <c r="AF2394" s="42" t="str">
        <f t="array" ref="AF2394">INDEX('Deal Info'!D:D, MATCH(A2394,'Deal Info'!A:A, 0))</f>
        <v>#N/A</v>
      </c>
      <c r="AG2394" s="43" t="str">
        <f t="array" ref="AG2394">INDEX('Deal Info'!G:G, MATCH(A2394,'Deal Info'!A:A, 0))</f>
        <v>#N/A</v>
      </c>
    </row>
    <row r="2395" hidden="1">
      <c r="A2395" s="23" t="b">
        <f t="array" ref="A2395">if(G2395='Room Info'!$B$1, INDEX('Room Info'!$A$2:$A3446, MATCH(B2395,'Room Info'!$B$2:$B3446, 0)),if(G2395='Room Info'!$C$1, INDEX('Room Info'!$A$2:$A3446, MATCH(B2395,'Room Info'!$C$2:$C3446, 0)),if(G2395='Room Info'!$D$1, INDEX('Room Info'!$A$2:$A3446, MATCH(B2395,'Room Info'!$D$2:$D3446, 0)),if(G2395='Room Info'!$E$1, INDEX('Room Info'!$A$2:$A3446, MATCH(B2395,'Room Info'!$E$2:$E3446, 0)),if(G2395='Room Info'!$F$1, INDEX('Room Info'!$A$2:$A3446, MATCH(B2395,'Room Info'!$F$2:$F3446, 0)),if(G2395='Room Info'!$H$1, INDEX('Room Info'!$A$2:$A3446, MATCH(B2395,'Room Info'!$H$2:$H3446, 0)),if(G2395='Room Info'!$G$1, INDEX('Room Info'!$A$2:$A3446, MATCH(B2395,'Room Info'!$G$2:$G3446, 0)))))))))</f>
        <v>0</v>
      </c>
      <c r="B2395" s="101"/>
      <c r="C2395" s="141"/>
      <c r="D2395" s="141"/>
      <c r="E2395" s="142"/>
      <c r="F2395" s="138"/>
      <c r="G2395" s="101"/>
      <c r="H2395" s="105"/>
      <c r="I2395" s="105"/>
      <c r="J2395" s="44" t="str">
        <f t="shared" si="311"/>
        <v/>
      </c>
      <c r="K2395" s="139"/>
      <c r="L2395" s="140"/>
      <c r="M2395" s="84"/>
      <c r="N2395" s="33">
        <f t="shared" si="276"/>
        <v>0</v>
      </c>
      <c r="O2395" s="101"/>
      <c r="P2395" s="34" t="str">
        <f t="shared" si="277"/>
        <v/>
      </c>
      <c r="Q2395" s="60"/>
      <c r="R2395" s="36">
        <f t="shared" si="312"/>
        <v>0</v>
      </c>
      <c r="S2395" s="102"/>
      <c r="T2395" s="37">
        <f t="shared" si="302"/>
        <v>0</v>
      </c>
      <c r="U2395" s="62"/>
      <c r="V2395" s="63"/>
      <c r="W2395" s="63"/>
      <c r="X2395" s="35" t="str">
        <f t="shared" si="303"/>
        <v>#N/A</v>
      </c>
      <c r="Y2395" s="35" t="str">
        <f t="shared" si="304"/>
        <v>#N/A</v>
      </c>
      <c r="Z2395" s="40" t="str">
        <f t="shared" si="305"/>
        <v>#N/A</v>
      </c>
      <c r="AA2395" s="34" t="str">
        <f t="shared" si="306"/>
        <v>#N/A</v>
      </c>
      <c r="AB2395" s="41" t="str">
        <f t="shared" si="307"/>
        <v>#N/A</v>
      </c>
      <c r="AC2395" s="42" t="b">
        <v>0</v>
      </c>
      <c r="AD2395" s="66" t="str">
        <f t="shared" si="308"/>
        <v>USD</v>
      </c>
      <c r="AE2395" s="42"/>
      <c r="AF2395" s="42" t="str">
        <f t="array" ref="AF2395">INDEX('Deal Info'!D:D, MATCH(A2395,'Deal Info'!A:A, 0))</f>
        <v>#N/A</v>
      </c>
      <c r="AG2395" s="43" t="str">
        <f t="array" ref="AG2395">INDEX('Deal Info'!G:G, MATCH(A2395,'Deal Info'!A:A, 0))</f>
        <v>#N/A</v>
      </c>
    </row>
    <row r="2396" hidden="1">
      <c r="A2396" s="23" t="b">
        <f t="array" ref="A2396">if(G2396='Room Info'!$B$1, INDEX('Room Info'!$A$2:$A3446, MATCH(B2396,'Room Info'!$B$2:$B3446, 0)),if(G2396='Room Info'!$C$1, INDEX('Room Info'!$A$2:$A3446, MATCH(B2396,'Room Info'!$C$2:$C3446, 0)),if(G2396='Room Info'!$D$1, INDEX('Room Info'!$A$2:$A3446, MATCH(B2396,'Room Info'!$D$2:$D3446, 0)),if(G2396='Room Info'!$E$1, INDEX('Room Info'!$A$2:$A3446, MATCH(B2396,'Room Info'!$E$2:$E3446, 0)),if(G2396='Room Info'!$F$1, INDEX('Room Info'!$A$2:$A3446, MATCH(B2396,'Room Info'!$F$2:$F3446, 0)),if(G2396='Room Info'!$H$1, INDEX('Room Info'!$A$2:$A3446, MATCH(B2396,'Room Info'!$H$2:$H3446, 0)),if(G2396='Room Info'!$G$1, INDEX('Room Info'!$A$2:$A3446, MATCH(B2396,'Room Info'!$G$2:$G3446, 0)))))))))</f>
        <v>0</v>
      </c>
      <c r="B2396" s="101"/>
      <c r="C2396" s="141"/>
      <c r="D2396" s="141"/>
      <c r="E2396" s="142"/>
      <c r="F2396" s="138"/>
      <c r="G2396" s="101"/>
      <c r="H2396" s="114"/>
      <c r="I2396" s="114"/>
      <c r="J2396" s="44" t="str">
        <f t="shared" si="311"/>
        <v/>
      </c>
      <c r="K2396" s="116"/>
      <c r="L2396" s="117"/>
      <c r="M2396" s="67"/>
      <c r="N2396" s="33">
        <f t="shared" si="276"/>
        <v>0</v>
      </c>
      <c r="O2396" s="70"/>
      <c r="P2396" s="34" t="str">
        <f t="shared" si="277"/>
        <v/>
      </c>
      <c r="Q2396" s="60"/>
      <c r="R2396" s="36">
        <f t="shared" si="312"/>
        <v>0</v>
      </c>
      <c r="S2396" s="71"/>
      <c r="T2396" s="37">
        <f t="shared" si="302"/>
        <v>0</v>
      </c>
      <c r="U2396" s="62"/>
      <c r="V2396" s="63"/>
      <c r="W2396" s="63"/>
      <c r="X2396" s="35" t="str">
        <f t="shared" si="303"/>
        <v>#N/A</v>
      </c>
      <c r="Y2396" s="35" t="str">
        <f t="shared" si="304"/>
        <v>#N/A</v>
      </c>
      <c r="Z2396" s="40" t="str">
        <f t="shared" si="305"/>
        <v>#N/A</v>
      </c>
      <c r="AA2396" s="34" t="str">
        <f t="shared" si="306"/>
        <v>#N/A</v>
      </c>
      <c r="AB2396" s="41" t="str">
        <f t="shared" si="307"/>
        <v>#N/A</v>
      </c>
      <c r="AC2396" s="42" t="b">
        <v>0</v>
      </c>
      <c r="AD2396" s="66" t="str">
        <f t="shared" si="308"/>
        <v>USD</v>
      </c>
      <c r="AE2396" s="42"/>
      <c r="AF2396" s="42" t="str">
        <f t="array" ref="AF2396">INDEX('Deal Info'!D:D, MATCH(A2396,'Deal Info'!A:A, 0))</f>
        <v>#N/A</v>
      </c>
      <c r="AG2396" s="43" t="str">
        <f t="array" ref="AG2396">INDEX('Deal Info'!G:G, MATCH(A2396,'Deal Info'!A:A, 0))</f>
        <v>#N/A</v>
      </c>
    </row>
    <row r="2397" hidden="1">
      <c r="A2397" s="23" t="b">
        <f t="array" ref="A2397">if(G2397='Room Info'!$B$1, INDEX('Room Info'!$A$2:$A3446, MATCH(B2397,'Room Info'!$B$2:$B3446, 0)),if(G2397='Room Info'!$C$1, INDEX('Room Info'!$A$2:$A3446, MATCH(B2397,'Room Info'!$C$2:$C3446, 0)),if(G2397='Room Info'!$D$1, INDEX('Room Info'!$A$2:$A3446, MATCH(B2397,'Room Info'!$D$2:$D3446, 0)),if(G2397='Room Info'!$E$1, INDEX('Room Info'!$A$2:$A3446, MATCH(B2397,'Room Info'!$E$2:$E3446, 0)),if(G2397='Room Info'!$F$1, INDEX('Room Info'!$A$2:$A3446, MATCH(B2397,'Room Info'!$F$2:$F3446, 0)),if(G2397='Room Info'!$H$1, INDEX('Room Info'!$A$2:$A3446, MATCH(B2397,'Room Info'!$H$2:$H3446, 0)),if(G2397='Room Info'!$G$1, INDEX('Room Info'!$A$2:$A3446, MATCH(B2397,'Room Info'!$G$2:$G3446, 0)))))))))</f>
        <v>0</v>
      </c>
      <c r="B2397" s="101"/>
      <c r="C2397" s="141"/>
      <c r="D2397" s="141"/>
      <c r="E2397" s="142"/>
      <c r="F2397" s="138"/>
      <c r="G2397" s="101"/>
      <c r="H2397" s="114"/>
      <c r="I2397" s="114"/>
      <c r="J2397" s="44" t="str">
        <f t="shared" si="311"/>
        <v/>
      </c>
      <c r="K2397" s="116"/>
      <c r="L2397" s="117"/>
      <c r="M2397" s="67"/>
      <c r="N2397" s="33">
        <f t="shared" si="276"/>
        <v>0</v>
      </c>
      <c r="O2397" s="70"/>
      <c r="P2397" s="34" t="str">
        <f t="shared" si="277"/>
        <v/>
      </c>
      <c r="Q2397" s="60"/>
      <c r="R2397" s="36">
        <f t="shared" si="312"/>
        <v>0</v>
      </c>
      <c r="S2397" s="71"/>
      <c r="T2397" s="37">
        <f t="shared" si="302"/>
        <v>0</v>
      </c>
      <c r="U2397" s="62"/>
      <c r="V2397" s="63"/>
      <c r="W2397" s="63"/>
      <c r="X2397" s="35" t="str">
        <f t="shared" si="303"/>
        <v>#N/A</v>
      </c>
      <c r="Y2397" s="35" t="str">
        <f t="shared" si="304"/>
        <v>#N/A</v>
      </c>
      <c r="Z2397" s="40" t="str">
        <f t="shared" si="305"/>
        <v>#N/A</v>
      </c>
      <c r="AA2397" s="34" t="str">
        <f t="shared" si="306"/>
        <v>#N/A</v>
      </c>
      <c r="AB2397" s="41" t="str">
        <f t="shared" si="307"/>
        <v>#N/A</v>
      </c>
      <c r="AC2397" s="42" t="b">
        <v>0</v>
      </c>
      <c r="AD2397" s="66" t="str">
        <f t="shared" si="308"/>
        <v>USD</v>
      </c>
      <c r="AE2397" s="42"/>
      <c r="AF2397" s="42" t="str">
        <f t="array" ref="AF2397">INDEX('Deal Info'!D:D, MATCH(A2397,'Deal Info'!A:A, 0))</f>
        <v>#N/A</v>
      </c>
      <c r="AG2397" s="43" t="str">
        <f t="array" ref="AG2397">INDEX('Deal Info'!G:G, MATCH(A2397,'Deal Info'!A:A, 0))</f>
        <v>#N/A</v>
      </c>
    </row>
    <row r="2398" hidden="1">
      <c r="A2398" s="23" t="b">
        <f t="array" ref="A2398">if(G2398='Room Info'!$B$1, INDEX('Room Info'!$A$2:$A3446, MATCH(B2398,'Room Info'!$B$2:$B3446, 0)),if(G2398='Room Info'!$C$1, INDEX('Room Info'!$A$2:$A3446, MATCH(B2398,'Room Info'!$C$2:$C3446, 0)),if(G2398='Room Info'!$D$1, INDEX('Room Info'!$A$2:$A3446, MATCH(B2398,'Room Info'!$D$2:$D3446, 0)),if(G2398='Room Info'!$E$1, INDEX('Room Info'!$A$2:$A3446, MATCH(B2398,'Room Info'!$E$2:$E3446, 0)),if(G2398='Room Info'!$F$1, INDEX('Room Info'!$A$2:$A3446, MATCH(B2398,'Room Info'!$F$2:$F3446, 0)),if(G2398='Room Info'!$H$1, INDEX('Room Info'!$A$2:$A3446, MATCH(B2398,'Room Info'!$H$2:$H3446, 0)),if(G2398='Room Info'!$G$1, INDEX('Room Info'!$A$2:$A3446, MATCH(B2398,'Room Info'!$G$2:$G3446, 0)))))))))</f>
        <v>0</v>
      </c>
      <c r="B2398" s="101"/>
      <c r="C2398" s="141"/>
      <c r="D2398" s="141"/>
      <c r="E2398" s="142"/>
      <c r="F2398" s="138"/>
      <c r="G2398" s="101"/>
      <c r="H2398" s="114"/>
      <c r="I2398" s="114"/>
      <c r="J2398" s="44" t="str">
        <f t="shared" si="311"/>
        <v/>
      </c>
      <c r="K2398" s="116"/>
      <c r="L2398" s="117"/>
      <c r="M2398" s="67"/>
      <c r="N2398" s="33">
        <f t="shared" si="276"/>
        <v>0</v>
      </c>
      <c r="O2398" s="70"/>
      <c r="P2398" s="34" t="str">
        <f t="shared" si="277"/>
        <v/>
      </c>
      <c r="Q2398" s="60"/>
      <c r="R2398" s="36">
        <f t="shared" si="312"/>
        <v>0</v>
      </c>
      <c r="S2398" s="71"/>
      <c r="T2398" s="37">
        <f t="shared" si="302"/>
        <v>0</v>
      </c>
      <c r="U2398" s="62"/>
      <c r="V2398" s="63"/>
      <c r="W2398" s="63"/>
      <c r="X2398" s="35" t="str">
        <f t="shared" si="303"/>
        <v>#N/A</v>
      </c>
      <c r="Y2398" s="35" t="str">
        <f t="shared" si="304"/>
        <v>#N/A</v>
      </c>
      <c r="Z2398" s="40" t="str">
        <f t="shared" si="305"/>
        <v>#N/A</v>
      </c>
      <c r="AA2398" s="34" t="str">
        <f t="shared" si="306"/>
        <v>#N/A</v>
      </c>
      <c r="AB2398" s="41" t="str">
        <f t="shared" si="307"/>
        <v>#N/A</v>
      </c>
      <c r="AC2398" s="42" t="b">
        <v>0</v>
      </c>
      <c r="AD2398" s="66" t="str">
        <f t="shared" si="308"/>
        <v>USD</v>
      </c>
      <c r="AE2398" s="42"/>
      <c r="AF2398" s="42" t="str">
        <f t="array" ref="AF2398">INDEX('Deal Info'!D:D, MATCH(A2398,'Deal Info'!A:A, 0))</f>
        <v>#N/A</v>
      </c>
      <c r="AG2398" s="43" t="str">
        <f t="array" ref="AG2398">INDEX('Deal Info'!G:G, MATCH(A2398,'Deal Info'!A:A, 0))</f>
        <v>#N/A</v>
      </c>
    </row>
    <row r="2399" hidden="1">
      <c r="A2399" s="23" t="b">
        <f t="array" ref="A2399">if(G2399='Room Info'!$B$1, INDEX('Room Info'!$A$2:$A3446, MATCH(B2399,'Room Info'!$B$2:$B3446, 0)),if(G2399='Room Info'!$C$1, INDEX('Room Info'!$A$2:$A3446, MATCH(B2399,'Room Info'!$C$2:$C3446, 0)),if(G2399='Room Info'!$D$1, INDEX('Room Info'!$A$2:$A3446, MATCH(B2399,'Room Info'!$D$2:$D3446, 0)),if(G2399='Room Info'!$E$1, INDEX('Room Info'!$A$2:$A3446, MATCH(B2399,'Room Info'!$E$2:$E3446, 0)),if(G2399='Room Info'!$F$1, INDEX('Room Info'!$A$2:$A3446, MATCH(B2399,'Room Info'!$F$2:$F3446, 0)),if(G2399='Room Info'!$H$1, INDEX('Room Info'!$A$2:$A3446, MATCH(B2399,'Room Info'!$H$2:$H3446, 0)),if(G2399='Room Info'!$G$1, INDEX('Room Info'!$A$2:$A3446, MATCH(B2399,'Room Info'!$G$2:$G3446, 0)))))))))</f>
        <v>0</v>
      </c>
      <c r="B2399" s="101"/>
      <c r="C2399" s="141"/>
      <c r="D2399" s="141"/>
      <c r="E2399" s="142"/>
      <c r="F2399" s="138"/>
      <c r="G2399" s="101"/>
      <c r="H2399" s="114"/>
      <c r="I2399" s="114"/>
      <c r="J2399" s="44" t="str">
        <f t="shared" si="311"/>
        <v/>
      </c>
      <c r="K2399" s="116"/>
      <c r="L2399" s="117"/>
      <c r="M2399" s="67"/>
      <c r="N2399" s="33">
        <f t="shared" si="276"/>
        <v>0</v>
      </c>
      <c r="O2399" s="70"/>
      <c r="P2399" s="34" t="str">
        <f t="shared" si="277"/>
        <v/>
      </c>
      <c r="Q2399" s="60"/>
      <c r="R2399" s="36">
        <f t="shared" si="312"/>
        <v>0</v>
      </c>
      <c r="S2399" s="71"/>
      <c r="T2399" s="37">
        <f t="shared" si="302"/>
        <v>0</v>
      </c>
      <c r="U2399" s="62"/>
      <c r="V2399" s="63"/>
      <c r="W2399" s="63"/>
      <c r="X2399" s="35" t="str">
        <f t="shared" si="303"/>
        <v>#N/A</v>
      </c>
      <c r="Y2399" s="35" t="str">
        <f t="shared" si="304"/>
        <v>#N/A</v>
      </c>
      <c r="Z2399" s="40" t="str">
        <f t="shared" si="305"/>
        <v>#N/A</v>
      </c>
      <c r="AA2399" s="34" t="str">
        <f t="shared" si="306"/>
        <v>#N/A</v>
      </c>
      <c r="AB2399" s="41" t="str">
        <f t="shared" si="307"/>
        <v>#N/A</v>
      </c>
      <c r="AC2399" s="42" t="b">
        <v>0</v>
      </c>
      <c r="AD2399" s="66" t="str">
        <f t="shared" si="308"/>
        <v>USD</v>
      </c>
      <c r="AE2399" s="42"/>
      <c r="AF2399" s="42" t="str">
        <f t="array" ref="AF2399">INDEX('Deal Info'!D:D, MATCH(A2399,'Deal Info'!A:A, 0))</f>
        <v>#N/A</v>
      </c>
      <c r="AG2399" s="43" t="str">
        <f t="array" ref="AG2399">INDEX('Deal Info'!G:G, MATCH(A2399,'Deal Info'!A:A, 0))</f>
        <v>#N/A</v>
      </c>
    </row>
    <row r="2400" hidden="1">
      <c r="A2400" s="23" t="b">
        <f t="array" ref="A2400">if(G2400='Room Info'!$B$1, INDEX('Room Info'!$A$2:$A3446, MATCH(B2400,'Room Info'!$B$2:$B3446, 0)),if(G2400='Room Info'!$C$1, INDEX('Room Info'!$A$2:$A3446, MATCH(B2400,'Room Info'!$C$2:$C3446, 0)),if(G2400='Room Info'!$D$1, INDEX('Room Info'!$A$2:$A3446, MATCH(B2400,'Room Info'!$D$2:$D3446, 0)),if(G2400='Room Info'!$E$1, INDEX('Room Info'!$A$2:$A3446, MATCH(B2400,'Room Info'!$E$2:$E3446, 0)),if(G2400='Room Info'!$F$1, INDEX('Room Info'!$A$2:$A3446, MATCH(B2400,'Room Info'!$F$2:$F3446, 0)),if(G2400='Room Info'!$H$1, INDEX('Room Info'!$A$2:$A3446, MATCH(B2400,'Room Info'!$H$2:$H3446, 0)),if(G2400='Room Info'!$G$1, INDEX('Room Info'!$A$2:$A3446, MATCH(B2400,'Room Info'!$G$2:$G3446, 0)))))))))</f>
        <v>0</v>
      </c>
      <c r="B2400" s="101"/>
      <c r="C2400" s="141"/>
      <c r="D2400" s="141"/>
      <c r="E2400" s="142"/>
      <c r="F2400" s="138"/>
      <c r="G2400" s="101"/>
      <c r="H2400" s="105"/>
      <c r="I2400" s="105"/>
      <c r="J2400" s="44" t="str">
        <f t="shared" si="311"/>
        <v/>
      </c>
      <c r="K2400" s="116"/>
      <c r="L2400" s="117"/>
      <c r="M2400" s="67"/>
      <c r="N2400" s="33">
        <f t="shared" si="276"/>
        <v>0</v>
      </c>
      <c r="O2400" s="70"/>
      <c r="P2400" s="34" t="str">
        <f t="shared" si="277"/>
        <v/>
      </c>
      <c r="Q2400" s="60"/>
      <c r="R2400" s="36">
        <f t="shared" si="312"/>
        <v>0</v>
      </c>
      <c r="S2400" s="71"/>
      <c r="T2400" s="37">
        <f t="shared" si="302"/>
        <v>0</v>
      </c>
      <c r="U2400" s="62"/>
      <c r="V2400" s="63"/>
      <c r="W2400" s="63"/>
      <c r="X2400" s="35" t="str">
        <f t="shared" si="303"/>
        <v>#N/A</v>
      </c>
      <c r="Y2400" s="35" t="str">
        <f t="shared" si="304"/>
        <v>#N/A</v>
      </c>
      <c r="Z2400" s="40" t="str">
        <f t="shared" si="305"/>
        <v>#N/A</v>
      </c>
      <c r="AA2400" s="34" t="str">
        <f t="shared" si="306"/>
        <v>#N/A</v>
      </c>
      <c r="AB2400" s="41" t="str">
        <f t="shared" si="307"/>
        <v>#N/A</v>
      </c>
      <c r="AC2400" s="42" t="b">
        <v>0</v>
      </c>
      <c r="AD2400" s="66" t="str">
        <f t="shared" si="308"/>
        <v>USD</v>
      </c>
      <c r="AE2400" s="42"/>
      <c r="AF2400" s="42" t="str">
        <f t="array" ref="AF2400">INDEX('Deal Info'!D:D, MATCH(A2400,'Deal Info'!A:A, 0))</f>
        <v>#N/A</v>
      </c>
      <c r="AG2400" s="43" t="str">
        <f t="array" ref="AG2400">INDEX('Deal Info'!G:G, MATCH(A2400,'Deal Info'!A:A, 0))</f>
        <v>#N/A</v>
      </c>
    </row>
    <row r="2401" hidden="1">
      <c r="A2401" s="23" t="b">
        <f t="array" ref="A2401">if(G2401='Room Info'!$B$1, INDEX('Room Info'!$A$2:$A3446, MATCH(B2401,'Room Info'!$B$2:$B3446, 0)),if(G2401='Room Info'!$C$1, INDEX('Room Info'!$A$2:$A3446, MATCH(B2401,'Room Info'!$C$2:$C3446, 0)),if(G2401='Room Info'!$D$1, INDEX('Room Info'!$A$2:$A3446, MATCH(B2401,'Room Info'!$D$2:$D3446, 0)),if(G2401='Room Info'!$E$1, INDEX('Room Info'!$A$2:$A3446, MATCH(B2401,'Room Info'!$E$2:$E3446, 0)),if(G2401='Room Info'!$F$1, INDEX('Room Info'!$A$2:$A3446, MATCH(B2401,'Room Info'!$F$2:$F3446, 0)),if(G2401='Room Info'!$H$1, INDEX('Room Info'!$A$2:$A3446, MATCH(B2401,'Room Info'!$H$2:$H3446, 0)),if(G2401='Room Info'!$G$1, INDEX('Room Info'!$A$2:$A3446, MATCH(B2401,'Room Info'!$G$2:$G3446, 0)))))))))</f>
        <v>0</v>
      </c>
      <c r="B2401" s="101"/>
      <c r="C2401" s="115"/>
      <c r="D2401" s="115"/>
      <c r="E2401" s="85"/>
      <c r="F2401" s="101"/>
      <c r="G2401" s="70"/>
      <c r="H2401" s="114"/>
      <c r="I2401" s="114"/>
      <c r="J2401" s="44" t="str">
        <f t="shared" si="311"/>
        <v/>
      </c>
      <c r="K2401" s="116"/>
      <c r="L2401" s="117"/>
      <c r="M2401" s="67"/>
      <c r="N2401" s="33">
        <f t="shared" si="276"/>
        <v>0</v>
      </c>
      <c r="O2401" s="70"/>
      <c r="P2401" s="34" t="str">
        <f t="shared" si="277"/>
        <v/>
      </c>
      <c r="Q2401" s="60"/>
      <c r="R2401" s="36">
        <f t="shared" si="312"/>
        <v>0</v>
      </c>
      <c r="S2401" s="71"/>
      <c r="T2401" s="37">
        <f t="shared" si="302"/>
        <v>0</v>
      </c>
      <c r="U2401" s="62"/>
      <c r="V2401" s="63"/>
      <c r="W2401" s="63"/>
      <c r="X2401" s="35" t="str">
        <f t="shared" si="303"/>
        <v>#N/A</v>
      </c>
      <c r="Y2401" s="35" t="str">
        <f t="shared" si="304"/>
        <v>#N/A</v>
      </c>
      <c r="Z2401" s="40" t="str">
        <f t="shared" si="305"/>
        <v>#N/A</v>
      </c>
      <c r="AA2401" s="34" t="str">
        <f t="shared" si="306"/>
        <v>#N/A</v>
      </c>
      <c r="AB2401" s="41" t="str">
        <f t="shared" si="307"/>
        <v>#N/A</v>
      </c>
      <c r="AC2401" s="42" t="b">
        <v>0</v>
      </c>
      <c r="AD2401" s="66" t="str">
        <f t="shared" si="308"/>
        <v>USD</v>
      </c>
      <c r="AE2401" s="42"/>
      <c r="AF2401" s="42" t="str">
        <f t="array" ref="AF2401">INDEX('Deal Info'!D:D, MATCH(A2401,'Deal Info'!A:A, 0))</f>
        <v>#N/A</v>
      </c>
      <c r="AG2401" s="43" t="str">
        <f t="array" ref="AG2401">INDEX('Deal Info'!G:G, MATCH(A2401,'Deal Info'!A:A, 0))</f>
        <v>#N/A</v>
      </c>
    </row>
    <row r="2402" hidden="1">
      <c r="A2402" s="23" t="b">
        <f t="array" ref="A2402">if(G2402='Room Info'!$B$1, INDEX('Room Info'!$A$2:$A3446, MATCH(B2402,'Room Info'!$B$2:$B3446, 0)),if(G2402='Room Info'!$C$1, INDEX('Room Info'!$A$2:$A3446, MATCH(B2402,'Room Info'!$C$2:$C3446, 0)),if(G2402='Room Info'!$D$1, INDEX('Room Info'!$A$2:$A3446, MATCH(B2402,'Room Info'!$D$2:$D3446, 0)),if(G2402='Room Info'!$E$1, INDEX('Room Info'!$A$2:$A3446, MATCH(B2402,'Room Info'!$E$2:$E3446, 0)),if(G2402='Room Info'!$F$1, INDEX('Room Info'!$A$2:$A3446, MATCH(B2402,'Room Info'!$F$2:$F3446, 0)),if(G2402='Room Info'!$H$1, INDEX('Room Info'!$A$2:$A3446, MATCH(B2402,'Room Info'!$H$2:$H3446, 0)),if(G2402='Room Info'!$G$1, INDEX('Room Info'!$A$2:$A3446, MATCH(B2402,'Room Info'!$G$2:$G3446, 0)))))))))</f>
        <v>0</v>
      </c>
      <c r="B2402" s="101"/>
      <c r="C2402" s="115"/>
      <c r="D2402" s="115"/>
      <c r="E2402" s="85"/>
      <c r="F2402" s="101"/>
      <c r="G2402" s="70"/>
      <c r="H2402" s="114"/>
      <c r="I2402" s="114"/>
      <c r="J2402" s="44" t="str">
        <f t="shared" si="311"/>
        <v/>
      </c>
      <c r="K2402" s="116"/>
      <c r="L2402" s="117"/>
      <c r="M2402" s="67"/>
      <c r="N2402" s="33">
        <f t="shared" si="276"/>
        <v>0</v>
      </c>
      <c r="O2402" s="70"/>
      <c r="P2402" s="34" t="str">
        <f t="shared" si="277"/>
        <v/>
      </c>
      <c r="Q2402" s="60"/>
      <c r="R2402" s="36">
        <f t="shared" si="312"/>
        <v>0</v>
      </c>
      <c r="S2402" s="71"/>
      <c r="T2402" s="37">
        <f t="shared" si="302"/>
        <v>0</v>
      </c>
      <c r="U2402" s="62"/>
      <c r="V2402" s="63"/>
      <c r="W2402" s="63"/>
      <c r="X2402" s="35" t="str">
        <f t="shared" si="303"/>
        <v>#N/A</v>
      </c>
      <c r="Y2402" s="35" t="str">
        <f t="shared" si="304"/>
        <v>#N/A</v>
      </c>
      <c r="Z2402" s="40" t="str">
        <f t="shared" si="305"/>
        <v>#N/A</v>
      </c>
      <c r="AA2402" s="34" t="str">
        <f t="shared" si="306"/>
        <v>#N/A</v>
      </c>
      <c r="AB2402" s="41" t="str">
        <f t="shared" si="307"/>
        <v>#N/A</v>
      </c>
      <c r="AC2402" s="42" t="b">
        <v>0</v>
      </c>
      <c r="AD2402" s="66" t="str">
        <f t="shared" si="308"/>
        <v>USD</v>
      </c>
      <c r="AE2402" s="42"/>
      <c r="AF2402" s="42" t="str">
        <f t="array" ref="AF2402">INDEX('Deal Info'!D:D, MATCH(A2402,'Deal Info'!A:A, 0))</f>
        <v>#N/A</v>
      </c>
      <c r="AG2402" s="43" t="str">
        <f t="array" ref="AG2402">INDEX('Deal Info'!G:G, MATCH(A2402,'Deal Info'!A:A, 0))</f>
        <v>#N/A</v>
      </c>
    </row>
    <row r="2403" hidden="1">
      <c r="A2403" s="23" t="b">
        <f t="array" ref="A2403">if(G2403='Room Info'!$B$1, INDEX('Room Info'!$A$2:$A3446, MATCH(B2403,'Room Info'!$B$2:$B3446, 0)),if(G2403='Room Info'!$C$1, INDEX('Room Info'!$A$2:$A3446, MATCH(B2403,'Room Info'!$C$2:$C3446, 0)),if(G2403='Room Info'!$D$1, INDEX('Room Info'!$A$2:$A3446, MATCH(B2403,'Room Info'!$D$2:$D3446, 0)),if(G2403='Room Info'!$E$1, INDEX('Room Info'!$A$2:$A3446, MATCH(B2403,'Room Info'!$E$2:$E3446, 0)),if(G2403='Room Info'!$F$1, INDEX('Room Info'!$A$2:$A3446, MATCH(B2403,'Room Info'!$F$2:$F3446, 0)),if(G2403='Room Info'!$H$1, INDEX('Room Info'!$A$2:$A3446, MATCH(B2403,'Room Info'!$H$2:$H3446, 0)),if(G2403='Room Info'!$G$1, INDEX('Room Info'!$A$2:$A3446, MATCH(B2403,'Room Info'!$G$2:$G3446, 0)))))))))</f>
        <v>0</v>
      </c>
      <c r="B2403" s="101"/>
      <c r="C2403" s="141"/>
      <c r="D2403" s="141"/>
      <c r="E2403" s="142"/>
      <c r="F2403" s="138"/>
      <c r="G2403" s="101"/>
      <c r="H2403" s="105"/>
      <c r="I2403" s="105"/>
      <c r="J2403" s="44" t="str">
        <f t="shared" si="311"/>
        <v/>
      </c>
      <c r="K2403" s="139"/>
      <c r="L2403" s="140"/>
      <c r="M2403" s="84"/>
      <c r="N2403" s="33">
        <f t="shared" si="276"/>
        <v>0</v>
      </c>
      <c r="O2403" s="101"/>
      <c r="P2403" s="34" t="str">
        <f t="shared" si="277"/>
        <v/>
      </c>
      <c r="Q2403" s="60"/>
      <c r="R2403" s="36">
        <f t="shared" si="312"/>
        <v>0</v>
      </c>
      <c r="S2403" s="102"/>
      <c r="T2403" s="37">
        <f t="shared" si="302"/>
        <v>0</v>
      </c>
      <c r="U2403" s="62"/>
      <c r="V2403" s="63"/>
      <c r="W2403" s="63"/>
      <c r="X2403" s="35" t="str">
        <f t="shared" si="303"/>
        <v>#N/A</v>
      </c>
      <c r="Y2403" s="35" t="str">
        <f t="shared" si="304"/>
        <v>#N/A</v>
      </c>
      <c r="Z2403" s="40" t="str">
        <f t="shared" si="305"/>
        <v>#N/A</v>
      </c>
      <c r="AA2403" s="34" t="str">
        <f t="shared" si="306"/>
        <v>#N/A</v>
      </c>
      <c r="AB2403" s="41" t="str">
        <f t="shared" si="307"/>
        <v>#N/A</v>
      </c>
      <c r="AC2403" s="42" t="b">
        <v>0</v>
      </c>
      <c r="AD2403" s="66" t="str">
        <f t="shared" si="308"/>
        <v>USD</v>
      </c>
      <c r="AE2403" s="42"/>
      <c r="AF2403" s="42" t="str">
        <f t="array" ref="AF2403">INDEX('Deal Info'!D:D, MATCH(A2403,'Deal Info'!A:A, 0))</f>
        <v>#N/A</v>
      </c>
      <c r="AG2403" s="43" t="str">
        <f t="array" ref="AG2403">INDEX('Deal Info'!G:G, MATCH(A2403,'Deal Info'!A:A, 0))</f>
        <v>#N/A</v>
      </c>
    </row>
    <row r="2404" hidden="1">
      <c r="A2404" s="23" t="b">
        <f t="array" ref="A2404">if(G2404='Room Info'!$B$1, INDEX('Room Info'!$A$2:$A3446, MATCH(B2404,'Room Info'!$B$2:$B3446, 0)),if(G2404='Room Info'!$C$1, INDEX('Room Info'!$A$2:$A3446, MATCH(B2404,'Room Info'!$C$2:$C3446, 0)),if(G2404='Room Info'!$D$1, INDEX('Room Info'!$A$2:$A3446, MATCH(B2404,'Room Info'!$D$2:$D3446, 0)),if(G2404='Room Info'!$E$1, INDEX('Room Info'!$A$2:$A3446, MATCH(B2404,'Room Info'!$E$2:$E3446, 0)),if(G2404='Room Info'!$F$1, INDEX('Room Info'!$A$2:$A3446, MATCH(B2404,'Room Info'!$F$2:$F3446, 0)),if(G2404='Room Info'!$H$1, INDEX('Room Info'!$A$2:$A3446, MATCH(B2404,'Room Info'!$H$2:$H3446, 0)),if(G2404='Room Info'!$G$1, INDEX('Room Info'!$A$2:$A3446, MATCH(B2404,'Room Info'!$G$2:$G3446, 0)))))))))</f>
        <v>0</v>
      </c>
      <c r="B2404" s="101"/>
      <c r="C2404" s="115"/>
      <c r="D2404" s="115"/>
      <c r="E2404" s="85"/>
      <c r="F2404" s="138"/>
      <c r="G2404" s="70"/>
      <c r="H2404" s="114"/>
      <c r="I2404" s="114"/>
      <c r="J2404" s="44" t="str">
        <f t="shared" si="311"/>
        <v/>
      </c>
      <c r="K2404" s="116"/>
      <c r="L2404" s="117"/>
      <c r="M2404" s="67"/>
      <c r="N2404" s="33">
        <f t="shared" si="276"/>
        <v>0</v>
      </c>
      <c r="O2404" s="70"/>
      <c r="P2404" s="34" t="str">
        <f t="shared" si="277"/>
        <v/>
      </c>
      <c r="Q2404" s="60"/>
      <c r="R2404" s="36">
        <f t="shared" si="312"/>
        <v>0</v>
      </c>
      <c r="S2404" s="71"/>
      <c r="T2404" s="37">
        <f t="shared" si="302"/>
        <v>0</v>
      </c>
      <c r="U2404" s="62"/>
      <c r="V2404" s="63"/>
      <c r="W2404" s="63"/>
      <c r="X2404" s="35" t="str">
        <f t="shared" si="303"/>
        <v>#N/A</v>
      </c>
      <c r="Y2404" s="35" t="str">
        <f t="shared" si="304"/>
        <v>#N/A</v>
      </c>
      <c r="Z2404" s="40" t="str">
        <f t="shared" si="305"/>
        <v>#N/A</v>
      </c>
      <c r="AA2404" s="34" t="str">
        <f t="shared" si="306"/>
        <v>#N/A</v>
      </c>
      <c r="AB2404" s="41" t="str">
        <f t="shared" si="307"/>
        <v>#N/A</v>
      </c>
      <c r="AC2404" s="42" t="b">
        <v>0</v>
      </c>
      <c r="AD2404" s="66" t="str">
        <f t="shared" si="308"/>
        <v>USD</v>
      </c>
      <c r="AE2404" s="42"/>
      <c r="AF2404" s="42" t="str">
        <f t="array" ref="AF2404">INDEX('Deal Info'!D:D, MATCH(A2404,'Deal Info'!A:A, 0))</f>
        <v>#N/A</v>
      </c>
      <c r="AG2404" s="43" t="str">
        <f t="array" ref="AG2404">INDEX('Deal Info'!G:G, MATCH(A2404,'Deal Info'!A:A, 0))</f>
        <v>#N/A</v>
      </c>
    </row>
    <row r="2405" hidden="1">
      <c r="A2405" s="23" t="b">
        <f t="array" ref="A2405">if(G2405='Room Info'!$B$1, INDEX('Room Info'!$A$2:$A3446, MATCH(B2405,'Room Info'!$B$2:$B3446, 0)),if(G2405='Room Info'!$C$1, INDEX('Room Info'!$A$2:$A3446, MATCH(B2405,'Room Info'!$C$2:$C3446, 0)),if(G2405='Room Info'!$D$1, INDEX('Room Info'!$A$2:$A3446, MATCH(B2405,'Room Info'!$D$2:$D3446, 0)),if(G2405='Room Info'!$E$1, INDEX('Room Info'!$A$2:$A3446, MATCH(B2405,'Room Info'!$E$2:$E3446, 0)),if(G2405='Room Info'!$F$1, INDEX('Room Info'!$A$2:$A3446, MATCH(B2405,'Room Info'!$F$2:$F3446, 0)),if(G2405='Room Info'!$H$1, INDEX('Room Info'!$A$2:$A3446, MATCH(B2405,'Room Info'!$H$2:$H3446, 0)),if(G2405='Room Info'!$G$1, INDEX('Room Info'!$A$2:$A3446, MATCH(B2405,'Room Info'!$G$2:$G3446, 0)))))))))</f>
        <v>0</v>
      </c>
      <c r="B2405" s="101"/>
      <c r="C2405" s="115"/>
      <c r="D2405" s="115"/>
      <c r="E2405" s="85"/>
      <c r="F2405" s="138"/>
      <c r="G2405" s="70"/>
      <c r="H2405" s="114"/>
      <c r="I2405" s="114"/>
      <c r="J2405" s="44" t="str">
        <f t="shared" si="311"/>
        <v/>
      </c>
      <c r="K2405" s="116"/>
      <c r="L2405" s="117"/>
      <c r="M2405" s="67"/>
      <c r="N2405" s="33">
        <f t="shared" si="276"/>
        <v>0</v>
      </c>
      <c r="O2405" s="70"/>
      <c r="P2405" s="34" t="str">
        <f t="shared" si="277"/>
        <v/>
      </c>
      <c r="Q2405" s="60"/>
      <c r="R2405" s="36">
        <f t="shared" si="312"/>
        <v>0</v>
      </c>
      <c r="S2405" s="71"/>
      <c r="T2405" s="37">
        <f t="shared" si="302"/>
        <v>0</v>
      </c>
      <c r="U2405" s="62"/>
      <c r="V2405" s="63"/>
      <c r="W2405" s="63"/>
      <c r="X2405" s="35" t="str">
        <f t="shared" si="303"/>
        <v>#N/A</v>
      </c>
      <c r="Y2405" s="35" t="str">
        <f t="shared" si="304"/>
        <v>#N/A</v>
      </c>
      <c r="Z2405" s="40" t="str">
        <f t="shared" si="305"/>
        <v>#N/A</v>
      </c>
      <c r="AA2405" s="34" t="str">
        <f t="shared" si="306"/>
        <v>#N/A</v>
      </c>
      <c r="AB2405" s="41" t="str">
        <f t="shared" si="307"/>
        <v>#N/A</v>
      </c>
      <c r="AC2405" s="42" t="b">
        <v>0</v>
      </c>
      <c r="AD2405" s="66" t="str">
        <f t="shared" si="308"/>
        <v>USD</v>
      </c>
      <c r="AE2405" s="42"/>
      <c r="AF2405" s="42" t="str">
        <f t="array" ref="AF2405">INDEX('Deal Info'!D:D, MATCH(A2405,'Deal Info'!A:A, 0))</f>
        <v>#N/A</v>
      </c>
      <c r="AG2405" s="43" t="str">
        <f t="array" ref="AG2405">INDEX('Deal Info'!G:G, MATCH(A2405,'Deal Info'!A:A, 0))</f>
        <v>#N/A</v>
      </c>
    </row>
    <row r="2406" hidden="1">
      <c r="A2406" s="23" t="b">
        <f t="array" ref="A2406">if(G2406='Room Info'!$B$1, INDEX('Room Info'!$A$2:$A3446, MATCH(B2406,'Room Info'!$B$2:$B3446, 0)),if(G2406='Room Info'!$C$1, INDEX('Room Info'!$A$2:$A3446, MATCH(B2406,'Room Info'!$C$2:$C3446, 0)),if(G2406='Room Info'!$D$1, INDEX('Room Info'!$A$2:$A3446, MATCH(B2406,'Room Info'!$D$2:$D3446, 0)),if(G2406='Room Info'!$E$1, INDEX('Room Info'!$A$2:$A3446, MATCH(B2406,'Room Info'!$E$2:$E3446, 0)),if(G2406='Room Info'!$F$1, INDEX('Room Info'!$A$2:$A3446, MATCH(B2406,'Room Info'!$F$2:$F3446, 0)),if(G2406='Room Info'!$H$1, INDEX('Room Info'!$A$2:$A3446, MATCH(B2406,'Room Info'!$H$2:$H3446, 0)),if(G2406='Room Info'!$G$1, INDEX('Room Info'!$A$2:$A3446, MATCH(B2406,'Room Info'!$G$2:$G3446, 0)))))))))</f>
        <v>0</v>
      </c>
      <c r="B2406" s="101"/>
      <c r="C2406" s="115"/>
      <c r="D2406" s="115"/>
      <c r="E2406" s="85"/>
      <c r="F2406" s="138"/>
      <c r="G2406" s="70"/>
      <c r="H2406" s="114"/>
      <c r="I2406" s="114"/>
      <c r="J2406" s="44" t="str">
        <f t="shared" si="311"/>
        <v/>
      </c>
      <c r="K2406" s="116"/>
      <c r="L2406" s="117"/>
      <c r="M2406" s="67"/>
      <c r="N2406" s="33">
        <f t="shared" si="276"/>
        <v>0</v>
      </c>
      <c r="O2406" s="70"/>
      <c r="P2406" s="34" t="str">
        <f t="shared" si="277"/>
        <v/>
      </c>
      <c r="Q2406" s="60"/>
      <c r="R2406" s="36">
        <f t="shared" si="312"/>
        <v>0</v>
      </c>
      <c r="S2406" s="71"/>
      <c r="T2406" s="37">
        <f t="shared" si="302"/>
        <v>0</v>
      </c>
      <c r="U2406" s="62"/>
      <c r="V2406" s="63"/>
      <c r="W2406" s="63"/>
      <c r="X2406" s="35" t="str">
        <f t="shared" si="303"/>
        <v>#N/A</v>
      </c>
      <c r="Y2406" s="35" t="str">
        <f t="shared" si="304"/>
        <v>#N/A</v>
      </c>
      <c r="Z2406" s="40" t="str">
        <f t="shared" si="305"/>
        <v>#N/A</v>
      </c>
      <c r="AA2406" s="34" t="str">
        <f t="shared" si="306"/>
        <v>#N/A</v>
      </c>
      <c r="AB2406" s="41" t="str">
        <f t="shared" si="307"/>
        <v>#N/A</v>
      </c>
      <c r="AC2406" s="42" t="b">
        <v>0</v>
      </c>
      <c r="AD2406" s="66" t="str">
        <f t="shared" si="308"/>
        <v>USD</v>
      </c>
      <c r="AE2406" s="42"/>
      <c r="AF2406" s="42" t="str">
        <f t="array" ref="AF2406">INDEX('Deal Info'!D:D, MATCH(A2406,'Deal Info'!A:A, 0))</f>
        <v>#N/A</v>
      </c>
      <c r="AG2406" s="43" t="str">
        <f t="array" ref="AG2406">INDEX('Deal Info'!G:G, MATCH(A2406,'Deal Info'!A:A, 0))</f>
        <v>#N/A</v>
      </c>
    </row>
    <row r="2407" hidden="1">
      <c r="A2407" s="23" t="b">
        <f t="array" ref="A2407">if(G2407='Room Info'!$B$1, INDEX('Room Info'!$A$2:$A3446, MATCH(B2407,'Room Info'!$B$2:$B3446, 0)),if(G2407='Room Info'!$C$1, INDEX('Room Info'!$A$2:$A3446, MATCH(B2407,'Room Info'!$C$2:$C3446, 0)),if(G2407='Room Info'!$D$1, INDEX('Room Info'!$A$2:$A3446, MATCH(B2407,'Room Info'!$D$2:$D3446, 0)),if(G2407='Room Info'!$E$1, INDEX('Room Info'!$A$2:$A3446, MATCH(B2407,'Room Info'!$E$2:$E3446, 0)),if(G2407='Room Info'!$F$1, INDEX('Room Info'!$A$2:$A3446, MATCH(B2407,'Room Info'!$F$2:$F3446, 0)),if(G2407='Room Info'!$H$1, INDEX('Room Info'!$A$2:$A3446, MATCH(B2407,'Room Info'!$H$2:$H3446, 0)),if(G2407='Room Info'!$G$1, INDEX('Room Info'!$A$2:$A3446, MATCH(B2407,'Room Info'!$G$2:$G3446, 0)))))))))</f>
        <v>0</v>
      </c>
      <c r="B2407" s="101"/>
      <c r="C2407" s="115"/>
      <c r="D2407" s="115"/>
      <c r="E2407" s="85"/>
      <c r="F2407" s="138"/>
      <c r="G2407" s="70"/>
      <c r="H2407" s="114"/>
      <c r="I2407" s="114"/>
      <c r="J2407" s="44" t="str">
        <f t="shared" si="311"/>
        <v/>
      </c>
      <c r="K2407" s="116"/>
      <c r="L2407" s="117"/>
      <c r="M2407" s="67"/>
      <c r="N2407" s="33">
        <f t="shared" si="276"/>
        <v>0</v>
      </c>
      <c r="O2407" s="70"/>
      <c r="P2407" s="34" t="str">
        <f t="shared" si="277"/>
        <v/>
      </c>
      <c r="Q2407" s="60"/>
      <c r="R2407" s="36">
        <f t="shared" si="312"/>
        <v>0</v>
      </c>
      <c r="S2407" s="71"/>
      <c r="T2407" s="37">
        <f t="shared" si="302"/>
        <v>0</v>
      </c>
      <c r="U2407" s="62"/>
      <c r="V2407" s="63"/>
      <c r="W2407" s="63"/>
      <c r="X2407" s="35" t="str">
        <f t="shared" si="303"/>
        <v>#N/A</v>
      </c>
      <c r="Y2407" s="35" t="str">
        <f t="shared" si="304"/>
        <v>#N/A</v>
      </c>
      <c r="Z2407" s="40" t="str">
        <f t="shared" si="305"/>
        <v>#N/A</v>
      </c>
      <c r="AA2407" s="34" t="str">
        <f t="shared" si="306"/>
        <v>#N/A</v>
      </c>
      <c r="AB2407" s="41" t="str">
        <f t="shared" si="307"/>
        <v>#N/A</v>
      </c>
      <c r="AC2407" s="42" t="b">
        <v>0</v>
      </c>
      <c r="AD2407" s="66" t="str">
        <f t="shared" si="308"/>
        <v>USD</v>
      </c>
      <c r="AE2407" s="42"/>
      <c r="AF2407" s="42" t="str">
        <f t="array" ref="AF2407">INDEX('Deal Info'!D:D, MATCH(A2407,'Deal Info'!A:A, 0))</f>
        <v>#N/A</v>
      </c>
      <c r="AG2407" s="43" t="str">
        <f t="array" ref="AG2407">INDEX('Deal Info'!G:G, MATCH(A2407,'Deal Info'!A:A, 0))</f>
        <v>#N/A</v>
      </c>
    </row>
    <row r="2408" hidden="1">
      <c r="A2408" s="23" t="b">
        <f t="array" ref="A2408">if(G2408='Room Info'!$B$1, INDEX('Room Info'!$A$2:$A3446, MATCH(B2408,'Room Info'!$B$2:$B3446, 0)),if(G2408='Room Info'!$C$1, INDEX('Room Info'!$A$2:$A3446, MATCH(B2408,'Room Info'!$C$2:$C3446, 0)),if(G2408='Room Info'!$D$1, INDEX('Room Info'!$A$2:$A3446, MATCH(B2408,'Room Info'!$D$2:$D3446, 0)),if(G2408='Room Info'!$E$1, INDEX('Room Info'!$A$2:$A3446, MATCH(B2408,'Room Info'!$E$2:$E3446, 0)),if(G2408='Room Info'!$F$1, INDEX('Room Info'!$A$2:$A3446, MATCH(B2408,'Room Info'!$F$2:$F3446, 0)),if(G2408='Room Info'!$H$1, INDEX('Room Info'!$A$2:$A3446, MATCH(B2408,'Room Info'!$H$2:$H3446, 0)),if(G2408='Room Info'!$G$1, INDEX('Room Info'!$A$2:$A3446, MATCH(B2408,'Room Info'!$G$2:$G3446, 0)))))))))</f>
        <v>0</v>
      </c>
      <c r="B2408" s="101"/>
      <c r="C2408" s="115"/>
      <c r="D2408" s="115"/>
      <c r="E2408" s="85"/>
      <c r="F2408" s="138"/>
      <c r="G2408" s="70"/>
      <c r="H2408" s="114"/>
      <c r="I2408" s="114"/>
      <c r="J2408" s="44" t="str">
        <f t="shared" si="311"/>
        <v/>
      </c>
      <c r="K2408" s="116"/>
      <c r="L2408" s="117"/>
      <c r="M2408" s="67"/>
      <c r="N2408" s="33">
        <f t="shared" si="276"/>
        <v>0</v>
      </c>
      <c r="O2408" s="70"/>
      <c r="P2408" s="34" t="str">
        <f t="shared" si="277"/>
        <v/>
      </c>
      <c r="Q2408" s="60"/>
      <c r="R2408" s="36">
        <f t="shared" si="312"/>
        <v>0</v>
      </c>
      <c r="S2408" s="71"/>
      <c r="T2408" s="37">
        <f t="shared" si="302"/>
        <v>0</v>
      </c>
      <c r="U2408" s="62"/>
      <c r="V2408" s="63"/>
      <c r="W2408" s="63"/>
      <c r="X2408" s="35" t="str">
        <f t="shared" si="303"/>
        <v>#N/A</v>
      </c>
      <c r="Y2408" s="35" t="str">
        <f t="shared" si="304"/>
        <v>#N/A</v>
      </c>
      <c r="Z2408" s="40" t="str">
        <f t="shared" si="305"/>
        <v>#N/A</v>
      </c>
      <c r="AA2408" s="34" t="str">
        <f t="shared" si="306"/>
        <v>#N/A</v>
      </c>
      <c r="AB2408" s="41" t="str">
        <f t="shared" si="307"/>
        <v>#N/A</v>
      </c>
      <c r="AC2408" s="42" t="b">
        <v>0</v>
      </c>
      <c r="AD2408" s="66" t="str">
        <f t="shared" si="308"/>
        <v>USD</v>
      </c>
      <c r="AE2408" s="42"/>
      <c r="AF2408" s="42" t="str">
        <f t="array" ref="AF2408">INDEX('Deal Info'!D:D, MATCH(A2408,'Deal Info'!A:A, 0))</f>
        <v>#N/A</v>
      </c>
      <c r="AG2408" s="43" t="str">
        <f t="array" ref="AG2408">INDEX('Deal Info'!G:G, MATCH(A2408,'Deal Info'!A:A, 0))</f>
        <v>#N/A</v>
      </c>
    </row>
    <row r="2409" hidden="1">
      <c r="A2409" s="23" t="b">
        <f t="array" ref="A2409">if(G2409='Room Info'!$B$1, INDEX('Room Info'!$A$2:$A3446, MATCH(B2409,'Room Info'!$B$2:$B3446, 0)),if(G2409='Room Info'!$C$1, INDEX('Room Info'!$A$2:$A3446, MATCH(B2409,'Room Info'!$C$2:$C3446, 0)),if(G2409='Room Info'!$D$1, INDEX('Room Info'!$A$2:$A3446, MATCH(B2409,'Room Info'!$D$2:$D3446, 0)),if(G2409='Room Info'!$E$1, INDEX('Room Info'!$A$2:$A3446, MATCH(B2409,'Room Info'!$E$2:$E3446, 0)),if(G2409='Room Info'!$F$1, INDEX('Room Info'!$A$2:$A3446, MATCH(B2409,'Room Info'!$F$2:$F3446, 0)),if(G2409='Room Info'!$H$1, INDEX('Room Info'!$A$2:$A3446, MATCH(B2409,'Room Info'!$H$2:$H3446, 0)),if(G2409='Room Info'!$G$1, INDEX('Room Info'!$A$2:$A3446, MATCH(B2409,'Room Info'!$G$2:$G3446, 0)))))))))</f>
        <v>0</v>
      </c>
      <c r="B2409" s="101"/>
      <c r="C2409" s="115"/>
      <c r="D2409" s="115"/>
      <c r="E2409" s="85"/>
      <c r="F2409" s="138"/>
      <c r="G2409" s="70"/>
      <c r="H2409" s="114"/>
      <c r="I2409" s="114"/>
      <c r="J2409" s="44" t="str">
        <f t="shared" si="311"/>
        <v/>
      </c>
      <c r="K2409" s="116"/>
      <c r="L2409" s="117"/>
      <c r="M2409" s="67"/>
      <c r="N2409" s="33">
        <f t="shared" si="276"/>
        <v>0</v>
      </c>
      <c r="O2409" s="70"/>
      <c r="P2409" s="34" t="str">
        <f t="shared" si="277"/>
        <v/>
      </c>
      <c r="Q2409" s="60"/>
      <c r="R2409" s="36">
        <f t="shared" si="312"/>
        <v>0</v>
      </c>
      <c r="S2409" s="71"/>
      <c r="T2409" s="37">
        <f t="shared" si="302"/>
        <v>0</v>
      </c>
      <c r="U2409" s="62"/>
      <c r="V2409" s="63"/>
      <c r="W2409" s="63"/>
      <c r="X2409" s="35" t="str">
        <f t="shared" si="303"/>
        <v>#N/A</v>
      </c>
      <c r="Y2409" s="35" t="str">
        <f t="shared" si="304"/>
        <v>#N/A</v>
      </c>
      <c r="Z2409" s="40" t="str">
        <f t="shared" si="305"/>
        <v>#N/A</v>
      </c>
      <c r="AA2409" s="34" t="str">
        <f t="shared" si="306"/>
        <v>#N/A</v>
      </c>
      <c r="AB2409" s="41" t="str">
        <f t="shared" si="307"/>
        <v>#N/A</v>
      </c>
      <c r="AC2409" s="42" t="b">
        <v>0</v>
      </c>
      <c r="AD2409" s="66" t="str">
        <f t="shared" si="308"/>
        <v>USD</v>
      </c>
      <c r="AE2409" s="42"/>
      <c r="AF2409" s="42" t="str">
        <f t="array" ref="AF2409">INDEX('Deal Info'!D:D, MATCH(A2409,'Deal Info'!A:A, 0))</f>
        <v>#N/A</v>
      </c>
      <c r="AG2409" s="43" t="str">
        <f t="array" ref="AG2409">INDEX('Deal Info'!G:G, MATCH(A2409,'Deal Info'!A:A, 0))</f>
        <v>#N/A</v>
      </c>
    </row>
    <row r="2410" hidden="1">
      <c r="A2410" s="23" t="b">
        <f t="array" ref="A2410">if(G2410='Room Info'!$B$1, INDEX('Room Info'!$A$2:$A3446, MATCH(B2410,'Room Info'!$B$2:$B3446, 0)),if(G2410='Room Info'!$C$1, INDEX('Room Info'!$A$2:$A3446, MATCH(B2410,'Room Info'!$C$2:$C3446, 0)),if(G2410='Room Info'!$D$1, INDEX('Room Info'!$A$2:$A3446, MATCH(B2410,'Room Info'!$D$2:$D3446, 0)),if(G2410='Room Info'!$E$1, INDEX('Room Info'!$A$2:$A3446, MATCH(B2410,'Room Info'!$E$2:$E3446, 0)),if(G2410='Room Info'!$F$1, INDEX('Room Info'!$A$2:$A3446, MATCH(B2410,'Room Info'!$F$2:$F3446, 0)),if(G2410='Room Info'!$H$1, INDEX('Room Info'!$A$2:$A3446, MATCH(B2410,'Room Info'!$H$2:$H3446, 0)),if(G2410='Room Info'!$G$1, INDEX('Room Info'!$A$2:$A3446, MATCH(B2410,'Room Info'!$G$2:$G3446, 0)))))))))</f>
        <v>0</v>
      </c>
      <c r="B2410" s="101"/>
      <c r="C2410" s="115"/>
      <c r="D2410" s="115"/>
      <c r="E2410" s="85"/>
      <c r="F2410" s="138"/>
      <c r="G2410" s="70"/>
      <c r="H2410" s="114"/>
      <c r="I2410" s="114"/>
      <c r="J2410" s="44" t="str">
        <f t="shared" si="311"/>
        <v/>
      </c>
      <c r="K2410" s="116"/>
      <c r="L2410" s="117"/>
      <c r="M2410" s="67"/>
      <c r="N2410" s="33">
        <f t="shared" si="276"/>
        <v>0</v>
      </c>
      <c r="O2410" s="70"/>
      <c r="P2410" s="34" t="str">
        <f t="shared" si="277"/>
        <v/>
      </c>
      <c r="Q2410" s="60"/>
      <c r="R2410" s="36">
        <f t="shared" si="312"/>
        <v>0</v>
      </c>
      <c r="S2410" s="71"/>
      <c r="T2410" s="37">
        <f t="shared" si="302"/>
        <v>0</v>
      </c>
      <c r="U2410" s="62"/>
      <c r="V2410" s="63"/>
      <c r="W2410" s="63"/>
      <c r="X2410" s="35" t="str">
        <f t="shared" si="303"/>
        <v>#N/A</v>
      </c>
      <c r="Y2410" s="35" t="str">
        <f t="shared" si="304"/>
        <v>#N/A</v>
      </c>
      <c r="Z2410" s="40" t="str">
        <f t="shared" si="305"/>
        <v>#N/A</v>
      </c>
      <c r="AA2410" s="34" t="str">
        <f t="shared" si="306"/>
        <v>#N/A</v>
      </c>
      <c r="AB2410" s="41" t="str">
        <f t="shared" si="307"/>
        <v>#N/A</v>
      </c>
      <c r="AC2410" s="42" t="b">
        <v>0</v>
      </c>
      <c r="AD2410" s="66" t="str">
        <f t="shared" si="308"/>
        <v>USD</v>
      </c>
      <c r="AE2410" s="42"/>
      <c r="AF2410" s="42" t="str">
        <f t="array" ref="AF2410">INDEX('Deal Info'!D:D, MATCH(A2410,'Deal Info'!A:A, 0))</f>
        <v>#N/A</v>
      </c>
      <c r="AG2410" s="43" t="str">
        <f t="array" ref="AG2410">INDEX('Deal Info'!G:G, MATCH(A2410,'Deal Info'!A:A, 0))</f>
        <v>#N/A</v>
      </c>
    </row>
    <row r="2411" hidden="1">
      <c r="A2411" s="23" t="b">
        <f t="array" ref="A2411">if(G2411='Room Info'!$B$1, INDEX('Room Info'!$A$2:$A3446, MATCH(B2411,'Room Info'!$B$2:$B3446, 0)),if(G2411='Room Info'!$C$1, INDEX('Room Info'!$A$2:$A3446, MATCH(B2411,'Room Info'!$C$2:$C3446, 0)),if(G2411='Room Info'!$D$1, INDEX('Room Info'!$A$2:$A3446, MATCH(B2411,'Room Info'!$D$2:$D3446, 0)),if(G2411='Room Info'!$E$1, INDEX('Room Info'!$A$2:$A3446, MATCH(B2411,'Room Info'!$E$2:$E3446, 0)),if(G2411='Room Info'!$F$1, INDEX('Room Info'!$A$2:$A3446, MATCH(B2411,'Room Info'!$F$2:$F3446, 0)),if(G2411='Room Info'!$H$1, INDEX('Room Info'!$A$2:$A3446, MATCH(B2411,'Room Info'!$H$2:$H3446, 0)),if(G2411='Room Info'!$G$1, INDEX('Room Info'!$A$2:$A3446, MATCH(B2411,'Room Info'!$G$2:$G3446, 0)))))))))</f>
        <v>0</v>
      </c>
      <c r="B2411" s="101"/>
      <c r="C2411" s="115"/>
      <c r="D2411" s="115"/>
      <c r="E2411" s="85"/>
      <c r="F2411" s="138"/>
      <c r="G2411" s="70"/>
      <c r="H2411" s="114"/>
      <c r="I2411" s="114"/>
      <c r="J2411" s="44" t="str">
        <f t="shared" si="311"/>
        <v/>
      </c>
      <c r="K2411" s="116"/>
      <c r="L2411" s="117"/>
      <c r="M2411" s="67"/>
      <c r="N2411" s="33">
        <f t="shared" si="276"/>
        <v>0</v>
      </c>
      <c r="O2411" s="70"/>
      <c r="P2411" s="34" t="str">
        <f t="shared" si="277"/>
        <v/>
      </c>
      <c r="Q2411" s="60"/>
      <c r="R2411" s="36">
        <f t="shared" si="312"/>
        <v>0</v>
      </c>
      <c r="S2411" s="71"/>
      <c r="T2411" s="37">
        <f t="shared" si="302"/>
        <v>0</v>
      </c>
      <c r="U2411" s="62"/>
      <c r="V2411" s="63"/>
      <c r="W2411" s="63"/>
      <c r="X2411" s="35" t="str">
        <f t="shared" si="303"/>
        <v>#N/A</v>
      </c>
      <c r="Y2411" s="35" t="str">
        <f t="shared" si="304"/>
        <v>#N/A</v>
      </c>
      <c r="Z2411" s="40" t="str">
        <f t="shared" si="305"/>
        <v>#N/A</v>
      </c>
      <c r="AA2411" s="34" t="str">
        <f t="shared" si="306"/>
        <v>#N/A</v>
      </c>
      <c r="AB2411" s="41" t="str">
        <f t="shared" si="307"/>
        <v>#N/A</v>
      </c>
      <c r="AC2411" s="42" t="b">
        <v>0</v>
      </c>
      <c r="AD2411" s="66" t="str">
        <f t="shared" si="308"/>
        <v>USD</v>
      </c>
      <c r="AE2411" s="42"/>
      <c r="AF2411" s="42" t="str">
        <f t="array" ref="AF2411">INDEX('Deal Info'!D:D, MATCH(A2411,'Deal Info'!A:A, 0))</f>
        <v>#N/A</v>
      </c>
      <c r="AG2411" s="43" t="str">
        <f t="array" ref="AG2411">INDEX('Deal Info'!G:G, MATCH(A2411,'Deal Info'!A:A, 0))</f>
        <v>#N/A</v>
      </c>
    </row>
    <row r="2412" hidden="1">
      <c r="A2412" s="23" t="b">
        <f t="array" ref="A2412">if(G2412='Room Info'!$B$1, INDEX('Room Info'!$A$2:$A3446, MATCH(B2412,'Room Info'!$B$2:$B3446, 0)),if(G2412='Room Info'!$C$1, INDEX('Room Info'!$A$2:$A3446, MATCH(B2412,'Room Info'!$C$2:$C3446, 0)),if(G2412='Room Info'!$D$1, INDEX('Room Info'!$A$2:$A3446, MATCH(B2412,'Room Info'!$D$2:$D3446, 0)),if(G2412='Room Info'!$E$1, INDEX('Room Info'!$A$2:$A3446, MATCH(B2412,'Room Info'!$E$2:$E3446, 0)),if(G2412='Room Info'!$F$1, INDEX('Room Info'!$A$2:$A3446, MATCH(B2412,'Room Info'!$F$2:$F3446, 0)),if(G2412='Room Info'!$H$1, INDEX('Room Info'!$A$2:$A3446, MATCH(B2412,'Room Info'!$H$2:$H3446, 0)),if(G2412='Room Info'!$G$1, INDEX('Room Info'!$A$2:$A3446, MATCH(B2412,'Room Info'!$G$2:$G3446, 0)))))))))</f>
        <v>0</v>
      </c>
      <c r="B2412" s="101"/>
      <c r="C2412" s="115"/>
      <c r="D2412" s="115"/>
      <c r="E2412" s="85"/>
      <c r="F2412" s="138"/>
      <c r="G2412" s="70"/>
      <c r="H2412" s="114"/>
      <c r="I2412" s="114"/>
      <c r="J2412" s="44" t="str">
        <f t="shared" si="311"/>
        <v/>
      </c>
      <c r="K2412" s="116"/>
      <c r="L2412" s="117"/>
      <c r="M2412" s="67"/>
      <c r="N2412" s="33">
        <f t="shared" si="276"/>
        <v>0</v>
      </c>
      <c r="O2412" s="70"/>
      <c r="P2412" s="34" t="str">
        <f t="shared" si="277"/>
        <v/>
      </c>
      <c r="Q2412" s="60"/>
      <c r="R2412" s="36">
        <f t="shared" si="312"/>
        <v>0</v>
      </c>
      <c r="S2412" s="71"/>
      <c r="T2412" s="37">
        <f t="shared" si="302"/>
        <v>0</v>
      </c>
      <c r="U2412" s="62"/>
      <c r="V2412" s="63"/>
      <c r="W2412" s="63"/>
      <c r="X2412" s="35" t="str">
        <f t="shared" si="303"/>
        <v>#N/A</v>
      </c>
      <c r="Y2412" s="35" t="str">
        <f t="shared" si="304"/>
        <v>#N/A</v>
      </c>
      <c r="Z2412" s="40" t="str">
        <f t="shared" si="305"/>
        <v>#N/A</v>
      </c>
      <c r="AA2412" s="34" t="str">
        <f t="shared" si="306"/>
        <v>#N/A</v>
      </c>
      <c r="AB2412" s="41" t="str">
        <f t="shared" si="307"/>
        <v>#N/A</v>
      </c>
      <c r="AC2412" s="42" t="b">
        <v>0</v>
      </c>
      <c r="AD2412" s="66" t="str">
        <f t="shared" si="308"/>
        <v>USD</v>
      </c>
      <c r="AE2412" s="42"/>
      <c r="AF2412" s="42" t="str">
        <f t="array" ref="AF2412">INDEX('Deal Info'!D:D, MATCH(A2412,'Deal Info'!A:A, 0))</f>
        <v>#N/A</v>
      </c>
      <c r="AG2412" s="43" t="str">
        <f t="array" ref="AG2412">INDEX('Deal Info'!G:G, MATCH(A2412,'Deal Info'!A:A, 0))</f>
        <v>#N/A</v>
      </c>
    </row>
    <row r="2413" hidden="1">
      <c r="A2413" s="23" t="b">
        <f t="array" ref="A2413">if(G2413='Room Info'!$B$1, INDEX('Room Info'!$A$2:$A3446, MATCH(B2413,'Room Info'!$B$2:$B3446, 0)),if(G2413='Room Info'!$C$1, INDEX('Room Info'!$A$2:$A3446, MATCH(B2413,'Room Info'!$C$2:$C3446, 0)),if(G2413='Room Info'!$D$1, INDEX('Room Info'!$A$2:$A3446, MATCH(B2413,'Room Info'!$D$2:$D3446, 0)),if(G2413='Room Info'!$E$1, INDEX('Room Info'!$A$2:$A3446, MATCH(B2413,'Room Info'!$E$2:$E3446, 0)),if(G2413='Room Info'!$F$1, INDEX('Room Info'!$A$2:$A3446, MATCH(B2413,'Room Info'!$F$2:$F3446, 0)),if(G2413='Room Info'!$H$1, INDEX('Room Info'!$A$2:$A3446, MATCH(B2413,'Room Info'!$H$2:$H3446, 0)),if(G2413='Room Info'!$G$1, INDEX('Room Info'!$A$2:$A3446, MATCH(B2413,'Room Info'!$G$2:$G3446, 0)))))))))</f>
        <v>0</v>
      </c>
      <c r="B2413" s="101"/>
      <c r="C2413" s="115"/>
      <c r="D2413" s="115"/>
      <c r="E2413" s="85"/>
      <c r="F2413" s="138"/>
      <c r="G2413" s="70"/>
      <c r="H2413" s="114"/>
      <c r="I2413" s="114"/>
      <c r="J2413" s="44" t="str">
        <f t="shared" si="311"/>
        <v/>
      </c>
      <c r="K2413" s="116"/>
      <c r="L2413" s="117"/>
      <c r="M2413" s="67"/>
      <c r="N2413" s="33">
        <f t="shared" si="276"/>
        <v>0</v>
      </c>
      <c r="O2413" s="70"/>
      <c r="P2413" s="34" t="str">
        <f t="shared" si="277"/>
        <v/>
      </c>
      <c r="Q2413" s="60"/>
      <c r="R2413" s="36">
        <f t="shared" si="312"/>
        <v>0</v>
      </c>
      <c r="S2413" s="71"/>
      <c r="T2413" s="37">
        <f t="shared" si="302"/>
        <v>0</v>
      </c>
      <c r="U2413" s="62"/>
      <c r="V2413" s="63"/>
      <c r="W2413" s="63"/>
      <c r="X2413" s="35" t="str">
        <f t="shared" si="303"/>
        <v>#N/A</v>
      </c>
      <c r="Y2413" s="35" t="str">
        <f t="shared" si="304"/>
        <v>#N/A</v>
      </c>
      <c r="Z2413" s="40" t="str">
        <f t="shared" si="305"/>
        <v>#N/A</v>
      </c>
      <c r="AA2413" s="34" t="str">
        <f t="shared" si="306"/>
        <v>#N/A</v>
      </c>
      <c r="AB2413" s="41" t="str">
        <f t="shared" si="307"/>
        <v>#N/A</v>
      </c>
      <c r="AC2413" s="42" t="b">
        <v>0</v>
      </c>
      <c r="AD2413" s="66" t="str">
        <f t="shared" si="308"/>
        <v>USD</v>
      </c>
      <c r="AE2413" s="42"/>
      <c r="AF2413" s="42" t="str">
        <f t="array" ref="AF2413">INDEX('Deal Info'!D:D, MATCH(A2413,'Deal Info'!A:A, 0))</f>
        <v>#N/A</v>
      </c>
      <c r="AG2413" s="43" t="str">
        <f t="array" ref="AG2413">INDEX('Deal Info'!G:G, MATCH(A2413,'Deal Info'!A:A, 0))</f>
        <v>#N/A</v>
      </c>
    </row>
    <row r="2414" hidden="1">
      <c r="A2414" s="23" t="b">
        <f t="array" ref="A2414">if(G2414='Room Info'!$B$1, INDEX('Room Info'!$A$2:$A3446, MATCH(B2414,'Room Info'!$B$2:$B3446, 0)),if(G2414='Room Info'!$C$1, INDEX('Room Info'!$A$2:$A3446, MATCH(B2414,'Room Info'!$C$2:$C3446, 0)),if(G2414='Room Info'!$D$1, INDEX('Room Info'!$A$2:$A3446, MATCH(B2414,'Room Info'!$D$2:$D3446, 0)),if(G2414='Room Info'!$E$1, INDEX('Room Info'!$A$2:$A3446, MATCH(B2414,'Room Info'!$E$2:$E3446, 0)),if(G2414='Room Info'!$F$1, INDEX('Room Info'!$A$2:$A3446, MATCH(B2414,'Room Info'!$F$2:$F3446, 0)),if(G2414='Room Info'!$H$1, INDEX('Room Info'!$A$2:$A3446, MATCH(B2414,'Room Info'!$H$2:$H3446, 0)),if(G2414='Room Info'!$G$1, INDEX('Room Info'!$A$2:$A3446, MATCH(B2414,'Room Info'!$G$2:$G3446, 0)))))))))</f>
        <v>0</v>
      </c>
      <c r="B2414" s="101"/>
      <c r="C2414" s="115"/>
      <c r="D2414" s="115"/>
      <c r="E2414" s="85"/>
      <c r="F2414" s="138"/>
      <c r="G2414" s="70"/>
      <c r="H2414" s="114"/>
      <c r="I2414" s="114"/>
      <c r="J2414" s="44" t="str">
        <f t="shared" si="311"/>
        <v/>
      </c>
      <c r="K2414" s="116"/>
      <c r="L2414" s="117"/>
      <c r="M2414" s="67"/>
      <c r="N2414" s="33">
        <f t="shared" si="276"/>
        <v>0</v>
      </c>
      <c r="O2414" s="70"/>
      <c r="P2414" s="34" t="str">
        <f t="shared" si="277"/>
        <v/>
      </c>
      <c r="Q2414" s="60"/>
      <c r="R2414" s="36">
        <f t="shared" si="312"/>
        <v>0</v>
      </c>
      <c r="S2414" s="71"/>
      <c r="T2414" s="37">
        <f t="shared" si="302"/>
        <v>0</v>
      </c>
      <c r="U2414" s="62"/>
      <c r="V2414" s="63"/>
      <c r="W2414" s="63"/>
      <c r="X2414" s="35" t="str">
        <f t="shared" si="303"/>
        <v>#N/A</v>
      </c>
      <c r="Y2414" s="35" t="str">
        <f t="shared" si="304"/>
        <v>#N/A</v>
      </c>
      <c r="Z2414" s="40" t="str">
        <f t="shared" si="305"/>
        <v>#N/A</v>
      </c>
      <c r="AA2414" s="34" t="str">
        <f t="shared" si="306"/>
        <v>#N/A</v>
      </c>
      <c r="AB2414" s="41" t="str">
        <f t="shared" si="307"/>
        <v>#N/A</v>
      </c>
      <c r="AC2414" s="42" t="b">
        <v>0</v>
      </c>
      <c r="AD2414" s="66" t="str">
        <f t="shared" si="308"/>
        <v>USD</v>
      </c>
      <c r="AE2414" s="42"/>
      <c r="AF2414" s="42" t="str">
        <f t="array" ref="AF2414">INDEX('Deal Info'!D:D, MATCH(A2414,'Deal Info'!A:A, 0))</f>
        <v>#N/A</v>
      </c>
      <c r="AG2414" s="43" t="str">
        <f t="array" ref="AG2414">INDEX('Deal Info'!G:G, MATCH(A2414,'Deal Info'!A:A, 0))</f>
        <v>#N/A</v>
      </c>
    </row>
    <row r="2415" hidden="1">
      <c r="A2415" s="23" t="b">
        <f t="array" ref="A2415">if(G2415='Room Info'!$B$1, INDEX('Room Info'!$A$2:$A3446, MATCH(B2415,'Room Info'!$B$2:$B3446, 0)),if(G2415='Room Info'!$C$1, INDEX('Room Info'!$A$2:$A3446, MATCH(B2415,'Room Info'!$C$2:$C3446, 0)),if(G2415='Room Info'!$D$1, INDEX('Room Info'!$A$2:$A3446, MATCH(B2415,'Room Info'!$D$2:$D3446, 0)),if(G2415='Room Info'!$E$1, INDEX('Room Info'!$A$2:$A3446, MATCH(B2415,'Room Info'!$E$2:$E3446, 0)),if(G2415='Room Info'!$F$1, INDEX('Room Info'!$A$2:$A3446, MATCH(B2415,'Room Info'!$F$2:$F3446, 0)),if(G2415='Room Info'!$H$1, INDEX('Room Info'!$A$2:$A3446, MATCH(B2415,'Room Info'!$H$2:$H3446, 0)),if(G2415='Room Info'!$G$1, INDEX('Room Info'!$A$2:$A3446, MATCH(B2415,'Room Info'!$G$2:$G3446, 0)))))))))</f>
        <v>0</v>
      </c>
      <c r="B2415" s="101"/>
      <c r="C2415" s="141"/>
      <c r="D2415" s="141"/>
      <c r="E2415" s="142"/>
      <c r="F2415" s="138"/>
      <c r="G2415" s="101"/>
      <c r="H2415" s="105"/>
      <c r="I2415" s="105"/>
      <c r="J2415" s="44" t="str">
        <f t="shared" si="311"/>
        <v/>
      </c>
      <c r="K2415" s="139"/>
      <c r="L2415" s="140"/>
      <c r="M2415" s="84"/>
      <c r="N2415" s="33">
        <f t="shared" si="276"/>
        <v>0</v>
      </c>
      <c r="O2415" s="101"/>
      <c r="P2415" s="34" t="str">
        <f t="shared" si="277"/>
        <v/>
      </c>
      <c r="Q2415" s="60"/>
      <c r="R2415" s="36">
        <f t="shared" si="312"/>
        <v>0</v>
      </c>
      <c r="S2415" s="102"/>
      <c r="T2415" s="37">
        <f t="shared" si="302"/>
        <v>0</v>
      </c>
      <c r="U2415" s="62"/>
      <c r="V2415" s="63"/>
      <c r="W2415" s="63"/>
      <c r="X2415" s="35" t="str">
        <f t="shared" si="303"/>
        <v>#N/A</v>
      </c>
      <c r="Y2415" s="35" t="str">
        <f t="shared" si="304"/>
        <v>#N/A</v>
      </c>
      <c r="Z2415" s="40" t="str">
        <f t="shared" si="305"/>
        <v>#N/A</v>
      </c>
      <c r="AA2415" s="34" t="str">
        <f t="shared" si="306"/>
        <v>#N/A</v>
      </c>
      <c r="AB2415" s="41" t="str">
        <f t="shared" si="307"/>
        <v>#N/A</v>
      </c>
      <c r="AC2415" s="42" t="b">
        <v>0</v>
      </c>
      <c r="AD2415" s="66" t="str">
        <f t="shared" si="308"/>
        <v>USD</v>
      </c>
      <c r="AE2415" s="42"/>
      <c r="AF2415" s="42" t="str">
        <f t="array" ref="AF2415">INDEX('Deal Info'!D:D, MATCH(A2415,'Deal Info'!A:A, 0))</f>
        <v>#N/A</v>
      </c>
      <c r="AG2415" s="43" t="str">
        <f t="array" ref="AG2415">INDEX('Deal Info'!G:G, MATCH(A2415,'Deal Info'!A:A, 0))</f>
        <v>#N/A</v>
      </c>
    </row>
    <row r="2416" hidden="1">
      <c r="A2416" s="23" t="b">
        <f t="array" ref="A2416">if(G2416='Room Info'!$B$1, INDEX('Room Info'!$A$2:$A3446, MATCH(B2416,'Room Info'!$B$2:$B3446, 0)),if(G2416='Room Info'!$C$1, INDEX('Room Info'!$A$2:$A3446, MATCH(B2416,'Room Info'!$C$2:$C3446, 0)),if(G2416='Room Info'!$D$1, INDEX('Room Info'!$A$2:$A3446, MATCH(B2416,'Room Info'!$D$2:$D3446, 0)),if(G2416='Room Info'!$E$1, INDEX('Room Info'!$A$2:$A3446, MATCH(B2416,'Room Info'!$E$2:$E3446, 0)),if(G2416='Room Info'!$F$1, INDEX('Room Info'!$A$2:$A3446, MATCH(B2416,'Room Info'!$F$2:$F3446, 0)),if(G2416='Room Info'!$H$1, INDEX('Room Info'!$A$2:$A3446, MATCH(B2416,'Room Info'!$H$2:$H3446, 0)),if(G2416='Room Info'!$G$1, INDEX('Room Info'!$A$2:$A3446, MATCH(B2416,'Room Info'!$G$2:$G3446, 0)))))))))</f>
        <v>0</v>
      </c>
      <c r="B2416" s="101"/>
      <c r="C2416" s="141"/>
      <c r="D2416" s="141"/>
      <c r="E2416" s="142"/>
      <c r="F2416" s="138"/>
      <c r="G2416" s="101"/>
      <c r="H2416" s="105"/>
      <c r="I2416" s="105"/>
      <c r="J2416" s="44" t="str">
        <f t="shared" si="311"/>
        <v/>
      </c>
      <c r="K2416" s="139"/>
      <c r="L2416" s="140"/>
      <c r="M2416" s="84"/>
      <c r="N2416" s="33">
        <f t="shared" si="276"/>
        <v>0</v>
      </c>
      <c r="O2416" s="101"/>
      <c r="P2416" s="34" t="str">
        <f t="shared" si="277"/>
        <v/>
      </c>
      <c r="Q2416" s="60"/>
      <c r="R2416" s="36">
        <f t="shared" si="312"/>
        <v>0</v>
      </c>
      <c r="S2416" s="102"/>
      <c r="T2416" s="37">
        <f t="shared" si="302"/>
        <v>0</v>
      </c>
      <c r="U2416" s="62"/>
      <c r="V2416" s="63"/>
      <c r="W2416" s="63"/>
      <c r="X2416" s="35" t="str">
        <f t="shared" si="303"/>
        <v>#N/A</v>
      </c>
      <c r="Y2416" s="35" t="str">
        <f t="shared" si="304"/>
        <v>#N/A</v>
      </c>
      <c r="Z2416" s="40" t="str">
        <f t="shared" si="305"/>
        <v>#N/A</v>
      </c>
      <c r="AA2416" s="34" t="str">
        <f t="shared" si="306"/>
        <v>#N/A</v>
      </c>
      <c r="AB2416" s="41" t="str">
        <f t="shared" si="307"/>
        <v>#N/A</v>
      </c>
      <c r="AC2416" s="42" t="b">
        <v>0</v>
      </c>
      <c r="AD2416" s="66" t="str">
        <f t="shared" si="308"/>
        <v>USD</v>
      </c>
      <c r="AE2416" s="42"/>
      <c r="AF2416" s="42" t="str">
        <f t="array" ref="AF2416">INDEX('Deal Info'!D:D, MATCH(A2416,'Deal Info'!A:A, 0))</f>
        <v>#N/A</v>
      </c>
      <c r="AG2416" s="43" t="str">
        <f t="array" ref="AG2416">INDEX('Deal Info'!G:G, MATCH(A2416,'Deal Info'!A:A, 0))</f>
        <v>#N/A</v>
      </c>
    </row>
    <row r="2417" hidden="1">
      <c r="A2417" s="23" t="b">
        <f t="array" ref="A2417">if(G2417='Room Info'!$B$1, INDEX('Room Info'!$A$2:$A3446, MATCH(B2417,'Room Info'!$B$2:$B3446, 0)),if(G2417='Room Info'!$C$1, INDEX('Room Info'!$A$2:$A3446, MATCH(B2417,'Room Info'!$C$2:$C3446, 0)),if(G2417='Room Info'!$D$1, INDEX('Room Info'!$A$2:$A3446, MATCH(B2417,'Room Info'!$D$2:$D3446, 0)),if(G2417='Room Info'!$E$1, INDEX('Room Info'!$A$2:$A3446, MATCH(B2417,'Room Info'!$E$2:$E3446, 0)),if(G2417='Room Info'!$F$1, INDEX('Room Info'!$A$2:$A3446, MATCH(B2417,'Room Info'!$F$2:$F3446, 0)),if(G2417='Room Info'!$H$1, INDEX('Room Info'!$A$2:$A3446, MATCH(B2417,'Room Info'!$H$2:$H3446, 0)),if(G2417='Room Info'!$G$1, INDEX('Room Info'!$A$2:$A3446, MATCH(B2417,'Room Info'!$G$2:$G3446, 0)))))))))</f>
        <v>0</v>
      </c>
      <c r="B2417" s="101"/>
      <c r="C2417" s="141"/>
      <c r="D2417" s="141"/>
      <c r="E2417" s="142"/>
      <c r="F2417" s="138"/>
      <c r="G2417" s="101"/>
      <c r="H2417" s="105"/>
      <c r="I2417" s="105"/>
      <c r="J2417" s="44" t="str">
        <f t="shared" si="311"/>
        <v/>
      </c>
      <c r="K2417" s="139"/>
      <c r="L2417" s="140"/>
      <c r="M2417" s="84"/>
      <c r="N2417" s="33">
        <f t="shared" si="276"/>
        <v>0</v>
      </c>
      <c r="O2417" s="101"/>
      <c r="P2417" s="34" t="str">
        <f t="shared" si="277"/>
        <v/>
      </c>
      <c r="Q2417" s="60"/>
      <c r="R2417" s="36">
        <f t="shared" si="312"/>
        <v>0</v>
      </c>
      <c r="S2417" s="102"/>
      <c r="T2417" s="37">
        <f t="shared" si="302"/>
        <v>0</v>
      </c>
      <c r="U2417" s="62"/>
      <c r="V2417" s="63"/>
      <c r="W2417" s="63"/>
      <c r="X2417" s="35" t="str">
        <f t="shared" si="303"/>
        <v>#N/A</v>
      </c>
      <c r="Y2417" s="35" t="str">
        <f t="shared" si="304"/>
        <v>#N/A</v>
      </c>
      <c r="Z2417" s="40" t="str">
        <f t="shared" si="305"/>
        <v>#N/A</v>
      </c>
      <c r="AA2417" s="34" t="str">
        <f t="shared" si="306"/>
        <v>#N/A</v>
      </c>
      <c r="AB2417" s="41" t="str">
        <f t="shared" si="307"/>
        <v>#N/A</v>
      </c>
      <c r="AC2417" s="42" t="b">
        <v>0</v>
      </c>
      <c r="AD2417" s="66" t="str">
        <f t="shared" si="308"/>
        <v>USD</v>
      </c>
      <c r="AE2417" s="42"/>
      <c r="AF2417" s="42" t="str">
        <f t="array" ref="AF2417">INDEX('Deal Info'!D:D, MATCH(A2417,'Deal Info'!A:A, 0))</f>
        <v>#N/A</v>
      </c>
      <c r="AG2417" s="43" t="str">
        <f t="array" ref="AG2417">INDEX('Deal Info'!G:G, MATCH(A2417,'Deal Info'!A:A, 0))</f>
        <v>#N/A</v>
      </c>
    </row>
    <row r="2418" hidden="1">
      <c r="A2418" s="23" t="b">
        <f t="array" ref="A2418">if(G2418='Room Info'!$B$1, INDEX('Room Info'!$A$2:$A3446, MATCH(B2418,'Room Info'!$B$2:$B3446, 0)),if(G2418='Room Info'!$C$1, INDEX('Room Info'!$A$2:$A3446, MATCH(B2418,'Room Info'!$C$2:$C3446, 0)),if(G2418='Room Info'!$D$1, INDEX('Room Info'!$A$2:$A3446, MATCH(B2418,'Room Info'!$D$2:$D3446, 0)),if(G2418='Room Info'!$E$1, INDEX('Room Info'!$A$2:$A3446, MATCH(B2418,'Room Info'!$E$2:$E3446, 0)),if(G2418='Room Info'!$F$1, INDEX('Room Info'!$A$2:$A3446, MATCH(B2418,'Room Info'!$F$2:$F3446, 0)),if(G2418='Room Info'!$H$1, INDEX('Room Info'!$A$2:$A3446, MATCH(B2418,'Room Info'!$H$2:$H3446, 0)),if(G2418='Room Info'!$G$1, INDEX('Room Info'!$A$2:$A3446, MATCH(B2418,'Room Info'!$G$2:$G3446, 0)))))))))</f>
        <v>0</v>
      </c>
      <c r="B2418" s="101"/>
      <c r="C2418" s="141"/>
      <c r="D2418" s="141"/>
      <c r="E2418" s="142"/>
      <c r="F2418" s="138"/>
      <c r="G2418" s="101"/>
      <c r="H2418" s="105"/>
      <c r="I2418" s="105"/>
      <c r="J2418" s="44" t="str">
        <f t="shared" si="311"/>
        <v/>
      </c>
      <c r="K2418" s="139"/>
      <c r="L2418" s="140"/>
      <c r="M2418" s="84"/>
      <c r="N2418" s="33">
        <f t="shared" si="276"/>
        <v>0</v>
      </c>
      <c r="O2418" s="101"/>
      <c r="P2418" s="34" t="str">
        <f t="shared" si="277"/>
        <v/>
      </c>
      <c r="Q2418" s="60"/>
      <c r="R2418" s="36">
        <f t="shared" si="312"/>
        <v>0</v>
      </c>
      <c r="S2418" s="102"/>
      <c r="T2418" s="37">
        <f t="shared" si="302"/>
        <v>0</v>
      </c>
      <c r="U2418" s="62"/>
      <c r="V2418" s="63"/>
      <c r="W2418" s="63"/>
      <c r="X2418" s="35" t="str">
        <f t="shared" si="303"/>
        <v>#N/A</v>
      </c>
      <c r="Y2418" s="35" t="str">
        <f t="shared" si="304"/>
        <v>#N/A</v>
      </c>
      <c r="Z2418" s="40" t="str">
        <f t="shared" si="305"/>
        <v>#N/A</v>
      </c>
      <c r="AA2418" s="34" t="str">
        <f t="shared" si="306"/>
        <v>#N/A</v>
      </c>
      <c r="AB2418" s="41" t="str">
        <f t="shared" si="307"/>
        <v>#N/A</v>
      </c>
      <c r="AC2418" s="42" t="b">
        <v>0</v>
      </c>
      <c r="AD2418" s="66" t="str">
        <f t="shared" si="308"/>
        <v>USD</v>
      </c>
      <c r="AE2418" s="42"/>
      <c r="AF2418" s="42" t="str">
        <f t="array" ref="AF2418">INDEX('Deal Info'!D:D, MATCH(A2418,'Deal Info'!A:A, 0))</f>
        <v>#N/A</v>
      </c>
      <c r="AG2418" s="43" t="str">
        <f t="array" ref="AG2418">INDEX('Deal Info'!G:G, MATCH(A2418,'Deal Info'!A:A, 0))</f>
        <v>#N/A</v>
      </c>
    </row>
    <row r="2419" hidden="1">
      <c r="A2419" s="23" t="b">
        <f t="array" ref="A2419">if(G2419='Room Info'!$B$1, INDEX('Room Info'!$A$2:$A3446, MATCH(B2419,'Room Info'!$B$2:$B3446, 0)),if(G2419='Room Info'!$C$1, INDEX('Room Info'!$A$2:$A3446, MATCH(B2419,'Room Info'!$C$2:$C3446, 0)),if(G2419='Room Info'!$D$1, INDEX('Room Info'!$A$2:$A3446, MATCH(B2419,'Room Info'!$D$2:$D3446, 0)),if(G2419='Room Info'!$E$1, INDEX('Room Info'!$A$2:$A3446, MATCH(B2419,'Room Info'!$E$2:$E3446, 0)),if(G2419='Room Info'!$F$1, INDEX('Room Info'!$A$2:$A3446, MATCH(B2419,'Room Info'!$F$2:$F3446, 0)),if(G2419='Room Info'!$H$1, INDEX('Room Info'!$A$2:$A3446, MATCH(B2419,'Room Info'!$H$2:$H3446, 0)),if(G2419='Room Info'!$G$1, INDEX('Room Info'!$A$2:$A3446, MATCH(B2419,'Room Info'!$G$2:$G3446, 0)))))))))</f>
        <v>0</v>
      </c>
      <c r="B2419" s="101"/>
      <c r="C2419" s="141"/>
      <c r="D2419" s="141"/>
      <c r="E2419" s="142"/>
      <c r="F2419" s="138"/>
      <c r="G2419" s="101"/>
      <c r="H2419" s="105"/>
      <c r="I2419" s="105"/>
      <c r="J2419" s="44" t="str">
        <f t="shared" si="311"/>
        <v/>
      </c>
      <c r="K2419" s="139"/>
      <c r="L2419" s="140"/>
      <c r="M2419" s="84"/>
      <c r="N2419" s="33">
        <f t="shared" si="276"/>
        <v>0</v>
      </c>
      <c r="O2419" s="101"/>
      <c r="P2419" s="34" t="str">
        <f t="shared" si="277"/>
        <v/>
      </c>
      <c r="Q2419" s="60"/>
      <c r="R2419" s="36">
        <f t="shared" si="312"/>
        <v>0</v>
      </c>
      <c r="S2419" s="102"/>
      <c r="T2419" s="37">
        <f t="shared" si="302"/>
        <v>0</v>
      </c>
      <c r="U2419" s="62"/>
      <c r="V2419" s="63"/>
      <c r="W2419" s="63"/>
      <c r="X2419" s="35" t="str">
        <f t="shared" si="303"/>
        <v>#N/A</v>
      </c>
      <c r="Y2419" s="35" t="str">
        <f t="shared" si="304"/>
        <v>#N/A</v>
      </c>
      <c r="Z2419" s="40" t="str">
        <f t="shared" si="305"/>
        <v>#N/A</v>
      </c>
      <c r="AA2419" s="34" t="str">
        <f t="shared" si="306"/>
        <v>#N/A</v>
      </c>
      <c r="AB2419" s="41" t="str">
        <f t="shared" si="307"/>
        <v>#N/A</v>
      </c>
      <c r="AC2419" s="42" t="b">
        <v>0</v>
      </c>
      <c r="AD2419" s="66" t="str">
        <f t="shared" si="308"/>
        <v>USD</v>
      </c>
      <c r="AE2419" s="42"/>
      <c r="AF2419" s="42" t="str">
        <f t="array" ref="AF2419">INDEX('Deal Info'!D:D, MATCH(A2419,'Deal Info'!A:A, 0))</f>
        <v>#N/A</v>
      </c>
      <c r="AG2419" s="43" t="str">
        <f t="array" ref="AG2419">INDEX('Deal Info'!G:G, MATCH(A2419,'Deal Info'!A:A, 0))</f>
        <v>#N/A</v>
      </c>
    </row>
    <row r="2420" hidden="1">
      <c r="A2420" s="23" t="b">
        <f t="array" ref="A2420">if(G2420='Room Info'!$B$1, INDEX('Room Info'!$A$2:$A3446, MATCH(B2420,'Room Info'!$B$2:$B3446, 0)),if(G2420='Room Info'!$C$1, INDEX('Room Info'!$A$2:$A3446, MATCH(B2420,'Room Info'!$C$2:$C3446, 0)),if(G2420='Room Info'!$D$1, INDEX('Room Info'!$A$2:$A3446, MATCH(B2420,'Room Info'!$D$2:$D3446, 0)),if(G2420='Room Info'!$E$1, INDEX('Room Info'!$A$2:$A3446, MATCH(B2420,'Room Info'!$E$2:$E3446, 0)),if(G2420='Room Info'!$F$1, INDEX('Room Info'!$A$2:$A3446, MATCH(B2420,'Room Info'!$F$2:$F3446, 0)),if(G2420='Room Info'!$H$1, INDEX('Room Info'!$A$2:$A3446, MATCH(B2420,'Room Info'!$H$2:$H3446, 0)),if(G2420='Room Info'!$G$1, INDEX('Room Info'!$A$2:$A3446, MATCH(B2420,'Room Info'!$G$2:$G3446, 0)))))))))</f>
        <v>0</v>
      </c>
      <c r="B2420" s="101"/>
      <c r="C2420" s="141"/>
      <c r="D2420" s="141"/>
      <c r="E2420" s="142"/>
      <c r="F2420" s="138"/>
      <c r="G2420" s="101"/>
      <c r="H2420" s="105"/>
      <c r="I2420" s="105"/>
      <c r="J2420" s="44" t="str">
        <f t="shared" si="311"/>
        <v/>
      </c>
      <c r="K2420" s="139"/>
      <c r="L2420" s="140"/>
      <c r="M2420" s="84"/>
      <c r="N2420" s="33">
        <f t="shared" si="276"/>
        <v>0</v>
      </c>
      <c r="O2420" s="101"/>
      <c r="P2420" s="34" t="str">
        <f t="shared" si="277"/>
        <v/>
      </c>
      <c r="Q2420" s="60"/>
      <c r="R2420" s="36">
        <f t="shared" si="312"/>
        <v>0</v>
      </c>
      <c r="S2420" s="102"/>
      <c r="T2420" s="37">
        <f t="shared" si="302"/>
        <v>0</v>
      </c>
      <c r="U2420" s="62"/>
      <c r="V2420" s="63"/>
      <c r="W2420" s="63"/>
      <c r="X2420" s="35" t="str">
        <f t="shared" si="303"/>
        <v>#N/A</v>
      </c>
      <c r="Y2420" s="35" t="str">
        <f t="shared" si="304"/>
        <v>#N/A</v>
      </c>
      <c r="Z2420" s="40" t="str">
        <f t="shared" si="305"/>
        <v>#N/A</v>
      </c>
      <c r="AA2420" s="34" t="str">
        <f t="shared" si="306"/>
        <v>#N/A</v>
      </c>
      <c r="AB2420" s="41" t="str">
        <f t="shared" si="307"/>
        <v>#N/A</v>
      </c>
      <c r="AC2420" s="42" t="b">
        <v>0</v>
      </c>
      <c r="AD2420" s="66" t="str">
        <f t="shared" si="308"/>
        <v>USD</v>
      </c>
      <c r="AE2420" s="42"/>
      <c r="AF2420" s="42" t="str">
        <f t="array" ref="AF2420">INDEX('Deal Info'!D:D, MATCH(A2420,'Deal Info'!A:A, 0))</f>
        <v>#N/A</v>
      </c>
      <c r="AG2420" s="43" t="str">
        <f t="array" ref="AG2420">INDEX('Deal Info'!G:G, MATCH(A2420,'Deal Info'!A:A, 0))</f>
        <v>#N/A</v>
      </c>
    </row>
    <row r="2421" hidden="1">
      <c r="A2421" s="23" t="b">
        <f t="array" ref="A2421">if(G2421='Room Info'!$B$1, INDEX('Room Info'!$A$2:$A3446, MATCH(B2421,'Room Info'!$B$2:$B3446, 0)),if(G2421='Room Info'!$C$1, INDEX('Room Info'!$A$2:$A3446, MATCH(B2421,'Room Info'!$C$2:$C3446, 0)),if(G2421='Room Info'!$D$1, INDEX('Room Info'!$A$2:$A3446, MATCH(B2421,'Room Info'!$D$2:$D3446, 0)),if(G2421='Room Info'!$E$1, INDEX('Room Info'!$A$2:$A3446, MATCH(B2421,'Room Info'!$E$2:$E3446, 0)),if(G2421='Room Info'!$F$1, INDEX('Room Info'!$A$2:$A3446, MATCH(B2421,'Room Info'!$F$2:$F3446, 0)),if(G2421='Room Info'!$H$1, INDEX('Room Info'!$A$2:$A3446, MATCH(B2421,'Room Info'!$H$2:$H3446, 0)),if(G2421='Room Info'!$G$1, INDEX('Room Info'!$A$2:$A3446, MATCH(B2421,'Room Info'!$G$2:$G3446, 0)))))))))</f>
        <v>0</v>
      </c>
      <c r="B2421" s="101"/>
      <c r="C2421" s="141"/>
      <c r="D2421" s="141"/>
      <c r="E2421" s="142"/>
      <c r="F2421" s="138"/>
      <c r="G2421" s="101"/>
      <c r="H2421" s="105"/>
      <c r="I2421" s="105"/>
      <c r="J2421" s="44" t="str">
        <f t="shared" si="311"/>
        <v/>
      </c>
      <c r="K2421" s="139"/>
      <c r="L2421" s="140"/>
      <c r="M2421" s="84"/>
      <c r="N2421" s="33">
        <f t="shared" si="276"/>
        <v>0</v>
      </c>
      <c r="O2421" s="101"/>
      <c r="P2421" s="34" t="str">
        <f t="shared" si="277"/>
        <v/>
      </c>
      <c r="Q2421" s="60"/>
      <c r="R2421" s="36">
        <f t="shared" si="312"/>
        <v>0</v>
      </c>
      <c r="S2421" s="102"/>
      <c r="T2421" s="37">
        <f t="shared" si="302"/>
        <v>0</v>
      </c>
      <c r="U2421" s="62"/>
      <c r="V2421" s="63"/>
      <c r="W2421" s="63"/>
      <c r="X2421" s="35" t="str">
        <f t="shared" si="303"/>
        <v>#N/A</v>
      </c>
      <c r="Y2421" s="35" t="str">
        <f t="shared" si="304"/>
        <v>#N/A</v>
      </c>
      <c r="Z2421" s="40" t="str">
        <f t="shared" si="305"/>
        <v>#N/A</v>
      </c>
      <c r="AA2421" s="34" t="str">
        <f t="shared" si="306"/>
        <v>#N/A</v>
      </c>
      <c r="AB2421" s="41" t="str">
        <f t="shared" si="307"/>
        <v>#N/A</v>
      </c>
      <c r="AC2421" s="42" t="b">
        <v>0</v>
      </c>
      <c r="AD2421" s="66" t="str">
        <f t="shared" si="308"/>
        <v>USD</v>
      </c>
      <c r="AE2421" s="42"/>
      <c r="AF2421" s="42" t="str">
        <f t="array" ref="AF2421">INDEX('Deal Info'!D:D, MATCH(A2421,'Deal Info'!A:A, 0))</f>
        <v>#N/A</v>
      </c>
      <c r="AG2421" s="43" t="str">
        <f t="array" ref="AG2421">INDEX('Deal Info'!G:G, MATCH(A2421,'Deal Info'!A:A, 0))</f>
        <v>#N/A</v>
      </c>
    </row>
    <row r="2422" hidden="1">
      <c r="A2422" s="23" t="b">
        <f t="array" ref="A2422">if(G2422='Room Info'!$B$1, INDEX('Room Info'!$A$2:$A3446, MATCH(B2422,'Room Info'!$B$2:$B3446, 0)),if(G2422='Room Info'!$C$1, INDEX('Room Info'!$A$2:$A3446, MATCH(B2422,'Room Info'!$C$2:$C3446, 0)),if(G2422='Room Info'!$D$1, INDEX('Room Info'!$A$2:$A3446, MATCH(B2422,'Room Info'!$D$2:$D3446, 0)),if(G2422='Room Info'!$E$1, INDEX('Room Info'!$A$2:$A3446, MATCH(B2422,'Room Info'!$E$2:$E3446, 0)),if(G2422='Room Info'!$F$1, INDEX('Room Info'!$A$2:$A3446, MATCH(B2422,'Room Info'!$F$2:$F3446, 0)),if(G2422='Room Info'!$H$1, INDEX('Room Info'!$A$2:$A3446, MATCH(B2422,'Room Info'!$H$2:$H3446, 0)),if(G2422='Room Info'!$G$1, INDEX('Room Info'!$A$2:$A3446, MATCH(B2422,'Room Info'!$G$2:$G3446, 0)))))))))</f>
        <v>0</v>
      </c>
      <c r="B2422" s="101"/>
      <c r="C2422" s="141"/>
      <c r="D2422" s="141"/>
      <c r="E2422" s="142"/>
      <c r="F2422" s="138"/>
      <c r="G2422" s="101"/>
      <c r="H2422" s="105"/>
      <c r="I2422" s="105"/>
      <c r="J2422" s="44" t="str">
        <f t="shared" si="311"/>
        <v/>
      </c>
      <c r="K2422" s="139"/>
      <c r="L2422" s="140"/>
      <c r="M2422" s="84"/>
      <c r="N2422" s="33">
        <f t="shared" si="276"/>
        <v>0</v>
      </c>
      <c r="O2422" s="101"/>
      <c r="P2422" s="34" t="str">
        <f t="shared" si="277"/>
        <v/>
      </c>
      <c r="Q2422" s="60"/>
      <c r="R2422" s="36">
        <f t="shared" si="312"/>
        <v>0</v>
      </c>
      <c r="S2422" s="102"/>
      <c r="T2422" s="37">
        <f t="shared" si="302"/>
        <v>0</v>
      </c>
      <c r="U2422" s="62"/>
      <c r="V2422" s="63"/>
      <c r="W2422" s="63"/>
      <c r="X2422" s="35" t="str">
        <f t="shared" si="303"/>
        <v>#N/A</v>
      </c>
      <c r="Y2422" s="35" t="str">
        <f t="shared" si="304"/>
        <v>#N/A</v>
      </c>
      <c r="Z2422" s="40" t="str">
        <f t="shared" si="305"/>
        <v>#N/A</v>
      </c>
      <c r="AA2422" s="34" t="str">
        <f t="shared" si="306"/>
        <v>#N/A</v>
      </c>
      <c r="AB2422" s="41" t="str">
        <f t="shared" si="307"/>
        <v>#N/A</v>
      </c>
      <c r="AC2422" s="42" t="b">
        <v>0</v>
      </c>
      <c r="AD2422" s="66" t="str">
        <f t="shared" si="308"/>
        <v>USD</v>
      </c>
      <c r="AE2422" s="42"/>
      <c r="AF2422" s="42" t="str">
        <f t="array" ref="AF2422">INDEX('Deal Info'!D:D, MATCH(A2422,'Deal Info'!A:A, 0))</f>
        <v>#N/A</v>
      </c>
      <c r="AG2422" s="43" t="str">
        <f t="array" ref="AG2422">INDEX('Deal Info'!G:G, MATCH(A2422,'Deal Info'!A:A, 0))</f>
        <v>#N/A</v>
      </c>
    </row>
    <row r="2423" hidden="1">
      <c r="A2423" s="23" t="b">
        <f t="array" ref="A2423">if(G2423='Room Info'!$B$1, INDEX('Room Info'!$A$2:$A3446, MATCH(B2423,'Room Info'!$B$2:$B3446, 0)),if(G2423='Room Info'!$C$1, INDEX('Room Info'!$A$2:$A3446, MATCH(B2423,'Room Info'!$C$2:$C3446, 0)),if(G2423='Room Info'!$D$1, INDEX('Room Info'!$A$2:$A3446, MATCH(B2423,'Room Info'!$D$2:$D3446, 0)),if(G2423='Room Info'!$E$1, INDEX('Room Info'!$A$2:$A3446, MATCH(B2423,'Room Info'!$E$2:$E3446, 0)),if(G2423='Room Info'!$F$1, INDEX('Room Info'!$A$2:$A3446, MATCH(B2423,'Room Info'!$F$2:$F3446, 0)),if(G2423='Room Info'!$H$1, INDEX('Room Info'!$A$2:$A3446, MATCH(B2423,'Room Info'!$H$2:$H3446, 0)),if(G2423='Room Info'!$G$1, INDEX('Room Info'!$A$2:$A3446, MATCH(B2423,'Room Info'!$G$2:$G3446, 0)))))))))</f>
        <v>0</v>
      </c>
      <c r="B2423" s="101"/>
      <c r="C2423" s="115"/>
      <c r="D2423" s="115"/>
      <c r="E2423" s="85"/>
      <c r="F2423" s="101"/>
      <c r="G2423" s="70"/>
      <c r="H2423" s="114"/>
      <c r="I2423" s="114"/>
      <c r="J2423" s="44" t="str">
        <f t="shared" si="311"/>
        <v/>
      </c>
      <c r="K2423" s="116"/>
      <c r="L2423" s="117"/>
      <c r="M2423" s="67"/>
      <c r="N2423" s="33">
        <f t="shared" si="276"/>
        <v>0</v>
      </c>
      <c r="O2423" s="70"/>
      <c r="P2423" s="34" t="str">
        <f t="shared" si="277"/>
        <v/>
      </c>
      <c r="Q2423" s="60"/>
      <c r="R2423" s="36">
        <f t="shared" si="312"/>
        <v>0</v>
      </c>
      <c r="S2423" s="71"/>
      <c r="T2423" s="37">
        <f t="shared" si="302"/>
        <v>0</v>
      </c>
      <c r="U2423" s="62"/>
      <c r="V2423" s="63"/>
      <c r="W2423" s="63"/>
      <c r="X2423" s="35" t="str">
        <f t="shared" si="303"/>
        <v>#N/A</v>
      </c>
      <c r="Y2423" s="35" t="str">
        <f t="shared" si="304"/>
        <v>#N/A</v>
      </c>
      <c r="Z2423" s="40" t="str">
        <f t="shared" si="305"/>
        <v>#N/A</v>
      </c>
      <c r="AA2423" s="34" t="str">
        <f t="shared" si="306"/>
        <v>#N/A</v>
      </c>
      <c r="AB2423" s="41" t="str">
        <f t="shared" si="307"/>
        <v>#N/A</v>
      </c>
      <c r="AC2423" s="42" t="b">
        <v>0</v>
      </c>
      <c r="AD2423" s="66" t="str">
        <f t="shared" si="308"/>
        <v>USD</v>
      </c>
      <c r="AE2423" s="42"/>
      <c r="AF2423" s="42" t="str">
        <f t="array" ref="AF2423">INDEX('Deal Info'!D:D, MATCH(A2423,'Deal Info'!A:A, 0))</f>
        <v>#N/A</v>
      </c>
      <c r="AG2423" s="43" t="str">
        <f t="array" ref="AG2423">INDEX('Deal Info'!G:G, MATCH(A2423,'Deal Info'!A:A, 0))</f>
        <v>#N/A</v>
      </c>
    </row>
    <row r="2424" hidden="1">
      <c r="A2424" s="23" t="b">
        <f t="array" ref="A2424">if(G2424='Room Info'!$B$1, INDEX('Room Info'!$A$2:$A3446, MATCH(B2424,'Room Info'!$B$2:$B3446, 0)),if(G2424='Room Info'!$C$1, INDEX('Room Info'!$A$2:$A3446, MATCH(B2424,'Room Info'!$C$2:$C3446, 0)),if(G2424='Room Info'!$D$1, INDEX('Room Info'!$A$2:$A3446, MATCH(B2424,'Room Info'!$D$2:$D3446, 0)),if(G2424='Room Info'!$E$1, INDEX('Room Info'!$A$2:$A3446, MATCH(B2424,'Room Info'!$E$2:$E3446, 0)),if(G2424='Room Info'!$F$1, INDEX('Room Info'!$A$2:$A3446, MATCH(B2424,'Room Info'!$F$2:$F3446, 0)),if(G2424='Room Info'!$H$1, INDEX('Room Info'!$A$2:$A3446, MATCH(B2424,'Room Info'!$H$2:$H3446, 0)),if(G2424='Room Info'!$G$1, INDEX('Room Info'!$A$2:$A3446, MATCH(B2424,'Room Info'!$G$2:$G3446, 0)))))))))</f>
        <v>0</v>
      </c>
      <c r="B2424" s="101"/>
      <c r="C2424" s="115"/>
      <c r="D2424" s="115"/>
      <c r="E2424" s="85"/>
      <c r="F2424" s="101"/>
      <c r="G2424" s="70"/>
      <c r="H2424" s="114"/>
      <c r="I2424" s="114"/>
      <c r="J2424" s="44" t="str">
        <f t="shared" si="311"/>
        <v/>
      </c>
      <c r="K2424" s="116"/>
      <c r="L2424" s="117"/>
      <c r="M2424" s="67"/>
      <c r="N2424" s="33">
        <f t="shared" si="276"/>
        <v>0</v>
      </c>
      <c r="O2424" s="70"/>
      <c r="P2424" s="34" t="str">
        <f t="shared" si="277"/>
        <v/>
      </c>
      <c r="Q2424" s="60"/>
      <c r="R2424" s="36">
        <f t="shared" si="312"/>
        <v>0</v>
      </c>
      <c r="S2424" s="71"/>
      <c r="T2424" s="37">
        <f t="shared" si="302"/>
        <v>0</v>
      </c>
      <c r="U2424" s="62"/>
      <c r="V2424" s="63"/>
      <c r="W2424" s="63"/>
      <c r="X2424" s="35" t="str">
        <f t="shared" si="303"/>
        <v>#N/A</v>
      </c>
      <c r="Y2424" s="35" t="str">
        <f t="shared" si="304"/>
        <v>#N/A</v>
      </c>
      <c r="Z2424" s="40" t="str">
        <f t="shared" si="305"/>
        <v>#N/A</v>
      </c>
      <c r="AA2424" s="34" t="str">
        <f t="shared" si="306"/>
        <v>#N/A</v>
      </c>
      <c r="AB2424" s="41" t="str">
        <f t="shared" si="307"/>
        <v>#N/A</v>
      </c>
      <c r="AC2424" s="42" t="b">
        <v>0</v>
      </c>
      <c r="AD2424" s="66" t="str">
        <f t="shared" si="308"/>
        <v>USD</v>
      </c>
      <c r="AE2424" s="42"/>
      <c r="AF2424" s="42" t="str">
        <f t="array" ref="AF2424">INDEX('Deal Info'!D:D, MATCH(A2424,'Deal Info'!A:A, 0))</f>
        <v>#N/A</v>
      </c>
      <c r="AG2424" s="43" t="str">
        <f t="array" ref="AG2424">INDEX('Deal Info'!G:G, MATCH(A2424,'Deal Info'!A:A, 0))</f>
        <v>#N/A</v>
      </c>
    </row>
    <row r="2425" hidden="1">
      <c r="A2425" s="23" t="b">
        <f t="array" ref="A2425">if(G2425='Room Info'!$B$1, INDEX('Room Info'!$A$2:$A3446, MATCH(B2425,'Room Info'!$B$2:$B3446, 0)),if(G2425='Room Info'!$C$1, INDEX('Room Info'!$A$2:$A3446, MATCH(B2425,'Room Info'!$C$2:$C3446, 0)),if(G2425='Room Info'!$D$1, INDEX('Room Info'!$A$2:$A3446, MATCH(B2425,'Room Info'!$D$2:$D3446, 0)),if(G2425='Room Info'!$E$1, INDEX('Room Info'!$A$2:$A3446, MATCH(B2425,'Room Info'!$E$2:$E3446, 0)),if(G2425='Room Info'!$F$1, INDEX('Room Info'!$A$2:$A3446, MATCH(B2425,'Room Info'!$F$2:$F3446, 0)),if(G2425='Room Info'!$H$1, INDEX('Room Info'!$A$2:$A3446, MATCH(B2425,'Room Info'!$H$2:$H3446, 0)),if(G2425='Room Info'!$G$1, INDEX('Room Info'!$A$2:$A3446, MATCH(B2425,'Room Info'!$G$2:$G3446, 0)))))))))</f>
        <v>0</v>
      </c>
      <c r="B2425" s="101"/>
      <c r="C2425" s="141"/>
      <c r="D2425" s="141"/>
      <c r="E2425" s="142"/>
      <c r="F2425" s="138"/>
      <c r="G2425" s="101"/>
      <c r="H2425" s="105"/>
      <c r="I2425" s="105"/>
      <c r="J2425" s="44" t="str">
        <f t="shared" si="311"/>
        <v/>
      </c>
      <c r="K2425" s="139"/>
      <c r="L2425" s="140"/>
      <c r="M2425" s="84"/>
      <c r="N2425" s="33">
        <f t="shared" si="276"/>
        <v>0</v>
      </c>
      <c r="O2425" s="101"/>
      <c r="P2425" s="34" t="str">
        <f t="shared" si="277"/>
        <v/>
      </c>
      <c r="Q2425" s="60"/>
      <c r="R2425" s="36">
        <f t="shared" si="312"/>
        <v>0</v>
      </c>
      <c r="S2425" s="102"/>
      <c r="T2425" s="37">
        <f t="shared" si="302"/>
        <v>0</v>
      </c>
      <c r="U2425" s="62"/>
      <c r="V2425" s="63"/>
      <c r="W2425" s="63"/>
      <c r="X2425" s="35" t="str">
        <f t="shared" si="303"/>
        <v>#N/A</v>
      </c>
      <c r="Y2425" s="35" t="str">
        <f t="shared" si="304"/>
        <v>#N/A</v>
      </c>
      <c r="Z2425" s="40" t="str">
        <f t="shared" si="305"/>
        <v>#N/A</v>
      </c>
      <c r="AA2425" s="34" t="str">
        <f t="shared" si="306"/>
        <v>#N/A</v>
      </c>
      <c r="AB2425" s="41" t="str">
        <f t="shared" si="307"/>
        <v>#N/A</v>
      </c>
      <c r="AC2425" s="42" t="b">
        <v>0</v>
      </c>
      <c r="AD2425" s="66" t="str">
        <f t="shared" si="308"/>
        <v>USD</v>
      </c>
      <c r="AE2425" s="42"/>
      <c r="AF2425" s="42" t="str">
        <f t="array" ref="AF2425">INDEX('Deal Info'!D:D, MATCH(A2425,'Deal Info'!A:A, 0))</f>
        <v>#N/A</v>
      </c>
      <c r="AG2425" s="43" t="str">
        <f t="array" ref="AG2425">INDEX('Deal Info'!G:G, MATCH(A2425,'Deal Info'!A:A, 0))</f>
        <v>#N/A</v>
      </c>
    </row>
    <row r="2426" hidden="1">
      <c r="A2426" s="23" t="b">
        <f t="array" ref="A2426">if(G2426='Room Info'!$B$1, INDEX('Room Info'!$A$2:$A3446, MATCH(B2426,'Room Info'!$B$2:$B3446, 0)),if(G2426='Room Info'!$C$1, INDEX('Room Info'!$A$2:$A3446, MATCH(B2426,'Room Info'!$C$2:$C3446, 0)),if(G2426='Room Info'!$D$1, INDEX('Room Info'!$A$2:$A3446, MATCH(B2426,'Room Info'!$D$2:$D3446, 0)),if(G2426='Room Info'!$E$1, INDEX('Room Info'!$A$2:$A3446, MATCH(B2426,'Room Info'!$E$2:$E3446, 0)),if(G2426='Room Info'!$F$1, INDEX('Room Info'!$A$2:$A3446, MATCH(B2426,'Room Info'!$F$2:$F3446, 0)),if(G2426='Room Info'!$H$1, INDEX('Room Info'!$A$2:$A3446, MATCH(B2426,'Room Info'!$H$2:$H3446, 0)),if(G2426='Room Info'!$G$1, INDEX('Room Info'!$A$2:$A3446, MATCH(B2426,'Room Info'!$G$2:$G3446, 0)))))))))</f>
        <v>0</v>
      </c>
      <c r="B2426" s="101"/>
      <c r="C2426" s="141"/>
      <c r="D2426" s="141"/>
      <c r="E2426" s="142"/>
      <c r="F2426" s="138"/>
      <c r="G2426" s="101"/>
      <c r="H2426" s="105"/>
      <c r="I2426" s="105"/>
      <c r="J2426" s="44" t="str">
        <f t="shared" si="311"/>
        <v/>
      </c>
      <c r="K2426" s="139"/>
      <c r="L2426" s="140"/>
      <c r="M2426" s="84"/>
      <c r="N2426" s="33">
        <f t="shared" si="276"/>
        <v>0</v>
      </c>
      <c r="O2426" s="101"/>
      <c r="P2426" s="34" t="str">
        <f t="shared" si="277"/>
        <v/>
      </c>
      <c r="Q2426" s="60"/>
      <c r="R2426" s="36">
        <f t="shared" si="312"/>
        <v>0</v>
      </c>
      <c r="S2426" s="102"/>
      <c r="T2426" s="37">
        <f t="shared" si="302"/>
        <v>0</v>
      </c>
      <c r="U2426" s="62"/>
      <c r="V2426" s="63"/>
      <c r="W2426" s="63"/>
      <c r="X2426" s="35" t="str">
        <f t="shared" si="303"/>
        <v>#N/A</v>
      </c>
      <c r="Y2426" s="35" t="str">
        <f t="shared" si="304"/>
        <v>#N/A</v>
      </c>
      <c r="Z2426" s="40" t="str">
        <f t="shared" si="305"/>
        <v>#N/A</v>
      </c>
      <c r="AA2426" s="34" t="str">
        <f t="shared" si="306"/>
        <v>#N/A</v>
      </c>
      <c r="AB2426" s="41" t="str">
        <f t="shared" si="307"/>
        <v>#N/A</v>
      </c>
      <c r="AC2426" s="42" t="b">
        <v>0</v>
      </c>
      <c r="AD2426" s="66" t="str">
        <f t="shared" si="308"/>
        <v>USD</v>
      </c>
      <c r="AE2426" s="42"/>
      <c r="AF2426" s="42" t="str">
        <f t="array" ref="AF2426">INDEX('Deal Info'!D:D, MATCH(A2426,'Deal Info'!A:A, 0))</f>
        <v>#N/A</v>
      </c>
      <c r="AG2426" s="43" t="str">
        <f t="array" ref="AG2426">INDEX('Deal Info'!G:G, MATCH(A2426,'Deal Info'!A:A, 0))</f>
        <v>#N/A</v>
      </c>
    </row>
    <row r="2427" hidden="1">
      <c r="A2427" s="23" t="b">
        <f t="array" ref="A2427">if(G2427='Room Info'!$B$1, INDEX('Room Info'!$A$2:$A3446, MATCH(B2427,'Room Info'!$B$2:$B3446, 0)),if(G2427='Room Info'!$C$1, INDEX('Room Info'!$A$2:$A3446, MATCH(B2427,'Room Info'!$C$2:$C3446, 0)),if(G2427='Room Info'!$D$1, INDEX('Room Info'!$A$2:$A3446, MATCH(B2427,'Room Info'!$D$2:$D3446, 0)),if(G2427='Room Info'!$E$1, INDEX('Room Info'!$A$2:$A3446, MATCH(B2427,'Room Info'!$E$2:$E3446, 0)),if(G2427='Room Info'!$F$1, INDEX('Room Info'!$A$2:$A3446, MATCH(B2427,'Room Info'!$F$2:$F3446, 0)),if(G2427='Room Info'!$H$1, INDEX('Room Info'!$A$2:$A3446, MATCH(B2427,'Room Info'!$H$2:$H3446, 0)),if(G2427='Room Info'!$G$1, INDEX('Room Info'!$A$2:$A3446, MATCH(B2427,'Room Info'!$G$2:$G3446, 0)))))))))</f>
        <v>0</v>
      </c>
      <c r="B2427" s="101"/>
      <c r="C2427" s="141"/>
      <c r="D2427" s="141"/>
      <c r="E2427" s="142"/>
      <c r="F2427" s="138"/>
      <c r="G2427" s="101"/>
      <c r="H2427" s="105"/>
      <c r="I2427" s="105"/>
      <c r="J2427" s="44" t="str">
        <f t="shared" si="311"/>
        <v/>
      </c>
      <c r="K2427" s="139"/>
      <c r="L2427" s="140"/>
      <c r="M2427" s="84"/>
      <c r="N2427" s="33">
        <f t="shared" si="276"/>
        <v>0</v>
      </c>
      <c r="O2427" s="101"/>
      <c r="P2427" s="34" t="str">
        <f t="shared" si="277"/>
        <v/>
      </c>
      <c r="Q2427" s="60"/>
      <c r="R2427" s="36">
        <f t="shared" si="312"/>
        <v>0</v>
      </c>
      <c r="S2427" s="102"/>
      <c r="T2427" s="37">
        <f t="shared" si="302"/>
        <v>0</v>
      </c>
      <c r="U2427" s="62"/>
      <c r="V2427" s="63"/>
      <c r="W2427" s="63"/>
      <c r="X2427" s="35" t="str">
        <f t="shared" si="303"/>
        <v>#N/A</v>
      </c>
      <c r="Y2427" s="35" t="str">
        <f t="shared" si="304"/>
        <v>#N/A</v>
      </c>
      <c r="Z2427" s="40" t="str">
        <f t="shared" si="305"/>
        <v>#N/A</v>
      </c>
      <c r="AA2427" s="34" t="str">
        <f t="shared" si="306"/>
        <v>#N/A</v>
      </c>
      <c r="AB2427" s="41" t="str">
        <f t="shared" si="307"/>
        <v>#N/A</v>
      </c>
      <c r="AC2427" s="42" t="b">
        <v>0</v>
      </c>
      <c r="AD2427" s="66" t="str">
        <f t="shared" si="308"/>
        <v>USD</v>
      </c>
      <c r="AE2427" s="42"/>
      <c r="AF2427" s="42" t="str">
        <f t="array" ref="AF2427">INDEX('Deal Info'!D:D, MATCH(A2427,'Deal Info'!A:A, 0))</f>
        <v>#N/A</v>
      </c>
      <c r="AG2427" s="43" t="str">
        <f t="array" ref="AG2427">INDEX('Deal Info'!G:G, MATCH(A2427,'Deal Info'!A:A, 0))</f>
        <v>#N/A</v>
      </c>
    </row>
    <row r="2428" hidden="1">
      <c r="A2428" s="23" t="b">
        <f t="array" ref="A2428">if(G2428='Room Info'!$B$1, INDEX('Room Info'!$A$2:$A3446, MATCH(B2428,'Room Info'!$B$2:$B3446, 0)),if(G2428='Room Info'!$C$1, INDEX('Room Info'!$A$2:$A3446, MATCH(B2428,'Room Info'!$C$2:$C3446, 0)),if(G2428='Room Info'!$D$1, INDEX('Room Info'!$A$2:$A3446, MATCH(B2428,'Room Info'!$D$2:$D3446, 0)),if(G2428='Room Info'!$E$1, INDEX('Room Info'!$A$2:$A3446, MATCH(B2428,'Room Info'!$E$2:$E3446, 0)),if(G2428='Room Info'!$F$1, INDEX('Room Info'!$A$2:$A3446, MATCH(B2428,'Room Info'!$F$2:$F3446, 0)),if(G2428='Room Info'!$H$1, INDEX('Room Info'!$A$2:$A3446, MATCH(B2428,'Room Info'!$H$2:$H3446, 0)),if(G2428='Room Info'!$G$1, INDEX('Room Info'!$A$2:$A3446, MATCH(B2428,'Room Info'!$G$2:$G3446, 0)))))))))</f>
        <v>0</v>
      </c>
      <c r="B2428" s="101"/>
      <c r="C2428" s="141"/>
      <c r="D2428" s="141"/>
      <c r="E2428" s="142"/>
      <c r="F2428" s="138"/>
      <c r="G2428" s="101"/>
      <c r="H2428" s="105"/>
      <c r="I2428" s="105"/>
      <c r="J2428" s="44" t="str">
        <f t="shared" si="311"/>
        <v/>
      </c>
      <c r="K2428" s="139"/>
      <c r="L2428" s="140"/>
      <c r="M2428" s="84"/>
      <c r="N2428" s="33">
        <f t="shared" si="276"/>
        <v>0</v>
      </c>
      <c r="O2428" s="101"/>
      <c r="P2428" s="34" t="str">
        <f t="shared" si="277"/>
        <v/>
      </c>
      <c r="Q2428" s="60"/>
      <c r="R2428" s="36">
        <f t="shared" si="312"/>
        <v>0</v>
      </c>
      <c r="S2428" s="102"/>
      <c r="T2428" s="37">
        <f t="shared" si="302"/>
        <v>0</v>
      </c>
      <c r="U2428" s="62"/>
      <c r="V2428" s="63"/>
      <c r="W2428" s="63"/>
      <c r="X2428" s="35" t="str">
        <f t="shared" si="303"/>
        <v>#N/A</v>
      </c>
      <c r="Y2428" s="35" t="str">
        <f t="shared" si="304"/>
        <v>#N/A</v>
      </c>
      <c r="Z2428" s="40" t="str">
        <f t="shared" si="305"/>
        <v>#N/A</v>
      </c>
      <c r="AA2428" s="34" t="str">
        <f t="shared" si="306"/>
        <v>#N/A</v>
      </c>
      <c r="AB2428" s="41" t="str">
        <f t="shared" si="307"/>
        <v>#N/A</v>
      </c>
      <c r="AC2428" s="42" t="b">
        <v>0</v>
      </c>
      <c r="AD2428" s="66" t="str">
        <f t="shared" si="308"/>
        <v>USD</v>
      </c>
      <c r="AE2428" s="42"/>
      <c r="AF2428" s="42" t="str">
        <f t="array" ref="AF2428">INDEX('Deal Info'!D:D, MATCH(A2428,'Deal Info'!A:A, 0))</f>
        <v>#N/A</v>
      </c>
      <c r="AG2428" s="43" t="str">
        <f t="array" ref="AG2428">INDEX('Deal Info'!G:G, MATCH(A2428,'Deal Info'!A:A, 0))</f>
        <v>#N/A</v>
      </c>
    </row>
    <row r="2429" hidden="1">
      <c r="A2429" s="23" t="b">
        <f t="array" ref="A2429">if(G2429='Room Info'!$B$1, INDEX('Room Info'!$A$2:$A3446, MATCH(B2429,'Room Info'!$B$2:$B3446, 0)),if(G2429='Room Info'!$C$1, INDEX('Room Info'!$A$2:$A3446, MATCH(B2429,'Room Info'!$C$2:$C3446, 0)),if(G2429='Room Info'!$D$1, INDEX('Room Info'!$A$2:$A3446, MATCH(B2429,'Room Info'!$D$2:$D3446, 0)),if(G2429='Room Info'!$E$1, INDEX('Room Info'!$A$2:$A3446, MATCH(B2429,'Room Info'!$E$2:$E3446, 0)),if(G2429='Room Info'!$F$1, INDEX('Room Info'!$A$2:$A3446, MATCH(B2429,'Room Info'!$F$2:$F3446, 0)),if(G2429='Room Info'!$H$1, INDEX('Room Info'!$A$2:$A3446, MATCH(B2429,'Room Info'!$H$2:$H3446, 0)),if(G2429='Room Info'!$G$1, INDEX('Room Info'!$A$2:$A3446, MATCH(B2429,'Room Info'!$G$2:$G3446, 0)))))))))</f>
        <v>0</v>
      </c>
      <c r="B2429" s="101"/>
      <c r="C2429" s="115"/>
      <c r="D2429" s="115"/>
      <c r="E2429" s="85"/>
      <c r="F2429" s="101"/>
      <c r="G2429" s="70"/>
      <c r="H2429" s="114"/>
      <c r="I2429" s="114"/>
      <c r="J2429" s="44" t="str">
        <f t="shared" si="311"/>
        <v/>
      </c>
      <c r="K2429" s="116"/>
      <c r="L2429" s="117"/>
      <c r="M2429" s="67"/>
      <c r="N2429" s="33">
        <f t="shared" si="276"/>
        <v>0</v>
      </c>
      <c r="O2429" s="70"/>
      <c r="P2429" s="34" t="str">
        <f t="shared" si="277"/>
        <v/>
      </c>
      <c r="Q2429" s="60"/>
      <c r="R2429" s="36">
        <f t="shared" si="312"/>
        <v>0</v>
      </c>
      <c r="S2429" s="71"/>
      <c r="T2429" s="37">
        <f t="shared" si="302"/>
        <v>0</v>
      </c>
      <c r="U2429" s="62"/>
      <c r="V2429" s="63"/>
      <c r="W2429" s="63"/>
      <c r="X2429" s="35" t="str">
        <f t="shared" si="303"/>
        <v>#N/A</v>
      </c>
      <c r="Y2429" s="35" t="str">
        <f t="shared" si="304"/>
        <v>#N/A</v>
      </c>
      <c r="Z2429" s="40" t="str">
        <f t="shared" si="305"/>
        <v>#N/A</v>
      </c>
      <c r="AA2429" s="34" t="str">
        <f t="shared" si="306"/>
        <v>#N/A</v>
      </c>
      <c r="AB2429" s="41" t="str">
        <f t="shared" si="307"/>
        <v>#N/A</v>
      </c>
      <c r="AC2429" s="42" t="b">
        <v>0</v>
      </c>
      <c r="AD2429" s="66" t="str">
        <f t="shared" si="308"/>
        <v>USD</v>
      </c>
      <c r="AE2429" s="42"/>
      <c r="AF2429" s="42" t="str">
        <f t="array" ref="AF2429">INDEX('Deal Info'!D:D, MATCH(A2429,'Deal Info'!A:A, 0))</f>
        <v>#N/A</v>
      </c>
      <c r="AG2429" s="43" t="str">
        <f t="array" ref="AG2429">INDEX('Deal Info'!G:G, MATCH(A2429,'Deal Info'!A:A, 0))</f>
        <v>#N/A</v>
      </c>
    </row>
    <row r="2430" hidden="1">
      <c r="A2430" s="23" t="b">
        <f t="array" ref="A2430">if(G2430='Room Info'!$B$1, INDEX('Room Info'!$A$2:$A3446, MATCH(B2430,'Room Info'!$B$2:$B3446, 0)),if(G2430='Room Info'!$C$1, INDEX('Room Info'!$A$2:$A3446, MATCH(B2430,'Room Info'!$C$2:$C3446, 0)),if(G2430='Room Info'!$D$1, INDEX('Room Info'!$A$2:$A3446, MATCH(B2430,'Room Info'!$D$2:$D3446, 0)),if(G2430='Room Info'!$E$1, INDEX('Room Info'!$A$2:$A3446, MATCH(B2430,'Room Info'!$E$2:$E3446, 0)),if(G2430='Room Info'!$F$1, INDEX('Room Info'!$A$2:$A3446, MATCH(B2430,'Room Info'!$F$2:$F3446, 0)),if(G2430='Room Info'!$H$1, INDEX('Room Info'!$A$2:$A3446, MATCH(B2430,'Room Info'!$H$2:$H3446, 0)),if(G2430='Room Info'!$G$1, INDEX('Room Info'!$A$2:$A3446, MATCH(B2430,'Room Info'!$G$2:$G3446, 0)))))))))</f>
        <v>0</v>
      </c>
      <c r="B2430" s="101"/>
      <c r="C2430" s="115"/>
      <c r="D2430" s="115"/>
      <c r="E2430" s="85"/>
      <c r="F2430" s="101"/>
      <c r="G2430" s="70"/>
      <c r="H2430" s="114"/>
      <c r="I2430" s="114"/>
      <c r="J2430" s="44" t="str">
        <f t="shared" si="311"/>
        <v/>
      </c>
      <c r="K2430" s="116"/>
      <c r="L2430" s="117"/>
      <c r="M2430" s="67"/>
      <c r="N2430" s="33">
        <f t="shared" si="276"/>
        <v>0</v>
      </c>
      <c r="O2430" s="70"/>
      <c r="P2430" s="34" t="str">
        <f t="shared" si="277"/>
        <v/>
      </c>
      <c r="Q2430" s="60"/>
      <c r="R2430" s="36">
        <f t="shared" si="312"/>
        <v>0</v>
      </c>
      <c r="S2430" s="71"/>
      <c r="T2430" s="37">
        <f t="shared" si="302"/>
        <v>0</v>
      </c>
      <c r="U2430" s="62"/>
      <c r="V2430" s="63"/>
      <c r="W2430" s="63"/>
      <c r="X2430" s="35" t="str">
        <f t="shared" si="303"/>
        <v>#N/A</v>
      </c>
      <c r="Y2430" s="35" t="str">
        <f t="shared" si="304"/>
        <v>#N/A</v>
      </c>
      <c r="Z2430" s="40" t="str">
        <f t="shared" si="305"/>
        <v>#N/A</v>
      </c>
      <c r="AA2430" s="34" t="str">
        <f t="shared" si="306"/>
        <v>#N/A</v>
      </c>
      <c r="AB2430" s="41" t="str">
        <f t="shared" si="307"/>
        <v>#N/A</v>
      </c>
      <c r="AC2430" s="42" t="b">
        <v>0</v>
      </c>
      <c r="AD2430" s="66" t="str">
        <f t="shared" si="308"/>
        <v>USD</v>
      </c>
      <c r="AE2430" s="42"/>
      <c r="AF2430" s="42" t="str">
        <f t="array" ref="AF2430">INDEX('Deal Info'!D:D, MATCH(A2430,'Deal Info'!A:A, 0))</f>
        <v>#N/A</v>
      </c>
      <c r="AG2430" s="43" t="str">
        <f t="array" ref="AG2430">INDEX('Deal Info'!G:G, MATCH(A2430,'Deal Info'!A:A, 0))</f>
        <v>#N/A</v>
      </c>
    </row>
    <row r="2431" hidden="1">
      <c r="A2431" s="23" t="b">
        <f t="array" ref="A2431">if(G2431='Room Info'!$B$1, INDEX('Room Info'!$A$2:$A3446, MATCH(B2431,'Room Info'!$B$2:$B3446, 0)),if(G2431='Room Info'!$C$1, INDEX('Room Info'!$A$2:$A3446, MATCH(B2431,'Room Info'!$C$2:$C3446, 0)),if(G2431='Room Info'!$D$1, INDEX('Room Info'!$A$2:$A3446, MATCH(B2431,'Room Info'!$D$2:$D3446, 0)),if(G2431='Room Info'!$E$1, INDEX('Room Info'!$A$2:$A3446, MATCH(B2431,'Room Info'!$E$2:$E3446, 0)),if(G2431='Room Info'!$F$1, INDEX('Room Info'!$A$2:$A3446, MATCH(B2431,'Room Info'!$F$2:$F3446, 0)),if(G2431='Room Info'!$H$1, INDEX('Room Info'!$A$2:$A3446, MATCH(B2431,'Room Info'!$H$2:$H3446, 0)),if(G2431='Room Info'!$G$1, INDEX('Room Info'!$A$2:$A3446, MATCH(B2431,'Room Info'!$G$2:$G3446, 0)))))))))</f>
        <v>0</v>
      </c>
      <c r="B2431" s="101"/>
      <c r="C2431" s="115"/>
      <c r="D2431" s="115"/>
      <c r="E2431" s="85"/>
      <c r="F2431" s="138"/>
      <c r="G2431" s="70"/>
      <c r="H2431" s="114"/>
      <c r="I2431" s="114"/>
      <c r="J2431" s="44" t="str">
        <f t="shared" si="311"/>
        <v/>
      </c>
      <c r="K2431" s="116"/>
      <c r="L2431" s="117"/>
      <c r="M2431" s="67"/>
      <c r="N2431" s="33">
        <f t="shared" si="276"/>
        <v>0</v>
      </c>
      <c r="O2431" s="70"/>
      <c r="P2431" s="34" t="str">
        <f t="shared" si="277"/>
        <v/>
      </c>
      <c r="Q2431" s="60"/>
      <c r="R2431" s="36">
        <f t="shared" si="312"/>
        <v>0</v>
      </c>
      <c r="S2431" s="71"/>
      <c r="T2431" s="37">
        <f t="shared" si="302"/>
        <v>0</v>
      </c>
      <c r="U2431" s="62"/>
      <c r="V2431" s="63"/>
      <c r="W2431" s="63"/>
      <c r="X2431" s="35" t="str">
        <f t="shared" si="303"/>
        <v>#N/A</v>
      </c>
      <c r="Y2431" s="35" t="str">
        <f t="shared" si="304"/>
        <v>#N/A</v>
      </c>
      <c r="Z2431" s="40" t="str">
        <f t="shared" si="305"/>
        <v>#N/A</v>
      </c>
      <c r="AA2431" s="34" t="str">
        <f t="shared" si="306"/>
        <v>#N/A</v>
      </c>
      <c r="AB2431" s="41" t="str">
        <f t="shared" si="307"/>
        <v>#N/A</v>
      </c>
      <c r="AC2431" s="42" t="b">
        <v>0</v>
      </c>
      <c r="AD2431" s="66" t="str">
        <f t="shared" si="308"/>
        <v>USD</v>
      </c>
      <c r="AE2431" s="42"/>
      <c r="AF2431" s="42" t="str">
        <f t="array" ref="AF2431">INDEX('Deal Info'!D:D, MATCH(A2431,'Deal Info'!A:A, 0))</f>
        <v>#N/A</v>
      </c>
      <c r="AG2431" s="43" t="str">
        <f t="array" ref="AG2431">INDEX('Deal Info'!G:G, MATCH(A2431,'Deal Info'!A:A, 0))</f>
        <v>#N/A</v>
      </c>
    </row>
    <row r="2432" hidden="1">
      <c r="A2432" s="23" t="b">
        <f t="array" ref="A2432">if(G2432='Room Info'!$B$1, INDEX('Room Info'!$A$2:$A3446, MATCH(B2432,'Room Info'!$B$2:$B3446, 0)),if(G2432='Room Info'!$C$1, INDEX('Room Info'!$A$2:$A3446, MATCH(B2432,'Room Info'!$C$2:$C3446, 0)),if(G2432='Room Info'!$D$1, INDEX('Room Info'!$A$2:$A3446, MATCH(B2432,'Room Info'!$D$2:$D3446, 0)),if(G2432='Room Info'!$E$1, INDEX('Room Info'!$A$2:$A3446, MATCH(B2432,'Room Info'!$E$2:$E3446, 0)),if(G2432='Room Info'!$F$1, INDEX('Room Info'!$A$2:$A3446, MATCH(B2432,'Room Info'!$F$2:$F3446, 0)),if(G2432='Room Info'!$H$1, INDEX('Room Info'!$A$2:$A3446, MATCH(B2432,'Room Info'!$H$2:$H3446, 0)),if(G2432='Room Info'!$G$1, INDEX('Room Info'!$A$2:$A3446, MATCH(B2432,'Room Info'!$G$2:$G3446, 0)))))))))</f>
        <v>0</v>
      </c>
      <c r="B2432" s="101"/>
      <c r="C2432" s="115"/>
      <c r="D2432" s="115"/>
      <c r="E2432" s="85"/>
      <c r="F2432" s="138"/>
      <c r="G2432" s="70"/>
      <c r="H2432" s="114"/>
      <c r="I2432" s="114"/>
      <c r="J2432" s="44" t="str">
        <f t="shared" si="311"/>
        <v/>
      </c>
      <c r="K2432" s="116"/>
      <c r="L2432" s="117"/>
      <c r="M2432" s="67"/>
      <c r="N2432" s="33">
        <f t="shared" si="276"/>
        <v>0</v>
      </c>
      <c r="O2432" s="70"/>
      <c r="P2432" s="34" t="str">
        <f t="shared" si="277"/>
        <v/>
      </c>
      <c r="Q2432" s="60"/>
      <c r="R2432" s="36">
        <f t="shared" si="312"/>
        <v>0</v>
      </c>
      <c r="S2432" s="71"/>
      <c r="T2432" s="37">
        <f t="shared" si="302"/>
        <v>0</v>
      </c>
      <c r="U2432" s="62"/>
      <c r="V2432" s="63"/>
      <c r="W2432" s="63"/>
      <c r="X2432" s="35" t="str">
        <f t="shared" si="303"/>
        <v>#N/A</v>
      </c>
      <c r="Y2432" s="35" t="str">
        <f t="shared" si="304"/>
        <v>#N/A</v>
      </c>
      <c r="Z2432" s="40" t="str">
        <f t="shared" si="305"/>
        <v>#N/A</v>
      </c>
      <c r="AA2432" s="34" t="str">
        <f t="shared" si="306"/>
        <v>#N/A</v>
      </c>
      <c r="AB2432" s="41" t="str">
        <f t="shared" si="307"/>
        <v>#N/A</v>
      </c>
      <c r="AC2432" s="42" t="b">
        <v>0</v>
      </c>
      <c r="AD2432" s="66" t="str">
        <f t="shared" si="308"/>
        <v>USD</v>
      </c>
      <c r="AE2432" s="42"/>
      <c r="AF2432" s="42" t="str">
        <f t="array" ref="AF2432">INDEX('Deal Info'!D:D, MATCH(A2432,'Deal Info'!A:A, 0))</f>
        <v>#N/A</v>
      </c>
      <c r="AG2432" s="43" t="str">
        <f t="array" ref="AG2432">INDEX('Deal Info'!G:G, MATCH(A2432,'Deal Info'!A:A, 0))</f>
        <v>#N/A</v>
      </c>
    </row>
    <row r="2433" hidden="1">
      <c r="A2433" s="23" t="b">
        <f t="array" ref="A2433">if(G2433='Room Info'!$B$1, INDEX('Room Info'!$A$2:$A3446, MATCH(B2433,'Room Info'!$B$2:$B3446, 0)),if(G2433='Room Info'!$C$1, INDEX('Room Info'!$A$2:$A3446, MATCH(B2433,'Room Info'!$C$2:$C3446, 0)),if(G2433='Room Info'!$D$1, INDEX('Room Info'!$A$2:$A3446, MATCH(B2433,'Room Info'!$D$2:$D3446, 0)),if(G2433='Room Info'!$E$1, INDEX('Room Info'!$A$2:$A3446, MATCH(B2433,'Room Info'!$E$2:$E3446, 0)),if(G2433='Room Info'!$F$1, INDEX('Room Info'!$A$2:$A3446, MATCH(B2433,'Room Info'!$F$2:$F3446, 0)),if(G2433='Room Info'!$H$1, INDEX('Room Info'!$A$2:$A3446, MATCH(B2433,'Room Info'!$H$2:$H3446, 0)),if(G2433='Room Info'!$G$1, INDEX('Room Info'!$A$2:$A3446, MATCH(B2433,'Room Info'!$G$2:$G3446, 0)))))))))</f>
        <v>0</v>
      </c>
      <c r="B2433" s="101"/>
      <c r="C2433" s="115"/>
      <c r="D2433" s="115"/>
      <c r="E2433" s="85"/>
      <c r="F2433" s="138"/>
      <c r="G2433" s="70"/>
      <c r="H2433" s="114"/>
      <c r="I2433" s="114"/>
      <c r="J2433" s="44" t="str">
        <f t="shared" si="311"/>
        <v/>
      </c>
      <c r="K2433" s="116"/>
      <c r="L2433" s="117"/>
      <c r="M2433" s="67"/>
      <c r="N2433" s="33">
        <f t="shared" si="276"/>
        <v>0</v>
      </c>
      <c r="O2433" s="70"/>
      <c r="P2433" s="34" t="str">
        <f t="shared" si="277"/>
        <v/>
      </c>
      <c r="Q2433" s="60"/>
      <c r="R2433" s="36">
        <f t="shared" si="312"/>
        <v>0</v>
      </c>
      <c r="S2433" s="71"/>
      <c r="T2433" s="37">
        <f t="shared" si="302"/>
        <v>0</v>
      </c>
      <c r="U2433" s="62"/>
      <c r="V2433" s="63"/>
      <c r="W2433" s="63"/>
      <c r="X2433" s="35" t="str">
        <f t="shared" si="303"/>
        <v>#N/A</v>
      </c>
      <c r="Y2433" s="35" t="str">
        <f t="shared" si="304"/>
        <v>#N/A</v>
      </c>
      <c r="Z2433" s="40" t="str">
        <f t="shared" si="305"/>
        <v>#N/A</v>
      </c>
      <c r="AA2433" s="34" t="str">
        <f t="shared" si="306"/>
        <v>#N/A</v>
      </c>
      <c r="AB2433" s="41" t="str">
        <f t="shared" si="307"/>
        <v>#N/A</v>
      </c>
      <c r="AC2433" s="42" t="b">
        <v>0</v>
      </c>
      <c r="AD2433" s="66" t="str">
        <f t="shared" si="308"/>
        <v>USD</v>
      </c>
      <c r="AE2433" s="42"/>
      <c r="AF2433" s="42" t="str">
        <f t="array" ref="AF2433">INDEX('Deal Info'!D:D, MATCH(A2433,'Deal Info'!A:A, 0))</f>
        <v>#N/A</v>
      </c>
      <c r="AG2433" s="43" t="str">
        <f t="array" ref="AG2433">INDEX('Deal Info'!G:G, MATCH(A2433,'Deal Info'!A:A, 0))</f>
        <v>#N/A</v>
      </c>
    </row>
    <row r="2434" hidden="1">
      <c r="A2434" s="23" t="b">
        <f t="array" ref="A2434">if(G2434='Room Info'!$B$1, INDEX('Room Info'!$A$2:$A3446, MATCH(B2434,'Room Info'!$B$2:$B3446, 0)),if(G2434='Room Info'!$C$1, INDEX('Room Info'!$A$2:$A3446, MATCH(B2434,'Room Info'!$C$2:$C3446, 0)),if(G2434='Room Info'!$D$1, INDEX('Room Info'!$A$2:$A3446, MATCH(B2434,'Room Info'!$D$2:$D3446, 0)),if(G2434='Room Info'!$E$1, INDEX('Room Info'!$A$2:$A3446, MATCH(B2434,'Room Info'!$E$2:$E3446, 0)),if(G2434='Room Info'!$F$1, INDEX('Room Info'!$A$2:$A3446, MATCH(B2434,'Room Info'!$F$2:$F3446, 0)),if(G2434='Room Info'!$H$1, INDEX('Room Info'!$A$2:$A3446, MATCH(B2434,'Room Info'!$H$2:$H3446, 0)),if(G2434='Room Info'!$G$1, INDEX('Room Info'!$A$2:$A3446, MATCH(B2434,'Room Info'!$G$2:$G3446, 0)))))))))</f>
        <v>0</v>
      </c>
      <c r="B2434" s="101"/>
      <c r="C2434" s="115"/>
      <c r="D2434" s="115"/>
      <c r="E2434" s="85"/>
      <c r="F2434" s="138"/>
      <c r="G2434" s="70"/>
      <c r="H2434" s="114"/>
      <c r="I2434" s="114"/>
      <c r="J2434" s="44" t="str">
        <f t="shared" si="311"/>
        <v/>
      </c>
      <c r="K2434" s="116"/>
      <c r="L2434" s="117"/>
      <c r="M2434" s="67"/>
      <c r="N2434" s="33">
        <f t="shared" si="276"/>
        <v>0</v>
      </c>
      <c r="O2434" s="70"/>
      <c r="P2434" s="34" t="str">
        <f t="shared" si="277"/>
        <v/>
      </c>
      <c r="Q2434" s="60"/>
      <c r="R2434" s="36">
        <f t="shared" si="312"/>
        <v>0</v>
      </c>
      <c r="S2434" s="71"/>
      <c r="T2434" s="37">
        <f t="shared" si="302"/>
        <v>0</v>
      </c>
      <c r="U2434" s="62"/>
      <c r="V2434" s="63"/>
      <c r="W2434" s="63"/>
      <c r="X2434" s="35" t="str">
        <f t="shared" si="303"/>
        <v>#N/A</v>
      </c>
      <c r="Y2434" s="35" t="str">
        <f t="shared" si="304"/>
        <v>#N/A</v>
      </c>
      <c r="Z2434" s="40" t="str">
        <f t="shared" si="305"/>
        <v>#N/A</v>
      </c>
      <c r="AA2434" s="34" t="str">
        <f t="shared" si="306"/>
        <v>#N/A</v>
      </c>
      <c r="AB2434" s="41" t="str">
        <f t="shared" si="307"/>
        <v>#N/A</v>
      </c>
      <c r="AC2434" s="42" t="b">
        <v>0</v>
      </c>
      <c r="AD2434" s="66" t="str">
        <f t="shared" si="308"/>
        <v>USD</v>
      </c>
      <c r="AE2434" s="42"/>
      <c r="AF2434" s="42" t="str">
        <f t="array" ref="AF2434">INDEX('Deal Info'!D:D, MATCH(A2434,'Deal Info'!A:A, 0))</f>
        <v>#N/A</v>
      </c>
      <c r="AG2434" s="43" t="str">
        <f t="array" ref="AG2434">INDEX('Deal Info'!G:G, MATCH(A2434,'Deal Info'!A:A, 0))</f>
        <v>#N/A</v>
      </c>
    </row>
    <row r="2435" hidden="1">
      <c r="A2435" s="23" t="b">
        <f t="array" ref="A2435">if(G2435='Room Info'!$B$1, INDEX('Room Info'!$A$2:$A3446, MATCH(B2435,'Room Info'!$B$2:$B3446, 0)),if(G2435='Room Info'!$C$1, INDEX('Room Info'!$A$2:$A3446, MATCH(B2435,'Room Info'!$C$2:$C3446, 0)),if(G2435='Room Info'!$D$1, INDEX('Room Info'!$A$2:$A3446, MATCH(B2435,'Room Info'!$D$2:$D3446, 0)),if(G2435='Room Info'!$E$1, INDEX('Room Info'!$A$2:$A3446, MATCH(B2435,'Room Info'!$E$2:$E3446, 0)),if(G2435='Room Info'!$F$1, INDEX('Room Info'!$A$2:$A3446, MATCH(B2435,'Room Info'!$F$2:$F3446, 0)),if(G2435='Room Info'!$H$1, INDEX('Room Info'!$A$2:$A3446, MATCH(B2435,'Room Info'!$H$2:$H3446, 0)),if(G2435='Room Info'!$G$1, INDEX('Room Info'!$A$2:$A3446, MATCH(B2435,'Room Info'!$G$2:$G3446, 0)))))))))</f>
        <v>0</v>
      </c>
      <c r="B2435" s="101"/>
      <c r="C2435" s="115"/>
      <c r="D2435" s="115"/>
      <c r="E2435" s="85"/>
      <c r="F2435" s="138"/>
      <c r="G2435" s="70"/>
      <c r="H2435" s="114"/>
      <c r="I2435" s="114"/>
      <c r="J2435" s="44" t="str">
        <f t="shared" si="311"/>
        <v/>
      </c>
      <c r="K2435" s="116"/>
      <c r="L2435" s="117"/>
      <c r="M2435" s="67"/>
      <c r="N2435" s="33">
        <f t="shared" si="276"/>
        <v>0</v>
      </c>
      <c r="O2435" s="70"/>
      <c r="P2435" s="34" t="str">
        <f t="shared" si="277"/>
        <v/>
      </c>
      <c r="Q2435" s="60"/>
      <c r="R2435" s="36">
        <f t="shared" si="312"/>
        <v>0</v>
      </c>
      <c r="S2435" s="71"/>
      <c r="T2435" s="37">
        <f t="shared" si="302"/>
        <v>0</v>
      </c>
      <c r="U2435" s="62"/>
      <c r="V2435" s="63"/>
      <c r="W2435" s="63"/>
      <c r="X2435" s="35" t="str">
        <f t="shared" si="303"/>
        <v>#N/A</v>
      </c>
      <c r="Y2435" s="35" t="str">
        <f t="shared" si="304"/>
        <v>#N/A</v>
      </c>
      <c r="Z2435" s="40" t="str">
        <f t="shared" si="305"/>
        <v>#N/A</v>
      </c>
      <c r="AA2435" s="34" t="str">
        <f t="shared" si="306"/>
        <v>#N/A</v>
      </c>
      <c r="AB2435" s="41" t="str">
        <f t="shared" si="307"/>
        <v>#N/A</v>
      </c>
      <c r="AC2435" s="42" t="b">
        <v>0</v>
      </c>
      <c r="AD2435" s="66" t="str">
        <f t="shared" si="308"/>
        <v>USD</v>
      </c>
      <c r="AE2435" s="42"/>
      <c r="AF2435" s="42" t="str">
        <f t="array" ref="AF2435">INDEX('Deal Info'!D:D, MATCH(A2435,'Deal Info'!A:A, 0))</f>
        <v>#N/A</v>
      </c>
      <c r="AG2435" s="43" t="str">
        <f t="array" ref="AG2435">INDEX('Deal Info'!G:G, MATCH(A2435,'Deal Info'!A:A, 0))</f>
        <v>#N/A</v>
      </c>
    </row>
    <row r="2436" hidden="1">
      <c r="A2436" s="23" t="b">
        <f t="array" ref="A2436">if(G2436='Room Info'!$B$1, INDEX('Room Info'!$A$2:$A3446, MATCH(B2436,'Room Info'!$B$2:$B3446, 0)),if(G2436='Room Info'!$C$1, INDEX('Room Info'!$A$2:$A3446, MATCH(B2436,'Room Info'!$C$2:$C3446, 0)),if(G2436='Room Info'!$D$1, INDEX('Room Info'!$A$2:$A3446, MATCH(B2436,'Room Info'!$D$2:$D3446, 0)),if(G2436='Room Info'!$E$1, INDEX('Room Info'!$A$2:$A3446, MATCH(B2436,'Room Info'!$E$2:$E3446, 0)),if(G2436='Room Info'!$F$1, INDEX('Room Info'!$A$2:$A3446, MATCH(B2436,'Room Info'!$F$2:$F3446, 0)),if(G2436='Room Info'!$H$1, INDEX('Room Info'!$A$2:$A3446, MATCH(B2436,'Room Info'!$H$2:$H3446, 0)),if(G2436='Room Info'!$G$1, INDEX('Room Info'!$A$2:$A3446, MATCH(B2436,'Room Info'!$G$2:$G3446, 0)))))))))</f>
        <v>0</v>
      </c>
      <c r="B2436" s="101"/>
      <c r="C2436" s="115"/>
      <c r="D2436" s="115"/>
      <c r="E2436" s="85"/>
      <c r="F2436" s="138"/>
      <c r="G2436" s="70"/>
      <c r="H2436" s="114"/>
      <c r="I2436" s="114"/>
      <c r="J2436" s="44" t="str">
        <f t="shared" si="311"/>
        <v/>
      </c>
      <c r="K2436" s="116"/>
      <c r="L2436" s="117"/>
      <c r="M2436" s="67"/>
      <c r="N2436" s="33">
        <f t="shared" si="276"/>
        <v>0</v>
      </c>
      <c r="O2436" s="70"/>
      <c r="P2436" s="34" t="str">
        <f t="shared" si="277"/>
        <v/>
      </c>
      <c r="Q2436" s="60"/>
      <c r="R2436" s="36">
        <f t="shared" si="312"/>
        <v>0</v>
      </c>
      <c r="S2436" s="71"/>
      <c r="T2436" s="37">
        <f t="shared" si="302"/>
        <v>0</v>
      </c>
      <c r="U2436" s="62"/>
      <c r="V2436" s="63"/>
      <c r="W2436" s="63"/>
      <c r="X2436" s="35" t="str">
        <f t="shared" si="303"/>
        <v>#N/A</v>
      </c>
      <c r="Y2436" s="35" t="str">
        <f t="shared" si="304"/>
        <v>#N/A</v>
      </c>
      <c r="Z2436" s="40" t="str">
        <f t="shared" si="305"/>
        <v>#N/A</v>
      </c>
      <c r="AA2436" s="34" t="str">
        <f t="shared" si="306"/>
        <v>#N/A</v>
      </c>
      <c r="AB2436" s="41" t="str">
        <f t="shared" si="307"/>
        <v>#N/A</v>
      </c>
      <c r="AC2436" s="42" t="b">
        <v>0</v>
      </c>
      <c r="AD2436" s="66" t="str">
        <f t="shared" si="308"/>
        <v>USD</v>
      </c>
      <c r="AE2436" s="42"/>
      <c r="AF2436" s="42" t="str">
        <f t="array" ref="AF2436">INDEX('Deal Info'!D:D, MATCH(A2436,'Deal Info'!A:A, 0))</f>
        <v>#N/A</v>
      </c>
      <c r="AG2436" s="43" t="str">
        <f t="array" ref="AG2436">INDEX('Deal Info'!G:G, MATCH(A2436,'Deal Info'!A:A, 0))</f>
        <v>#N/A</v>
      </c>
    </row>
    <row r="2437" hidden="1">
      <c r="A2437" s="23" t="b">
        <f t="array" ref="A2437">if(G2437='Room Info'!$B$1, INDEX('Room Info'!$A$2:$A3446, MATCH(B2437,'Room Info'!$B$2:$B3446, 0)),if(G2437='Room Info'!$C$1, INDEX('Room Info'!$A$2:$A3446, MATCH(B2437,'Room Info'!$C$2:$C3446, 0)),if(G2437='Room Info'!$D$1, INDEX('Room Info'!$A$2:$A3446, MATCH(B2437,'Room Info'!$D$2:$D3446, 0)),if(G2437='Room Info'!$E$1, INDEX('Room Info'!$A$2:$A3446, MATCH(B2437,'Room Info'!$E$2:$E3446, 0)),if(G2437='Room Info'!$F$1, INDEX('Room Info'!$A$2:$A3446, MATCH(B2437,'Room Info'!$F$2:$F3446, 0)),if(G2437='Room Info'!$H$1, INDEX('Room Info'!$A$2:$A3446, MATCH(B2437,'Room Info'!$H$2:$H3446, 0)),if(G2437='Room Info'!$G$1, INDEX('Room Info'!$A$2:$A3446, MATCH(B2437,'Room Info'!$G$2:$G3446, 0)))))))))</f>
        <v>0</v>
      </c>
      <c r="B2437" s="101"/>
      <c r="C2437" s="115"/>
      <c r="D2437" s="115"/>
      <c r="E2437" s="85"/>
      <c r="F2437" s="138"/>
      <c r="G2437" s="70"/>
      <c r="H2437" s="114"/>
      <c r="I2437" s="114"/>
      <c r="J2437" s="44" t="str">
        <f t="shared" si="311"/>
        <v/>
      </c>
      <c r="K2437" s="116"/>
      <c r="L2437" s="117"/>
      <c r="M2437" s="67"/>
      <c r="N2437" s="33">
        <f t="shared" si="276"/>
        <v>0</v>
      </c>
      <c r="O2437" s="70"/>
      <c r="P2437" s="34" t="str">
        <f t="shared" si="277"/>
        <v/>
      </c>
      <c r="Q2437" s="60"/>
      <c r="R2437" s="36">
        <f t="shared" si="312"/>
        <v>0</v>
      </c>
      <c r="S2437" s="71"/>
      <c r="T2437" s="37">
        <f t="shared" si="302"/>
        <v>0</v>
      </c>
      <c r="U2437" s="62"/>
      <c r="V2437" s="63"/>
      <c r="W2437" s="63"/>
      <c r="X2437" s="35" t="str">
        <f t="shared" si="303"/>
        <v>#N/A</v>
      </c>
      <c r="Y2437" s="35" t="str">
        <f t="shared" si="304"/>
        <v>#N/A</v>
      </c>
      <c r="Z2437" s="40" t="str">
        <f t="shared" si="305"/>
        <v>#N/A</v>
      </c>
      <c r="AA2437" s="34" t="str">
        <f t="shared" si="306"/>
        <v>#N/A</v>
      </c>
      <c r="AB2437" s="41" t="str">
        <f t="shared" si="307"/>
        <v>#N/A</v>
      </c>
      <c r="AC2437" s="42" t="b">
        <v>0</v>
      </c>
      <c r="AD2437" s="66" t="str">
        <f t="shared" si="308"/>
        <v>USD</v>
      </c>
      <c r="AE2437" s="42"/>
      <c r="AF2437" s="42" t="str">
        <f t="array" ref="AF2437">INDEX('Deal Info'!D:D, MATCH(A2437,'Deal Info'!A:A, 0))</f>
        <v>#N/A</v>
      </c>
      <c r="AG2437" s="43" t="str">
        <f t="array" ref="AG2437">INDEX('Deal Info'!G:G, MATCH(A2437,'Deal Info'!A:A, 0))</f>
        <v>#N/A</v>
      </c>
    </row>
    <row r="2438" hidden="1">
      <c r="A2438" s="23" t="b">
        <f t="array" ref="A2438">if(G2438='Room Info'!$B$1, INDEX('Room Info'!$A$2:$A3446, MATCH(B2438,'Room Info'!$B$2:$B3446, 0)),if(G2438='Room Info'!$C$1, INDEX('Room Info'!$A$2:$A3446, MATCH(B2438,'Room Info'!$C$2:$C3446, 0)),if(G2438='Room Info'!$D$1, INDEX('Room Info'!$A$2:$A3446, MATCH(B2438,'Room Info'!$D$2:$D3446, 0)),if(G2438='Room Info'!$E$1, INDEX('Room Info'!$A$2:$A3446, MATCH(B2438,'Room Info'!$E$2:$E3446, 0)),if(G2438='Room Info'!$F$1, INDEX('Room Info'!$A$2:$A3446, MATCH(B2438,'Room Info'!$F$2:$F3446, 0)),if(G2438='Room Info'!$H$1, INDEX('Room Info'!$A$2:$A3446, MATCH(B2438,'Room Info'!$H$2:$H3446, 0)),if(G2438='Room Info'!$G$1, INDEX('Room Info'!$A$2:$A3446, MATCH(B2438,'Room Info'!$G$2:$G3446, 0)))))))))</f>
        <v>0</v>
      </c>
      <c r="B2438" s="101"/>
      <c r="C2438" s="115"/>
      <c r="D2438" s="115"/>
      <c r="E2438" s="85"/>
      <c r="F2438" s="138"/>
      <c r="G2438" s="70"/>
      <c r="H2438" s="114"/>
      <c r="I2438" s="114"/>
      <c r="J2438" s="44" t="str">
        <f t="shared" si="311"/>
        <v/>
      </c>
      <c r="K2438" s="116"/>
      <c r="L2438" s="117"/>
      <c r="M2438" s="67"/>
      <c r="N2438" s="33">
        <f t="shared" si="276"/>
        <v>0</v>
      </c>
      <c r="O2438" s="70"/>
      <c r="P2438" s="34" t="str">
        <f t="shared" si="277"/>
        <v/>
      </c>
      <c r="Q2438" s="60"/>
      <c r="R2438" s="36">
        <f t="shared" si="312"/>
        <v>0</v>
      </c>
      <c r="S2438" s="71"/>
      <c r="T2438" s="37">
        <f t="shared" si="302"/>
        <v>0</v>
      </c>
      <c r="U2438" s="62"/>
      <c r="V2438" s="63"/>
      <c r="W2438" s="63"/>
      <c r="X2438" s="35" t="str">
        <f t="shared" si="303"/>
        <v>#N/A</v>
      </c>
      <c r="Y2438" s="35" t="str">
        <f t="shared" si="304"/>
        <v>#N/A</v>
      </c>
      <c r="Z2438" s="40" t="str">
        <f t="shared" si="305"/>
        <v>#N/A</v>
      </c>
      <c r="AA2438" s="34" t="str">
        <f t="shared" si="306"/>
        <v>#N/A</v>
      </c>
      <c r="AB2438" s="41" t="str">
        <f t="shared" si="307"/>
        <v>#N/A</v>
      </c>
      <c r="AC2438" s="42" t="b">
        <v>0</v>
      </c>
      <c r="AD2438" s="66" t="str">
        <f t="shared" si="308"/>
        <v>USD</v>
      </c>
      <c r="AE2438" s="42"/>
      <c r="AF2438" s="42" t="str">
        <f t="array" ref="AF2438">INDEX('Deal Info'!D:D, MATCH(A2438,'Deal Info'!A:A, 0))</f>
        <v>#N/A</v>
      </c>
      <c r="AG2438" s="43" t="str">
        <f t="array" ref="AG2438">INDEX('Deal Info'!G:G, MATCH(A2438,'Deal Info'!A:A, 0))</f>
        <v>#N/A</v>
      </c>
    </row>
    <row r="2439" hidden="1">
      <c r="A2439" s="23" t="b">
        <f t="array" ref="A2439">if(G2439='Room Info'!$B$1, INDEX('Room Info'!$A$2:$A3446, MATCH(B2439,'Room Info'!$B$2:$B3446, 0)),if(G2439='Room Info'!$C$1, INDEX('Room Info'!$A$2:$A3446, MATCH(B2439,'Room Info'!$C$2:$C3446, 0)),if(G2439='Room Info'!$D$1, INDEX('Room Info'!$A$2:$A3446, MATCH(B2439,'Room Info'!$D$2:$D3446, 0)),if(G2439='Room Info'!$E$1, INDEX('Room Info'!$A$2:$A3446, MATCH(B2439,'Room Info'!$E$2:$E3446, 0)),if(G2439='Room Info'!$F$1, INDEX('Room Info'!$A$2:$A3446, MATCH(B2439,'Room Info'!$F$2:$F3446, 0)),if(G2439='Room Info'!$H$1, INDEX('Room Info'!$A$2:$A3446, MATCH(B2439,'Room Info'!$H$2:$H3446, 0)),if(G2439='Room Info'!$G$1, INDEX('Room Info'!$A$2:$A3446, MATCH(B2439,'Room Info'!$G$2:$G3446, 0)))))))))</f>
        <v>0</v>
      </c>
      <c r="B2439" s="101"/>
      <c r="C2439" s="141"/>
      <c r="D2439" s="141"/>
      <c r="E2439" s="142"/>
      <c r="F2439" s="138"/>
      <c r="G2439" s="101"/>
      <c r="H2439" s="105"/>
      <c r="I2439" s="105"/>
      <c r="J2439" s="44" t="str">
        <f t="shared" si="311"/>
        <v/>
      </c>
      <c r="K2439" s="139"/>
      <c r="L2439" s="140"/>
      <c r="M2439" s="84"/>
      <c r="N2439" s="33">
        <f t="shared" si="276"/>
        <v>0</v>
      </c>
      <c r="O2439" s="101"/>
      <c r="P2439" s="34" t="str">
        <f t="shared" si="277"/>
        <v/>
      </c>
      <c r="Q2439" s="60"/>
      <c r="R2439" s="36">
        <f t="shared" si="312"/>
        <v>0</v>
      </c>
      <c r="S2439" s="102"/>
      <c r="T2439" s="37">
        <f t="shared" si="302"/>
        <v>0</v>
      </c>
      <c r="U2439" s="62"/>
      <c r="V2439" s="63"/>
      <c r="W2439" s="63"/>
      <c r="X2439" s="35" t="str">
        <f t="shared" si="303"/>
        <v>#N/A</v>
      </c>
      <c r="Y2439" s="35" t="str">
        <f t="shared" si="304"/>
        <v>#N/A</v>
      </c>
      <c r="Z2439" s="40" t="str">
        <f t="shared" si="305"/>
        <v>#N/A</v>
      </c>
      <c r="AA2439" s="34" t="str">
        <f t="shared" si="306"/>
        <v>#N/A</v>
      </c>
      <c r="AB2439" s="41" t="str">
        <f t="shared" si="307"/>
        <v>#N/A</v>
      </c>
      <c r="AC2439" s="42" t="b">
        <v>0</v>
      </c>
      <c r="AD2439" s="66" t="str">
        <f t="shared" si="308"/>
        <v>USD</v>
      </c>
      <c r="AE2439" s="42"/>
      <c r="AF2439" s="42" t="str">
        <f t="array" ref="AF2439">INDEX('Deal Info'!D:D, MATCH(A2439,'Deal Info'!A:A, 0))</f>
        <v>#N/A</v>
      </c>
      <c r="AG2439" s="43" t="str">
        <f t="array" ref="AG2439">INDEX('Deal Info'!G:G, MATCH(A2439,'Deal Info'!A:A, 0))</f>
        <v>#N/A</v>
      </c>
    </row>
    <row r="2440" hidden="1">
      <c r="A2440" s="23" t="b">
        <f t="array" ref="A2440">if(G2440='Room Info'!$B$1, INDEX('Room Info'!$A$2:$A3446, MATCH(B2440,'Room Info'!$B$2:$B3446, 0)),if(G2440='Room Info'!$C$1, INDEX('Room Info'!$A$2:$A3446, MATCH(B2440,'Room Info'!$C$2:$C3446, 0)),if(G2440='Room Info'!$D$1, INDEX('Room Info'!$A$2:$A3446, MATCH(B2440,'Room Info'!$D$2:$D3446, 0)),if(G2440='Room Info'!$E$1, INDEX('Room Info'!$A$2:$A3446, MATCH(B2440,'Room Info'!$E$2:$E3446, 0)),if(G2440='Room Info'!$F$1, INDEX('Room Info'!$A$2:$A3446, MATCH(B2440,'Room Info'!$F$2:$F3446, 0)),if(G2440='Room Info'!$H$1, INDEX('Room Info'!$A$2:$A3446, MATCH(B2440,'Room Info'!$H$2:$H3446, 0)),if(G2440='Room Info'!$G$1, INDEX('Room Info'!$A$2:$A3446, MATCH(B2440,'Room Info'!$G$2:$G3446, 0)))))))))</f>
        <v>0</v>
      </c>
      <c r="B2440" s="101"/>
      <c r="C2440" s="115"/>
      <c r="D2440" s="115"/>
      <c r="E2440" s="85"/>
      <c r="F2440" s="138"/>
      <c r="G2440" s="70"/>
      <c r="H2440" s="114"/>
      <c r="I2440" s="114"/>
      <c r="J2440" s="44" t="str">
        <f t="shared" si="311"/>
        <v/>
      </c>
      <c r="K2440" s="116"/>
      <c r="L2440" s="117"/>
      <c r="M2440" s="67"/>
      <c r="N2440" s="33">
        <f t="shared" si="276"/>
        <v>0</v>
      </c>
      <c r="O2440" s="70"/>
      <c r="P2440" s="34" t="str">
        <f t="shared" si="277"/>
        <v/>
      </c>
      <c r="Q2440" s="60"/>
      <c r="R2440" s="36">
        <f t="shared" si="312"/>
        <v>0</v>
      </c>
      <c r="S2440" s="71"/>
      <c r="T2440" s="37">
        <f t="shared" si="302"/>
        <v>0</v>
      </c>
      <c r="U2440" s="62"/>
      <c r="V2440" s="63"/>
      <c r="W2440" s="63"/>
      <c r="X2440" s="35" t="str">
        <f t="shared" si="303"/>
        <v>#N/A</v>
      </c>
      <c r="Y2440" s="35" t="str">
        <f t="shared" si="304"/>
        <v>#N/A</v>
      </c>
      <c r="Z2440" s="40" t="str">
        <f t="shared" si="305"/>
        <v>#N/A</v>
      </c>
      <c r="AA2440" s="34" t="str">
        <f t="shared" si="306"/>
        <v>#N/A</v>
      </c>
      <c r="AB2440" s="41" t="str">
        <f t="shared" si="307"/>
        <v>#N/A</v>
      </c>
      <c r="AC2440" s="42" t="b">
        <v>0</v>
      </c>
      <c r="AD2440" s="66" t="str">
        <f t="shared" si="308"/>
        <v>USD</v>
      </c>
      <c r="AE2440" s="42"/>
      <c r="AF2440" s="42" t="str">
        <f t="array" ref="AF2440">INDEX('Deal Info'!D:D, MATCH(A2440,'Deal Info'!A:A, 0))</f>
        <v>#N/A</v>
      </c>
      <c r="AG2440" s="43" t="str">
        <f t="array" ref="AG2440">INDEX('Deal Info'!G:G, MATCH(A2440,'Deal Info'!A:A, 0))</f>
        <v>#N/A</v>
      </c>
    </row>
    <row r="2441" hidden="1">
      <c r="A2441" s="23" t="b">
        <f t="array" ref="A2441">if(G2441='Room Info'!$B$1, INDEX('Room Info'!$A$2:$A3446, MATCH(B2441,'Room Info'!$B$2:$B3446, 0)),if(G2441='Room Info'!$C$1, INDEX('Room Info'!$A$2:$A3446, MATCH(B2441,'Room Info'!$C$2:$C3446, 0)),if(G2441='Room Info'!$D$1, INDEX('Room Info'!$A$2:$A3446, MATCH(B2441,'Room Info'!$D$2:$D3446, 0)),if(G2441='Room Info'!$E$1, INDEX('Room Info'!$A$2:$A3446, MATCH(B2441,'Room Info'!$E$2:$E3446, 0)),if(G2441='Room Info'!$F$1, INDEX('Room Info'!$A$2:$A3446, MATCH(B2441,'Room Info'!$F$2:$F3446, 0)),if(G2441='Room Info'!$H$1, INDEX('Room Info'!$A$2:$A3446, MATCH(B2441,'Room Info'!$H$2:$H3446, 0)),if(G2441='Room Info'!$G$1, INDEX('Room Info'!$A$2:$A3446, MATCH(B2441,'Room Info'!$G$2:$G3446, 0)))))))))</f>
        <v>0</v>
      </c>
      <c r="B2441" s="101"/>
      <c r="C2441" s="115"/>
      <c r="D2441" s="115"/>
      <c r="E2441" s="85"/>
      <c r="F2441" s="138"/>
      <c r="G2441" s="70"/>
      <c r="H2441" s="114"/>
      <c r="I2441" s="114"/>
      <c r="J2441" s="44" t="str">
        <f t="shared" si="311"/>
        <v/>
      </c>
      <c r="K2441" s="116"/>
      <c r="L2441" s="117"/>
      <c r="M2441" s="67"/>
      <c r="N2441" s="33">
        <f t="shared" si="276"/>
        <v>0</v>
      </c>
      <c r="O2441" s="70"/>
      <c r="P2441" s="34" t="str">
        <f t="shared" si="277"/>
        <v/>
      </c>
      <c r="Q2441" s="60"/>
      <c r="R2441" s="36">
        <f t="shared" si="312"/>
        <v>0</v>
      </c>
      <c r="S2441" s="71"/>
      <c r="T2441" s="37">
        <f t="shared" si="302"/>
        <v>0</v>
      </c>
      <c r="U2441" s="62"/>
      <c r="V2441" s="63"/>
      <c r="W2441" s="63"/>
      <c r="X2441" s="35" t="str">
        <f t="shared" si="303"/>
        <v>#N/A</v>
      </c>
      <c r="Y2441" s="35" t="str">
        <f t="shared" si="304"/>
        <v>#N/A</v>
      </c>
      <c r="Z2441" s="40" t="str">
        <f t="shared" si="305"/>
        <v>#N/A</v>
      </c>
      <c r="AA2441" s="34" t="str">
        <f t="shared" si="306"/>
        <v>#N/A</v>
      </c>
      <c r="AB2441" s="41" t="str">
        <f t="shared" si="307"/>
        <v>#N/A</v>
      </c>
      <c r="AC2441" s="42" t="b">
        <v>0</v>
      </c>
      <c r="AD2441" s="66" t="str">
        <f t="shared" si="308"/>
        <v>USD</v>
      </c>
      <c r="AE2441" s="42"/>
      <c r="AF2441" s="42" t="str">
        <f t="array" ref="AF2441">INDEX('Deal Info'!D:D, MATCH(A2441,'Deal Info'!A:A, 0))</f>
        <v>#N/A</v>
      </c>
      <c r="AG2441" s="43" t="str">
        <f t="array" ref="AG2441">INDEX('Deal Info'!G:G, MATCH(A2441,'Deal Info'!A:A, 0))</f>
        <v>#N/A</v>
      </c>
    </row>
    <row r="2442" hidden="1">
      <c r="A2442" s="23" t="b">
        <f t="array" ref="A2442">if(G2442='Room Info'!$B$1, INDEX('Room Info'!$A$2:$A3446, MATCH(B2442,'Room Info'!$B$2:$B3446, 0)),if(G2442='Room Info'!$C$1, INDEX('Room Info'!$A$2:$A3446, MATCH(B2442,'Room Info'!$C$2:$C3446, 0)),if(G2442='Room Info'!$D$1, INDEX('Room Info'!$A$2:$A3446, MATCH(B2442,'Room Info'!$D$2:$D3446, 0)),if(G2442='Room Info'!$E$1, INDEX('Room Info'!$A$2:$A3446, MATCH(B2442,'Room Info'!$E$2:$E3446, 0)),if(G2442='Room Info'!$F$1, INDEX('Room Info'!$A$2:$A3446, MATCH(B2442,'Room Info'!$F$2:$F3446, 0)),if(G2442='Room Info'!$H$1, INDEX('Room Info'!$A$2:$A3446, MATCH(B2442,'Room Info'!$H$2:$H3446, 0)),if(G2442='Room Info'!$G$1, INDEX('Room Info'!$A$2:$A3446, MATCH(B2442,'Room Info'!$G$2:$G3446, 0)))))))))</f>
        <v>0</v>
      </c>
      <c r="B2442" s="101"/>
      <c r="C2442" s="115"/>
      <c r="D2442" s="115"/>
      <c r="E2442" s="85"/>
      <c r="F2442" s="138"/>
      <c r="G2442" s="70"/>
      <c r="H2442" s="114"/>
      <c r="I2442" s="114"/>
      <c r="J2442" s="44" t="str">
        <f t="shared" si="311"/>
        <v/>
      </c>
      <c r="K2442" s="116"/>
      <c r="L2442" s="117"/>
      <c r="M2442" s="67"/>
      <c r="N2442" s="33">
        <f t="shared" si="276"/>
        <v>0</v>
      </c>
      <c r="O2442" s="70"/>
      <c r="P2442" s="34" t="str">
        <f t="shared" si="277"/>
        <v/>
      </c>
      <c r="Q2442" s="60"/>
      <c r="R2442" s="36">
        <f t="shared" si="312"/>
        <v>0</v>
      </c>
      <c r="S2442" s="71"/>
      <c r="T2442" s="37">
        <f t="shared" si="302"/>
        <v>0</v>
      </c>
      <c r="U2442" s="62"/>
      <c r="V2442" s="63"/>
      <c r="W2442" s="63"/>
      <c r="X2442" s="35" t="str">
        <f t="shared" si="303"/>
        <v>#N/A</v>
      </c>
      <c r="Y2442" s="35" t="str">
        <f t="shared" si="304"/>
        <v>#N/A</v>
      </c>
      <c r="Z2442" s="40" t="str">
        <f t="shared" si="305"/>
        <v>#N/A</v>
      </c>
      <c r="AA2442" s="34" t="str">
        <f t="shared" si="306"/>
        <v>#N/A</v>
      </c>
      <c r="AB2442" s="41" t="str">
        <f t="shared" si="307"/>
        <v>#N/A</v>
      </c>
      <c r="AC2442" s="42" t="b">
        <v>0</v>
      </c>
      <c r="AD2442" s="66" t="str">
        <f t="shared" si="308"/>
        <v>USD</v>
      </c>
      <c r="AE2442" s="42"/>
      <c r="AF2442" s="42" t="str">
        <f t="array" ref="AF2442">INDEX('Deal Info'!D:D, MATCH(A2442,'Deal Info'!A:A, 0))</f>
        <v>#N/A</v>
      </c>
      <c r="AG2442" s="43" t="str">
        <f t="array" ref="AG2442">INDEX('Deal Info'!G:G, MATCH(A2442,'Deal Info'!A:A, 0))</f>
        <v>#N/A</v>
      </c>
    </row>
    <row r="2443" hidden="1">
      <c r="A2443" s="23" t="b">
        <f t="array" ref="A2443">if(G2443='Room Info'!$B$1, INDEX('Room Info'!$A$2:$A3446, MATCH(B2443,'Room Info'!$B$2:$B3446, 0)),if(G2443='Room Info'!$C$1, INDEX('Room Info'!$A$2:$A3446, MATCH(B2443,'Room Info'!$C$2:$C3446, 0)),if(G2443='Room Info'!$D$1, INDEX('Room Info'!$A$2:$A3446, MATCH(B2443,'Room Info'!$D$2:$D3446, 0)),if(G2443='Room Info'!$E$1, INDEX('Room Info'!$A$2:$A3446, MATCH(B2443,'Room Info'!$E$2:$E3446, 0)),if(G2443='Room Info'!$F$1, INDEX('Room Info'!$A$2:$A3446, MATCH(B2443,'Room Info'!$F$2:$F3446, 0)),if(G2443='Room Info'!$H$1, INDEX('Room Info'!$A$2:$A3446, MATCH(B2443,'Room Info'!$H$2:$H3446, 0)),if(G2443='Room Info'!$G$1, INDEX('Room Info'!$A$2:$A3446, MATCH(B2443,'Room Info'!$G$2:$G3446, 0)))))))))</f>
        <v>0</v>
      </c>
      <c r="B2443" s="101"/>
      <c r="C2443" s="115"/>
      <c r="D2443" s="115"/>
      <c r="E2443" s="85"/>
      <c r="F2443" s="138"/>
      <c r="G2443" s="70"/>
      <c r="H2443" s="114"/>
      <c r="I2443" s="114"/>
      <c r="J2443" s="44" t="str">
        <f t="shared" si="311"/>
        <v/>
      </c>
      <c r="K2443" s="116"/>
      <c r="L2443" s="117"/>
      <c r="M2443" s="67"/>
      <c r="N2443" s="33">
        <f t="shared" si="276"/>
        <v>0</v>
      </c>
      <c r="O2443" s="70"/>
      <c r="P2443" s="34" t="str">
        <f t="shared" si="277"/>
        <v/>
      </c>
      <c r="Q2443" s="60"/>
      <c r="R2443" s="36">
        <f t="shared" si="312"/>
        <v>0</v>
      </c>
      <c r="S2443" s="71"/>
      <c r="T2443" s="37">
        <f t="shared" si="302"/>
        <v>0</v>
      </c>
      <c r="U2443" s="62"/>
      <c r="V2443" s="63"/>
      <c r="W2443" s="63"/>
      <c r="X2443" s="35" t="str">
        <f t="shared" si="303"/>
        <v>#N/A</v>
      </c>
      <c r="Y2443" s="35" t="str">
        <f t="shared" si="304"/>
        <v>#N/A</v>
      </c>
      <c r="Z2443" s="40" t="str">
        <f t="shared" si="305"/>
        <v>#N/A</v>
      </c>
      <c r="AA2443" s="34" t="str">
        <f t="shared" si="306"/>
        <v>#N/A</v>
      </c>
      <c r="AB2443" s="41" t="str">
        <f t="shared" si="307"/>
        <v>#N/A</v>
      </c>
      <c r="AC2443" s="42" t="b">
        <v>0</v>
      </c>
      <c r="AD2443" s="66" t="str">
        <f t="shared" si="308"/>
        <v>USD</v>
      </c>
      <c r="AE2443" s="42"/>
      <c r="AF2443" s="42" t="str">
        <f t="array" ref="AF2443">INDEX('Deal Info'!D:D, MATCH(A2443,'Deal Info'!A:A, 0))</f>
        <v>#N/A</v>
      </c>
      <c r="AG2443" s="43" t="str">
        <f t="array" ref="AG2443">INDEX('Deal Info'!G:G, MATCH(A2443,'Deal Info'!A:A, 0))</f>
        <v>#N/A</v>
      </c>
    </row>
    <row r="2444" hidden="1">
      <c r="A2444" s="23" t="b">
        <f t="array" ref="A2444">if(G2444='Room Info'!$B$1, INDEX('Room Info'!$A$2:$A3446, MATCH(B2444,'Room Info'!$B$2:$B3446, 0)),if(G2444='Room Info'!$C$1, INDEX('Room Info'!$A$2:$A3446, MATCH(B2444,'Room Info'!$C$2:$C3446, 0)),if(G2444='Room Info'!$D$1, INDEX('Room Info'!$A$2:$A3446, MATCH(B2444,'Room Info'!$D$2:$D3446, 0)),if(G2444='Room Info'!$E$1, INDEX('Room Info'!$A$2:$A3446, MATCH(B2444,'Room Info'!$E$2:$E3446, 0)),if(G2444='Room Info'!$F$1, INDEX('Room Info'!$A$2:$A3446, MATCH(B2444,'Room Info'!$F$2:$F3446, 0)),if(G2444='Room Info'!$H$1, INDEX('Room Info'!$A$2:$A3446, MATCH(B2444,'Room Info'!$H$2:$H3446, 0)),if(G2444='Room Info'!$G$1, INDEX('Room Info'!$A$2:$A3446, MATCH(B2444,'Room Info'!$G$2:$G3446, 0)))))))))</f>
        <v>0</v>
      </c>
      <c r="B2444" s="101"/>
      <c r="C2444" s="115"/>
      <c r="D2444" s="115"/>
      <c r="E2444" s="85"/>
      <c r="F2444" s="138"/>
      <c r="G2444" s="70"/>
      <c r="H2444" s="114"/>
      <c r="I2444" s="114"/>
      <c r="J2444" s="44" t="str">
        <f t="shared" si="311"/>
        <v/>
      </c>
      <c r="K2444" s="116"/>
      <c r="L2444" s="117"/>
      <c r="M2444" s="67"/>
      <c r="N2444" s="33">
        <f t="shared" si="276"/>
        <v>0</v>
      </c>
      <c r="O2444" s="70"/>
      <c r="P2444" s="34" t="str">
        <f t="shared" si="277"/>
        <v/>
      </c>
      <c r="Q2444" s="60"/>
      <c r="R2444" s="36">
        <f t="shared" si="312"/>
        <v>0</v>
      </c>
      <c r="S2444" s="71"/>
      <c r="T2444" s="37">
        <f t="shared" si="302"/>
        <v>0</v>
      </c>
      <c r="U2444" s="62"/>
      <c r="V2444" s="63"/>
      <c r="W2444" s="63"/>
      <c r="X2444" s="35" t="str">
        <f t="shared" si="303"/>
        <v>#N/A</v>
      </c>
      <c r="Y2444" s="35" t="str">
        <f t="shared" si="304"/>
        <v>#N/A</v>
      </c>
      <c r="Z2444" s="40" t="str">
        <f t="shared" si="305"/>
        <v>#N/A</v>
      </c>
      <c r="AA2444" s="34" t="str">
        <f t="shared" si="306"/>
        <v>#N/A</v>
      </c>
      <c r="AB2444" s="41" t="str">
        <f t="shared" si="307"/>
        <v>#N/A</v>
      </c>
      <c r="AC2444" s="42" t="b">
        <v>0</v>
      </c>
      <c r="AD2444" s="66" t="str">
        <f t="shared" si="308"/>
        <v>USD</v>
      </c>
      <c r="AE2444" s="42"/>
      <c r="AF2444" s="42" t="str">
        <f t="array" ref="AF2444">INDEX('Deal Info'!D:D, MATCH(A2444,'Deal Info'!A:A, 0))</f>
        <v>#N/A</v>
      </c>
      <c r="AG2444" s="43" t="str">
        <f t="array" ref="AG2444">INDEX('Deal Info'!G:G, MATCH(A2444,'Deal Info'!A:A, 0))</f>
        <v>#N/A</v>
      </c>
    </row>
    <row r="2445" hidden="1">
      <c r="A2445" s="23" t="b">
        <f t="array" ref="A2445">if(G2445='Room Info'!$B$1, INDEX('Room Info'!$A$2:$A3446, MATCH(B2445,'Room Info'!$B$2:$B3446, 0)),if(G2445='Room Info'!$C$1, INDEX('Room Info'!$A$2:$A3446, MATCH(B2445,'Room Info'!$C$2:$C3446, 0)),if(G2445='Room Info'!$D$1, INDEX('Room Info'!$A$2:$A3446, MATCH(B2445,'Room Info'!$D$2:$D3446, 0)),if(G2445='Room Info'!$E$1, INDEX('Room Info'!$A$2:$A3446, MATCH(B2445,'Room Info'!$E$2:$E3446, 0)),if(G2445='Room Info'!$F$1, INDEX('Room Info'!$A$2:$A3446, MATCH(B2445,'Room Info'!$F$2:$F3446, 0)),if(G2445='Room Info'!$H$1, INDEX('Room Info'!$A$2:$A3446, MATCH(B2445,'Room Info'!$H$2:$H3446, 0)),if(G2445='Room Info'!$G$1, INDEX('Room Info'!$A$2:$A3446, MATCH(B2445,'Room Info'!$G$2:$G3446, 0)))))))))</f>
        <v>0</v>
      </c>
      <c r="B2445" s="101"/>
      <c r="C2445" s="115"/>
      <c r="D2445" s="115"/>
      <c r="E2445" s="85"/>
      <c r="F2445" s="138"/>
      <c r="G2445" s="101"/>
      <c r="H2445" s="105"/>
      <c r="I2445" s="105"/>
      <c r="J2445" s="44" t="str">
        <f t="shared" si="311"/>
        <v/>
      </c>
      <c r="K2445" s="116"/>
      <c r="L2445" s="117"/>
      <c r="M2445" s="67"/>
      <c r="N2445" s="33">
        <f t="shared" si="276"/>
        <v>0</v>
      </c>
      <c r="O2445" s="70"/>
      <c r="P2445" s="34" t="str">
        <f t="shared" si="277"/>
        <v/>
      </c>
      <c r="Q2445" s="60"/>
      <c r="R2445" s="36">
        <f t="shared" si="312"/>
        <v>0</v>
      </c>
      <c r="S2445" s="71"/>
      <c r="T2445" s="37">
        <f t="shared" si="302"/>
        <v>0</v>
      </c>
      <c r="U2445" s="118"/>
      <c r="V2445" s="74"/>
      <c r="W2445" s="74"/>
      <c r="X2445" s="35" t="str">
        <f t="shared" si="303"/>
        <v>#N/A</v>
      </c>
      <c r="Y2445" s="35" t="str">
        <f t="shared" si="304"/>
        <v>#N/A</v>
      </c>
      <c r="Z2445" s="40" t="str">
        <f t="shared" si="305"/>
        <v>#N/A</v>
      </c>
      <c r="AA2445" s="34" t="str">
        <f t="shared" si="306"/>
        <v>#N/A</v>
      </c>
      <c r="AB2445" s="41" t="str">
        <f t="shared" si="307"/>
        <v>#N/A</v>
      </c>
      <c r="AC2445" s="42" t="b">
        <v>0</v>
      </c>
      <c r="AD2445" s="66" t="str">
        <f t="shared" si="308"/>
        <v>USD</v>
      </c>
      <c r="AE2445" s="42"/>
      <c r="AF2445" s="42" t="str">
        <f t="array" ref="AF2445">INDEX('Deal Info'!D:D, MATCH(A2445,'Deal Info'!A:A, 0))</f>
        <v>#N/A</v>
      </c>
      <c r="AG2445" s="43" t="str">
        <f t="array" ref="AG2445">INDEX('Deal Info'!G:G, MATCH(A2445,'Deal Info'!A:A, 0))</f>
        <v>#N/A</v>
      </c>
    </row>
    <row r="2446" hidden="1">
      <c r="A2446" s="23"/>
      <c r="B2446" s="101"/>
      <c r="C2446" s="115"/>
      <c r="D2446" s="115"/>
      <c r="E2446" s="85"/>
      <c r="F2446" s="138"/>
      <c r="G2446" s="101"/>
      <c r="H2446" s="105"/>
      <c r="I2446" s="105"/>
      <c r="J2446" s="44"/>
      <c r="K2446" s="116"/>
      <c r="L2446" s="117"/>
      <c r="M2446" s="67"/>
      <c r="N2446" s="33"/>
      <c r="O2446" s="70"/>
      <c r="P2446" s="34"/>
      <c r="Q2446" s="60"/>
      <c r="R2446" s="36">
        <f t="shared" si="312"/>
        <v>0</v>
      </c>
      <c r="S2446" s="71"/>
      <c r="T2446" s="37">
        <f t="shared" si="302"/>
        <v>0</v>
      </c>
      <c r="U2446" s="118"/>
      <c r="V2446" s="74"/>
      <c r="W2446" s="74"/>
      <c r="X2446" s="35" t="str">
        <f t="shared" si="303"/>
        <v>#N/A</v>
      </c>
      <c r="Y2446" s="35" t="str">
        <f t="shared" si="304"/>
        <v>#N/A</v>
      </c>
      <c r="Z2446" s="40" t="str">
        <f t="shared" si="305"/>
        <v>#N/A</v>
      </c>
      <c r="AA2446" s="34" t="str">
        <f t="shared" si="306"/>
        <v>#N/A</v>
      </c>
      <c r="AB2446" s="41" t="str">
        <f t="shared" si="307"/>
        <v>#N/A</v>
      </c>
      <c r="AC2446" s="42" t="b">
        <v>0</v>
      </c>
      <c r="AD2446" s="66" t="str">
        <f t="shared" si="308"/>
        <v>USD</v>
      </c>
      <c r="AE2446" s="42"/>
      <c r="AF2446" s="42" t="str">
        <f t="array" ref="AF2446">INDEX('Deal Info'!D:D, MATCH(A2446,'Deal Info'!A:A, 0))</f>
        <v>#N/A</v>
      </c>
      <c r="AG2446" s="43" t="str">
        <f t="array" ref="AG2446">INDEX('Deal Info'!G:G, MATCH(A2446,'Deal Info'!A:A, 0))</f>
        <v>#N/A</v>
      </c>
    </row>
    <row r="2447">
      <c r="A2447" s="23"/>
      <c r="B2447" s="101"/>
      <c r="C2447" s="115"/>
      <c r="D2447" s="115"/>
      <c r="E2447" s="85"/>
      <c r="F2447" s="138"/>
      <c r="G2447" s="101"/>
      <c r="H2447" s="105"/>
      <c r="I2447" s="105"/>
      <c r="J2447" s="44"/>
      <c r="K2447" s="116"/>
      <c r="L2447" s="117"/>
      <c r="M2447" s="67"/>
      <c r="N2447" s="33"/>
      <c r="O2447" s="70"/>
      <c r="P2447" s="34"/>
      <c r="Q2447" s="60"/>
      <c r="R2447" s="36"/>
      <c r="S2447" s="71"/>
      <c r="T2447" s="37"/>
      <c r="U2447" s="118"/>
      <c r="V2447" s="74"/>
      <c r="W2447" s="74"/>
      <c r="X2447" s="35"/>
      <c r="Y2447" s="35"/>
      <c r="Z2447" s="40"/>
      <c r="AA2447" s="34"/>
      <c r="AB2447" s="41"/>
      <c r="AC2447" s="42" t="b">
        <v>0</v>
      </c>
      <c r="AD2447" s="66"/>
      <c r="AE2447" s="42"/>
      <c r="AF2447" s="42"/>
      <c r="AG2447" s="43"/>
    </row>
    <row r="2448">
      <c r="A2448" s="23"/>
      <c r="B2448" s="101"/>
      <c r="C2448" s="115"/>
      <c r="D2448" s="115"/>
      <c r="E2448" s="85"/>
      <c r="F2448" s="138"/>
      <c r="G2448" s="101"/>
      <c r="H2448" s="105"/>
      <c r="I2448" s="105"/>
      <c r="J2448" s="44"/>
      <c r="K2448" s="116"/>
      <c r="L2448" s="117"/>
      <c r="M2448" s="67"/>
      <c r="N2448" s="33"/>
      <c r="O2448" s="70"/>
      <c r="P2448" s="34"/>
      <c r="Q2448" s="60"/>
      <c r="R2448" s="36"/>
      <c r="S2448" s="71"/>
      <c r="T2448" s="37"/>
      <c r="U2448" s="118"/>
      <c r="V2448" s="74"/>
      <c r="W2448" s="74"/>
      <c r="X2448" s="35"/>
      <c r="Y2448" s="35"/>
      <c r="Z2448" s="40"/>
      <c r="AA2448" s="34"/>
      <c r="AB2448" s="41"/>
      <c r="AC2448" s="42" t="b">
        <v>0</v>
      </c>
      <c r="AD2448" s="66"/>
      <c r="AE2448" s="42"/>
      <c r="AF2448" s="42"/>
      <c r="AG2448" s="43"/>
    </row>
    <row r="2449">
      <c r="A2449" s="23"/>
      <c r="B2449" s="101"/>
      <c r="C2449" s="115"/>
      <c r="D2449" s="115"/>
      <c r="E2449" s="85"/>
      <c r="F2449" s="138"/>
      <c r="G2449" s="101"/>
      <c r="H2449" s="105"/>
      <c r="I2449" s="105"/>
      <c r="J2449" s="44"/>
      <c r="K2449" s="116"/>
      <c r="L2449" s="117"/>
      <c r="M2449" s="67"/>
      <c r="N2449" s="33"/>
      <c r="O2449" s="70"/>
      <c r="P2449" s="34"/>
      <c r="Q2449" s="60"/>
      <c r="R2449" s="36"/>
      <c r="S2449" s="71"/>
      <c r="T2449" s="37"/>
      <c r="U2449" s="118"/>
      <c r="V2449" s="74"/>
      <c r="W2449" s="74"/>
      <c r="X2449" s="35"/>
      <c r="Y2449" s="35"/>
      <c r="Z2449" s="40"/>
      <c r="AA2449" s="34"/>
      <c r="AB2449" s="41"/>
      <c r="AC2449" s="42" t="b">
        <v>0</v>
      </c>
      <c r="AD2449" s="66"/>
      <c r="AE2449" s="42"/>
      <c r="AF2449" s="42"/>
      <c r="AG2449" s="43"/>
    </row>
    <row r="2450">
      <c r="A2450" s="23"/>
      <c r="B2450" s="101"/>
      <c r="C2450" s="115"/>
      <c r="D2450" s="115"/>
      <c r="E2450" s="85"/>
      <c r="F2450" s="138"/>
      <c r="G2450" s="101"/>
      <c r="H2450" s="105"/>
      <c r="I2450" s="105"/>
      <c r="J2450" s="44"/>
      <c r="K2450" s="116"/>
      <c r="L2450" s="117"/>
      <c r="M2450" s="67"/>
      <c r="N2450" s="33"/>
      <c r="O2450" s="70"/>
      <c r="P2450" s="34"/>
      <c r="Q2450" s="60"/>
      <c r="R2450" s="36"/>
      <c r="S2450" s="71"/>
      <c r="T2450" s="37"/>
      <c r="U2450" s="118"/>
      <c r="V2450" s="74"/>
      <c r="W2450" s="74"/>
      <c r="X2450" s="35"/>
      <c r="Y2450" s="35"/>
      <c r="Z2450" s="40"/>
      <c r="AA2450" s="34"/>
      <c r="AB2450" s="41"/>
      <c r="AC2450" s="42" t="b">
        <v>0</v>
      </c>
      <c r="AD2450" s="66"/>
      <c r="AE2450" s="42"/>
      <c r="AF2450" s="42"/>
      <c r="AG2450" s="43"/>
    </row>
    <row r="2451">
      <c r="A2451" s="23"/>
      <c r="B2451" s="101"/>
      <c r="C2451" s="115"/>
      <c r="D2451" s="115"/>
      <c r="E2451" s="85"/>
      <c r="F2451" s="138"/>
      <c r="G2451" s="101"/>
      <c r="H2451" s="105"/>
      <c r="I2451" s="105"/>
      <c r="J2451" s="44"/>
      <c r="K2451" s="116"/>
      <c r="L2451" s="117"/>
      <c r="M2451" s="67"/>
      <c r="N2451" s="33"/>
      <c r="O2451" s="70"/>
      <c r="P2451" s="34"/>
      <c r="Q2451" s="60"/>
      <c r="R2451" s="36"/>
      <c r="S2451" s="71"/>
      <c r="T2451" s="37"/>
      <c r="U2451" s="118"/>
      <c r="V2451" s="74"/>
      <c r="W2451" s="74"/>
      <c r="X2451" s="35"/>
      <c r="Y2451" s="35"/>
      <c r="Z2451" s="40"/>
      <c r="AA2451" s="34"/>
      <c r="AB2451" s="41"/>
      <c r="AC2451" s="42" t="b">
        <v>0</v>
      </c>
      <c r="AD2451" s="66"/>
      <c r="AE2451" s="42"/>
      <c r="AF2451" s="42"/>
      <c r="AG2451" s="43"/>
    </row>
    <row r="2452">
      <c r="A2452" s="23"/>
      <c r="B2452" s="101"/>
      <c r="C2452" s="115"/>
      <c r="D2452" s="115"/>
      <c r="E2452" s="85"/>
      <c r="F2452" s="138"/>
      <c r="G2452" s="101"/>
      <c r="H2452" s="105"/>
      <c r="I2452" s="105"/>
      <c r="J2452" s="44"/>
      <c r="K2452" s="116"/>
      <c r="L2452" s="117"/>
      <c r="M2452" s="67"/>
      <c r="N2452" s="33"/>
      <c r="O2452" s="70"/>
      <c r="P2452" s="34"/>
      <c r="Q2452" s="60"/>
      <c r="R2452" s="36"/>
      <c r="S2452" s="71"/>
      <c r="T2452" s="37"/>
      <c r="U2452" s="118"/>
      <c r="V2452" s="74"/>
      <c r="W2452" s="74"/>
      <c r="X2452" s="35"/>
      <c r="Y2452" s="35"/>
      <c r="Z2452" s="40"/>
      <c r="AA2452" s="34"/>
      <c r="AB2452" s="41"/>
      <c r="AC2452" s="42" t="b">
        <v>0</v>
      </c>
      <c r="AD2452" s="66"/>
      <c r="AE2452" s="42"/>
      <c r="AF2452" s="42"/>
      <c r="AG2452" s="43"/>
    </row>
    <row r="2453">
      <c r="A2453" s="23"/>
      <c r="B2453" s="101"/>
      <c r="C2453" s="115"/>
      <c r="D2453" s="115"/>
      <c r="E2453" s="85"/>
      <c r="F2453" s="138"/>
      <c r="G2453" s="101"/>
      <c r="H2453" s="105"/>
      <c r="I2453" s="105"/>
      <c r="J2453" s="44"/>
      <c r="K2453" s="116"/>
      <c r="L2453" s="117"/>
      <c r="M2453" s="67"/>
      <c r="N2453" s="33"/>
      <c r="O2453" s="70"/>
      <c r="P2453" s="34"/>
      <c r="Q2453" s="60"/>
      <c r="R2453" s="36"/>
      <c r="S2453" s="71"/>
      <c r="T2453" s="37"/>
      <c r="U2453" s="118"/>
      <c r="V2453" s="74"/>
      <c r="W2453" s="74"/>
      <c r="X2453" s="35"/>
      <c r="Y2453" s="35"/>
      <c r="Z2453" s="40"/>
      <c r="AA2453" s="34"/>
      <c r="AB2453" s="41"/>
      <c r="AC2453" s="42" t="b">
        <v>0</v>
      </c>
      <c r="AD2453" s="66"/>
      <c r="AE2453" s="42"/>
      <c r="AF2453" s="42"/>
      <c r="AG2453" s="43"/>
    </row>
    <row r="2454">
      <c r="A2454" s="23"/>
      <c r="B2454" s="101"/>
      <c r="C2454" s="115"/>
      <c r="D2454" s="115"/>
      <c r="E2454" s="85"/>
      <c r="F2454" s="138"/>
      <c r="G2454" s="101"/>
      <c r="H2454" s="105"/>
      <c r="I2454" s="105"/>
      <c r="J2454" s="44"/>
      <c r="K2454" s="116"/>
      <c r="L2454" s="117"/>
      <c r="M2454" s="67"/>
      <c r="N2454" s="33"/>
      <c r="O2454" s="70"/>
      <c r="P2454" s="34"/>
      <c r="Q2454" s="60"/>
      <c r="R2454" s="36"/>
      <c r="S2454" s="71"/>
      <c r="T2454" s="37"/>
      <c r="U2454" s="118"/>
      <c r="V2454" s="74"/>
      <c r="W2454" s="74"/>
      <c r="X2454" s="35"/>
      <c r="Y2454" s="35"/>
      <c r="Z2454" s="40"/>
      <c r="AA2454" s="34"/>
      <c r="AB2454" s="41"/>
      <c r="AC2454" s="42" t="b">
        <v>0</v>
      </c>
      <c r="AD2454" s="66"/>
      <c r="AE2454" s="42"/>
      <c r="AF2454" s="42"/>
      <c r="AG2454" s="43"/>
    </row>
    <row r="2455">
      <c r="A2455" s="23"/>
      <c r="B2455" s="101"/>
      <c r="C2455" s="115"/>
      <c r="D2455" s="115"/>
      <c r="E2455" s="85"/>
      <c r="F2455" s="138"/>
      <c r="G2455" s="101"/>
      <c r="H2455" s="105"/>
      <c r="I2455" s="105"/>
      <c r="J2455" s="44"/>
      <c r="K2455" s="116"/>
      <c r="L2455" s="117"/>
      <c r="M2455" s="67"/>
      <c r="N2455" s="33"/>
      <c r="O2455" s="70"/>
      <c r="P2455" s="34"/>
      <c r="Q2455" s="60"/>
      <c r="R2455" s="36"/>
      <c r="S2455" s="71"/>
      <c r="T2455" s="37"/>
      <c r="U2455" s="118"/>
      <c r="V2455" s="74"/>
      <c r="W2455" s="74"/>
      <c r="X2455" s="35"/>
      <c r="Y2455" s="35"/>
      <c r="Z2455" s="40"/>
      <c r="AA2455" s="34"/>
      <c r="AB2455" s="41"/>
      <c r="AC2455" s="42" t="b">
        <v>0</v>
      </c>
      <c r="AD2455" s="66"/>
      <c r="AE2455" s="42"/>
      <c r="AF2455" s="42"/>
      <c r="AG2455" s="43"/>
    </row>
    <row r="2456">
      <c r="A2456" s="23"/>
      <c r="B2456" s="101"/>
      <c r="C2456" s="115"/>
      <c r="D2456" s="115"/>
      <c r="E2456" s="85"/>
      <c r="F2456" s="138"/>
      <c r="G2456" s="101"/>
      <c r="H2456" s="105"/>
      <c r="I2456" s="105"/>
      <c r="J2456" s="44"/>
      <c r="K2456" s="116"/>
      <c r="L2456" s="117"/>
      <c r="M2456" s="67"/>
      <c r="N2456" s="33"/>
      <c r="O2456" s="70"/>
      <c r="P2456" s="34"/>
      <c r="Q2456" s="60"/>
      <c r="R2456" s="36"/>
      <c r="S2456" s="71"/>
      <c r="T2456" s="37"/>
      <c r="U2456" s="118"/>
      <c r="V2456" s="74"/>
      <c r="W2456" s="74"/>
      <c r="X2456" s="35"/>
      <c r="Y2456" s="35"/>
      <c r="Z2456" s="40"/>
      <c r="AA2456" s="34"/>
      <c r="AB2456" s="41"/>
      <c r="AC2456" s="42" t="b">
        <v>0</v>
      </c>
      <c r="AD2456" s="66"/>
      <c r="AE2456" s="42"/>
      <c r="AF2456" s="42"/>
      <c r="AG2456" s="43"/>
    </row>
    <row r="2457">
      <c r="A2457" s="23"/>
      <c r="B2457" s="101"/>
      <c r="C2457" s="115"/>
      <c r="D2457" s="115"/>
      <c r="E2457" s="85"/>
      <c r="F2457" s="138"/>
      <c r="G2457" s="101"/>
      <c r="H2457" s="105"/>
      <c r="I2457" s="105"/>
      <c r="J2457" s="44"/>
      <c r="K2457" s="116"/>
      <c r="L2457" s="117"/>
      <c r="M2457" s="67"/>
      <c r="N2457" s="33"/>
      <c r="O2457" s="70"/>
      <c r="P2457" s="34"/>
      <c r="Q2457" s="60"/>
      <c r="R2457" s="36"/>
      <c r="S2457" s="71"/>
      <c r="T2457" s="37"/>
      <c r="U2457" s="118"/>
      <c r="V2457" s="74"/>
      <c r="W2457" s="74"/>
      <c r="X2457" s="35"/>
      <c r="Y2457" s="35"/>
      <c r="Z2457" s="40"/>
      <c r="AA2457" s="34"/>
      <c r="AB2457" s="41"/>
      <c r="AC2457" s="42" t="b">
        <v>0</v>
      </c>
      <c r="AD2457" s="66"/>
      <c r="AE2457" s="42"/>
      <c r="AF2457" s="42"/>
      <c r="AG2457" s="43"/>
    </row>
    <row r="2458">
      <c r="A2458" s="23"/>
      <c r="B2458" s="101"/>
      <c r="C2458" s="115"/>
      <c r="D2458" s="115"/>
      <c r="E2458" s="85"/>
      <c r="F2458" s="138"/>
      <c r="G2458" s="101"/>
      <c r="H2458" s="105"/>
      <c r="I2458" s="105"/>
      <c r="J2458" s="44"/>
      <c r="K2458" s="116"/>
      <c r="L2458" s="117"/>
      <c r="M2458" s="67"/>
      <c r="N2458" s="33"/>
      <c r="O2458" s="70"/>
      <c r="P2458" s="34"/>
      <c r="Q2458" s="60"/>
      <c r="R2458" s="36"/>
      <c r="S2458" s="71"/>
      <c r="T2458" s="37"/>
      <c r="U2458" s="118"/>
      <c r="V2458" s="74"/>
      <c r="W2458" s="74"/>
      <c r="X2458" s="35"/>
      <c r="Y2458" s="35"/>
      <c r="Z2458" s="40"/>
      <c r="AA2458" s="34"/>
      <c r="AB2458" s="41"/>
      <c r="AC2458" s="42" t="b">
        <v>0</v>
      </c>
      <c r="AD2458" s="66"/>
      <c r="AE2458" s="42"/>
      <c r="AF2458" s="42"/>
      <c r="AG2458" s="43"/>
    </row>
    <row r="2459">
      <c r="A2459" s="23"/>
      <c r="B2459" s="101"/>
      <c r="C2459" s="115"/>
      <c r="D2459" s="115"/>
      <c r="E2459" s="85"/>
      <c r="F2459" s="138"/>
      <c r="G2459" s="101"/>
      <c r="H2459" s="105"/>
      <c r="I2459" s="105"/>
      <c r="J2459" s="44"/>
      <c r="K2459" s="116"/>
      <c r="L2459" s="117"/>
      <c r="M2459" s="67"/>
      <c r="N2459" s="33"/>
      <c r="O2459" s="70"/>
      <c r="P2459" s="34"/>
      <c r="Q2459" s="60"/>
      <c r="R2459" s="36"/>
      <c r="S2459" s="71"/>
      <c r="T2459" s="37"/>
      <c r="U2459" s="118"/>
      <c r="V2459" s="74"/>
      <c r="W2459" s="74"/>
      <c r="X2459" s="35"/>
      <c r="Y2459" s="35"/>
      <c r="Z2459" s="40"/>
      <c r="AA2459" s="34"/>
      <c r="AB2459" s="41"/>
      <c r="AC2459" s="42" t="b">
        <v>0</v>
      </c>
      <c r="AD2459" s="66"/>
      <c r="AE2459" s="42"/>
      <c r="AF2459" s="42"/>
      <c r="AG2459" s="43"/>
    </row>
    <row r="2460">
      <c r="A2460" s="23"/>
      <c r="B2460" s="101"/>
      <c r="C2460" s="115"/>
      <c r="D2460" s="115"/>
      <c r="E2460" s="85"/>
      <c r="F2460" s="138"/>
      <c r="G2460" s="101"/>
      <c r="H2460" s="105"/>
      <c r="I2460" s="105"/>
      <c r="J2460" s="44"/>
      <c r="K2460" s="116"/>
      <c r="L2460" s="117"/>
      <c r="M2460" s="67"/>
      <c r="N2460" s="33"/>
      <c r="O2460" s="70"/>
      <c r="P2460" s="34"/>
      <c r="Q2460" s="60"/>
      <c r="R2460" s="36"/>
      <c r="S2460" s="71"/>
      <c r="T2460" s="37"/>
      <c r="U2460" s="118"/>
      <c r="V2460" s="74"/>
      <c r="W2460" s="74"/>
      <c r="X2460" s="35"/>
      <c r="Y2460" s="35"/>
      <c r="Z2460" s="40"/>
      <c r="AA2460" s="34"/>
      <c r="AB2460" s="41"/>
      <c r="AC2460" s="42" t="b">
        <v>0</v>
      </c>
      <c r="AD2460" s="66"/>
      <c r="AE2460" s="42"/>
      <c r="AF2460" s="42"/>
      <c r="AG2460" s="43"/>
    </row>
    <row r="2461">
      <c r="A2461" s="23"/>
      <c r="B2461" s="101"/>
      <c r="C2461" s="115"/>
      <c r="D2461" s="115"/>
      <c r="E2461" s="85"/>
      <c r="F2461" s="138"/>
      <c r="G2461" s="101"/>
      <c r="H2461" s="105"/>
      <c r="I2461" s="105"/>
      <c r="J2461" s="44"/>
      <c r="K2461" s="116"/>
      <c r="L2461" s="117"/>
      <c r="M2461" s="67"/>
      <c r="N2461" s="33"/>
      <c r="O2461" s="70"/>
      <c r="P2461" s="34"/>
      <c r="Q2461" s="60"/>
      <c r="R2461" s="36"/>
      <c r="S2461" s="71"/>
      <c r="T2461" s="37"/>
      <c r="U2461" s="118"/>
      <c r="V2461" s="74"/>
      <c r="W2461" s="74"/>
      <c r="X2461" s="35"/>
      <c r="Y2461" s="35"/>
      <c r="Z2461" s="40"/>
      <c r="AA2461" s="34"/>
      <c r="AB2461" s="41"/>
      <c r="AC2461" s="42" t="b">
        <v>0</v>
      </c>
      <c r="AD2461" s="66"/>
      <c r="AE2461" s="42"/>
      <c r="AF2461" s="42"/>
      <c r="AG2461" s="43"/>
    </row>
    <row r="2462">
      <c r="A2462" s="23"/>
      <c r="B2462" s="101"/>
      <c r="C2462" s="115"/>
      <c r="D2462" s="115"/>
      <c r="E2462" s="85"/>
      <c r="F2462" s="138"/>
      <c r="G2462" s="101"/>
      <c r="H2462" s="105"/>
      <c r="I2462" s="105"/>
      <c r="J2462" s="44"/>
      <c r="K2462" s="116"/>
      <c r="L2462" s="117"/>
      <c r="M2462" s="67"/>
      <c r="N2462" s="33"/>
      <c r="O2462" s="70"/>
      <c r="P2462" s="34"/>
      <c r="Q2462" s="60"/>
      <c r="R2462" s="36"/>
      <c r="S2462" s="71"/>
      <c r="T2462" s="37"/>
      <c r="U2462" s="118"/>
      <c r="V2462" s="74"/>
      <c r="W2462" s="74"/>
      <c r="X2462" s="35"/>
      <c r="Y2462" s="35"/>
      <c r="Z2462" s="40"/>
      <c r="AA2462" s="34"/>
      <c r="AB2462" s="41"/>
      <c r="AC2462" s="42" t="b">
        <v>0</v>
      </c>
      <c r="AD2462" s="66"/>
      <c r="AE2462" s="42"/>
      <c r="AF2462" s="42"/>
      <c r="AG2462" s="43"/>
    </row>
    <row r="2463">
      <c r="A2463" s="23"/>
      <c r="B2463" s="101"/>
      <c r="C2463" s="115"/>
      <c r="D2463" s="115"/>
      <c r="E2463" s="85"/>
      <c r="F2463" s="138"/>
      <c r="G2463" s="101"/>
      <c r="H2463" s="105"/>
      <c r="I2463" s="105"/>
      <c r="J2463" s="44"/>
      <c r="K2463" s="116"/>
      <c r="L2463" s="117"/>
      <c r="M2463" s="67"/>
      <c r="N2463" s="33"/>
      <c r="O2463" s="70"/>
      <c r="P2463" s="34"/>
      <c r="Q2463" s="60"/>
      <c r="R2463" s="36"/>
      <c r="S2463" s="71"/>
      <c r="T2463" s="37"/>
      <c r="U2463" s="118"/>
      <c r="V2463" s="74"/>
      <c r="W2463" s="74"/>
      <c r="X2463" s="35"/>
      <c r="Y2463" s="35"/>
      <c r="Z2463" s="40"/>
      <c r="AA2463" s="34"/>
      <c r="AB2463" s="41"/>
      <c r="AC2463" s="42" t="b">
        <v>0</v>
      </c>
      <c r="AD2463" s="66"/>
      <c r="AE2463" s="42"/>
      <c r="AF2463" s="42"/>
      <c r="AG2463" s="43"/>
    </row>
    <row r="2464">
      <c r="A2464" s="23"/>
      <c r="B2464" s="101"/>
      <c r="C2464" s="115"/>
      <c r="D2464" s="115"/>
      <c r="E2464" s="85"/>
      <c r="F2464" s="138"/>
      <c r="G2464" s="101"/>
      <c r="H2464" s="105"/>
      <c r="I2464" s="105"/>
      <c r="J2464" s="44"/>
      <c r="K2464" s="116"/>
      <c r="L2464" s="117"/>
      <c r="M2464" s="67"/>
      <c r="N2464" s="33"/>
      <c r="O2464" s="70"/>
      <c r="P2464" s="34"/>
      <c r="Q2464" s="60"/>
      <c r="R2464" s="36"/>
      <c r="S2464" s="71"/>
      <c r="T2464" s="37"/>
      <c r="U2464" s="118"/>
      <c r="V2464" s="74"/>
      <c r="W2464" s="74"/>
      <c r="X2464" s="35"/>
      <c r="Y2464" s="35"/>
      <c r="Z2464" s="40"/>
      <c r="AA2464" s="34"/>
      <c r="AB2464" s="41"/>
      <c r="AC2464" s="42" t="b">
        <v>0</v>
      </c>
      <c r="AD2464" s="66"/>
      <c r="AE2464" s="42"/>
      <c r="AF2464" s="42"/>
      <c r="AG2464" s="43"/>
    </row>
    <row r="2465">
      <c r="A2465" s="23"/>
      <c r="B2465" s="101"/>
      <c r="C2465" s="115"/>
      <c r="D2465" s="115"/>
      <c r="E2465" s="85"/>
      <c r="F2465" s="138"/>
      <c r="G2465" s="101"/>
      <c r="H2465" s="105"/>
      <c r="I2465" s="105"/>
      <c r="J2465" s="44"/>
      <c r="K2465" s="116"/>
      <c r="L2465" s="117"/>
      <c r="M2465" s="67"/>
      <c r="N2465" s="33"/>
      <c r="O2465" s="70"/>
      <c r="P2465" s="34"/>
      <c r="Q2465" s="60"/>
      <c r="R2465" s="36"/>
      <c r="S2465" s="71"/>
      <c r="T2465" s="37"/>
      <c r="U2465" s="118"/>
      <c r="V2465" s="74"/>
      <c r="W2465" s="74"/>
      <c r="X2465" s="35"/>
      <c r="Y2465" s="35"/>
      <c r="Z2465" s="40"/>
      <c r="AA2465" s="34"/>
      <c r="AB2465" s="41"/>
      <c r="AC2465" s="42" t="b">
        <v>0</v>
      </c>
      <c r="AD2465" s="66"/>
      <c r="AE2465" s="42"/>
      <c r="AF2465" s="42"/>
      <c r="AG2465" s="43"/>
    </row>
    <row r="2466">
      <c r="A2466" s="23"/>
      <c r="B2466" s="101"/>
      <c r="C2466" s="115"/>
      <c r="D2466" s="115"/>
      <c r="E2466" s="85"/>
      <c r="F2466" s="138"/>
      <c r="G2466" s="101"/>
      <c r="H2466" s="105"/>
      <c r="I2466" s="105"/>
      <c r="J2466" s="44"/>
      <c r="K2466" s="116"/>
      <c r="L2466" s="117"/>
      <c r="M2466" s="67"/>
      <c r="N2466" s="33"/>
      <c r="O2466" s="70"/>
      <c r="P2466" s="34"/>
      <c r="Q2466" s="60"/>
      <c r="R2466" s="36"/>
      <c r="S2466" s="71"/>
      <c r="T2466" s="37"/>
      <c r="U2466" s="118"/>
      <c r="V2466" s="74"/>
      <c r="W2466" s="74"/>
      <c r="X2466" s="35"/>
      <c r="Y2466" s="35"/>
      <c r="Z2466" s="40"/>
      <c r="AA2466" s="34"/>
      <c r="AB2466" s="41"/>
      <c r="AC2466" s="42" t="b">
        <v>0</v>
      </c>
      <c r="AD2466" s="66"/>
      <c r="AE2466" s="42"/>
      <c r="AF2466" s="42"/>
      <c r="AG2466" s="43"/>
    </row>
    <row r="2467">
      <c r="A2467" s="23"/>
      <c r="B2467" s="101"/>
      <c r="C2467" s="115"/>
      <c r="D2467" s="115"/>
      <c r="E2467" s="85"/>
      <c r="F2467" s="138"/>
      <c r="G2467" s="101"/>
      <c r="H2467" s="105"/>
      <c r="I2467" s="105"/>
      <c r="J2467" s="44"/>
      <c r="K2467" s="116"/>
      <c r="L2467" s="117"/>
      <c r="M2467" s="67"/>
      <c r="N2467" s="33"/>
      <c r="O2467" s="70"/>
      <c r="P2467" s="34"/>
      <c r="Q2467" s="60"/>
      <c r="R2467" s="36"/>
      <c r="S2467" s="71"/>
      <c r="T2467" s="37"/>
      <c r="U2467" s="118"/>
      <c r="V2467" s="74"/>
      <c r="W2467" s="74"/>
      <c r="X2467" s="35"/>
      <c r="Y2467" s="35"/>
      <c r="Z2467" s="40"/>
      <c r="AA2467" s="34"/>
      <c r="AB2467" s="41"/>
      <c r="AC2467" s="42" t="b">
        <v>0</v>
      </c>
      <c r="AD2467" s="66"/>
      <c r="AE2467" s="42"/>
      <c r="AF2467" s="42"/>
      <c r="AG2467" s="43"/>
    </row>
    <row r="2468">
      <c r="A2468" s="23"/>
      <c r="B2468" s="101"/>
      <c r="C2468" s="115"/>
      <c r="D2468" s="115"/>
      <c r="E2468" s="85"/>
      <c r="F2468" s="138"/>
      <c r="G2468" s="101"/>
      <c r="H2468" s="105"/>
      <c r="I2468" s="105"/>
      <c r="J2468" s="44"/>
      <c r="K2468" s="116"/>
      <c r="L2468" s="117"/>
      <c r="M2468" s="67"/>
      <c r="N2468" s="33"/>
      <c r="O2468" s="70"/>
      <c r="P2468" s="34"/>
      <c r="Q2468" s="60"/>
      <c r="R2468" s="36"/>
      <c r="S2468" s="71"/>
      <c r="T2468" s="37"/>
      <c r="U2468" s="118"/>
      <c r="V2468" s="74"/>
      <c r="W2468" s="74"/>
      <c r="X2468" s="35"/>
      <c r="Y2468" s="35"/>
      <c r="Z2468" s="40"/>
      <c r="AA2468" s="34"/>
      <c r="AB2468" s="41"/>
      <c r="AC2468" s="42" t="b">
        <v>0</v>
      </c>
      <c r="AD2468" s="66"/>
      <c r="AE2468" s="42"/>
      <c r="AF2468" s="42"/>
      <c r="AG2468" s="43"/>
    </row>
    <row r="2469">
      <c r="A2469" s="23"/>
      <c r="B2469" s="101"/>
      <c r="C2469" s="115"/>
      <c r="D2469" s="115"/>
      <c r="E2469" s="85"/>
      <c r="F2469" s="138"/>
      <c r="G2469" s="101"/>
      <c r="H2469" s="105"/>
      <c r="I2469" s="105"/>
      <c r="J2469" s="44"/>
      <c r="K2469" s="116"/>
      <c r="L2469" s="117"/>
      <c r="M2469" s="67"/>
      <c r="N2469" s="33"/>
      <c r="O2469" s="70"/>
      <c r="P2469" s="34"/>
      <c r="Q2469" s="60"/>
      <c r="R2469" s="36"/>
      <c r="S2469" s="71"/>
      <c r="T2469" s="37"/>
      <c r="U2469" s="118"/>
      <c r="V2469" s="74"/>
      <c r="W2469" s="74"/>
      <c r="X2469" s="35"/>
      <c r="Y2469" s="35"/>
      <c r="Z2469" s="40"/>
      <c r="AA2469" s="34"/>
      <c r="AB2469" s="41"/>
      <c r="AC2469" s="42" t="b">
        <v>0</v>
      </c>
      <c r="AD2469" s="66"/>
      <c r="AE2469" s="42"/>
      <c r="AF2469" s="42"/>
      <c r="AG2469" s="43"/>
    </row>
    <row r="2470">
      <c r="A2470" s="23"/>
      <c r="B2470" s="101"/>
      <c r="C2470" s="115"/>
      <c r="D2470" s="115"/>
      <c r="E2470" s="85"/>
      <c r="F2470" s="138"/>
      <c r="G2470" s="101"/>
      <c r="H2470" s="105"/>
      <c r="I2470" s="105"/>
      <c r="J2470" s="44"/>
      <c r="K2470" s="116"/>
      <c r="L2470" s="117"/>
      <c r="M2470" s="67"/>
      <c r="N2470" s="33"/>
      <c r="O2470" s="70"/>
      <c r="P2470" s="34"/>
      <c r="Q2470" s="60"/>
      <c r="R2470" s="36"/>
      <c r="S2470" s="71"/>
      <c r="T2470" s="37"/>
      <c r="U2470" s="118"/>
      <c r="V2470" s="74"/>
      <c r="W2470" s="74"/>
      <c r="X2470" s="35"/>
      <c r="Y2470" s="35"/>
      <c r="Z2470" s="40"/>
      <c r="AA2470" s="34"/>
      <c r="AB2470" s="41"/>
      <c r="AC2470" s="42" t="b">
        <v>0</v>
      </c>
      <c r="AD2470" s="66"/>
      <c r="AE2470" s="42"/>
      <c r="AF2470" s="42"/>
      <c r="AG2470" s="43"/>
    </row>
    <row r="2471">
      <c r="A2471" s="23"/>
      <c r="B2471" s="101"/>
      <c r="C2471" s="115"/>
      <c r="D2471" s="115"/>
      <c r="E2471" s="85"/>
      <c r="F2471" s="138"/>
      <c r="G2471" s="101"/>
      <c r="H2471" s="105"/>
      <c r="I2471" s="105"/>
      <c r="J2471" s="44"/>
      <c r="K2471" s="116"/>
      <c r="L2471" s="117"/>
      <c r="M2471" s="67"/>
      <c r="N2471" s="33"/>
      <c r="O2471" s="70"/>
      <c r="P2471" s="34"/>
      <c r="Q2471" s="60"/>
      <c r="R2471" s="36"/>
      <c r="S2471" s="71"/>
      <c r="T2471" s="37"/>
      <c r="U2471" s="118"/>
      <c r="V2471" s="74"/>
      <c r="W2471" s="74"/>
      <c r="X2471" s="35"/>
      <c r="Y2471" s="35"/>
      <c r="Z2471" s="40"/>
      <c r="AA2471" s="34"/>
      <c r="AB2471" s="41"/>
      <c r="AC2471" s="42" t="b">
        <v>0</v>
      </c>
      <c r="AD2471" s="66"/>
      <c r="AE2471" s="42"/>
      <c r="AF2471" s="42"/>
      <c r="AG2471" s="43"/>
    </row>
    <row r="2472">
      <c r="A2472" s="23"/>
      <c r="B2472" s="101"/>
      <c r="C2472" s="115"/>
      <c r="D2472" s="115"/>
      <c r="E2472" s="85"/>
      <c r="F2472" s="138"/>
      <c r="G2472" s="101"/>
      <c r="H2472" s="105"/>
      <c r="I2472" s="105"/>
      <c r="J2472" s="44"/>
      <c r="K2472" s="116"/>
      <c r="L2472" s="117"/>
      <c r="M2472" s="67"/>
      <c r="N2472" s="33"/>
      <c r="O2472" s="70"/>
      <c r="P2472" s="34"/>
      <c r="Q2472" s="60"/>
      <c r="R2472" s="36"/>
      <c r="S2472" s="71"/>
      <c r="T2472" s="37"/>
      <c r="U2472" s="118"/>
      <c r="V2472" s="74"/>
      <c r="W2472" s="74"/>
      <c r="X2472" s="35"/>
      <c r="Y2472" s="35"/>
      <c r="Z2472" s="40"/>
      <c r="AA2472" s="34"/>
      <c r="AB2472" s="41"/>
      <c r="AC2472" s="42" t="b">
        <v>0</v>
      </c>
      <c r="AD2472" s="66"/>
      <c r="AE2472" s="42"/>
      <c r="AF2472" s="42"/>
      <c r="AG2472" s="43"/>
    </row>
    <row r="2473">
      <c r="A2473" s="23"/>
      <c r="B2473" s="101"/>
      <c r="C2473" s="115"/>
      <c r="D2473" s="115"/>
      <c r="E2473" s="85"/>
      <c r="F2473" s="138"/>
      <c r="G2473" s="101"/>
      <c r="H2473" s="105"/>
      <c r="I2473" s="105"/>
      <c r="J2473" s="44"/>
      <c r="K2473" s="116"/>
      <c r="L2473" s="117"/>
      <c r="M2473" s="67"/>
      <c r="N2473" s="33"/>
      <c r="O2473" s="70"/>
      <c r="P2473" s="34"/>
      <c r="Q2473" s="60"/>
      <c r="R2473" s="36"/>
      <c r="S2473" s="71"/>
      <c r="T2473" s="37"/>
      <c r="U2473" s="118"/>
      <c r="V2473" s="74"/>
      <c r="W2473" s="74"/>
      <c r="X2473" s="35"/>
      <c r="Y2473" s="35"/>
      <c r="Z2473" s="40"/>
      <c r="AA2473" s="34"/>
      <c r="AB2473" s="41"/>
      <c r="AC2473" s="42" t="b">
        <v>0</v>
      </c>
      <c r="AD2473" s="66"/>
      <c r="AE2473" s="42"/>
      <c r="AF2473" s="42"/>
      <c r="AG2473" s="43"/>
    </row>
    <row r="2474">
      <c r="A2474" s="23"/>
      <c r="B2474" s="101"/>
      <c r="C2474" s="115"/>
      <c r="D2474" s="115"/>
      <c r="E2474" s="85"/>
      <c r="F2474" s="138"/>
      <c r="G2474" s="101"/>
      <c r="H2474" s="105"/>
      <c r="I2474" s="105"/>
      <c r="J2474" s="44"/>
      <c r="K2474" s="116"/>
      <c r="L2474" s="117"/>
      <c r="M2474" s="67"/>
      <c r="N2474" s="33"/>
      <c r="O2474" s="70"/>
      <c r="P2474" s="34"/>
      <c r="Q2474" s="60"/>
      <c r="R2474" s="36"/>
      <c r="S2474" s="71"/>
      <c r="T2474" s="37"/>
      <c r="U2474" s="118"/>
      <c r="V2474" s="74"/>
      <c r="W2474" s="74"/>
      <c r="X2474" s="35"/>
      <c r="Y2474" s="35"/>
      <c r="Z2474" s="40"/>
      <c r="AA2474" s="34"/>
      <c r="AB2474" s="41"/>
      <c r="AC2474" s="42" t="b">
        <v>0</v>
      </c>
      <c r="AD2474" s="66"/>
      <c r="AE2474" s="42"/>
      <c r="AF2474" s="42"/>
      <c r="AG2474" s="43"/>
    </row>
    <row r="2475">
      <c r="A2475" s="23"/>
      <c r="B2475" s="101"/>
      <c r="C2475" s="115"/>
      <c r="D2475" s="115"/>
      <c r="E2475" s="85"/>
      <c r="F2475" s="138"/>
      <c r="G2475" s="101"/>
      <c r="H2475" s="105"/>
      <c r="I2475" s="105"/>
      <c r="J2475" s="44"/>
      <c r="K2475" s="116"/>
      <c r="L2475" s="117"/>
      <c r="M2475" s="67"/>
      <c r="N2475" s="33"/>
      <c r="O2475" s="70"/>
      <c r="P2475" s="34"/>
      <c r="Q2475" s="60"/>
      <c r="R2475" s="36"/>
      <c r="S2475" s="71"/>
      <c r="T2475" s="37"/>
      <c r="U2475" s="118"/>
      <c r="V2475" s="74"/>
      <c r="W2475" s="74"/>
      <c r="X2475" s="35"/>
      <c r="Y2475" s="35"/>
      <c r="Z2475" s="40"/>
      <c r="AA2475" s="34"/>
      <c r="AB2475" s="41"/>
      <c r="AC2475" s="42" t="b">
        <v>0</v>
      </c>
      <c r="AD2475" s="66"/>
      <c r="AE2475" s="42"/>
      <c r="AF2475" s="42"/>
      <c r="AG2475" s="43"/>
    </row>
    <row r="2476">
      <c r="A2476" s="23"/>
      <c r="B2476" s="101"/>
      <c r="C2476" s="115"/>
      <c r="D2476" s="115"/>
      <c r="E2476" s="85"/>
      <c r="F2476" s="138"/>
      <c r="G2476" s="101"/>
      <c r="H2476" s="105"/>
      <c r="I2476" s="105"/>
      <c r="J2476" s="44"/>
      <c r="K2476" s="116"/>
      <c r="L2476" s="117"/>
      <c r="M2476" s="67"/>
      <c r="N2476" s="33"/>
      <c r="O2476" s="70"/>
      <c r="P2476" s="34"/>
      <c r="Q2476" s="60"/>
      <c r="R2476" s="36"/>
      <c r="S2476" s="71"/>
      <c r="T2476" s="37"/>
      <c r="U2476" s="118"/>
      <c r="V2476" s="74"/>
      <c r="W2476" s="74"/>
      <c r="X2476" s="35"/>
      <c r="Y2476" s="35"/>
      <c r="Z2476" s="40"/>
      <c r="AA2476" s="34"/>
      <c r="AB2476" s="41"/>
      <c r="AC2476" s="42" t="b">
        <v>0</v>
      </c>
      <c r="AD2476" s="66"/>
      <c r="AE2476" s="42"/>
      <c r="AF2476" s="42"/>
      <c r="AG2476" s="43"/>
    </row>
    <row r="2477">
      <c r="A2477" s="23"/>
      <c r="B2477" s="101"/>
      <c r="C2477" s="115"/>
      <c r="D2477" s="115"/>
      <c r="E2477" s="85"/>
      <c r="F2477" s="138"/>
      <c r="G2477" s="101"/>
      <c r="H2477" s="105"/>
      <c r="I2477" s="105"/>
      <c r="J2477" s="44"/>
      <c r="K2477" s="116"/>
      <c r="L2477" s="117"/>
      <c r="M2477" s="67"/>
      <c r="N2477" s="33"/>
      <c r="O2477" s="70"/>
      <c r="P2477" s="34"/>
      <c r="Q2477" s="60"/>
      <c r="R2477" s="36"/>
      <c r="S2477" s="71"/>
      <c r="T2477" s="37"/>
      <c r="U2477" s="118"/>
      <c r="V2477" s="74"/>
      <c r="W2477" s="74"/>
      <c r="X2477" s="35"/>
      <c r="Y2477" s="35"/>
      <c r="Z2477" s="40"/>
      <c r="AA2477" s="34"/>
      <c r="AB2477" s="41"/>
      <c r="AC2477" s="42" t="b">
        <v>0</v>
      </c>
      <c r="AD2477" s="66"/>
      <c r="AE2477" s="42"/>
      <c r="AF2477" s="42"/>
      <c r="AG2477" s="43"/>
    </row>
    <row r="2478">
      <c r="A2478" s="23"/>
      <c r="B2478" s="101"/>
      <c r="C2478" s="115"/>
      <c r="D2478" s="115"/>
      <c r="E2478" s="85"/>
      <c r="F2478" s="138"/>
      <c r="G2478" s="101"/>
      <c r="H2478" s="105"/>
      <c r="I2478" s="105"/>
      <c r="J2478" s="44"/>
      <c r="K2478" s="116"/>
      <c r="L2478" s="117"/>
      <c r="M2478" s="67"/>
      <c r="N2478" s="33"/>
      <c r="O2478" s="70"/>
      <c r="P2478" s="34"/>
      <c r="Q2478" s="60"/>
      <c r="R2478" s="36"/>
      <c r="S2478" s="71"/>
      <c r="T2478" s="37"/>
      <c r="U2478" s="118"/>
      <c r="V2478" s="74"/>
      <c r="W2478" s="74"/>
      <c r="X2478" s="35"/>
      <c r="Y2478" s="35"/>
      <c r="Z2478" s="40"/>
      <c r="AA2478" s="34"/>
      <c r="AB2478" s="41"/>
      <c r="AC2478" s="42" t="b">
        <v>0</v>
      </c>
      <c r="AD2478" s="66"/>
      <c r="AE2478" s="42"/>
      <c r="AF2478" s="42"/>
      <c r="AG2478" s="43"/>
    </row>
    <row r="2479">
      <c r="A2479" s="23"/>
      <c r="B2479" s="101"/>
      <c r="C2479" s="115"/>
      <c r="D2479" s="115"/>
      <c r="E2479" s="85"/>
      <c r="F2479" s="138"/>
      <c r="G2479" s="101"/>
      <c r="H2479" s="105"/>
      <c r="I2479" s="105"/>
      <c r="J2479" s="44"/>
      <c r="K2479" s="116"/>
      <c r="L2479" s="117"/>
      <c r="M2479" s="67"/>
      <c r="N2479" s="33"/>
      <c r="O2479" s="70"/>
      <c r="P2479" s="34"/>
      <c r="Q2479" s="60"/>
      <c r="R2479" s="36"/>
      <c r="S2479" s="71"/>
      <c r="T2479" s="37"/>
      <c r="U2479" s="118"/>
      <c r="V2479" s="74"/>
      <c r="W2479" s="74"/>
      <c r="X2479" s="35"/>
      <c r="Y2479" s="35"/>
      <c r="Z2479" s="40"/>
      <c r="AA2479" s="34"/>
      <c r="AB2479" s="41"/>
      <c r="AC2479" s="42" t="b">
        <v>0</v>
      </c>
      <c r="AD2479" s="66"/>
      <c r="AE2479" s="42"/>
      <c r="AF2479" s="42"/>
      <c r="AG2479" s="43"/>
    </row>
    <row r="2480">
      <c r="A2480" s="23"/>
      <c r="B2480" s="101"/>
      <c r="C2480" s="115"/>
      <c r="D2480" s="115"/>
      <c r="E2480" s="85"/>
      <c r="F2480" s="138"/>
      <c r="G2480" s="101"/>
      <c r="H2480" s="105"/>
      <c r="I2480" s="105"/>
      <c r="J2480" s="44"/>
      <c r="K2480" s="116"/>
      <c r="L2480" s="117"/>
      <c r="M2480" s="67"/>
      <c r="N2480" s="33"/>
      <c r="O2480" s="70"/>
      <c r="P2480" s="34"/>
      <c r="Q2480" s="60"/>
      <c r="R2480" s="36"/>
      <c r="S2480" s="71"/>
      <c r="T2480" s="37"/>
      <c r="U2480" s="118"/>
      <c r="V2480" s="74"/>
      <c r="W2480" s="74"/>
      <c r="X2480" s="35"/>
      <c r="Y2480" s="35"/>
      <c r="Z2480" s="40"/>
      <c r="AA2480" s="34"/>
      <c r="AB2480" s="41"/>
      <c r="AC2480" s="42" t="b">
        <v>0</v>
      </c>
      <c r="AD2480" s="66"/>
      <c r="AE2480" s="42"/>
      <c r="AF2480" s="42"/>
      <c r="AG2480" s="43"/>
    </row>
    <row r="2481">
      <c r="A2481" s="23"/>
      <c r="B2481" s="101"/>
      <c r="C2481" s="115"/>
      <c r="D2481" s="115"/>
      <c r="E2481" s="85"/>
      <c r="F2481" s="138"/>
      <c r="G2481" s="101"/>
      <c r="H2481" s="105"/>
      <c r="I2481" s="105"/>
      <c r="J2481" s="44"/>
      <c r="K2481" s="116"/>
      <c r="L2481" s="117"/>
      <c r="M2481" s="67"/>
      <c r="N2481" s="33"/>
      <c r="O2481" s="70"/>
      <c r="P2481" s="34"/>
      <c r="Q2481" s="60"/>
      <c r="R2481" s="36"/>
      <c r="S2481" s="71"/>
      <c r="T2481" s="37"/>
      <c r="U2481" s="118"/>
      <c r="V2481" s="74"/>
      <c r="W2481" s="74"/>
      <c r="X2481" s="35"/>
      <c r="Y2481" s="35"/>
      <c r="Z2481" s="40"/>
      <c r="AA2481" s="34"/>
      <c r="AB2481" s="41"/>
      <c r="AC2481" s="42" t="b">
        <v>0</v>
      </c>
      <c r="AD2481" s="66"/>
      <c r="AE2481" s="42"/>
      <c r="AF2481" s="42"/>
      <c r="AG2481" s="43"/>
    </row>
    <row r="2482">
      <c r="A2482" s="23"/>
      <c r="B2482" s="101"/>
      <c r="C2482" s="115"/>
      <c r="D2482" s="115"/>
      <c r="E2482" s="85"/>
      <c r="F2482" s="138"/>
      <c r="G2482" s="101"/>
      <c r="H2482" s="105"/>
      <c r="I2482" s="105"/>
      <c r="J2482" s="44"/>
      <c r="K2482" s="116"/>
      <c r="L2482" s="117"/>
      <c r="M2482" s="67"/>
      <c r="N2482" s="33"/>
      <c r="O2482" s="70"/>
      <c r="P2482" s="34"/>
      <c r="Q2482" s="60"/>
      <c r="R2482" s="36"/>
      <c r="S2482" s="71"/>
      <c r="T2482" s="37"/>
      <c r="U2482" s="118"/>
      <c r="V2482" s="74"/>
      <c r="W2482" s="74"/>
      <c r="X2482" s="35"/>
      <c r="Y2482" s="35"/>
      <c r="Z2482" s="40"/>
      <c r="AA2482" s="34"/>
      <c r="AB2482" s="41"/>
      <c r="AC2482" s="42" t="b">
        <v>0</v>
      </c>
      <c r="AD2482" s="66"/>
      <c r="AE2482" s="42"/>
      <c r="AF2482" s="42"/>
      <c r="AG2482" s="43"/>
    </row>
    <row r="2483">
      <c r="A2483" s="23"/>
      <c r="B2483" s="101"/>
      <c r="C2483" s="115"/>
      <c r="D2483" s="115"/>
      <c r="E2483" s="85"/>
      <c r="F2483" s="138"/>
      <c r="G2483" s="101"/>
      <c r="H2483" s="105"/>
      <c r="I2483" s="105"/>
      <c r="J2483" s="44"/>
      <c r="K2483" s="116"/>
      <c r="L2483" s="117"/>
      <c r="M2483" s="67"/>
      <c r="N2483" s="33"/>
      <c r="O2483" s="70"/>
      <c r="P2483" s="34"/>
      <c r="Q2483" s="60"/>
      <c r="R2483" s="36"/>
      <c r="S2483" s="71"/>
      <c r="T2483" s="37"/>
      <c r="U2483" s="118"/>
      <c r="V2483" s="74"/>
      <c r="W2483" s="74"/>
      <c r="X2483" s="35"/>
      <c r="Y2483" s="35"/>
      <c r="Z2483" s="40"/>
      <c r="AA2483" s="34"/>
      <c r="AB2483" s="41"/>
      <c r="AC2483" s="42" t="b">
        <v>0</v>
      </c>
      <c r="AD2483" s="66"/>
      <c r="AE2483" s="42"/>
      <c r="AF2483" s="42"/>
      <c r="AG2483" s="43"/>
    </row>
    <row r="2484">
      <c r="A2484" s="23"/>
      <c r="B2484" s="101"/>
      <c r="C2484" s="115"/>
      <c r="D2484" s="115"/>
      <c r="E2484" s="85"/>
      <c r="F2484" s="138"/>
      <c r="G2484" s="101"/>
      <c r="H2484" s="105"/>
      <c r="I2484" s="105"/>
      <c r="J2484" s="44"/>
      <c r="K2484" s="116"/>
      <c r="L2484" s="117"/>
      <c r="M2484" s="67"/>
      <c r="N2484" s="33"/>
      <c r="O2484" s="70"/>
      <c r="P2484" s="34"/>
      <c r="Q2484" s="60"/>
      <c r="R2484" s="36"/>
      <c r="S2484" s="71"/>
      <c r="T2484" s="37"/>
      <c r="U2484" s="118"/>
      <c r="V2484" s="74"/>
      <c r="W2484" s="74"/>
      <c r="X2484" s="35"/>
      <c r="Y2484" s="35"/>
      <c r="Z2484" s="40"/>
      <c r="AA2484" s="34"/>
      <c r="AB2484" s="41"/>
      <c r="AC2484" s="42" t="b">
        <v>0</v>
      </c>
      <c r="AD2484" s="66"/>
      <c r="AE2484" s="42"/>
      <c r="AF2484" s="42"/>
      <c r="AG2484" s="43"/>
    </row>
    <row r="2485">
      <c r="A2485" s="23"/>
      <c r="B2485" s="101"/>
      <c r="C2485" s="115"/>
      <c r="D2485" s="115"/>
      <c r="E2485" s="85"/>
      <c r="F2485" s="138"/>
      <c r="G2485" s="101"/>
      <c r="H2485" s="105"/>
      <c r="I2485" s="105"/>
      <c r="J2485" s="44"/>
      <c r="K2485" s="116"/>
      <c r="L2485" s="117"/>
      <c r="M2485" s="67"/>
      <c r="N2485" s="33"/>
      <c r="O2485" s="70"/>
      <c r="P2485" s="34"/>
      <c r="Q2485" s="60"/>
      <c r="R2485" s="36"/>
      <c r="S2485" s="71"/>
      <c r="T2485" s="37"/>
      <c r="U2485" s="118"/>
      <c r="V2485" s="74"/>
      <c r="W2485" s="74"/>
      <c r="X2485" s="35"/>
      <c r="Y2485" s="35"/>
      <c r="Z2485" s="40"/>
      <c r="AA2485" s="34"/>
      <c r="AB2485" s="41"/>
      <c r="AC2485" s="42" t="b">
        <v>0</v>
      </c>
      <c r="AD2485" s="66"/>
      <c r="AE2485" s="42"/>
      <c r="AF2485" s="42"/>
      <c r="AG2485" s="43"/>
    </row>
    <row r="2486">
      <c r="A2486" s="23"/>
      <c r="B2486" s="101"/>
      <c r="C2486" s="115"/>
      <c r="D2486" s="115"/>
      <c r="E2486" s="85"/>
      <c r="F2486" s="138"/>
      <c r="G2486" s="101"/>
      <c r="H2486" s="105"/>
      <c r="I2486" s="105"/>
      <c r="J2486" s="44"/>
      <c r="K2486" s="116"/>
      <c r="L2486" s="117"/>
      <c r="M2486" s="67"/>
      <c r="N2486" s="33"/>
      <c r="O2486" s="70"/>
      <c r="P2486" s="34"/>
      <c r="Q2486" s="60"/>
      <c r="R2486" s="36"/>
      <c r="S2486" s="71"/>
      <c r="T2486" s="37"/>
      <c r="U2486" s="118"/>
      <c r="V2486" s="74"/>
      <c r="W2486" s="74"/>
      <c r="X2486" s="35"/>
      <c r="Y2486" s="35"/>
      <c r="Z2486" s="40"/>
      <c r="AA2486" s="34"/>
      <c r="AB2486" s="41"/>
      <c r="AC2486" s="42" t="b">
        <v>0</v>
      </c>
      <c r="AD2486" s="66"/>
      <c r="AE2486" s="42"/>
      <c r="AF2486" s="42"/>
      <c r="AG2486" s="43"/>
    </row>
    <row r="2487">
      <c r="A2487" s="23"/>
      <c r="B2487" s="101"/>
      <c r="C2487" s="115"/>
      <c r="D2487" s="115"/>
      <c r="E2487" s="85"/>
      <c r="F2487" s="138"/>
      <c r="G2487" s="101"/>
      <c r="H2487" s="105"/>
      <c r="I2487" s="105"/>
      <c r="J2487" s="44"/>
      <c r="K2487" s="116"/>
      <c r="L2487" s="117"/>
      <c r="M2487" s="67"/>
      <c r="N2487" s="33"/>
      <c r="O2487" s="70"/>
      <c r="P2487" s="34"/>
      <c r="Q2487" s="60"/>
      <c r="R2487" s="36"/>
      <c r="S2487" s="71"/>
      <c r="T2487" s="37"/>
      <c r="U2487" s="118"/>
      <c r="V2487" s="74"/>
      <c r="W2487" s="74"/>
      <c r="X2487" s="35"/>
      <c r="Y2487" s="35"/>
      <c r="Z2487" s="40"/>
      <c r="AA2487" s="34"/>
      <c r="AB2487" s="41"/>
      <c r="AC2487" s="42" t="b">
        <v>0</v>
      </c>
      <c r="AD2487" s="66"/>
      <c r="AE2487" s="42"/>
      <c r="AF2487" s="42"/>
      <c r="AG2487" s="43"/>
    </row>
    <row r="2488">
      <c r="A2488" s="23"/>
      <c r="B2488" s="101"/>
      <c r="C2488" s="115"/>
      <c r="D2488" s="115"/>
      <c r="E2488" s="85"/>
      <c r="F2488" s="138"/>
      <c r="G2488" s="101"/>
      <c r="H2488" s="105"/>
      <c r="I2488" s="105"/>
      <c r="J2488" s="44"/>
      <c r="K2488" s="116"/>
      <c r="L2488" s="117"/>
      <c r="M2488" s="67"/>
      <c r="N2488" s="33"/>
      <c r="O2488" s="70"/>
      <c r="P2488" s="34"/>
      <c r="Q2488" s="60"/>
      <c r="R2488" s="36"/>
      <c r="S2488" s="71"/>
      <c r="T2488" s="37"/>
      <c r="U2488" s="118"/>
      <c r="V2488" s="74"/>
      <c r="W2488" s="74"/>
      <c r="X2488" s="35"/>
      <c r="Y2488" s="35"/>
      <c r="Z2488" s="40"/>
      <c r="AA2488" s="34"/>
      <c r="AB2488" s="41"/>
      <c r="AC2488" s="42" t="b">
        <v>0</v>
      </c>
      <c r="AD2488" s="66"/>
      <c r="AE2488" s="42"/>
      <c r="AF2488" s="42"/>
      <c r="AG2488" s="43"/>
    </row>
    <row r="2489">
      <c r="A2489" s="23"/>
      <c r="B2489" s="101"/>
      <c r="C2489" s="115"/>
      <c r="D2489" s="115"/>
      <c r="E2489" s="85"/>
      <c r="F2489" s="138"/>
      <c r="G2489" s="101"/>
      <c r="H2489" s="105"/>
      <c r="I2489" s="105"/>
      <c r="J2489" s="44"/>
      <c r="K2489" s="116"/>
      <c r="L2489" s="117"/>
      <c r="M2489" s="67"/>
      <c r="N2489" s="33"/>
      <c r="O2489" s="70"/>
      <c r="P2489" s="34"/>
      <c r="Q2489" s="60"/>
      <c r="R2489" s="36"/>
      <c r="S2489" s="71"/>
      <c r="T2489" s="37"/>
      <c r="U2489" s="118"/>
      <c r="V2489" s="74"/>
      <c r="W2489" s="74"/>
      <c r="X2489" s="35"/>
      <c r="Y2489" s="35"/>
      <c r="Z2489" s="40"/>
      <c r="AA2489" s="34"/>
      <c r="AB2489" s="41"/>
      <c r="AC2489" s="42" t="b">
        <v>0</v>
      </c>
      <c r="AD2489" s="66"/>
      <c r="AE2489" s="42"/>
      <c r="AF2489" s="42"/>
      <c r="AG2489" s="43"/>
    </row>
    <row r="2490">
      <c r="A2490" s="23"/>
      <c r="B2490" s="101"/>
      <c r="C2490" s="115"/>
      <c r="D2490" s="115"/>
      <c r="E2490" s="85"/>
      <c r="F2490" s="138"/>
      <c r="G2490" s="101"/>
      <c r="H2490" s="105"/>
      <c r="I2490" s="105"/>
      <c r="J2490" s="44"/>
      <c r="K2490" s="116"/>
      <c r="L2490" s="117"/>
      <c r="M2490" s="67"/>
      <c r="N2490" s="33"/>
      <c r="O2490" s="70"/>
      <c r="P2490" s="34"/>
      <c r="Q2490" s="60"/>
      <c r="R2490" s="36"/>
      <c r="S2490" s="71"/>
      <c r="T2490" s="37"/>
      <c r="U2490" s="118"/>
      <c r="V2490" s="74"/>
      <c r="W2490" s="74"/>
      <c r="X2490" s="35"/>
      <c r="Y2490" s="35"/>
      <c r="Z2490" s="40"/>
      <c r="AA2490" s="34"/>
      <c r="AB2490" s="41"/>
      <c r="AC2490" s="42" t="b">
        <v>0</v>
      </c>
      <c r="AD2490" s="66"/>
      <c r="AE2490" s="42"/>
      <c r="AF2490" s="42"/>
      <c r="AG2490" s="43"/>
    </row>
    <row r="2491">
      <c r="A2491" s="23"/>
      <c r="B2491" s="101"/>
      <c r="C2491" s="115"/>
      <c r="D2491" s="115"/>
      <c r="E2491" s="85"/>
      <c r="F2491" s="138"/>
      <c r="G2491" s="101"/>
      <c r="H2491" s="105"/>
      <c r="I2491" s="105"/>
      <c r="J2491" s="44"/>
      <c r="K2491" s="116"/>
      <c r="L2491" s="117"/>
      <c r="M2491" s="67"/>
      <c r="N2491" s="33"/>
      <c r="O2491" s="70"/>
      <c r="P2491" s="34"/>
      <c r="Q2491" s="60"/>
      <c r="R2491" s="36"/>
      <c r="S2491" s="71"/>
      <c r="T2491" s="37"/>
      <c r="U2491" s="118"/>
      <c r="V2491" s="74"/>
      <c r="W2491" s="74"/>
      <c r="X2491" s="35"/>
      <c r="Y2491" s="35"/>
      <c r="Z2491" s="40"/>
      <c r="AA2491" s="34"/>
      <c r="AB2491" s="41"/>
      <c r="AC2491" s="42" t="b">
        <v>0</v>
      </c>
      <c r="AD2491" s="66"/>
      <c r="AE2491" s="42"/>
      <c r="AF2491" s="42"/>
      <c r="AG2491" s="43"/>
    </row>
    <row r="2492">
      <c r="A2492" s="23"/>
      <c r="B2492" s="101"/>
      <c r="C2492" s="115"/>
      <c r="D2492" s="115"/>
      <c r="E2492" s="85"/>
      <c r="F2492" s="138"/>
      <c r="G2492" s="101"/>
      <c r="H2492" s="105"/>
      <c r="I2492" s="105"/>
      <c r="J2492" s="44"/>
      <c r="K2492" s="116"/>
      <c r="L2492" s="117"/>
      <c r="M2492" s="67"/>
      <c r="N2492" s="33"/>
      <c r="O2492" s="70"/>
      <c r="P2492" s="34"/>
      <c r="Q2492" s="60"/>
      <c r="R2492" s="36"/>
      <c r="S2492" s="71"/>
      <c r="T2492" s="37"/>
      <c r="U2492" s="118"/>
      <c r="V2492" s="74"/>
      <c r="W2492" s="74"/>
      <c r="X2492" s="35"/>
      <c r="Y2492" s="35"/>
      <c r="Z2492" s="40"/>
      <c r="AA2492" s="34"/>
      <c r="AB2492" s="41"/>
      <c r="AC2492" s="42" t="b">
        <v>0</v>
      </c>
      <c r="AD2492" s="66"/>
      <c r="AE2492" s="42"/>
      <c r="AF2492" s="42"/>
      <c r="AG2492" s="43"/>
    </row>
    <row r="2493">
      <c r="A2493" s="23"/>
      <c r="B2493" s="101"/>
      <c r="C2493" s="115"/>
      <c r="D2493" s="115"/>
      <c r="E2493" s="85"/>
      <c r="F2493" s="138"/>
      <c r="G2493" s="101"/>
      <c r="H2493" s="105"/>
      <c r="I2493" s="105"/>
      <c r="J2493" s="44"/>
      <c r="K2493" s="116"/>
      <c r="L2493" s="117"/>
      <c r="M2493" s="67"/>
      <c r="N2493" s="33"/>
      <c r="O2493" s="70"/>
      <c r="P2493" s="34"/>
      <c r="Q2493" s="60"/>
      <c r="R2493" s="36"/>
      <c r="S2493" s="71"/>
      <c r="T2493" s="37"/>
      <c r="U2493" s="118"/>
      <c r="V2493" s="74"/>
      <c r="W2493" s="74"/>
      <c r="X2493" s="35"/>
      <c r="Y2493" s="35"/>
      <c r="Z2493" s="40"/>
      <c r="AA2493" s="34"/>
      <c r="AB2493" s="41"/>
      <c r="AC2493" s="42" t="b">
        <v>0</v>
      </c>
      <c r="AD2493" s="66"/>
      <c r="AE2493" s="42"/>
      <c r="AF2493" s="42"/>
      <c r="AG2493" s="43"/>
    </row>
    <row r="2494">
      <c r="A2494" s="23"/>
      <c r="B2494" s="101"/>
      <c r="C2494" s="115"/>
      <c r="D2494" s="115"/>
      <c r="E2494" s="85"/>
      <c r="F2494" s="138"/>
      <c r="G2494" s="101"/>
      <c r="H2494" s="105"/>
      <c r="I2494" s="105"/>
      <c r="J2494" s="44"/>
      <c r="K2494" s="116"/>
      <c r="L2494" s="117"/>
      <c r="M2494" s="67"/>
      <c r="N2494" s="33"/>
      <c r="O2494" s="70"/>
      <c r="P2494" s="34"/>
      <c r="Q2494" s="60"/>
      <c r="R2494" s="36"/>
      <c r="S2494" s="71"/>
      <c r="T2494" s="37"/>
      <c r="U2494" s="118"/>
      <c r="V2494" s="74"/>
      <c r="W2494" s="74"/>
      <c r="X2494" s="35"/>
      <c r="Y2494" s="35"/>
      <c r="Z2494" s="40"/>
      <c r="AA2494" s="34"/>
      <c r="AB2494" s="41"/>
      <c r="AC2494" s="42" t="b">
        <v>0</v>
      </c>
      <c r="AD2494" s="66"/>
      <c r="AE2494" s="42"/>
      <c r="AF2494" s="42"/>
      <c r="AG2494" s="43"/>
    </row>
    <row r="2495">
      <c r="A2495" s="23"/>
      <c r="B2495" s="101"/>
      <c r="C2495" s="115"/>
      <c r="D2495" s="115"/>
      <c r="E2495" s="85"/>
      <c r="F2495" s="138"/>
      <c r="G2495" s="101"/>
      <c r="H2495" s="105"/>
      <c r="I2495" s="105"/>
      <c r="J2495" s="44"/>
      <c r="K2495" s="116"/>
      <c r="L2495" s="117"/>
      <c r="M2495" s="67"/>
      <c r="N2495" s="33"/>
      <c r="O2495" s="70"/>
      <c r="P2495" s="34"/>
      <c r="Q2495" s="60"/>
      <c r="R2495" s="36"/>
      <c r="S2495" s="71"/>
      <c r="T2495" s="37"/>
      <c r="U2495" s="118"/>
      <c r="V2495" s="74"/>
      <c r="W2495" s="74"/>
      <c r="X2495" s="35"/>
      <c r="Y2495" s="35"/>
      <c r="Z2495" s="40"/>
      <c r="AA2495" s="34"/>
      <c r="AB2495" s="41"/>
      <c r="AC2495" s="42" t="b">
        <v>0</v>
      </c>
      <c r="AD2495" s="66"/>
      <c r="AE2495" s="42"/>
      <c r="AF2495" s="42"/>
      <c r="AG2495" s="43"/>
    </row>
    <row r="2496">
      <c r="A2496" s="23"/>
      <c r="B2496" s="101"/>
      <c r="C2496" s="115"/>
      <c r="D2496" s="115"/>
      <c r="E2496" s="85"/>
      <c r="F2496" s="138"/>
      <c r="G2496" s="101"/>
      <c r="H2496" s="105"/>
      <c r="I2496" s="105"/>
      <c r="J2496" s="44"/>
      <c r="K2496" s="116"/>
      <c r="L2496" s="117"/>
      <c r="M2496" s="67"/>
      <c r="N2496" s="33"/>
      <c r="O2496" s="70"/>
      <c r="P2496" s="34"/>
      <c r="Q2496" s="60"/>
      <c r="R2496" s="36"/>
      <c r="S2496" s="71"/>
      <c r="T2496" s="37"/>
      <c r="U2496" s="118"/>
      <c r="V2496" s="74"/>
      <c r="W2496" s="74"/>
      <c r="X2496" s="35"/>
      <c r="Y2496" s="35"/>
      <c r="Z2496" s="40"/>
      <c r="AA2496" s="34"/>
      <c r="AB2496" s="41"/>
      <c r="AC2496" s="42" t="b">
        <v>0</v>
      </c>
      <c r="AD2496" s="66"/>
      <c r="AE2496" s="42"/>
      <c r="AF2496" s="42"/>
      <c r="AG2496" s="43"/>
    </row>
    <row r="2497">
      <c r="A2497" s="23"/>
      <c r="B2497" s="101"/>
      <c r="C2497" s="115"/>
      <c r="D2497" s="115"/>
      <c r="E2497" s="85"/>
      <c r="F2497" s="138"/>
      <c r="G2497" s="101"/>
      <c r="H2497" s="105"/>
      <c r="I2497" s="105"/>
      <c r="J2497" s="44"/>
      <c r="K2497" s="116"/>
      <c r="L2497" s="117"/>
      <c r="M2497" s="67"/>
      <c r="N2497" s="33"/>
      <c r="O2497" s="70"/>
      <c r="P2497" s="34"/>
      <c r="Q2497" s="60"/>
      <c r="R2497" s="36"/>
      <c r="S2497" s="71"/>
      <c r="T2497" s="37"/>
      <c r="U2497" s="118"/>
      <c r="V2497" s="74"/>
      <c r="W2497" s="74"/>
      <c r="X2497" s="35"/>
      <c r="Y2497" s="35"/>
      <c r="Z2497" s="40"/>
      <c r="AA2497" s="34"/>
      <c r="AB2497" s="41"/>
      <c r="AC2497" s="42" t="b">
        <v>0</v>
      </c>
      <c r="AD2497" s="66"/>
      <c r="AE2497" s="42"/>
      <c r="AF2497" s="42"/>
      <c r="AG2497" s="43"/>
    </row>
    <row r="2498">
      <c r="A2498" s="23"/>
      <c r="B2498" s="101"/>
      <c r="C2498" s="115"/>
      <c r="D2498" s="115"/>
      <c r="E2498" s="85"/>
      <c r="F2498" s="138"/>
      <c r="G2498" s="101"/>
      <c r="H2498" s="105"/>
      <c r="I2498" s="105"/>
      <c r="J2498" s="44"/>
      <c r="K2498" s="116"/>
      <c r="L2498" s="117"/>
      <c r="M2498" s="67"/>
      <c r="N2498" s="33"/>
      <c r="O2498" s="70"/>
      <c r="P2498" s="34"/>
      <c r="Q2498" s="60"/>
      <c r="R2498" s="36"/>
      <c r="S2498" s="71"/>
      <c r="T2498" s="37"/>
      <c r="U2498" s="118"/>
      <c r="V2498" s="74"/>
      <c r="W2498" s="74"/>
      <c r="X2498" s="35"/>
      <c r="Y2498" s="35"/>
      <c r="Z2498" s="40"/>
      <c r="AA2498" s="34"/>
      <c r="AB2498" s="41"/>
      <c r="AC2498" s="42" t="b">
        <v>0</v>
      </c>
      <c r="AD2498" s="66"/>
      <c r="AE2498" s="42"/>
      <c r="AF2498" s="42"/>
      <c r="AG2498" s="43"/>
    </row>
    <row r="2499">
      <c r="A2499" s="23"/>
      <c r="B2499" s="101"/>
      <c r="C2499" s="115"/>
      <c r="D2499" s="115"/>
      <c r="E2499" s="85"/>
      <c r="F2499" s="138"/>
      <c r="G2499" s="101"/>
      <c r="H2499" s="105"/>
      <c r="I2499" s="105"/>
      <c r="J2499" s="44"/>
      <c r="K2499" s="116"/>
      <c r="L2499" s="117"/>
      <c r="M2499" s="67"/>
      <c r="N2499" s="33"/>
      <c r="O2499" s="70"/>
      <c r="P2499" s="34"/>
      <c r="Q2499" s="60"/>
      <c r="R2499" s="36"/>
      <c r="S2499" s="71"/>
      <c r="T2499" s="37"/>
      <c r="U2499" s="118"/>
      <c r="V2499" s="74"/>
      <c r="W2499" s="74"/>
      <c r="X2499" s="35"/>
      <c r="Y2499" s="35"/>
      <c r="Z2499" s="40"/>
      <c r="AA2499" s="34"/>
      <c r="AB2499" s="41"/>
      <c r="AC2499" s="42" t="b">
        <v>0</v>
      </c>
      <c r="AD2499" s="66"/>
      <c r="AE2499" s="42"/>
      <c r="AF2499" s="42"/>
      <c r="AG2499" s="43"/>
    </row>
    <row r="2500">
      <c r="A2500" s="23"/>
      <c r="B2500" s="101"/>
      <c r="C2500" s="115"/>
      <c r="D2500" s="115"/>
      <c r="E2500" s="85"/>
      <c r="F2500" s="138"/>
      <c r="G2500" s="101"/>
      <c r="H2500" s="105"/>
      <c r="I2500" s="105"/>
      <c r="J2500" s="44"/>
      <c r="K2500" s="116"/>
      <c r="L2500" s="117"/>
      <c r="M2500" s="67"/>
      <c r="N2500" s="33"/>
      <c r="O2500" s="70"/>
      <c r="P2500" s="34"/>
      <c r="Q2500" s="60"/>
      <c r="R2500" s="36"/>
      <c r="S2500" s="71"/>
      <c r="T2500" s="37"/>
      <c r="U2500" s="118"/>
      <c r="V2500" s="74"/>
      <c r="W2500" s="74"/>
      <c r="X2500" s="35"/>
      <c r="Y2500" s="35"/>
      <c r="Z2500" s="40"/>
      <c r="AA2500" s="34"/>
      <c r="AB2500" s="41"/>
      <c r="AC2500" s="42" t="b">
        <v>0</v>
      </c>
      <c r="AD2500" s="66"/>
      <c r="AE2500" s="42"/>
      <c r="AF2500" s="42"/>
      <c r="AG2500" s="43"/>
    </row>
    <row r="2501">
      <c r="A2501" s="23"/>
      <c r="B2501" s="101"/>
      <c r="C2501" s="115"/>
      <c r="D2501" s="115"/>
      <c r="E2501" s="85"/>
      <c r="F2501" s="138"/>
      <c r="G2501" s="101"/>
      <c r="H2501" s="105"/>
      <c r="I2501" s="105"/>
      <c r="J2501" s="44"/>
      <c r="K2501" s="116"/>
      <c r="L2501" s="117"/>
      <c r="M2501" s="67"/>
      <c r="N2501" s="33"/>
      <c r="O2501" s="70"/>
      <c r="P2501" s="34"/>
      <c r="Q2501" s="60"/>
      <c r="R2501" s="36"/>
      <c r="S2501" s="71"/>
      <c r="T2501" s="37"/>
      <c r="U2501" s="118"/>
      <c r="V2501" s="74"/>
      <c r="W2501" s="74"/>
      <c r="X2501" s="35"/>
      <c r="Y2501" s="35"/>
      <c r="Z2501" s="40"/>
      <c r="AA2501" s="34"/>
      <c r="AB2501" s="41"/>
      <c r="AC2501" s="42" t="b">
        <v>0</v>
      </c>
      <c r="AD2501" s="66"/>
      <c r="AE2501" s="42"/>
      <c r="AF2501" s="42"/>
      <c r="AG2501" s="43"/>
    </row>
    <row r="2502">
      <c r="A2502" s="23"/>
      <c r="B2502" s="101"/>
      <c r="C2502" s="115"/>
      <c r="D2502" s="115"/>
      <c r="E2502" s="85"/>
      <c r="F2502" s="138"/>
      <c r="G2502" s="101"/>
      <c r="H2502" s="105"/>
      <c r="I2502" s="105"/>
      <c r="J2502" s="44"/>
      <c r="K2502" s="116"/>
      <c r="L2502" s="117"/>
      <c r="M2502" s="67"/>
      <c r="N2502" s="33"/>
      <c r="O2502" s="70"/>
      <c r="P2502" s="34"/>
      <c r="Q2502" s="60"/>
      <c r="R2502" s="36"/>
      <c r="S2502" s="71"/>
      <c r="T2502" s="37"/>
      <c r="U2502" s="118"/>
      <c r="V2502" s="74"/>
      <c r="W2502" s="74"/>
      <c r="X2502" s="35"/>
      <c r="Y2502" s="35"/>
      <c r="Z2502" s="40"/>
      <c r="AA2502" s="34"/>
      <c r="AB2502" s="41"/>
      <c r="AC2502" s="42" t="b">
        <v>0</v>
      </c>
      <c r="AD2502" s="66"/>
      <c r="AE2502" s="42"/>
      <c r="AF2502" s="42"/>
      <c r="AG2502" s="43"/>
    </row>
    <row r="2503">
      <c r="A2503" s="23"/>
      <c r="B2503" s="101"/>
      <c r="C2503" s="115"/>
      <c r="D2503" s="115"/>
      <c r="E2503" s="85"/>
      <c r="F2503" s="138"/>
      <c r="G2503" s="101"/>
      <c r="H2503" s="105"/>
      <c r="I2503" s="105"/>
      <c r="J2503" s="44"/>
      <c r="K2503" s="116"/>
      <c r="L2503" s="117"/>
      <c r="M2503" s="67"/>
      <c r="N2503" s="33"/>
      <c r="O2503" s="70"/>
      <c r="P2503" s="34"/>
      <c r="Q2503" s="60"/>
      <c r="R2503" s="36"/>
      <c r="S2503" s="71"/>
      <c r="T2503" s="37"/>
      <c r="U2503" s="118"/>
      <c r="V2503" s="74"/>
      <c r="W2503" s="74"/>
      <c r="X2503" s="35"/>
      <c r="Y2503" s="35"/>
      <c r="Z2503" s="40"/>
      <c r="AA2503" s="34"/>
      <c r="AB2503" s="41"/>
      <c r="AC2503" s="42" t="b">
        <v>0</v>
      </c>
      <c r="AD2503" s="66"/>
      <c r="AE2503" s="42"/>
      <c r="AF2503" s="42"/>
      <c r="AG2503" s="43"/>
    </row>
    <row r="2504">
      <c r="A2504" s="23"/>
      <c r="B2504" s="101"/>
      <c r="C2504" s="115"/>
      <c r="D2504" s="115"/>
      <c r="E2504" s="85"/>
      <c r="F2504" s="138"/>
      <c r="G2504" s="101"/>
      <c r="H2504" s="105"/>
      <c r="I2504" s="105"/>
      <c r="J2504" s="44"/>
      <c r="K2504" s="116"/>
      <c r="L2504" s="117"/>
      <c r="M2504" s="67"/>
      <c r="N2504" s="33"/>
      <c r="O2504" s="70"/>
      <c r="P2504" s="34"/>
      <c r="Q2504" s="60"/>
      <c r="R2504" s="36"/>
      <c r="S2504" s="71"/>
      <c r="T2504" s="37"/>
      <c r="U2504" s="118"/>
      <c r="V2504" s="74"/>
      <c r="W2504" s="74"/>
      <c r="X2504" s="35"/>
      <c r="Y2504" s="35"/>
      <c r="Z2504" s="40"/>
      <c r="AA2504" s="34"/>
      <c r="AB2504" s="41"/>
      <c r="AC2504" s="42" t="b">
        <v>0</v>
      </c>
      <c r="AD2504" s="66"/>
      <c r="AE2504" s="42"/>
      <c r="AF2504" s="42"/>
      <c r="AG2504" s="43"/>
    </row>
    <row r="2505">
      <c r="A2505" s="23"/>
      <c r="B2505" s="101"/>
      <c r="C2505" s="115"/>
      <c r="D2505" s="115"/>
      <c r="E2505" s="85"/>
      <c r="F2505" s="138"/>
      <c r="G2505" s="101"/>
      <c r="H2505" s="105"/>
      <c r="I2505" s="105"/>
      <c r="J2505" s="44"/>
      <c r="K2505" s="116"/>
      <c r="L2505" s="117"/>
      <c r="M2505" s="67"/>
      <c r="N2505" s="33"/>
      <c r="O2505" s="70"/>
      <c r="P2505" s="34"/>
      <c r="Q2505" s="60"/>
      <c r="R2505" s="36"/>
      <c r="S2505" s="71"/>
      <c r="T2505" s="37"/>
      <c r="U2505" s="118"/>
      <c r="V2505" s="74"/>
      <c r="W2505" s="74"/>
      <c r="X2505" s="35"/>
      <c r="Y2505" s="35"/>
      <c r="Z2505" s="40"/>
      <c r="AA2505" s="34"/>
      <c r="AB2505" s="41"/>
      <c r="AC2505" s="42" t="b">
        <v>0</v>
      </c>
      <c r="AD2505" s="66"/>
      <c r="AE2505" s="42"/>
      <c r="AF2505" s="42"/>
      <c r="AG2505" s="43"/>
    </row>
    <row r="2506">
      <c r="A2506" s="23"/>
      <c r="B2506" s="101"/>
      <c r="C2506" s="115"/>
      <c r="D2506" s="115"/>
      <c r="E2506" s="85"/>
      <c r="F2506" s="138"/>
      <c r="G2506" s="101"/>
      <c r="H2506" s="105"/>
      <c r="I2506" s="105"/>
      <c r="J2506" s="44"/>
      <c r="K2506" s="116"/>
      <c r="L2506" s="117"/>
      <c r="M2506" s="67"/>
      <c r="N2506" s="33"/>
      <c r="O2506" s="70"/>
      <c r="P2506" s="34"/>
      <c r="Q2506" s="60"/>
      <c r="R2506" s="36"/>
      <c r="S2506" s="71"/>
      <c r="T2506" s="37"/>
      <c r="U2506" s="118"/>
      <c r="V2506" s="74"/>
      <c r="W2506" s="74"/>
      <c r="X2506" s="35"/>
      <c r="Y2506" s="35"/>
      <c r="Z2506" s="40"/>
      <c r="AA2506" s="34"/>
      <c r="AB2506" s="41"/>
      <c r="AC2506" s="42" t="b">
        <v>0</v>
      </c>
      <c r="AD2506" s="66"/>
      <c r="AE2506" s="42"/>
      <c r="AF2506" s="42"/>
      <c r="AG2506" s="43"/>
    </row>
    <row r="2507">
      <c r="A2507" s="23"/>
      <c r="B2507" s="101"/>
      <c r="C2507" s="115"/>
      <c r="D2507" s="115"/>
      <c r="E2507" s="85"/>
      <c r="F2507" s="138"/>
      <c r="G2507" s="101"/>
      <c r="H2507" s="105"/>
      <c r="I2507" s="105"/>
      <c r="J2507" s="44"/>
      <c r="K2507" s="116"/>
      <c r="L2507" s="117"/>
      <c r="M2507" s="67"/>
      <c r="N2507" s="33"/>
      <c r="O2507" s="70"/>
      <c r="P2507" s="34"/>
      <c r="Q2507" s="60"/>
      <c r="R2507" s="36"/>
      <c r="S2507" s="71"/>
      <c r="T2507" s="37"/>
      <c r="U2507" s="118"/>
      <c r="V2507" s="74"/>
      <c r="W2507" s="74"/>
      <c r="X2507" s="35"/>
      <c r="Y2507" s="35"/>
      <c r="Z2507" s="40"/>
      <c r="AA2507" s="34"/>
      <c r="AB2507" s="41"/>
      <c r="AC2507" s="42" t="b">
        <v>0</v>
      </c>
      <c r="AD2507" s="66"/>
      <c r="AE2507" s="42"/>
      <c r="AF2507" s="42"/>
      <c r="AG2507" s="43"/>
    </row>
    <row r="2508">
      <c r="A2508" s="23"/>
      <c r="B2508" s="101"/>
      <c r="C2508" s="115"/>
      <c r="D2508" s="115"/>
      <c r="E2508" s="85"/>
      <c r="F2508" s="138"/>
      <c r="G2508" s="101"/>
      <c r="H2508" s="105"/>
      <c r="I2508" s="105"/>
      <c r="J2508" s="44"/>
      <c r="K2508" s="116"/>
      <c r="L2508" s="117"/>
      <c r="M2508" s="67"/>
      <c r="N2508" s="33"/>
      <c r="O2508" s="70"/>
      <c r="P2508" s="34"/>
      <c r="Q2508" s="60"/>
      <c r="R2508" s="36"/>
      <c r="S2508" s="71"/>
      <c r="T2508" s="37"/>
      <c r="U2508" s="118"/>
      <c r="V2508" s="74"/>
      <c r="W2508" s="74"/>
      <c r="X2508" s="35"/>
      <c r="Y2508" s="35"/>
      <c r="Z2508" s="40"/>
      <c r="AA2508" s="34"/>
      <c r="AB2508" s="41"/>
      <c r="AC2508" s="42" t="b">
        <v>0</v>
      </c>
      <c r="AD2508" s="66"/>
      <c r="AE2508" s="42"/>
      <c r="AF2508" s="42"/>
      <c r="AG2508" s="43"/>
    </row>
    <row r="2509">
      <c r="A2509" s="23"/>
      <c r="B2509" s="101"/>
      <c r="C2509" s="115"/>
      <c r="D2509" s="115"/>
      <c r="E2509" s="85"/>
      <c r="F2509" s="138"/>
      <c r="G2509" s="101"/>
      <c r="H2509" s="105"/>
      <c r="I2509" s="105"/>
      <c r="J2509" s="44"/>
      <c r="K2509" s="116"/>
      <c r="L2509" s="117"/>
      <c r="M2509" s="67"/>
      <c r="N2509" s="33"/>
      <c r="O2509" s="70"/>
      <c r="P2509" s="34"/>
      <c r="Q2509" s="60"/>
      <c r="R2509" s="36"/>
      <c r="S2509" s="71"/>
      <c r="T2509" s="37"/>
      <c r="U2509" s="118"/>
      <c r="V2509" s="74"/>
      <c r="W2509" s="74"/>
      <c r="X2509" s="35"/>
      <c r="Y2509" s="35"/>
      <c r="Z2509" s="40"/>
      <c r="AA2509" s="34"/>
      <c r="AB2509" s="41"/>
      <c r="AC2509" s="42" t="b">
        <v>0</v>
      </c>
      <c r="AD2509" s="66"/>
      <c r="AE2509" s="42"/>
      <c r="AF2509" s="42"/>
      <c r="AG2509" s="43"/>
    </row>
    <row r="2510">
      <c r="A2510" s="23"/>
      <c r="B2510" s="101"/>
      <c r="C2510" s="115"/>
      <c r="D2510" s="115"/>
      <c r="E2510" s="85"/>
      <c r="F2510" s="138"/>
      <c r="G2510" s="101"/>
      <c r="H2510" s="105"/>
      <c r="I2510" s="105"/>
      <c r="J2510" s="44"/>
      <c r="K2510" s="116"/>
      <c r="L2510" s="117"/>
      <c r="M2510" s="67"/>
      <c r="N2510" s="33"/>
      <c r="O2510" s="70"/>
      <c r="P2510" s="34"/>
      <c r="Q2510" s="60"/>
      <c r="R2510" s="36"/>
      <c r="S2510" s="71"/>
      <c r="T2510" s="37"/>
      <c r="U2510" s="118"/>
      <c r="V2510" s="74"/>
      <c r="W2510" s="74"/>
      <c r="X2510" s="35"/>
      <c r="Y2510" s="35"/>
      <c r="Z2510" s="40"/>
      <c r="AA2510" s="34"/>
      <c r="AB2510" s="41"/>
      <c r="AC2510" s="42" t="b">
        <v>0</v>
      </c>
      <c r="AD2510" s="66"/>
      <c r="AE2510" s="42"/>
      <c r="AF2510" s="42"/>
      <c r="AG2510" s="43"/>
    </row>
    <row r="2511">
      <c r="A2511" s="23"/>
      <c r="B2511" s="101"/>
      <c r="C2511" s="115"/>
      <c r="D2511" s="115"/>
      <c r="E2511" s="85"/>
      <c r="F2511" s="138"/>
      <c r="G2511" s="101"/>
      <c r="H2511" s="105"/>
      <c r="I2511" s="105"/>
      <c r="J2511" s="44"/>
      <c r="K2511" s="116"/>
      <c r="L2511" s="117"/>
      <c r="M2511" s="67"/>
      <c r="N2511" s="33"/>
      <c r="O2511" s="70"/>
      <c r="P2511" s="34"/>
      <c r="Q2511" s="60"/>
      <c r="R2511" s="36"/>
      <c r="S2511" s="71"/>
      <c r="T2511" s="37"/>
      <c r="U2511" s="118"/>
      <c r="V2511" s="74"/>
      <c r="W2511" s="74"/>
      <c r="X2511" s="35"/>
      <c r="Y2511" s="35"/>
      <c r="Z2511" s="40"/>
      <c r="AA2511" s="34"/>
      <c r="AB2511" s="41"/>
      <c r="AC2511" s="42" t="b">
        <v>0</v>
      </c>
      <c r="AD2511" s="66"/>
      <c r="AE2511" s="42"/>
      <c r="AF2511" s="42"/>
      <c r="AG2511" s="43"/>
    </row>
    <row r="2512">
      <c r="A2512" s="23"/>
      <c r="B2512" s="101"/>
      <c r="C2512" s="115"/>
      <c r="D2512" s="115"/>
      <c r="E2512" s="85"/>
      <c r="F2512" s="138"/>
      <c r="G2512" s="101"/>
      <c r="H2512" s="105"/>
      <c r="I2512" s="105"/>
      <c r="J2512" s="44"/>
      <c r="K2512" s="116"/>
      <c r="L2512" s="117"/>
      <c r="M2512" s="67"/>
      <c r="N2512" s="33"/>
      <c r="O2512" s="70"/>
      <c r="P2512" s="34"/>
      <c r="Q2512" s="60"/>
      <c r="R2512" s="36"/>
      <c r="S2512" s="71"/>
      <c r="T2512" s="37"/>
      <c r="U2512" s="118"/>
      <c r="V2512" s="74"/>
      <c r="W2512" s="74"/>
      <c r="X2512" s="35"/>
      <c r="Y2512" s="35"/>
      <c r="Z2512" s="40"/>
      <c r="AA2512" s="34"/>
      <c r="AB2512" s="41"/>
      <c r="AC2512" s="42" t="b">
        <v>0</v>
      </c>
      <c r="AD2512" s="66"/>
      <c r="AE2512" s="42"/>
      <c r="AF2512" s="42"/>
      <c r="AG2512" s="43"/>
    </row>
    <row r="2513">
      <c r="A2513" s="23"/>
      <c r="B2513" s="101"/>
      <c r="C2513" s="115"/>
      <c r="D2513" s="115"/>
      <c r="E2513" s="85"/>
      <c r="F2513" s="138"/>
      <c r="G2513" s="101"/>
      <c r="H2513" s="105"/>
      <c r="I2513" s="105"/>
      <c r="J2513" s="44"/>
      <c r="K2513" s="116"/>
      <c r="L2513" s="117"/>
      <c r="M2513" s="67"/>
      <c r="N2513" s="33"/>
      <c r="O2513" s="70"/>
      <c r="P2513" s="34"/>
      <c r="Q2513" s="60"/>
      <c r="R2513" s="36"/>
      <c r="S2513" s="71"/>
      <c r="T2513" s="37"/>
      <c r="U2513" s="118"/>
      <c r="V2513" s="74"/>
      <c r="W2513" s="74"/>
      <c r="X2513" s="35"/>
      <c r="Y2513" s="35"/>
      <c r="Z2513" s="40"/>
      <c r="AA2513" s="34"/>
      <c r="AB2513" s="41"/>
      <c r="AC2513" s="42" t="b">
        <v>0</v>
      </c>
      <c r="AD2513" s="66"/>
      <c r="AE2513" s="42"/>
      <c r="AF2513" s="42"/>
      <c r="AG2513" s="43"/>
    </row>
    <row r="2514">
      <c r="A2514" s="23"/>
      <c r="B2514" s="101"/>
      <c r="C2514" s="115"/>
      <c r="D2514" s="115"/>
      <c r="E2514" s="85"/>
      <c r="F2514" s="138"/>
      <c r="G2514" s="101"/>
      <c r="H2514" s="105"/>
      <c r="I2514" s="105"/>
      <c r="J2514" s="44"/>
      <c r="K2514" s="116"/>
      <c r="L2514" s="117"/>
      <c r="M2514" s="67"/>
      <c r="N2514" s="33"/>
      <c r="O2514" s="70"/>
      <c r="P2514" s="34"/>
      <c r="Q2514" s="60"/>
      <c r="R2514" s="36"/>
      <c r="S2514" s="71"/>
      <c r="T2514" s="37"/>
      <c r="U2514" s="118"/>
      <c r="V2514" s="74"/>
      <c r="W2514" s="74"/>
      <c r="X2514" s="35"/>
      <c r="Y2514" s="35"/>
      <c r="Z2514" s="40"/>
      <c r="AA2514" s="34"/>
      <c r="AB2514" s="41"/>
      <c r="AC2514" s="42" t="b">
        <v>0</v>
      </c>
      <c r="AD2514" s="66"/>
      <c r="AE2514" s="42"/>
      <c r="AF2514" s="42"/>
      <c r="AG2514" s="43"/>
    </row>
    <row r="2515">
      <c r="A2515" s="23"/>
      <c r="B2515" s="101"/>
      <c r="C2515" s="115"/>
      <c r="D2515" s="115"/>
      <c r="E2515" s="85"/>
      <c r="F2515" s="138"/>
      <c r="G2515" s="101"/>
      <c r="H2515" s="105"/>
      <c r="I2515" s="105"/>
      <c r="J2515" s="44"/>
      <c r="K2515" s="116"/>
      <c r="L2515" s="117"/>
      <c r="M2515" s="67"/>
      <c r="N2515" s="33"/>
      <c r="O2515" s="70"/>
      <c r="P2515" s="34"/>
      <c r="Q2515" s="60"/>
      <c r="R2515" s="36"/>
      <c r="S2515" s="71"/>
      <c r="T2515" s="37"/>
      <c r="U2515" s="118"/>
      <c r="V2515" s="74"/>
      <c r="W2515" s="74"/>
      <c r="X2515" s="35"/>
      <c r="Y2515" s="35"/>
      <c r="Z2515" s="40"/>
      <c r="AA2515" s="34"/>
      <c r="AB2515" s="41"/>
      <c r="AC2515" s="42" t="b">
        <v>0</v>
      </c>
      <c r="AD2515" s="66"/>
      <c r="AE2515" s="42"/>
      <c r="AF2515" s="42"/>
      <c r="AG2515" s="43"/>
    </row>
    <row r="2516">
      <c r="A2516" s="23"/>
      <c r="B2516" s="101"/>
      <c r="C2516" s="115"/>
      <c r="D2516" s="115"/>
      <c r="E2516" s="85"/>
      <c r="F2516" s="138"/>
      <c r="G2516" s="101"/>
      <c r="H2516" s="105"/>
      <c r="I2516" s="105"/>
      <c r="J2516" s="44"/>
      <c r="K2516" s="116"/>
      <c r="L2516" s="117"/>
      <c r="M2516" s="67"/>
      <c r="N2516" s="33"/>
      <c r="O2516" s="70"/>
      <c r="P2516" s="34"/>
      <c r="Q2516" s="60"/>
      <c r="R2516" s="36"/>
      <c r="S2516" s="71"/>
      <c r="T2516" s="37"/>
      <c r="U2516" s="118"/>
      <c r="V2516" s="74"/>
      <c r="W2516" s="74"/>
      <c r="X2516" s="35"/>
      <c r="Y2516" s="35"/>
      <c r="Z2516" s="40"/>
      <c r="AA2516" s="34"/>
      <c r="AB2516" s="41"/>
      <c r="AC2516" s="42" t="b">
        <v>0</v>
      </c>
      <c r="AD2516" s="66"/>
      <c r="AE2516" s="42"/>
      <c r="AF2516" s="42"/>
      <c r="AG2516" s="43"/>
    </row>
    <row r="2517">
      <c r="A2517" s="23"/>
      <c r="B2517" s="101"/>
      <c r="C2517" s="115"/>
      <c r="D2517" s="115"/>
      <c r="E2517" s="85"/>
      <c r="F2517" s="138"/>
      <c r="G2517" s="101"/>
      <c r="H2517" s="105"/>
      <c r="I2517" s="105"/>
      <c r="J2517" s="44"/>
      <c r="K2517" s="116"/>
      <c r="L2517" s="117"/>
      <c r="M2517" s="67"/>
      <c r="N2517" s="33"/>
      <c r="O2517" s="70"/>
      <c r="P2517" s="34"/>
      <c r="Q2517" s="60"/>
      <c r="R2517" s="36"/>
      <c r="S2517" s="71"/>
      <c r="T2517" s="37"/>
      <c r="U2517" s="118"/>
      <c r="V2517" s="74"/>
      <c r="W2517" s="74"/>
      <c r="X2517" s="35"/>
      <c r="Y2517" s="35"/>
      <c r="Z2517" s="40"/>
      <c r="AA2517" s="34"/>
      <c r="AB2517" s="41"/>
      <c r="AC2517" s="42" t="b">
        <v>0</v>
      </c>
      <c r="AD2517" s="66"/>
      <c r="AE2517" s="42"/>
      <c r="AF2517" s="42"/>
      <c r="AG2517" s="43"/>
    </row>
    <row r="2518">
      <c r="A2518" s="23"/>
      <c r="B2518" s="101"/>
      <c r="C2518" s="115"/>
      <c r="D2518" s="115"/>
      <c r="E2518" s="85"/>
      <c r="F2518" s="138"/>
      <c r="G2518" s="101"/>
      <c r="H2518" s="105"/>
      <c r="I2518" s="105"/>
      <c r="J2518" s="44"/>
      <c r="K2518" s="116"/>
      <c r="L2518" s="117"/>
      <c r="M2518" s="67"/>
      <c r="N2518" s="33"/>
      <c r="O2518" s="70"/>
      <c r="P2518" s="34"/>
      <c r="Q2518" s="60"/>
      <c r="R2518" s="36"/>
      <c r="S2518" s="71"/>
      <c r="T2518" s="37"/>
      <c r="U2518" s="118"/>
      <c r="V2518" s="74"/>
      <c r="W2518" s="74"/>
      <c r="X2518" s="35"/>
      <c r="Y2518" s="35"/>
      <c r="Z2518" s="40"/>
      <c r="AA2518" s="34"/>
      <c r="AB2518" s="41"/>
      <c r="AC2518" s="42" t="b">
        <v>0</v>
      </c>
      <c r="AD2518" s="66"/>
      <c r="AE2518" s="42"/>
      <c r="AF2518" s="42"/>
      <c r="AG2518" s="43"/>
    </row>
    <row r="2519">
      <c r="A2519" s="23"/>
      <c r="B2519" s="101"/>
      <c r="C2519" s="115"/>
      <c r="D2519" s="115"/>
      <c r="E2519" s="85"/>
      <c r="F2519" s="138"/>
      <c r="G2519" s="101"/>
      <c r="H2519" s="105"/>
      <c r="I2519" s="105"/>
      <c r="J2519" s="44"/>
      <c r="K2519" s="116"/>
      <c r="L2519" s="117"/>
      <c r="M2519" s="67"/>
      <c r="N2519" s="33"/>
      <c r="O2519" s="70"/>
      <c r="P2519" s="34"/>
      <c r="Q2519" s="60"/>
      <c r="R2519" s="36"/>
      <c r="S2519" s="71"/>
      <c r="T2519" s="37"/>
      <c r="U2519" s="118"/>
      <c r="V2519" s="74"/>
      <c r="W2519" s="74"/>
      <c r="X2519" s="35"/>
      <c r="Y2519" s="35"/>
      <c r="Z2519" s="40"/>
      <c r="AA2519" s="34"/>
      <c r="AB2519" s="41"/>
      <c r="AC2519" s="42" t="b">
        <v>0</v>
      </c>
      <c r="AD2519" s="66"/>
      <c r="AE2519" s="42"/>
      <c r="AF2519" s="42"/>
      <c r="AG2519" s="43"/>
    </row>
    <row r="2520">
      <c r="A2520" s="23"/>
      <c r="B2520" s="101"/>
      <c r="C2520" s="115"/>
      <c r="D2520" s="115"/>
      <c r="E2520" s="85"/>
      <c r="F2520" s="138"/>
      <c r="G2520" s="101"/>
      <c r="H2520" s="105"/>
      <c r="I2520" s="105"/>
      <c r="J2520" s="44"/>
      <c r="K2520" s="116"/>
      <c r="L2520" s="117"/>
      <c r="M2520" s="67"/>
      <c r="N2520" s="33"/>
      <c r="O2520" s="70"/>
      <c r="P2520" s="34"/>
      <c r="Q2520" s="60"/>
      <c r="R2520" s="36"/>
      <c r="S2520" s="71"/>
      <c r="T2520" s="37"/>
      <c r="U2520" s="118"/>
      <c r="V2520" s="74"/>
      <c r="W2520" s="74"/>
      <c r="X2520" s="35"/>
      <c r="Y2520" s="35"/>
      <c r="Z2520" s="40"/>
      <c r="AA2520" s="34"/>
      <c r="AB2520" s="41"/>
      <c r="AC2520" s="42" t="b">
        <v>0</v>
      </c>
      <c r="AD2520" s="66"/>
      <c r="AE2520" s="42"/>
      <c r="AF2520" s="42"/>
      <c r="AG2520" s="43"/>
    </row>
    <row r="2521">
      <c r="A2521" s="23"/>
      <c r="B2521" s="101"/>
      <c r="C2521" s="115"/>
      <c r="D2521" s="115"/>
      <c r="E2521" s="85"/>
      <c r="F2521" s="138"/>
      <c r="G2521" s="101"/>
      <c r="H2521" s="105"/>
      <c r="I2521" s="105"/>
      <c r="J2521" s="44"/>
      <c r="K2521" s="116"/>
      <c r="L2521" s="117"/>
      <c r="M2521" s="67"/>
      <c r="N2521" s="33"/>
      <c r="O2521" s="70"/>
      <c r="P2521" s="34"/>
      <c r="Q2521" s="60"/>
      <c r="R2521" s="36"/>
      <c r="S2521" s="71"/>
      <c r="T2521" s="37"/>
      <c r="U2521" s="118"/>
      <c r="V2521" s="74"/>
      <c r="W2521" s="74"/>
      <c r="X2521" s="35"/>
      <c r="Y2521" s="35"/>
      <c r="Z2521" s="40"/>
      <c r="AA2521" s="34"/>
      <c r="AB2521" s="41"/>
      <c r="AC2521" s="42" t="b">
        <v>0</v>
      </c>
      <c r="AD2521" s="66"/>
      <c r="AE2521" s="42"/>
      <c r="AF2521" s="42"/>
      <c r="AG2521" s="43"/>
    </row>
    <row r="2522">
      <c r="A2522" s="23"/>
      <c r="B2522" s="101"/>
      <c r="C2522" s="115"/>
      <c r="D2522" s="115"/>
      <c r="E2522" s="85"/>
      <c r="F2522" s="138"/>
      <c r="G2522" s="101"/>
      <c r="H2522" s="105"/>
      <c r="I2522" s="105"/>
      <c r="J2522" s="44"/>
      <c r="K2522" s="116"/>
      <c r="L2522" s="117"/>
      <c r="M2522" s="67"/>
      <c r="N2522" s="33"/>
      <c r="O2522" s="70"/>
      <c r="P2522" s="34"/>
      <c r="Q2522" s="60"/>
      <c r="R2522" s="36"/>
      <c r="S2522" s="71"/>
      <c r="T2522" s="37"/>
      <c r="U2522" s="118"/>
      <c r="V2522" s="74"/>
      <c r="W2522" s="74"/>
      <c r="X2522" s="35"/>
      <c r="Y2522" s="35"/>
      <c r="Z2522" s="40"/>
      <c r="AA2522" s="34"/>
      <c r="AB2522" s="41"/>
      <c r="AC2522" s="42" t="b">
        <v>0</v>
      </c>
      <c r="AD2522" s="66"/>
      <c r="AE2522" s="42"/>
      <c r="AF2522" s="42"/>
      <c r="AG2522" s="43"/>
    </row>
    <row r="2523">
      <c r="A2523" s="23"/>
      <c r="B2523" s="101"/>
      <c r="C2523" s="115"/>
      <c r="D2523" s="115"/>
      <c r="E2523" s="85"/>
      <c r="F2523" s="138"/>
      <c r="G2523" s="101"/>
      <c r="H2523" s="105"/>
      <c r="I2523" s="105"/>
      <c r="J2523" s="44"/>
      <c r="K2523" s="116"/>
      <c r="L2523" s="117"/>
      <c r="M2523" s="67"/>
      <c r="N2523" s="33"/>
      <c r="O2523" s="70"/>
      <c r="P2523" s="34"/>
      <c r="Q2523" s="60"/>
      <c r="R2523" s="36"/>
      <c r="S2523" s="71"/>
      <c r="T2523" s="37"/>
      <c r="U2523" s="118"/>
      <c r="V2523" s="74"/>
      <c r="W2523" s="74"/>
      <c r="X2523" s="35"/>
      <c r="Y2523" s="35"/>
      <c r="Z2523" s="40"/>
      <c r="AA2523" s="34"/>
      <c r="AB2523" s="41"/>
      <c r="AC2523" s="42" t="b">
        <v>0</v>
      </c>
      <c r="AD2523" s="66"/>
      <c r="AE2523" s="42"/>
      <c r="AF2523" s="42"/>
      <c r="AG2523" s="43"/>
    </row>
    <row r="2524">
      <c r="A2524" s="23"/>
      <c r="B2524" s="101"/>
      <c r="C2524" s="115"/>
      <c r="D2524" s="115"/>
      <c r="E2524" s="85"/>
      <c r="F2524" s="138"/>
      <c r="G2524" s="101"/>
      <c r="H2524" s="105"/>
      <c r="I2524" s="105"/>
      <c r="J2524" s="44"/>
      <c r="K2524" s="116"/>
      <c r="L2524" s="117"/>
      <c r="M2524" s="67"/>
      <c r="N2524" s="33"/>
      <c r="O2524" s="70"/>
      <c r="P2524" s="34"/>
      <c r="Q2524" s="60"/>
      <c r="R2524" s="36"/>
      <c r="S2524" s="71"/>
      <c r="T2524" s="37"/>
      <c r="U2524" s="118"/>
      <c r="V2524" s="74"/>
      <c r="W2524" s="74"/>
      <c r="X2524" s="35"/>
      <c r="Y2524" s="35"/>
      <c r="Z2524" s="40"/>
      <c r="AA2524" s="34"/>
      <c r="AB2524" s="41"/>
      <c r="AC2524" s="42" t="b">
        <v>0</v>
      </c>
      <c r="AD2524" s="66"/>
      <c r="AE2524" s="42"/>
      <c r="AF2524" s="42"/>
      <c r="AG2524" s="43"/>
    </row>
    <row r="2525">
      <c r="A2525" s="23"/>
      <c r="B2525" s="101"/>
      <c r="C2525" s="115"/>
      <c r="D2525" s="115"/>
      <c r="E2525" s="85"/>
      <c r="F2525" s="138"/>
      <c r="G2525" s="101"/>
      <c r="H2525" s="105"/>
      <c r="I2525" s="105"/>
      <c r="J2525" s="44"/>
      <c r="K2525" s="116"/>
      <c r="L2525" s="117"/>
      <c r="M2525" s="67"/>
      <c r="N2525" s="33"/>
      <c r="O2525" s="70"/>
      <c r="P2525" s="34"/>
      <c r="Q2525" s="60"/>
      <c r="R2525" s="36"/>
      <c r="S2525" s="71"/>
      <c r="T2525" s="37"/>
      <c r="U2525" s="118"/>
      <c r="V2525" s="74"/>
      <c r="W2525" s="74"/>
      <c r="X2525" s="35"/>
      <c r="Y2525" s="35"/>
      <c r="Z2525" s="40"/>
      <c r="AA2525" s="34"/>
      <c r="AB2525" s="41"/>
      <c r="AC2525" s="42" t="b">
        <v>0</v>
      </c>
      <c r="AD2525" s="66"/>
      <c r="AE2525" s="42"/>
      <c r="AF2525" s="42"/>
      <c r="AG2525" s="43"/>
    </row>
    <row r="2526">
      <c r="A2526" s="23"/>
      <c r="B2526" s="101"/>
      <c r="C2526" s="115"/>
      <c r="D2526" s="115"/>
      <c r="E2526" s="85"/>
      <c r="F2526" s="138"/>
      <c r="G2526" s="101"/>
      <c r="H2526" s="105"/>
      <c r="I2526" s="105"/>
      <c r="J2526" s="44"/>
      <c r="K2526" s="116"/>
      <c r="L2526" s="117"/>
      <c r="M2526" s="67"/>
      <c r="N2526" s="33"/>
      <c r="O2526" s="70"/>
      <c r="P2526" s="34"/>
      <c r="Q2526" s="60"/>
      <c r="R2526" s="36"/>
      <c r="S2526" s="71"/>
      <c r="T2526" s="37"/>
      <c r="U2526" s="118"/>
      <c r="V2526" s="74"/>
      <c r="W2526" s="74"/>
      <c r="X2526" s="35"/>
      <c r="Y2526" s="35"/>
      <c r="Z2526" s="40"/>
      <c r="AA2526" s="34"/>
      <c r="AB2526" s="41"/>
      <c r="AC2526" s="42" t="b">
        <v>0</v>
      </c>
      <c r="AD2526" s="66"/>
      <c r="AE2526" s="42"/>
      <c r="AF2526" s="42"/>
      <c r="AG2526" s="43"/>
    </row>
    <row r="2527">
      <c r="A2527" s="23"/>
      <c r="B2527" s="101"/>
      <c r="C2527" s="115"/>
      <c r="D2527" s="115"/>
      <c r="E2527" s="85"/>
      <c r="F2527" s="138"/>
      <c r="G2527" s="101"/>
      <c r="H2527" s="105"/>
      <c r="I2527" s="105"/>
      <c r="J2527" s="44"/>
      <c r="K2527" s="116"/>
      <c r="L2527" s="117"/>
      <c r="M2527" s="67"/>
      <c r="N2527" s="33"/>
      <c r="O2527" s="70"/>
      <c r="P2527" s="34"/>
      <c r="Q2527" s="60"/>
      <c r="R2527" s="36"/>
      <c r="S2527" s="71"/>
      <c r="T2527" s="37"/>
      <c r="U2527" s="118"/>
      <c r="V2527" s="74"/>
      <c r="W2527" s="74"/>
      <c r="X2527" s="35"/>
      <c r="Y2527" s="35"/>
      <c r="Z2527" s="40"/>
      <c r="AA2527" s="34"/>
      <c r="AB2527" s="41"/>
      <c r="AC2527" s="42" t="b">
        <v>0</v>
      </c>
      <c r="AD2527" s="66"/>
      <c r="AE2527" s="42"/>
      <c r="AF2527" s="42"/>
      <c r="AG2527" s="43"/>
    </row>
    <row r="2528">
      <c r="A2528" s="23"/>
      <c r="B2528" s="101"/>
      <c r="C2528" s="115"/>
      <c r="D2528" s="115"/>
      <c r="E2528" s="85"/>
      <c r="F2528" s="138"/>
      <c r="G2528" s="101"/>
      <c r="H2528" s="105"/>
      <c r="I2528" s="105"/>
      <c r="J2528" s="44"/>
      <c r="K2528" s="116"/>
      <c r="L2528" s="117"/>
      <c r="M2528" s="67"/>
      <c r="N2528" s="33"/>
      <c r="O2528" s="70"/>
      <c r="P2528" s="34"/>
      <c r="Q2528" s="60"/>
      <c r="R2528" s="36"/>
      <c r="S2528" s="71"/>
      <c r="T2528" s="37"/>
      <c r="U2528" s="118"/>
      <c r="V2528" s="74"/>
      <c r="W2528" s="74"/>
      <c r="X2528" s="35"/>
      <c r="Y2528" s="35"/>
      <c r="Z2528" s="40"/>
      <c r="AA2528" s="34"/>
      <c r="AB2528" s="41"/>
      <c r="AC2528" s="42" t="b">
        <v>0</v>
      </c>
      <c r="AD2528" s="66"/>
      <c r="AE2528" s="42"/>
      <c r="AF2528" s="42"/>
      <c r="AG2528" s="43"/>
    </row>
    <row r="2529">
      <c r="A2529" s="23"/>
      <c r="B2529" s="101"/>
      <c r="C2529" s="115"/>
      <c r="D2529" s="115"/>
      <c r="E2529" s="85"/>
      <c r="F2529" s="138"/>
      <c r="G2529" s="101"/>
      <c r="H2529" s="105"/>
      <c r="I2529" s="105"/>
      <c r="J2529" s="44"/>
      <c r="K2529" s="116"/>
      <c r="L2529" s="117"/>
      <c r="M2529" s="67"/>
      <c r="N2529" s="33"/>
      <c r="O2529" s="70"/>
      <c r="P2529" s="34"/>
      <c r="Q2529" s="60"/>
      <c r="R2529" s="36"/>
      <c r="S2529" s="71"/>
      <c r="T2529" s="37"/>
      <c r="U2529" s="118"/>
      <c r="V2529" s="74"/>
      <c r="W2529" s="74"/>
      <c r="X2529" s="35"/>
      <c r="Y2529" s="35"/>
      <c r="Z2529" s="40"/>
      <c r="AA2529" s="34"/>
      <c r="AB2529" s="41"/>
      <c r="AC2529" s="42" t="b">
        <v>0</v>
      </c>
      <c r="AD2529" s="66"/>
      <c r="AE2529" s="42"/>
      <c r="AF2529" s="42"/>
      <c r="AG2529" s="43"/>
    </row>
    <row r="2530">
      <c r="A2530" s="23"/>
      <c r="B2530" s="101"/>
      <c r="C2530" s="115"/>
      <c r="D2530" s="115"/>
      <c r="E2530" s="85"/>
      <c r="F2530" s="138"/>
      <c r="G2530" s="101"/>
      <c r="H2530" s="105"/>
      <c r="I2530" s="105"/>
      <c r="J2530" s="44"/>
      <c r="K2530" s="116"/>
      <c r="L2530" s="117"/>
      <c r="M2530" s="67"/>
      <c r="N2530" s="33"/>
      <c r="O2530" s="70"/>
      <c r="P2530" s="34"/>
      <c r="Q2530" s="60"/>
      <c r="R2530" s="36"/>
      <c r="S2530" s="71"/>
      <c r="T2530" s="37"/>
      <c r="U2530" s="118"/>
      <c r="V2530" s="74"/>
      <c r="W2530" s="74"/>
      <c r="X2530" s="35"/>
      <c r="Y2530" s="35"/>
      <c r="Z2530" s="40"/>
      <c r="AA2530" s="34"/>
      <c r="AB2530" s="41"/>
      <c r="AC2530" s="42" t="b">
        <v>0</v>
      </c>
      <c r="AD2530" s="66"/>
      <c r="AE2530" s="42"/>
      <c r="AF2530" s="42"/>
      <c r="AG2530" s="43"/>
    </row>
    <row r="2531">
      <c r="A2531" s="23"/>
      <c r="B2531" s="101"/>
      <c r="C2531" s="115"/>
      <c r="D2531" s="115"/>
      <c r="E2531" s="85"/>
      <c r="F2531" s="138"/>
      <c r="G2531" s="101"/>
      <c r="H2531" s="105"/>
      <c r="I2531" s="105"/>
      <c r="J2531" s="44"/>
      <c r="K2531" s="116"/>
      <c r="L2531" s="117"/>
      <c r="M2531" s="67"/>
      <c r="N2531" s="33"/>
      <c r="O2531" s="70"/>
      <c r="P2531" s="34"/>
      <c r="Q2531" s="60"/>
      <c r="R2531" s="36"/>
      <c r="S2531" s="71"/>
      <c r="T2531" s="37"/>
      <c r="U2531" s="118"/>
      <c r="V2531" s="74"/>
      <c r="W2531" s="74"/>
      <c r="X2531" s="35"/>
      <c r="Y2531" s="35"/>
      <c r="Z2531" s="40"/>
      <c r="AA2531" s="34"/>
      <c r="AB2531" s="41"/>
      <c r="AC2531" s="42" t="b">
        <v>0</v>
      </c>
      <c r="AD2531" s="66"/>
      <c r="AE2531" s="42"/>
      <c r="AF2531" s="42"/>
      <c r="AG2531" s="43"/>
    </row>
    <row r="2532">
      <c r="A2532" s="23"/>
      <c r="B2532" s="101"/>
      <c r="C2532" s="115"/>
      <c r="D2532" s="115"/>
      <c r="E2532" s="85"/>
      <c r="F2532" s="138"/>
      <c r="G2532" s="101"/>
      <c r="H2532" s="105"/>
      <c r="I2532" s="105"/>
      <c r="J2532" s="44"/>
      <c r="K2532" s="116"/>
      <c r="L2532" s="117"/>
      <c r="M2532" s="67"/>
      <c r="N2532" s="33"/>
      <c r="O2532" s="70"/>
      <c r="P2532" s="34"/>
      <c r="Q2532" s="60"/>
      <c r="R2532" s="36"/>
      <c r="S2532" s="71"/>
      <c r="T2532" s="37"/>
      <c r="U2532" s="118"/>
      <c r="V2532" s="74"/>
      <c r="W2532" s="74"/>
      <c r="X2532" s="35"/>
      <c r="Y2532" s="35"/>
      <c r="Z2532" s="40"/>
      <c r="AA2532" s="34"/>
      <c r="AB2532" s="41"/>
      <c r="AC2532" s="42" t="b">
        <v>0</v>
      </c>
      <c r="AD2532" s="66"/>
      <c r="AE2532" s="42"/>
      <c r="AF2532" s="42"/>
      <c r="AG2532" s="43"/>
    </row>
    <row r="2533">
      <c r="A2533" s="23"/>
      <c r="B2533" s="101"/>
      <c r="C2533" s="115"/>
      <c r="D2533" s="115"/>
      <c r="E2533" s="85"/>
      <c r="F2533" s="138"/>
      <c r="G2533" s="101"/>
      <c r="H2533" s="105"/>
      <c r="I2533" s="105"/>
      <c r="J2533" s="44"/>
      <c r="K2533" s="116"/>
      <c r="L2533" s="117"/>
      <c r="M2533" s="67"/>
      <c r="N2533" s="33"/>
      <c r="O2533" s="70"/>
      <c r="P2533" s="34"/>
      <c r="Q2533" s="60"/>
      <c r="R2533" s="36"/>
      <c r="S2533" s="71"/>
      <c r="T2533" s="37"/>
      <c r="U2533" s="118"/>
      <c r="V2533" s="74"/>
      <c r="W2533" s="74"/>
      <c r="X2533" s="35"/>
      <c r="Y2533" s="35"/>
      <c r="Z2533" s="40"/>
      <c r="AA2533" s="34"/>
      <c r="AB2533" s="41"/>
      <c r="AC2533" s="42" t="b">
        <v>0</v>
      </c>
      <c r="AD2533" s="66"/>
      <c r="AE2533" s="42"/>
      <c r="AF2533" s="42"/>
      <c r="AG2533" s="43"/>
    </row>
    <row r="2534">
      <c r="A2534" s="23"/>
      <c r="B2534" s="101"/>
      <c r="C2534" s="115"/>
      <c r="D2534" s="115"/>
      <c r="E2534" s="85"/>
      <c r="F2534" s="138"/>
      <c r="G2534" s="101"/>
      <c r="H2534" s="105"/>
      <c r="I2534" s="105"/>
      <c r="J2534" s="44"/>
      <c r="K2534" s="116"/>
      <c r="L2534" s="117"/>
      <c r="M2534" s="67"/>
      <c r="N2534" s="33"/>
      <c r="O2534" s="70"/>
      <c r="P2534" s="34"/>
      <c r="Q2534" s="60"/>
      <c r="R2534" s="36"/>
      <c r="S2534" s="71"/>
      <c r="T2534" s="37"/>
      <c r="U2534" s="118"/>
      <c r="V2534" s="74"/>
      <c r="W2534" s="74"/>
      <c r="X2534" s="35"/>
      <c r="Y2534" s="35"/>
      <c r="Z2534" s="40"/>
      <c r="AA2534" s="34"/>
      <c r="AB2534" s="41"/>
      <c r="AC2534" s="42" t="b">
        <v>0</v>
      </c>
      <c r="AD2534" s="66"/>
      <c r="AE2534" s="42"/>
      <c r="AF2534" s="42"/>
      <c r="AG2534" s="43"/>
    </row>
    <row r="2535">
      <c r="A2535" s="23"/>
      <c r="B2535" s="101"/>
      <c r="C2535" s="115"/>
      <c r="D2535" s="115"/>
      <c r="E2535" s="85"/>
      <c r="F2535" s="138"/>
      <c r="G2535" s="101"/>
      <c r="H2535" s="105"/>
      <c r="I2535" s="105"/>
      <c r="J2535" s="44"/>
      <c r="K2535" s="116"/>
      <c r="L2535" s="117"/>
      <c r="M2535" s="67"/>
      <c r="N2535" s="33"/>
      <c r="O2535" s="70"/>
      <c r="P2535" s="34"/>
      <c r="Q2535" s="60"/>
      <c r="R2535" s="36"/>
      <c r="S2535" s="71"/>
      <c r="T2535" s="37"/>
      <c r="U2535" s="118"/>
      <c r="V2535" s="74"/>
      <c r="W2535" s="74"/>
      <c r="X2535" s="35"/>
      <c r="Y2535" s="35"/>
      <c r="Z2535" s="40"/>
      <c r="AA2535" s="34"/>
      <c r="AB2535" s="41"/>
      <c r="AC2535" s="42" t="b">
        <v>0</v>
      </c>
      <c r="AD2535" s="66"/>
      <c r="AE2535" s="42"/>
      <c r="AF2535" s="42"/>
      <c r="AG2535" s="43"/>
    </row>
    <row r="2536">
      <c r="A2536" s="23"/>
      <c r="B2536" s="101"/>
      <c r="C2536" s="115"/>
      <c r="D2536" s="115"/>
      <c r="E2536" s="85"/>
      <c r="F2536" s="138"/>
      <c r="G2536" s="101"/>
      <c r="H2536" s="105"/>
      <c r="I2536" s="105"/>
      <c r="J2536" s="44"/>
      <c r="K2536" s="116"/>
      <c r="L2536" s="117"/>
      <c r="M2536" s="67"/>
      <c r="N2536" s="33"/>
      <c r="O2536" s="70"/>
      <c r="P2536" s="34"/>
      <c r="Q2536" s="60"/>
      <c r="R2536" s="36"/>
      <c r="S2536" s="71"/>
      <c r="T2536" s="37"/>
      <c r="U2536" s="118"/>
      <c r="V2536" s="74"/>
      <c r="W2536" s="74"/>
      <c r="X2536" s="35"/>
      <c r="Y2536" s="35"/>
      <c r="Z2536" s="40"/>
      <c r="AA2536" s="34"/>
      <c r="AB2536" s="41"/>
      <c r="AC2536" s="42" t="b">
        <v>0</v>
      </c>
      <c r="AD2536" s="66"/>
      <c r="AE2536" s="42"/>
      <c r="AF2536" s="42"/>
      <c r="AG2536" s="43"/>
    </row>
    <row r="2537">
      <c r="A2537" s="23"/>
      <c r="B2537" s="101"/>
      <c r="C2537" s="115"/>
      <c r="D2537" s="115"/>
      <c r="E2537" s="85"/>
      <c r="F2537" s="138"/>
      <c r="G2537" s="101"/>
      <c r="H2537" s="105"/>
      <c r="I2537" s="105"/>
      <c r="J2537" s="44"/>
      <c r="K2537" s="116"/>
      <c r="L2537" s="117"/>
      <c r="M2537" s="67"/>
      <c r="N2537" s="33"/>
      <c r="O2537" s="70"/>
      <c r="P2537" s="34"/>
      <c r="Q2537" s="60"/>
      <c r="R2537" s="36"/>
      <c r="S2537" s="71"/>
      <c r="T2537" s="37"/>
      <c r="U2537" s="118"/>
      <c r="V2537" s="74"/>
      <c r="W2537" s="74"/>
      <c r="X2537" s="35"/>
      <c r="Y2537" s="35"/>
      <c r="Z2537" s="40"/>
      <c r="AA2537" s="34"/>
      <c r="AB2537" s="41"/>
      <c r="AC2537" s="42" t="b">
        <v>0</v>
      </c>
      <c r="AD2537" s="66"/>
      <c r="AE2537" s="42"/>
      <c r="AF2537" s="42"/>
      <c r="AG2537" s="43"/>
    </row>
    <row r="2538">
      <c r="A2538" s="23"/>
      <c r="B2538" s="101"/>
      <c r="C2538" s="115"/>
      <c r="D2538" s="115"/>
      <c r="E2538" s="85"/>
      <c r="F2538" s="138"/>
      <c r="G2538" s="101"/>
      <c r="H2538" s="105"/>
      <c r="I2538" s="105"/>
      <c r="J2538" s="44"/>
      <c r="K2538" s="116"/>
      <c r="L2538" s="117"/>
      <c r="M2538" s="67"/>
      <c r="N2538" s="33"/>
      <c r="O2538" s="70"/>
      <c r="P2538" s="34"/>
      <c r="Q2538" s="60"/>
      <c r="R2538" s="36"/>
      <c r="S2538" s="71"/>
      <c r="T2538" s="37"/>
      <c r="U2538" s="118"/>
      <c r="V2538" s="74"/>
      <c r="W2538" s="74"/>
      <c r="X2538" s="35"/>
      <c r="Y2538" s="35"/>
      <c r="Z2538" s="40"/>
      <c r="AA2538" s="34"/>
      <c r="AB2538" s="41"/>
      <c r="AC2538" s="42" t="b">
        <v>0</v>
      </c>
      <c r="AD2538" s="66"/>
      <c r="AE2538" s="42"/>
      <c r="AF2538" s="42"/>
      <c r="AG2538" s="43"/>
    </row>
    <row r="2539">
      <c r="A2539" s="23"/>
      <c r="B2539" s="101"/>
      <c r="C2539" s="115"/>
      <c r="D2539" s="115"/>
      <c r="E2539" s="85"/>
      <c r="F2539" s="138"/>
      <c r="G2539" s="101"/>
      <c r="H2539" s="105"/>
      <c r="I2539" s="105"/>
      <c r="J2539" s="44"/>
      <c r="K2539" s="116"/>
      <c r="L2539" s="117"/>
      <c r="M2539" s="67"/>
      <c r="N2539" s="33"/>
      <c r="O2539" s="70"/>
      <c r="P2539" s="34"/>
      <c r="Q2539" s="60"/>
      <c r="R2539" s="36"/>
      <c r="S2539" s="71"/>
      <c r="T2539" s="37"/>
      <c r="U2539" s="118"/>
      <c r="V2539" s="74"/>
      <c r="W2539" s="74"/>
      <c r="X2539" s="35"/>
      <c r="Y2539" s="35"/>
      <c r="Z2539" s="40"/>
      <c r="AA2539" s="34"/>
      <c r="AB2539" s="41"/>
      <c r="AC2539" s="42" t="b">
        <v>0</v>
      </c>
      <c r="AD2539" s="66"/>
      <c r="AE2539" s="42"/>
      <c r="AF2539" s="42"/>
      <c r="AG2539" s="43"/>
    </row>
    <row r="2540">
      <c r="A2540" s="23"/>
      <c r="B2540" s="101"/>
      <c r="C2540" s="115"/>
      <c r="D2540" s="115"/>
      <c r="E2540" s="85"/>
      <c r="F2540" s="138"/>
      <c r="G2540" s="101"/>
      <c r="H2540" s="105"/>
      <c r="I2540" s="105"/>
      <c r="J2540" s="44"/>
      <c r="K2540" s="116"/>
      <c r="L2540" s="117"/>
      <c r="M2540" s="67"/>
      <c r="N2540" s="33"/>
      <c r="O2540" s="70"/>
      <c r="P2540" s="34"/>
      <c r="Q2540" s="60"/>
      <c r="R2540" s="36"/>
      <c r="S2540" s="71"/>
      <c r="T2540" s="37"/>
      <c r="U2540" s="118"/>
      <c r="V2540" s="74"/>
      <c r="W2540" s="74"/>
      <c r="X2540" s="35"/>
      <c r="Y2540" s="35"/>
      <c r="Z2540" s="40"/>
      <c r="AA2540" s="34"/>
      <c r="AB2540" s="41"/>
      <c r="AC2540" s="42" t="b">
        <v>0</v>
      </c>
      <c r="AD2540" s="66"/>
      <c r="AE2540" s="42"/>
      <c r="AF2540" s="42"/>
      <c r="AG2540" s="43"/>
    </row>
    <row r="2541">
      <c r="A2541" s="23"/>
      <c r="B2541" s="101"/>
      <c r="C2541" s="115"/>
      <c r="D2541" s="115"/>
      <c r="E2541" s="85"/>
      <c r="F2541" s="138"/>
      <c r="G2541" s="101"/>
      <c r="H2541" s="105"/>
      <c r="I2541" s="105"/>
      <c r="J2541" s="44"/>
      <c r="K2541" s="116"/>
      <c r="L2541" s="117"/>
      <c r="M2541" s="67"/>
      <c r="N2541" s="33"/>
      <c r="O2541" s="70"/>
      <c r="P2541" s="34"/>
      <c r="Q2541" s="60"/>
      <c r="R2541" s="36"/>
      <c r="S2541" s="71"/>
      <c r="T2541" s="37"/>
      <c r="U2541" s="118"/>
      <c r="V2541" s="74"/>
      <c r="W2541" s="74"/>
      <c r="X2541" s="35"/>
      <c r="Y2541" s="35"/>
      <c r="Z2541" s="40"/>
      <c r="AA2541" s="34"/>
      <c r="AB2541" s="41"/>
      <c r="AC2541" s="42" t="b">
        <v>0</v>
      </c>
      <c r="AD2541" s="66"/>
      <c r="AE2541" s="42"/>
      <c r="AF2541" s="42"/>
      <c r="AG2541" s="43"/>
    </row>
    <row r="2542">
      <c r="A2542" s="23"/>
      <c r="B2542" s="101"/>
      <c r="C2542" s="115"/>
      <c r="D2542" s="115"/>
      <c r="E2542" s="85"/>
      <c r="F2542" s="138"/>
      <c r="G2542" s="101"/>
      <c r="H2542" s="105"/>
      <c r="I2542" s="105"/>
      <c r="J2542" s="44"/>
      <c r="K2542" s="116"/>
      <c r="L2542" s="117"/>
      <c r="M2542" s="67"/>
      <c r="N2542" s="33"/>
      <c r="O2542" s="70"/>
      <c r="P2542" s="34"/>
      <c r="Q2542" s="60"/>
      <c r="R2542" s="36"/>
      <c r="S2542" s="71"/>
      <c r="T2542" s="37"/>
      <c r="U2542" s="118"/>
      <c r="V2542" s="74"/>
      <c r="W2542" s="74"/>
      <c r="X2542" s="35"/>
      <c r="Y2542" s="35"/>
      <c r="Z2542" s="40"/>
      <c r="AA2542" s="34"/>
      <c r="AB2542" s="41"/>
      <c r="AC2542" s="42" t="b">
        <v>0</v>
      </c>
      <c r="AD2542" s="66"/>
      <c r="AE2542" s="42"/>
      <c r="AF2542" s="42"/>
      <c r="AG2542" s="43"/>
    </row>
    <row r="2543">
      <c r="A2543" s="23"/>
      <c r="B2543" s="101"/>
      <c r="C2543" s="115"/>
      <c r="D2543" s="115"/>
      <c r="E2543" s="85"/>
      <c r="F2543" s="138"/>
      <c r="G2543" s="101"/>
      <c r="H2543" s="105"/>
      <c r="I2543" s="105"/>
      <c r="J2543" s="44"/>
      <c r="K2543" s="116"/>
      <c r="L2543" s="117"/>
      <c r="M2543" s="67"/>
      <c r="N2543" s="33"/>
      <c r="O2543" s="70"/>
      <c r="P2543" s="34"/>
      <c r="Q2543" s="60"/>
      <c r="R2543" s="36"/>
      <c r="S2543" s="71"/>
      <c r="T2543" s="37"/>
      <c r="U2543" s="118"/>
      <c r="V2543" s="74"/>
      <c r="W2543" s="74"/>
      <c r="X2543" s="35"/>
      <c r="Y2543" s="35"/>
      <c r="Z2543" s="40"/>
      <c r="AA2543" s="34"/>
      <c r="AB2543" s="41"/>
      <c r="AC2543" s="42" t="b">
        <v>0</v>
      </c>
      <c r="AD2543" s="66"/>
      <c r="AE2543" s="42"/>
      <c r="AF2543" s="42"/>
      <c r="AG2543" s="43"/>
    </row>
    <row r="2544">
      <c r="A2544" s="23"/>
      <c r="B2544" s="101"/>
      <c r="C2544" s="115"/>
      <c r="D2544" s="115"/>
      <c r="E2544" s="85"/>
      <c r="F2544" s="138"/>
      <c r="G2544" s="101"/>
      <c r="H2544" s="105"/>
      <c r="I2544" s="105"/>
      <c r="J2544" s="44"/>
      <c r="K2544" s="116"/>
      <c r="L2544" s="117"/>
      <c r="M2544" s="67"/>
      <c r="N2544" s="33"/>
      <c r="O2544" s="70"/>
      <c r="P2544" s="34"/>
      <c r="Q2544" s="60"/>
      <c r="R2544" s="36"/>
      <c r="S2544" s="71"/>
      <c r="T2544" s="37"/>
      <c r="U2544" s="118"/>
      <c r="V2544" s="74"/>
      <c r="W2544" s="74"/>
      <c r="X2544" s="35"/>
      <c r="Y2544" s="35"/>
      <c r="Z2544" s="40"/>
      <c r="AA2544" s="34"/>
      <c r="AB2544" s="41"/>
      <c r="AC2544" s="42" t="b">
        <v>0</v>
      </c>
      <c r="AD2544" s="66"/>
      <c r="AE2544" s="42"/>
      <c r="AF2544" s="42"/>
      <c r="AG2544" s="43"/>
    </row>
    <row r="2545">
      <c r="A2545" s="23"/>
      <c r="B2545" s="101"/>
      <c r="C2545" s="115"/>
      <c r="D2545" s="115"/>
      <c r="E2545" s="85"/>
      <c r="F2545" s="138"/>
      <c r="G2545" s="101"/>
      <c r="H2545" s="105"/>
      <c r="I2545" s="105"/>
      <c r="J2545" s="44"/>
      <c r="K2545" s="116"/>
      <c r="L2545" s="117"/>
      <c r="M2545" s="67"/>
      <c r="N2545" s="33"/>
      <c r="O2545" s="70"/>
      <c r="P2545" s="34"/>
      <c r="Q2545" s="60"/>
      <c r="R2545" s="36"/>
      <c r="S2545" s="71"/>
      <c r="T2545" s="37"/>
      <c r="U2545" s="118"/>
      <c r="V2545" s="74"/>
      <c r="W2545" s="74"/>
      <c r="X2545" s="35"/>
      <c r="Y2545" s="35"/>
      <c r="Z2545" s="40"/>
      <c r="AA2545" s="34"/>
      <c r="AB2545" s="41"/>
      <c r="AC2545" s="42" t="b">
        <v>0</v>
      </c>
      <c r="AD2545" s="66"/>
      <c r="AE2545" s="42"/>
      <c r="AF2545" s="42"/>
      <c r="AG2545" s="43"/>
    </row>
    <row r="2546">
      <c r="A2546" s="23"/>
      <c r="B2546" s="101"/>
      <c r="C2546" s="115"/>
      <c r="D2546" s="115"/>
      <c r="E2546" s="85"/>
      <c r="F2546" s="138"/>
      <c r="G2546" s="101"/>
      <c r="H2546" s="105"/>
      <c r="I2546" s="105"/>
      <c r="J2546" s="44"/>
      <c r="K2546" s="116"/>
      <c r="L2546" s="117"/>
      <c r="M2546" s="67"/>
      <c r="N2546" s="33"/>
      <c r="O2546" s="70"/>
      <c r="P2546" s="34"/>
      <c r="Q2546" s="60"/>
      <c r="R2546" s="36"/>
      <c r="S2546" s="71"/>
      <c r="T2546" s="37"/>
      <c r="U2546" s="118"/>
      <c r="V2546" s="74"/>
      <c r="W2546" s="74"/>
      <c r="X2546" s="35"/>
      <c r="Y2546" s="35"/>
      <c r="Z2546" s="40"/>
      <c r="AA2546" s="34"/>
      <c r="AB2546" s="41"/>
      <c r="AC2546" s="42" t="b">
        <v>0</v>
      </c>
      <c r="AD2546" s="66"/>
      <c r="AE2546" s="42"/>
      <c r="AF2546" s="42"/>
      <c r="AG2546" s="43"/>
    </row>
    <row r="2547">
      <c r="A2547" s="23"/>
      <c r="B2547" s="101"/>
      <c r="C2547" s="115"/>
      <c r="D2547" s="115"/>
      <c r="E2547" s="85"/>
      <c r="F2547" s="138"/>
      <c r="G2547" s="101"/>
      <c r="H2547" s="105"/>
      <c r="I2547" s="105"/>
      <c r="J2547" s="44"/>
      <c r="K2547" s="116"/>
      <c r="L2547" s="117"/>
      <c r="M2547" s="67"/>
      <c r="N2547" s="33"/>
      <c r="O2547" s="70"/>
      <c r="P2547" s="34"/>
      <c r="Q2547" s="60"/>
      <c r="R2547" s="36"/>
      <c r="S2547" s="71"/>
      <c r="T2547" s="37"/>
      <c r="U2547" s="118"/>
      <c r="V2547" s="74"/>
      <c r="W2547" s="74"/>
      <c r="X2547" s="35"/>
      <c r="Y2547" s="35"/>
      <c r="Z2547" s="40"/>
      <c r="AA2547" s="34"/>
      <c r="AB2547" s="41"/>
      <c r="AC2547" s="42" t="b">
        <v>0</v>
      </c>
      <c r="AD2547" s="66"/>
      <c r="AE2547" s="42"/>
      <c r="AF2547" s="42"/>
      <c r="AG2547" s="43"/>
    </row>
    <row r="2548">
      <c r="A2548" s="23"/>
      <c r="B2548" s="101"/>
      <c r="C2548" s="115"/>
      <c r="D2548" s="115"/>
      <c r="E2548" s="85"/>
      <c r="F2548" s="138"/>
      <c r="G2548" s="101"/>
      <c r="H2548" s="105"/>
      <c r="I2548" s="105"/>
      <c r="J2548" s="44"/>
      <c r="K2548" s="116"/>
      <c r="L2548" s="117"/>
      <c r="M2548" s="67"/>
      <c r="N2548" s="33"/>
      <c r="O2548" s="70"/>
      <c r="P2548" s="34"/>
      <c r="Q2548" s="60"/>
      <c r="R2548" s="36"/>
      <c r="S2548" s="71"/>
      <c r="T2548" s="37"/>
      <c r="U2548" s="118"/>
      <c r="V2548" s="74"/>
      <c r="W2548" s="74"/>
      <c r="X2548" s="35"/>
      <c r="Y2548" s="35"/>
      <c r="Z2548" s="40"/>
      <c r="AA2548" s="34"/>
      <c r="AB2548" s="41"/>
      <c r="AC2548" s="42" t="b">
        <v>0</v>
      </c>
      <c r="AD2548" s="66"/>
      <c r="AE2548" s="42"/>
      <c r="AF2548" s="42"/>
      <c r="AG2548" s="43"/>
    </row>
    <row r="2549">
      <c r="A2549" s="23"/>
      <c r="B2549" s="101"/>
      <c r="C2549" s="115"/>
      <c r="D2549" s="115"/>
      <c r="E2549" s="85"/>
      <c r="F2549" s="138"/>
      <c r="G2549" s="101"/>
      <c r="H2549" s="105"/>
      <c r="I2549" s="105"/>
      <c r="J2549" s="44"/>
      <c r="K2549" s="116"/>
      <c r="L2549" s="117"/>
      <c r="M2549" s="67"/>
      <c r="N2549" s="33"/>
      <c r="O2549" s="70"/>
      <c r="P2549" s="34"/>
      <c r="Q2549" s="60"/>
      <c r="R2549" s="36"/>
      <c r="S2549" s="71"/>
      <c r="T2549" s="37"/>
      <c r="U2549" s="118"/>
      <c r="V2549" s="74"/>
      <c r="W2549" s="74"/>
      <c r="X2549" s="35"/>
      <c r="Y2549" s="35"/>
      <c r="Z2549" s="40"/>
      <c r="AA2549" s="34"/>
      <c r="AB2549" s="41"/>
      <c r="AC2549" s="42" t="b">
        <v>0</v>
      </c>
      <c r="AD2549" s="66"/>
      <c r="AE2549" s="42"/>
      <c r="AF2549" s="42"/>
      <c r="AG2549" s="43"/>
    </row>
    <row r="2550">
      <c r="A2550" s="23"/>
      <c r="B2550" s="101"/>
      <c r="C2550" s="115"/>
      <c r="D2550" s="115"/>
      <c r="E2550" s="85"/>
      <c r="F2550" s="138"/>
      <c r="G2550" s="101"/>
      <c r="H2550" s="105"/>
      <c r="I2550" s="105"/>
      <c r="J2550" s="44"/>
      <c r="K2550" s="116"/>
      <c r="L2550" s="117"/>
      <c r="M2550" s="67"/>
      <c r="N2550" s="33"/>
      <c r="O2550" s="70"/>
      <c r="P2550" s="34"/>
      <c r="Q2550" s="60"/>
      <c r="R2550" s="36"/>
      <c r="S2550" s="71"/>
      <c r="T2550" s="37"/>
      <c r="U2550" s="118"/>
      <c r="V2550" s="74"/>
      <c r="W2550" s="74"/>
      <c r="X2550" s="35"/>
      <c r="Y2550" s="35"/>
      <c r="Z2550" s="40"/>
      <c r="AA2550" s="34"/>
      <c r="AB2550" s="41"/>
      <c r="AC2550" s="42" t="b">
        <v>0</v>
      </c>
      <c r="AD2550" s="66"/>
      <c r="AE2550" s="42"/>
      <c r="AF2550" s="42"/>
      <c r="AG2550" s="43"/>
    </row>
    <row r="2551">
      <c r="A2551" s="23"/>
      <c r="B2551" s="101"/>
      <c r="C2551" s="115"/>
      <c r="D2551" s="115"/>
      <c r="E2551" s="85"/>
      <c r="F2551" s="138"/>
      <c r="G2551" s="101"/>
      <c r="H2551" s="105"/>
      <c r="I2551" s="105"/>
      <c r="J2551" s="44"/>
      <c r="K2551" s="116"/>
      <c r="L2551" s="117"/>
      <c r="M2551" s="67"/>
      <c r="N2551" s="33"/>
      <c r="O2551" s="70"/>
      <c r="P2551" s="34"/>
      <c r="Q2551" s="60"/>
      <c r="R2551" s="36"/>
      <c r="S2551" s="71"/>
      <c r="T2551" s="37"/>
      <c r="U2551" s="118"/>
      <c r="V2551" s="74"/>
      <c r="W2551" s="74"/>
      <c r="X2551" s="35"/>
      <c r="Y2551" s="35"/>
      <c r="Z2551" s="40"/>
      <c r="AA2551" s="34"/>
      <c r="AB2551" s="41"/>
      <c r="AC2551" s="42" t="b">
        <v>0</v>
      </c>
      <c r="AD2551" s="66"/>
      <c r="AE2551" s="42"/>
      <c r="AF2551" s="42"/>
      <c r="AG2551" s="43"/>
    </row>
    <row r="2552">
      <c r="A2552" s="23"/>
      <c r="B2552" s="101"/>
      <c r="C2552" s="115"/>
      <c r="D2552" s="115"/>
      <c r="E2552" s="85"/>
      <c r="F2552" s="138"/>
      <c r="G2552" s="101"/>
      <c r="H2552" s="105"/>
      <c r="I2552" s="105"/>
      <c r="J2552" s="44"/>
      <c r="K2552" s="116"/>
      <c r="L2552" s="117"/>
      <c r="M2552" s="67"/>
      <c r="N2552" s="33"/>
      <c r="O2552" s="70"/>
      <c r="P2552" s="34"/>
      <c r="Q2552" s="60"/>
      <c r="R2552" s="36"/>
      <c r="S2552" s="71"/>
      <c r="T2552" s="37"/>
      <c r="U2552" s="118"/>
      <c r="V2552" s="74"/>
      <c r="W2552" s="74"/>
      <c r="X2552" s="35"/>
      <c r="Y2552" s="35"/>
      <c r="Z2552" s="40"/>
      <c r="AA2552" s="34"/>
      <c r="AB2552" s="41"/>
      <c r="AC2552" s="42" t="b">
        <v>0</v>
      </c>
      <c r="AD2552" s="66"/>
      <c r="AE2552" s="42"/>
      <c r="AF2552" s="42"/>
      <c r="AG2552" s="43"/>
    </row>
    <row r="2553">
      <c r="A2553" s="23"/>
      <c r="B2553" s="101"/>
      <c r="C2553" s="115"/>
      <c r="D2553" s="115"/>
      <c r="E2553" s="85"/>
      <c r="F2553" s="138"/>
      <c r="G2553" s="101"/>
      <c r="H2553" s="105"/>
      <c r="I2553" s="105"/>
      <c r="J2553" s="44"/>
      <c r="K2553" s="116"/>
      <c r="L2553" s="117"/>
      <c r="M2553" s="67"/>
      <c r="N2553" s="33"/>
      <c r="O2553" s="70"/>
      <c r="P2553" s="34"/>
      <c r="Q2553" s="60"/>
      <c r="R2553" s="36"/>
      <c r="S2553" s="71"/>
      <c r="T2553" s="37"/>
      <c r="U2553" s="118"/>
      <c r="V2553" s="74"/>
      <c r="W2553" s="74"/>
      <c r="X2553" s="35"/>
      <c r="Y2553" s="35"/>
      <c r="Z2553" s="40"/>
      <c r="AA2553" s="34"/>
      <c r="AB2553" s="41"/>
      <c r="AC2553" s="42" t="b">
        <v>0</v>
      </c>
      <c r="AD2553" s="66"/>
      <c r="AE2553" s="42"/>
      <c r="AF2553" s="42"/>
      <c r="AG2553" s="43"/>
    </row>
    <row r="2554">
      <c r="A2554" s="23"/>
      <c r="B2554" s="101"/>
      <c r="C2554" s="115"/>
      <c r="D2554" s="115"/>
      <c r="E2554" s="85"/>
      <c r="F2554" s="138"/>
      <c r="G2554" s="101"/>
      <c r="H2554" s="105"/>
      <c r="I2554" s="105"/>
      <c r="J2554" s="44"/>
      <c r="K2554" s="116"/>
      <c r="L2554" s="117"/>
      <c r="M2554" s="67"/>
      <c r="N2554" s="33"/>
      <c r="O2554" s="70"/>
      <c r="P2554" s="34"/>
      <c r="Q2554" s="60"/>
      <c r="R2554" s="36"/>
      <c r="S2554" s="71"/>
      <c r="T2554" s="37"/>
      <c r="U2554" s="118"/>
      <c r="V2554" s="74"/>
      <c r="W2554" s="74"/>
      <c r="X2554" s="35"/>
      <c r="Y2554" s="35"/>
      <c r="Z2554" s="40"/>
      <c r="AA2554" s="34"/>
      <c r="AB2554" s="41"/>
      <c r="AC2554" s="42" t="b">
        <v>0</v>
      </c>
      <c r="AD2554" s="66"/>
      <c r="AE2554" s="42"/>
      <c r="AF2554" s="42"/>
      <c r="AG2554" s="43"/>
    </row>
    <row r="2555">
      <c r="A2555" s="23"/>
      <c r="B2555" s="101"/>
      <c r="C2555" s="115"/>
      <c r="D2555" s="115"/>
      <c r="E2555" s="85"/>
      <c r="F2555" s="138"/>
      <c r="G2555" s="101"/>
      <c r="H2555" s="105"/>
      <c r="I2555" s="105"/>
      <c r="J2555" s="44"/>
      <c r="K2555" s="116"/>
      <c r="L2555" s="117"/>
      <c r="M2555" s="67"/>
      <c r="N2555" s="33"/>
      <c r="O2555" s="70"/>
      <c r="P2555" s="34"/>
      <c r="Q2555" s="60"/>
      <c r="R2555" s="36"/>
      <c r="S2555" s="71"/>
      <c r="T2555" s="37"/>
      <c r="U2555" s="118"/>
      <c r="V2555" s="74"/>
      <c r="W2555" s="74"/>
      <c r="X2555" s="35"/>
      <c r="Y2555" s="35"/>
      <c r="Z2555" s="40"/>
      <c r="AA2555" s="34"/>
      <c r="AB2555" s="41"/>
      <c r="AC2555" s="42" t="b">
        <v>0</v>
      </c>
      <c r="AD2555" s="66"/>
      <c r="AE2555" s="42"/>
      <c r="AF2555" s="42"/>
      <c r="AG2555" s="43"/>
    </row>
    <row r="2556">
      <c r="A2556" s="23"/>
      <c r="B2556" s="101"/>
      <c r="C2556" s="115"/>
      <c r="D2556" s="115"/>
      <c r="E2556" s="85"/>
      <c r="F2556" s="138"/>
      <c r="G2556" s="101"/>
      <c r="H2556" s="105"/>
      <c r="I2556" s="105"/>
      <c r="J2556" s="44"/>
      <c r="K2556" s="116"/>
      <c r="L2556" s="117"/>
      <c r="M2556" s="67"/>
      <c r="N2556" s="33"/>
      <c r="O2556" s="70"/>
      <c r="P2556" s="34"/>
      <c r="Q2556" s="60"/>
      <c r="R2556" s="36"/>
      <c r="S2556" s="71"/>
      <c r="T2556" s="37"/>
      <c r="U2556" s="118"/>
      <c r="V2556" s="74"/>
      <c r="W2556" s="74"/>
      <c r="X2556" s="35"/>
      <c r="Y2556" s="35"/>
      <c r="Z2556" s="40"/>
      <c r="AA2556" s="34"/>
      <c r="AB2556" s="41"/>
      <c r="AC2556" s="42" t="b">
        <v>0</v>
      </c>
      <c r="AD2556" s="66"/>
      <c r="AE2556" s="42"/>
      <c r="AF2556" s="42"/>
      <c r="AG2556" s="43"/>
    </row>
    <row r="2557">
      <c r="A2557" s="23"/>
      <c r="B2557" s="101"/>
      <c r="C2557" s="115"/>
      <c r="D2557" s="115"/>
      <c r="E2557" s="85"/>
      <c r="F2557" s="138"/>
      <c r="G2557" s="101"/>
      <c r="H2557" s="105"/>
      <c r="I2557" s="105"/>
      <c r="J2557" s="44"/>
      <c r="K2557" s="116"/>
      <c r="L2557" s="117"/>
      <c r="M2557" s="67"/>
      <c r="N2557" s="33"/>
      <c r="O2557" s="70"/>
      <c r="P2557" s="34"/>
      <c r="Q2557" s="60"/>
      <c r="R2557" s="36"/>
      <c r="S2557" s="71"/>
      <c r="T2557" s="37"/>
      <c r="U2557" s="118"/>
      <c r="V2557" s="74"/>
      <c r="W2557" s="74"/>
      <c r="X2557" s="35"/>
      <c r="Y2557" s="35"/>
      <c r="Z2557" s="40"/>
      <c r="AA2557" s="34"/>
      <c r="AB2557" s="41"/>
      <c r="AC2557" s="42" t="b">
        <v>0</v>
      </c>
      <c r="AD2557" s="66"/>
      <c r="AE2557" s="42"/>
      <c r="AF2557" s="42"/>
      <c r="AG2557" s="43"/>
    </row>
    <row r="2558">
      <c r="A2558" s="23"/>
      <c r="B2558" s="101"/>
      <c r="C2558" s="115"/>
      <c r="D2558" s="115"/>
      <c r="E2558" s="85"/>
      <c r="F2558" s="138"/>
      <c r="G2558" s="101"/>
      <c r="H2558" s="105"/>
      <c r="I2558" s="105"/>
      <c r="J2558" s="44"/>
      <c r="K2558" s="116"/>
      <c r="L2558" s="117"/>
      <c r="M2558" s="67"/>
      <c r="N2558" s="33"/>
      <c r="O2558" s="70"/>
      <c r="P2558" s="34"/>
      <c r="Q2558" s="60"/>
      <c r="R2558" s="36"/>
      <c r="S2558" s="71"/>
      <c r="T2558" s="37"/>
      <c r="U2558" s="118"/>
      <c r="V2558" s="74"/>
      <c r="W2558" s="74"/>
      <c r="X2558" s="35"/>
      <c r="Y2558" s="35"/>
      <c r="Z2558" s="40"/>
      <c r="AA2558" s="34"/>
      <c r="AB2558" s="41"/>
      <c r="AC2558" s="42" t="b">
        <v>0</v>
      </c>
      <c r="AD2558" s="66"/>
      <c r="AE2558" s="42"/>
      <c r="AF2558" s="42"/>
      <c r="AG2558" s="43"/>
    </row>
    <row r="2559">
      <c r="A2559" s="23"/>
      <c r="B2559" s="101"/>
      <c r="C2559" s="115"/>
      <c r="D2559" s="115"/>
      <c r="E2559" s="85"/>
      <c r="F2559" s="138"/>
      <c r="G2559" s="101"/>
      <c r="H2559" s="105"/>
      <c r="I2559" s="105"/>
      <c r="J2559" s="44"/>
      <c r="K2559" s="116"/>
      <c r="L2559" s="117"/>
      <c r="M2559" s="67"/>
      <c r="N2559" s="33"/>
      <c r="O2559" s="70"/>
      <c r="P2559" s="34"/>
      <c r="Q2559" s="60"/>
      <c r="R2559" s="36"/>
      <c r="S2559" s="71"/>
      <c r="T2559" s="37"/>
      <c r="U2559" s="118"/>
      <c r="V2559" s="74"/>
      <c r="W2559" s="74"/>
      <c r="X2559" s="35"/>
      <c r="Y2559" s="35"/>
      <c r="Z2559" s="40"/>
      <c r="AA2559" s="34"/>
      <c r="AB2559" s="41"/>
      <c r="AC2559" s="42" t="b">
        <v>0</v>
      </c>
      <c r="AD2559" s="66"/>
      <c r="AE2559" s="42"/>
      <c r="AF2559" s="42"/>
      <c r="AG2559" s="43"/>
    </row>
    <row r="2560">
      <c r="A2560" s="23"/>
      <c r="B2560" s="101"/>
      <c r="C2560" s="115"/>
      <c r="D2560" s="115"/>
      <c r="E2560" s="85"/>
      <c r="F2560" s="138"/>
      <c r="G2560" s="101"/>
      <c r="H2560" s="105"/>
      <c r="I2560" s="105"/>
      <c r="J2560" s="44"/>
      <c r="K2560" s="116"/>
      <c r="L2560" s="117"/>
      <c r="M2560" s="67"/>
      <c r="N2560" s="33"/>
      <c r="O2560" s="70"/>
      <c r="P2560" s="34"/>
      <c r="Q2560" s="60"/>
      <c r="R2560" s="36"/>
      <c r="S2560" s="71"/>
      <c r="T2560" s="37"/>
      <c r="U2560" s="118"/>
      <c r="V2560" s="74"/>
      <c r="W2560" s="74"/>
      <c r="X2560" s="35"/>
      <c r="Y2560" s="35"/>
      <c r="Z2560" s="40"/>
      <c r="AA2560" s="34"/>
      <c r="AB2560" s="41"/>
      <c r="AC2560" s="42" t="b">
        <v>0</v>
      </c>
      <c r="AD2560" s="66"/>
      <c r="AE2560" s="42"/>
      <c r="AF2560" s="42"/>
      <c r="AG2560" s="43"/>
    </row>
    <row r="2561">
      <c r="A2561" s="23"/>
      <c r="B2561" s="101"/>
      <c r="C2561" s="115"/>
      <c r="D2561" s="115"/>
      <c r="E2561" s="85"/>
      <c r="F2561" s="138"/>
      <c r="G2561" s="101"/>
      <c r="H2561" s="105"/>
      <c r="I2561" s="105"/>
      <c r="J2561" s="44"/>
      <c r="K2561" s="116"/>
      <c r="L2561" s="117"/>
      <c r="M2561" s="67"/>
      <c r="N2561" s="33"/>
      <c r="O2561" s="70"/>
      <c r="P2561" s="34"/>
      <c r="Q2561" s="60"/>
      <c r="R2561" s="36"/>
      <c r="S2561" s="71"/>
      <c r="T2561" s="37"/>
      <c r="U2561" s="118"/>
      <c r="V2561" s="74"/>
      <c r="W2561" s="74"/>
      <c r="X2561" s="35"/>
      <c r="Y2561" s="35"/>
      <c r="Z2561" s="40"/>
      <c r="AA2561" s="34"/>
      <c r="AB2561" s="41"/>
      <c r="AC2561" s="42" t="b">
        <v>0</v>
      </c>
      <c r="AD2561" s="66"/>
      <c r="AE2561" s="42"/>
      <c r="AF2561" s="42"/>
      <c r="AG2561" s="43"/>
    </row>
    <row r="2562">
      <c r="A2562" s="23"/>
      <c r="B2562" s="101"/>
      <c r="C2562" s="115"/>
      <c r="D2562" s="115"/>
      <c r="E2562" s="85"/>
      <c r="F2562" s="138"/>
      <c r="G2562" s="101"/>
      <c r="H2562" s="105"/>
      <c r="I2562" s="105"/>
      <c r="J2562" s="44"/>
      <c r="K2562" s="116"/>
      <c r="L2562" s="117"/>
      <c r="M2562" s="67"/>
      <c r="N2562" s="33"/>
      <c r="O2562" s="70"/>
      <c r="P2562" s="34"/>
      <c r="Q2562" s="60"/>
      <c r="R2562" s="36"/>
      <c r="S2562" s="71"/>
      <c r="T2562" s="37"/>
      <c r="U2562" s="118"/>
      <c r="V2562" s="74"/>
      <c r="W2562" s="74"/>
      <c r="X2562" s="35"/>
      <c r="Y2562" s="35"/>
      <c r="Z2562" s="40"/>
      <c r="AA2562" s="34"/>
      <c r="AB2562" s="41"/>
      <c r="AC2562" s="42" t="b">
        <v>0</v>
      </c>
      <c r="AD2562" s="66"/>
      <c r="AE2562" s="42"/>
      <c r="AF2562" s="42"/>
      <c r="AG2562" s="43"/>
    </row>
    <row r="2563">
      <c r="A2563" s="23"/>
      <c r="B2563" s="101"/>
      <c r="C2563" s="115"/>
      <c r="D2563" s="115"/>
      <c r="E2563" s="85"/>
      <c r="F2563" s="138"/>
      <c r="G2563" s="101"/>
      <c r="H2563" s="105"/>
      <c r="I2563" s="105"/>
      <c r="J2563" s="44"/>
      <c r="K2563" s="116"/>
      <c r="L2563" s="117"/>
      <c r="M2563" s="67"/>
      <c r="N2563" s="33"/>
      <c r="O2563" s="70"/>
      <c r="P2563" s="34"/>
      <c r="Q2563" s="60"/>
      <c r="R2563" s="36"/>
      <c r="S2563" s="71"/>
      <c r="T2563" s="37"/>
      <c r="U2563" s="118"/>
      <c r="V2563" s="74"/>
      <c r="W2563" s="74"/>
      <c r="X2563" s="35"/>
      <c r="Y2563" s="35"/>
      <c r="Z2563" s="40"/>
      <c r="AA2563" s="34"/>
      <c r="AB2563" s="41"/>
      <c r="AC2563" s="42" t="b">
        <v>0</v>
      </c>
      <c r="AD2563" s="66"/>
      <c r="AE2563" s="42"/>
      <c r="AF2563" s="42"/>
      <c r="AG2563" s="43"/>
    </row>
    <row r="2564">
      <c r="A2564" s="23"/>
      <c r="B2564" s="101"/>
      <c r="C2564" s="115"/>
      <c r="D2564" s="115"/>
      <c r="E2564" s="85"/>
      <c r="F2564" s="138"/>
      <c r="G2564" s="101"/>
      <c r="H2564" s="105"/>
      <c r="I2564" s="105"/>
      <c r="J2564" s="44"/>
      <c r="K2564" s="116"/>
      <c r="L2564" s="117"/>
      <c r="M2564" s="67"/>
      <c r="N2564" s="33"/>
      <c r="O2564" s="70"/>
      <c r="P2564" s="34"/>
      <c r="Q2564" s="60"/>
      <c r="R2564" s="36"/>
      <c r="S2564" s="71"/>
      <c r="T2564" s="37"/>
      <c r="U2564" s="118"/>
      <c r="V2564" s="74"/>
      <c r="W2564" s="74"/>
      <c r="X2564" s="35"/>
      <c r="Y2564" s="35"/>
      <c r="Z2564" s="40"/>
      <c r="AA2564" s="34"/>
      <c r="AB2564" s="41"/>
      <c r="AC2564" s="42" t="b">
        <v>0</v>
      </c>
      <c r="AD2564" s="66"/>
      <c r="AE2564" s="42"/>
      <c r="AF2564" s="42"/>
      <c r="AG2564" s="43"/>
    </row>
    <row r="2565">
      <c r="A2565" s="23"/>
      <c r="B2565" s="101"/>
      <c r="C2565" s="115"/>
      <c r="D2565" s="115"/>
      <c r="E2565" s="85"/>
      <c r="F2565" s="138"/>
      <c r="G2565" s="101"/>
      <c r="H2565" s="105"/>
      <c r="I2565" s="105"/>
      <c r="J2565" s="44"/>
      <c r="K2565" s="116"/>
      <c r="L2565" s="117"/>
      <c r="M2565" s="67"/>
      <c r="N2565" s="33"/>
      <c r="O2565" s="70"/>
      <c r="P2565" s="34"/>
      <c r="Q2565" s="60"/>
      <c r="R2565" s="36"/>
      <c r="S2565" s="71"/>
      <c r="T2565" s="37"/>
      <c r="U2565" s="118"/>
      <c r="V2565" s="74"/>
      <c r="W2565" s="74"/>
      <c r="X2565" s="35"/>
      <c r="Y2565" s="35"/>
      <c r="Z2565" s="40"/>
      <c r="AA2565" s="34"/>
      <c r="AB2565" s="41"/>
      <c r="AC2565" s="42" t="b">
        <v>0</v>
      </c>
      <c r="AD2565" s="66"/>
      <c r="AE2565" s="42"/>
      <c r="AF2565" s="42"/>
      <c r="AG2565" s="43"/>
    </row>
    <row r="2566">
      <c r="A2566" s="23"/>
      <c r="B2566" s="101"/>
      <c r="C2566" s="115"/>
      <c r="D2566" s="115"/>
      <c r="E2566" s="85"/>
      <c r="F2566" s="138"/>
      <c r="G2566" s="101"/>
      <c r="H2566" s="105"/>
      <c r="I2566" s="105"/>
      <c r="J2566" s="44"/>
      <c r="K2566" s="116"/>
      <c r="L2566" s="117"/>
      <c r="M2566" s="67"/>
      <c r="N2566" s="33"/>
      <c r="O2566" s="70"/>
      <c r="P2566" s="34"/>
      <c r="Q2566" s="60"/>
      <c r="R2566" s="36"/>
      <c r="S2566" s="71"/>
      <c r="T2566" s="37"/>
      <c r="U2566" s="118"/>
      <c r="V2566" s="74"/>
      <c r="W2566" s="74"/>
      <c r="X2566" s="35"/>
      <c r="Y2566" s="35"/>
      <c r="Z2566" s="40"/>
      <c r="AA2566" s="34"/>
      <c r="AB2566" s="41"/>
      <c r="AC2566" s="42" t="b">
        <v>0</v>
      </c>
      <c r="AD2566" s="66"/>
      <c r="AE2566" s="42"/>
      <c r="AF2566" s="42"/>
      <c r="AG2566" s="43"/>
    </row>
    <row r="2567">
      <c r="A2567" s="23"/>
      <c r="B2567" s="101"/>
      <c r="C2567" s="115"/>
      <c r="D2567" s="115"/>
      <c r="E2567" s="85"/>
      <c r="F2567" s="138"/>
      <c r="G2567" s="101"/>
      <c r="H2567" s="105"/>
      <c r="I2567" s="105"/>
      <c r="J2567" s="44"/>
      <c r="K2567" s="116"/>
      <c r="L2567" s="117"/>
      <c r="M2567" s="67"/>
      <c r="N2567" s="33"/>
      <c r="O2567" s="70"/>
      <c r="P2567" s="34"/>
      <c r="Q2567" s="60"/>
      <c r="R2567" s="36"/>
      <c r="S2567" s="71"/>
      <c r="T2567" s="37"/>
      <c r="U2567" s="118"/>
      <c r="V2567" s="74"/>
      <c r="W2567" s="74"/>
      <c r="X2567" s="35"/>
      <c r="Y2567" s="35"/>
      <c r="Z2567" s="40"/>
      <c r="AA2567" s="34"/>
      <c r="AB2567" s="41"/>
      <c r="AC2567" s="42" t="b">
        <v>0</v>
      </c>
      <c r="AD2567" s="66"/>
      <c r="AE2567" s="42"/>
      <c r="AF2567" s="42"/>
      <c r="AG2567" s="43"/>
    </row>
    <row r="2568">
      <c r="A2568" s="23"/>
      <c r="B2568" s="101"/>
      <c r="C2568" s="115"/>
      <c r="D2568" s="115"/>
      <c r="E2568" s="85"/>
      <c r="F2568" s="138"/>
      <c r="G2568" s="101"/>
      <c r="H2568" s="105"/>
      <c r="I2568" s="105"/>
      <c r="J2568" s="44"/>
      <c r="K2568" s="116"/>
      <c r="L2568" s="117"/>
      <c r="M2568" s="67"/>
      <c r="N2568" s="33"/>
      <c r="O2568" s="70"/>
      <c r="P2568" s="34"/>
      <c r="Q2568" s="60"/>
      <c r="R2568" s="36"/>
      <c r="S2568" s="71"/>
      <c r="T2568" s="37"/>
      <c r="U2568" s="118"/>
      <c r="V2568" s="74"/>
      <c r="W2568" s="74"/>
      <c r="X2568" s="35"/>
      <c r="Y2568" s="35"/>
      <c r="Z2568" s="40"/>
      <c r="AA2568" s="34"/>
      <c r="AB2568" s="41"/>
      <c r="AC2568" s="42" t="b">
        <v>0</v>
      </c>
      <c r="AD2568" s="66"/>
      <c r="AE2568" s="42"/>
      <c r="AF2568" s="42"/>
      <c r="AG2568" s="43"/>
    </row>
    <row r="2569">
      <c r="A2569" s="23"/>
      <c r="B2569" s="101"/>
      <c r="C2569" s="115"/>
      <c r="D2569" s="115"/>
      <c r="E2569" s="85"/>
      <c r="F2569" s="138"/>
      <c r="G2569" s="101"/>
      <c r="H2569" s="105"/>
      <c r="I2569" s="105"/>
      <c r="J2569" s="44"/>
      <c r="K2569" s="116"/>
      <c r="L2569" s="117"/>
      <c r="M2569" s="67"/>
      <c r="N2569" s="33"/>
      <c r="O2569" s="70"/>
      <c r="P2569" s="34"/>
      <c r="Q2569" s="60"/>
      <c r="R2569" s="36"/>
      <c r="S2569" s="71"/>
      <c r="T2569" s="37"/>
      <c r="U2569" s="118"/>
      <c r="V2569" s="74"/>
      <c r="W2569" s="74"/>
      <c r="X2569" s="35"/>
      <c r="Y2569" s="35"/>
      <c r="Z2569" s="40"/>
      <c r="AA2569" s="34"/>
      <c r="AB2569" s="41"/>
      <c r="AC2569" s="42" t="b">
        <v>0</v>
      </c>
      <c r="AD2569" s="66"/>
      <c r="AE2569" s="42"/>
      <c r="AF2569" s="42"/>
      <c r="AG2569" s="43"/>
    </row>
    <row r="2570">
      <c r="A2570" s="23"/>
      <c r="B2570" s="101"/>
      <c r="C2570" s="115"/>
      <c r="D2570" s="115"/>
      <c r="E2570" s="85"/>
      <c r="F2570" s="138"/>
      <c r="G2570" s="101"/>
      <c r="H2570" s="105"/>
      <c r="I2570" s="105"/>
      <c r="J2570" s="44"/>
      <c r="K2570" s="116"/>
      <c r="L2570" s="117"/>
      <c r="M2570" s="67"/>
      <c r="N2570" s="33"/>
      <c r="O2570" s="70"/>
      <c r="P2570" s="34"/>
      <c r="Q2570" s="60"/>
      <c r="R2570" s="36"/>
      <c r="S2570" s="71"/>
      <c r="T2570" s="37"/>
      <c r="U2570" s="118"/>
      <c r="V2570" s="74"/>
      <c r="W2570" s="74"/>
      <c r="X2570" s="35"/>
      <c r="Y2570" s="35"/>
      <c r="Z2570" s="40"/>
      <c r="AA2570" s="34"/>
      <c r="AB2570" s="41"/>
      <c r="AC2570" s="42" t="b">
        <v>0</v>
      </c>
      <c r="AD2570" s="66"/>
      <c r="AE2570" s="42"/>
      <c r="AF2570" s="42"/>
      <c r="AG2570" s="43"/>
    </row>
    <row r="2571">
      <c r="A2571" s="23"/>
      <c r="B2571" s="101"/>
      <c r="C2571" s="115"/>
      <c r="D2571" s="115"/>
      <c r="E2571" s="85"/>
      <c r="F2571" s="138"/>
      <c r="G2571" s="101"/>
      <c r="H2571" s="105"/>
      <c r="I2571" s="105"/>
      <c r="J2571" s="44"/>
      <c r="K2571" s="116"/>
      <c r="L2571" s="117"/>
      <c r="M2571" s="67"/>
      <c r="N2571" s="33"/>
      <c r="O2571" s="70"/>
      <c r="P2571" s="34"/>
      <c r="Q2571" s="60"/>
      <c r="R2571" s="36"/>
      <c r="S2571" s="71"/>
      <c r="T2571" s="37"/>
      <c r="U2571" s="118"/>
      <c r="V2571" s="74"/>
      <c r="W2571" s="74"/>
      <c r="X2571" s="35"/>
      <c r="Y2571" s="35"/>
      <c r="Z2571" s="40"/>
      <c r="AA2571" s="34"/>
      <c r="AB2571" s="41"/>
      <c r="AC2571" s="42" t="b">
        <v>0</v>
      </c>
      <c r="AD2571" s="66"/>
      <c r="AE2571" s="42"/>
      <c r="AF2571" s="42"/>
      <c r="AG2571" s="43"/>
    </row>
    <row r="2572">
      <c r="A2572" s="23"/>
      <c r="B2572" s="101"/>
      <c r="C2572" s="115"/>
      <c r="D2572" s="115"/>
      <c r="E2572" s="85"/>
      <c r="F2572" s="138"/>
      <c r="G2572" s="101"/>
      <c r="H2572" s="105"/>
      <c r="I2572" s="105"/>
      <c r="J2572" s="44"/>
      <c r="K2572" s="116"/>
      <c r="L2572" s="117"/>
      <c r="M2572" s="67"/>
      <c r="N2572" s="33"/>
      <c r="O2572" s="70"/>
      <c r="P2572" s="34"/>
      <c r="Q2572" s="60"/>
      <c r="R2572" s="36"/>
      <c r="S2572" s="71"/>
      <c r="T2572" s="37"/>
      <c r="U2572" s="118"/>
      <c r="V2572" s="74"/>
      <c r="W2572" s="74"/>
      <c r="X2572" s="35"/>
      <c r="Y2572" s="35"/>
      <c r="Z2572" s="40"/>
      <c r="AA2572" s="34"/>
      <c r="AB2572" s="41"/>
      <c r="AC2572" s="42" t="b">
        <v>0</v>
      </c>
      <c r="AD2572" s="66"/>
      <c r="AE2572" s="42"/>
      <c r="AF2572" s="42"/>
      <c r="AG2572" s="43"/>
    </row>
    <row r="2573">
      <c r="A2573" s="23"/>
      <c r="B2573" s="101"/>
      <c r="C2573" s="115"/>
      <c r="D2573" s="115"/>
      <c r="E2573" s="85"/>
      <c r="F2573" s="138"/>
      <c r="G2573" s="101"/>
      <c r="H2573" s="105"/>
      <c r="I2573" s="105"/>
      <c r="J2573" s="44"/>
      <c r="K2573" s="116"/>
      <c r="L2573" s="117"/>
      <c r="M2573" s="67"/>
      <c r="N2573" s="33"/>
      <c r="O2573" s="70"/>
      <c r="P2573" s="34"/>
      <c r="Q2573" s="60"/>
      <c r="R2573" s="36"/>
      <c r="S2573" s="71"/>
      <c r="T2573" s="37"/>
      <c r="U2573" s="118"/>
      <c r="V2573" s="74"/>
      <c r="W2573" s="74"/>
      <c r="X2573" s="35"/>
      <c r="Y2573" s="35"/>
      <c r="Z2573" s="40"/>
      <c r="AA2573" s="34"/>
      <c r="AB2573" s="41"/>
      <c r="AC2573" s="42" t="b">
        <v>0</v>
      </c>
      <c r="AD2573" s="66"/>
      <c r="AE2573" s="42"/>
      <c r="AF2573" s="42"/>
      <c r="AG2573" s="43"/>
    </row>
    <row r="2574">
      <c r="A2574" s="23"/>
      <c r="B2574" s="101"/>
      <c r="C2574" s="115"/>
      <c r="D2574" s="115"/>
      <c r="E2574" s="85"/>
      <c r="F2574" s="138"/>
      <c r="G2574" s="101"/>
      <c r="H2574" s="105"/>
      <c r="I2574" s="105"/>
      <c r="J2574" s="44"/>
      <c r="K2574" s="116"/>
      <c r="L2574" s="117"/>
      <c r="M2574" s="67"/>
      <c r="N2574" s="33"/>
      <c r="O2574" s="70"/>
      <c r="P2574" s="34"/>
      <c r="Q2574" s="60"/>
      <c r="R2574" s="36"/>
      <c r="S2574" s="71"/>
      <c r="T2574" s="37"/>
      <c r="U2574" s="118"/>
      <c r="V2574" s="74"/>
      <c r="W2574" s="74"/>
      <c r="X2574" s="35"/>
      <c r="Y2574" s="35"/>
      <c r="Z2574" s="40"/>
      <c r="AA2574" s="34"/>
      <c r="AB2574" s="41"/>
      <c r="AC2574" s="42" t="b">
        <v>0</v>
      </c>
      <c r="AD2574" s="66"/>
      <c r="AE2574" s="42"/>
      <c r="AF2574" s="42"/>
      <c r="AG2574" s="43"/>
    </row>
    <row r="2575">
      <c r="A2575" s="23"/>
      <c r="B2575" s="101"/>
      <c r="C2575" s="115"/>
      <c r="D2575" s="115"/>
      <c r="E2575" s="85"/>
      <c r="F2575" s="138"/>
      <c r="G2575" s="101"/>
      <c r="H2575" s="105"/>
      <c r="I2575" s="105"/>
      <c r="J2575" s="44"/>
      <c r="K2575" s="116"/>
      <c r="L2575" s="117"/>
      <c r="M2575" s="67"/>
      <c r="N2575" s="33"/>
      <c r="O2575" s="70"/>
      <c r="P2575" s="34"/>
      <c r="Q2575" s="60"/>
      <c r="R2575" s="36"/>
      <c r="S2575" s="71"/>
      <c r="T2575" s="37"/>
      <c r="U2575" s="118"/>
      <c r="V2575" s="74"/>
      <c r="W2575" s="74"/>
      <c r="X2575" s="35"/>
      <c r="Y2575" s="35"/>
      <c r="Z2575" s="40"/>
      <c r="AA2575" s="34"/>
      <c r="AB2575" s="41"/>
      <c r="AC2575" s="42" t="b">
        <v>0</v>
      </c>
      <c r="AD2575" s="66"/>
      <c r="AE2575" s="42"/>
      <c r="AF2575" s="42"/>
      <c r="AG2575" s="43"/>
    </row>
    <row r="2576">
      <c r="A2576" s="23"/>
      <c r="B2576" s="101"/>
      <c r="C2576" s="115"/>
      <c r="D2576" s="115"/>
      <c r="E2576" s="85"/>
      <c r="F2576" s="138"/>
      <c r="G2576" s="101"/>
      <c r="H2576" s="105"/>
      <c r="I2576" s="105"/>
      <c r="J2576" s="44"/>
      <c r="K2576" s="116"/>
      <c r="L2576" s="117"/>
      <c r="M2576" s="67"/>
      <c r="N2576" s="33"/>
      <c r="O2576" s="70"/>
      <c r="P2576" s="34"/>
      <c r="Q2576" s="60"/>
      <c r="R2576" s="36"/>
      <c r="S2576" s="71"/>
      <c r="T2576" s="37"/>
      <c r="U2576" s="118"/>
      <c r="V2576" s="74"/>
      <c r="W2576" s="74"/>
      <c r="X2576" s="35"/>
      <c r="Y2576" s="35"/>
      <c r="Z2576" s="40"/>
      <c r="AA2576" s="34"/>
      <c r="AB2576" s="41"/>
      <c r="AC2576" s="42" t="b">
        <v>0</v>
      </c>
      <c r="AD2576" s="66"/>
      <c r="AE2576" s="42"/>
      <c r="AF2576" s="42"/>
      <c r="AG2576" s="43"/>
    </row>
    <row r="2577">
      <c r="A2577" s="23"/>
      <c r="B2577" s="101"/>
      <c r="C2577" s="115"/>
      <c r="D2577" s="115"/>
      <c r="E2577" s="85"/>
      <c r="F2577" s="138"/>
      <c r="G2577" s="101"/>
      <c r="H2577" s="105"/>
      <c r="I2577" s="105"/>
      <c r="J2577" s="44"/>
      <c r="K2577" s="116"/>
      <c r="L2577" s="117"/>
      <c r="M2577" s="67"/>
      <c r="N2577" s="33"/>
      <c r="O2577" s="70"/>
      <c r="P2577" s="34"/>
      <c r="Q2577" s="60"/>
      <c r="R2577" s="36"/>
      <c r="S2577" s="71"/>
      <c r="T2577" s="37"/>
      <c r="U2577" s="118"/>
      <c r="V2577" s="74"/>
      <c r="W2577" s="74"/>
      <c r="X2577" s="35"/>
      <c r="Y2577" s="35"/>
      <c r="Z2577" s="40"/>
      <c r="AA2577" s="34"/>
      <c r="AB2577" s="41"/>
      <c r="AC2577" s="42" t="b">
        <v>0</v>
      </c>
      <c r="AD2577" s="66"/>
      <c r="AE2577" s="42"/>
      <c r="AF2577" s="42"/>
      <c r="AG2577" s="43"/>
    </row>
    <row r="2578">
      <c r="A2578" s="23"/>
      <c r="B2578" s="101"/>
      <c r="C2578" s="115"/>
      <c r="D2578" s="115"/>
      <c r="E2578" s="85"/>
      <c r="F2578" s="138"/>
      <c r="G2578" s="101"/>
      <c r="H2578" s="105"/>
      <c r="I2578" s="105"/>
      <c r="J2578" s="44"/>
      <c r="K2578" s="116"/>
      <c r="L2578" s="117"/>
      <c r="M2578" s="67"/>
      <c r="N2578" s="33"/>
      <c r="O2578" s="70"/>
      <c r="P2578" s="34"/>
      <c r="Q2578" s="60"/>
      <c r="R2578" s="36"/>
      <c r="S2578" s="71"/>
      <c r="T2578" s="37"/>
      <c r="U2578" s="118"/>
      <c r="V2578" s="74"/>
      <c r="W2578" s="74"/>
      <c r="X2578" s="35"/>
      <c r="Y2578" s="35"/>
      <c r="Z2578" s="40"/>
      <c r="AA2578" s="34"/>
      <c r="AB2578" s="41"/>
      <c r="AC2578" s="42" t="b">
        <v>0</v>
      </c>
      <c r="AD2578" s="66"/>
      <c r="AE2578" s="42"/>
      <c r="AF2578" s="42"/>
      <c r="AG2578" s="43"/>
    </row>
    <row r="2579">
      <c r="A2579" s="23"/>
      <c r="B2579" s="101"/>
      <c r="C2579" s="115"/>
      <c r="D2579" s="115"/>
      <c r="E2579" s="85"/>
      <c r="F2579" s="138"/>
      <c r="G2579" s="101"/>
      <c r="H2579" s="105"/>
      <c r="I2579" s="105"/>
      <c r="J2579" s="44"/>
      <c r="K2579" s="116"/>
      <c r="L2579" s="117"/>
      <c r="M2579" s="67"/>
      <c r="N2579" s="33"/>
      <c r="O2579" s="70"/>
      <c r="P2579" s="34"/>
      <c r="Q2579" s="60"/>
      <c r="R2579" s="36"/>
      <c r="S2579" s="71"/>
      <c r="T2579" s="37"/>
      <c r="U2579" s="118"/>
      <c r="V2579" s="74"/>
      <c r="W2579" s="74"/>
      <c r="X2579" s="35"/>
      <c r="Y2579" s="35"/>
      <c r="Z2579" s="40"/>
      <c r="AA2579" s="34"/>
      <c r="AB2579" s="41"/>
      <c r="AC2579" s="42" t="b">
        <v>0</v>
      </c>
      <c r="AD2579" s="66"/>
      <c r="AE2579" s="42"/>
      <c r="AF2579" s="42"/>
      <c r="AG2579" s="43"/>
    </row>
    <row r="2580">
      <c r="A2580" s="23"/>
      <c r="B2580" s="101"/>
      <c r="C2580" s="115"/>
      <c r="D2580" s="115"/>
      <c r="E2580" s="85"/>
      <c r="F2580" s="138"/>
      <c r="G2580" s="101"/>
      <c r="H2580" s="105"/>
      <c r="I2580" s="105"/>
      <c r="J2580" s="44"/>
      <c r="K2580" s="116"/>
      <c r="L2580" s="117"/>
      <c r="M2580" s="67"/>
      <c r="N2580" s="33"/>
      <c r="O2580" s="70"/>
      <c r="P2580" s="34"/>
      <c r="Q2580" s="60"/>
      <c r="R2580" s="36"/>
      <c r="S2580" s="71"/>
      <c r="T2580" s="37"/>
      <c r="U2580" s="118"/>
      <c r="V2580" s="74"/>
      <c r="W2580" s="74"/>
      <c r="X2580" s="35"/>
      <c r="Y2580" s="35"/>
      <c r="Z2580" s="40"/>
      <c r="AA2580" s="34"/>
      <c r="AB2580" s="41"/>
      <c r="AC2580" s="42" t="b">
        <v>0</v>
      </c>
      <c r="AD2580" s="66"/>
      <c r="AE2580" s="42"/>
      <c r="AF2580" s="42"/>
      <c r="AG2580" s="43"/>
    </row>
    <row r="2581">
      <c r="A2581" s="23"/>
      <c r="B2581" s="101"/>
      <c r="C2581" s="115"/>
      <c r="D2581" s="115"/>
      <c r="E2581" s="85"/>
      <c r="F2581" s="138"/>
      <c r="G2581" s="101"/>
      <c r="H2581" s="105"/>
      <c r="I2581" s="105"/>
      <c r="J2581" s="44"/>
      <c r="K2581" s="116"/>
      <c r="L2581" s="117"/>
      <c r="M2581" s="67"/>
      <c r="N2581" s="33"/>
      <c r="O2581" s="70"/>
      <c r="P2581" s="34"/>
      <c r="Q2581" s="60"/>
      <c r="R2581" s="36"/>
      <c r="S2581" s="71"/>
      <c r="T2581" s="37"/>
      <c r="U2581" s="118"/>
      <c r="V2581" s="74"/>
      <c r="W2581" s="74"/>
      <c r="X2581" s="35"/>
      <c r="Y2581" s="35"/>
      <c r="Z2581" s="40"/>
      <c r="AA2581" s="34"/>
      <c r="AB2581" s="41"/>
      <c r="AC2581" s="42" t="b">
        <v>0</v>
      </c>
      <c r="AD2581" s="66"/>
      <c r="AE2581" s="42"/>
      <c r="AF2581" s="42"/>
      <c r="AG2581" s="43"/>
    </row>
    <row r="2582">
      <c r="A2582" s="23"/>
      <c r="B2582" s="101"/>
      <c r="C2582" s="115"/>
      <c r="D2582" s="115"/>
      <c r="E2582" s="85"/>
      <c r="F2582" s="138"/>
      <c r="G2582" s="101"/>
      <c r="H2582" s="105"/>
      <c r="I2582" s="105"/>
      <c r="J2582" s="44"/>
      <c r="K2582" s="116"/>
      <c r="L2582" s="117"/>
      <c r="M2582" s="67"/>
      <c r="N2582" s="33"/>
      <c r="O2582" s="70"/>
      <c r="P2582" s="34"/>
      <c r="Q2582" s="60"/>
      <c r="R2582" s="36"/>
      <c r="S2582" s="71"/>
      <c r="T2582" s="37"/>
      <c r="U2582" s="118"/>
      <c r="V2582" s="74"/>
      <c r="W2582" s="74"/>
      <c r="X2582" s="35"/>
      <c r="Y2582" s="35"/>
      <c r="Z2582" s="40"/>
      <c r="AA2582" s="34"/>
      <c r="AB2582" s="41"/>
      <c r="AC2582" s="42" t="b">
        <v>0</v>
      </c>
      <c r="AD2582" s="66"/>
      <c r="AE2582" s="42"/>
      <c r="AF2582" s="42"/>
      <c r="AG2582" s="43"/>
    </row>
    <row r="2583">
      <c r="A2583" s="23"/>
      <c r="B2583" s="101"/>
      <c r="C2583" s="115"/>
      <c r="D2583" s="115"/>
      <c r="E2583" s="85"/>
      <c r="F2583" s="138"/>
      <c r="G2583" s="101"/>
      <c r="H2583" s="105"/>
      <c r="I2583" s="105"/>
      <c r="J2583" s="44"/>
      <c r="K2583" s="116"/>
      <c r="L2583" s="117"/>
      <c r="M2583" s="67"/>
      <c r="N2583" s="33"/>
      <c r="O2583" s="70"/>
      <c r="P2583" s="34"/>
      <c r="Q2583" s="60"/>
      <c r="R2583" s="36"/>
      <c r="S2583" s="71"/>
      <c r="T2583" s="37"/>
      <c r="U2583" s="118"/>
      <c r="V2583" s="74"/>
      <c r="W2583" s="74"/>
      <c r="X2583" s="35"/>
      <c r="Y2583" s="35"/>
      <c r="Z2583" s="40"/>
      <c r="AA2583" s="34"/>
      <c r="AB2583" s="41"/>
      <c r="AC2583" s="42" t="b">
        <v>0</v>
      </c>
      <c r="AD2583" s="66"/>
      <c r="AE2583" s="42"/>
      <c r="AF2583" s="42"/>
      <c r="AG2583" s="43"/>
    </row>
    <row r="2584">
      <c r="A2584" s="23"/>
      <c r="B2584" s="101"/>
      <c r="C2584" s="115"/>
      <c r="D2584" s="115"/>
      <c r="E2584" s="85"/>
      <c r="F2584" s="138"/>
      <c r="G2584" s="101"/>
      <c r="H2584" s="105"/>
      <c r="I2584" s="105"/>
      <c r="J2584" s="44"/>
      <c r="K2584" s="116"/>
      <c r="L2584" s="117"/>
      <c r="M2584" s="67"/>
      <c r="N2584" s="33"/>
      <c r="O2584" s="70"/>
      <c r="P2584" s="34"/>
      <c r="Q2584" s="60"/>
      <c r="R2584" s="36"/>
      <c r="S2584" s="71"/>
      <c r="T2584" s="37"/>
      <c r="U2584" s="118"/>
      <c r="V2584" s="74"/>
      <c r="W2584" s="74"/>
      <c r="X2584" s="35"/>
      <c r="Y2584" s="35"/>
      <c r="Z2584" s="40"/>
      <c r="AA2584" s="34"/>
      <c r="AB2584" s="41"/>
      <c r="AC2584" s="42" t="b">
        <v>0</v>
      </c>
      <c r="AD2584" s="66"/>
      <c r="AE2584" s="42"/>
      <c r="AF2584" s="42"/>
      <c r="AG2584" s="43"/>
    </row>
    <row r="2585">
      <c r="A2585" s="23"/>
      <c r="B2585" s="101"/>
      <c r="C2585" s="115"/>
      <c r="D2585" s="115"/>
      <c r="E2585" s="85"/>
      <c r="F2585" s="138"/>
      <c r="G2585" s="101"/>
      <c r="H2585" s="105"/>
      <c r="I2585" s="105"/>
      <c r="J2585" s="44"/>
      <c r="K2585" s="116"/>
      <c r="L2585" s="117"/>
      <c r="M2585" s="67"/>
      <c r="N2585" s="33"/>
      <c r="O2585" s="70"/>
      <c r="P2585" s="34"/>
      <c r="Q2585" s="60"/>
      <c r="R2585" s="36"/>
      <c r="S2585" s="71"/>
      <c r="T2585" s="37"/>
      <c r="U2585" s="118"/>
      <c r="V2585" s="74"/>
      <c r="W2585" s="74"/>
      <c r="X2585" s="35"/>
      <c r="Y2585" s="35"/>
      <c r="Z2585" s="40"/>
      <c r="AA2585" s="34"/>
      <c r="AB2585" s="41"/>
      <c r="AC2585" s="42" t="b">
        <v>0</v>
      </c>
      <c r="AD2585" s="66"/>
      <c r="AE2585" s="42"/>
      <c r="AF2585" s="42"/>
      <c r="AG2585" s="43"/>
    </row>
    <row r="2586">
      <c r="A2586" s="23"/>
      <c r="B2586" s="101"/>
      <c r="C2586" s="115"/>
      <c r="D2586" s="115"/>
      <c r="E2586" s="85"/>
      <c r="F2586" s="138"/>
      <c r="G2586" s="101"/>
      <c r="H2586" s="105"/>
      <c r="I2586" s="105"/>
      <c r="J2586" s="44"/>
      <c r="K2586" s="116"/>
      <c r="L2586" s="117"/>
      <c r="M2586" s="67"/>
      <c r="N2586" s="33"/>
      <c r="O2586" s="70"/>
      <c r="P2586" s="34"/>
      <c r="Q2586" s="60"/>
      <c r="R2586" s="36"/>
      <c r="S2586" s="71"/>
      <c r="T2586" s="37"/>
      <c r="U2586" s="118"/>
      <c r="V2586" s="74"/>
      <c r="W2586" s="74"/>
      <c r="X2586" s="35"/>
      <c r="Y2586" s="35"/>
      <c r="Z2586" s="40"/>
      <c r="AA2586" s="34"/>
      <c r="AB2586" s="41"/>
      <c r="AC2586" s="42" t="b">
        <v>0</v>
      </c>
      <c r="AD2586" s="66"/>
      <c r="AE2586" s="42"/>
      <c r="AF2586" s="42"/>
      <c r="AG2586" s="43"/>
    </row>
    <row r="2587">
      <c r="A2587" s="23"/>
      <c r="B2587" s="101"/>
      <c r="C2587" s="115"/>
      <c r="D2587" s="115"/>
      <c r="E2587" s="85"/>
      <c r="F2587" s="138"/>
      <c r="G2587" s="101"/>
      <c r="H2587" s="105"/>
      <c r="I2587" s="105"/>
      <c r="J2587" s="44"/>
      <c r="K2587" s="116"/>
      <c r="L2587" s="117"/>
      <c r="M2587" s="67"/>
      <c r="N2587" s="33"/>
      <c r="O2587" s="70"/>
      <c r="P2587" s="34"/>
      <c r="Q2587" s="60"/>
      <c r="R2587" s="36"/>
      <c r="S2587" s="71"/>
      <c r="T2587" s="37"/>
      <c r="U2587" s="118"/>
      <c r="V2587" s="74"/>
      <c r="W2587" s="74"/>
      <c r="X2587" s="35"/>
      <c r="Y2587" s="35"/>
      <c r="Z2587" s="40"/>
      <c r="AA2587" s="34"/>
      <c r="AB2587" s="41"/>
      <c r="AC2587" s="42" t="b">
        <v>0</v>
      </c>
      <c r="AD2587" s="66"/>
      <c r="AE2587" s="42"/>
      <c r="AF2587" s="42"/>
      <c r="AG2587" s="43"/>
    </row>
    <row r="2588">
      <c r="A2588" s="23"/>
      <c r="B2588" s="101"/>
      <c r="C2588" s="115"/>
      <c r="D2588" s="115"/>
      <c r="E2588" s="85"/>
      <c r="F2588" s="138"/>
      <c r="G2588" s="101"/>
      <c r="H2588" s="105"/>
      <c r="I2588" s="105"/>
      <c r="J2588" s="44"/>
      <c r="K2588" s="116"/>
      <c r="L2588" s="117"/>
      <c r="M2588" s="67"/>
      <c r="N2588" s="33"/>
      <c r="O2588" s="70"/>
      <c r="P2588" s="34"/>
      <c r="Q2588" s="60"/>
      <c r="R2588" s="36"/>
      <c r="S2588" s="71"/>
      <c r="T2588" s="37"/>
      <c r="U2588" s="118"/>
      <c r="V2588" s="74"/>
      <c r="W2588" s="74"/>
      <c r="X2588" s="35"/>
      <c r="Y2588" s="35"/>
      <c r="Z2588" s="40"/>
      <c r="AA2588" s="34"/>
      <c r="AB2588" s="41"/>
      <c r="AC2588" s="42" t="b">
        <v>0</v>
      </c>
      <c r="AD2588" s="66"/>
      <c r="AE2588" s="42"/>
      <c r="AF2588" s="42"/>
      <c r="AG2588" s="43"/>
    </row>
    <row r="2589">
      <c r="A2589" s="23"/>
      <c r="B2589" s="101"/>
      <c r="C2589" s="115"/>
      <c r="D2589" s="115"/>
      <c r="E2589" s="85"/>
      <c r="F2589" s="138"/>
      <c r="G2589" s="101"/>
      <c r="H2589" s="105"/>
      <c r="I2589" s="105"/>
      <c r="J2589" s="44"/>
      <c r="K2589" s="116"/>
      <c r="L2589" s="117"/>
      <c r="M2589" s="67"/>
      <c r="N2589" s="33"/>
      <c r="O2589" s="70"/>
      <c r="P2589" s="34"/>
      <c r="Q2589" s="60"/>
      <c r="R2589" s="36"/>
      <c r="S2589" s="71"/>
      <c r="T2589" s="37"/>
      <c r="U2589" s="118"/>
      <c r="V2589" s="74"/>
      <c r="W2589" s="74"/>
      <c r="X2589" s="35"/>
      <c r="Y2589" s="35"/>
      <c r="Z2589" s="40"/>
      <c r="AA2589" s="34"/>
      <c r="AB2589" s="41"/>
      <c r="AC2589" s="42" t="b">
        <v>0</v>
      </c>
      <c r="AD2589" s="66"/>
      <c r="AE2589" s="42"/>
      <c r="AF2589" s="42"/>
      <c r="AG2589" s="43"/>
    </row>
    <row r="2590">
      <c r="A2590" s="23"/>
      <c r="B2590" s="101"/>
      <c r="C2590" s="115"/>
      <c r="D2590" s="115"/>
      <c r="E2590" s="85"/>
      <c r="F2590" s="138"/>
      <c r="G2590" s="101"/>
      <c r="H2590" s="105"/>
      <c r="I2590" s="105"/>
      <c r="J2590" s="44"/>
      <c r="K2590" s="116"/>
      <c r="L2590" s="117"/>
      <c r="M2590" s="67"/>
      <c r="N2590" s="33"/>
      <c r="O2590" s="70"/>
      <c r="P2590" s="34"/>
      <c r="Q2590" s="60"/>
      <c r="R2590" s="36"/>
      <c r="S2590" s="71"/>
      <c r="T2590" s="37"/>
      <c r="U2590" s="118"/>
      <c r="V2590" s="74"/>
      <c r="W2590" s="74"/>
      <c r="X2590" s="35"/>
      <c r="Y2590" s="35"/>
      <c r="Z2590" s="40"/>
      <c r="AA2590" s="34"/>
      <c r="AB2590" s="41"/>
      <c r="AC2590" s="42" t="b">
        <v>0</v>
      </c>
      <c r="AD2590" s="66"/>
      <c r="AE2590" s="42"/>
      <c r="AF2590" s="42"/>
      <c r="AG2590" s="43"/>
    </row>
    <row r="2591">
      <c r="A2591" s="23"/>
      <c r="B2591" s="101"/>
      <c r="C2591" s="115"/>
      <c r="D2591" s="115"/>
      <c r="E2591" s="85"/>
      <c r="F2591" s="138"/>
      <c r="G2591" s="101"/>
      <c r="H2591" s="105"/>
      <c r="I2591" s="105"/>
      <c r="J2591" s="44"/>
      <c r="K2591" s="116"/>
      <c r="L2591" s="117"/>
      <c r="M2591" s="67"/>
      <c r="N2591" s="33"/>
      <c r="O2591" s="70"/>
      <c r="P2591" s="34"/>
      <c r="Q2591" s="60"/>
      <c r="R2591" s="36"/>
      <c r="S2591" s="71"/>
      <c r="T2591" s="37"/>
      <c r="U2591" s="118"/>
      <c r="V2591" s="74"/>
      <c r="W2591" s="74"/>
      <c r="X2591" s="35"/>
      <c r="Y2591" s="35"/>
      <c r="Z2591" s="40"/>
      <c r="AA2591" s="34"/>
      <c r="AB2591" s="41"/>
      <c r="AC2591" s="42" t="b">
        <v>0</v>
      </c>
      <c r="AD2591" s="66"/>
      <c r="AE2591" s="42"/>
      <c r="AF2591" s="42"/>
      <c r="AG2591" s="43"/>
    </row>
    <row r="2592">
      <c r="A2592" s="23"/>
      <c r="B2592" s="101"/>
      <c r="C2592" s="115"/>
      <c r="D2592" s="115"/>
      <c r="E2592" s="85"/>
      <c r="F2592" s="138"/>
      <c r="G2592" s="101"/>
      <c r="H2592" s="105"/>
      <c r="I2592" s="105"/>
      <c r="J2592" s="44"/>
      <c r="K2592" s="116"/>
      <c r="L2592" s="117"/>
      <c r="M2592" s="67"/>
      <c r="N2592" s="33"/>
      <c r="O2592" s="70"/>
      <c r="P2592" s="34"/>
      <c r="Q2592" s="60"/>
      <c r="R2592" s="36"/>
      <c r="S2592" s="71"/>
      <c r="T2592" s="37"/>
      <c r="U2592" s="118"/>
      <c r="V2592" s="74"/>
      <c r="W2592" s="74"/>
      <c r="X2592" s="35"/>
      <c r="Y2592" s="35"/>
      <c r="Z2592" s="40"/>
      <c r="AA2592" s="34"/>
      <c r="AB2592" s="41"/>
      <c r="AC2592" s="42" t="b">
        <v>0</v>
      </c>
      <c r="AD2592" s="66"/>
      <c r="AE2592" s="42"/>
      <c r="AF2592" s="42"/>
      <c r="AG2592" s="43"/>
    </row>
    <row r="2593">
      <c r="A2593" s="23"/>
      <c r="B2593" s="101"/>
      <c r="C2593" s="115"/>
      <c r="D2593" s="115"/>
      <c r="E2593" s="85"/>
      <c r="F2593" s="138"/>
      <c r="G2593" s="101"/>
      <c r="H2593" s="105"/>
      <c r="I2593" s="105"/>
      <c r="J2593" s="44"/>
      <c r="K2593" s="116"/>
      <c r="L2593" s="117"/>
      <c r="M2593" s="67"/>
      <c r="N2593" s="33"/>
      <c r="O2593" s="70"/>
      <c r="P2593" s="34"/>
      <c r="Q2593" s="60"/>
      <c r="R2593" s="36"/>
      <c r="S2593" s="71"/>
      <c r="T2593" s="37"/>
      <c r="U2593" s="118"/>
      <c r="V2593" s="74"/>
      <c r="W2593" s="74"/>
      <c r="X2593" s="35"/>
      <c r="Y2593" s="35"/>
      <c r="Z2593" s="40"/>
      <c r="AA2593" s="34"/>
      <c r="AB2593" s="41"/>
      <c r="AC2593" s="42" t="b">
        <v>0</v>
      </c>
      <c r="AD2593" s="66"/>
      <c r="AE2593" s="42"/>
      <c r="AF2593" s="42"/>
      <c r="AG2593" s="43"/>
    </row>
    <row r="2594">
      <c r="A2594" s="23"/>
      <c r="B2594" s="101"/>
      <c r="C2594" s="115"/>
      <c r="D2594" s="115"/>
      <c r="E2594" s="85"/>
      <c r="F2594" s="138"/>
      <c r="G2594" s="101"/>
      <c r="H2594" s="105"/>
      <c r="I2594" s="105"/>
      <c r="J2594" s="44"/>
      <c r="K2594" s="116"/>
      <c r="L2594" s="117"/>
      <c r="M2594" s="67"/>
      <c r="N2594" s="33"/>
      <c r="O2594" s="70"/>
      <c r="P2594" s="34"/>
      <c r="Q2594" s="60"/>
      <c r="R2594" s="36"/>
      <c r="S2594" s="71"/>
      <c r="T2594" s="37"/>
      <c r="U2594" s="118"/>
      <c r="V2594" s="74"/>
      <c r="W2594" s="74"/>
      <c r="X2594" s="35"/>
      <c r="Y2594" s="35"/>
      <c r="Z2594" s="40"/>
      <c r="AA2594" s="34"/>
      <c r="AB2594" s="41"/>
      <c r="AC2594" s="42" t="b">
        <v>0</v>
      </c>
      <c r="AD2594" s="66"/>
      <c r="AE2594" s="42"/>
      <c r="AF2594" s="42"/>
      <c r="AG2594" s="43"/>
    </row>
    <row r="2595">
      <c r="A2595" s="23"/>
      <c r="B2595" s="101"/>
      <c r="C2595" s="115"/>
      <c r="D2595" s="115"/>
      <c r="E2595" s="85"/>
      <c r="F2595" s="138"/>
      <c r="G2595" s="101"/>
      <c r="H2595" s="105"/>
      <c r="I2595" s="105"/>
      <c r="J2595" s="44"/>
      <c r="K2595" s="116"/>
      <c r="L2595" s="117"/>
      <c r="M2595" s="67"/>
      <c r="N2595" s="33"/>
      <c r="O2595" s="70"/>
      <c r="P2595" s="34"/>
      <c r="Q2595" s="60"/>
      <c r="R2595" s="36"/>
      <c r="S2595" s="71"/>
      <c r="T2595" s="37"/>
      <c r="U2595" s="118"/>
      <c r="V2595" s="74"/>
      <c r="W2595" s="74"/>
      <c r="X2595" s="35"/>
      <c r="Y2595" s="35"/>
      <c r="Z2595" s="40"/>
      <c r="AA2595" s="34"/>
      <c r="AB2595" s="41"/>
      <c r="AC2595" s="42" t="b">
        <v>0</v>
      </c>
      <c r="AD2595" s="66"/>
      <c r="AE2595" s="42"/>
      <c r="AF2595" s="42"/>
      <c r="AG2595" s="43"/>
    </row>
    <row r="2596">
      <c r="A2596" s="23"/>
      <c r="B2596" s="101"/>
      <c r="C2596" s="115"/>
      <c r="D2596" s="115"/>
      <c r="E2596" s="85"/>
      <c r="F2596" s="138"/>
      <c r="G2596" s="101"/>
      <c r="H2596" s="105"/>
      <c r="I2596" s="105"/>
      <c r="J2596" s="44"/>
      <c r="K2596" s="116"/>
      <c r="L2596" s="117"/>
      <c r="M2596" s="67"/>
      <c r="N2596" s="33"/>
      <c r="O2596" s="70"/>
      <c r="P2596" s="34"/>
      <c r="Q2596" s="60"/>
      <c r="R2596" s="36"/>
      <c r="S2596" s="71"/>
      <c r="T2596" s="37"/>
      <c r="U2596" s="118"/>
      <c r="V2596" s="74"/>
      <c r="W2596" s="74"/>
      <c r="X2596" s="35"/>
      <c r="Y2596" s="35"/>
      <c r="Z2596" s="40"/>
      <c r="AA2596" s="34"/>
      <c r="AB2596" s="41"/>
      <c r="AC2596" s="42" t="b">
        <v>0</v>
      </c>
      <c r="AD2596" s="66"/>
      <c r="AE2596" s="42"/>
      <c r="AF2596" s="42"/>
      <c r="AG2596" s="43"/>
    </row>
    <row r="2597">
      <c r="A2597" s="23"/>
      <c r="B2597" s="101"/>
      <c r="C2597" s="115"/>
      <c r="D2597" s="115"/>
      <c r="E2597" s="85"/>
      <c r="F2597" s="138"/>
      <c r="G2597" s="101"/>
      <c r="H2597" s="105"/>
      <c r="I2597" s="105"/>
      <c r="J2597" s="44"/>
      <c r="K2597" s="116"/>
      <c r="L2597" s="117"/>
      <c r="M2597" s="67"/>
      <c r="N2597" s="33"/>
      <c r="O2597" s="70"/>
      <c r="P2597" s="34"/>
      <c r="Q2597" s="60"/>
      <c r="R2597" s="36"/>
      <c r="S2597" s="71"/>
      <c r="T2597" s="37"/>
      <c r="U2597" s="118"/>
      <c r="V2597" s="74"/>
      <c r="W2597" s="74"/>
      <c r="X2597" s="35"/>
      <c r="Y2597" s="35"/>
      <c r="Z2597" s="40"/>
      <c r="AA2597" s="34"/>
      <c r="AB2597" s="41"/>
      <c r="AC2597" s="42" t="b">
        <v>0</v>
      </c>
      <c r="AD2597" s="66"/>
      <c r="AE2597" s="42"/>
      <c r="AF2597" s="42"/>
      <c r="AG2597" s="43"/>
    </row>
    <row r="2598">
      <c r="A2598" s="23"/>
      <c r="B2598" s="101"/>
      <c r="C2598" s="115"/>
      <c r="D2598" s="115"/>
      <c r="E2598" s="85"/>
      <c r="F2598" s="138"/>
      <c r="G2598" s="101"/>
      <c r="H2598" s="105"/>
      <c r="I2598" s="105"/>
      <c r="J2598" s="44"/>
      <c r="K2598" s="116"/>
      <c r="L2598" s="117"/>
      <c r="M2598" s="67"/>
      <c r="N2598" s="33"/>
      <c r="O2598" s="70"/>
      <c r="P2598" s="34"/>
      <c r="Q2598" s="60"/>
      <c r="R2598" s="36"/>
      <c r="S2598" s="71"/>
      <c r="T2598" s="37"/>
      <c r="U2598" s="118"/>
      <c r="V2598" s="74"/>
      <c r="W2598" s="74"/>
      <c r="X2598" s="35"/>
      <c r="Y2598" s="35"/>
      <c r="Z2598" s="40"/>
      <c r="AA2598" s="34"/>
      <c r="AB2598" s="41"/>
      <c r="AC2598" s="42" t="b">
        <v>0</v>
      </c>
      <c r="AD2598" s="66"/>
      <c r="AE2598" s="42"/>
      <c r="AF2598" s="42"/>
      <c r="AG2598" s="43"/>
    </row>
    <row r="2599">
      <c r="A2599" s="23"/>
      <c r="B2599" s="101"/>
      <c r="C2599" s="115"/>
      <c r="D2599" s="115"/>
      <c r="E2599" s="85"/>
      <c r="F2599" s="138"/>
      <c r="G2599" s="101"/>
      <c r="H2599" s="105"/>
      <c r="I2599" s="105"/>
      <c r="J2599" s="44"/>
      <c r="K2599" s="116"/>
      <c r="L2599" s="117"/>
      <c r="M2599" s="67"/>
      <c r="N2599" s="33"/>
      <c r="O2599" s="70"/>
      <c r="P2599" s="34"/>
      <c r="Q2599" s="60"/>
      <c r="R2599" s="36"/>
      <c r="S2599" s="71"/>
      <c r="T2599" s="37"/>
      <c r="U2599" s="118"/>
      <c r="V2599" s="74"/>
      <c r="W2599" s="74"/>
      <c r="X2599" s="35"/>
      <c r="Y2599" s="35"/>
      <c r="Z2599" s="40"/>
      <c r="AA2599" s="34"/>
      <c r="AB2599" s="41"/>
      <c r="AC2599" s="42" t="b">
        <v>0</v>
      </c>
      <c r="AD2599" s="66"/>
      <c r="AE2599" s="42"/>
      <c r="AF2599" s="42"/>
      <c r="AG2599" s="43"/>
    </row>
    <row r="2600">
      <c r="A2600" s="23"/>
      <c r="B2600" s="101"/>
      <c r="C2600" s="115"/>
      <c r="D2600" s="115"/>
      <c r="E2600" s="85"/>
      <c r="F2600" s="138"/>
      <c r="G2600" s="101"/>
      <c r="H2600" s="105"/>
      <c r="I2600" s="105"/>
      <c r="J2600" s="44"/>
      <c r="K2600" s="116"/>
      <c r="L2600" s="117"/>
      <c r="M2600" s="67"/>
      <c r="N2600" s="33"/>
      <c r="O2600" s="70"/>
      <c r="P2600" s="34"/>
      <c r="Q2600" s="60"/>
      <c r="R2600" s="36"/>
      <c r="S2600" s="71"/>
      <c r="T2600" s="37"/>
      <c r="U2600" s="118"/>
      <c r="V2600" s="74"/>
      <c r="W2600" s="74"/>
      <c r="X2600" s="35"/>
      <c r="Y2600" s="35"/>
      <c r="Z2600" s="40"/>
      <c r="AA2600" s="34"/>
      <c r="AB2600" s="41"/>
      <c r="AC2600" s="42" t="b">
        <v>0</v>
      </c>
      <c r="AD2600" s="66"/>
      <c r="AE2600" s="42"/>
      <c r="AF2600" s="42"/>
      <c r="AG2600" s="43"/>
    </row>
    <row r="2601">
      <c r="A2601" s="23"/>
      <c r="B2601" s="101"/>
      <c r="C2601" s="115"/>
      <c r="D2601" s="115"/>
      <c r="E2601" s="85"/>
      <c r="F2601" s="138"/>
      <c r="G2601" s="101"/>
      <c r="H2601" s="105"/>
      <c r="I2601" s="105"/>
      <c r="J2601" s="44"/>
      <c r="K2601" s="116"/>
      <c r="L2601" s="117"/>
      <c r="M2601" s="67"/>
      <c r="N2601" s="33"/>
      <c r="O2601" s="70"/>
      <c r="P2601" s="34"/>
      <c r="Q2601" s="60"/>
      <c r="R2601" s="36"/>
      <c r="S2601" s="71"/>
      <c r="T2601" s="37"/>
      <c r="U2601" s="118"/>
      <c r="V2601" s="74"/>
      <c r="W2601" s="74"/>
      <c r="X2601" s="35"/>
      <c r="Y2601" s="35"/>
      <c r="Z2601" s="40"/>
      <c r="AA2601" s="34"/>
      <c r="AB2601" s="41"/>
      <c r="AC2601" s="42" t="b">
        <v>0</v>
      </c>
      <c r="AD2601" s="66"/>
      <c r="AE2601" s="42"/>
      <c r="AF2601" s="42"/>
      <c r="AG2601" s="43"/>
    </row>
    <row r="2602">
      <c r="A2602" s="23"/>
      <c r="B2602" s="101"/>
      <c r="C2602" s="115"/>
      <c r="D2602" s="115"/>
      <c r="E2602" s="85"/>
      <c r="F2602" s="138"/>
      <c r="G2602" s="101"/>
      <c r="H2602" s="105"/>
      <c r="I2602" s="105"/>
      <c r="J2602" s="44"/>
      <c r="K2602" s="116"/>
      <c r="L2602" s="117"/>
      <c r="M2602" s="67"/>
      <c r="N2602" s="33"/>
      <c r="O2602" s="70"/>
      <c r="P2602" s="34"/>
      <c r="Q2602" s="60"/>
      <c r="R2602" s="36"/>
      <c r="S2602" s="71"/>
      <c r="T2602" s="37"/>
      <c r="U2602" s="118"/>
      <c r="V2602" s="74"/>
      <c r="W2602" s="74"/>
      <c r="X2602" s="35"/>
      <c r="Y2602" s="35"/>
      <c r="Z2602" s="40"/>
      <c r="AA2602" s="34"/>
      <c r="AB2602" s="41"/>
      <c r="AC2602" s="42" t="b">
        <v>0</v>
      </c>
      <c r="AD2602" s="66"/>
      <c r="AE2602" s="42"/>
      <c r="AF2602" s="42"/>
      <c r="AG2602" s="43"/>
    </row>
    <row r="2603">
      <c r="A2603" s="23"/>
      <c r="B2603" s="101"/>
      <c r="C2603" s="115"/>
      <c r="D2603" s="115"/>
      <c r="E2603" s="85"/>
      <c r="F2603" s="138"/>
      <c r="G2603" s="101"/>
      <c r="H2603" s="105"/>
      <c r="I2603" s="105"/>
      <c r="J2603" s="44"/>
      <c r="K2603" s="116"/>
      <c r="L2603" s="117"/>
      <c r="M2603" s="67"/>
      <c r="N2603" s="33"/>
      <c r="O2603" s="70"/>
      <c r="P2603" s="34"/>
      <c r="Q2603" s="60"/>
      <c r="R2603" s="36"/>
      <c r="S2603" s="71"/>
      <c r="T2603" s="37"/>
      <c r="U2603" s="118"/>
      <c r="V2603" s="74"/>
      <c r="W2603" s="74"/>
      <c r="X2603" s="35"/>
      <c r="Y2603" s="35"/>
      <c r="Z2603" s="40"/>
      <c r="AA2603" s="34"/>
      <c r="AB2603" s="41"/>
      <c r="AC2603" s="42" t="b">
        <v>0</v>
      </c>
      <c r="AD2603" s="66"/>
      <c r="AE2603" s="42"/>
      <c r="AF2603" s="42"/>
      <c r="AG2603" s="43"/>
    </row>
    <row r="2604">
      <c r="A2604" s="23"/>
      <c r="B2604" s="101"/>
      <c r="C2604" s="115"/>
      <c r="D2604" s="115"/>
      <c r="E2604" s="85"/>
      <c r="F2604" s="138"/>
      <c r="G2604" s="101"/>
      <c r="H2604" s="105"/>
      <c r="I2604" s="105"/>
      <c r="J2604" s="44"/>
      <c r="K2604" s="116"/>
      <c r="L2604" s="117"/>
      <c r="M2604" s="67"/>
      <c r="N2604" s="33"/>
      <c r="O2604" s="70"/>
      <c r="P2604" s="34"/>
      <c r="Q2604" s="60"/>
      <c r="R2604" s="36"/>
      <c r="S2604" s="71"/>
      <c r="T2604" s="37"/>
      <c r="U2604" s="118"/>
      <c r="V2604" s="74"/>
      <c r="W2604" s="74"/>
      <c r="X2604" s="35"/>
      <c r="Y2604" s="35"/>
      <c r="Z2604" s="40"/>
      <c r="AA2604" s="34"/>
      <c r="AB2604" s="41"/>
      <c r="AC2604" s="42" t="b">
        <v>0</v>
      </c>
      <c r="AD2604" s="66"/>
      <c r="AE2604" s="42"/>
      <c r="AF2604" s="42"/>
      <c r="AG2604" s="43"/>
    </row>
    <row r="2605">
      <c r="A2605" s="23"/>
      <c r="B2605" s="101"/>
      <c r="C2605" s="115"/>
      <c r="D2605" s="115"/>
      <c r="E2605" s="85"/>
      <c r="F2605" s="138"/>
      <c r="G2605" s="101"/>
      <c r="H2605" s="105"/>
      <c r="I2605" s="105"/>
      <c r="J2605" s="44"/>
      <c r="K2605" s="116"/>
      <c r="L2605" s="117"/>
      <c r="M2605" s="67"/>
      <c r="N2605" s="33"/>
      <c r="O2605" s="70"/>
      <c r="P2605" s="34"/>
      <c r="Q2605" s="60"/>
      <c r="R2605" s="36"/>
      <c r="S2605" s="71"/>
      <c r="T2605" s="37"/>
      <c r="U2605" s="118"/>
      <c r="V2605" s="74"/>
      <c r="W2605" s="74"/>
      <c r="X2605" s="35"/>
      <c r="Y2605" s="35"/>
      <c r="Z2605" s="40"/>
      <c r="AA2605" s="34"/>
      <c r="AB2605" s="41"/>
      <c r="AC2605" s="42" t="b">
        <v>0</v>
      </c>
      <c r="AD2605" s="66"/>
      <c r="AE2605" s="42"/>
      <c r="AF2605" s="42"/>
      <c r="AG2605" s="43"/>
    </row>
    <row r="2606">
      <c r="A2606" s="23"/>
      <c r="B2606" s="101"/>
      <c r="C2606" s="115"/>
      <c r="D2606" s="115"/>
      <c r="E2606" s="85"/>
      <c r="F2606" s="138"/>
      <c r="G2606" s="101"/>
      <c r="H2606" s="105"/>
      <c r="I2606" s="105"/>
      <c r="J2606" s="44"/>
      <c r="K2606" s="116"/>
      <c r="L2606" s="117"/>
      <c r="M2606" s="67"/>
      <c r="N2606" s="33"/>
      <c r="O2606" s="70"/>
      <c r="P2606" s="34"/>
      <c r="Q2606" s="60"/>
      <c r="R2606" s="36"/>
      <c r="S2606" s="71"/>
      <c r="T2606" s="37"/>
      <c r="U2606" s="118"/>
      <c r="V2606" s="74"/>
      <c r="W2606" s="74"/>
      <c r="X2606" s="35"/>
      <c r="Y2606" s="35"/>
      <c r="Z2606" s="40"/>
      <c r="AA2606" s="34"/>
      <c r="AB2606" s="41"/>
      <c r="AC2606" s="42" t="b">
        <v>0</v>
      </c>
      <c r="AD2606" s="66"/>
      <c r="AE2606" s="42"/>
      <c r="AF2606" s="42"/>
      <c r="AG2606" s="43"/>
    </row>
    <row r="2607">
      <c r="A2607" s="23"/>
      <c r="B2607" s="101"/>
      <c r="C2607" s="115"/>
      <c r="D2607" s="115"/>
      <c r="E2607" s="85"/>
      <c r="F2607" s="138"/>
      <c r="G2607" s="101"/>
      <c r="H2607" s="105"/>
      <c r="I2607" s="105"/>
      <c r="J2607" s="44"/>
      <c r="K2607" s="116"/>
      <c r="L2607" s="117"/>
      <c r="M2607" s="67"/>
      <c r="N2607" s="33"/>
      <c r="O2607" s="70"/>
      <c r="P2607" s="34"/>
      <c r="Q2607" s="60"/>
      <c r="R2607" s="36"/>
      <c r="S2607" s="71"/>
      <c r="T2607" s="37"/>
      <c r="U2607" s="118"/>
      <c r="V2607" s="74"/>
      <c r="W2607" s="74"/>
      <c r="X2607" s="35"/>
      <c r="Y2607" s="35"/>
      <c r="Z2607" s="40"/>
      <c r="AA2607" s="34"/>
      <c r="AB2607" s="41"/>
      <c r="AC2607" s="42" t="b">
        <v>0</v>
      </c>
      <c r="AD2607" s="66"/>
      <c r="AE2607" s="42"/>
      <c r="AF2607" s="42"/>
      <c r="AG2607" s="43"/>
    </row>
    <row r="2608">
      <c r="A2608" s="23"/>
      <c r="B2608" s="101"/>
      <c r="C2608" s="115"/>
      <c r="D2608" s="115"/>
      <c r="E2608" s="85"/>
      <c r="F2608" s="138"/>
      <c r="G2608" s="101"/>
      <c r="H2608" s="105"/>
      <c r="I2608" s="105"/>
      <c r="J2608" s="44"/>
      <c r="K2608" s="116"/>
      <c r="L2608" s="117"/>
      <c r="M2608" s="67"/>
      <c r="N2608" s="33"/>
      <c r="O2608" s="70"/>
      <c r="P2608" s="34"/>
      <c r="Q2608" s="60"/>
      <c r="R2608" s="36"/>
      <c r="S2608" s="71"/>
      <c r="T2608" s="37"/>
      <c r="U2608" s="118"/>
      <c r="V2608" s="74"/>
      <c r="W2608" s="74"/>
      <c r="X2608" s="35"/>
      <c r="Y2608" s="35"/>
      <c r="Z2608" s="40"/>
      <c r="AA2608" s="34"/>
      <c r="AB2608" s="41"/>
      <c r="AC2608" s="42" t="b">
        <v>0</v>
      </c>
      <c r="AD2608" s="66"/>
      <c r="AE2608" s="42"/>
      <c r="AF2608" s="42"/>
      <c r="AG2608" s="43"/>
    </row>
    <row r="2609">
      <c r="A2609" s="23"/>
      <c r="B2609" s="101"/>
      <c r="C2609" s="115"/>
      <c r="D2609" s="115"/>
      <c r="E2609" s="85"/>
      <c r="F2609" s="138"/>
      <c r="G2609" s="101"/>
      <c r="H2609" s="105"/>
      <c r="I2609" s="105"/>
      <c r="J2609" s="44"/>
      <c r="K2609" s="116"/>
      <c r="L2609" s="117"/>
      <c r="M2609" s="67"/>
      <c r="N2609" s="33"/>
      <c r="O2609" s="70"/>
      <c r="P2609" s="34"/>
      <c r="Q2609" s="60"/>
      <c r="R2609" s="36"/>
      <c r="S2609" s="71"/>
      <c r="T2609" s="37"/>
      <c r="U2609" s="118"/>
      <c r="V2609" s="74"/>
      <c r="W2609" s="74"/>
      <c r="X2609" s="35"/>
      <c r="Y2609" s="35"/>
      <c r="Z2609" s="40"/>
      <c r="AA2609" s="34"/>
      <c r="AB2609" s="41"/>
      <c r="AC2609" s="42" t="b">
        <v>0</v>
      </c>
      <c r="AD2609" s="66"/>
      <c r="AE2609" s="42"/>
      <c r="AF2609" s="42"/>
      <c r="AG2609" s="43"/>
    </row>
    <row r="2610">
      <c r="A2610" s="23"/>
      <c r="B2610" s="101"/>
      <c r="C2610" s="115"/>
      <c r="D2610" s="115"/>
      <c r="E2610" s="85"/>
      <c r="F2610" s="138"/>
      <c r="G2610" s="101"/>
      <c r="H2610" s="105"/>
      <c r="I2610" s="105"/>
      <c r="J2610" s="44"/>
      <c r="K2610" s="116"/>
      <c r="L2610" s="117"/>
      <c r="M2610" s="67"/>
      <c r="N2610" s="33"/>
      <c r="O2610" s="70"/>
      <c r="P2610" s="34"/>
      <c r="Q2610" s="60"/>
      <c r="R2610" s="36"/>
      <c r="S2610" s="71"/>
      <c r="T2610" s="37"/>
      <c r="U2610" s="118"/>
      <c r="V2610" s="74"/>
      <c r="W2610" s="74"/>
      <c r="X2610" s="35"/>
      <c r="Y2610" s="35"/>
      <c r="Z2610" s="40"/>
      <c r="AA2610" s="34"/>
      <c r="AB2610" s="41"/>
      <c r="AC2610" s="42" t="b">
        <v>0</v>
      </c>
      <c r="AD2610" s="66"/>
      <c r="AE2610" s="42"/>
      <c r="AF2610" s="42"/>
      <c r="AG2610" s="43"/>
    </row>
    <row r="2611">
      <c r="A2611" s="23"/>
      <c r="B2611" s="101"/>
      <c r="C2611" s="115"/>
      <c r="D2611" s="115"/>
      <c r="E2611" s="85"/>
      <c r="F2611" s="138"/>
      <c r="G2611" s="101"/>
      <c r="H2611" s="105"/>
      <c r="I2611" s="105"/>
      <c r="J2611" s="44"/>
      <c r="K2611" s="116"/>
      <c r="L2611" s="117"/>
      <c r="M2611" s="67"/>
      <c r="N2611" s="33"/>
      <c r="O2611" s="70"/>
      <c r="P2611" s="34"/>
      <c r="Q2611" s="60"/>
      <c r="R2611" s="36"/>
      <c r="S2611" s="71"/>
      <c r="T2611" s="37"/>
      <c r="U2611" s="118"/>
      <c r="V2611" s="74"/>
      <c r="W2611" s="74"/>
      <c r="X2611" s="35"/>
      <c r="Y2611" s="35"/>
      <c r="Z2611" s="40"/>
      <c r="AA2611" s="34"/>
      <c r="AB2611" s="41"/>
      <c r="AC2611" s="42" t="b">
        <v>0</v>
      </c>
      <c r="AD2611" s="66"/>
      <c r="AE2611" s="42"/>
      <c r="AF2611" s="42"/>
      <c r="AG2611" s="43"/>
    </row>
    <row r="2612">
      <c r="A2612" s="23"/>
      <c r="B2612" s="101"/>
      <c r="C2612" s="115"/>
      <c r="D2612" s="115"/>
      <c r="E2612" s="85"/>
      <c r="F2612" s="138"/>
      <c r="G2612" s="101"/>
      <c r="H2612" s="105"/>
      <c r="I2612" s="105"/>
      <c r="J2612" s="44"/>
      <c r="K2612" s="116"/>
      <c r="L2612" s="117"/>
      <c r="M2612" s="67"/>
      <c r="N2612" s="33"/>
      <c r="O2612" s="70"/>
      <c r="P2612" s="34"/>
      <c r="Q2612" s="60"/>
      <c r="R2612" s="36"/>
      <c r="S2612" s="71"/>
      <c r="T2612" s="37"/>
      <c r="U2612" s="118"/>
      <c r="V2612" s="74"/>
      <c r="W2612" s="74"/>
      <c r="X2612" s="35"/>
      <c r="Y2612" s="35"/>
      <c r="Z2612" s="40"/>
      <c r="AA2612" s="34"/>
      <c r="AB2612" s="41"/>
      <c r="AC2612" s="42" t="b">
        <v>0</v>
      </c>
      <c r="AD2612" s="66"/>
      <c r="AE2612" s="42"/>
      <c r="AF2612" s="42"/>
      <c r="AG2612" s="43"/>
    </row>
    <row r="2613">
      <c r="A2613" s="23"/>
      <c r="B2613" s="101"/>
      <c r="C2613" s="115"/>
      <c r="D2613" s="115"/>
      <c r="E2613" s="85"/>
      <c r="F2613" s="138"/>
      <c r="G2613" s="101"/>
      <c r="H2613" s="105"/>
      <c r="I2613" s="105"/>
      <c r="J2613" s="44"/>
      <c r="K2613" s="116"/>
      <c r="L2613" s="117"/>
      <c r="M2613" s="67"/>
      <c r="N2613" s="33"/>
      <c r="O2613" s="70"/>
      <c r="P2613" s="34"/>
      <c r="Q2613" s="60"/>
      <c r="R2613" s="36"/>
      <c r="S2613" s="71"/>
      <c r="T2613" s="37"/>
      <c r="U2613" s="118"/>
      <c r="V2613" s="74"/>
      <c r="W2613" s="74"/>
      <c r="X2613" s="35"/>
      <c r="Y2613" s="35"/>
      <c r="Z2613" s="40"/>
      <c r="AA2613" s="34"/>
      <c r="AB2613" s="41"/>
      <c r="AC2613" s="42" t="b">
        <v>0</v>
      </c>
      <c r="AD2613" s="66"/>
      <c r="AE2613" s="42"/>
      <c r="AF2613" s="42"/>
      <c r="AG2613" s="43"/>
    </row>
    <row r="2614">
      <c r="A2614" s="23"/>
      <c r="B2614" s="101"/>
      <c r="C2614" s="115"/>
      <c r="D2614" s="115"/>
      <c r="E2614" s="85"/>
      <c r="F2614" s="138"/>
      <c r="G2614" s="101"/>
      <c r="H2614" s="105"/>
      <c r="I2614" s="105"/>
      <c r="J2614" s="44"/>
      <c r="K2614" s="116"/>
      <c r="L2614" s="117"/>
      <c r="M2614" s="67"/>
      <c r="N2614" s="33"/>
      <c r="O2614" s="70"/>
      <c r="P2614" s="34"/>
      <c r="Q2614" s="60"/>
      <c r="R2614" s="36"/>
      <c r="S2614" s="71"/>
      <c r="T2614" s="37"/>
      <c r="U2614" s="118"/>
      <c r="V2614" s="74"/>
      <c r="W2614" s="74"/>
      <c r="X2614" s="35"/>
      <c r="Y2614" s="35"/>
      <c r="Z2614" s="40"/>
      <c r="AA2614" s="34"/>
      <c r="AB2614" s="41"/>
      <c r="AC2614" s="42" t="b">
        <v>0</v>
      </c>
      <c r="AD2614" s="66"/>
      <c r="AE2614" s="42"/>
      <c r="AF2614" s="42"/>
      <c r="AG2614" s="43"/>
    </row>
    <row r="2615">
      <c r="A2615" s="23"/>
      <c r="B2615" s="101"/>
      <c r="C2615" s="115"/>
      <c r="D2615" s="115"/>
      <c r="E2615" s="85"/>
      <c r="F2615" s="138"/>
      <c r="G2615" s="101"/>
      <c r="H2615" s="105"/>
      <c r="I2615" s="105"/>
      <c r="J2615" s="44"/>
      <c r="K2615" s="116"/>
      <c r="L2615" s="117"/>
      <c r="M2615" s="67"/>
      <c r="N2615" s="33"/>
      <c r="O2615" s="70"/>
      <c r="P2615" s="34"/>
      <c r="Q2615" s="60"/>
      <c r="R2615" s="36"/>
      <c r="S2615" s="71"/>
      <c r="T2615" s="37"/>
      <c r="U2615" s="118"/>
      <c r="V2615" s="74"/>
      <c r="W2615" s="74"/>
      <c r="X2615" s="35"/>
      <c r="Y2615" s="35"/>
      <c r="Z2615" s="40"/>
      <c r="AA2615" s="34"/>
      <c r="AB2615" s="41"/>
      <c r="AC2615" s="42" t="b">
        <v>0</v>
      </c>
      <c r="AD2615" s="66"/>
      <c r="AE2615" s="42"/>
      <c r="AF2615" s="42"/>
      <c r="AG2615" s="43"/>
    </row>
    <row r="2616">
      <c r="A2616" s="23"/>
      <c r="B2616" s="101"/>
      <c r="C2616" s="115"/>
      <c r="D2616" s="115"/>
      <c r="E2616" s="85"/>
      <c r="F2616" s="138"/>
      <c r="G2616" s="101"/>
      <c r="H2616" s="105"/>
      <c r="I2616" s="105"/>
      <c r="J2616" s="44"/>
      <c r="K2616" s="116"/>
      <c r="L2616" s="117"/>
      <c r="M2616" s="67"/>
      <c r="N2616" s="33"/>
      <c r="O2616" s="70"/>
      <c r="P2616" s="34"/>
      <c r="Q2616" s="60"/>
      <c r="R2616" s="36"/>
      <c r="S2616" s="71"/>
      <c r="T2616" s="37"/>
      <c r="U2616" s="118"/>
      <c r="V2616" s="74"/>
      <c r="W2616" s="74"/>
      <c r="X2616" s="35"/>
      <c r="Y2616" s="35"/>
      <c r="Z2616" s="40"/>
      <c r="AA2616" s="34"/>
      <c r="AB2616" s="41"/>
      <c r="AC2616" s="42" t="b">
        <v>0</v>
      </c>
      <c r="AD2616" s="66"/>
      <c r="AE2616" s="42"/>
      <c r="AF2616" s="42"/>
      <c r="AG2616" s="43"/>
    </row>
    <row r="2617">
      <c r="A2617" s="23"/>
      <c r="B2617" s="101"/>
      <c r="C2617" s="115"/>
      <c r="D2617" s="115"/>
      <c r="E2617" s="85"/>
      <c r="F2617" s="138"/>
      <c r="G2617" s="101"/>
      <c r="H2617" s="105"/>
      <c r="I2617" s="105"/>
      <c r="J2617" s="44"/>
      <c r="K2617" s="116"/>
      <c r="L2617" s="117"/>
      <c r="M2617" s="67"/>
      <c r="N2617" s="33"/>
      <c r="O2617" s="70"/>
      <c r="P2617" s="34"/>
      <c r="Q2617" s="60"/>
      <c r="R2617" s="36"/>
      <c r="S2617" s="71"/>
      <c r="T2617" s="37"/>
      <c r="U2617" s="118"/>
      <c r="V2617" s="74"/>
      <c r="W2617" s="74"/>
      <c r="X2617" s="35"/>
      <c r="Y2617" s="35"/>
      <c r="Z2617" s="40"/>
      <c r="AA2617" s="34"/>
      <c r="AB2617" s="41"/>
      <c r="AC2617" s="42" t="b">
        <v>0</v>
      </c>
      <c r="AD2617" s="66"/>
      <c r="AE2617" s="42"/>
      <c r="AF2617" s="42"/>
      <c r="AG2617" s="43"/>
    </row>
    <row r="2618">
      <c r="A2618" s="23"/>
      <c r="B2618" s="101"/>
      <c r="C2618" s="115"/>
      <c r="D2618" s="115"/>
      <c r="E2618" s="85"/>
      <c r="F2618" s="138"/>
      <c r="G2618" s="101"/>
      <c r="H2618" s="105"/>
      <c r="I2618" s="105"/>
      <c r="J2618" s="44"/>
      <c r="K2618" s="116"/>
      <c r="L2618" s="117"/>
      <c r="M2618" s="67"/>
      <c r="N2618" s="33"/>
      <c r="O2618" s="70"/>
      <c r="P2618" s="34"/>
      <c r="Q2618" s="60"/>
      <c r="R2618" s="36"/>
      <c r="S2618" s="71"/>
      <c r="T2618" s="37"/>
      <c r="U2618" s="118"/>
      <c r="V2618" s="74"/>
      <c r="W2618" s="74"/>
      <c r="X2618" s="35"/>
      <c r="Y2618" s="35"/>
      <c r="Z2618" s="40"/>
      <c r="AA2618" s="34"/>
      <c r="AB2618" s="41"/>
      <c r="AC2618" s="42" t="b">
        <v>0</v>
      </c>
      <c r="AD2618" s="66"/>
      <c r="AE2618" s="42"/>
      <c r="AF2618" s="42"/>
      <c r="AG2618" s="43"/>
    </row>
    <row r="2619">
      <c r="A2619" s="23"/>
      <c r="B2619" s="101"/>
      <c r="C2619" s="115"/>
      <c r="D2619" s="115"/>
      <c r="E2619" s="85"/>
      <c r="F2619" s="138"/>
      <c r="G2619" s="101"/>
      <c r="H2619" s="105"/>
      <c r="I2619" s="105"/>
      <c r="J2619" s="44"/>
      <c r="K2619" s="116"/>
      <c r="L2619" s="117"/>
      <c r="M2619" s="67"/>
      <c r="N2619" s="33"/>
      <c r="O2619" s="70"/>
      <c r="P2619" s="34"/>
      <c r="Q2619" s="60"/>
      <c r="R2619" s="36"/>
      <c r="S2619" s="71"/>
      <c r="T2619" s="37"/>
      <c r="U2619" s="118"/>
      <c r="V2619" s="74"/>
      <c r="W2619" s="74"/>
      <c r="X2619" s="35"/>
      <c r="Y2619" s="35"/>
      <c r="Z2619" s="40"/>
      <c r="AA2619" s="34"/>
      <c r="AB2619" s="41"/>
      <c r="AC2619" s="42" t="b">
        <v>0</v>
      </c>
      <c r="AD2619" s="66"/>
      <c r="AE2619" s="42"/>
      <c r="AF2619" s="42"/>
      <c r="AG2619" s="43"/>
    </row>
    <row r="2620">
      <c r="A2620" s="23"/>
      <c r="B2620" s="101"/>
      <c r="C2620" s="115"/>
      <c r="D2620" s="115"/>
      <c r="E2620" s="85"/>
      <c r="F2620" s="138"/>
      <c r="G2620" s="101"/>
      <c r="H2620" s="105"/>
      <c r="I2620" s="105"/>
      <c r="J2620" s="44"/>
      <c r="K2620" s="116"/>
      <c r="L2620" s="117"/>
      <c r="M2620" s="67"/>
      <c r="N2620" s="33"/>
      <c r="O2620" s="70"/>
      <c r="P2620" s="34"/>
      <c r="Q2620" s="60"/>
      <c r="R2620" s="36"/>
      <c r="S2620" s="71"/>
      <c r="T2620" s="37"/>
      <c r="U2620" s="118"/>
      <c r="V2620" s="74"/>
      <c r="W2620" s="74"/>
      <c r="X2620" s="35"/>
      <c r="Y2620" s="35"/>
      <c r="Z2620" s="40"/>
      <c r="AA2620" s="34"/>
      <c r="AB2620" s="41"/>
      <c r="AC2620" s="42" t="b">
        <v>0</v>
      </c>
      <c r="AD2620" s="66"/>
      <c r="AE2620" s="42"/>
      <c r="AF2620" s="42"/>
      <c r="AG2620" s="43"/>
    </row>
    <row r="2621">
      <c r="A2621" s="23"/>
      <c r="B2621" s="101"/>
      <c r="C2621" s="115"/>
      <c r="D2621" s="115"/>
      <c r="E2621" s="85"/>
      <c r="F2621" s="138"/>
      <c r="G2621" s="101"/>
      <c r="H2621" s="105"/>
      <c r="I2621" s="105"/>
      <c r="J2621" s="44"/>
      <c r="K2621" s="116"/>
      <c r="L2621" s="117"/>
      <c r="M2621" s="67"/>
      <c r="N2621" s="33"/>
      <c r="O2621" s="70"/>
      <c r="P2621" s="34"/>
      <c r="Q2621" s="60"/>
      <c r="R2621" s="36"/>
      <c r="S2621" s="71"/>
      <c r="T2621" s="37"/>
      <c r="U2621" s="118"/>
      <c r="V2621" s="74"/>
      <c r="W2621" s="74"/>
      <c r="X2621" s="35"/>
      <c r="Y2621" s="35"/>
      <c r="Z2621" s="40"/>
      <c r="AA2621" s="34"/>
      <c r="AB2621" s="41"/>
      <c r="AC2621" s="42" t="b">
        <v>0</v>
      </c>
      <c r="AD2621" s="66"/>
      <c r="AE2621" s="42"/>
      <c r="AF2621" s="42"/>
      <c r="AG2621" s="43"/>
    </row>
    <row r="2622">
      <c r="A2622" s="23"/>
      <c r="B2622" s="101"/>
      <c r="C2622" s="115"/>
      <c r="D2622" s="115"/>
      <c r="E2622" s="85"/>
      <c r="F2622" s="138"/>
      <c r="G2622" s="101"/>
      <c r="H2622" s="105"/>
      <c r="I2622" s="105"/>
      <c r="J2622" s="44"/>
      <c r="K2622" s="116"/>
      <c r="L2622" s="117"/>
      <c r="M2622" s="67"/>
      <c r="N2622" s="33"/>
      <c r="O2622" s="70"/>
      <c r="P2622" s="34"/>
      <c r="Q2622" s="60"/>
      <c r="R2622" s="36"/>
      <c r="S2622" s="71"/>
      <c r="T2622" s="37"/>
      <c r="U2622" s="118"/>
      <c r="V2622" s="74"/>
      <c r="W2622" s="74"/>
      <c r="X2622" s="35"/>
      <c r="Y2622" s="35"/>
      <c r="Z2622" s="40"/>
      <c r="AA2622" s="34"/>
      <c r="AB2622" s="41"/>
      <c r="AC2622" s="42" t="b">
        <v>0</v>
      </c>
      <c r="AD2622" s="66"/>
      <c r="AE2622" s="42"/>
      <c r="AF2622" s="42"/>
      <c r="AG2622" s="43"/>
    </row>
    <row r="2623">
      <c r="A2623" s="23"/>
      <c r="B2623" s="101"/>
      <c r="C2623" s="115"/>
      <c r="D2623" s="115"/>
      <c r="E2623" s="85"/>
      <c r="F2623" s="138"/>
      <c r="G2623" s="101"/>
      <c r="H2623" s="105"/>
      <c r="I2623" s="105"/>
      <c r="J2623" s="44"/>
      <c r="K2623" s="116"/>
      <c r="L2623" s="117"/>
      <c r="M2623" s="67"/>
      <c r="N2623" s="33"/>
      <c r="O2623" s="70"/>
      <c r="P2623" s="34"/>
      <c r="Q2623" s="60"/>
      <c r="R2623" s="36"/>
      <c r="S2623" s="71"/>
      <c r="T2623" s="37"/>
      <c r="U2623" s="118"/>
      <c r="V2623" s="74"/>
      <c r="W2623" s="74"/>
      <c r="X2623" s="35"/>
      <c r="Y2623" s="35"/>
      <c r="Z2623" s="40"/>
      <c r="AA2623" s="34"/>
      <c r="AB2623" s="41"/>
      <c r="AC2623" s="42" t="b">
        <v>0</v>
      </c>
      <c r="AD2623" s="66"/>
      <c r="AE2623" s="42"/>
      <c r="AF2623" s="42"/>
      <c r="AG2623" s="43"/>
    </row>
    <row r="2624">
      <c r="A2624" s="23"/>
      <c r="B2624" s="101"/>
      <c r="C2624" s="115"/>
      <c r="D2624" s="115"/>
      <c r="E2624" s="85"/>
      <c r="F2624" s="138"/>
      <c r="G2624" s="101"/>
      <c r="H2624" s="105"/>
      <c r="I2624" s="105"/>
      <c r="J2624" s="44"/>
      <c r="K2624" s="116"/>
      <c r="L2624" s="117"/>
      <c r="M2624" s="67"/>
      <c r="N2624" s="33"/>
      <c r="O2624" s="70"/>
      <c r="P2624" s="34"/>
      <c r="Q2624" s="60"/>
      <c r="R2624" s="36"/>
      <c r="S2624" s="71"/>
      <c r="T2624" s="37"/>
      <c r="U2624" s="118"/>
      <c r="V2624" s="74"/>
      <c r="W2624" s="74"/>
      <c r="X2624" s="35"/>
      <c r="Y2624" s="35"/>
      <c r="Z2624" s="40"/>
      <c r="AA2624" s="34"/>
      <c r="AB2624" s="41"/>
      <c r="AC2624" s="42" t="b">
        <v>0</v>
      </c>
      <c r="AD2624" s="66"/>
      <c r="AE2624" s="42"/>
      <c r="AF2624" s="42"/>
      <c r="AG2624" s="43"/>
    </row>
    <row r="2625">
      <c r="A2625" s="23"/>
      <c r="B2625" s="101"/>
      <c r="C2625" s="115"/>
      <c r="D2625" s="115"/>
      <c r="E2625" s="85"/>
      <c r="F2625" s="138"/>
      <c r="G2625" s="101"/>
      <c r="H2625" s="105"/>
      <c r="I2625" s="105"/>
      <c r="J2625" s="44"/>
      <c r="K2625" s="116"/>
      <c r="L2625" s="117"/>
      <c r="M2625" s="67"/>
      <c r="N2625" s="33"/>
      <c r="O2625" s="70"/>
      <c r="P2625" s="34"/>
      <c r="Q2625" s="60"/>
      <c r="R2625" s="36"/>
      <c r="S2625" s="71"/>
      <c r="T2625" s="37"/>
      <c r="U2625" s="118"/>
      <c r="V2625" s="74"/>
      <c r="W2625" s="74"/>
      <c r="X2625" s="35"/>
      <c r="Y2625" s="35"/>
      <c r="Z2625" s="40"/>
      <c r="AA2625" s="34"/>
      <c r="AB2625" s="41"/>
      <c r="AC2625" s="42" t="b">
        <v>0</v>
      </c>
      <c r="AD2625" s="66"/>
      <c r="AE2625" s="42"/>
      <c r="AF2625" s="42"/>
      <c r="AG2625" s="43"/>
    </row>
    <row r="2626">
      <c r="A2626" s="23"/>
      <c r="B2626" s="101"/>
      <c r="C2626" s="115"/>
      <c r="D2626" s="115"/>
      <c r="E2626" s="85"/>
      <c r="F2626" s="138"/>
      <c r="G2626" s="101"/>
      <c r="H2626" s="105"/>
      <c r="I2626" s="105"/>
      <c r="J2626" s="44"/>
      <c r="K2626" s="116"/>
      <c r="L2626" s="117"/>
      <c r="M2626" s="67"/>
      <c r="N2626" s="33"/>
      <c r="O2626" s="70"/>
      <c r="P2626" s="34"/>
      <c r="Q2626" s="60"/>
      <c r="R2626" s="36"/>
      <c r="S2626" s="71"/>
      <c r="T2626" s="37"/>
      <c r="U2626" s="118"/>
      <c r="V2626" s="74"/>
      <c r="W2626" s="74"/>
      <c r="X2626" s="35"/>
      <c r="Y2626" s="35"/>
      <c r="Z2626" s="40"/>
      <c r="AA2626" s="34"/>
      <c r="AB2626" s="41"/>
      <c r="AC2626" s="42" t="b">
        <v>0</v>
      </c>
      <c r="AD2626" s="66"/>
      <c r="AE2626" s="42"/>
      <c r="AF2626" s="42"/>
      <c r="AG2626" s="43"/>
    </row>
    <row r="2627">
      <c r="A2627" s="23"/>
      <c r="B2627" s="101"/>
      <c r="C2627" s="115"/>
      <c r="D2627" s="115"/>
      <c r="E2627" s="85"/>
      <c r="F2627" s="138"/>
      <c r="G2627" s="101"/>
      <c r="H2627" s="105"/>
      <c r="I2627" s="105"/>
      <c r="J2627" s="44"/>
      <c r="K2627" s="116"/>
      <c r="L2627" s="117"/>
      <c r="M2627" s="67"/>
      <c r="N2627" s="33"/>
      <c r="O2627" s="70"/>
      <c r="P2627" s="34"/>
      <c r="Q2627" s="60"/>
      <c r="R2627" s="36"/>
      <c r="S2627" s="71"/>
      <c r="T2627" s="37"/>
      <c r="U2627" s="118"/>
      <c r="V2627" s="74"/>
      <c r="W2627" s="74"/>
      <c r="X2627" s="35"/>
      <c r="Y2627" s="35"/>
      <c r="Z2627" s="40"/>
      <c r="AA2627" s="34"/>
      <c r="AB2627" s="41"/>
      <c r="AC2627" s="42" t="b">
        <v>0</v>
      </c>
      <c r="AD2627" s="66"/>
      <c r="AE2627" s="42"/>
      <c r="AF2627" s="42"/>
      <c r="AG2627" s="43"/>
    </row>
    <row r="2628">
      <c r="A2628" s="23"/>
      <c r="B2628" s="101"/>
      <c r="C2628" s="115"/>
      <c r="D2628" s="115"/>
      <c r="E2628" s="85"/>
      <c r="F2628" s="138"/>
      <c r="G2628" s="101"/>
      <c r="H2628" s="105"/>
      <c r="I2628" s="105"/>
      <c r="J2628" s="44"/>
      <c r="K2628" s="116"/>
      <c r="L2628" s="117"/>
      <c r="M2628" s="67"/>
      <c r="N2628" s="33"/>
      <c r="O2628" s="70"/>
      <c r="P2628" s="34"/>
      <c r="Q2628" s="60"/>
      <c r="R2628" s="36"/>
      <c r="S2628" s="71"/>
      <c r="T2628" s="37"/>
      <c r="U2628" s="118"/>
      <c r="V2628" s="74"/>
      <c r="W2628" s="74"/>
      <c r="X2628" s="35"/>
      <c r="Y2628" s="35"/>
      <c r="Z2628" s="40"/>
      <c r="AA2628" s="34"/>
      <c r="AB2628" s="41"/>
      <c r="AC2628" s="42" t="b">
        <v>0</v>
      </c>
      <c r="AD2628" s="66"/>
      <c r="AE2628" s="42"/>
      <c r="AF2628" s="42"/>
      <c r="AG2628" s="43"/>
    </row>
    <row r="2629">
      <c r="A2629" s="23"/>
      <c r="B2629" s="101"/>
      <c r="C2629" s="115"/>
      <c r="D2629" s="115"/>
      <c r="E2629" s="85"/>
      <c r="F2629" s="138"/>
      <c r="G2629" s="101"/>
      <c r="H2629" s="105"/>
      <c r="I2629" s="105"/>
      <c r="J2629" s="44"/>
      <c r="K2629" s="116"/>
      <c r="L2629" s="117"/>
      <c r="M2629" s="67"/>
      <c r="N2629" s="33"/>
      <c r="O2629" s="70"/>
      <c r="P2629" s="34"/>
      <c r="Q2629" s="60"/>
      <c r="R2629" s="36"/>
      <c r="S2629" s="71"/>
      <c r="T2629" s="37"/>
      <c r="U2629" s="118"/>
      <c r="V2629" s="74"/>
      <c r="W2629" s="74"/>
      <c r="X2629" s="35"/>
      <c r="Y2629" s="35"/>
      <c r="Z2629" s="40"/>
      <c r="AA2629" s="34"/>
      <c r="AB2629" s="41"/>
      <c r="AC2629" s="42" t="b">
        <v>0</v>
      </c>
      <c r="AD2629" s="66"/>
      <c r="AE2629" s="42"/>
      <c r="AF2629" s="42"/>
      <c r="AG2629" s="43"/>
    </row>
    <row r="2630">
      <c r="A2630" s="23"/>
      <c r="B2630" s="101"/>
      <c r="C2630" s="115"/>
      <c r="D2630" s="115"/>
      <c r="E2630" s="85"/>
      <c r="F2630" s="138"/>
      <c r="G2630" s="101"/>
      <c r="H2630" s="105"/>
      <c r="I2630" s="105"/>
      <c r="J2630" s="44"/>
      <c r="K2630" s="116"/>
      <c r="L2630" s="117"/>
      <c r="M2630" s="67"/>
      <c r="N2630" s="33"/>
      <c r="O2630" s="70"/>
      <c r="P2630" s="34"/>
      <c r="Q2630" s="60"/>
      <c r="R2630" s="36"/>
      <c r="S2630" s="71"/>
      <c r="T2630" s="37"/>
      <c r="U2630" s="118"/>
      <c r="V2630" s="74"/>
      <c r="W2630" s="74"/>
      <c r="X2630" s="35"/>
      <c r="Y2630" s="35"/>
      <c r="Z2630" s="40"/>
      <c r="AA2630" s="34"/>
      <c r="AB2630" s="41"/>
      <c r="AC2630" s="42" t="b">
        <v>0</v>
      </c>
      <c r="AD2630" s="66"/>
      <c r="AE2630" s="42"/>
      <c r="AF2630" s="42"/>
      <c r="AG2630" s="43"/>
    </row>
    <row r="2631">
      <c r="A2631" s="23"/>
      <c r="B2631" s="101"/>
      <c r="C2631" s="115"/>
      <c r="D2631" s="115"/>
      <c r="E2631" s="85"/>
      <c r="F2631" s="138"/>
      <c r="G2631" s="101"/>
      <c r="H2631" s="105"/>
      <c r="I2631" s="105"/>
      <c r="J2631" s="44"/>
      <c r="K2631" s="116"/>
      <c r="L2631" s="117"/>
      <c r="M2631" s="67"/>
      <c r="N2631" s="33"/>
      <c r="O2631" s="70"/>
      <c r="P2631" s="34"/>
      <c r="Q2631" s="60"/>
      <c r="R2631" s="36"/>
      <c r="S2631" s="71"/>
      <c r="T2631" s="37"/>
      <c r="U2631" s="118"/>
      <c r="V2631" s="74"/>
      <c r="W2631" s="74"/>
      <c r="X2631" s="35"/>
      <c r="Y2631" s="35"/>
      <c r="Z2631" s="40"/>
      <c r="AA2631" s="34"/>
      <c r="AB2631" s="41"/>
      <c r="AC2631" s="42" t="b">
        <v>0</v>
      </c>
      <c r="AD2631" s="66"/>
      <c r="AE2631" s="42"/>
      <c r="AF2631" s="42"/>
      <c r="AG2631" s="43"/>
    </row>
    <row r="2632">
      <c r="A2632" s="23"/>
      <c r="B2632" s="101"/>
      <c r="C2632" s="115"/>
      <c r="D2632" s="115"/>
      <c r="E2632" s="85"/>
      <c r="F2632" s="138"/>
      <c r="G2632" s="101"/>
      <c r="H2632" s="105"/>
      <c r="I2632" s="105"/>
      <c r="J2632" s="44"/>
      <c r="K2632" s="116"/>
      <c r="L2632" s="117"/>
      <c r="M2632" s="67"/>
      <c r="N2632" s="33"/>
      <c r="O2632" s="70"/>
      <c r="P2632" s="34"/>
      <c r="Q2632" s="60"/>
      <c r="R2632" s="36"/>
      <c r="S2632" s="71"/>
      <c r="T2632" s="37"/>
      <c r="U2632" s="118"/>
      <c r="V2632" s="74"/>
      <c r="W2632" s="74"/>
      <c r="X2632" s="35"/>
      <c r="Y2632" s="35"/>
      <c r="Z2632" s="40"/>
      <c r="AA2632" s="34"/>
      <c r="AB2632" s="41"/>
      <c r="AC2632" s="42" t="b">
        <v>0</v>
      </c>
      <c r="AD2632" s="66"/>
      <c r="AE2632" s="42"/>
      <c r="AF2632" s="42"/>
      <c r="AG2632" s="43"/>
    </row>
    <row r="2633">
      <c r="A2633" s="23"/>
      <c r="B2633" s="101"/>
      <c r="C2633" s="115"/>
      <c r="D2633" s="115"/>
      <c r="E2633" s="85"/>
      <c r="F2633" s="138"/>
      <c r="G2633" s="101"/>
      <c r="H2633" s="105"/>
      <c r="I2633" s="105"/>
      <c r="J2633" s="44"/>
      <c r="K2633" s="116"/>
      <c r="L2633" s="117"/>
      <c r="M2633" s="67"/>
      <c r="N2633" s="33"/>
      <c r="O2633" s="70"/>
      <c r="P2633" s="34"/>
      <c r="Q2633" s="60"/>
      <c r="R2633" s="36"/>
      <c r="S2633" s="71"/>
      <c r="T2633" s="37"/>
      <c r="U2633" s="118"/>
      <c r="V2633" s="74"/>
      <c r="W2633" s="74"/>
      <c r="X2633" s="35"/>
      <c r="Y2633" s="35"/>
      <c r="Z2633" s="40"/>
      <c r="AA2633" s="34"/>
      <c r="AB2633" s="41"/>
      <c r="AC2633" s="42" t="b">
        <v>0</v>
      </c>
      <c r="AD2633" s="66"/>
      <c r="AE2633" s="42"/>
      <c r="AF2633" s="42"/>
      <c r="AG2633" s="43"/>
    </row>
    <row r="2634">
      <c r="A2634" s="23"/>
      <c r="B2634" s="101"/>
      <c r="C2634" s="115"/>
      <c r="D2634" s="115"/>
      <c r="E2634" s="85"/>
      <c r="F2634" s="138"/>
      <c r="G2634" s="101"/>
      <c r="H2634" s="105"/>
      <c r="I2634" s="105"/>
      <c r="J2634" s="44"/>
      <c r="K2634" s="116"/>
      <c r="L2634" s="117"/>
      <c r="M2634" s="67"/>
      <c r="N2634" s="33"/>
      <c r="O2634" s="70"/>
      <c r="P2634" s="34"/>
      <c r="Q2634" s="60"/>
      <c r="R2634" s="36"/>
      <c r="S2634" s="71"/>
      <c r="T2634" s="37"/>
      <c r="U2634" s="118"/>
      <c r="V2634" s="74"/>
      <c r="W2634" s="74"/>
      <c r="X2634" s="35"/>
      <c r="Y2634" s="35"/>
      <c r="Z2634" s="40"/>
      <c r="AA2634" s="34"/>
      <c r="AB2634" s="41"/>
      <c r="AC2634" s="42" t="b">
        <v>0</v>
      </c>
      <c r="AD2634" s="66"/>
      <c r="AE2634" s="42"/>
      <c r="AF2634" s="42"/>
      <c r="AG2634" s="43"/>
    </row>
    <row r="2635">
      <c r="A2635" s="23"/>
      <c r="B2635" s="101"/>
      <c r="C2635" s="115"/>
      <c r="D2635" s="115"/>
      <c r="E2635" s="85"/>
      <c r="F2635" s="138"/>
      <c r="G2635" s="101"/>
      <c r="H2635" s="105"/>
      <c r="I2635" s="105"/>
      <c r="J2635" s="44"/>
      <c r="K2635" s="116"/>
      <c r="L2635" s="117"/>
      <c r="M2635" s="67"/>
      <c r="N2635" s="33"/>
      <c r="O2635" s="70"/>
      <c r="P2635" s="34"/>
      <c r="Q2635" s="60"/>
      <c r="R2635" s="36"/>
      <c r="S2635" s="71"/>
      <c r="T2635" s="37"/>
      <c r="U2635" s="118"/>
      <c r="V2635" s="74"/>
      <c r="W2635" s="74"/>
      <c r="X2635" s="35"/>
      <c r="Y2635" s="35"/>
      <c r="Z2635" s="40"/>
      <c r="AA2635" s="34"/>
      <c r="AB2635" s="41"/>
      <c r="AC2635" s="42" t="b">
        <v>0</v>
      </c>
      <c r="AD2635" s="66"/>
      <c r="AE2635" s="42"/>
      <c r="AF2635" s="42"/>
      <c r="AG2635" s="43"/>
    </row>
    <row r="2636">
      <c r="A2636" s="23"/>
      <c r="B2636" s="101"/>
      <c r="C2636" s="115"/>
      <c r="D2636" s="115"/>
      <c r="E2636" s="85"/>
      <c r="F2636" s="138"/>
      <c r="G2636" s="101"/>
      <c r="H2636" s="105"/>
      <c r="I2636" s="105"/>
      <c r="J2636" s="44"/>
      <c r="K2636" s="116"/>
      <c r="L2636" s="117"/>
      <c r="M2636" s="67"/>
      <c r="N2636" s="33"/>
      <c r="O2636" s="70"/>
      <c r="P2636" s="34"/>
      <c r="Q2636" s="60"/>
      <c r="R2636" s="36"/>
      <c r="S2636" s="71"/>
      <c r="T2636" s="37"/>
      <c r="U2636" s="118"/>
      <c r="V2636" s="74"/>
      <c r="W2636" s="74"/>
      <c r="X2636" s="35"/>
      <c r="Y2636" s="35"/>
      <c r="Z2636" s="40"/>
      <c r="AA2636" s="34"/>
      <c r="AB2636" s="41"/>
      <c r="AC2636" s="42" t="b">
        <v>0</v>
      </c>
      <c r="AD2636" s="66"/>
      <c r="AE2636" s="42"/>
      <c r="AF2636" s="42"/>
      <c r="AG2636" s="43"/>
    </row>
    <row r="2637">
      <c r="A2637" s="23"/>
      <c r="B2637" s="101"/>
      <c r="C2637" s="115"/>
      <c r="D2637" s="115"/>
      <c r="E2637" s="85"/>
      <c r="F2637" s="138"/>
      <c r="G2637" s="101"/>
      <c r="H2637" s="105"/>
      <c r="I2637" s="105"/>
      <c r="J2637" s="44"/>
      <c r="K2637" s="116"/>
      <c r="L2637" s="117"/>
      <c r="M2637" s="67"/>
      <c r="N2637" s="33"/>
      <c r="O2637" s="70"/>
      <c r="P2637" s="34"/>
      <c r="Q2637" s="60"/>
      <c r="R2637" s="36"/>
      <c r="S2637" s="71"/>
      <c r="T2637" s="37"/>
      <c r="U2637" s="118"/>
      <c r="V2637" s="74"/>
      <c r="W2637" s="74"/>
      <c r="X2637" s="35"/>
      <c r="Y2637" s="35"/>
      <c r="Z2637" s="40"/>
      <c r="AA2637" s="34"/>
      <c r="AB2637" s="41"/>
      <c r="AC2637" s="42" t="b">
        <v>0</v>
      </c>
      <c r="AD2637" s="66"/>
      <c r="AE2637" s="42"/>
      <c r="AF2637" s="42"/>
      <c r="AG2637" s="43"/>
    </row>
    <row r="2638">
      <c r="A2638" s="23"/>
      <c r="B2638" s="101"/>
      <c r="C2638" s="115"/>
      <c r="D2638" s="115"/>
      <c r="E2638" s="85"/>
      <c r="F2638" s="138"/>
      <c r="G2638" s="101"/>
      <c r="H2638" s="105"/>
      <c r="I2638" s="105"/>
      <c r="J2638" s="44"/>
      <c r="K2638" s="116"/>
      <c r="L2638" s="117"/>
      <c r="M2638" s="67"/>
      <c r="N2638" s="33"/>
      <c r="O2638" s="70"/>
      <c r="P2638" s="34"/>
      <c r="Q2638" s="60"/>
      <c r="R2638" s="36"/>
      <c r="S2638" s="71"/>
      <c r="T2638" s="37"/>
      <c r="U2638" s="118"/>
      <c r="V2638" s="74"/>
      <c r="W2638" s="74"/>
      <c r="X2638" s="35"/>
      <c r="Y2638" s="35"/>
      <c r="Z2638" s="40"/>
      <c r="AA2638" s="34"/>
      <c r="AB2638" s="41"/>
      <c r="AC2638" s="42" t="b">
        <v>0</v>
      </c>
      <c r="AD2638" s="66"/>
      <c r="AE2638" s="42"/>
      <c r="AF2638" s="42"/>
      <c r="AG2638" s="43"/>
    </row>
    <row r="2639">
      <c r="A2639" s="23"/>
      <c r="B2639" s="101"/>
      <c r="C2639" s="115"/>
      <c r="D2639" s="115"/>
      <c r="E2639" s="85"/>
      <c r="F2639" s="138"/>
      <c r="G2639" s="101"/>
      <c r="H2639" s="105"/>
      <c r="I2639" s="105"/>
      <c r="J2639" s="44"/>
      <c r="K2639" s="116"/>
      <c r="L2639" s="117"/>
      <c r="M2639" s="67"/>
      <c r="N2639" s="33"/>
      <c r="O2639" s="70"/>
      <c r="P2639" s="34"/>
      <c r="Q2639" s="60"/>
      <c r="R2639" s="36"/>
      <c r="S2639" s="71"/>
      <c r="T2639" s="37"/>
      <c r="U2639" s="118"/>
      <c r="V2639" s="74"/>
      <c r="W2639" s="74"/>
      <c r="X2639" s="35"/>
      <c r="Y2639" s="35"/>
      <c r="Z2639" s="40"/>
      <c r="AA2639" s="34"/>
      <c r="AB2639" s="41"/>
      <c r="AC2639" s="42" t="b">
        <v>0</v>
      </c>
      <c r="AD2639" s="66"/>
      <c r="AE2639" s="42"/>
      <c r="AF2639" s="42"/>
      <c r="AG2639" s="43"/>
    </row>
    <row r="2640">
      <c r="A2640" s="23"/>
      <c r="B2640" s="101"/>
      <c r="C2640" s="115"/>
      <c r="D2640" s="115"/>
      <c r="E2640" s="85"/>
      <c r="F2640" s="138"/>
      <c r="G2640" s="101"/>
      <c r="H2640" s="105"/>
      <c r="I2640" s="105"/>
      <c r="J2640" s="44"/>
      <c r="K2640" s="116"/>
      <c r="L2640" s="117"/>
      <c r="M2640" s="67"/>
      <c r="N2640" s="33"/>
      <c r="O2640" s="70"/>
      <c r="P2640" s="34"/>
      <c r="Q2640" s="60"/>
      <c r="R2640" s="36"/>
      <c r="S2640" s="71"/>
      <c r="T2640" s="37"/>
      <c r="U2640" s="118"/>
      <c r="V2640" s="74"/>
      <c r="W2640" s="74"/>
      <c r="X2640" s="35"/>
      <c r="Y2640" s="35"/>
      <c r="Z2640" s="40"/>
      <c r="AA2640" s="34"/>
      <c r="AB2640" s="41"/>
      <c r="AC2640" s="42" t="b">
        <v>0</v>
      </c>
      <c r="AD2640" s="66"/>
      <c r="AE2640" s="42"/>
      <c r="AF2640" s="42"/>
      <c r="AG2640" s="43"/>
    </row>
    <row r="2641">
      <c r="A2641" s="23"/>
      <c r="B2641" s="101"/>
      <c r="C2641" s="115"/>
      <c r="D2641" s="115"/>
      <c r="E2641" s="85"/>
      <c r="F2641" s="138"/>
      <c r="G2641" s="101"/>
      <c r="H2641" s="105"/>
      <c r="I2641" s="105"/>
      <c r="J2641" s="44"/>
      <c r="K2641" s="116"/>
      <c r="L2641" s="117"/>
      <c r="M2641" s="67"/>
      <c r="N2641" s="33"/>
      <c r="O2641" s="70"/>
      <c r="P2641" s="34"/>
      <c r="Q2641" s="60"/>
      <c r="R2641" s="36"/>
      <c r="S2641" s="71"/>
      <c r="T2641" s="37"/>
      <c r="U2641" s="118"/>
      <c r="V2641" s="74"/>
      <c r="W2641" s="74"/>
      <c r="X2641" s="35"/>
      <c r="Y2641" s="35"/>
      <c r="Z2641" s="40"/>
      <c r="AA2641" s="34"/>
      <c r="AB2641" s="41"/>
      <c r="AC2641" s="42" t="b">
        <v>0</v>
      </c>
      <c r="AD2641" s="66"/>
      <c r="AE2641" s="42"/>
      <c r="AF2641" s="42"/>
      <c r="AG2641" s="43"/>
    </row>
    <row r="2642">
      <c r="A2642" s="23"/>
      <c r="B2642" s="101"/>
      <c r="C2642" s="115"/>
      <c r="D2642" s="115"/>
      <c r="E2642" s="85"/>
      <c r="F2642" s="138"/>
      <c r="G2642" s="101"/>
      <c r="H2642" s="105"/>
      <c r="I2642" s="105"/>
      <c r="J2642" s="44"/>
      <c r="K2642" s="116"/>
      <c r="L2642" s="117"/>
      <c r="M2642" s="67"/>
      <c r="N2642" s="33"/>
      <c r="O2642" s="70"/>
      <c r="P2642" s="34"/>
      <c r="Q2642" s="60"/>
      <c r="R2642" s="36"/>
      <c r="S2642" s="71"/>
      <c r="T2642" s="37"/>
      <c r="U2642" s="118"/>
      <c r="V2642" s="74"/>
      <c r="W2642" s="74"/>
      <c r="X2642" s="35"/>
      <c r="Y2642" s="35"/>
      <c r="Z2642" s="40"/>
      <c r="AA2642" s="34"/>
      <c r="AB2642" s="41"/>
      <c r="AC2642" s="42" t="b">
        <v>0</v>
      </c>
      <c r="AD2642" s="66"/>
      <c r="AE2642" s="42"/>
      <c r="AF2642" s="42"/>
      <c r="AG2642" s="43"/>
    </row>
    <row r="2643">
      <c r="A2643" s="23"/>
      <c r="B2643" s="101"/>
      <c r="C2643" s="115"/>
      <c r="D2643" s="115"/>
      <c r="E2643" s="85"/>
      <c r="F2643" s="138"/>
      <c r="G2643" s="101"/>
      <c r="H2643" s="105"/>
      <c r="I2643" s="105"/>
      <c r="J2643" s="44"/>
      <c r="K2643" s="116"/>
      <c r="L2643" s="117"/>
      <c r="M2643" s="67"/>
      <c r="N2643" s="33"/>
      <c r="O2643" s="70"/>
      <c r="P2643" s="34"/>
      <c r="Q2643" s="60"/>
      <c r="R2643" s="36"/>
      <c r="S2643" s="71"/>
      <c r="T2643" s="37"/>
      <c r="U2643" s="118"/>
      <c r="V2643" s="74"/>
      <c r="W2643" s="74"/>
      <c r="X2643" s="35"/>
      <c r="Y2643" s="35"/>
      <c r="Z2643" s="40"/>
      <c r="AA2643" s="34"/>
      <c r="AB2643" s="41"/>
      <c r="AC2643" s="42" t="b">
        <v>0</v>
      </c>
      <c r="AD2643" s="66"/>
      <c r="AE2643" s="42"/>
      <c r="AF2643" s="42"/>
      <c r="AG2643" s="43"/>
    </row>
    <row r="2644">
      <c r="A2644" s="23"/>
      <c r="B2644" s="101"/>
      <c r="C2644" s="115"/>
      <c r="D2644" s="115"/>
      <c r="E2644" s="85"/>
      <c r="F2644" s="138"/>
      <c r="G2644" s="101"/>
      <c r="H2644" s="105"/>
      <c r="I2644" s="105"/>
      <c r="J2644" s="44"/>
      <c r="K2644" s="116"/>
      <c r="L2644" s="117"/>
      <c r="M2644" s="67"/>
      <c r="N2644" s="33"/>
      <c r="O2644" s="70"/>
      <c r="P2644" s="34"/>
      <c r="Q2644" s="60"/>
      <c r="R2644" s="36"/>
      <c r="S2644" s="71"/>
      <c r="T2644" s="37"/>
      <c r="U2644" s="118"/>
      <c r="V2644" s="74"/>
      <c r="W2644" s="74"/>
      <c r="X2644" s="35"/>
      <c r="Y2644" s="35"/>
      <c r="Z2644" s="40"/>
      <c r="AA2644" s="34"/>
      <c r="AB2644" s="41"/>
      <c r="AC2644" s="42" t="b">
        <v>0</v>
      </c>
      <c r="AD2644" s="66"/>
      <c r="AE2644" s="42"/>
      <c r="AF2644" s="42"/>
      <c r="AG2644" s="43"/>
    </row>
    <row r="2645">
      <c r="A2645" s="23"/>
      <c r="B2645" s="101"/>
      <c r="C2645" s="115"/>
      <c r="D2645" s="115"/>
      <c r="E2645" s="85"/>
      <c r="F2645" s="138"/>
      <c r="G2645" s="101"/>
      <c r="H2645" s="105"/>
      <c r="I2645" s="105"/>
      <c r="J2645" s="44"/>
      <c r="K2645" s="116"/>
      <c r="L2645" s="117"/>
      <c r="M2645" s="67"/>
      <c r="N2645" s="33"/>
      <c r="O2645" s="70"/>
      <c r="P2645" s="34"/>
      <c r="Q2645" s="60"/>
      <c r="R2645" s="36"/>
      <c r="S2645" s="71"/>
      <c r="T2645" s="37"/>
      <c r="U2645" s="118"/>
      <c r="V2645" s="74"/>
      <c r="W2645" s="74"/>
      <c r="X2645" s="35"/>
      <c r="Y2645" s="35"/>
      <c r="Z2645" s="40"/>
      <c r="AA2645" s="34"/>
      <c r="AB2645" s="41"/>
      <c r="AC2645" s="42" t="b">
        <v>0</v>
      </c>
      <c r="AD2645" s="66"/>
      <c r="AE2645" s="42"/>
      <c r="AF2645" s="42"/>
      <c r="AG2645" s="43"/>
    </row>
    <row r="2646">
      <c r="A2646" s="23"/>
      <c r="B2646" s="101"/>
      <c r="C2646" s="115"/>
      <c r="D2646" s="115"/>
      <c r="E2646" s="85"/>
      <c r="F2646" s="138"/>
      <c r="G2646" s="101"/>
      <c r="H2646" s="105"/>
      <c r="I2646" s="105"/>
      <c r="J2646" s="44"/>
      <c r="K2646" s="116"/>
      <c r="L2646" s="117"/>
      <c r="M2646" s="67"/>
      <c r="N2646" s="33"/>
      <c r="O2646" s="70"/>
      <c r="P2646" s="34"/>
      <c r="Q2646" s="60"/>
      <c r="R2646" s="36"/>
      <c r="S2646" s="71"/>
      <c r="T2646" s="37"/>
      <c r="U2646" s="118"/>
      <c r="V2646" s="74"/>
      <c r="W2646" s="74"/>
      <c r="X2646" s="35"/>
      <c r="Y2646" s="35"/>
      <c r="Z2646" s="40"/>
      <c r="AA2646" s="34"/>
      <c r="AB2646" s="41"/>
      <c r="AC2646" s="42" t="b">
        <v>0</v>
      </c>
      <c r="AD2646" s="66"/>
      <c r="AE2646" s="42"/>
      <c r="AF2646" s="42"/>
      <c r="AG2646" s="43"/>
    </row>
    <row r="2647">
      <c r="A2647" s="23"/>
      <c r="B2647" s="101"/>
      <c r="C2647" s="115"/>
      <c r="D2647" s="115"/>
      <c r="E2647" s="85"/>
      <c r="F2647" s="138"/>
      <c r="G2647" s="101"/>
      <c r="H2647" s="105"/>
      <c r="I2647" s="105"/>
      <c r="J2647" s="44"/>
      <c r="K2647" s="116"/>
      <c r="L2647" s="117"/>
      <c r="M2647" s="67"/>
      <c r="N2647" s="33"/>
      <c r="O2647" s="70"/>
      <c r="P2647" s="34"/>
      <c r="Q2647" s="60"/>
      <c r="R2647" s="36"/>
      <c r="S2647" s="71"/>
      <c r="T2647" s="37"/>
      <c r="U2647" s="118"/>
      <c r="V2647" s="74"/>
      <c r="W2647" s="74"/>
      <c r="X2647" s="35"/>
      <c r="Y2647" s="35"/>
      <c r="Z2647" s="40"/>
      <c r="AA2647" s="34"/>
      <c r="AB2647" s="41"/>
      <c r="AC2647" s="42" t="b">
        <v>0</v>
      </c>
      <c r="AD2647" s="66"/>
      <c r="AE2647" s="42"/>
      <c r="AF2647" s="42"/>
      <c r="AG2647" s="43"/>
    </row>
    <row r="2648">
      <c r="A2648" s="23"/>
      <c r="B2648" s="101"/>
      <c r="C2648" s="115"/>
      <c r="D2648" s="115"/>
      <c r="E2648" s="85"/>
      <c r="F2648" s="138"/>
      <c r="G2648" s="101"/>
      <c r="H2648" s="105"/>
      <c r="I2648" s="105"/>
      <c r="J2648" s="44"/>
      <c r="K2648" s="116"/>
      <c r="L2648" s="117"/>
      <c r="M2648" s="67"/>
      <c r="N2648" s="33"/>
      <c r="O2648" s="70"/>
      <c r="P2648" s="34"/>
      <c r="Q2648" s="60"/>
      <c r="R2648" s="36"/>
      <c r="S2648" s="71"/>
      <c r="T2648" s="37"/>
      <c r="U2648" s="118"/>
      <c r="V2648" s="74"/>
      <c r="W2648" s="74"/>
      <c r="X2648" s="35"/>
      <c r="Y2648" s="35"/>
      <c r="Z2648" s="40"/>
      <c r="AA2648" s="34"/>
      <c r="AB2648" s="41"/>
      <c r="AC2648" s="42" t="b">
        <v>0</v>
      </c>
      <c r="AD2648" s="66"/>
      <c r="AE2648" s="42"/>
      <c r="AF2648" s="42"/>
      <c r="AG2648" s="43"/>
    </row>
    <row r="2649">
      <c r="A2649" s="23"/>
      <c r="B2649" s="101"/>
      <c r="C2649" s="115"/>
      <c r="D2649" s="115"/>
      <c r="E2649" s="85"/>
      <c r="F2649" s="138"/>
      <c r="G2649" s="101"/>
      <c r="H2649" s="105"/>
      <c r="I2649" s="105"/>
      <c r="J2649" s="44"/>
      <c r="K2649" s="116"/>
      <c r="L2649" s="117"/>
      <c r="M2649" s="67"/>
      <c r="N2649" s="33"/>
      <c r="O2649" s="70"/>
      <c r="P2649" s="34"/>
      <c r="Q2649" s="60"/>
      <c r="R2649" s="36"/>
      <c r="S2649" s="71"/>
      <c r="T2649" s="37"/>
      <c r="U2649" s="118"/>
      <c r="V2649" s="74"/>
      <c r="W2649" s="74"/>
      <c r="X2649" s="35"/>
      <c r="Y2649" s="35"/>
      <c r="Z2649" s="40"/>
      <c r="AA2649" s="34"/>
      <c r="AB2649" s="41"/>
      <c r="AC2649" s="42" t="b">
        <v>0</v>
      </c>
      <c r="AD2649" s="66"/>
      <c r="AE2649" s="42"/>
      <c r="AF2649" s="42"/>
      <c r="AG2649" s="43"/>
    </row>
    <row r="2650">
      <c r="A2650" s="23"/>
      <c r="B2650" s="101"/>
      <c r="C2650" s="115"/>
      <c r="D2650" s="115"/>
      <c r="E2650" s="85"/>
      <c r="F2650" s="138"/>
      <c r="G2650" s="101"/>
      <c r="H2650" s="105"/>
      <c r="I2650" s="105"/>
      <c r="J2650" s="44"/>
      <c r="K2650" s="116"/>
      <c r="L2650" s="117"/>
      <c r="M2650" s="67"/>
      <c r="N2650" s="33"/>
      <c r="O2650" s="70"/>
      <c r="P2650" s="34"/>
      <c r="Q2650" s="60"/>
      <c r="R2650" s="36"/>
      <c r="S2650" s="71"/>
      <c r="T2650" s="37"/>
      <c r="U2650" s="118"/>
      <c r="V2650" s="74"/>
      <c r="W2650" s="74"/>
      <c r="X2650" s="35"/>
      <c r="Y2650" s="35"/>
      <c r="Z2650" s="40"/>
      <c r="AA2650" s="34"/>
      <c r="AB2650" s="41"/>
      <c r="AC2650" s="42" t="b">
        <v>0</v>
      </c>
      <c r="AD2650" s="66"/>
      <c r="AE2650" s="42"/>
      <c r="AF2650" s="42"/>
      <c r="AG2650" s="43"/>
    </row>
    <row r="2651">
      <c r="A2651" s="23"/>
      <c r="B2651" s="101"/>
      <c r="C2651" s="115"/>
      <c r="D2651" s="115"/>
      <c r="E2651" s="85"/>
      <c r="F2651" s="138"/>
      <c r="G2651" s="101"/>
      <c r="H2651" s="105"/>
      <c r="I2651" s="105"/>
      <c r="J2651" s="44"/>
      <c r="K2651" s="116"/>
      <c r="L2651" s="117"/>
      <c r="M2651" s="67"/>
      <c r="N2651" s="33"/>
      <c r="O2651" s="70"/>
      <c r="P2651" s="34"/>
      <c r="Q2651" s="60"/>
      <c r="R2651" s="36"/>
      <c r="S2651" s="71"/>
      <c r="T2651" s="37"/>
      <c r="U2651" s="118"/>
      <c r="V2651" s="74"/>
      <c r="W2651" s="74"/>
      <c r="X2651" s="35"/>
      <c r="Y2651" s="35"/>
      <c r="Z2651" s="40"/>
      <c r="AA2651" s="34"/>
      <c r="AB2651" s="41"/>
      <c r="AC2651" s="42" t="b">
        <v>0</v>
      </c>
      <c r="AD2651" s="66"/>
      <c r="AE2651" s="42"/>
      <c r="AF2651" s="42"/>
      <c r="AG2651" s="43"/>
    </row>
    <row r="2652">
      <c r="A2652" s="23"/>
      <c r="B2652" s="101"/>
      <c r="C2652" s="115"/>
      <c r="D2652" s="115"/>
      <c r="E2652" s="85"/>
      <c r="F2652" s="138"/>
      <c r="G2652" s="101"/>
      <c r="H2652" s="105"/>
      <c r="I2652" s="105"/>
      <c r="J2652" s="44"/>
      <c r="K2652" s="116"/>
      <c r="L2652" s="117"/>
      <c r="M2652" s="67"/>
      <c r="N2652" s="33"/>
      <c r="O2652" s="70"/>
      <c r="P2652" s="34"/>
      <c r="Q2652" s="60"/>
      <c r="R2652" s="36"/>
      <c r="S2652" s="71"/>
      <c r="T2652" s="37"/>
      <c r="U2652" s="118"/>
      <c r="V2652" s="74"/>
      <c r="W2652" s="74"/>
      <c r="X2652" s="35"/>
      <c r="Y2652" s="35"/>
      <c r="Z2652" s="40"/>
      <c r="AA2652" s="34"/>
      <c r="AB2652" s="41"/>
      <c r="AC2652" s="42" t="b">
        <v>0</v>
      </c>
      <c r="AD2652" s="66"/>
      <c r="AE2652" s="42"/>
      <c r="AF2652" s="42"/>
      <c r="AG2652" s="43"/>
    </row>
    <row r="2653">
      <c r="A2653" s="23"/>
      <c r="B2653" s="101"/>
      <c r="C2653" s="115"/>
      <c r="D2653" s="115"/>
      <c r="E2653" s="85"/>
      <c r="F2653" s="138"/>
      <c r="G2653" s="101"/>
      <c r="H2653" s="105"/>
      <c r="I2653" s="105"/>
      <c r="J2653" s="44"/>
      <c r="K2653" s="116"/>
      <c r="L2653" s="117"/>
      <c r="M2653" s="67"/>
      <c r="N2653" s="33"/>
      <c r="O2653" s="70"/>
      <c r="P2653" s="34"/>
      <c r="Q2653" s="60"/>
      <c r="R2653" s="36"/>
      <c r="S2653" s="71"/>
      <c r="T2653" s="37"/>
      <c r="U2653" s="118"/>
      <c r="V2653" s="74"/>
      <c r="W2653" s="74"/>
      <c r="X2653" s="35"/>
      <c r="Y2653" s="35"/>
      <c r="Z2653" s="40"/>
      <c r="AA2653" s="34"/>
      <c r="AB2653" s="41"/>
      <c r="AC2653" s="42" t="b">
        <v>0</v>
      </c>
      <c r="AD2653" s="66"/>
      <c r="AE2653" s="42"/>
      <c r="AF2653" s="42"/>
      <c r="AG2653" s="43"/>
    </row>
    <row r="2654">
      <c r="A2654" s="23"/>
      <c r="B2654" s="101"/>
      <c r="C2654" s="115"/>
      <c r="D2654" s="115"/>
      <c r="E2654" s="85"/>
      <c r="F2654" s="138"/>
      <c r="G2654" s="101"/>
      <c r="H2654" s="105"/>
      <c r="I2654" s="105"/>
      <c r="J2654" s="44"/>
      <c r="K2654" s="116"/>
      <c r="L2654" s="117"/>
      <c r="M2654" s="67"/>
      <c r="N2654" s="33"/>
      <c r="O2654" s="70"/>
      <c r="P2654" s="34"/>
      <c r="Q2654" s="60"/>
      <c r="R2654" s="36"/>
      <c r="S2654" s="71"/>
      <c r="T2654" s="37"/>
      <c r="U2654" s="118"/>
      <c r="V2654" s="74"/>
      <c r="W2654" s="74"/>
      <c r="X2654" s="35"/>
      <c r="Y2654" s="35"/>
      <c r="Z2654" s="40"/>
      <c r="AA2654" s="34"/>
      <c r="AB2654" s="41"/>
      <c r="AC2654" s="42" t="b">
        <v>0</v>
      </c>
      <c r="AD2654" s="66"/>
      <c r="AE2654" s="42"/>
      <c r="AF2654" s="42"/>
      <c r="AG2654" s="43"/>
    </row>
    <row r="2655">
      <c r="A2655" s="23"/>
      <c r="B2655" s="101"/>
      <c r="C2655" s="115"/>
      <c r="D2655" s="115"/>
      <c r="E2655" s="85"/>
      <c r="F2655" s="138"/>
      <c r="G2655" s="101"/>
      <c r="H2655" s="105"/>
      <c r="I2655" s="105"/>
      <c r="J2655" s="44"/>
      <c r="K2655" s="116"/>
      <c r="L2655" s="117"/>
      <c r="M2655" s="67"/>
      <c r="N2655" s="33"/>
      <c r="O2655" s="70"/>
      <c r="P2655" s="34"/>
      <c r="Q2655" s="60"/>
      <c r="R2655" s="36"/>
      <c r="S2655" s="71"/>
      <c r="T2655" s="37"/>
      <c r="U2655" s="118"/>
      <c r="V2655" s="74"/>
      <c r="W2655" s="74"/>
      <c r="X2655" s="35"/>
      <c r="Y2655" s="35"/>
      <c r="Z2655" s="40"/>
      <c r="AA2655" s="34"/>
      <c r="AB2655" s="41"/>
      <c r="AC2655" s="42" t="b">
        <v>0</v>
      </c>
      <c r="AD2655" s="66"/>
      <c r="AE2655" s="42"/>
      <c r="AF2655" s="42"/>
      <c r="AG2655" s="43"/>
    </row>
    <row r="2656">
      <c r="A2656" s="23"/>
      <c r="B2656" s="101"/>
      <c r="C2656" s="115"/>
      <c r="D2656" s="115"/>
      <c r="E2656" s="85"/>
      <c r="F2656" s="138"/>
      <c r="G2656" s="101"/>
      <c r="H2656" s="105"/>
      <c r="I2656" s="105"/>
      <c r="J2656" s="44"/>
      <c r="K2656" s="116"/>
      <c r="L2656" s="117"/>
      <c r="M2656" s="67"/>
      <c r="N2656" s="33"/>
      <c r="O2656" s="70"/>
      <c r="P2656" s="34"/>
      <c r="Q2656" s="60"/>
      <c r="R2656" s="36"/>
      <c r="S2656" s="71"/>
      <c r="T2656" s="37"/>
      <c r="U2656" s="118"/>
      <c r="V2656" s="74"/>
      <c r="W2656" s="74"/>
      <c r="X2656" s="35"/>
      <c r="Y2656" s="35"/>
      <c r="Z2656" s="40"/>
      <c r="AA2656" s="34"/>
      <c r="AB2656" s="41"/>
      <c r="AC2656" s="42" t="b">
        <v>0</v>
      </c>
      <c r="AD2656" s="66"/>
      <c r="AE2656" s="42"/>
      <c r="AF2656" s="42"/>
      <c r="AG2656" s="43"/>
    </row>
    <row r="2657">
      <c r="A2657" s="23"/>
      <c r="B2657" s="101"/>
      <c r="C2657" s="115"/>
      <c r="D2657" s="115"/>
      <c r="E2657" s="85"/>
      <c r="F2657" s="138"/>
      <c r="G2657" s="101"/>
      <c r="H2657" s="105"/>
      <c r="I2657" s="105"/>
      <c r="J2657" s="44"/>
      <c r="K2657" s="116"/>
      <c r="L2657" s="117"/>
      <c r="M2657" s="67"/>
      <c r="N2657" s="33"/>
      <c r="O2657" s="70"/>
      <c r="P2657" s="34"/>
      <c r="Q2657" s="60"/>
      <c r="R2657" s="36"/>
      <c r="S2657" s="71"/>
      <c r="T2657" s="37"/>
      <c r="U2657" s="118"/>
      <c r="V2657" s="74"/>
      <c r="W2657" s="74"/>
      <c r="X2657" s="35"/>
      <c r="Y2657" s="35"/>
      <c r="Z2657" s="40"/>
      <c r="AA2657" s="34"/>
      <c r="AB2657" s="41"/>
      <c r="AC2657" s="42" t="b">
        <v>0</v>
      </c>
      <c r="AD2657" s="66"/>
      <c r="AE2657" s="42"/>
      <c r="AF2657" s="42"/>
      <c r="AG2657" s="43"/>
    </row>
    <row r="2658">
      <c r="A2658" s="23"/>
      <c r="B2658" s="101"/>
      <c r="C2658" s="115"/>
      <c r="D2658" s="115"/>
      <c r="E2658" s="85"/>
      <c r="F2658" s="138"/>
      <c r="G2658" s="101"/>
      <c r="H2658" s="105"/>
      <c r="I2658" s="105"/>
      <c r="J2658" s="44"/>
      <c r="K2658" s="116"/>
      <c r="L2658" s="117"/>
      <c r="M2658" s="67"/>
      <c r="N2658" s="33"/>
      <c r="O2658" s="70"/>
      <c r="P2658" s="34"/>
      <c r="Q2658" s="60"/>
      <c r="R2658" s="36"/>
      <c r="S2658" s="71"/>
      <c r="T2658" s="37"/>
      <c r="U2658" s="118"/>
      <c r="V2658" s="74"/>
      <c r="W2658" s="74"/>
      <c r="X2658" s="35"/>
      <c r="Y2658" s="35"/>
      <c r="Z2658" s="40"/>
      <c r="AA2658" s="34"/>
      <c r="AB2658" s="41"/>
      <c r="AC2658" s="42" t="b">
        <v>0</v>
      </c>
      <c r="AD2658" s="66"/>
      <c r="AE2658" s="42"/>
      <c r="AF2658" s="42"/>
      <c r="AG2658" s="43"/>
    </row>
    <row r="2659">
      <c r="A2659" s="23"/>
      <c r="B2659" s="101"/>
      <c r="C2659" s="115"/>
      <c r="D2659" s="115"/>
      <c r="E2659" s="85"/>
      <c r="F2659" s="138"/>
      <c r="G2659" s="101"/>
      <c r="H2659" s="105"/>
      <c r="I2659" s="105"/>
      <c r="J2659" s="44"/>
      <c r="K2659" s="116"/>
      <c r="L2659" s="117"/>
      <c r="M2659" s="67"/>
      <c r="N2659" s="33"/>
      <c r="O2659" s="70"/>
      <c r="P2659" s="34"/>
      <c r="Q2659" s="60"/>
      <c r="R2659" s="36"/>
      <c r="S2659" s="71"/>
      <c r="T2659" s="37"/>
      <c r="U2659" s="118"/>
      <c r="V2659" s="74"/>
      <c r="W2659" s="74"/>
      <c r="X2659" s="35"/>
      <c r="Y2659" s="35"/>
      <c r="Z2659" s="40"/>
      <c r="AA2659" s="34"/>
      <c r="AB2659" s="41"/>
      <c r="AC2659" s="42" t="b">
        <v>0</v>
      </c>
      <c r="AD2659" s="66"/>
      <c r="AE2659" s="42"/>
      <c r="AF2659" s="42"/>
      <c r="AG2659" s="43"/>
    </row>
    <row r="2660">
      <c r="A2660" s="23"/>
      <c r="B2660" s="101"/>
      <c r="C2660" s="115"/>
      <c r="D2660" s="115"/>
      <c r="E2660" s="85"/>
      <c r="F2660" s="138"/>
      <c r="G2660" s="101"/>
      <c r="H2660" s="105"/>
      <c r="I2660" s="105"/>
      <c r="J2660" s="44"/>
      <c r="K2660" s="116"/>
      <c r="L2660" s="117"/>
      <c r="M2660" s="67"/>
      <c r="N2660" s="33"/>
      <c r="O2660" s="70"/>
      <c r="P2660" s="34"/>
      <c r="Q2660" s="60"/>
      <c r="R2660" s="36"/>
      <c r="S2660" s="71"/>
      <c r="T2660" s="37"/>
      <c r="U2660" s="118"/>
      <c r="V2660" s="74"/>
      <c r="W2660" s="74"/>
      <c r="X2660" s="35"/>
      <c r="Y2660" s="35"/>
      <c r="Z2660" s="40"/>
      <c r="AA2660" s="34"/>
      <c r="AB2660" s="41"/>
      <c r="AC2660" s="42" t="b">
        <v>0</v>
      </c>
      <c r="AD2660" s="66"/>
      <c r="AE2660" s="42"/>
      <c r="AF2660" s="42"/>
      <c r="AG2660" s="43"/>
    </row>
    <row r="2661">
      <c r="A2661" s="23"/>
      <c r="B2661" s="101"/>
      <c r="C2661" s="115"/>
      <c r="D2661" s="115"/>
      <c r="E2661" s="85"/>
      <c r="F2661" s="138"/>
      <c r="G2661" s="101"/>
      <c r="H2661" s="105"/>
      <c r="I2661" s="105"/>
      <c r="J2661" s="44"/>
      <c r="K2661" s="116"/>
      <c r="L2661" s="117"/>
      <c r="M2661" s="67"/>
      <c r="N2661" s="33"/>
      <c r="O2661" s="70"/>
      <c r="P2661" s="34"/>
      <c r="Q2661" s="60"/>
      <c r="R2661" s="36"/>
      <c r="S2661" s="71"/>
      <c r="T2661" s="37"/>
      <c r="U2661" s="118"/>
      <c r="V2661" s="74"/>
      <c r="W2661" s="74"/>
      <c r="X2661" s="35"/>
      <c r="Y2661" s="35"/>
      <c r="Z2661" s="40"/>
      <c r="AA2661" s="34"/>
      <c r="AB2661" s="41"/>
      <c r="AC2661" s="42" t="b">
        <v>0</v>
      </c>
      <c r="AD2661" s="66"/>
      <c r="AE2661" s="42"/>
      <c r="AF2661" s="42"/>
      <c r="AG2661" s="43"/>
    </row>
    <row r="2662">
      <c r="A2662" s="23"/>
      <c r="B2662" s="101"/>
      <c r="C2662" s="115"/>
      <c r="D2662" s="115"/>
      <c r="E2662" s="85"/>
      <c r="F2662" s="138"/>
      <c r="G2662" s="101"/>
      <c r="H2662" s="105"/>
      <c r="I2662" s="105"/>
      <c r="J2662" s="44"/>
      <c r="K2662" s="116"/>
      <c r="L2662" s="117"/>
      <c r="M2662" s="67"/>
      <c r="N2662" s="33"/>
      <c r="O2662" s="70"/>
      <c r="P2662" s="34"/>
      <c r="Q2662" s="60"/>
      <c r="R2662" s="36"/>
      <c r="S2662" s="71"/>
      <c r="T2662" s="37"/>
      <c r="U2662" s="118"/>
      <c r="V2662" s="74"/>
      <c r="W2662" s="74"/>
      <c r="X2662" s="35"/>
      <c r="Y2662" s="35"/>
      <c r="Z2662" s="40"/>
      <c r="AA2662" s="34"/>
      <c r="AB2662" s="41"/>
      <c r="AC2662" s="42" t="b">
        <v>0</v>
      </c>
      <c r="AD2662" s="66"/>
      <c r="AE2662" s="42"/>
      <c r="AF2662" s="42"/>
      <c r="AG2662" s="43"/>
    </row>
    <row r="2663">
      <c r="A2663" s="23"/>
      <c r="B2663" s="101"/>
      <c r="C2663" s="115"/>
      <c r="D2663" s="115"/>
      <c r="E2663" s="85"/>
      <c r="F2663" s="138"/>
      <c r="G2663" s="101"/>
      <c r="H2663" s="105"/>
      <c r="I2663" s="105"/>
      <c r="J2663" s="44"/>
      <c r="K2663" s="116"/>
      <c r="L2663" s="117"/>
      <c r="M2663" s="67"/>
      <c r="N2663" s="33"/>
      <c r="O2663" s="70"/>
      <c r="P2663" s="34"/>
      <c r="Q2663" s="60"/>
      <c r="R2663" s="36"/>
      <c r="S2663" s="71"/>
      <c r="T2663" s="37"/>
      <c r="U2663" s="118"/>
      <c r="V2663" s="74"/>
      <c r="W2663" s="74"/>
      <c r="X2663" s="35"/>
      <c r="Y2663" s="35"/>
      <c r="Z2663" s="40"/>
      <c r="AA2663" s="34"/>
      <c r="AB2663" s="41"/>
      <c r="AC2663" s="42" t="b">
        <v>0</v>
      </c>
      <c r="AD2663" s="66"/>
      <c r="AE2663" s="42"/>
      <c r="AF2663" s="42"/>
      <c r="AG2663" s="43"/>
    </row>
    <row r="2664">
      <c r="A2664" s="23"/>
      <c r="B2664" s="101"/>
      <c r="C2664" s="115"/>
      <c r="D2664" s="115"/>
      <c r="E2664" s="85"/>
      <c r="F2664" s="138"/>
      <c r="G2664" s="101"/>
      <c r="H2664" s="105"/>
      <c r="I2664" s="105"/>
      <c r="J2664" s="44"/>
      <c r="K2664" s="116"/>
      <c r="L2664" s="117"/>
      <c r="M2664" s="67"/>
      <c r="N2664" s="33"/>
      <c r="O2664" s="70"/>
      <c r="P2664" s="34"/>
      <c r="Q2664" s="60"/>
      <c r="R2664" s="36"/>
      <c r="S2664" s="71"/>
      <c r="T2664" s="37"/>
      <c r="U2664" s="118"/>
      <c r="V2664" s="74"/>
      <c r="W2664" s="74"/>
      <c r="X2664" s="35"/>
      <c r="Y2664" s="35"/>
      <c r="Z2664" s="40"/>
      <c r="AA2664" s="34"/>
      <c r="AB2664" s="41"/>
      <c r="AC2664" s="42" t="b">
        <v>0</v>
      </c>
      <c r="AD2664" s="66"/>
      <c r="AE2664" s="42"/>
      <c r="AF2664" s="42"/>
      <c r="AG2664" s="43"/>
    </row>
    <row r="2665">
      <c r="A2665" s="23"/>
      <c r="B2665" s="101"/>
      <c r="C2665" s="115"/>
      <c r="D2665" s="115"/>
      <c r="E2665" s="85"/>
      <c r="F2665" s="138"/>
      <c r="G2665" s="101"/>
      <c r="H2665" s="105"/>
      <c r="I2665" s="105"/>
      <c r="J2665" s="44"/>
      <c r="K2665" s="116"/>
      <c r="L2665" s="117"/>
      <c r="M2665" s="67"/>
      <c r="N2665" s="33"/>
      <c r="O2665" s="70"/>
      <c r="P2665" s="34"/>
      <c r="Q2665" s="60"/>
      <c r="R2665" s="36"/>
      <c r="S2665" s="71"/>
      <c r="T2665" s="37"/>
      <c r="U2665" s="118"/>
      <c r="V2665" s="74"/>
      <c r="W2665" s="74"/>
      <c r="X2665" s="35"/>
      <c r="Y2665" s="35"/>
      <c r="Z2665" s="40"/>
      <c r="AA2665" s="34"/>
      <c r="AB2665" s="41"/>
      <c r="AC2665" s="42" t="b">
        <v>0</v>
      </c>
      <c r="AD2665" s="66"/>
      <c r="AE2665" s="42"/>
      <c r="AF2665" s="42"/>
      <c r="AG2665" s="43"/>
    </row>
    <row r="2666">
      <c r="A2666" s="23"/>
      <c r="B2666" s="101"/>
      <c r="C2666" s="115"/>
      <c r="D2666" s="115"/>
      <c r="E2666" s="85"/>
      <c r="F2666" s="138"/>
      <c r="G2666" s="101"/>
      <c r="H2666" s="105"/>
      <c r="I2666" s="105"/>
      <c r="J2666" s="44"/>
      <c r="K2666" s="116"/>
      <c r="L2666" s="117"/>
      <c r="M2666" s="67"/>
      <c r="N2666" s="33"/>
      <c r="O2666" s="70"/>
      <c r="P2666" s="34"/>
      <c r="Q2666" s="60"/>
      <c r="R2666" s="36"/>
      <c r="S2666" s="71"/>
      <c r="T2666" s="37"/>
      <c r="U2666" s="118"/>
      <c r="V2666" s="74"/>
      <c r="W2666" s="74"/>
      <c r="X2666" s="35"/>
      <c r="Y2666" s="35"/>
      <c r="Z2666" s="40"/>
      <c r="AA2666" s="34"/>
      <c r="AB2666" s="41"/>
      <c r="AC2666" s="42" t="b">
        <v>0</v>
      </c>
      <c r="AD2666" s="66"/>
      <c r="AE2666" s="42"/>
      <c r="AF2666" s="42"/>
      <c r="AG2666" s="43"/>
    </row>
    <row r="2667">
      <c r="A2667" s="23"/>
      <c r="B2667" s="101"/>
      <c r="C2667" s="115"/>
      <c r="D2667" s="115"/>
      <c r="E2667" s="85"/>
      <c r="F2667" s="138"/>
      <c r="G2667" s="101"/>
      <c r="H2667" s="105"/>
      <c r="I2667" s="105"/>
      <c r="J2667" s="44"/>
      <c r="K2667" s="116"/>
      <c r="L2667" s="117"/>
      <c r="M2667" s="67"/>
      <c r="N2667" s="33"/>
      <c r="O2667" s="70"/>
      <c r="P2667" s="34"/>
      <c r="Q2667" s="60"/>
      <c r="R2667" s="36"/>
      <c r="S2667" s="71"/>
      <c r="T2667" s="37"/>
      <c r="U2667" s="118"/>
      <c r="V2667" s="74"/>
      <c r="W2667" s="74"/>
      <c r="X2667" s="35"/>
      <c r="Y2667" s="35"/>
      <c r="Z2667" s="40"/>
      <c r="AA2667" s="34"/>
      <c r="AB2667" s="41"/>
      <c r="AC2667" s="42" t="b">
        <v>0</v>
      </c>
      <c r="AD2667" s="66"/>
      <c r="AE2667" s="42"/>
      <c r="AF2667" s="42"/>
      <c r="AG2667" s="43"/>
    </row>
    <row r="2668">
      <c r="A2668" s="23"/>
      <c r="B2668" s="101"/>
      <c r="C2668" s="115"/>
      <c r="D2668" s="115"/>
      <c r="E2668" s="85"/>
      <c r="F2668" s="138"/>
      <c r="G2668" s="101"/>
      <c r="H2668" s="105"/>
      <c r="I2668" s="105"/>
      <c r="J2668" s="44"/>
      <c r="K2668" s="116"/>
      <c r="L2668" s="117"/>
      <c r="M2668" s="67"/>
      <c r="N2668" s="33"/>
      <c r="O2668" s="70"/>
      <c r="P2668" s="34"/>
      <c r="Q2668" s="60"/>
      <c r="R2668" s="36"/>
      <c r="S2668" s="71"/>
      <c r="T2668" s="37"/>
      <c r="U2668" s="118"/>
      <c r="V2668" s="74"/>
      <c r="W2668" s="74"/>
      <c r="X2668" s="35"/>
      <c r="Y2668" s="35"/>
      <c r="Z2668" s="40"/>
      <c r="AA2668" s="34"/>
      <c r="AB2668" s="41"/>
      <c r="AC2668" s="42" t="b">
        <v>0</v>
      </c>
      <c r="AD2668" s="66"/>
      <c r="AE2668" s="42"/>
      <c r="AF2668" s="42"/>
      <c r="AG2668" s="43"/>
    </row>
    <row r="2669">
      <c r="A2669" s="23"/>
      <c r="B2669" s="101"/>
      <c r="C2669" s="115"/>
      <c r="D2669" s="115"/>
      <c r="E2669" s="85"/>
      <c r="F2669" s="138"/>
      <c r="G2669" s="101"/>
      <c r="H2669" s="105"/>
      <c r="I2669" s="105"/>
      <c r="J2669" s="44"/>
      <c r="K2669" s="116"/>
      <c r="L2669" s="117"/>
      <c r="M2669" s="67"/>
      <c r="N2669" s="33"/>
      <c r="O2669" s="70"/>
      <c r="P2669" s="34"/>
      <c r="Q2669" s="60"/>
      <c r="R2669" s="36"/>
      <c r="S2669" s="71"/>
      <c r="T2669" s="37"/>
      <c r="U2669" s="118"/>
      <c r="V2669" s="74"/>
      <c r="W2669" s="74"/>
      <c r="X2669" s="35"/>
      <c r="Y2669" s="35"/>
      <c r="Z2669" s="40"/>
      <c r="AA2669" s="34"/>
      <c r="AB2669" s="41"/>
      <c r="AC2669" s="42" t="b">
        <v>0</v>
      </c>
      <c r="AD2669" s="66"/>
      <c r="AE2669" s="42"/>
      <c r="AF2669" s="42"/>
      <c r="AG2669" s="43"/>
    </row>
    <row r="2670">
      <c r="A2670" s="23"/>
      <c r="B2670" s="101"/>
      <c r="C2670" s="115"/>
      <c r="D2670" s="115"/>
      <c r="E2670" s="85"/>
      <c r="F2670" s="138"/>
      <c r="G2670" s="101"/>
      <c r="H2670" s="105"/>
      <c r="I2670" s="105"/>
      <c r="J2670" s="44"/>
      <c r="K2670" s="116"/>
      <c r="L2670" s="117"/>
      <c r="M2670" s="67"/>
      <c r="N2670" s="33"/>
      <c r="O2670" s="70"/>
      <c r="P2670" s="34"/>
      <c r="Q2670" s="60"/>
      <c r="R2670" s="36"/>
      <c r="S2670" s="71"/>
      <c r="T2670" s="37"/>
      <c r="U2670" s="118"/>
      <c r="V2670" s="74"/>
      <c r="W2670" s="74"/>
      <c r="X2670" s="35"/>
      <c r="Y2670" s="35"/>
      <c r="Z2670" s="40"/>
      <c r="AA2670" s="34"/>
      <c r="AB2670" s="41"/>
      <c r="AC2670" s="42" t="b">
        <v>0</v>
      </c>
      <c r="AD2670" s="66"/>
      <c r="AE2670" s="42"/>
      <c r="AF2670" s="42"/>
      <c r="AG2670" s="43"/>
    </row>
    <row r="2671">
      <c r="A2671" s="23"/>
      <c r="B2671" s="101"/>
      <c r="C2671" s="115"/>
      <c r="D2671" s="115"/>
      <c r="E2671" s="85"/>
      <c r="F2671" s="138"/>
      <c r="G2671" s="101"/>
      <c r="H2671" s="105"/>
      <c r="I2671" s="105"/>
      <c r="J2671" s="44"/>
      <c r="K2671" s="116"/>
      <c r="L2671" s="117"/>
      <c r="M2671" s="67"/>
      <c r="N2671" s="33"/>
      <c r="O2671" s="70"/>
      <c r="P2671" s="34"/>
      <c r="Q2671" s="60"/>
      <c r="R2671" s="36"/>
      <c r="S2671" s="71"/>
      <c r="T2671" s="37"/>
      <c r="U2671" s="118"/>
      <c r="V2671" s="74"/>
      <c r="W2671" s="74"/>
      <c r="X2671" s="35"/>
      <c r="Y2671" s="35"/>
      <c r="Z2671" s="40"/>
      <c r="AA2671" s="34"/>
      <c r="AB2671" s="41"/>
      <c r="AC2671" s="42" t="b">
        <v>0</v>
      </c>
      <c r="AD2671" s="66"/>
      <c r="AE2671" s="42"/>
      <c r="AF2671" s="42"/>
      <c r="AG2671" s="43"/>
    </row>
    <row r="2672">
      <c r="A2672" s="23"/>
      <c r="B2672" s="101"/>
      <c r="C2672" s="115"/>
      <c r="D2672" s="115"/>
      <c r="E2672" s="85"/>
      <c r="F2672" s="138"/>
      <c r="G2672" s="101"/>
      <c r="H2672" s="105"/>
      <c r="I2672" s="105"/>
      <c r="J2672" s="44"/>
      <c r="K2672" s="116"/>
      <c r="L2672" s="117"/>
      <c r="M2672" s="67"/>
      <c r="N2672" s="33"/>
      <c r="O2672" s="70"/>
      <c r="P2672" s="34"/>
      <c r="Q2672" s="60"/>
      <c r="R2672" s="36"/>
      <c r="S2672" s="71"/>
      <c r="T2672" s="37"/>
      <c r="U2672" s="118"/>
      <c r="V2672" s="74"/>
      <c r="W2672" s="74"/>
      <c r="X2672" s="35"/>
      <c r="Y2672" s="35"/>
      <c r="Z2672" s="40"/>
      <c r="AA2672" s="34"/>
      <c r="AB2672" s="41"/>
      <c r="AC2672" s="42" t="b">
        <v>0</v>
      </c>
      <c r="AD2672" s="66"/>
      <c r="AE2672" s="42"/>
      <c r="AF2672" s="42"/>
      <c r="AG2672" s="43"/>
    </row>
    <row r="2673">
      <c r="A2673" s="23"/>
      <c r="B2673" s="101"/>
      <c r="C2673" s="115"/>
      <c r="D2673" s="115"/>
      <c r="E2673" s="85"/>
      <c r="F2673" s="138"/>
      <c r="G2673" s="101"/>
      <c r="H2673" s="105"/>
      <c r="I2673" s="105"/>
      <c r="J2673" s="44"/>
      <c r="K2673" s="116"/>
      <c r="L2673" s="117"/>
      <c r="M2673" s="67"/>
      <c r="N2673" s="33"/>
      <c r="O2673" s="70"/>
      <c r="P2673" s="34"/>
      <c r="Q2673" s="60"/>
      <c r="R2673" s="36"/>
      <c r="S2673" s="71"/>
      <c r="T2673" s="37"/>
      <c r="U2673" s="118"/>
      <c r="V2673" s="74"/>
      <c r="W2673" s="74"/>
      <c r="X2673" s="35"/>
      <c r="Y2673" s="35"/>
      <c r="Z2673" s="40"/>
      <c r="AA2673" s="34"/>
      <c r="AB2673" s="41"/>
      <c r="AC2673" s="42" t="b">
        <v>0</v>
      </c>
      <c r="AD2673" s="66"/>
      <c r="AE2673" s="42"/>
      <c r="AF2673" s="42"/>
      <c r="AG2673" s="43"/>
    </row>
    <row r="2674">
      <c r="A2674" s="23"/>
      <c r="B2674" s="101"/>
      <c r="C2674" s="115"/>
      <c r="D2674" s="115"/>
      <c r="E2674" s="85"/>
      <c r="F2674" s="138"/>
      <c r="G2674" s="101"/>
      <c r="H2674" s="105"/>
      <c r="I2674" s="105"/>
      <c r="J2674" s="44"/>
      <c r="K2674" s="116"/>
      <c r="L2674" s="117"/>
      <c r="M2674" s="67"/>
      <c r="N2674" s="33"/>
      <c r="O2674" s="70"/>
      <c r="P2674" s="34"/>
      <c r="Q2674" s="60"/>
      <c r="R2674" s="36"/>
      <c r="S2674" s="71"/>
      <c r="T2674" s="37"/>
      <c r="U2674" s="118"/>
      <c r="V2674" s="74"/>
      <c r="W2674" s="74"/>
      <c r="X2674" s="35"/>
      <c r="Y2674" s="35"/>
      <c r="Z2674" s="40"/>
      <c r="AA2674" s="34"/>
      <c r="AB2674" s="41"/>
      <c r="AC2674" s="42" t="b">
        <v>0</v>
      </c>
      <c r="AD2674" s="66"/>
      <c r="AE2674" s="42"/>
      <c r="AF2674" s="42"/>
      <c r="AG2674" s="43"/>
    </row>
    <row r="2675">
      <c r="A2675" s="23"/>
      <c r="B2675" s="101"/>
      <c r="C2675" s="115"/>
      <c r="D2675" s="115"/>
      <c r="E2675" s="85"/>
      <c r="F2675" s="138"/>
      <c r="G2675" s="101"/>
      <c r="H2675" s="105"/>
      <c r="I2675" s="105"/>
      <c r="J2675" s="44"/>
      <c r="K2675" s="116"/>
      <c r="L2675" s="117"/>
      <c r="M2675" s="67"/>
      <c r="N2675" s="33"/>
      <c r="O2675" s="70"/>
      <c r="P2675" s="34"/>
      <c r="Q2675" s="60"/>
      <c r="R2675" s="36"/>
      <c r="S2675" s="71"/>
      <c r="T2675" s="37"/>
      <c r="U2675" s="118"/>
      <c r="V2675" s="74"/>
      <c r="W2675" s="74"/>
      <c r="X2675" s="35"/>
      <c r="Y2675" s="35"/>
      <c r="Z2675" s="40"/>
      <c r="AA2675" s="34"/>
      <c r="AB2675" s="41"/>
      <c r="AC2675" s="42" t="b">
        <v>0</v>
      </c>
      <c r="AD2675" s="66"/>
      <c r="AE2675" s="42"/>
      <c r="AF2675" s="42"/>
      <c r="AG2675" s="43"/>
    </row>
    <row r="2676">
      <c r="A2676" s="23"/>
      <c r="B2676" s="101"/>
      <c r="C2676" s="115"/>
      <c r="D2676" s="115"/>
      <c r="E2676" s="85"/>
      <c r="F2676" s="138"/>
      <c r="G2676" s="101"/>
      <c r="H2676" s="105"/>
      <c r="I2676" s="105"/>
      <c r="J2676" s="44"/>
      <c r="K2676" s="116"/>
      <c r="L2676" s="117"/>
      <c r="M2676" s="67"/>
      <c r="N2676" s="33"/>
      <c r="O2676" s="70"/>
      <c r="P2676" s="34"/>
      <c r="Q2676" s="60"/>
      <c r="R2676" s="36"/>
      <c r="S2676" s="71"/>
      <c r="T2676" s="37"/>
      <c r="U2676" s="118"/>
      <c r="V2676" s="74"/>
      <c r="W2676" s="74"/>
      <c r="X2676" s="35"/>
      <c r="Y2676" s="35"/>
      <c r="Z2676" s="40"/>
      <c r="AA2676" s="34"/>
      <c r="AB2676" s="41"/>
      <c r="AC2676" s="42" t="b">
        <v>0</v>
      </c>
      <c r="AD2676" s="66"/>
      <c r="AE2676" s="42"/>
      <c r="AF2676" s="42"/>
      <c r="AG2676" s="43"/>
    </row>
    <row r="2677">
      <c r="A2677" s="23"/>
      <c r="B2677" s="101"/>
      <c r="C2677" s="115"/>
      <c r="D2677" s="115"/>
      <c r="E2677" s="85"/>
      <c r="F2677" s="138"/>
      <c r="G2677" s="101"/>
      <c r="H2677" s="105"/>
      <c r="I2677" s="105"/>
      <c r="J2677" s="44"/>
      <c r="K2677" s="116"/>
      <c r="L2677" s="117"/>
      <c r="M2677" s="67"/>
      <c r="N2677" s="33"/>
      <c r="O2677" s="70"/>
      <c r="P2677" s="34"/>
      <c r="Q2677" s="60"/>
      <c r="R2677" s="36"/>
      <c r="S2677" s="71"/>
      <c r="T2677" s="37"/>
      <c r="U2677" s="118"/>
      <c r="V2677" s="74"/>
      <c r="W2677" s="74"/>
      <c r="X2677" s="35"/>
      <c r="Y2677" s="35"/>
      <c r="Z2677" s="40"/>
      <c r="AA2677" s="34"/>
      <c r="AB2677" s="41"/>
      <c r="AC2677" s="42" t="b">
        <v>0</v>
      </c>
      <c r="AD2677" s="66"/>
      <c r="AE2677" s="42"/>
      <c r="AF2677" s="42"/>
      <c r="AG2677" s="43"/>
    </row>
    <row r="2678">
      <c r="A2678" s="23"/>
      <c r="B2678" s="101"/>
      <c r="C2678" s="115"/>
      <c r="D2678" s="115"/>
      <c r="E2678" s="85"/>
      <c r="F2678" s="138"/>
      <c r="G2678" s="101"/>
      <c r="H2678" s="105"/>
      <c r="I2678" s="105"/>
      <c r="J2678" s="44"/>
      <c r="K2678" s="116"/>
      <c r="L2678" s="117"/>
      <c r="M2678" s="67"/>
      <c r="N2678" s="33"/>
      <c r="O2678" s="70"/>
      <c r="P2678" s="34"/>
      <c r="Q2678" s="60"/>
      <c r="R2678" s="36"/>
      <c r="S2678" s="71"/>
      <c r="T2678" s="37"/>
      <c r="U2678" s="118"/>
      <c r="V2678" s="74"/>
      <c r="W2678" s="74"/>
      <c r="X2678" s="35"/>
      <c r="Y2678" s="35"/>
      <c r="Z2678" s="40"/>
      <c r="AA2678" s="34"/>
      <c r="AB2678" s="41"/>
      <c r="AC2678" s="42" t="b">
        <v>0</v>
      </c>
      <c r="AD2678" s="66"/>
      <c r="AE2678" s="42"/>
      <c r="AF2678" s="42"/>
      <c r="AG2678" s="43"/>
    </row>
    <row r="2679">
      <c r="A2679" s="23"/>
      <c r="B2679" s="101"/>
      <c r="C2679" s="115"/>
      <c r="D2679" s="115"/>
      <c r="E2679" s="85"/>
      <c r="F2679" s="138"/>
      <c r="G2679" s="101"/>
      <c r="H2679" s="105"/>
      <c r="I2679" s="105"/>
      <c r="J2679" s="44"/>
      <c r="K2679" s="116"/>
      <c r="L2679" s="117"/>
      <c r="M2679" s="67"/>
      <c r="N2679" s="33"/>
      <c r="O2679" s="70"/>
      <c r="P2679" s="34"/>
      <c r="Q2679" s="60"/>
      <c r="R2679" s="36"/>
      <c r="S2679" s="71"/>
      <c r="T2679" s="37"/>
      <c r="U2679" s="118"/>
      <c r="V2679" s="74"/>
      <c r="W2679" s="74"/>
      <c r="X2679" s="35"/>
      <c r="Y2679" s="35"/>
      <c r="Z2679" s="40"/>
      <c r="AA2679" s="34"/>
      <c r="AB2679" s="41"/>
      <c r="AC2679" s="42" t="b">
        <v>0</v>
      </c>
      <c r="AD2679" s="66"/>
      <c r="AE2679" s="42"/>
      <c r="AF2679" s="42"/>
      <c r="AG2679" s="43"/>
    </row>
    <row r="2680">
      <c r="A2680" s="23"/>
      <c r="B2680" s="101"/>
      <c r="C2680" s="115"/>
      <c r="D2680" s="115"/>
      <c r="E2680" s="85"/>
      <c r="F2680" s="138"/>
      <c r="G2680" s="101"/>
      <c r="H2680" s="105"/>
      <c r="I2680" s="105"/>
      <c r="J2680" s="44"/>
      <c r="K2680" s="116"/>
      <c r="L2680" s="117"/>
      <c r="M2680" s="67"/>
      <c r="N2680" s="33"/>
      <c r="O2680" s="70"/>
      <c r="P2680" s="34"/>
      <c r="Q2680" s="60"/>
      <c r="R2680" s="36"/>
      <c r="S2680" s="71"/>
      <c r="T2680" s="37"/>
      <c r="U2680" s="118"/>
      <c r="V2680" s="74"/>
      <c r="W2680" s="74"/>
      <c r="X2680" s="35"/>
      <c r="Y2680" s="35"/>
      <c r="Z2680" s="40"/>
      <c r="AA2680" s="34"/>
      <c r="AB2680" s="41"/>
      <c r="AC2680" s="42" t="b">
        <v>0</v>
      </c>
      <c r="AD2680" s="66"/>
      <c r="AE2680" s="42"/>
      <c r="AF2680" s="42"/>
      <c r="AG2680" s="43"/>
    </row>
    <row r="2681">
      <c r="A2681" s="23"/>
      <c r="B2681" s="101"/>
      <c r="C2681" s="115"/>
      <c r="D2681" s="115"/>
      <c r="E2681" s="85"/>
      <c r="F2681" s="138"/>
      <c r="G2681" s="101"/>
      <c r="H2681" s="105"/>
      <c r="I2681" s="105"/>
      <c r="J2681" s="44"/>
      <c r="K2681" s="116"/>
      <c r="L2681" s="117"/>
      <c r="M2681" s="67"/>
      <c r="N2681" s="33"/>
      <c r="O2681" s="70"/>
      <c r="P2681" s="34"/>
      <c r="Q2681" s="60"/>
      <c r="R2681" s="36"/>
      <c r="S2681" s="71"/>
      <c r="T2681" s="37"/>
      <c r="U2681" s="118"/>
      <c r="V2681" s="74"/>
      <c r="W2681" s="74"/>
      <c r="X2681" s="35"/>
      <c r="Y2681" s="35"/>
      <c r="Z2681" s="40"/>
      <c r="AA2681" s="34"/>
      <c r="AB2681" s="41"/>
      <c r="AC2681" s="42" t="b">
        <v>0</v>
      </c>
      <c r="AD2681" s="66"/>
      <c r="AE2681" s="42"/>
      <c r="AF2681" s="42"/>
      <c r="AG2681" s="43"/>
    </row>
    <row r="2682">
      <c r="A2682" s="23"/>
      <c r="B2682" s="101"/>
      <c r="C2682" s="115"/>
      <c r="D2682" s="115"/>
      <c r="E2682" s="85"/>
      <c r="F2682" s="138"/>
      <c r="G2682" s="101"/>
      <c r="H2682" s="105"/>
      <c r="I2682" s="105"/>
      <c r="J2682" s="44"/>
      <c r="K2682" s="116"/>
      <c r="L2682" s="117"/>
      <c r="M2682" s="67"/>
      <c r="N2682" s="33"/>
      <c r="O2682" s="70"/>
      <c r="P2682" s="34"/>
      <c r="Q2682" s="60"/>
      <c r="R2682" s="36"/>
      <c r="S2682" s="71"/>
      <c r="T2682" s="37"/>
      <c r="U2682" s="118"/>
      <c r="V2682" s="74"/>
      <c r="W2682" s="74"/>
      <c r="X2682" s="35"/>
      <c r="Y2682" s="35"/>
      <c r="Z2682" s="40"/>
      <c r="AA2682" s="34"/>
      <c r="AB2682" s="41"/>
      <c r="AC2682" s="42" t="b">
        <v>0</v>
      </c>
      <c r="AD2682" s="66"/>
      <c r="AE2682" s="42"/>
      <c r="AF2682" s="42"/>
      <c r="AG2682" s="43"/>
    </row>
    <row r="2683">
      <c r="A2683" s="23"/>
      <c r="B2683" s="101"/>
      <c r="C2683" s="115"/>
      <c r="D2683" s="115"/>
      <c r="E2683" s="85"/>
      <c r="F2683" s="138"/>
      <c r="G2683" s="101"/>
      <c r="H2683" s="105"/>
      <c r="I2683" s="105"/>
      <c r="J2683" s="44"/>
      <c r="K2683" s="116"/>
      <c r="L2683" s="117"/>
      <c r="M2683" s="67"/>
      <c r="N2683" s="33"/>
      <c r="O2683" s="70"/>
      <c r="P2683" s="34"/>
      <c r="Q2683" s="60"/>
      <c r="R2683" s="36"/>
      <c r="S2683" s="71"/>
      <c r="T2683" s="37"/>
      <c r="U2683" s="118"/>
      <c r="V2683" s="74"/>
      <c r="W2683" s="74"/>
      <c r="X2683" s="35"/>
      <c r="Y2683" s="35"/>
      <c r="Z2683" s="40"/>
      <c r="AA2683" s="34"/>
      <c r="AB2683" s="41"/>
      <c r="AC2683" s="42" t="b">
        <v>0</v>
      </c>
      <c r="AD2683" s="66"/>
      <c r="AE2683" s="42"/>
      <c r="AF2683" s="42"/>
      <c r="AG2683" s="43"/>
    </row>
    <row r="2684">
      <c r="A2684" s="23"/>
      <c r="B2684" s="101"/>
      <c r="C2684" s="115"/>
      <c r="D2684" s="115"/>
      <c r="E2684" s="85"/>
      <c r="F2684" s="138"/>
      <c r="G2684" s="101"/>
      <c r="H2684" s="105"/>
      <c r="I2684" s="105"/>
      <c r="J2684" s="44"/>
      <c r="K2684" s="116"/>
      <c r="L2684" s="117"/>
      <c r="M2684" s="67"/>
      <c r="N2684" s="33"/>
      <c r="O2684" s="70"/>
      <c r="P2684" s="34"/>
      <c r="Q2684" s="60"/>
      <c r="R2684" s="36"/>
      <c r="S2684" s="71"/>
      <c r="T2684" s="37"/>
      <c r="U2684" s="118"/>
      <c r="V2684" s="74"/>
      <c r="W2684" s="74"/>
      <c r="X2684" s="35"/>
      <c r="Y2684" s="35"/>
      <c r="Z2684" s="40"/>
      <c r="AA2684" s="34"/>
      <c r="AB2684" s="41"/>
      <c r="AC2684" s="42" t="b">
        <v>0</v>
      </c>
      <c r="AD2684" s="66"/>
      <c r="AE2684" s="42"/>
      <c r="AF2684" s="42"/>
      <c r="AG2684" s="43"/>
    </row>
    <row r="2685">
      <c r="A2685" s="23"/>
      <c r="B2685" s="101"/>
      <c r="C2685" s="115"/>
      <c r="D2685" s="115"/>
      <c r="E2685" s="85"/>
      <c r="F2685" s="138"/>
      <c r="G2685" s="101"/>
      <c r="H2685" s="105"/>
      <c r="I2685" s="105"/>
      <c r="J2685" s="44"/>
      <c r="K2685" s="116"/>
      <c r="L2685" s="117"/>
      <c r="M2685" s="67"/>
      <c r="N2685" s="33"/>
      <c r="O2685" s="70"/>
      <c r="P2685" s="34"/>
      <c r="Q2685" s="60"/>
      <c r="R2685" s="36"/>
      <c r="S2685" s="71"/>
      <c r="T2685" s="37"/>
      <c r="U2685" s="118"/>
      <c r="V2685" s="74"/>
      <c r="W2685" s="74"/>
      <c r="X2685" s="35"/>
      <c r="Y2685" s="35"/>
      <c r="Z2685" s="40"/>
      <c r="AA2685" s="34"/>
      <c r="AB2685" s="41"/>
      <c r="AC2685" s="42" t="b">
        <v>0</v>
      </c>
      <c r="AD2685" s="66"/>
      <c r="AE2685" s="42"/>
      <c r="AF2685" s="42"/>
      <c r="AG2685" s="43"/>
    </row>
    <row r="2686">
      <c r="A2686" s="23"/>
      <c r="B2686" s="101"/>
      <c r="C2686" s="115"/>
      <c r="D2686" s="115"/>
      <c r="E2686" s="85"/>
      <c r="F2686" s="138"/>
      <c r="G2686" s="101"/>
      <c r="H2686" s="105"/>
      <c r="I2686" s="105"/>
      <c r="J2686" s="44"/>
      <c r="K2686" s="116"/>
      <c r="L2686" s="117"/>
      <c r="M2686" s="67"/>
      <c r="N2686" s="33"/>
      <c r="O2686" s="70"/>
      <c r="P2686" s="34"/>
      <c r="Q2686" s="60"/>
      <c r="R2686" s="36"/>
      <c r="S2686" s="71"/>
      <c r="T2686" s="37"/>
      <c r="U2686" s="118"/>
      <c r="V2686" s="74"/>
      <c r="W2686" s="74"/>
      <c r="X2686" s="35"/>
      <c r="Y2686" s="35"/>
      <c r="Z2686" s="40"/>
      <c r="AA2686" s="34"/>
      <c r="AB2686" s="41"/>
      <c r="AC2686" s="42" t="b">
        <v>0</v>
      </c>
      <c r="AD2686" s="66"/>
      <c r="AE2686" s="42"/>
      <c r="AF2686" s="42"/>
      <c r="AG2686" s="43"/>
    </row>
    <row r="2687">
      <c r="A2687" s="23"/>
      <c r="B2687" s="101"/>
      <c r="C2687" s="115"/>
      <c r="D2687" s="115"/>
      <c r="E2687" s="85"/>
      <c r="F2687" s="138"/>
      <c r="G2687" s="101"/>
      <c r="H2687" s="105"/>
      <c r="I2687" s="105"/>
      <c r="J2687" s="44"/>
      <c r="K2687" s="116"/>
      <c r="L2687" s="117"/>
      <c r="M2687" s="67"/>
      <c r="N2687" s="33"/>
      <c r="O2687" s="70"/>
      <c r="P2687" s="34"/>
      <c r="Q2687" s="60"/>
      <c r="R2687" s="36"/>
      <c r="S2687" s="71"/>
      <c r="T2687" s="37"/>
      <c r="U2687" s="118"/>
      <c r="V2687" s="74"/>
      <c r="W2687" s="74"/>
      <c r="X2687" s="35"/>
      <c r="Y2687" s="35"/>
      <c r="Z2687" s="40"/>
      <c r="AA2687" s="34"/>
      <c r="AB2687" s="41"/>
      <c r="AC2687" s="42" t="b">
        <v>0</v>
      </c>
      <c r="AD2687" s="66"/>
      <c r="AE2687" s="42"/>
      <c r="AF2687" s="42"/>
      <c r="AG2687" s="43"/>
    </row>
    <row r="2688">
      <c r="A2688" s="23"/>
      <c r="B2688" s="101"/>
      <c r="C2688" s="115"/>
      <c r="D2688" s="115"/>
      <c r="E2688" s="85"/>
      <c r="F2688" s="138"/>
      <c r="G2688" s="101"/>
      <c r="H2688" s="105"/>
      <c r="I2688" s="105"/>
      <c r="J2688" s="44"/>
      <c r="K2688" s="116"/>
      <c r="L2688" s="117"/>
      <c r="M2688" s="67"/>
      <c r="N2688" s="33"/>
      <c r="O2688" s="70"/>
      <c r="P2688" s="34"/>
      <c r="Q2688" s="60"/>
      <c r="R2688" s="36"/>
      <c r="S2688" s="71"/>
      <c r="T2688" s="37"/>
      <c r="U2688" s="118"/>
      <c r="V2688" s="74"/>
      <c r="W2688" s="74"/>
      <c r="X2688" s="35"/>
      <c r="Y2688" s="35"/>
      <c r="Z2688" s="40"/>
      <c r="AA2688" s="34"/>
      <c r="AB2688" s="41"/>
      <c r="AC2688" s="42" t="b">
        <v>0</v>
      </c>
      <c r="AD2688" s="66"/>
      <c r="AE2688" s="42"/>
      <c r="AF2688" s="42"/>
      <c r="AG2688" s="43"/>
    </row>
    <row r="2689">
      <c r="A2689" s="23"/>
      <c r="B2689" s="101"/>
      <c r="C2689" s="115"/>
      <c r="D2689" s="115"/>
      <c r="E2689" s="85"/>
      <c r="F2689" s="138"/>
      <c r="G2689" s="101"/>
      <c r="H2689" s="105"/>
      <c r="I2689" s="105"/>
      <c r="J2689" s="44"/>
      <c r="K2689" s="116"/>
      <c r="L2689" s="117"/>
      <c r="M2689" s="67"/>
      <c r="N2689" s="33"/>
      <c r="O2689" s="70"/>
      <c r="P2689" s="34"/>
      <c r="Q2689" s="60"/>
      <c r="R2689" s="36"/>
      <c r="S2689" s="71"/>
      <c r="T2689" s="37"/>
      <c r="U2689" s="118"/>
      <c r="V2689" s="74"/>
      <c r="W2689" s="74"/>
      <c r="X2689" s="35"/>
      <c r="Y2689" s="35"/>
      <c r="Z2689" s="40"/>
      <c r="AA2689" s="34"/>
      <c r="AB2689" s="41"/>
      <c r="AC2689" s="42" t="b">
        <v>0</v>
      </c>
      <c r="AD2689" s="66"/>
      <c r="AE2689" s="42"/>
      <c r="AF2689" s="42"/>
      <c r="AG2689" s="43"/>
    </row>
    <row r="2690">
      <c r="A2690" s="23"/>
      <c r="B2690" s="101"/>
      <c r="C2690" s="115"/>
      <c r="D2690" s="115"/>
      <c r="E2690" s="85"/>
      <c r="F2690" s="138"/>
      <c r="G2690" s="101"/>
      <c r="H2690" s="105"/>
      <c r="I2690" s="105"/>
      <c r="J2690" s="44"/>
      <c r="K2690" s="116"/>
      <c r="L2690" s="117"/>
      <c r="M2690" s="67"/>
      <c r="N2690" s="33"/>
      <c r="O2690" s="70"/>
      <c r="P2690" s="34"/>
      <c r="Q2690" s="60"/>
      <c r="R2690" s="36"/>
      <c r="S2690" s="71"/>
      <c r="T2690" s="37"/>
      <c r="U2690" s="118"/>
      <c r="V2690" s="74"/>
      <c r="W2690" s="74"/>
      <c r="X2690" s="35"/>
      <c r="Y2690" s="35"/>
      <c r="Z2690" s="40"/>
      <c r="AA2690" s="34"/>
      <c r="AB2690" s="41"/>
      <c r="AC2690" s="42" t="b">
        <v>0</v>
      </c>
      <c r="AD2690" s="66"/>
      <c r="AE2690" s="42"/>
      <c r="AF2690" s="42"/>
      <c r="AG2690" s="43"/>
    </row>
    <row r="2691">
      <c r="A2691" s="23"/>
      <c r="B2691" s="101"/>
      <c r="C2691" s="115"/>
      <c r="D2691" s="115"/>
      <c r="E2691" s="85"/>
      <c r="F2691" s="138"/>
      <c r="G2691" s="101"/>
      <c r="H2691" s="105"/>
      <c r="I2691" s="105"/>
      <c r="J2691" s="44"/>
      <c r="K2691" s="116"/>
      <c r="L2691" s="117"/>
      <c r="M2691" s="67"/>
      <c r="N2691" s="33"/>
      <c r="O2691" s="70"/>
      <c r="P2691" s="34"/>
      <c r="Q2691" s="60"/>
      <c r="R2691" s="36"/>
      <c r="S2691" s="71"/>
      <c r="T2691" s="37"/>
      <c r="U2691" s="118"/>
      <c r="V2691" s="74"/>
      <c r="W2691" s="74"/>
      <c r="X2691" s="35"/>
      <c r="Y2691" s="35"/>
      <c r="Z2691" s="40"/>
      <c r="AA2691" s="34"/>
      <c r="AB2691" s="41"/>
      <c r="AC2691" s="42" t="b">
        <v>0</v>
      </c>
      <c r="AD2691" s="66"/>
      <c r="AE2691" s="42"/>
      <c r="AF2691" s="42"/>
      <c r="AG2691" s="43"/>
    </row>
    <row r="2692">
      <c r="A2692" s="23"/>
      <c r="B2692" s="101"/>
      <c r="C2692" s="115"/>
      <c r="D2692" s="115"/>
      <c r="E2692" s="85"/>
      <c r="F2692" s="138"/>
      <c r="G2692" s="101"/>
      <c r="H2692" s="105"/>
      <c r="I2692" s="105"/>
      <c r="J2692" s="44"/>
      <c r="K2692" s="116"/>
      <c r="L2692" s="117"/>
      <c r="M2692" s="67"/>
      <c r="N2692" s="33"/>
      <c r="O2692" s="70"/>
      <c r="P2692" s="34"/>
      <c r="Q2692" s="60"/>
      <c r="R2692" s="36"/>
      <c r="S2692" s="71"/>
      <c r="T2692" s="37"/>
      <c r="U2692" s="118"/>
      <c r="V2692" s="74"/>
      <c r="W2692" s="74"/>
      <c r="X2692" s="35"/>
      <c r="Y2692" s="35"/>
      <c r="Z2692" s="40"/>
      <c r="AA2692" s="34"/>
      <c r="AB2692" s="41"/>
      <c r="AC2692" s="42" t="b">
        <v>0</v>
      </c>
      <c r="AD2692" s="66"/>
      <c r="AE2692" s="42"/>
      <c r="AF2692" s="42"/>
      <c r="AG2692" s="43"/>
    </row>
    <row r="2693">
      <c r="A2693" s="23"/>
      <c r="B2693" s="101"/>
      <c r="C2693" s="115"/>
      <c r="D2693" s="115"/>
      <c r="E2693" s="85"/>
      <c r="F2693" s="138"/>
      <c r="G2693" s="101"/>
      <c r="H2693" s="105"/>
      <c r="I2693" s="105"/>
      <c r="J2693" s="44"/>
      <c r="K2693" s="116"/>
      <c r="L2693" s="117"/>
      <c r="M2693" s="67"/>
      <c r="N2693" s="33"/>
      <c r="O2693" s="70"/>
      <c r="P2693" s="34"/>
      <c r="Q2693" s="60"/>
      <c r="R2693" s="36"/>
      <c r="S2693" s="71"/>
      <c r="T2693" s="37"/>
      <c r="U2693" s="118"/>
      <c r="V2693" s="74"/>
      <c r="W2693" s="74"/>
      <c r="X2693" s="35"/>
      <c r="Y2693" s="35"/>
      <c r="Z2693" s="40"/>
      <c r="AA2693" s="34"/>
      <c r="AB2693" s="41"/>
      <c r="AC2693" s="42" t="b">
        <v>0</v>
      </c>
      <c r="AD2693" s="66"/>
      <c r="AE2693" s="42"/>
      <c r="AF2693" s="42"/>
      <c r="AG2693" s="43"/>
    </row>
    <row r="2694">
      <c r="A2694" s="23"/>
      <c r="B2694" s="101"/>
      <c r="C2694" s="115"/>
      <c r="D2694" s="115"/>
      <c r="E2694" s="85"/>
      <c r="F2694" s="138"/>
      <c r="G2694" s="101"/>
      <c r="H2694" s="105"/>
      <c r="I2694" s="105"/>
      <c r="J2694" s="44"/>
      <c r="K2694" s="116"/>
      <c r="L2694" s="117"/>
      <c r="M2694" s="67"/>
      <c r="N2694" s="33"/>
      <c r="O2694" s="70"/>
      <c r="P2694" s="34"/>
      <c r="Q2694" s="60"/>
      <c r="R2694" s="36"/>
      <c r="S2694" s="71"/>
      <c r="T2694" s="37"/>
      <c r="U2694" s="118"/>
      <c r="V2694" s="74"/>
      <c r="W2694" s="74"/>
      <c r="X2694" s="35"/>
      <c r="Y2694" s="35"/>
      <c r="Z2694" s="40"/>
      <c r="AA2694" s="34"/>
      <c r="AB2694" s="41"/>
      <c r="AC2694" s="42" t="b">
        <v>0</v>
      </c>
      <c r="AD2694" s="66"/>
      <c r="AE2694" s="42"/>
      <c r="AF2694" s="42"/>
      <c r="AG2694" s="43"/>
    </row>
    <row r="2695">
      <c r="A2695" s="23"/>
      <c r="B2695" s="101"/>
      <c r="C2695" s="115"/>
      <c r="D2695" s="115"/>
      <c r="E2695" s="85"/>
      <c r="F2695" s="138"/>
      <c r="G2695" s="101"/>
      <c r="H2695" s="105"/>
      <c r="I2695" s="105"/>
      <c r="J2695" s="44"/>
      <c r="K2695" s="116"/>
      <c r="L2695" s="117"/>
      <c r="M2695" s="67"/>
      <c r="N2695" s="33"/>
      <c r="O2695" s="70"/>
      <c r="P2695" s="34"/>
      <c r="Q2695" s="60"/>
      <c r="R2695" s="36"/>
      <c r="S2695" s="71"/>
      <c r="T2695" s="37"/>
      <c r="U2695" s="118"/>
      <c r="V2695" s="74"/>
      <c r="W2695" s="74"/>
      <c r="X2695" s="35"/>
      <c r="Y2695" s="35"/>
      <c r="Z2695" s="40"/>
      <c r="AA2695" s="34"/>
      <c r="AB2695" s="41"/>
      <c r="AC2695" s="42" t="b">
        <v>0</v>
      </c>
      <c r="AD2695" s="66"/>
      <c r="AE2695" s="42"/>
      <c r="AF2695" s="42"/>
      <c r="AG2695" s="43"/>
    </row>
    <row r="2696">
      <c r="A2696" s="23"/>
      <c r="B2696" s="101"/>
      <c r="C2696" s="115"/>
      <c r="D2696" s="115"/>
      <c r="E2696" s="85"/>
      <c r="F2696" s="138"/>
      <c r="G2696" s="101"/>
      <c r="H2696" s="105"/>
      <c r="I2696" s="105"/>
      <c r="J2696" s="44"/>
      <c r="K2696" s="116"/>
      <c r="L2696" s="117"/>
      <c r="M2696" s="67"/>
      <c r="N2696" s="33"/>
      <c r="O2696" s="70"/>
      <c r="P2696" s="34"/>
      <c r="Q2696" s="60"/>
      <c r="R2696" s="36"/>
      <c r="S2696" s="71"/>
      <c r="T2696" s="37"/>
      <c r="U2696" s="118"/>
      <c r="V2696" s="74"/>
      <c r="W2696" s="74"/>
      <c r="X2696" s="35"/>
      <c r="Y2696" s="35"/>
      <c r="Z2696" s="40"/>
      <c r="AA2696" s="34"/>
      <c r="AB2696" s="41"/>
      <c r="AC2696" s="42" t="b">
        <v>0</v>
      </c>
      <c r="AD2696" s="66"/>
      <c r="AE2696" s="42"/>
      <c r="AF2696" s="42"/>
      <c r="AG2696" s="43"/>
    </row>
    <row r="2697">
      <c r="A2697" s="23"/>
      <c r="B2697" s="101"/>
      <c r="C2697" s="115"/>
      <c r="D2697" s="115"/>
      <c r="E2697" s="85"/>
      <c r="F2697" s="138"/>
      <c r="G2697" s="101"/>
      <c r="H2697" s="105"/>
      <c r="I2697" s="105"/>
      <c r="J2697" s="44"/>
      <c r="K2697" s="116"/>
      <c r="L2697" s="117"/>
      <c r="M2697" s="67"/>
      <c r="N2697" s="33"/>
      <c r="O2697" s="70"/>
      <c r="P2697" s="34"/>
      <c r="Q2697" s="60"/>
      <c r="R2697" s="36"/>
      <c r="S2697" s="71"/>
      <c r="T2697" s="37"/>
      <c r="U2697" s="118"/>
      <c r="V2697" s="74"/>
      <c r="W2697" s="74"/>
      <c r="X2697" s="35"/>
      <c r="Y2697" s="35"/>
      <c r="Z2697" s="40"/>
      <c r="AA2697" s="34"/>
      <c r="AB2697" s="41"/>
      <c r="AC2697" s="42" t="b">
        <v>0</v>
      </c>
      <c r="AD2697" s="66"/>
      <c r="AE2697" s="42"/>
      <c r="AF2697" s="42"/>
      <c r="AG2697" s="43"/>
    </row>
    <row r="2698">
      <c r="A2698" s="23"/>
      <c r="B2698" s="101"/>
      <c r="C2698" s="115"/>
      <c r="D2698" s="115"/>
      <c r="E2698" s="85"/>
      <c r="F2698" s="138"/>
      <c r="G2698" s="101"/>
      <c r="H2698" s="105"/>
      <c r="I2698" s="105"/>
      <c r="J2698" s="44"/>
      <c r="K2698" s="116"/>
      <c r="L2698" s="117"/>
      <c r="M2698" s="67"/>
      <c r="N2698" s="33"/>
      <c r="O2698" s="70"/>
      <c r="P2698" s="34"/>
      <c r="Q2698" s="60"/>
      <c r="R2698" s="36"/>
      <c r="S2698" s="71"/>
      <c r="T2698" s="37"/>
      <c r="U2698" s="118"/>
      <c r="V2698" s="74"/>
      <c r="W2698" s="74"/>
      <c r="X2698" s="35"/>
      <c r="Y2698" s="35"/>
      <c r="Z2698" s="40"/>
      <c r="AA2698" s="34"/>
      <c r="AB2698" s="41"/>
      <c r="AC2698" s="42" t="b">
        <v>0</v>
      </c>
      <c r="AD2698" s="66"/>
      <c r="AE2698" s="42"/>
      <c r="AF2698" s="42"/>
      <c r="AG2698" s="43"/>
    </row>
    <row r="2699">
      <c r="A2699" s="23"/>
      <c r="B2699" s="101"/>
      <c r="C2699" s="115"/>
      <c r="D2699" s="115"/>
      <c r="E2699" s="85"/>
      <c r="F2699" s="138"/>
      <c r="G2699" s="101"/>
      <c r="H2699" s="105"/>
      <c r="I2699" s="105"/>
      <c r="J2699" s="44"/>
      <c r="K2699" s="116"/>
      <c r="L2699" s="117"/>
      <c r="M2699" s="67"/>
      <c r="N2699" s="33"/>
      <c r="O2699" s="70"/>
      <c r="P2699" s="34"/>
      <c r="Q2699" s="60"/>
      <c r="R2699" s="36"/>
      <c r="S2699" s="71"/>
      <c r="T2699" s="37"/>
      <c r="U2699" s="118"/>
      <c r="V2699" s="74"/>
      <c r="W2699" s="74"/>
      <c r="X2699" s="35"/>
      <c r="Y2699" s="35"/>
      <c r="Z2699" s="40"/>
      <c r="AA2699" s="34"/>
      <c r="AB2699" s="41"/>
      <c r="AC2699" s="42" t="b">
        <v>0</v>
      </c>
      <c r="AD2699" s="66"/>
      <c r="AE2699" s="42"/>
      <c r="AF2699" s="42"/>
      <c r="AG2699" s="43"/>
    </row>
    <row r="2700">
      <c r="A2700" s="23"/>
      <c r="B2700" s="101"/>
      <c r="C2700" s="115"/>
      <c r="D2700" s="115"/>
      <c r="E2700" s="85"/>
      <c r="F2700" s="138"/>
      <c r="G2700" s="101"/>
      <c r="H2700" s="105"/>
      <c r="I2700" s="105"/>
      <c r="J2700" s="44"/>
      <c r="K2700" s="116"/>
      <c r="L2700" s="117"/>
      <c r="M2700" s="67"/>
      <c r="N2700" s="33"/>
      <c r="O2700" s="70"/>
      <c r="P2700" s="34"/>
      <c r="Q2700" s="60"/>
      <c r="R2700" s="36"/>
      <c r="S2700" s="71"/>
      <c r="T2700" s="37"/>
      <c r="U2700" s="118"/>
      <c r="V2700" s="74"/>
      <c r="W2700" s="74"/>
      <c r="X2700" s="35"/>
      <c r="Y2700" s="35"/>
      <c r="Z2700" s="40"/>
      <c r="AA2700" s="34"/>
      <c r="AB2700" s="41"/>
      <c r="AC2700" s="42" t="b">
        <v>0</v>
      </c>
      <c r="AD2700" s="66"/>
      <c r="AE2700" s="42"/>
      <c r="AF2700" s="42"/>
      <c r="AG2700" s="43"/>
    </row>
    <row r="2701">
      <c r="A2701" s="23"/>
      <c r="B2701" s="101"/>
      <c r="C2701" s="115"/>
      <c r="D2701" s="115"/>
      <c r="E2701" s="85"/>
      <c r="F2701" s="138"/>
      <c r="G2701" s="101"/>
      <c r="H2701" s="105"/>
      <c r="I2701" s="105"/>
      <c r="J2701" s="44"/>
      <c r="K2701" s="116"/>
      <c r="L2701" s="117"/>
      <c r="M2701" s="67"/>
      <c r="N2701" s="33"/>
      <c r="O2701" s="70"/>
      <c r="P2701" s="34"/>
      <c r="Q2701" s="60"/>
      <c r="R2701" s="36"/>
      <c r="S2701" s="71"/>
      <c r="T2701" s="37"/>
      <c r="U2701" s="118"/>
      <c r="V2701" s="74"/>
      <c r="W2701" s="74"/>
      <c r="X2701" s="35"/>
      <c r="Y2701" s="35"/>
      <c r="Z2701" s="40"/>
      <c r="AA2701" s="34"/>
      <c r="AB2701" s="41"/>
      <c r="AC2701" s="42" t="b">
        <v>0</v>
      </c>
      <c r="AD2701" s="66"/>
      <c r="AE2701" s="42"/>
      <c r="AF2701" s="42"/>
      <c r="AG2701" s="43"/>
    </row>
    <row r="2702">
      <c r="A2702" s="23"/>
      <c r="B2702" s="101"/>
      <c r="C2702" s="115"/>
      <c r="D2702" s="115"/>
      <c r="E2702" s="85"/>
      <c r="F2702" s="138"/>
      <c r="G2702" s="101"/>
      <c r="H2702" s="105"/>
      <c r="I2702" s="105"/>
      <c r="J2702" s="44"/>
      <c r="K2702" s="116"/>
      <c r="L2702" s="117"/>
      <c r="M2702" s="67"/>
      <c r="N2702" s="33"/>
      <c r="O2702" s="70"/>
      <c r="P2702" s="34"/>
      <c r="Q2702" s="60"/>
      <c r="R2702" s="36"/>
      <c r="S2702" s="71"/>
      <c r="T2702" s="37"/>
      <c r="U2702" s="118"/>
      <c r="V2702" s="74"/>
      <c r="W2702" s="74"/>
      <c r="X2702" s="35"/>
      <c r="Y2702" s="35"/>
      <c r="Z2702" s="40"/>
      <c r="AA2702" s="34"/>
      <c r="AB2702" s="41"/>
      <c r="AC2702" s="42" t="b">
        <v>0</v>
      </c>
      <c r="AD2702" s="66"/>
      <c r="AE2702" s="42"/>
      <c r="AF2702" s="42"/>
      <c r="AG2702" s="43"/>
    </row>
    <row r="2703">
      <c r="A2703" s="23"/>
      <c r="B2703" s="101"/>
      <c r="C2703" s="115"/>
      <c r="D2703" s="115"/>
      <c r="E2703" s="85"/>
      <c r="F2703" s="138"/>
      <c r="G2703" s="101"/>
      <c r="H2703" s="105"/>
      <c r="I2703" s="105"/>
      <c r="J2703" s="44"/>
      <c r="K2703" s="116"/>
      <c r="L2703" s="117"/>
      <c r="M2703" s="67"/>
      <c r="N2703" s="33"/>
      <c r="O2703" s="70"/>
      <c r="P2703" s="34"/>
      <c r="Q2703" s="60"/>
      <c r="R2703" s="36"/>
      <c r="S2703" s="71"/>
      <c r="T2703" s="37"/>
      <c r="U2703" s="118"/>
      <c r="V2703" s="74"/>
      <c r="W2703" s="74"/>
      <c r="X2703" s="35"/>
      <c r="Y2703" s="35"/>
      <c r="Z2703" s="40"/>
      <c r="AA2703" s="34"/>
      <c r="AB2703" s="41"/>
      <c r="AC2703" s="42" t="b">
        <v>0</v>
      </c>
      <c r="AD2703" s="66"/>
      <c r="AE2703" s="42"/>
      <c r="AF2703" s="42"/>
      <c r="AG2703" s="43"/>
    </row>
    <row r="2704">
      <c r="A2704" s="23"/>
      <c r="B2704" s="101"/>
      <c r="C2704" s="115"/>
      <c r="D2704" s="115"/>
      <c r="E2704" s="85"/>
      <c r="F2704" s="138"/>
      <c r="G2704" s="101"/>
      <c r="H2704" s="105"/>
      <c r="I2704" s="105"/>
      <c r="J2704" s="44"/>
      <c r="K2704" s="116"/>
      <c r="L2704" s="117"/>
      <c r="M2704" s="67"/>
      <c r="N2704" s="33"/>
      <c r="O2704" s="70"/>
      <c r="P2704" s="34"/>
      <c r="Q2704" s="60"/>
      <c r="R2704" s="36"/>
      <c r="S2704" s="71"/>
      <c r="T2704" s="37"/>
      <c r="U2704" s="118"/>
      <c r="V2704" s="74"/>
      <c r="W2704" s="74"/>
      <c r="X2704" s="35"/>
      <c r="Y2704" s="35"/>
      <c r="Z2704" s="40"/>
      <c r="AA2704" s="34"/>
      <c r="AB2704" s="41"/>
      <c r="AC2704" s="42" t="b">
        <v>0</v>
      </c>
      <c r="AD2704" s="66"/>
      <c r="AE2704" s="42"/>
      <c r="AF2704" s="42"/>
      <c r="AG2704" s="43"/>
    </row>
    <row r="2705">
      <c r="A2705" s="23"/>
      <c r="B2705" s="101"/>
      <c r="C2705" s="115"/>
      <c r="D2705" s="115"/>
      <c r="E2705" s="85"/>
      <c r="F2705" s="138"/>
      <c r="G2705" s="101"/>
      <c r="H2705" s="105"/>
      <c r="I2705" s="105"/>
      <c r="J2705" s="44"/>
      <c r="K2705" s="116"/>
      <c r="L2705" s="117"/>
      <c r="M2705" s="67"/>
      <c r="N2705" s="33"/>
      <c r="O2705" s="70"/>
      <c r="P2705" s="34"/>
      <c r="Q2705" s="60"/>
      <c r="R2705" s="36"/>
      <c r="S2705" s="71"/>
      <c r="T2705" s="37"/>
      <c r="U2705" s="118"/>
      <c r="V2705" s="74"/>
      <c r="W2705" s="74"/>
      <c r="X2705" s="35"/>
      <c r="Y2705" s="35"/>
      <c r="Z2705" s="40"/>
      <c r="AA2705" s="34"/>
      <c r="AB2705" s="41"/>
      <c r="AC2705" s="42" t="b">
        <v>0</v>
      </c>
      <c r="AD2705" s="66"/>
      <c r="AE2705" s="42"/>
      <c r="AF2705" s="42"/>
      <c r="AG2705" s="43"/>
    </row>
    <row r="2706">
      <c r="A2706" s="23"/>
      <c r="B2706" s="101"/>
      <c r="C2706" s="115"/>
      <c r="D2706" s="115"/>
      <c r="E2706" s="85"/>
      <c r="F2706" s="138"/>
      <c r="G2706" s="101"/>
      <c r="H2706" s="105"/>
      <c r="I2706" s="105"/>
      <c r="J2706" s="44"/>
      <c r="K2706" s="116"/>
      <c r="L2706" s="117"/>
      <c r="M2706" s="67"/>
      <c r="N2706" s="33"/>
      <c r="O2706" s="70"/>
      <c r="P2706" s="34"/>
      <c r="Q2706" s="60"/>
      <c r="R2706" s="36"/>
      <c r="S2706" s="71"/>
      <c r="T2706" s="37"/>
      <c r="U2706" s="118"/>
      <c r="V2706" s="74"/>
      <c r="W2706" s="74"/>
      <c r="X2706" s="35"/>
      <c r="Y2706" s="35"/>
      <c r="Z2706" s="40"/>
      <c r="AA2706" s="34"/>
      <c r="AB2706" s="41"/>
      <c r="AC2706" s="42" t="b">
        <v>0</v>
      </c>
      <c r="AD2706" s="66"/>
      <c r="AE2706" s="42"/>
      <c r="AF2706" s="42"/>
      <c r="AG2706" s="43"/>
    </row>
    <row r="2707">
      <c r="A2707" s="23"/>
      <c r="B2707" s="101"/>
      <c r="C2707" s="115"/>
      <c r="D2707" s="115"/>
      <c r="E2707" s="85"/>
      <c r="F2707" s="138"/>
      <c r="G2707" s="101"/>
      <c r="H2707" s="105"/>
      <c r="I2707" s="105"/>
      <c r="J2707" s="44"/>
      <c r="K2707" s="116"/>
      <c r="L2707" s="117"/>
      <c r="M2707" s="67"/>
      <c r="N2707" s="33"/>
      <c r="O2707" s="70"/>
      <c r="P2707" s="34"/>
      <c r="Q2707" s="60"/>
      <c r="R2707" s="36"/>
      <c r="S2707" s="71"/>
      <c r="T2707" s="37"/>
      <c r="U2707" s="118"/>
      <c r="V2707" s="74"/>
      <c r="W2707" s="74"/>
      <c r="X2707" s="35"/>
      <c r="Y2707" s="35"/>
      <c r="Z2707" s="40"/>
      <c r="AA2707" s="34"/>
      <c r="AB2707" s="41"/>
      <c r="AC2707" s="42" t="b">
        <v>0</v>
      </c>
      <c r="AD2707" s="66"/>
      <c r="AE2707" s="42"/>
      <c r="AF2707" s="42"/>
      <c r="AG2707" s="43"/>
    </row>
    <row r="2708">
      <c r="A2708" s="23"/>
      <c r="B2708" s="101"/>
      <c r="C2708" s="115"/>
      <c r="D2708" s="115"/>
      <c r="E2708" s="85"/>
      <c r="F2708" s="138"/>
      <c r="G2708" s="101"/>
      <c r="H2708" s="105"/>
      <c r="I2708" s="105"/>
      <c r="J2708" s="44"/>
      <c r="K2708" s="116"/>
      <c r="L2708" s="117"/>
      <c r="M2708" s="67"/>
      <c r="N2708" s="33"/>
      <c r="O2708" s="70"/>
      <c r="P2708" s="34"/>
      <c r="Q2708" s="60"/>
      <c r="R2708" s="36"/>
      <c r="S2708" s="71"/>
      <c r="T2708" s="37"/>
      <c r="U2708" s="118"/>
      <c r="V2708" s="74"/>
      <c r="W2708" s="74"/>
      <c r="X2708" s="35"/>
      <c r="Y2708" s="35"/>
      <c r="Z2708" s="40"/>
      <c r="AA2708" s="34"/>
      <c r="AB2708" s="41"/>
      <c r="AC2708" s="42" t="b">
        <v>0</v>
      </c>
      <c r="AD2708" s="66"/>
      <c r="AE2708" s="42"/>
      <c r="AF2708" s="42"/>
      <c r="AG2708" s="43"/>
    </row>
    <row r="2709">
      <c r="A2709" s="23"/>
      <c r="B2709" s="101"/>
      <c r="C2709" s="115"/>
      <c r="D2709" s="115"/>
      <c r="E2709" s="85"/>
      <c r="F2709" s="138"/>
      <c r="G2709" s="101"/>
      <c r="H2709" s="105"/>
      <c r="I2709" s="105"/>
      <c r="J2709" s="44"/>
      <c r="K2709" s="116"/>
      <c r="L2709" s="117"/>
      <c r="M2709" s="67"/>
      <c r="N2709" s="33"/>
      <c r="O2709" s="70"/>
      <c r="P2709" s="34"/>
      <c r="Q2709" s="60"/>
      <c r="R2709" s="36"/>
      <c r="S2709" s="71"/>
      <c r="T2709" s="37"/>
      <c r="U2709" s="118"/>
      <c r="V2709" s="74"/>
      <c r="W2709" s="74"/>
      <c r="X2709" s="35"/>
      <c r="Y2709" s="35"/>
      <c r="Z2709" s="40"/>
      <c r="AA2709" s="34"/>
      <c r="AB2709" s="41"/>
      <c r="AC2709" s="42" t="b">
        <v>0</v>
      </c>
      <c r="AD2709" s="66"/>
      <c r="AE2709" s="42"/>
      <c r="AF2709" s="42"/>
      <c r="AG2709" s="43"/>
    </row>
    <row r="2710">
      <c r="A2710" s="23"/>
      <c r="B2710" s="101"/>
      <c r="C2710" s="115"/>
      <c r="D2710" s="115"/>
      <c r="E2710" s="85"/>
      <c r="F2710" s="138"/>
      <c r="G2710" s="101"/>
      <c r="H2710" s="105"/>
      <c r="I2710" s="105"/>
      <c r="J2710" s="44"/>
      <c r="K2710" s="116"/>
      <c r="L2710" s="117"/>
      <c r="M2710" s="67"/>
      <c r="N2710" s="33"/>
      <c r="O2710" s="70"/>
      <c r="P2710" s="34"/>
      <c r="Q2710" s="60"/>
      <c r="R2710" s="36"/>
      <c r="S2710" s="71"/>
      <c r="T2710" s="37"/>
      <c r="U2710" s="118"/>
      <c r="V2710" s="74"/>
      <c r="W2710" s="74"/>
      <c r="X2710" s="35"/>
      <c r="Y2710" s="35"/>
      <c r="Z2710" s="40"/>
      <c r="AA2710" s="34"/>
      <c r="AB2710" s="41"/>
      <c r="AC2710" s="42" t="b">
        <v>0</v>
      </c>
      <c r="AD2710" s="66"/>
      <c r="AE2710" s="42"/>
      <c r="AF2710" s="42"/>
      <c r="AG2710" s="43"/>
    </row>
    <row r="2711">
      <c r="A2711" s="23"/>
      <c r="B2711" s="101"/>
      <c r="C2711" s="115"/>
      <c r="D2711" s="115"/>
      <c r="E2711" s="85"/>
      <c r="F2711" s="138"/>
      <c r="G2711" s="101"/>
      <c r="H2711" s="105"/>
      <c r="I2711" s="105"/>
      <c r="J2711" s="44"/>
      <c r="K2711" s="116"/>
      <c r="L2711" s="117"/>
      <c r="M2711" s="67"/>
      <c r="N2711" s="33"/>
      <c r="O2711" s="70"/>
      <c r="P2711" s="34"/>
      <c r="Q2711" s="60"/>
      <c r="R2711" s="36"/>
      <c r="S2711" s="71"/>
      <c r="T2711" s="37"/>
      <c r="U2711" s="118"/>
      <c r="V2711" s="74"/>
      <c r="W2711" s="74"/>
      <c r="X2711" s="35"/>
      <c r="Y2711" s="35"/>
      <c r="Z2711" s="40"/>
      <c r="AA2711" s="34"/>
      <c r="AB2711" s="41"/>
      <c r="AC2711" s="42" t="b">
        <v>0</v>
      </c>
      <c r="AD2711" s="66"/>
      <c r="AE2711" s="42"/>
      <c r="AF2711" s="42"/>
      <c r="AG2711" s="43"/>
    </row>
    <row r="2712">
      <c r="A2712" s="23"/>
      <c r="B2712" s="101"/>
      <c r="C2712" s="115"/>
      <c r="D2712" s="115"/>
      <c r="E2712" s="85"/>
      <c r="F2712" s="138"/>
      <c r="G2712" s="101"/>
      <c r="H2712" s="105"/>
      <c r="I2712" s="105"/>
      <c r="J2712" s="44"/>
      <c r="K2712" s="116"/>
      <c r="L2712" s="117"/>
      <c r="M2712" s="67"/>
      <c r="N2712" s="33"/>
      <c r="O2712" s="70"/>
      <c r="P2712" s="34"/>
      <c r="Q2712" s="60"/>
      <c r="R2712" s="36"/>
      <c r="S2712" s="71"/>
      <c r="T2712" s="37"/>
      <c r="U2712" s="118"/>
      <c r="V2712" s="74"/>
      <c r="W2712" s="74"/>
      <c r="X2712" s="35"/>
      <c r="Y2712" s="35"/>
      <c r="Z2712" s="40"/>
      <c r="AA2712" s="34"/>
      <c r="AB2712" s="41"/>
      <c r="AC2712" s="42" t="b">
        <v>0</v>
      </c>
      <c r="AD2712" s="66"/>
      <c r="AE2712" s="42"/>
      <c r="AF2712" s="42"/>
      <c r="AG2712" s="43"/>
    </row>
    <row r="2713">
      <c r="A2713" s="23"/>
      <c r="B2713" s="101"/>
      <c r="C2713" s="115"/>
      <c r="D2713" s="115"/>
      <c r="E2713" s="85"/>
      <c r="F2713" s="138"/>
      <c r="G2713" s="101"/>
      <c r="H2713" s="105"/>
      <c r="I2713" s="105"/>
      <c r="J2713" s="44"/>
      <c r="K2713" s="116"/>
      <c r="L2713" s="117"/>
      <c r="M2713" s="67"/>
      <c r="N2713" s="33"/>
      <c r="O2713" s="70"/>
      <c r="P2713" s="34"/>
      <c r="Q2713" s="60"/>
      <c r="R2713" s="36"/>
      <c r="S2713" s="71"/>
      <c r="T2713" s="37"/>
      <c r="U2713" s="118"/>
      <c r="V2713" s="74"/>
      <c r="W2713" s="74"/>
      <c r="X2713" s="35"/>
      <c r="Y2713" s="35"/>
      <c r="Z2713" s="40"/>
      <c r="AA2713" s="34"/>
      <c r="AB2713" s="41"/>
      <c r="AC2713" s="42" t="b">
        <v>0</v>
      </c>
      <c r="AD2713" s="66"/>
      <c r="AE2713" s="42"/>
      <c r="AF2713" s="42"/>
      <c r="AG2713" s="43"/>
    </row>
    <row r="2714">
      <c r="A2714" s="23"/>
      <c r="B2714" s="101"/>
      <c r="C2714" s="115"/>
      <c r="D2714" s="115"/>
      <c r="E2714" s="85"/>
      <c r="F2714" s="138"/>
      <c r="G2714" s="101"/>
      <c r="H2714" s="105"/>
      <c r="I2714" s="105"/>
      <c r="J2714" s="44"/>
      <c r="K2714" s="116"/>
      <c r="L2714" s="117"/>
      <c r="M2714" s="67"/>
      <c r="N2714" s="33"/>
      <c r="O2714" s="70"/>
      <c r="P2714" s="34"/>
      <c r="Q2714" s="60"/>
      <c r="R2714" s="36"/>
      <c r="S2714" s="71"/>
      <c r="T2714" s="37"/>
      <c r="U2714" s="118"/>
      <c r="V2714" s="74"/>
      <c r="W2714" s="74"/>
      <c r="X2714" s="35"/>
      <c r="Y2714" s="35"/>
      <c r="Z2714" s="40"/>
      <c r="AA2714" s="34"/>
      <c r="AB2714" s="41"/>
      <c r="AC2714" s="42" t="b">
        <v>0</v>
      </c>
      <c r="AD2714" s="66"/>
      <c r="AE2714" s="42"/>
      <c r="AF2714" s="42"/>
      <c r="AG2714" s="43"/>
    </row>
    <row r="2715">
      <c r="A2715" s="23"/>
      <c r="B2715" s="101"/>
      <c r="C2715" s="115"/>
      <c r="D2715" s="115"/>
      <c r="E2715" s="85"/>
      <c r="F2715" s="138"/>
      <c r="G2715" s="101"/>
      <c r="H2715" s="105"/>
      <c r="I2715" s="105"/>
      <c r="J2715" s="44"/>
      <c r="K2715" s="116"/>
      <c r="L2715" s="117"/>
      <c r="M2715" s="67"/>
      <c r="N2715" s="33"/>
      <c r="O2715" s="70"/>
      <c r="P2715" s="34"/>
      <c r="Q2715" s="60"/>
      <c r="R2715" s="36"/>
      <c r="S2715" s="71"/>
      <c r="T2715" s="37"/>
      <c r="U2715" s="118"/>
      <c r="V2715" s="74"/>
      <c r="W2715" s="74"/>
      <c r="X2715" s="35"/>
      <c r="Y2715" s="35"/>
      <c r="Z2715" s="40"/>
      <c r="AA2715" s="34"/>
      <c r="AB2715" s="41"/>
      <c r="AC2715" s="42" t="b">
        <v>0</v>
      </c>
      <c r="AD2715" s="66"/>
      <c r="AE2715" s="42"/>
      <c r="AF2715" s="42"/>
      <c r="AG2715" s="43"/>
    </row>
    <row r="2716">
      <c r="A2716" s="23"/>
      <c r="B2716" s="101"/>
      <c r="C2716" s="115"/>
      <c r="D2716" s="115"/>
      <c r="E2716" s="85"/>
      <c r="F2716" s="138"/>
      <c r="G2716" s="101"/>
      <c r="H2716" s="105"/>
      <c r="I2716" s="105"/>
      <c r="J2716" s="44"/>
      <c r="K2716" s="116"/>
      <c r="L2716" s="117"/>
      <c r="M2716" s="67"/>
      <c r="N2716" s="33"/>
      <c r="O2716" s="70"/>
      <c r="P2716" s="34"/>
      <c r="Q2716" s="60"/>
      <c r="R2716" s="36"/>
      <c r="S2716" s="71"/>
      <c r="T2716" s="37"/>
      <c r="U2716" s="118"/>
      <c r="V2716" s="74"/>
      <c r="W2716" s="74"/>
      <c r="X2716" s="35"/>
      <c r="Y2716" s="35"/>
      <c r="Z2716" s="40"/>
      <c r="AA2716" s="34"/>
      <c r="AB2716" s="41"/>
      <c r="AC2716" s="42" t="b">
        <v>0</v>
      </c>
      <c r="AD2716" s="66"/>
      <c r="AE2716" s="42"/>
      <c r="AF2716" s="42"/>
      <c r="AG2716" s="43"/>
    </row>
    <row r="2717">
      <c r="A2717" s="23"/>
      <c r="B2717" s="101"/>
      <c r="C2717" s="115"/>
      <c r="D2717" s="115"/>
      <c r="E2717" s="85"/>
      <c r="F2717" s="138"/>
      <c r="G2717" s="101"/>
      <c r="H2717" s="105"/>
      <c r="I2717" s="105"/>
      <c r="J2717" s="44"/>
      <c r="K2717" s="116"/>
      <c r="L2717" s="117"/>
      <c r="M2717" s="67"/>
      <c r="N2717" s="33"/>
      <c r="O2717" s="70"/>
      <c r="P2717" s="34"/>
      <c r="Q2717" s="60"/>
      <c r="R2717" s="36"/>
      <c r="S2717" s="71"/>
      <c r="T2717" s="37"/>
      <c r="U2717" s="118"/>
      <c r="V2717" s="74"/>
      <c r="W2717" s="74"/>
      <c r="X2717" s="35"/>
      <c r="Y2717" s="35"/>
      <c r="Z2717" s="40"/>
      <c r="AA2717" s="34"/>
      <c r="AB2717" s="41"/>
      <c r="AC2717" s="42" t="b">
        <v>0</v>
      </c>
      <c r="AD2717" s="66"/>
      <c r="AE2717" s="42"/>
      <c r="AF2717" s="42"/>
      <c r="AG2717" s="43"/>
    </row>
    <row r="2718">
      <c r="A2718" s="23"/>
      <c r="B2718" s="101"/>
      <c r="C2718" s="115"/>
      <c r="D2718" s="115"/>
      <c r="E2718" s="85"/>
      <c r="F2718" s="138"/>
      <c r="G2718" s="101"/>
      <c r="H2718" s="105"/>
      <c r="I2718" s="105"/>
      <c r="J2718" s="44"/>
      <c r="K2718" s="116"/>
      <c r="L2718" s="117"/>
      <c r="M2718" s="67"/>
      <c r="N2718" s="33"/>
      <c r="O2718" s="70"/>
      <c r="P2718" s="34"/>
      <c r="Q2718" s="60"/>
      <c r="R2718" s="36"/>
      <c r="S2718" s="71"/>
      <c r="T2718" s="37"/>
      <c r="U2718" s="118"/>
      <c r="V2718" s="74"/>
      <c r="W2718" s="74"/>
      <c r="X2718" s="35"/>
      <c r="Y2718" s="35"/>
      <c r="Z2718" s="40"/>
      <c r="AA2718" s="34"/>
      <c r="AB2718" s="41"/>
      <c r="AC2718" s="42" t="b">
        <v>0</v>
      </c>
      <c r="AD2718" s="66"/>
      <c r="AE2718" s="42"/>
      <c r="AF2718" s="42"/>
      <c r="AG2718" s="43"/>
    </row>
    <row r="2719">
      <c r="A2719" s="23"/>
      <c r="B2719" s="101"/>
      <c r="C2719" s="115"/>
      <c r="D2719" s="115"/>
      <c r="E2719" s="85"/>
      <c r="F2719" s="138"/>
      <c r="G2719" s="101"/>
      <c r="H2719" s="105"/>
      <c r="I2719" s="105"/>
      <c r="J2719" s="44"/>
      <c r="K2719" s="116"/>
      <c r="L2719" s="117"/>
      <c r="M2719" s="67"/>
      <c r="N2719" s="33"/>
      <c r="O2719" s="70"/>
      <c r="P2719" s="34"/>
      <c r="Q2719" s="60"/>
      <c r="R2719" s="36"/>
      <c r="S2719" s="71"/>
      <c r="T2719" s="37"/>
      <c r="U2719" s="118"/>
      <c r="V2719" s="74"/>
      <c r="W2719" s="74"/>
      <c r="X2719" s="35"/>
      <c r="Y2719" s="35"/>
      <c r="Z2719" s="40"/>
      <c r="AA2719" s="34"/>
      <c r="AB2719" s="41"/>
      <c r="AC2719" s="42" t="b">
        <v>0</v>
      </c>
      <c r="AD2719" s="66"/>
      <c r="AE2719" s="42"/>
      <c r="AF2719" s="42"/>
      <c r="AG2719" s="43"/>
    </row>
    <row r="2720">
      <c r="A2720" s="23"/>
      <c r="B2720" s="101"/>
      <c r="C2720" s="115"/>
      <c r="D2720" s="115"/>
      <c r="E2720" s="85"/>
      <c r="F2720" s="138"/>
      <c r="G2720" s="101"/>
      <c r="H2720" s="105"/>
      <c r="I2720" s="105"/>
      <c r="J2720" s="44"/>
      <c r="K2720" s="116"/>
      <c r="L2720" s="117"/>
      <c r="M2720" s="67"/>
      <c r="N2720" s="33"/>
      <c r="O2720" s="70"/>
      <c r="P2720" s="34"/>
      <c r="Q2720" s="60"/>
      <c r="R2720" s="36"/>
      <c r="S2720" s="71"/>
      <c r="T2720" s="37"/>
      <c r="U2720" s="118"/>
      <c r="V2720" s="74"/>
      <c r="W2720" s="74"/>
      <c r="X2720" s="35"/>
      <c r="Y2720" s="35"/>
      <c r="Z2720" s="40"/>
      <c r="AA2720" s="34"/>
      <c r="AB2720" s="41"/>
      <c r="AC2720" s="42" t="b">
        <v>0</v>
      </c>
      <c r="AD2720" s="66"/>
      <c r="AE2720" s="42"/>
      <c r="AF2720" s="42"/>
      <c r="AG2720" s="43"/>
    </row>
    <row r="2721">
      <c r="A2721" s="23"/>
      <c r="B2721" s="101"/>
      <c r="C2721" s="115"/>
      <c r="D2721" s="115"/>
      <c r="E2721" s="85"/>
      <c r="F2721" s="138"/>
      <c r="G2721" s="101"/>
      <c r="H2721" s="105"/>
      <c r="I2721" s="105"/>
      <c r="J2721" s="44"/>
      <c r="K2721" s="116"/>
      <c r="L2721" s="117"/>
      <c r="M2721" s="67"/>
      <c r="N2721" s="33"/>
      <c r="O2721" s="70"/>
      <c r="P2721" s="34"/>
      <c r="Q2721" s="60"/>
      <c r="R2721" s="36"/>
      <c r="S2721" s="71"/>
      <c r="T2721" s="37"/>
      <c r="U2721" s="118"/>
      <c r="V2721" s="74"/>
      <c r="W2721" s="74"/>
      <c r="X2721" s="35"/>
      <c r="Y2721" s="35"/>
      <c r="Z2721" s="40"/>
      <c r="AA2721" s="34"/>
      <c r="AB2721" s="41"/>
      <c r="AC2721" s="42" t="b">
        <v>0</v>
      </c>
      <c r="AD2721" s="66"/>
      <c r="AE2721" s="42"/>
      <c r="AF2721" s="42"/>
      <c r="AG2721" s="43"/>
    </row>
    <row r="2722">
      <c r="A2722" s="23"/>
      <c r="B2722" s="101"/>
      <c r="C2722" s="115"/>
      <c r="D2722" s="115"/>
      <c r="E2722" s="85"/>
      <c r="F2722" s="138"/>
      <c r="G2722" s="101"/>
      <c r="H2722" s="105"/>
      <c r="I2722" s="105"/>
      <c r="J2722" s="44"/>
      <c r="K2722" s="116"/>
      <c r="L2722" s="117"/>
      <c r="M2722" s="67"/>
      <c r="N2722" s="33"/>
      <c r="O2722" s="70"/>
      <c r="P2722" s="34"/>
      <c r="Q2722" s="60"/>
      <c r="R2722" s="36"/>
      <c r="S2722" s="71"/>
      <c r="T2722" s="37"/>
      <c r="U2722" s="118"/>
      <c r="V2722" s="74"/>
      <c r="W2722" s="74"/>
      <c r="X2722" s="35"/>
      <c r="Y2722" s="35"/>
      <c r="Z2722" s="40"/>
      <c r="AA2722" s="34"/>
      <c r="AB2722" s="41"/>
      <c r="AC2722" s="42" t="b">
        <v>0</v>
      </c>
      <c r="AD2722" s="66"/>
      <c r="AE2722" s="42"/>
      <c r="AF2722" s="42"/>
      <c r="AG2722" s="43"/>
    </row>
    <row r="2723">
      <c r="A2723" s="23"/>
      <c r="B2723" s="101"/>
      <c r="C2723" s="115"/>
      <c r="D2723" s="115"/>
      <c r="E2723" s="85"/>
      <c r="F2723" s="138"/>
      <c r="G2723" s="101"/>
      <c r="H2723" s="105"/>
      <c r="I2723" s="105"/>
      <c r="J2723" s="44"/>
      <c r="K2723" s="116"/>
      <c r="L2723" s="117"/>
      <c r="M2723" s="67"/>
      <c r="N2723" s="33"/>
      <c r="O2723" s="70"/>
      <c r="P2723" s="34"/>
      <c r="Q2723" s="60"/>
      <c r="R2723" s="36"/>
      <c r="S2723" s="71"/>
      <c r="T2723" s="37"/>
      <c r="U2723" s="118"/>
      <c r="V2723" s="74"/>
      <c r="W2723" s="74"/>
      <c r="X2723" s="35"/>
      <c r="Y2723" s="35"/>
      <c r="Z2723" s="40"/>
      <c r="AA2723" s="34"/>
      <c r="AB2723" s="41"/>
      <c r="AC2723" s="42" t="b">
        <v>0</v>
      </c>
      <c r="AD2723" s="66"/>
      <c r="AE2723" s="42"/>
      <c r="AF2723" s="42"/>
      <c r="AG2723" s="43"/>
    </row>
    <row r="2724">
      <c r="A2724" s="23"/>
      <c r="B2724" s="101"/>
      <c r="C2724" s="115"/>
      <c r="D2724" s="115"/>
      <c r="E2724" s="85"/>
      <c r="F2724" s="138"/>
      <c r="G2724" s="101"/>
      <c r="H2724" s="105"/>
      <c r="I2724" s="105"/>
      <c r="J2724" s="44"/>
      <c r="K2724" s="116"/>
      <c r="L2724" s="117"/>
      <c r="M2724" s="67"/>
      <c r="N2724" s="33"/>
      <c r="O2724" s="70"/>
      <c r="P2724" s="34"/>
      <c r="Q2724" s="60"/>
      <c r="R2724" s="36"/>
      <c r="S2724" s="71"/>
      <c r="T2724" s="37"/>
      <c r="U2724" s="118"/>
      <c r="V2724" s="74"/>
      <c r="W2724" s="74"/>
      <c r="X2724" s="35"/>
      <c r="Y2724" s="35"/>
      <c r="Z2724" s="40"/>
      <c r="AA2724" s="34"/>
      <c r="AB2724" s="41"/>
      <c r="AC2724" s="42" t="b">
        <v>0</v>
      </c>
      <c r="AD2724" s="66"/>
      <c r="AE2724" s="42"/>
      <c r="AF2724" s="42"/>
      <c r="AG2724" s="43"/>
    </row>
    <row r="2725">
      <c r="A2725" s="23"/>
      <c r="B2725" s="101"/>
      <c r="C2725" s="115"/>
      <c r="D2725" s="115"/>
      <c r="E2725" s="85"/>
      <c r="F2725" s="138"/>
      <c r="G2725" s="101"/>
      <c r="H2725" s="105"/>
      <c r="I2725" s="105"/>
      <c r="J2725" s="44"/>
      <c r="K2725" s="116"/>
      <c r="L2725" s="117"/>
      <c r="M2725" s="67"/>
      <c r="N2725" s="33"/>
      <c r="O2725" s="70"/>
      <c r="P2725" s="34"/>
      <c r="Q2725" s="60"/>
      <c r="R2725" s="36"/>
      <c r="S2725" s="71"/>
      <c r="T2725" s="37"/>
      <c r="U2725" s="118"/>
      <c r="V2725" s="74"/>
      <c r="W2725" s="74"/>
      <c r="X2725" s="35"/>
      <c r="Y2725" s="35"/>
      <c r="Z2725" s="40"/>
      <c r="AA2725" s="34"/>
      <c r="AB2725" s="41"/>
      <c r="AC2725" s="42" t="b">
        <v>0</v>
      </c>
      <c r="AD2725" s="66"/>
      <c r="AE2725" s="42"/>
      <c r="AF2725" s="42"/>
      <c r="AG2725" s="43"/>
    </row>
    <row r="2726">
      <c r="A2726" s="23"/>
      <c r="B2726" s="101"/>
      <c r="C2726" s="115"/>
      <c r="D2726" s="115"/>
      <c r="E2726" s="85"/>
      <c r="F2726" s="138"/>
      <c r="G2726" s="101"/>
      <c r="H2726" s="105"/>
      <c r="I2726" s="105"/>
      <c r="J2726" s="44"/>
      <c r="K2726" s="116"/>
      <c r="L2726" s="117"/>
      <c r="M2726" s="67"/>
      <c r="N2726" s="33"/>
      <c r="O2726" s="70"/>
      <c r="P2726" s="34"/>
      <c r="Q2726" s="60"/>
      <c r="R2726" s="36"/>
      <c r="S2726" s="71"/>
      <c r="T2726" s="37"/>
      <c r="U2726" s="118"/>
      <c r="V2726" s="74"/>
      <c r="W2726" s="74"/>
      <c r="X2726" s="35"/>
      <c r="Y2726" s="35"/>
      <c r="Z2726" s="40"/>
      <c r="AA2726" s="34"/>
      <c r="AB2726" s="41"/>
      <c r="AC2726" s="42" t="b">
        <v>0</v>
      </c>
      <c r="AD2726" s="66"/>
      <c r="AE2726" s="42"/>
      <c r="AF2726" s="42"/>
      <c r="AG2726" s="43"/>
    </row>
    <row r="2727">
      <c r="A2727" s="23"/>
      <c r="B2727" s="101"/>
      <c r="C2727" s="115"/>
      <c r="D2727" s="115"/>
      <c r="E2727" s="85"/>
      <c r="F2727" s="138"/>
      <c r="G2727" s="101"/>
      <c r="H2727" s="105"/>
      <c r="I2727" s="105"/>
      <c r="J2727" s="44"/>
      <c r="K2727" s="116"/>
      <c r="L2727" s="117"/>
      <c r="M2727" s="67"/>
      <c r="N2727" s="33"/>
      <c r="O2727" s="70"/>
      <c r="P2727" s="34"/>
      <c r="Q2727" s="60"/>
      <c r="R2727" s="36"/>
      <c r="S2727" s="71"/>
      <c r="T2727" s="37"/>
      <c r="U2727" s="118"/>
      <c r="V2727" s="74"/>
      <c r="W2727" s="74"/>
      <c r="X2727" s="35"/>
      <c r="Y2727" s="35"/>
      <c r="Z2727" s="40"/>
      <c r="AA2727" s="34"/>
      <c r="AB2727" s="41"/>
      <c r="AC2727" s="42" t="b">
        <v>0</v>
      </c>
      <c r="AD2727" s="66"/>
      <c r="AE2727" s="42"/>
      <c r="AF2727" s="42"/>
      <c r="AG2727" s="43"/>
    </row>
    <row r="2728">
      <c r="A2728" s="23"/>
      <c r="B2728" s="101"/>
      <c r="C2728" s="115"/>
      <c r="D2728" s="115"/>
      <c r="E2728" s="85"/>
      <c r="F2728" s="138"/>
      <c r="G2728" s="101"/>
      <c r="H2728" s="105"/>
      <c r="I2728" s="105"/>
      <c r="J2728" s="44"/>
      <c r="K2728" s="116"/>
      <c r="L2728" s="117"/>
      <c r="M2728" s="67"/>
      <c r="N2728" s="33"/>
      <c r="O2728" s="70"/>
      <c r="P2728" s="34"/>
      <c r="Q2728" s="60"/>
      <c r="R2728" s="36"/>
      <c r="S2728" s="71"/>
      <c r="T2728" s="37"/>
      <c r="U2728" s="118"/>
      <c r="V2728" s="74"/>
      <c r="W2728" s="74"/>
      <c r="X2728" s="35"/>
      <c r="Y2728" s="35"/>
      <c r="Z2728" s="40"/>
      <c r="AA2728" s="34"/>
      <c r="AB2728" s="41"/>
      <c r="AC2728" s="42" t="b">
        <v>0</v>
      </c>
      <c r="AD2728" s="66"/>
      <c r="AE2728" s="42"/>
      <c r="AF2728" s="42"/>
      <c r="AG2728" s="43"/>
    </row>
    <row r="2729">
      <c r="A2729" s="23"/>
      <c r="B2729" s="101"/>
      <c r="C2729" s="115"/>
      <c r="D2729" s="115"/>
      <c r="E2729" s="85"/>
      <c r="F2729" s="138"/>
      <c r="G2729" s="101"/>
      <c r="H2729" s="105"/>
      <c r="I2729" s="105"/>
      <c r="J2729" s="44"/>
      <c r="K2729" s="116"/>
      <c r="L2729" s="117"/>
      <c r="M2729" s="67"/>
      <c r="N2729" s="33"/>
      <c r="O2729" s="70"/>
      <c r="P2729" s="34"/>
      <c r="Q2729" s="60"/>
      <c r="R2729" s="36"/>
      <c r="S2729" s="71"/>
      <c r="T2729" s="37"/>
      <c r="U2729" s="118"/>
      <c r="V2729" s="74"/>
      <c r="W2729" s="74"/>
      <c r="X2729" s="35"/>
      <c r="Y2729" s="35"/>
      <c r="Z2729" s="40"/>
      <c r="AA2729" s="34"/>
      <c r="AB2729" s="41"/>
      <c r="AC2729" s="42" t="b">
        <v>0</v>
      </c>
      <c r="AD2729" s="66"/>
      <c r="AE2729" s="42"/>
      <c r="AF2729" s="42"/>
      <c r="AG2729" s="43"/>
    </row>
    <row r="2730">
      <c r="A2730" s="23"/>
      <c r="B2730" s="101"/>
      <c r="C2730" s="115"/>
      <c r="D2730" s="115"/>
      <c r="E2730" s="85"/>
      <c r="F2730" s="138"/>
      <c r="G2730" s="101"/>
      <c r="H2730" s="105"/>
      <c r="I2730" s="105"/>
      <c r="J2730" s="44"/>
      <c r="K2730" s="116"/>
      <c r="L2730" s="117"/>
      <c r="M2730" s="67"/>
      <c r="N2730" s="33"/>
      <c r="O2730" s="70"/>
      <c r="P2730" s="34"/>
      <c r="Q2730" s="60"/>
      <c r="R2730" s="36"/>
      <c r="S2730" s="71"/>
      <c r="T2730" s="37"/>
      <c r="U2730" s="118"/>
      <c r="V2730" s="74"/>
      <c r="W2730" s="74"/>
      <c r="X2730" s="35"/>
      <c r="Y2730" s="35"/>
      <c r="Z2730" s="40"/>
      <c r="AA2730" s="34"/>
      <c r="AB2730" s="41"/>
      <c r="AC2730" s="42" t="b">
        <v>0</v>
      </c>
      <c r="AD2730" s="66"/>
      <c r="AE2730" s="42"/>
      <c r="AF2730" s="42"/>
      <c r="AG2730" s="43"/>
    </row>
    <row r="2731">
      <c r="A2731" s="23"/>
      <c r="B2731" s="101"/>
      <c r="C2731" s="115"/>
      <c r="D2731" s="115"/>
      <c r="E2731" s="85"/>
      <c r="F2731" s="138"/>
      <c r="G2731" s="101"/>
      <c r="H2731" s="105"/>
      <c r="I2731" s="105"/>
      <c r="J2731" s="44"/>
      <c r="K2731" s="116"/>
      <c r="L2731" s="117"/>
      <c r="M2731" s="67"/>
      <c r="N2731" s="33"/>
      <c r="O2731" s="70"/>
      <c r="P2731" s="34"/>
      <c r="Q2731" s="60"/>
      <c r="R2731" s="36"/>
      <c r="S2731" s="71"/>
      <c r="T2731" s="37"/>
      <c r="U2731" s="118"/>
      <c r="V2731" s="74"/>
      <c r="W2731" s="74"/>
      <c r="X2731" s="35"/>
      <c r="Y2731" s="35"/>
      <c r="Z2731" s="40"/>
      <c r="AA2731" s="34"/>
      <c r="AB2731" s="41"/>
      <c r="AC2731" s="42" t="b">
        <v>0</v>
      </c>
      <c r="AD2731" s="66"/>
      <c r="AE2731" s="42"/>
      <c r="AF2731" s="42"/>
      <c r="AG2731" s="43"/>
    </row>
    <row r="2732">
      <c r="A2732" s="23"/>
      <c r="B2732" s="101"/>
      <c r="C2732" s="115"/>
      <c r="D2732" s="115"/>
      <c r="E2732" s="85"/>
      <c r="F2732" s="138"/>
      <c r="G2732" s="101"/>
      <c r="H2732" s="105"/>
      <c r="I2732" s="105"/>
      <c r="J2732" s="44"/>
      <c r="K2732" s="116"/>
      <c r="L2732" s="117"/>
      <c r="M2732" s="67"/>
      <c r="N2732" s="33"/>
      <c r="O2732" s="70"/>
      <c r="P2732" s="34"/>
      <c r="Q2732" s="60"/>
      <c r="R2732" s="36"/>
      <c r="S2732" s="71"/>
      <c r="T2732" s="37"/>
      <c r="U2732" s="118"/>
      <c r="V2732" s="74"/>
      <c r="W2732" s="74"/>
      <c r="X2732" s="35"/>
      <c r="Y2732" s="35"/>
      <c r="Z2732" s="40"/>
      <c r="AA2732" s="34"/>
      <c r="AB2732" s="41"/>
      <c r="AC2732" s="42" t="b">
        <v>0</v>
      </c>
      <c r="AD2732" s="66"/>
      <c r="AE2732" s="42"/>
      <c r="AF2732" s="42"/>
      <c r="AG2732" s="43"/>
    </row>
    <row r="2733">
      <c r="A2733" s="23"/>
      <c r="B2733" s="101"/>
      <c r="C2733" s="115"/>
      <c r="D2733" s="115"/>
      <c r="E2733" s="85"/>
      <c r="F2733" s="138"/>
      <c r="G2733" s="101"/>
      <c r="H2733" s="105"/>
      <c r="I2733" s="105"/>
      <c r="J2733" s="44"/>
      <c r="K2733" s="116"/>
      <c r="L2733" s="117"/>
      <c r="M2733" s="67"/>
      <c r="N2733" s="33"/>
      <c r="O2733" s="70"/>
      <c r="P2733" s="34"/>
      <c r="Q2733" s="60"/>
      <c r="R2733" s="36"/>
      <c r="S2733" s="71"/>
      <c r="T2733" s="37"/>
      <c r="U2733" s="118"/>
      <c r="V2733" s="74"/>
      <c r="W2733" s="74"/>
      <c r="X2733" s="35"/>
      <c r="Y2733" s="35"/>
      <c r="Z2733" s="40"/>
      <c r="AA2733" s="34"/>
      <c r="AB2733" s="41"/>
      <c r="AC2733" s="42" t="b">
        <v>0</v>
      </c>
      <c r="AD2733" s="66"/>
      <c r="AE2733" s="42"/>
      <c r="AF2733" s="42"/>
      <c r="AG2733" s="43"/>
    </row>
    <row r="2734">
      <c r="A2734" s="23"/>
      <c r="B2734" s="101"/>
      <c r="C2734" s="115"/>
      <c r="D2734" s="115"/>
      <c r="E2734" s="85"/>
      <c r="F2734" s="138"/>
      <c r="G2734" s="101"/>
      <c r="H2734" s="105"/>
      <c r="I2734" s="105"/>
      <c r="J2734" s="44"/>
      <c r="K2734" s="116"/>
      <c r="L2734" s="117"/>
      <c r="M2734" s="67"/>
      <c r="N2734" s="33"/>
      <c r="O2734" s="70"/>
      <c r="P2734" s="34"/>
      <c r="Q2734" s="60"/>
      <c r="R2734" s="36"/>
      <c r="S2734" s="71"/>
      <c r="T2734" s="37"/>
      <c r="U2734" s="118"/>
      <c r="V2734" s="74"/>
      <c r="W2734" s="74"/>
      <c r="X2734" s="35"/>
      <c r="Y2734" s="35"/>
      <c r="Z2734" s="40"/>
      <c r="AA2734" s="34"/>
      <c r="AB2734" s="41"/>
      <c r="AC2734" s="42" t="b">
        <v>0</v>
      </c>
      <c r="AD2734" s="66"/>
      <c r="AE2734" s="42"/>
      <c r="AF2734" s="42"/>
      <c r="AG2734" s="43"/>
    </row>
    <row r="2735">
      <c r="A2735" s="23"/>
      <c r="B2735" s="101"/>
      <c r="C2735" s="115"/>
      <c r="D2735" s="115"/>
      <c r="E2735" s="85"/>
      <c r="F2735" s="138"/>
      <c r="G2735" s="101"/>
      <c r="H2735" s="105"/>
      <c r="I2735" s="105"/>
      <c r="J2735" s="44"/>
      <c r="K2735" s="116"/>
      <c r="L2735" s="117"/>
      <c r="M2735" s="67"/>
      <c r="N2735" s="33"/>
      <c r="O2735" s="70"/>
      <c r="P2735" s="34"/>
      <c r="Q2735" s="60"/>
      <c r="R2735" s="36"/>
      <c r="S2735" s="71"/>
      <c r="T2735" s="37"/>
      <c r="U2735" s="118"/>
      <c r="V2735" s="74"/>
      <c r="W2735" s="74"/>
      <c r="X2735" s="35"/>
      <c r="Y2735" s="35"/>
      <c r="Z2735" s="40"/>
      <c r="AA2735" s="34"/>
      <c r="AB2735" s="41"/>
      <c r="AC2735" s="42" t="b">
        <v>0</v>
      </c>
      <c r="AD2735" s="66"/>
      <c r="AE2735" s="42"/>
      <c r="AF2735" s="42"/>
      <c r="AG2735" s="43"/>
    </row>
    <row r="2736">
      <c r="A2736" s="23"/>
      <c r="B2736" s="101"/>
      <c r="C2736" s="115"/>
      <c r="D2736" s="115"/>
      <c r="E2736" s="85"/>
      <c r="F2736" s="138"/>
      <c r="G2736" s="101"/>
      <c r="H2736" s="105"/>
      <c r="I2736" s="105"/>
      <c r="J2736" s="44"/>
      <c r="K2736" s="116"/>
      <c r="L2736" s="117"/>
      <c r="M2736" s="67"/>
      <c r="N2736" s="33"/>
      <c r="O2736" s="70"/>
      <c r="P2736" s="34"/>
      <c r="Q2736" s="60"/>
      <c r="R2736" s="36"/>
      <c r="S2736" s="71"/>
      <c r="T2736" s="37"/>
      <c r="U2736" s="118"/>
      <c r="V2736" s="74"/>
      <c r="W2736" s="74"/>
      <c r="X2736" s="35"/>
      <c r="Y2736" s="35"/>
      <c r="Z2736" s="40"/>
      <c r="AA2736" s="34"/>
      <c r="AB2736" s="41"/>
      <c r="AC2736" s="42" t="b">
        <v>0</v>
      </c>
      <c r="AD2736" s="66"/>
      <c r="AE2736" s="42"/>
      <c r="AF2736" s="42"/>
      <c r="AG2736" s="43"/>
    </row>
    <row r="2737">
      <c r="A2737" s="23"/>
      <c r="B2737" s="101"/>
      <c r="C2737" s="115"/>
      <c r="D2737" s="115"/>
      <c r="E2737" s="85"/>
      <c r="F2737" s="138"/>
      <c r="G2737" s="101"/>
      <c r="H2737" s="105"/>
      <c r="I2737" s="105"/>
      <c r="J2737" s="44"/>
      <c r="K2737" s="116"/>
      <c r="L2737" s="117"/>
      <c r="M2737" s="67"/>
      <c r="N2737" s="33"/>
      <c r="O2737" s="70"/>
      <c r="P2737" s="34"/>
      <c r="Q2737" s="60"/>
      <c r="R2737" s="36"/>
      <c r="S2737" s="71"/>
      <c r="T2737" s="37"/>
      <c r="U2737" s="118"/>
      <c r="V2737" s="74"/>
      <c r="W2737" s="74"/>
      <c r="X2737" s="35"/>
      <c r="Y2737" s="35"/>
      <c r="Z2737" s="40"/>
      <c r="AA2737" s="34"/>
      <c r="AB2737" s="41"/>
      <c r="AC2737" s="42" t="b">
        <v>0</v>
      </c>
      <c r="AD2737" s="66"/>
      <c r="AE2737" s="42"/>
      <c r="AF2737" s="42"/>
      <c r="AG2737" s="43"/>
    </row>
    <row r="2738">
      <c r="A2738" s="23"/>
      <c r="B2738" s="101"/>
      <c r="C2738" s="115"/>
      <c r="D2738" s="115"/>
      <c r="E2738" s="85"/>
      <c r="F2738" s="138"/>
      <c r="G2738" s="101"/>
      <c r="H2738" s="105"/>
      <c r="I2738" s="105"/>
      <c r="J2738" s="44"/>
      <c r="K2738" s="116"/>
      <c r="L2738" s="117"/>
      <c r="M2738" s="67"/>
      <c r="N2738" s="33"/>
      <c r="O2738" s="70"/>
      <c r="P2738" s="34"/>
      <c r="Q2738" s="60"/>
      <c r="R2738" s="36"/>
      <c r="S2738" s="71"/>
      <c r="T2738" s="37"/>
      <c r="U2738" s="118"/>
      <c r="V2738" s="74"/>
      <c r="W2738" s="74"/>
      <c r="X2738" s="35"/>
      <c r="Y2738" s="35"/>
      <c r="Z2738" s="40"/>
      <c r="AA2738" s="34"/>
      <c r="AB2738" s="41"/>
      <c r="AC2738" s="42" t="b">
        <v>0</v>
      </c>
      <c r="AD2738" s="66"/>
      <c r="AE2738" s="42"/>
      <c r="AF2738" s="42"/>
      <c r="AG2738" s="43"/>
    </row>
    <row r="2739">
      <c r="A2739" s="23"/>
      <c r="B2739" s="101"/>
      <c r="C2739" s="115"/>
      <c r="D2739" s="115"/>
      <c r="E2739" s="85"/>
      <c r="F2739" s="138"/>
      <c r="G2739" s="101"/>
      <c r="H2739" s="105"/>
      <c r="I2739" s="105"/>
      <c r="J2739" s="44"/>
      <c r="K2739" s="116"/>
      <c r="L2739" s="117"/>
      <c r="M2739" s="67"/>
      <c r="N2739" s="33"/>
      <c r="O2739" s="70"/>
      <c r="P2739" s="34"/>
      <c r="Q2739" s="60"/>
      <c r="R2739" s="36"/>
      <c r="S2739" s="71"/>
      <c r="T2739" s="37"/>
      <c r="U2739" s="118"/>
      <c r="V2739" s="74"/>
      <c r="W2739" s="74"/>
      <c r="X2739" s="35"/>
      <c r="Y2739" s="35"/>
      <c r="Z2739" s="40"/>
      <c r="AA2739" s="34"/>
      <c r="AB2739" s="41"/>
      <c r="AC2739" s="42" t="b">
        <v>0</v>
      </c>
      <c r="AD2739" s="66"/>
      <c r="AE2739" s="42"/>
      <c r="AF2739" s="42"/>
      <c r="AG2739" s="43"/>
    </row>
    <row r="2740">
      <c r="A2740" s="23"/>
      <c r="B2740" s="101"/>
      <c r="C2740" s="115"/>
      <c r="D2740" s="115"/>
      <c r="E2740" s="85"/>
      <c r="F2740" s="138"/>
      <c r="G2740" s="101"/>
      <c r="H2740" s="105"/>
      <c r="I2740" s="105"/>
      <c r="J2740" s="44"/>
      <c r="K2740" s="116"/>
      <c r="L2740" s="117"/>
      <c r="M2740" s="67"/>
      <c r="N2740" s="33"/>
      <c r="O2740" s="70"/>
      <c r="P2740" s="34"/>
      <c r="Q2740" s="60"/>
      <c r="R2740" s="36"/>
      <c r="S2740" s="71"/>
      <c r="T2740" s="37"/>
      <c r="U2740" s="118"/>
      <c r="V2740" s="74"/>
      <c r="W2740" s="74"/>
      <c r="X2740" s="35"/>
      <c r="Y2740" s="35"/>
      <c r="Z2740" s="40"/>
      <c r="AA2740" s="34"/>
      <c r="AB2740" s="41"/>
      <c r="AC2740" s="42" t="b">
        <v>0</v>
      </c>
      <c r="AD2740" s="66"/>
      <c r="AE2740" s="42"/>
      <c r="AF2740" s="42"/>
      <c r="AG2740" s="43"/>
    </row>
    <row r="2741">
      <c r="A2741" s="23"/>
      <c r="B2741" s="101"/>
      <c r="C2741" s="115"/>
      <c r="D2741" s="115"/>
      <c r="E2741" s="85"/>
      <c r="F2741" s="138"/>
      <c r="G2741" s="101"/>
      <c r="H2741" s="105"/>
      <c r="I2741" s="105"/>
      <c r="J2741" s="44"/>
      <c r="K2741" s="116"/>
      <c r="L2741" s="117"/>
      <c r="M2741" s="67"/>
      <c r="N2741" s="33"/>
      <c r="O2741" s="70"/>
      <c r="P2741" s="34"/>
      <c r="Q2741" s="60"/>
      <c r="R2741" s="36"/>
      <c r="S2741" s="71"/>
      <c r="T2741" s="37"/>
      <c r="U2741" s="118"/>
      <c r="V2741" s="74"/>
      <c r="W2741" s="74"/>
      <c r="X2741" s="35"/>
      <c r="Y2741" s="35"/>
      <c r="Z2741" s="40"/>
      <c r="AA2741" s="34"/>
      <c r="AB2741" s="41"/>
      <c r="AC2741" s="42" t="b">
        <v>0</v>
      </c>
      <c r="AD2741" s="66"/>
      <c r="AE2741" s="42"/>
      <c r="AF2741" s="42"/>
      <c r="AG2741" s="43"/>
    </row>
    <row r="2742">
      <c r="A2742" s="23"/>
      <c r="B2742" s="101"/>
      <c r="C2742" s="115"/>
      <c r="D2742" s="115"/>
      <c r="E2742" s="85"/>
      <c r="F2742" s="138"/>
      <c r="G2742" s="101"/>
      <c r="H2742" s="105"/>
      <c r="I2742" s="105"/>
      <c r="J2742" s="44"/>
      <c r="K2742" s="116"/>
      <c r="L2742" s="117"/>
      <c r="M2742" s="67"/>
      <c r="N2742" s="33"/>
      <c r="O2742" s="70"/>
      <c r="P2742" s="34"/>
      <c r="Q2742" s="60"/>
      <c r="R2742" s="36"/>
      <c r="S2742" s="71"/>
      <c r="T2742" s="37"/>
      <c r="U2742" s="118"/>
      <c r="V2742" s="74"/>
      <c r="W2742" s="74"/>
      <c r="X2742" s="35"/>
      <c r="Y2742" s="35"/>
      <c r="Z2742" s="40"/>
      <c r="AA2742" s="34"/>
      <c r="AB2742" s="41"/>
      <c r="AC2742" s="42" t="b">
        <v>0</v>
      </c>
      <c r="AD2742" s="66"/>
      <c r="AE2742" s="42"/>
      <c r="AF2742" s="42"/>
      <c r="AG2742" s="43"/>
    </row>
    <row r="2743">
      <c r="A2743" s="23"/>
      <c r="B2743" s="101"/>
      <c r="C2743" s="115"/>
      <c r="D2743" s="115"/>
      <c r="E2743" s="85"/>
      <c r="F2743" s="138"/>
      <c r="G2743" s="101"/>
      <c r="H2743" s="105"/>
      <c r="I2743" s="105"/>
      <c r="J2743" s="44"/>
      <c r="K2743" s="116"/>
      <c r="L2743" s="117"/>
      <c r="M2743" s="67"/>
      <c r="N2743" s="33"/>
      <c r="O2743" s="70"/>
      <c r="P2743" s="34"/>
      <c r="Q2743" s="60"/>
      <c r="R2743" s="36"/>
      <c r="S2743" s="71"/>
      <c r="T2743" s="37"/>
      <c r="U2743" s="118"/>
      <c r="V2743" s="74"/>
      <c r="W2743" s="74"/>
      <c r="X2743" s="35"/>
      <c r="Y2743" s="35"/>
      <c r="Z2743" s="40"/>
      <c r="AA2743" s="34"/>
      <c r="AB2743" s="41"/>
      <c r="AC2743" s="42" t="b">
        <v>0</v>
      </c>
      <c r="AD2743" s="66"/>
      <c r="AE2743" s="42"/>
      <c r="AF2743" s="42"/>
      <c r="AG2743" s="43"/>
    </row>
    <row r="2744">
      <c r="A2744" s="23"/>
      <c r="B2744" s="101"/>
      <c r="C2744" s="115"/>
      <c r="D2744" s="115"/>
      <c r="E2744" s="85"/>
      <c r="F2744" s="138"/>
      <c r="G2744" s="101"/>
      <c r="H2744" s="105"/>
      <c r="I2744" s="105"/>
      <c r="J2744" s="44"/>
      <c r="K2744" s="116"/>
      <c r="L2744" s="117"/>
      <c r="M2744" s="67"/>
      <c r="N2744" s="33"/>
      <c r="O2744" s="70"/>
      <c r="P2744" s="34"/>
      <c r="Q2744" s="60"/>
      <c r="R2744" s="36"/>
      <c r="S2744" s="71"/>
      <c r="T2744" s="37"/>
      <c r="U2744" s="118"/>
      <c r="V2744" s="74"/>
      <c r="W2744" s="74"/>
      <c r="X2744" s="35"/>
      <c r="Y2744" s="35"/>
      <c r="Z2744" s="40"/>
      <c r="AA2744" s="34"/>
      <c r="AB2744" s="41"/>
      <c r="AC2744" s="42" t="b">
        <v>0</v>
      </c>
      <c r="AD2744" s="66"/>
      <c r="AE2744" s="42"/>
      <c r="AF2744" s="42"/>
      <c r="AG2744" s="43"/>
    </row>
    <row r="2745">
      <c r="A2745" s="23"/>
      <c r="B2745" s="101"/>
      <c r="C2745" s="115"/>
      <c r="D2745" s="115"/>
      <c r="E2745" s="85"/>
      <c r="F2745" s="138"/>
      <c r="G2745" s="101"/>
      <c r="H2745" s="105"/>
      <c r="I2745" s="105"/>
      <c r="J2745" s="44"/>
      <c r="K2745" s="116"/>
      <c r="L2745" s="117"/>
      <c r="M2745" s="67"/>
      <c r="N2745" s="33"/>
      <c r="O2745" s="70"/>
      <c r="P2745" s="34"/>
      <c r="Q2745" s="60"/>
      <c r="R2745" s="36"/>
      <c r="S2745" s="71"/>
      <c r="T2745" s="37"/>
      <c r="U2745" s="118"/>
      <c r="V2745" s="74"/>
      <c r="W2745" s="74"/>
      <c r="X2745" s="35"/>
      <c r="Y2745" s="35"/>
      <c r="Z2745" s="40"/>
      <c r="AA2745" s="34"/>
      <c r="AB2745" s="41"/>
      <c r="AC2745" s="42" t="b">
        <v>0</v>
      </c>
      <c r="AD2745" s="66"/>
      <c r="AE2745" s="42"/>
      <c r="AF2745" s="42"/>
      <c r="AG2745" s="43"/>
    </row>
    <row r="2746">
      <c r="A2746" s="23"/>
      <c r="B2746" s="101"/>
      <c r="C2746" s="115"/>
      <c r="D2746" s="115"/>
      <c r="E2746" s="85"/>
      <c r="F2746" s="138"/>
      <c r="G2746" s="101"/>
      <c r="H2746" s="105"/>
      <c r="I2746" s="105"/>
      <c r="J2746" s="44"/>
      <c r="K2746" s="116"/>
      <c r="L2746" s="117"/>
      <c r="M2746" s="67"/>
      <c r="N2746" s="33"/>
      <c r="O2746" s="70"/>
      <c r="P2746" s="34"/>
      <c r="Q2746" s="60"/>
      <c r="R2746" s="36"/>
      <c r="S2746" s="71"/>
      <c r="T2746" s="37"/>
      <c r="U2746" s="118"/>
      <c r="V2746" s="74"/>
      <c r="W2746" s="74"/>
      <c r="X2746" s="35"/>
      <c r="Y2746" s="35"/>
      <c r="Z2746" s="40"/>
      <c r="AA2746" s="34"/>
      <c r="AB2746" s="41"/>
      <c r="AC2746" s="42" t="b">
        <v>0</v>
      </c>
      <c r="AD2746" s="66"/>
      <c r="AE2746" s="42"/>
      <c r="AF2746" s="42"/>
      <c r="AG2746" s="43"/>
    </row>
    <row r="2747">
      <c r="A2747" s="23"/>
      <c r="B2747" s="101"/>
      <c r="C2747" s="115"/>
      <c r="D2747" s="115"/>
      <c r="E2747" s="85"/>
      <c r="F2747" s="138"/>
      <c r="G2747" s="101"/>
      <c r="H2747" s="105"/>
      <c r="I2747" s="105"/>
      <c r="J2747" s="44"/>
      <c r="K2747" s="116"/>
      <c r="L2747" s="117"/>
      <c r="M2747" s="67"/>
      <c r="N2747" s="33"/>
      <c r="O2747" s="70"/>
      <c r="P2747" s="34"/>
      <c r="Q2747" s="60"/>
      <c r="R2747" s="36"/>
      <c r="S2747" s="71"/>
      <c r="T2747" s="37"/>
      <c r="U2747" s="118"/>
      <c r="V2747" s="74"/>
      <c r="W2747" s="74"/>
      <c r="X2747" s="35"/>
      <c r="Y2747" s="35"/>
      <c r="Z2747" s="40"/>
      <c r="AA2747" s="34"/>
      <c r="AB2747" s="41"/>
      <c r="AC2747" s="42" t="b">
        <v>0</v>
      </c>
      <c r="AD2747" s="66"/>
      <c r="AE2747" s="42"/>
      <c r="AF2747" s="42"/>
      <c r="AG2747" s="43"/>
    </row>
    <row r="2748">
      <c r="A2748" s="23"/>
      <c r="B2748" s="101"/>
      <c r="C2748" s="115"/>
      <c r="D2748" s="115"/>
      <c r="E2748" s="85"/>
      <c r="F2748" s="138"/>
      <c r="G2748" s="101"/>
      <c r="H2748" s="105"/>
      <c r="I2748" s="105"/>
      <c r="J2748" s="44"/>
      <c r="K2748" s="116"/>
      <c r="L2748" s="117"/>
      <c r="M2748" s="67"/>
      <c r="N2748" s="33"/>
      <c r="O2748" s="70"/>
      <c r="P2748" s="34"/>
      <c r="Q2748" s="60"/>
      <c r="R2748" s="36"/>
      <c r="S2748" s="71"/>
      <c r="T2748" s="37"/>
      <c r="U2748" s="118"/>
      <c r="V2748" s="74"/>
      <c r="W2748" s="74"/>
      <c r="X2748" s="35"/>
      <c r="Y2748" s="35"/>
      <c r="Z2748" s="40"/>
      <c r="AA2748" s="34"/>
      <c r="AB2748" s="41"/>
      <c r="AC2748" s="42" t="b">
        <v>0</v>
      </c>
      <c r="AD2748" s="66"/>
      <c r="AE2748" s="42"/>
      <c r="AF2748" s="42"/>
      <c r="AG2748" s="43"/>
    </row>
    <row r="2749">
      <c r="A2749" s="23"/>
      <c r="B2749" s="101"/>
      <c r="C2749" s="115"/>
      <c r="D2749" s="115"/>
      <c r="E2749" s="85"/>
      <c r="F2749" s="138"/>
      <c r="G2749" s="101"/>
      <c r="H2749" s="105"/>
      <c r="I2749" s="105"/>
      <c r="J2749" s="44"/>
      <c r="K2749" s="116"/>
      <c r="L2749" s="117"/>
      <c r="M2749" s="67"/>
      <c r="N2749" s="33"/>
      <c r="O2749" s="70"/>
      <c r="P2749" s="34"/>
      <c r="Q2749" s="60"/>
      <c r="R2749" s="36"/>
      <c r="S2749" s="71"/>
      <c r="T2749" s="37"/>
      <c r="U2749" s="118"/>
      <c r="V2749" s="74"/>
      <c r="W2749" s="74"/>
      <c r="X2749" s="35"/>
      <c r="Y2749" s="35"/>
      <c r="Z2749" s="40"/>
      <c r="AA2749" s="34"/>
      <c r="AB2749" s="41"/>
      <c r="AC2749" s="42" t="b">
        <v>0</v>
      </c>
      <c r="AD2749" s="66"/>
      <c r="AE2749" s="42"/>
      <c r="AF2749" s="42"/>
      <c r="AG2749" s="43"/>
    </row>
    <row r="2750">
      <c r="A2750" s="23"/>
      <c r="B2750" s="101"/>
      <c r="C2750" s="115"/>
      <c r="D2750" s="115"/>
      <c r="E2750" s="85"/>
      <c r="F2750" s="138"/>
      <c r="G2750" s="101"/>
      <c r="H2750" s="105"/>
      <c r="I2750" s="105"/>
      <c r="J2750" s="44"/>
      <c r="K2750" s="116"/>
      <c r="L2750" s="117"/>
      <c r="M2750" s="67"/>
      <c r="N2750" s="33"/>
      <c r="O2750" s="70"/>
      <c r="P2750" s="34"/>
      <c r="Q2750" s="60"/>
      <c r="R2750" s="36"/>
      <c r="S2750" s="71"/>
      <c r="T2750" s="37"/>
      <c r="U2750" s="118"/>
      <c r="V2750" s="74"/>
      <c r="W2750" s="74"/>
      <c r="X2750" s="35"/>
      <c r="Y2750" s="35"/>
      <c r="Z2750" s="40"/>
      <c r="AA2750" s="34"/>
      <c r="AB2750" s="41"/>
      <c r="AC2750" s="42" t="b">
        <v>0</v>
      </c>
      <c r="AD2750" s="66"/>
      <c r="AE2750" s="42"/>
      <c r="AF2750" s="42"/>
      <c r="AG2750" s="43"/>
    </row>
    <row r="2751">
      <c r="A2751" s="23"/>
      <c r="B2751" s="101"/>
      <c r="C2751" s="115"/>
      <c r="D2751" s="115"/>
      <c r="E2751" s="85"/>
      <c r="F2751" s="138"/>
      <c r="G2751" s="101"/>
      <c r="H2751" s="105"/>
      <c r="I2751" s="105"/>
      <c r="J2751" s="44"/>
      <c r="K2751" s="116"/>
      <c r="L2751" s="117"/>
      <c r="M2751" s="67"/>
      <c r="N2751" s="33"/>
      <c r="O2751" s="70"/>
      <c r="P2751" s="34"/>
      <c r="Q2751" s="60"/>
      <c r="R2751" s="36"/>
      <c r="S2751" s="71"/>
      <c r="T2751" s="37"/>
      <c r="U2751" s="118"/>
      <c r="V2751" s="74"/>
      <c r="W2751" s="74"/>
      <c r="X2751" s="35"/>
      <c r="Y2751" s="35"/>
      <c r="Z2751" s="40"/>
      <c r="AA2751" s="34"/>
      <c r="AB2751" s="41"/>
      <c r="AC2751" s="42" t="b">
        <v>0</v>
      </c>
      <c r="AD2751" s="66"/>
      <c r="AE2751" s="42"/>
      <c r="AF2751" s="42"/>
      <c r="AG2751" s="43"/>
    </row>
    <row r="2752">
      <c r="A2752" s="23"/>
      <c r="B2752" s="101"/>
      <c r="C2752" s="115"/>
      <c r="D2752" s="115"/>
      <c r="E2752" s="85"/>
      <c r="F2752" s="138"/>
      <c r="G2752" s="101"/>
      <c r="H2752" s="105"/>
      <c r="I2752" s="105"/>
      <c r="J2752" s="44"/>
      <c r="K2752" s="116"/>
      <c r="L2752" s="117"/>
      <c r="M2752" s="67"/>
      <c r="N2752" s="33"/>
      <c r="O2752" s="70"/>
      <c r="P2752" s="34"/>
      <c r="Q2752" s="60"/>
      <c r="R2752" s="36"/>
      <c r="S2752" s="71"/>
      <c r="T2752" s="37"/>
      <c r="U2752" s="118"/>
      <c r="V2752" s="74"/>
      <c r="W2752" s="74"/>
      <c r="X2752" s="35"/>
      <c r="Y2752" s="35"/>
      <c r="Z2752" s="40"/>
      <c r="AA2752" s="34"/>
      <c r="AB2752" s="41"/>
      <c r="AC2752" s="42" t="b">
        <v>0</v>
      </c>
      <c r="AD2752" s="66"/>
      <c r="AE2752" s="42"/>
      <c r="AF2752" s="42"/>
      <c r="AG2752" s="43"/>
    </row>
    <row r="2753">
      <c r="A2753" s="23"/>
      <c r="B2753" s="101"/>
      <c r="C2753" s="115"/>
      <c r="D2753" s="115"/>
      <c r="E2753" s="85"/>
      <c r="F2753" s="138"/>
      <c r="G2753" s="101"/>
      <c r="H2753" s="105"/>
      <c r="I2753" s="105"/>
      <c r="J2753" s="44"/>
      <c r="K2753" s="116"/>
      <c r="L2753" s="117"/>
      <c r="M2753" s="67"/>
      <c r="N2753" s="33"/>
      <c r="O2753" s="70"/>
      <c r="P2753" s="34"/>
      <c r="Q2753" s="60"/>
      <c r="R2753" s="36"/>
      <c r="S2753" s="71"/>
      <c r="T2753" s="37"/>
      <c r="U2753" s="118"/>
      <c r="V2753" s="74"/>
      <c r="W2753" s="74"/>
      <c r="X2753" s="35"/>
      <c r="Y2753" s="35"/>
      <c r="Z2753" s="40"/>
      <c r="AA2753" s="34"/>
      <c r="AB2753" s="41"/>
      <c r="AC2753" s="42" t="b">
        <v>0</v>
      </c>
      <c r="AD2753" s="66"/>
      <c r="AE2753" s="42"/>
      <c r="AF2753" s="42"/>
      <c r="AG2753" s="43"/>
    </row>
    <row r="2754">
      <c r="A2754" s="23"/>
      <c r="B2754" s="101"/>
      <c r="C2754" s="115"/>
      <c r="D2754" s="115"/>
      <c r="E2754" s="85"/>
      <c r="F2754" s="138"/>
      <c r="G2754" s="101"/>
      <c r="H2754" s="105"/>
      <c r="I2754" s="105"/>
      <c r="J2754" s="44"/>
      <c r="K2754" s="116"/>
      <c r="L2754" s="117"/>
      <c r="M2754" s="67"/>
      <c r="N2754" s="33"/>
      <c r="O2754" s="70"/>
      <c r="P2754" s="34"/>
      <c r="Q2754" s="60"/>
      <c r="R2754" s="36"/>
      <c r="S2754" s="71"/>
      <c r="T2754" s="37"/>
      <c r="U2754" s="118"/>
      <c r="V2754" s="74"/>
      <c r="W2754" s="74"/>
      <c r="X2754" s="35"/>
      <c r="Y2754" s="35"/>
      <c r="Z2754" s="40"/>
      <c r="AA2754" s="34"/>
      <c r="AB2754" s="41"/>
      <c r="AC2754" s="42" t="b">
        <v>0</v>
      </c>
      <c r="AD2754" s="66"/>
      <c r="AE2754" s="42"/>
      <c r="AF2754" s="42"/>
      <c r="AG2754" s="43"/>
    </row>
    <row r="2755">
      <c r="A2755" s="23"/>
      <c r="B2755" s="101"/>
      <c r="C2755" s="115"/>
      <c r="D2755" s="115"/>
      <c r="E2755" s="85"/>
      <c r="F2755" s="138"/>
      <c r="G2755" s="101"/>
      <c r="H2755" s="105"/>
      <c r="I2755" s="105"/>
      <c r="J2755" s="44"/>
      <c r="K2755" s="116"/>
      <c r="L2755" s="117"/>
      <c r="M2755" s="67"/>
      <c r="N2755" s="33"/>
      <c r="O2755" s="70"/>
      <c r="P2755" s="34"/>
      <c r="Q2755" s="60"/>
      <c r="R2755" s="36"/>
      <c r="S2755" s="71"/>
      <c r="T2755" s="37"/>
      <c r="U2755" s="118"/>
      <c r="V2755" s="74"/>
      <c r="W2755" s="74"/>
      <c r="X2755" s="35"/>
      <c r="Y2755" s="35"/>
      <c r="Z2755" s="40"/>
      <c r="AA2755" s="34"/>
      <c r="AB2755" s="41"/>
      <c r="AC2755" s="42" t="b">
        <v>0</v>
      </c>
      <c r="AD2755" s="66"/>
      <c r="AE2755" s="42"/>
      <c r="AF2755" s="42"/>
      <c r="AG2755" s="43"/>
    </row>
    <row r="2756">
      <c r="A2756" s="23"/>
      <c r="B2756" s="101"/>
      <c r="C2756" s="115"/>
      <c r="D2756" s="115"/>
      <c r="E2756" s="85"/>
      <c r="F2756" s="138"/>
      <c r="G2756" s="101"/>
      <c r="H2756" s="105"/>
      <c r="I2756" s="105"/>
      <c r="J2756" s="44"/>
      <c r="K2756" s="116"/>
      <c r="L2756" s="117"/>
      <c r="M2756" s="67"/>
      <c r="N2756" s="33"/>
      <c r="O2756" s="70"/>
      <c r="P2756" s="34"/>
      <c r="Q2756" s="60"/>
      <c r="R2756" s="36"/>
      <c r="S2756" s="71"/>
      <c r="T2756" s="37"/>
      <c r="U2756" s="118"/>
      <c r="V2756" s="74"/>
      <c r="W2756" s="74"/>
      <c r="X2756" s="35"/>
      <c r="Y2756" s="35"/>
      <c r="Z2756" s="40"/>
      <c r="AA2756" s="34"/>
      <c r="AB2756" s="41"/>
      <c r="AC2756" s="42" t="b">
        <v>0</v>
      </c>
      <c r="AD2756" s="66"/>
      <c r="AE2756" s="42"/>
      <c r="AF2756" s="42"/>
      <c r="AG2756" s="43"/>
    </row>
    <row r="2757">
      <c r="A2757" s="23"/>
      <c r="B2757" s="101"/>
      <c r="C2757" s="115"/>
      <c r="D2757" s="115"/>
      <c r="E2757" s="85"/>
      <c r="F2757" s="138"/>
      <c r="G2757" s="101"/>
      <c r="H2757" s="105"/>
      <c r="I2757" s="105"/>
      <c r="J2757" s="44"/>
      <c r="K2757" s="116"/>
      <c r="L2757" s="117"/>
      <c r="M2757" s="67"/>
      <c r="N2757" s="33"/>
      <c r="O2757" s="70"/>
      <c r="P2757" s="34"/>
      <c r="Q2757" s="60"/>
      <c r="R2757" s="36"/>
      <c r="S2757" s="71"/>
      <c r="T2757" s="37"/>
      <c r="U2757" s="118"/>
      <c r="V2757" s="74"/>
      <c r="W2757" s="74"/>
      <c r="X2757" s="35"/>
      <c r="Y2757" s="35"/>
      <c r="Z2757" s="40"/>
      <c r="AA2757" s="34"/>
      <c r="AB2757" s="41"/>
      <c r="AC2757" s="42" t="b">
        <v>0</v>
      </c>
      <c r="AD2757" s="66"/>
      <c r="AE2757" s="42"/>
      <c r="AF2757" s="42"/>
      <c r="AG2757" s="43"/>
    </row>
    <row r="2758">
      <c r="A2758" s="23"/>
      <c r="B2758" s="101"/>
      <c r="C2758" s="115"/>
      <c r="D2758" s="115"/>
      <c r="E2758" s="85"/>
      <c r="F2758" s="138"/>
      <c r="G2758" s="101"/>
      <c r="H2758" s="105"/>
      <c r="I2758" s="105"/>
      <c r="J2758" s="44"/>
      <c r="K2758" s="116"/>
      <c r="L2758" s="117"/>
      <c r="M2758" s="67"/>
      <c r="N2758" s="33"/>
      <c r="O2758" s="70"/>
      <c r="P2758" s="34"/>
      <c r="Q2758" s="60"/>
      <c r="R2758" s="36"/>
      <c r="S2758" s="71"/>
      <c r="T2758" s="37"/>
      <c r="U2758" s="118"/>
      <c r="V2758" s="74"/>
      <c r="W2758" s="74"/>
      <c r="X2758" s="35"/>
      <c r="Y2758" s="35"/>
      <c r="Z2758" s="40"/>
      <c r="AA2758" s="34"/>
      <c r="AB2758" s="41"/>
      <c r="AC2758" s="42" t="b">
        <v>0</v>
      </c>
      <c r="AD2758" s="66"/>
      <c r="AE2758" s="42"/>
      <c r="AF2758" s="42"/>
      <c r="AG2758" s="43"/>
    </row>
    <row r="2759">
      <c r="A2759" s="23"/>
      <c r="B2759" s="101"/>
      <c r="C2759" s="115"/>
      <c r="D2759" s="115"/>
      <c r="E2759" s="85"/>
      <c r="F2759" s="138"/>
      <c r="G2759" s="101"/>
      <c r="H2759" s="105"/>
      <c r="I2759" s="105"/>
      <c r="J2759" s="44"/>
      <c r="K2759" s="116"/>
      <c r="L2759" s="117"/>
      <c r="M2759" s="67"/>
      <c r="N2759" s="33"/>
      <c r="O2759" s="70"/>
      <c r="P2759" s="34"/>
      <c r="Q2759" s="60"/>
      <c r="R2759" s="36"/>
      <c r="S2759" s="71"/>
      <c r="T2759" s="37"/>
      <c r="U2759" s="118"/>
      <c r="V2759" s="74"/>
      <c r="W2759" s="74"/>
      <c r="X2759" s="35"/>
      <c r="Y2759" s="35"/>
      <c r="Z2759" s="40"/>
      <c r="AA2759" s="34"/>
      <c r="AB2759" s="41"/>
      <c r="AC2759" s="42" t="b">
        <v>0</v>
      </c>
      <c r="AD2759" s="66"/>
      <c r="AE2759" s="42"/>
      <c r="AF2759" s="42"/>
      <c r="AG2759" s="43"/>
    </row>
    <row r="2760">
      <c r="A2760" s="23"/>
      <c r="B2760" s="101"/>
      <c r="C2760" s="115"/>
      <c r="D2760" s="115"/>
      <c r="E2760" s="85"/>
      <c r="F2760" s="138"/>
      <c r="G2760" s="101"/>
      <c r="H2760" s="105"/>
      <c r="I2760" s="105"/>
      <c r="J2760" s="44"/>
      <c r="K2760" s="116"/>
      <c r="L2760" s="117"/>
      <c r="M2760" s="67"/>
      <c r="N2760" s="33"/>
      <c r="O2760" s="70"/>
      <c r="P2760" s="34"/>
      <c r="Q2760" s="60"/>
      <c r="R2760" s="36"/>
      <c r="S2760" s="71"/>
      <c r="T2760" s="37"/>
      <c r="U2760" s="118"/>
      <c r="V2760" s="74"/>
      <c r="W2760" s="74"/>
      <c r="X2760" s="35"/>
      <c r="Y2760" s="35"/>
      <c r="Z2760" s="40"/>
      <c r="AA2760" s="34"/>
      <c r="AB2760" s="41"/>
      <c r="AC2760" s="42" t="b">
        <v>0</v>
      </c>
      <c r="AD2760" s="66"/>
      <c r="AE2760" s="42"/>
      <c r="AF2760" s="42"/>
      <c r="AG2760" s="43"/>
    </row>
    <row r="2761">
      <c r="A2761" s="23"/>
      <c r="B2761" s="101"/>
      <c r="C2761" s="115"/>
      <c r="D2761" s="115"/>
      <c r="E2761" s="85"/>
      <c r="F2761" s="138"/>
      <c r="G2761" s="101"/>
      <c r="H2761" s="105"/>
      <c r="I2761" s="105"/>
      <c r="J2761" s="44"/>
      <c r="K2761" s="116"/>
      <c r="L2761" s="117"/>
      <c r="M2761" s="67"/>
      <c r="N2761" s="33"/>
      <c r="O2761" s="70"/>
      <c r="P2761" s="34"/>
      <c r="Q2761" s="60"/>
      <c r="R2761" s="36"/>
      <c r="S2761" s="71"/>
      <c r="T2761" s="37"/>
      <c r="U2761" s="118"/>
      <c r="V2761" s="74"/>
      <c r="W2761" s="74"/>
      <c r="X2761" s="35"/>
      <c r="Y2761" s="35"/>
      <c r="Z2761" s="40"/>
      <c r="AA2761" s="34"/>
      <c r="AB2761" s="41"/>
      <c r="AC2761" s="42" t="b">
        <v>0</v>
      </c>
      <c r="AD2761" s="66"/>
      <c r="AE2761" s="42"/>
      <c r="AF2761" s="42"/>
      <c r="AG2761" s="43"/>
    </row>
    <row r="2762">
      <c r="A2762" s="23"/>
      <c r="B2762" s="101"/>
      <c r="C2762" s="115"/>
      <c r="D2762" s="115"/>
      <c r="E2762" s="85"/>
      <c r="F2762" s="138"/>
      <c r="G2762" s="101"/>
      <c r="H2762" s="105"/>
      <c r="I2762" s="105"/>
      <c r="J2762" s="44"/>
      <c r="K2762" s="116"/>
      <c r="L2762" s="117"/>
      <c r="M2762" s="67"/>
      <c r="N2762" s="33"/>
      <c r="O2762" s="70"/>
      <c r="P2762" s="34"/>
      <c r="Q2762" s="60"/>
      <c r="R2762" s="36"/>
      <c r="S2762" s="71"/>
      <c r="T2762" s="37"/>
      <c r="U2762" s="118"/>
      <c r="V2762" s="74"/>
      <c r="W2762" s="74"/>
      <c r="X2762" s="35"/>
      <c r="Y2762" s="35"/>
      <c r="Z2762" s="40"/>
      <c r="AA2762" s="34"/>
      <c r="AB2762" s="41"/>
      <c r="AC2762" s="42" t="b">
        <v>0</v>
      </c>
      <c r="AD2762" s="66"/>
      <c r="AE2762" s="42"/>
      <c r="AF2762" s="42"/>
      <c r="AG2762" s="43"/>
    </row>
    <row r="2763">
      <c r="A2763" s="23"/>
      <c r="B2763" s="101"/>
      <c r="C2763" s="115"/>
      <c r="D2763" s="115"/>
      <c r="E2763" s="85"/>
      <c r="F2763" s="138"/>
      <c r="G2763" s="101"/>
      <c r="H2763" s="105"/>
      <c r="I2763" s="105"/>
      <c r="J2763" s="44"/>
      <c r="K2763" s="116"/>
      <c r="L2763" s="117"/>
      <c r="M2763" s="67"/>
      <c r="N2763" s="33"/>
      <c r="O2763" s="70"/>
      <c r="P2763" s="34"/>
      <c r="Q2763" s="60"/>
      <c r="R2763" s="36"/>
      <c r="S2763" s="71"/>
      <c r="T2763" s="37"/>
      <c r="U2763" s="118"/>
      <c r="V2763" s="74"/>
      <c r="W2763" s="74"/>
      <c r="X2763" s="35"/>
      <c r="Y2763" s="35"/>
      <c r="Z2763" s="40"/>
      <c r="AA2763" s="34"/>
      <c r="AB2763" s="41"/>
      <c r="AC2763" s="42" t="b">
        <v>0</v>
      </c>
      <c r="AD2763" s="66"/>
      <c r="AE2763" s="42"/>
      <c r="AF2763" s="42"/>
      <c r="AG2763" s="43"/>
    </row>
    <row r="2764">
      <c r="A2764" s="23"/>
      <c r="B2764" s="101"/>
      <c r="C2764" s="115"/>
      <c r="D2764" s="115"/>
      <c r="E2764" s="85"/>
      <c r="F2764" s="138"/>
      <c r="G2764" s="101"/>
      <c r="H2764" s="105"/>
      <c r="I2764" s="105"/>
      <c r="J2764" s="44"/>
      <c r="K2764" s="116"/>
      <c r="L2764" s="117"/>
      <c r="M2764" s="67"/>
      <c r="N2764" s="33"/>
      <c r="O2764" s="70"/>
      <c r="P2764" s="34"/>
      <c r="Q2764" s="60"/>
      <c r="R2764" s="36"/>
      <c r="S2764" s="71"/>
      <c r="T2764" s="37"/>
      <c r="U2764" s="118"/>
      <c r="V2764" s="74"/>
      <c r="W2764" s="74"/>
      <c r="X2764" s="35"/>
      <c r="Y2764" s="35"/>
      <c r="Z2764" s="40"/>
      <c r="AA2764" s="34"/>
      <c r="AB2764" s="41"/>
      <c r="AC2764" s="42" t="b">
        <v>0</v>
      </c>
      <c r="AD2764" s="66"/>
      <c r="AE2764" s="42"/>
      <c r="AF2764" s="42"/>
      <c r="AG2764" s="43"/>
    </row>
    <row r="2765">
      <c r="A2765" s="23"/>
      <c r="B2765" s="101"/>
      <c r="C2765" s="115"/>
      <c r="D2765" s="115"/>
      <c r="E2765" s="85"/>
      <c r="F2765" s="138"/>
      <c r="G2765" s="101"/>
      <c r="H2765" s="105"/>
      <c r="I2765" s="105"/>
      <c r="J2765" s="44"/>
      <c r="K2765" s="116"/>
      <c r="L2765" s="117"/>
      <c r="M2765" s="67"/>
      <c r="N2765" s="33"/>
      <c r="O2765" s="70"/>
      <c r="P2765" s="34"/>
      <c r="Q2765" s="60"/>
      <c r="R2765" s="36"/>
      <c r="S2765" s="71"/>
      <c r="T2765" s="37"/>
      <c r="U2765" s="118"/>
      <c r="V2765" s="74"/>
      <c r="W2765" s="74"/>
      <c r="X2765" s="35"/>
      <c r="Y2765" s="35"/>
      <c r="Z2765" s="40"/>
      <c r="AA2765" s="34"/>
      <c r="AB2765" s="41"/>
      <c r="AC2765" s="42" t="b">
        <v>0</v>
      </c>
      <c r="AD2765" s="66"/>
      <c r="AE2765" s="42"/>
      <c r="AF2765" s="42"/>
      <c r="AG2765" s="43"/>
    </row>
    <row r="2766">
      <c r="A2766" s="23"/>
      <c r="B2766" s="101"/>
      <c r="C2766" s="115"/>
      <c r="D2766" s="115"/>
      <c r="E2766" s="85"/>
      <c r="F2766" s="138"/>
      <c r="G2766" s="101"/>
      <c r="H2766" s="105"/>
      <c r="I2766" s="105"/>
      <c r="J2766" s="44"/>
      <c r="K2766" s="116"/>
      <c r="L2766" s="117"/>
      <c r="M2766" s="67"/>
      <c r="N2766" s="33"/>
      <c r="O2766" s="70"/>
      <c r="P2766" s="34"/>
      <c r="Q2766" s="60"/>
      <c r="R2766" s="36"/>
      <c r="S2766" s="71"/>
      <c r="T2766" s="37"/>
      <c r="U2766" s="118"/>
      <c r="V2766" s="74"/>
      <c r="W2766" s="74"/>
      <c r="X2766" s="35"/>
      <c r="Y2766" s="35"/>
      <c r="Z2766" s="40"/>
      <c r="AA2766" s="34"/>
      <c r="AB2766" s="41"/>
      <c r="AC2766" s="42" t="b">
        <v>0</v>
      </c>
      <c r="AD2766" s="66"/>
      <c r="AE2766" s="42"/>
      <c r="AF2766" s="42"/>
      <c r="AG2766" s="43"/>
    </row>
    <row r="2767">
      <c r="A2767" s="23"/>
      <c r="B2767" s="101"/>
      <c r="C2767" s="115"/>
      <c r="D2767" s="115"/>
      <c r="E2767" s="85"/>
      <c r="F2767" s="138"/>
      <c r="G2767" s="101"/>
      <c r="H2767" s="105"/>
      <c r="I2767" s="105"/>
      <c r="J2767" s="44"/>
      <c r="K2767" s="116"/>
      <c r="L2767" s="117"/>
      <c r="M2767" s="67"/>
      <c r="N2767" s="33"/>
      <c r="O2767" s="70"/>
      <c r="P2767" s="34"/>
      <c r="Q2767" s="60"/>
      <c r="R2767" s="36"/>
      <c r="S2767" s="71"/>
      <c r="T2767" s="37"/>
      <c r="U2767" s="118"/>
      <c r="V2767" s="74"/>
      <c r="W2767" s="74"/>
      <c r="X2767" s="35"/>
      <c r="Y2767" s="35"/>
      <c r="Z2767" s="40"/>
      <c r="AA2767" s="34"/>
      <c r="AB2767" s="41"/>
      <c r="AC2767" s="42" t="b">
        <v>0</v>
      </c>
      <c r="AD2767" s="66"/>
      <c r="AE2767" s="42"/>
      <c r="AF2767" s="42"/>
      <c r="AG2767" s="43"/>
    </row>
    <row r="2768">
      <c r="A2768" s="23"/>
      <c r="B2768" s="101"/>
      <c r="C2768" s="115"/>
      <c r="D2768" s="115"/>
      <c r="E2768" s="85"/>
      <c r="F2768" s="138"/>
      <c r="G2768" s="101"/>
      <c r="H2768" s="105"/>
      <c r="I2768" s="105"/>
      <c r="J2768" s="44"/>
      <c r="K2768" s="116"/>
      <c r="L2768" s="117"/>
      <c r="M2768" s="67"/>
      <c r="N2768" s="33"/>
      <c r="O2768" s="70"/>
      <c r="P2768" s="34"/>
      <c r="Q2768" s="60"/>
      <c r="R2768" s="36"/>
      <c r="S2768" s="71"/>
      <c r="T2768" s="37"/>
      <c r="U2768" s="118"/>
      <c r="V2768" s="74"/>
      <c r="W2768" s="74"/>
      <c r="X2768" s="35"/>
      <c r="Y2768" s="35"/>
      <c r="Z2768" s="40"/>
      <c r="AA2768" s="34"/>
      <c r="AB2768" s="41"/>
      <c r="AC2768" s="42" t="b">
        <v>0</v>
      </c>
      <c r="AD2768" s="66"/>
      <c r="AE2768" s="42"/>
      <c r="AF2768" s="42"/>
      <c r="AG2768" s="43"/>
    </row>
    <row r="2769">
      <c r="A2769" s="23"/>
      <c r="B2769" s="101"/>
      <c r="C2769" s="115"/>
      <c r="D2769" s="115"/>
      <c r="E2769" s="85"/>
      <c r="F2769" s="138"/>
      <c r="G2769" s="101"/>
      <c r="H2769" s="105"/>
      <c r="I2769" s="105"/>
      <c r="J2769" s="44"/>
      <c r="K2769" s="116"/>
      <c r="L2769" s="117"/>
      <c r="M2769" s="67"/>
      <c r="N2769" s="33"/>
      <c r="O2769" s="70"/>
      <c r="P2769" s="34"/>
      <c r="Q2769" s="60"/>
      <c r="R2769" s="36"/>
      <c r="S2769" s="71"/>
      <c r="T2769" s="37"/>
      <c r="U2769" s="118"/>
      <c r="V2769" s="74"/>
      <c r="W2769" s="74"/>
      <c r="X2769" s="35"/>
      <c r="Y2769" s="35"/>
      <c r="Z2769" s="40"/>
      <c r="AA2769" s="34"/>
      <c r="AB2769" s="41"/>
      <c r="AC2769" s="42" t="b">
        <v>0</v>
      </c>
      <c r="AD2769" s="66"/>
      <c r="AE2769" s="42"/>
      <c r="AF2769" s="42"/>
      <c r="AG2769" s="43"/>
    </row>
    <row r="2770">
      <c r="A2770" s="23"/>
      <c r="B2770" s="101"/>
      <c r="C2770" s="115"/>
      <c r="D2770" s="115"/>
      <c r="E2770" s="85"/>
      <c r="F2770" s="138"/>
      <c r="G2770" s="101"/>
      <c r="H2770" s="105"/>
      <c r="I2770" s="105"/>
      <c r="J2770" s="44"/>
      <c r="K2770" s="116"/>
      <c r="L2770" s="117"/>
      <c r="M2770" s="67"/>
      <c r="N2770" s="33"/>
      <c r="O2770" s="70"/>
      <c r="P2770" s="34"/>
      <c r="Q2770" s="60"/>
      <c r="R2770" s="36"/>
      <c r="S2770" s="71"/>
      <c r="T2770" s="37"/>
      <c r="U2770" s="118"/>
      <c r="V2770" s="74"/>
      <c r="W2770" s="74"/>
      <c r="X2770" s="35"/>
      <c r="Y2770" s="35"/>
      <c r="Z2770" s="40"/>
      <c r="AA2770" s="34"/>
      <c r="AB2770" s="41"/>
      <c r="AC2770" s="42" t="b">
        <v>0</v>
      </c>
      <c r="AD2770" s="66"/>
      <c r="AE2770" s="42"/>
      <c r="AF2770" s="42"/>
      <c r="AG2770" s="43"/>
    </row>
    <row r="2771">
      <c r="A2771" s="23"/>
      <c r="B2771" s="101"/>
      <c r="C2771" s="115"/>
      <c r="D2771" s="115"/>
      <c r="E2771" s="85"/>
      <c r="F2771" s="138"/>
      <c r="G2771" s="101"/>
      <c r="H2771" s="105"/>
      <c r="I2771" s="105"/>
      <c r="J2771" s="44"/>
      <c r="K2771" s="116"/>
      <c r="L2771" s="117"/>
      <c r="M2771" s="67"/>
      <c r="N2771" s="33"/>
      <c r="O2771" s="70"/>
      <c r="P2771" s="34"/>
      <c r="Q2771" s="60"/>
      <c r="R2771" s="36"/>
      <c r="S2771" s="71"/>
      <c r="T2771" s="37"/>
      <c r="U2771" s="118"/>
      <c r="V2771" s="74"/>
      <c r="W2771" s="74"/>
      <c r="X2771" s="35"/>
      <c r="Y2771" s="35"/>
      <c r="Z2771" s="40"/>
      <c r="AA2771" s="34"/>
      <c r="AB2771" s="41"/>
      <c r="AC2771" s="42" t="b">
        <v>0</v>
      </c>
      <c r="AD2771" s="66"/>
      <c r="AE2771" s="42"/>
      <c r="AF2771" s="42"/>
      <c r="AG2771" s="43"/>
    </row>
    <row r="2772">
      <c r="A2772" s="23"/>
      <c r="B2772" s="101"/>
      <c r="C2772" s="115"/>
      <c r="D2772" s="115"/>
      <c r="E2772" s="85"/>
      <c r="F2772" s="138"/>
      <c r="G2772" s="101"/>
      <c r="H2772" s="105"/>
      <c r="I2772" s="105"/>
      <c r="J2772" s="44"/>
      <c r="K2772" s="116"/>
      <c r="L2772" s="117"/>
      <c r="M2772" s="67"/>
      <c r="N2772" s="33"/>
      <c r="O2772" s="70"/>
      <c r="P2772" s="34"/>
      <c r="Q2772" s="60"/>
      <c r="R2772" s="36"/>
      <c r="S2772" s="71"/>
      <c r="T2772" s="37"/>
      <c r="U2772" s="118"/>
      <c r="V2772" s="74"/>
      <c r="W2772" s="74"/>
      <c r="X2772" s="35"/>
      <c r="Y2772" s="35"/>
      <c r="Z2772" s="40"/>
      <c r="AA2772" s="34"/>
      <c r="AB2772" s="41"/>
      <c r="AC2772" s="42" t="b">
        <v>0</v>
      </c>
      <c r="AD2772" s="66"/>
      <c r="AE2772" s="42"/>
      <c r="AF2772" s="42"/>
      <c r="AG2772" s="43"/>
    </row>
    <row r="2773">
      <c r="A2773" s="23"/>
      <c r="B2773" s="101"/>
      <c r="C2773" s="115"/>
      <c r="D2773" s="115"/>
      <c r="E2773" s="85"/>
      <c r="F2773" s="138"/>
      <c r="G2773" s="101"/>
      <c r="H2773" s="105"/>
      <c r="I2773" s="105"/>
      <c r="J2773" s="44"/>
      <c r="K2773" s="116"/>
      <c r="L2773" s="117"/>
      <c r="M2773" s="67"/>
      <c r="N2773" s="33"/>
      <c r="O2773" s="70"/>
      <c r="P2773" s="34"/>
      <c r="Q2773" s="60"/>
      <c r="R2773" s="36"/>
      <c r="S2773" s="71"/>
      <c r="T2773" s="37"/>
      <c r="U2773" s="118"/>
      <c r="V2773" s="74"/>
      <c r="W2773" s="74"/>
      <c r="X2773" s="35"/>
      <c r="Y2773" s="35"/>
      <c r="Z2773" s="40"/>
      <c r="AA2773" s="34"/>
      <c r="AB2773" s="41"/>
      <c r="AC2773" s="42" t="b">
        <v>0</v>
      </c>
      <c r="AD2773" s="66"/>
      <c r="AE2773" s="42"/>
      <c r="AF2773" s="42"/>
      <c r="AG2773" s="43"/>
    </row>
    <row r="2774">
      <c r="A2774" s="23"/>
      <c r="B2774" s="101"/>
      <c r="C2774" s="115"/>
      <c r="D2774" s="115"/>
      <c r="E2774" s="85"/>
      <c r="F2774" s="138"/>
      <c r="G2774" s="101"/>
      <c r="H2774" s="105"/>
      <c r="I2774" s="105"/>
      <c r="J2774" s="44"/>
      <c r="K2774" s="116"/>
      <c r="L2774" s="117"/>
      <c r="M2774" s="67"/>
      <c r="N2774" s="33"/>
      <c r="O2774" s="70"/>
      <c r="P2774" s="34"/>
      <c r="Q2774" s="60"/>
      <c r="R2774" s="36"/>
      <c r="S2774" s="71"/>
      <c r="T2774" s="37"/>
      <c r="U2774" s="118"/>
      <c r="V2774" s="74"/>
      <c r="W2774" s="74"/>
      <c r="X2774" s="35"/>
      <c r="Y2774" s="35"/>
      <c r="Z2774" s="40"/>
      <c r="AA2774" s="34"/>
      <c r="AB2774" s="41"/>
      <c r="AC2774" s="42" t="b">
        <v>0</v>
      </c>
      <c r="AD2774" s="66"/>
      <c r="AE2774" s="42"/>
      <c r="AF2774" s="42"/>
      <c r="AG2774" s="43"/>
    </row>
    <row r="2775">
      <c r="A2775" s="23"/>
      <c r="B2775" s="101"/>
      <c r="C2775" s="115"/>
      <c r="D2775" s="115"/>
      <c r="E2775" s="85"/>
      <c r="F2775" s="138"/>
      <c r="G2775" s="101"/>
      <c r="H2775" s="105"/>
      <c r="I2775" s="105"/>
      <c r="J2775" s="44"/>
      <c r="K2775" s="116"/>
      <c r="L2775" s="117"/>
      <c r="M2775" s="67"/>
      <c r="N2775" s="33"/>
      <c r="O2775" s="70"/>
      <c r="P2775" s="34"/>
      <c r="Q2775" s="60"/>
      <c r="R2775" s="36"/>
      <c r="S2775" s="71"/>
      <c r="T2775" s="37"/>
      <c r="U2775" s="118"/>
      <c r="V2775" s="74"/>
      <c r="W2775" s="74"/>
      <c r="X2775" s="35"/>
      <c r="Y2775" s="35"/>
      <c r="Z2775" s="40"/>
      <c r="AA2775" s="34"/>
      <c r="AB2775" s="41"/>
      <c r="AC2775" s="42" t="b">
        <v>0</v>
      </c>
      <c r="AD2775" s="66"/>
      <c r="AE2775" s="42"/>
      <c r="AF2775" s="42"/>
      <c r="AG2775" s="43"/>
    </row>
    <row r="2776">
      <c r="A2776" s="23"/>
      <c r="B2776" s="101"/>
      <c r="C2776" s="115"/>
      <c r="D2776" s="115"/>
      <c r="E2776" s="85"/>
      <c r="F2776" s="138"/>
      <c r="G2776" s="101"/>
      <c r="H2776" s="105"/>
      <c r="I2776" s="105"/>
      <c r="J2776" s="44"/>
      <c r="K2776" s="116"/>
      <c r="L2776" s="117"/>
      <c r="M2776" s="67"/>
      <c r="N2776" s="33"/>
      <c r="O2776" s="70"/>
      <c r="P2776" s="34"/>
      <c r="Q2776" s="60"/>
      <c r="R2776" s="36"/>
      <c r="S2776" s="71"/>
      <c r="T2776" s="37"/>
      <c r="U2776" s="118"/>
      <c r="V2776" s="74"/>
      <c r="W2776" s="74"/>
      <c r="X2776" s="35"/>
      <c r="Y2776" s="35"/>
      <c r="Z2776" s="40"/>
      <c r="AA2776" s="34"/>
      <c r="AB2776" s="41"/>
      <c r="AC2776" s="42" t="b">
        <v>0</v>
      </c>
      <c r="AD2776" s="66"/>
      <c r="AE2776" s="42"/>
      <c r="AF2776" s="42"/>
      <c r="AG2776" s="43"/>
    </row>
    <row r="2777">
      <c r="A2777" s="23"/>
      <c r="B2777" s="101"/>
      <c r="C2777" s="115"/>
      <c r="D2777" s="115"/>
      <c r="E2777" s="85"/>
      <c r="F2777" s="138"/>
      <c r="G2777" s="101"/>
      <c r="H2777" s="105"/>
      <c r="I2777" s="105"/>
      <c r="J2777" s="44"/>
      <c r="K2777" s="116"/>
      <c r="L2777" s="117"/>
      <c r="M2777" s="67"/>
      <c r="N2777" s="33"/>
      <c r="O2777" s="70"/>
      <c r="P2777" s="34"/>
      <c r="Q2777" s="60"/>
      <c r="R2777" s="36"/>
      <c r="S2777" s="71"/>
      <c r="T2777" s="37"/>
      <c r="U2777" s="118"/>
      <c r="V2777" s="74"/>
      <c r="W2777" s="74"/>
      <c r="X2777" s="35"/>
      <c r="Y2777" s="35"/>
      <c r="Z2777" s="40"/>
      <c r="AA2777" s="34"/>
      <c r="AB2777" s="41"/>
      <c r="AC2777" s="42" t="b">
        <v>0</v>
      </c>
      <c r="AD2777" s="66"/>
      <c r="AE2777" s="42"/>
      <c r="AF2777" s="42"/>
      <c r="AG2777" s="43"/>
    </row>
    <row r="2778">
      <c r="A2778" s="23"/>
      <c r="B2778" s="101"/>
      <c r="C2778" s="115"/>
      <c r="D2778" s="115"/>
      <c r="E2778" s="85"/>
      <c r="F2778" s="138"/>
      <c r="G2778" s="101"/>
      <c r="H2778" s="105"/>
      <c r="I2778" s="105"/>
      <c r="J2778" s="44"/>
      <c r="K2778" s="116"/>
      <c r="L2778" s="117"/>
      <c r="M2778" s="67"/>
      <c r="N2778" s="33"/>
      <c r="O2778" s="70"/>
      <c r="P2778" s="34"/>
      <c r="Q2778" s="60"/>
      <c r="R2778" s="36"/>
      <c r="S2778" s="71"/>
      <c r="T2778" s="37"/>
      <c r="U2778" s="118"/>
      <c r="V2778" s="74"/>
      <c r="W2778" s="74"/>
      <c r="X2778" s="35"/>
      <c r="Y2778" s="35"/>
      <c r="Z2778" s="40"/>
      <c r="AA2778" s="34"/>
      <c r="AB2778" s="41"/>
      <c r="AC2778" s="42" t="b">
        <v>0</v>
      </c>
      <c r="AD2778" s="66"/>
      <c r="AE2778" s="42"/>
      <c r="AF2778" s="42"/>
      <c r="AG2778" s="43"/>
    </row>
    <row r="2779">
      <c r="A2779" s="23"/>
      <c r="B2779" s="101"/>
      <c r="C2779" s="115"/>
      <c r="D2779" s="115"/>
      <c r="E2779" s="85"/>
      <c r="F2779" s="138"/>
      <c r="G2779" s="101"/>
      <c r="H2779" s="105"/>
      <c r="I2779" s="105"/>
      <c r="J2779" s="44"/>
      <c r="K2779" s="116"/>
      <c r="L2779" s="117"/>
      <c r="M2779" s="67"/>
      <c r="N2779" s="33"/>
      <c r="O2779" s="70"/>
      <c r="P2779" s="34"/>
      <c r="Q2779" s="60"/>
      <c r="R2779" s="36"/>
      <c r="S2779" s="71"/>
      <c r="T2779" s="37"/>
      <c r="U2779" s="118"/>
      <c r="V2779" s="74"/>
      <c r="W2779" s="74"/>
      <c r="X2779" s="35"/>
      <c r="Y2779" s="35"/>
      <c r="Z2779" s="40"/>
      <c r="AA2779" s="34"/>
      <c r="AB2779" s="41"/>
      <c r="AC2779" s="42" t="b">
        <v>0</v>
      </c>
      <c r="AD2779" s="66"/>
      <c r="AE2779" s="42"/>
      <c r="AF2779" s="42"/>
      <c r="AG2779" s="43"/>
    </row>
    <row r="2780">
      <c r="A2780" s="23"/>
      <c r="B2780" s="101"/>
      <c r="C2780" s="115"/>
      <c r="D2780" s="115"/>
      <c r="E2780" s="85"/>
      <c r="F2780" s="138"/>
      <c r="G2780" s="101"/>
      <c r="H2780" s="105"/>
      <c r="I2780" s="105"/>
      <c r="J2780" s="44"/>
      <c r="K2780" s="116"/>
      <c r="L2780" s="117"/>
      <c r="M2780" s="67"/>
      <c r="N2780" s="33"/>
      <c r="O2780" s="70"/>
      <c r="P2780" s="34"/>
      <c r="Q2780" s="60"/>
      <c r="R2780" s="36"/>
      <c r="S2780" s="71"/>
      <c r="T2780" s="37"/>
      <c r="U2780" s="118"/>
      <c r="V2780" s="74"/>
      <c r="W2780" s="74"/>
      <c r="X2780" s="35"/>
      <c r="Y2780" s="35"/>
      <c r="Z2780" s="40"/>
      <c r="AA2780" s="34"/>
      <c r="AB2780" s="41"/>
      <c r="AC2780" s="42" t="b">
        <v>0</v>
      </c>
      <c r="AD2780" s="66"/>
      <c r="AE2780" s="42"/>
      <c r="AF2780" s="42"/>
      <c r="AG2780" s="43"/>
    </row>
    <row r="2781">
      <c r="A2781" s="23"/>
      <c r="B2781" s="101"/>
      <c r="C2781" s="115"/>
      <c r="D2781" s="115"/>
      <c r="E2781" s="85"/>
      <c r="F2781" s="138"/>
      <c r="G2781" s="101"/>
      <c r="H2781" s="105"/>
      <c r="I2781" s="105"/>
      <c r="J2781" s="44"/>
      <c r="K2781" s="116"/>
      <c r="L2781" s="117"/>
      <c r="M2781" s="67"/>
      <c r="N2781" s="33"/>
      <c r="O2781" s="70"/>
      <c r="P2781" s="34"/>
      <c r="Q2781" s="60"/>
      <c r="R2781" s="36"/>
      <c r="S2781" s="71"/>
      <c r="T2781" s="37"/>
      <c r="U2781" s="118"/>
      <c r="V2781" s="74"/>
      <c r="W2781" s="74"/>
      <c r="X2781" s="35"/>
      <c r="Y2781" s="35"/>
      <c r="Z2781" s="40"/>
      <c r="AA2781" s="34"/>
      <c r="AB2781" s="41"/>
      <c r="AC2781" s="42" t="b">
        <v>0</v>
      </c>
      <c r="AD2781" s="66"/>
      <c r="AE2781" s="42"/>
      <c r="AF2781" s="42"/>
      <c r="AG2781" s="43"/>
    </row>
    <row r="2782">
      <c r="A2782" s="23"/>
      <c r="B2782" s="101"/>
      <c r="C2782" s="115"/>
      <c r="D2782" s="115"/>
      <c r="E2782" s="85"/>
      <c r="F2782" s="138"/>
      <c r="G2782" s="101"/>
      <c r="H2782" s="105"/>
      <c r="I2782" s="105"/>
      <c r="J2782" s="44"/>
      <c r="K2782" s="116"/>
      <c r="L2782" s="117"/>
      <c r="M2782" s="67"/>
      <c r="N2782" s="33"/>
      <c r="O2782" s="70"/>
      <c r="P2782" s="34"/>
      <c r="Q2782" s="60"/>
      <c r="R2782" s="36"/>
      <c r="S2782" s="71"/>
      <c r="T2782" s="37"/>
      <c r="U2782" s="118"/>
      <c r="V2782" s="74"/>
      <c r="W2782" s="74"/>
      <c r="X2782" s="35"/>
      <c r="Y2782" s="35"/>
      <c r="Z2782" s="40"/>
      <c r="AA2782" s="34"/>
      <c r="AB2782" s="41"/>
      <c r="AC2782" s="42" t="b">
        <v>0</v>
      </c>
      <c r="AD2782" s="66"/>
      <c r="AE2782" s="42"/>
      <c r="AF2782" s="42"/>
      <c r="AG2782" s="43"/>
    </row>
    <row r="2783">
      <c r="A2783" s="23"/>
      <c r="B2783" s="101"/>
      <c r="C2783" s="115"/>
      <c r="D2783" s="115"/>
      <c r="E2783" s="85"/>
      <c r="F2783" s="138"/>
      <c r="G2783" s="101"/>
      <c r="H2783" s="105"/>
      <c r="I2783" s="105"/>
      <c r="J2783" s="44"/>
      <c r="K2783" s="116"/>
      <c r="L2783" s="117"/>
      <c r="M2783" s="67"/>
      <c r="N2783" s="33"/>
      <c r="O2783" s="70"/>
      <c r="P2783" s="34"/>
      <c r="Q2783" s="60"/>
      <c r="R2783" s="36"/>
      <c r="S2783" s="71"/>
      <c r="T2783" s="37"/>
      <c r="U2783" s="118"/>
      <c r="V2783" s="74"/>
      <c r="W2783" s="74"/>
      <c r="X2783" s="35"/>
      <c r="Y2783" s="35"/>
      <c r="Z2783" s="40"/>
      <c r="AA2783" s="34"/>
      <c r="AB2783" s="41"/>
      <c r="AC2783" s="42" t="b">
        <v>0</v>
      </c>
      <c r="AD2783" s="66"/>
      <c r="AE2783" s="42"/>
      <c r="AF2783" s="42"/>
      <c r="AG2783" s="43"/>
    </row>
    <row r="2784">
      <c r="A2784" s="23"/>
      <c r="B2784" s="101"/>
      <c r="C2784" s="115"/>
      <c r="D2784" s="115"/>
      <c r="E2784" s="85"/>
      <c r="F2784" s="138"/>
      <c r="G2784" s="101"/>
      <c r="H2784" s="105"/>
      <c r="I2784" s="105"/>
      <c r="J2784" s="44"/>
      <c r="K2784" s="116"/>
      <c r="L2784" s="117"/>
      <c r="M2784" s="67"/>
      <c r="N2784" s="33"/>
      <c r="O2784" s="70"/>
      <c r="P2784" s="34"/>
      <c r="Q2784" s="60"/>
      <c r="R2784" s="36"/>
      <c r="S2784" s="71"/>
      <c r="T2784" s="37"/>
      <c r="U2784" s="118"/>
      <c r="V2784" s="74"/>
      <c r="W2784" s="74"/>
      <c r="X2784" s="35"/>
      <c r="Y2784" s="35"/>
      <c r="Z2784" s="40"/>
      <c r="AA2784" s="34"/>
      <c r="AB2784" s="41"/>
      <c r="AC2784" s="42" t="b">
        <v>0</v>
      </c>
      <c r="AD2784" s="66"/>
      <c r="AE2784" s="42"/>
      <c r="AF2784" s="42"/>
      <c r="AG2784" s="43"/>
    </row>
    <row r="2785">
      <c r="A2785" s="23"/>
      <c r="B2785" s="101"/>
      <c r="C2785" s="115"/>
      <c r="D2785" s="115"/>
      <c r="E2785" s="85"/>
      <c r="F2785" s="138"/>
      <c r="G2785" s="101"/>
      <c r="H2785" s="105"/>
      <c r="I2785" s="105"/>
      <c r="J2785" s="44"/>
      <c r="K2785" s="116"/>
      <c r="L2785" s="117"/>
      <c r="M2785" s="67"/>
      <c r="N2785" s="33"/>
      <c r="O2785" s="70"/>
      <c r="P2785" s="34"/>
      <c r="Q2785" s="60"/>
      <c r="R2785" s="36"/>
      <c r="S2785" s="71"/>
      <c r="T2785" s="37"/>
      <c r="U2785" s="118"/>
      <c r="V2785" s="74"/>
      <c r="W2785" s="74"/>
      <c r="X2785" s="35"/>
      <c r="Y2785" s="35"/>
      <c r="Z2785" s="40"/>
      <c r="AA2785" s="34"/>
      <c r="AB2785" s="41"/>
      <c r="AC2785" s="42" t="b">
        <v>0</v>
      </c>
      <c r="AD2785" s="66"/>
      <c r="AE2785" s="42"/>
      <c r="AF2785" s="42"/>
      <c r="AG2785" s="43"/>
    </row>
    <row r="2786">
      <c r="A2786" s="23"/>
      <c r="B2786" s="101"/>
      <c r="C2786" s="115"/>
      <c r="D2786" s="115"/>
      <c r="E2786" s="85"/>
      <c r="F2786" s="138"/>
      <c r="G2786" s="101"/>
      <c r="H2786" s="105"/>
      <c r="I2786" s="105"/>
      <c r="J2786" s="44"/>
      <c r="K2786" s="116"/>
      <c r="L2786" s="117"/>
      <c r="M2786" s="67"/>
      <c r="N2786" s="33"/>
      <c r="O2786" s="70"/>
      <c r="P2786" s="34"/>
      <c r="Q2786" s="60"/>
      <c r="R2786" s="36"/>
      <c r="S2786" s="71"/>
      <c r="T2786" s="37"/>
      <c r="U2786" s="118"/>
      <c r="V2786" s="74"/>
      <c r="W2786" s="74"/>
      <c r="X2786" s="35"/>
      <c r="Y2786" s="35"/>
      <c r="Z2786" s="40"/>
      <c r="AA2786" s="34"/>
      <c r="AB2786" s="41"/>
      <c r="AC2786" s="42" t="b">
        <v>0</v>
      </c>
      <c r="AD2786" s="66"/>
      <c r="AE2786" s="42"/>
      <c r="AF2786" s="42"/>
      <c r="AG2786" s="43"/>
    </row>
    <row r="2787">
      <c r="A2787" s="23"/>
      <c r="B2787" s="101"/>
      <c r="C2787" s="115"/>
      <c r="D2787" s="115"/>
      <c r="E2787" s="85"/>
      <c r="F2787" s="138"/>
      <c r="G2787" s="101"/>
      <c r="H2787" s="105"/>
      <c r="I2787" s="105"/>
      <c r="J2787" s="44"/>
      <c r="K2787" s="116"/>
      <c r="L2787" s="117"/>
      <c r="M2787" s="67"/>
      <c r="N2787" s="33"/>
      <c r="O2787" s="70"/>
      <c r="P2787" s="34"/>
      <c r="Q2787" s="60"/>
      <c r="R2787" s="36"/>
      <c r="S2787" s="71"/>
      <c r="T2787" s="37"/>
      <c r="U2787" s="118"/>
      <c r="V2787" s="74"/>
      <c r="W2787" s="74"/>
      <c r="X2787" s="35"/>
      <c r="Y2787" s="35"/>
      <c r="Z2787" s="40"/>
      <c r="AA2787" s="34"/>
      <c r="AB2787" s="41"/>
      <c r="AC2787" s="42" t="b">
        <v>0</v>
      </c>
      <c r="AD2787" s="66"/>
      <c r="AE2787" s="42"/>
      <c r="AF2787" s="42"/>
      <c r="AG2787" s="43"/>
    </row>
    <row r="2788">
      <c r="A2788" s="23"/>
      <c r="B2788" s="101"/>
      <c r="C2788" s="115"/>
      <c r="D2788" s="115"/>
      <c r="E2788" s="85"/>
      <c r="F2788" s="138"/>
      <c r="G2788" s="101"/>
      <c r="H2788" s="105"/>
      <c r="I2788" s="105"/>
      <c r="J2788" s="44"/>
      <c r="K2788" s="116"/>
      <c r="L2788" s="117"/>
      <c r="M2788" s="67"/>
      <c r="N2788" s="33"/>
      <c r="O2788" s="70"/>
      <c r="P2788" s="34"/>
      <c r="Q2788" s="60"/>
      <c r="R2788" s="36"/>
      <c r="S2788" s="71"/>
      <c r="T2788" s="37"/>
      <c r="U2788" s="118"/>
      <c r="V2788" s="74"/>
      <c r="W2788" s="74"/>
      <c r="X2788" s="35"/>
      <c r="Y2788" s="35"/>
      <c r="Z2788" s="40"/>
      <c r="AA2788" s="34"/>
      <c r="AB2788" s="41"/>
      <c r="AC2788" s="42" t="b">
        <v>0</v>
      </c>
      <c r="AD2788" s="66"/>
      <c r="AE2788" s="42"/>
      <c r="AF2788" s="42"/>
      <c r="AG2788" s="43"/>
    </row>
    <row r="2789">
      <c r="A2789" s="23"/>
      <c r="B2789" s="101"/>
      <c r="C2789" s="115"/>
      <c r="D2789" s="115"/>
      <c r="E2789" s="85"/>
      <c r="F2789" s="138"/>
      <c r="G2789" s="101"/>
      <c r="H2789" s="105"/>
      <c r="I2789" s="105"/>
      <c r="J2789" s="44"/>
      <c r="K2789" s="116"/>
      <c r="L2789" s="117"/>
      <c r="M2789" s="67"/>
      <c r="N2789" s="33"/>
      <c r="O2789" s="70"/>
      <c r="P2789" s="34"/>
      <c r="Q2789" s="60"/>
      <c r="R2789" s="36"/>
      <c r="S2789" s="71"/>
      <c r="T2789" s="37"/>
      <c r="U2789" s="118"/>
      <c r="V2789" s="74"/>
      <c r="W2789" s="74"/>
      <c r="X2789" s="35"/>
      <c r="Y2789" s="35"/>
      <c r="Z2789" s="40"/>
      <c r="AA2789" s="34"/>
      <c r="AB2789" s="41"/>
      <c r="AC2789" s="42" t="b">
        <v>0</v>
      </c>
      <c r="AD2789" s="66"/>
      <c r="AE2789" s="42"/>
      <c r="AF2789" s="42"/>
      <c r="AG2789" s="43"/>
    </row>
    <row r="2790">
      <c r="A2790" s="23"/>
      <c r="B2790" s="101"/>
      <c r="C2790" s="115"/>
      <c r="D2790" s="115"/>
      <c r="E2790" s="85"/>
      <c r="F2790" s="138"/>
      <c r="G2790" s="101"/>
      <c r="H2790" s="105"/>
      <c r="I2790" s="105"/>
      <c r="J2790" s="44"/>
      <c r="K2790" s="116"/>
      <c r="L2790" s="117"/>
      <c r="M2790" s="67"/>
      <c r="N2790" s="33"/>
      <c r="O2790" s="70"/>
      <c r="P2790" s="34"/>
      <c r="Q2790" s="60"/>
      <c r="R2790" s="36"/>
      <c r="S2790" s="71"/>
      <c r="T2790" s="37"/>
      <c r="U2790" s="118"/>
      <c r="V2790" s="74"/>
      <c r="W2790" s="74"/>
      <c r="X2790" s="35"/>
      <c r="Y2790" s="35"/>
      <c r="Z2790" s="40"/>
      <c r="AA2790" s="34"/>
      <c r="AB2790" s="41"/>
      <c r="AC2790" s="42" t="b">
        <v>0</v>
      </c>
      <c r="AD2790" s="66"/>
      <c r="AE2790" s="42"/>
      <c r="AF2790" s="42"/>
      <c r="AG2790" s="43"/>
    </row>
    <row r="2791">
      <c r="A2791" s="23"/>
      <c r="B2791" s="101"/>
      <c r="C2791" s="115"/>
      <c r="D2791" s="115"/>
      <c r="E2791" s="85"/>
      <c r="F2791" s="138"/>
      <c r="G2791" s="101"/>
      <c r="H2791" s="105"/>
      <c r="I2791" s="105"/>
      <c r="J2791" s="44"/>
      <c r="K2791" s="116"/>
      <c r="L2791" s="117"/>
      <c r="M2791" s="67"/>
      <c r="N2791" s="33"/>
      <c r="O2791" s="70"/>
      <c r="P2791" s="34"/>
      <c r="Q2791" s="60"/>
      <c r="R2791" s="36"/>
      <c r="S2791" s="71"/>
      <c r="T2791" s="37"/>
      <c r="U2791" s="118"/>
      <c r="V2791" s="74"/>
      <c r="W2791" s="74"/>
      <c r="X2791" s="35"/>
      <c r="Y2791" s="35"/>
      <c r="Z2791" s="40"/>
      <c r="AA2791" s="34"/>
      <c r="AB2791" s="41"/>
      <c r="AC2791" s="42" t="b">
        <v>0</v>
      </c>
      <c r="AD2791" s="66"/>
      <c r="AE2791" s="42"/>
      <c r="AF2791" s="42"/>
      <c r="AG2791" s="43"/>
    </row>
    <row r="2792">
      <c r="A2792" s="23"/>
      <c r="B2792" s="101"/>
      <c r="C2792" s="115"/>
      <c r="D2792" s="115"/>
      <c r="E2792" s="85"/>
      <c r="F2792" s="138"/>
      <c r="G2792" s="101"/>
      <c r="H2792" s="105"/>
      <c r="I2792" s="105"/>
      <c r="J2792" s="44"/>
      <c r="K2792" s="116"/>
      <c r="L2792" s="117"/>
      <c r="M2792" s="67"/>
      <c r="N2792" s="33"/>
      <c r="O2792" s="70"/>
      <c r="P2792" s="34"/>
      <c r="Q2792" s="60"/>
      <c r="R2792" s="36"/>
      <c r="S2792" s="71"/>
      <c r="T2792" s="37"/>
      <c r="U2792" s="118"/>
      <c r="V2792" s="74"/>
      <c r="W2792" s="74"/>
      <c r="X2792" s="35"/>
      <c r="Y2792" s="35"/>
      <c r="Z2792" s="40"/>
      <c r="AA2792" s="34"/>
      <c r="AB2792" s="41"/>
      <c r="AC2792" s="42" t="b">
        <v>0</v>
      </c>
      <c r="AD2792" s="66"/>
      <c r="AE2792" s="42"/>
      <c r="AF2792" s="42"/>
      <c r="AG2792" s="43"/>
    </row>
    <row r="2793">
      <c r="A2793" s="23"/>
      <c r="B2793" s="101"/>
      <c r="C2793" s="115"/>
      <c r="D2793" s="115"/>
      <c r="E2793" s="85"/>
      <c r="F2793" s="138"/>
      <c r="G2793" s="101"/>
      <c r="H2793" s="105"/>
      <c r="I2793" s="105"/>
      <c r="J2793" s="44"/>
      <c r="K2793" s="116"/>
      <c r="L2793" s="117"/>
      <c r="M2793" s="67"/>
      <c r="N2793" s="33"/>
      <c r="O2793" s="70"/>
      <c r="P2793" s="34"/>
      <c r="Q2793" s="60"/>
      <c r="R2793" s="36"/>
      <c r="S2793" s="71"/>
      <c r="T2793" s="37"/>
      <c r="U2793" s="118"/>
      <c r="V2793" s="74"/>
      <c r="W2793" s="74"/>
      <c r="X2793" s="35"/>
      <c r="Y2793" s="35"/>
      <c r="Z2793" s="40"/>
      <c r="AA2793" s="34"/>
      <c r="AB2793" s="41"/>
      <c r="AC2793" s="42" t="b">
        <v>0</v>
      </c>
      <c r="AD2793" s="66"/>
      <c r="AE2793" s="42"/>
      <c r="AF2793" s="42"/>
      <c r="AG2793" s="43"/>
    </row>
    <row r="2794">
      <c r="A2794" s="23"/>
      <c r="B2794" s="101"/>
      <c r="C2794" s="115"/>
      <c r="D2794" s="115"/>
      <c r="E2794" s="85"/>
      <c r="F2794" s="138"/>
      <c r="G2794" s="101"/>
      <c r="H2794" s="105"/>
      <c r="I2794" s="105"/>
      <c r="J2794" s="44"/>
      <c r="K2794" s="116"/>
      <c r="L2794" s="117"/>
      <c r="M2794" s="67"/>
      <c r="N2794" s="33"/>
      <c r="O2794" s="70"/>
      <c r="P2794" s="34"/>
      <c r="Q2794" s="60"/>
      <c r="R2794" s="36"/>
      <c r="S2794" s="71"/>
      <c r="T2794" s="37"/>
      <c r="U2794" s="118"/>
      <c r="V2794" s="74"/>
      <c r="W2794" s="74"/>
      <c r="X2794" s="35"/>
      <c r="Y2794" s="35"/>
      <c r="Z2794" s="40"/>
      <c r="AA2794" s="34"/>
      <c r="AB2794" s="41"/>
      <c r="AC2794" s="42" t="b">
        <v>0</v>
      </c>
      <c r="AD2794" s="66"/>
      <c r="AE2794" s="42"/>
      <c r="AF2794" s="42"/>
      <c r="AG2794" s="43"/>
    </row>
    <row r="2795">
      <c r="A2795" s="23"/>
      <c r="B2795" s="101"/>
      <c r="C2795" s="115"/>
      <c r="D2795" s="115"/>
      <c r="E2795" s="85"/>
      <c r="F2795" s="138"/>
      <c r="G2795" s="101"/>
      <c r="H2795" s="105"/>
      <c r="I2795" s="105"/>
      <c r="J2795" s="44"/>
      <c r="K2795" s="116"/>
      <c r="L2795" s="117"/>
      <c r="M2795" s="67"/>
      <c r="N2795" s="33"/>
      <c r="O2795" s="70"/>
      <c r="P2795" s="34"/>
      <c r="Q2795" s="60"/>
      <c r="R2795" s="36"/>
      <c r="S2795" s="71"/>
      <c r="T2795" s="37"/>
      <c r="U2795" s="118"/>
      <c r="V2795" s="74"/>
      <c r="W2795" s="74"/>
      <c r="X2795" s="35"/>
      <c r="Y2795" s="35"/>
      <c r="Z2795" s="40"/>
      <c r="AA2795" s="34"/>
      <c r="AB2795" s="41"/>
      <c r="AC2795" s="42" t="b">
        <v>0</v>
      </c>
      <c r="AD2795" s="66"/>
      <c r="AE2795" s="42"/>
      <c r="AF2795" s="42"/>
      <c r="AG2795" s="43"/>
    </row>
    <row r="2796">
      <c r="A2796" s="23"/>
      <c r="B2796" s="101"/>
      <c r="C2796" s="115"/>
      <c r="D2796" s="115"/>
      <c r="E2796" s="85"/>
      <c r="F2796" s="138"/>
      <c r="G2796" s="101"/>
      <c r="H2796" s="105"/>
      <c r="I2796" s="105"/>
      <c r="J2796" s="44"/>
      <c r="K2796" s="116"/>
      <c r="L2796" s="117"/>
      <c r="M2796" s="67"/>
      <c r="N2796" s="33"/>
      <c r="O2796" s="70"/>
      <c r="P2796" s="34"/>
      <c r="Q2796" s="60"/>
      <c r="R2796" s="36"/>
      <c r="S2796" s="71"/>
      <c r="T2796" s="37"/>
      <c r="U2796" s="118"/>
      <c r="V2796" s="74"/>
      <c r="W2796" s="74"/>
      <c r="X2796" s="35"/>
      <c r="Y2796" s="35"/>
      <c r="Z2796" s="40"/>
      <c r="AA2796" s="34"/>
      <c r="AB2796" s="41"/>
      <c r="AC2796" s="42" t="b">
        <v>0</v>
      </c>
      <c r="AD2796" s="66"/>
      <c r="AE2796" s="42"/>
      <c r="AF2796" s="42"/>
      <c r="AG2796" s="43"/>
    </row>
    <row r="2797">
      <c r="A2797" s="23"/>
      <c r="B2797" s="101"/>
      <c r="C2797" s="115"/>
      <c r="D2797" s="115"/>
      <c r="E2797" s="85"/>
      <c r="F2797" s="138"/>
      <c r="G2797" s="101"/>
      <c r="H2797" s="105"/>
      <c r="I2797" s="105"/>
      <c r="J2797" s="44"/>
      <c r="K2797" s="116"/>
      <c r="L2797" s="117"/>
      <c r="M2797" s="67"/>
      <c r="N2797" s="33"/>
      <c r="O2797" s="70"/>
      <c r="P2797" s="34"/>
      <c r="Q2797" s="60"/>
      <c r="R2797" s="36"/>
      <c r="S2797" s="71"/>
      <c r="T2797" s="37"/>
      <c r="U2797" s="118"/>
      <c r="V2797" s="74"/>
      <c r="W2797" s="74"/>
      <c r="X2797" s="35"/>
      <c r="Y2797" s="35"/>
      <c r="Z2797" s="40"/>
      <c r="AA2797" s="34"/>
      <c r="AB2797" s="41"/>
      <c r="AC2797" s="42" t="b">
        <v>0</v>
      </c>
      <c r="AD2797" s="66"/>
      <c r="AE2797" s="42"/>
      <c r="AF2797" s="42"/>
      <c r="AG2797" s="43"/>
    </row>
    <row r="2798">
      <c r="A2798" s="23"/>
      <c r="B2798" s="101"/>
      <c r="C2798" s="115"/>
      <c r="D2798" s="115"/>
      <c r="E2798" s="85"/>
      <c r="F2798" s="138"/>
      <c r="G2798" s="101"/>
      <c r="H2798" s="105"/>
      <c r="I2798" s="105"/>
      <c r="J2798" s="44"/>
      <c r="K2798" s="116"/>
      <c r="L2798" s="117"/>
      <c r="M2798" s="67"/>
      <c r="N2798" s="33"/>
      <c r="O2798" s="70"/>
      <c r="P2798" s="34"/>
      <c r="Q2798" s="60"/>
      <c r="R2798" s="36"/>
      <c r="S2798" s="71"/>
      <c r="T2798" s="37"/>
      <c r="U2798" s="118"/>
      <c r="V2798" s="74"/>
      <c r="W2798" s="74"/>
      <c r="X2798" s="35"/>
      <c r="Y2798" s="35"/>
      <c r="Z2798" s="40"/>
      <c r="AA2798" s="34"/>
      <c r="AB2798" s="41"/>
      <c r="AC2798" s="42" t="b">
        <v>0</v>
      </c>
      <c r="AD2798" s="66"/>
      <c r="AE2798" s="42"/>
      <c r="AF2798" s="42"/>
      <c r="AG2798" s="43"/>
    </row>
    <row r="2799">
      <c r="A2799" s="23"/>
      <c r="B2799" s="101"/>
      <c r="C2799" s="115"/>
      <c r="D2799" s="115"/>
      <c r="E2799" s="85"/>
      <c r="F2799" s="138"/>
      <c r="G2799" s="101"/>
      <c r="H2799" s="105"/>
      <c r="I2799" s="105"/>
      <c r="J2799" s="44"/>
      <c r="K2799" s="116"/>
      <c r="L2799" s="117"/>
      <c r="M2799" s="67"/>
      <c r="N2799" s="33"/>
      <c r="O2799" s="70"/>
      <c r="P2799" s="34"/>
      <c r="Q2799" s="60"/>
      <c r="R2799" s="36"/>
      <c r="S2799" s="71"/>
      <c r="T2799" s="37"/>
      <c r="U2799" s="118"/>
      <c r="V2799" s="74"/>
      <c r="W2799" s="74"/>
      <c r="X2799" s="35"/>
      <c r="Y2799" s="35"/>
      <c r="Z2799" s="40"/>
      <c r="AA2799" s="34"/>
      <c r="AB2799" s="41"/>
      <c r="AC2799" s="42" t="b">
        <v>0</v>
      </c>
      <c r="AD2799" s="66"/>
      <c r="AE2799" s="42"/>
      <c r="AF2799" s="42"/>
      <c r="AG2799" s="43"/>
    </row>
    <row r="2800">
      <c r="A2800" s="23"/>
      <c r="B2800" s="101"/>
      <c r="C2800" s="115"/>
      <c r="D2800" s="115"/>
      <c r="E2800" s="85"/>
      <c r="F2800" s="138"/>
      <c r="G2800" s="101"/>
      <c r="H2800" s="105"/>
      <c r="I2800" s="105"/>
      <c r="J2800" s="44"/>
      <c r="K2800" s="116"/>
      <c r="L2800" s="117"/>
      <c r="M2800" s="67"/>
      <c r="N2800" s="33"/>
      <c r="O2800" s="70"/>
      <c r="P2800" s="34"/>
      <c r="Q2800" s="60"/>
      <c r="R2800" s="36"/>
      <c r="S2800" s="71"/>
      <c r="T2800" s="37"/>
      <c r="U2800" s="118"/>
      <c r="V2800" s="74"/>
      <c r="W2800" s="74"/>
      <c r="X2800" s="35"/>
      <c r="Y2800" s="35"/>
      <c r="Z2800" s="40"/>
      <c r="AA2800" s="34"/>
      <c r="AB2800" s="41"/>
      <c r="AC2800" s="42" t="b">
        <v>0</v>
      </c>
      <c r="AD2800" s="66"/>
      <c r="AE2800" s="42"/>
      <c r="AF2800" s="42"/>
      <c r="AG2800" s="43"/>
    </row>
    <row r="2801">
      <c r="A2801" s="23"/>
      <c r="B2801" s="101"/>
      <c r="C2801" s="115"/>
      <c r="D2801" s="115"/>
      <c r="E2801" s="85"/>
      <c r="F2801" s="138"/>
      <c r="G2801" s="101"/>
      <c r="H2801" s="105"/>
      <c r="I2801" s="105"/>
      <c r="J2801" s="44"/>
      <c r="K2801" s="116"/>
      <c r="L2801" s="117"/>
      <c r="M2801" s="67"/>
      <c r="N2801" s="33"/>
      <c r="O2801" s="70"/>
      <c r="P2801" s="34"/>
      <c r="Q2801" s="60"/>
      <c r="R2801" s="36"/>
      <c r="S2801" s="71"/>
      <c r="T2801" s="37"/>
      <c r="U2801" s="118"/>
      <c r="V2801" s="74"/>
      <c r="W2801" s="74"/>
      <c r="X2801" s="35"/>
      <c r="Y2801" s="35"/>
      <c r="Z2801" s="40"/>
      <c r="AA2801" s="34"/>
      <c r="AB2801" s="41"/>
      <c r="AC2801" s="42" t="b">
        <v>0</v>
      </c>
      <c r="AD2801" s="66"/>
      <c r="AE2801" s="42"/>
      <c r="AF2801" s="42"/>
      <c r="AG2801" s="43"/>
    </row>
    <row r="2802">
      <c r="A2802" s="23"/>
      <c r="B2802" s="101"/>
      <c r="C2802" s="115"/>
      <c r="D2802" s="115"/>
      <c r="E2802" s="85"/>
      <c r="F2802" s="138"/>
      <c r="G2802" s="101"/>
      <c r="H2802" s="105"/>
      <c r="I2802" s="105"/>
      <c r="J2802" s="44"/>
      <c r="K2802" s="116"/>
      <c r="L2802" s="117"/>
      <c r="M2802" s="67"/>
      <c r="N2802" s="33"/>
      <c r="O2802" s="70"/>
      <c r="P2802" s="34"/>
      <c r="Q2802" s="60"/>
      <c r="R2802" s="36"/>
      <c r="S2802" s="71"/>
      <c r="T2802" s="37"/>
      <c r="U2802" s="118"/>
      <c r="V2802" s="74"/>
      <c r="W2802" s="74"/>
      <c r="X2802" s="35"/>
      <c r="Y2802" s="35"/>
      <c r="Z2802" s="40"/>
      <c r="AA2802" s="34"/>
      <c r="AB2802" s="41"/>
      <c r="AC2802" s="42" t="b">
        <v>0</v>
      </c>
      <c r="AD2802" s="66"/>
      <c r="AE2802" s="42"/>
      <c r="AF2802" s="42"/>
      <c r="AG2802" s="43"/>
    </row>
    <row r="2803">
      <c r="A2803" s="23"/>
      <c r="B2803" s="101"/>
      <c r="C2803" s="115"/>
      <c r="D2803" s="115"/>
      <c r="E2803" s="85"/>
      <c r="F2803" s="138"/>
      <c r="G2803" s="101"/>
      <c r="H2803" s="105"/>
      <c r="I2803" s="105"/>
      <c r="J2803" s="44"/>
      <c r="K2803" s="116"/>
      <c r="L2803" s="117"/>
      <c r="M2803" s="67"/>
      <c r="N2803" s="33"/>
      <c r="O2803" s="70"/>
      <c r="P2803" s="34"/>
      <c r="Q2803" s="60"/>
      <c r="R2803" s="36"/>
      <c r="S2803" s="71"/>
      <c r="T2803" s="37"/>
      <c r="U2803" s="118"/>
      <c r="V2803" s="74"/>
      <c r="W2803" s="74"/>
      <c r="X2803" s="35"/>
      <c r="Y2803" s="35"/>
      <c r="Z2803" s="40"/>
      <c r="AA2803" s="34"/>
      <c r="AB2803" s="41"/>
      <c r="AC2803" s="42" t="b">
        <v>0</v>
      </c>
      <c r="AD2803" s="66"/>
      <c r="AE2803" s="42"/>
      <c r="AF2803" s="42"/>
      <c r="AG2803" s="43"/>
    </row>
    <row r="2804">
      <c r="A2804" s="23"/>
      <c r="B2804" s="101"/>
      <c r="C2804" s="115"/>
      <c r="D2804" s="115"/>
      <c r="E2804" s="85"/>
      <c r="F2804" s="138"/>
      <c r="G2804" s="101"/>
      <c r="H2804" s="105"/>
      <c r="I2804" s="105"/>
      <c r="J2804" s="44"/>
      <c r="K2804" s="116"/>
      <c r="L2804" s="117"/>
      <c r="M2804" s="67"/>
      <c r="N2804" s="33"/>
      <c r="O2804" s="70"/>
      <c r="P2804" s="34"/>
      <c r="Q2804" s="60"/>
      <c r="R2804" s="36"/>
      <c r="S2804" s="71"/>
      <c r="T2804" s="37"/>
      <c r="U2804" s="118"/>
      <c r="V2804" s="74"/>
      <c r="W2804" s="74"/>
      <c r="X2804" s="35"/>
      <c r="Y2804" s="35"/>
      <c r="Z2804" s="40"/>
      <c r="AA2804" s="34"/>
      <c r="AB2804" s="41"/>
      <c r="AC2804" s="42" t="b">
        <v>0</v>
      </c>
      <c r="AD2804" s="66"/>
      <c r="AE2804" s="42"/>
      <c r="AF2804" s="42"/>
      <c r="AG2804" s="43"/>
    </row>
    <row r="2805">
      <c r="A2805" s="23"/>
      <c r="B2805" s="101"/>
      <c r="C2805" s="115"/>
      <c r="D2805" s="115"/>
      <c r="E2805" s="85"/>
      <c r="F2805" s="138"/>
      <c r="G2805" s="101"/>
      <c r="H2805" s="105"/>
      <c r="I2805" s="105"/>
      <c r="J2805" s="44"/>
      <c r="K2805" s="116"/>
      <c r="L2805" s="117"/>
      <c r="M2805" s="67"/>
      <c r="N2805" s="33"/>
      <c r="O2805" s="70"/>
      <c r="P2805" s="34"/>
      <c r="Q2805" s="60"/>
      <c r="R2805" s="36"/>
      <c r="S2805" s="71"/>
      <c r="T2805" s="37"/>
      <c r="U2805" s="118"/>
      <c r="V2805" s="74"/>
      <c r="W2805" s="74"/>
      <c r="X2805" s="35"/>
      <c r="Y2805" s="35"/>
      <c r="Z2805" s="40"/>
      <c r="AA2805" s="34"/>
      <c r="AB2805" s="41"/>
      <c r="AC2805" s="42" t="b">
        <v>0</v>
      </c>
      <c r="AD2805" s="66"/>
      <c r="AE2805" s="42"/>
      <c r="AF2805" s="42"/>
      <c r="AG2805" s="43"/>
    </row>
    <row r="2806">
      <c r="A2806" s="23"/>
      <c r="B2806" s="101"/>
      <c r="C2806" s="115"/>
      <c r="D2806" s="115"/>
      <c r="E2806" s="85"/>
      <c r="F2806" s="138"/>
      <c r="G2806" s="101"/>
      <c r="H2806" s="105"/>
      <c r="I2806" s="105"/>
      <c r="J2806" s="44"/>
      <c r="K2806" s="116"/>
      <c r="L2806" s="117"/>
      <c r="M2806" s="67"/>
      <c r="N2806" s="33"/>
      <c r="O2806" s="70"/>
      <c r="P2806" s="34"/>
      <c r="Q2806" s="60"/>
      <c r="R2806" s="36"/>
      <c r="S2806" s="71"/>
      <c r="T2806" s="37"/>
      <c r="U2806" s="118"/>
      <c r="V2806" s="74"/>
      <c r="W2806" s="74"/>
      <c r="X2806" s="35"/>
      <c r="Y2806" s="35"/>
      <c r="Z2806" s="40"/>
      <c r="AA2806" s="34"/>
      <c r="AB2806" s="41"/>
      <c r="AC2806" s="42" t="b">
        <v>0</v>
      </c>
      <c r="AD2806" s="66"/>
      <c r="AE2806" s="42"/>
      <c r="AF2806" s="42"/>
      <c r="AG2806" s="43"/>
    </row>
    <row r="2807">
      <c r="A2807" s="23"/>
      <c r="B2807" s="101"/>
      <c r="C2807" s="115"/>
      <c r="D2807" s="115"/>
      <c r="E2807" s="85"/>
      <c r="F2807" s="138"/>
      <c r="G2807" s="101"/>
      <c r="H2807" s="105"/>
      <c r="I2807" s="105"/>
      <c r="J2807" s="44"/>
      <c r="K2807" s="116"/>
      <c r="L2807" s="117"/>
      <c r="M2807" s="67"/>
      <c r="N2807" s="33"/>
      <c r="O2807" s="70"/>
      <c r="P2807" s="34"/>
      <c r="Q2807" s="60"/>
      <c r="R2807" s="36"/>
      <c r="S2807" s="71"/>
      <c r="T2807" s="37"/>
      <c r="U2807" s="118"/>
      <c r="V2807" s="74"/>
      <c r="W2807" s="74"/>
      <c r="X2807" s="35"/>
      <c r="Y2807" s="35"/>
      <c r="Z2807" s="40"/>
      <c r="AA2807" s="34"/>
      <c r="AB2807" s="41"/>
      <c r="AC2807" s="42" t="b">
        <v>0</v>
      </c>
      <c r="AD2807" s="66"/>
      <c r="AE2807" s="42"/>
      <c r="AF2807" s="42"/>
      <c r="AG2807" s="43"/>
    </row>
    <row r="2808">
      <c r="A2808" s="23"/>
      <c r="B2808" s="101"/>
      <c r="C2808" s="115"/>
      <c r="D2808" s="115"/>
      <c r="E2808" s="85"/>
      <c r="F2808" s="138"/>
      <c r="G2808" s="101"/>
      <c r="H2808" s="105"/>
      <c r="I2808" s="105"/>
      <c r="J2808" s="44"/>
      <c r="K2808" s="116"/>
      <c r="L2808" s="117"/>
      <c r="M2808" s="67"/>
      <c r="N2808" s="33"/>
      <c r="O2808" s="70"/>
      <c r="P2808" s="34"/>
      <c r="Q2808" s="60"/>
      <c r="R2808" s="36"/>
      <c r="S2808" s="71"/>
      <c r="T2808" s="37"/>
      <c r="U2808" s="118"/>
      <c r="V2808" s="74"/>
      <c r="W2808" s="74"/>
      <c r="X2808" s="35"/>
      <c r="Y2808" s="35"/>
      <c r="Z2808" s="40"/>
      <c r="AA2808" s="34"/>
      <c r="AB2808" s="41"/>
      <c r="AC2808" s="42" t="b">
        <v>0</v>
      </c>
      <c r="AD2808" s="66"/>
      <c r="AE2808" s="42"/>
      <c r="AF2808" s="42"/>
      <c r="AG2808" s="43"/>
    </row>
    <row r="2809">
      <c r="A2809" s="23"/>
      <c r="B2809" s="101"/>
      <c r="C2809" s="115"/>
      <c r="D2809" s="115"/>
      <c r="E2809" s="85"/>
      <c r="F2809" s="138"/>
      <c r="G2809" s="101"/>
      <c r="H2809" s="105"/>
      <c r="I2809" s="105"/>
      <c r="J2809" s="44"/>
      <c r="K2809" s="116"/>
      <c r="L2809" s="117"/>
      <c r="M2809" s="67"/>
      <c r="N2809" s="33"/>
      <c r="O2809" s="70"/>
      <c r="P2809" s="34"/>
      <c r="Q2809" s="60"/>
      <c r="R2809" s="36"/>
      <c r="S2809" s="71"/>
      <c r="T2809" s="37"/>
      <c r="U2809" s="118"/>
      <c r="V2809" s="74"/>
      <c r="W2809" s="74"/>
      <c r="X2809" s="35"/>
      <c r="Y2809" s="35"/>
      <c r="Z2809" s="40"/>
      <c r="AA2809" s="34"/>
      <c r="AB2809" s="41"/>
      <c r="AC2809" s="42" t="b">
        <v>0</v>
      </c>
      <c r="AD2809" s="66"/>
      <c r="AE2809" s="42"/>
      <c r="AF2809" s="42"/>
      <c r="AG2809" s="43"/>
    </row>
    <row r="2810">
      <c r="A2810" s="23"/>
      <c r="B2810" s="101"/>
      <c r="C2810" s="115"/>
      <c r="D2810" s="115"/>
      <c r="E2810" s="85"/>
      <c r="F2810" s="138"/>
      <c r="G2810" s="101"/>
      <c r="H2810" s="105"/>
      <c r="I2810" s="105"/>
      <c r="J2810" s="44"/>
      <c r="K2810" s="116"/>
      <c r="L2810" s="117"/>
      <c r="M2810" s="67"/>
      <c r="N2810" s="33"/>
      <c r="O2810" s="70"/>
      <c r="P2810" s="34"/>
      <c r="Q2810" s="60"/>
      <c r="R2810" s="36"/>
      <c r="S2810" s="71"/>
      <c r="T2810" s="37"/>
      <c r="U2810" s="118"/>
      <c r="V2810" s="74"/>
      <c r="W2810" s="74"/>
      <c r="X2810" s="35"/>
      <c r="Y2810" s="35"/>
      <c r="Z2810" s="40"/>
      <c r="AA2810" s="34"/>
      <c r="AB2810" s="41"/>
      <c r="AC2810" s="42" t="b">
        <v>0</v>
      </c>
      <c r="AD2810" s="66"/>
      <c r="AE2810" s="42"/>
      <c r="AF2810" s="42"/>
      <c r="AG2810" s="43"/>
    </row>
    <row r="2811">
      <c r="A2811" s="23"/>
      <c r="B2811" s="101"/>
      <c r="C2811" s="115"/>
      <c r="D2811" s="115"/>
      <c r="E2811" s="85"/>
      <c r="F2811" s="138"/>
      <c r="G2811" s="101"/>
      <c r="H2811" s="105"/>
      <c r="I2811" s="105"/>
      <c r="J2811" s="44"/>
      <c r="K2811" s="116"/>
      <c r="L2811" s="117"/>
      <c r="M2811" s="67"/>
      <c r="N2811" s="33"/>
      <c r="O2811" s="70"/>
      <c r="P2811" s="34"/>
      <c r="Q2811" s="60"/>
      <c r="R2811" s="36"/>
      <c r="S2811" s="71"/>
      <c r="T2811" s="37"/>
      <c r="U2811" s="118"/>
      <c r="V2811" s="74"/>
      <c r="W2811" s="74"/>
      <c r="X2811" s="35"/>
      <c r="Y2811" s="35"/>
      <c r="Z2811" s="40"/>
      <c r="AA2811" s="34"/>
      <c r="AB2811" s="41"/>
      <c r="AC2811" s="42" t="b">
        <v>0</v>
      </c>
      <c r="AD2811" s="66"/>
      <c r="AE2811" s="42"/>
      <c r="AF2811" s="42"/>
      <c r="AG2811" s="43"/>
    </row>
    <row r="2812">
      <c r="A2812" s="23"/>
      <c r="B2812" s="101"/>
      <c r="C2812" s="115"/>
      <c r="D2812" s="115"/>
      <c r="E2812" s="85"/>
      <c r="F2812" s="138"/>
      <c r="G2812" s="101"/>
      <c r="H2812" s="105"/>
      <c r="I2812" s="105"/>
      <c r="J2812" s="44"/>
      <c r="K2812" s="116"/>
      <c r="L2812" s="117"/>
      <c r="M2812" s="67"/>
      <c r="N2812" s="33"/>
      <c r="O2812" s="70"/>
      <c r="P2812" s="34"/>
      <c r="Q2812" s="60"/>
      <c r="R2812" s="36"/>
      <c r="S2812" s="71"/>
      <c r="T2812" s="37"/>
      <c r="U2812" s="118"/>
      <c r="V2812" s="74"/>
      <c r="W2812" s="74"/>
      <c r="X2812" s="35"/>
      <c r="Y2812" s="35"/>
      <c r="Z2812" s="40"/>
      <c r="AA2812" s="34"/>
      <c r="AB2812" s="41"/>
      <c r="AC2812" s="42" t="b">
        <v>0</v>
      </c>
      <c r="AD2812" s="66"/>
      <c r="AE2812" s="42"/>
      <c r="AF2812" s="42"/>
      <c r="AG2812" s="43"/>
    </row>
    <row r="2813">
      <c r="A2813" s="23"/>
      <c r="B2813" s="101"/>
      <c r="C2813" s="115"/>
      <c r="D2813" s="115"/>
      <c r="E2813" s="85"/>
      <c r="F2813" s="138"/>
      <c r="G2813" s="101"/>
      <c r="H2813" s="105"/>
      <c r="I2813" s="105"/>
      <c r="J2813" s="44"/>
      <c r="K2813" s="116"/>
      <c r="L2813" s="117"/>
      <c r="M2813" s="67"/>
      <c r="N2813" s="33"/>
      <c r="O2813" s="70"/>
      <c r="P2813" s="34"/>
      <c r="Q2813" s="60"/>
      <c r="R2813" s="36"/>
      <c r="S2813" s="71"/>
      <c r="T2813" s="37"/>
      <c r="U2813" s="118"/>
      <c r="V2813" s="74"/>
      <c r="W2813" s="74"/>
      <c r="X2813" s="35"/>
      <c r="Y2813" s="35"/>
      <c r="Z2813" s="40"/>
      <c r="AA2813" s="34"/>
      <c r="AB2813" s="41"/>
      <c r="AC2813" s="42" t="b">
        <v>0</v>
      </c>
      <c r="AD2813" s="66"/>
      <c r="AE2813" s="42"/>
      <c r="AF2813" s="42"/>
      <c r="AG2813" s="43"/>
    </row>
    <row r="2814">
      <c r="A2814" s="23"/>
      <c r="B2814" s="101"/>
      <c r="C2814" s="115"/>
      <c r="D2814" s="115"/>
      <c r="E2814" s="85"/>
      <c r="F2814" s="138"/>
      <c r="G2814" s="101"/>
      <c r="H2814" s="105"/>
      <c r="I2814" s="105"/>
      <c r="J2814" s="44"/>
      <c r="K2814" s="116"/>
      <c r="L2814" s="117"/>
      <c r="M2814" s="67"/>
      <c r="N2814" s="33"/>
      <c r="O2814" s="70"/>
      <c r="P2814" s="34"/>
      <c r="Q2814" s="60"/>
      <c r="R2814" s="36"/>
      <c r="S2814" s="71"/>
      <c r="T2814" s="37"/>
      <c r="U2814" s="118"/>
      <c r="V2814" s="74"/>
      <c r="W2814" s="74"/>
      <c r="X2814" s="35"/>
      <c r="Y2814" s="35"/>
      <c r="Z2814" s="40"/>
      <c r="AA2814" s="34"/>
      <c r="AB2814" s="41"/>
      <c r="AC2814" s="42" t="b">
        <v>0</v>
      </c>
      <c r="AD2814" s="66"/>
      <c r="AE2814" s="42"/>
      <c r="AF2814" s="42"/>
      <c r="AG2814" s="43"/>
    </row>
    <row r="2815">
      <c r="A2815" s="23"/>
      <c r="B2815" s="101"/>
      <c r="C2815" s="115"/>
      <c r="D2815" s="115"/>
      <c r="E2815" s="85"/>
      <c r="F2815" s="138"/>
      <c r="G2815" s="101"/>
      <c r="H2815" s="105"/>
      <c r="I2815" s="105"/>
      <c r="J2815" s="44"/>
      <c r="K2815" s="116"/>
      <c r="L2815" s="117"/>
      <c r="M2815" s="67"/>
      <c r="N2815" s="33"/>
      <c r="O2815" s="70"/>
      <c r="P2815" s="34"/>
      <c r="Q2815" s="60"/>
      <c r="R2815" s="36"/>
      <c r="S2815" s="71"/>
      <c r="T2815" s="37"/>
      <c r="U2815" s="118"/>
      <c r="V2815" s="74"/>
      <c r="W2815" s="74"/>
      <c r="X2815" s="35"/>
      <c r="Y2815" s="35"/>
      <c r="Z2815" s="40"/>
      <c r="AA2815" s="34"/>
      <c r="AB2815" s="41"/>
      <c r="AC2815" s="42" t="b">
        <v>0</v>
      </c>
      <c r="AD2815" s="66"/>
      <c r="AE2815" s="42"/>
      <c r="AF2815" s="42"/>
      <c r="AG2815" s="43"/>
    </row>
    <row r="2816">
      <c r="A2816" s="23"/>
      <c r="B2816" s="101"/>
      <c r="C2816" s="115"/>
      <c r="D2816" s="115"/>
      <c r="E2816" s="85"/>
      <c r="F2816" s="138"/>
      <c r="G2816" s="101"/>
      <c r="H2816" s="105"/>
      <c r="I2816" s="105"/>
      <c r="J2816" s="44"/>
      <c r="K2816" s="116"/>
      <c r="L2816" s="117"/>
      <c r="M2816" s="67"/>
      <c r="N2816" s="33"/>
      <c r="O2816" s="70"/>
      <c r="P2816" s="34"/>
      <c r="Q2816" s="60"/>
      <c r="R2816" s="36"/>
      <c r="S2816" s="71"/>
      <c r="T2816" s="37"/>
      <c r="U2816" s="118"/>
      <c r="V2816" s="74"/>
      <c r="W2816" s="74"/>
      <c r="X2816" s="35"/>
      <c r="Y2816" s="35"/>
      <c r="Z2816" s="40"/>
      <c r="AA2816" s="34"/>
      <c r="AB2816" s="41"/>
      <c r="AC2816" s="42" t="b">
        <v>0</v>
      </c>
      <c r="AD2816" s="66"/>
      <c r="AE2816" s="42"/>
      <c r="AF2816" s="42"/>
      <c r="AG2816" s="43"/>
    </row>
    <row r="2817">
      <c r="A2817" s="23"/>
      <c r="B2817" s="101"/>
      <c r="C2817" s="115"/>
      <c r="D2817" s="115"/>
      <c r="E2817" s="85"/>
      <c r="F2817" s="138"/>
      <c r="G2817" s="101"/>
      <c r="H2817" s="105"/>
      <c r="I2817" s="105"/>
      <c r="J2817" s="44"/>
      <c r="K2817" s="116"/>
      <c r="L2817" s="117"/>
      <c r="M2817" s="67"/>
      <c r="N2817" s="33"/>
      <c r="O2817" s="70"/>
      <c r="P2817" s="34"/>
      <c r="Q2817" s="60"/>
      <c r="R2817" s="36"/>
      <c r="S2817" s="71"/>
      <c r="T2817" s="37"/>
      <c r="U2817" s="118"/>
      <c r="V2817" s="74"/>
      <c r="W2817" s="74"/>
      <c r="X2817" s="35"/>
      <c r="Y2817" s="35"/>
      <c r="Z2817" s="40"/>
      <c r="AA2817" s="34"/>
      <c r="AB2817" s="41"/>
      <c r="AC2817" s="42" t="b">
        <v>0</v>
      </c>
      <c r="AD2817" s="66"/>
      <c r="AE2817" s="42"/>
      <c r="AF2817" s="42"/>
      <c r="AG2817" s="43"/>
    </row>
    <row r="2818">
      <c r="A2818" s="23"/>
      <c r="B2818" s="101"/>
      <c r="C2818" s="115"/>
      <c r="D2818" s="115"/>
      <c r="E2818" s="85"/>
      <c r="F2818" s="138"/>
      <c r="G2818" s="101"/>
      <c r="H2818" s="105"/>
      <c r="I2818" s="105"/>
      <c r="J2818" s="44"/>
      <c r="K2818" s="116"/>
      <c r="L2818" s="117"/>
      <c r="M2818" s="67"/>
      <c r="N2818" s="33"/>
      <c r="O2818" s="70"/>
      <c r="P2818" s="34"/>
      <c r="Q2818" s="60"/>
      <c r="R2818" s="36"/>
      <c r="S2818" s="71"/>
      <c r="T2818" s="37"/>
      <c r="U2818" s="118"/>
      <c r="V2818" s="74"/>
      <c r="W2818" s="74"/>
      <c r="X2818" s="35"/>
      <c r="Y2818" s="35"/>
      <c r="Z2818" s="40"/>
      <c r="AA2818" s="34"/>
      <c r="AB2818" s="41"/>
      <c r="AC2818" s="42" t="b">
        <v>0</v>
      </c>
      <c r="AD2818" s="66"/>
      <c r="AE2818" s="42"/>
      <c r="AF2818" s="42"/>
      <c r="AG2818" s="43"/>
    </row>
    <row r="2819">
      <c r="A2819" s="23"/>
      <c r="B2819" s="101"/>
      <c r="C2819" s="115"/>
      <c r="D2819" s="115"/>
      <c r="E2819" s="85"/>
      <c r="F2819" s="138"/>
      <c r="G2819" s="101"/>
      <c r="H2819" s="105"/>
      <c r="I2819" s="105"/>
      <c r="J2819" s="44"/>
      <c r="K2819" s="116"/>
      <c r="L2819" s="117"/>
      <c r="M2819" s="67"/>
      <c r="N2819" s="33"/>
      <c r="O2819" s="70"/>
      <c r="P2819" s="34"/>
      <c r="Q2819" s="60"/>
      <c r="R2819" s="36"/>
      <c r="S2819" s="71"/>
      <c r="T2819" s="37"/>
      <c r="U2819" s="118"/>
      <c r="V2819" s="74"/>
      <c r="W2819" s="74"/>
      <c r="X2819" s="35"/>
      <c r="Y2819" s="35"/>
      <c r="Z2819" s="40"/>
      <c r="AA2819" s="34"/>
      <c r="AB2819" s="41"/>
      <c r="AC2819" s="42" t="b">
        <v>0</v>
      </c>
      <c r="AD2819" s="66"/>
      <c r="AE2819" s="42"/>
      <c r="AF2819" s="42"/>
      <c r="AG2819" s="43"/>
    </row>
    <row r="2820">
      <c r="A2820" s="23"/>
      <c r="B2820" s="101"/>
      <c r="C2820" s="115"/>
      <c r="D2820" s="115"/>
      <c r="E2820" s="85"/>
      <c r="F2820" s="138"/>
      <c r="G2820" s="101"/>
      <c r="H2820" s="105"/>
      <c r="I2820" s="105"/>
      <c r="J2820" s="44"/>
      <c r="K2820" s="116"/>
      <c r="L2820" s="117"/>
      <c r="M2820" s="67"/>
      <c r="N2820" s="33"/>
      <c r="O2820" s="70"/>
      <c r="P2820" s="34"/>
      <c r="Q2820" s="60"/>
      <c r="R2820" s="36"/>
      <c r="S2820" s="71"/>
      <c r="T2820" s="37"/>
      <c r="U2820" s="118"/>
      <c r="V2820" s="74"/>
      <c r="W2820" s="74"/>
      <c r="X2820" s="35"/>
      <c r="Y2820" s="35"/>
      <c r="Z2820" s="40"/>
      <c r="AA2820" s="34"/>
      <c r="AB2820" s="41"/>
      <c r="AC2820" s="42" t="b">
        <v>0</v>
      </c>
      <c r="AD2820" s="66"/>
      <c r="AE2820" s="42"/>
      <c r="AF2820" s="42"/>
      <c r="AG2820" s="43"/>
    </row>
    <row r="2821">
      <c r="A2821" s="23"/>
      <c r="B2821" s="101"/>
      <c r="C2821" s="115"/>
      <c r="D2821" s="115"/>
      <c r="E2821" s="85"/>
      <c r="F2821" s="138"/>
      <c r="G2821" s="101"/>
      <c r="H2821" s="105"/>
      <c r="I2821" s="105"/>
      <c r="J2821" s="44"/>
      <c r="K2821" s="116"/>
      <c r="L2821" s="117"/>
      <c r="M2821" s="67"/>
      <c r="N2821" s="33"/>
      <c r="O2821" s="70"/>
      <c r="P2821" s="34"/>
      <c r="Q2821" s="60"/>
      <c r="R2821" s="36"/>
      <c r="S2821" s="71"/>
      <c r="T2821" s="37"/>
      <c r="U2821" s="118"/>
      <c r="V2821" s="74"/>
      <c r="W2821" s="74"/>
      <c r="X2821" s="35"/>
      <c r="Y2821" s="35"/>
      <c r="Z2821" s="40"/>
      <c r="AA2821" s="34"/>
      <c r="AB2821" s="41"/>
      <c r="AC2821" s="42" t="b">
        <v>0</v>
      </c>
      <c r="AD2821" s="66"/>
      <c r="AE2821" s="42"/>
      <c r="AF2821" s="42"/>
      <c r="AG2821" s="43"/>
    </row>
    <row r="2822">
      <c r="A2822" s="23"/>
      <c r="B2822" s="101"/>
      <c r="C2822" s="115"/>
      <c r="D2822" s="115"/>
      <c r="E2822" s="85"/>
      <c r="F2822" s="138"/>
      <c r="G2822" s="101"/>
      <c r="H2822" s="105"/>
      <c r="I2822" s="105"/>
      <c r="J2822" s="44"/>
      <c r="K2822" s="116"/>
      <c r="L2822" s="117"/>
      <c r="M2822" s="67"/>
      <c r="N2822" s="33"/>
      <c r="O2822" s="70"/>
      <c r="P2822" s="34"/>
      <c r="Q2822" s="60"/>
      <c r="R2822" s="36"/>
      <c r="S2822" s="71"/>
      <c r="T2822" s="37"/>
      <c r="U2822" s="118"/>
      <c r="V2822" s="74"/>
      <c r="W2822" s="74"/>
      <c r="X2822" s="35"/>
      <c r="Y2822" s="35"/>
      <c r="Z2822" s="40"/>
      <c r="AA2822" s="34"/>
      <c r="AB2822" s="41"/>
      <c r="AC2822" s="42" t="b">
        <v>0</v>
      </c>
      <c r="AD2822" s="66"/>
      <c r="AE2822" s="42"/>
      <c r="AF2822" s="42"/>
      <c r="AG2822" s="43"/>
    </row>
    <row r="2823">
      <c r="A2823" s="23"/>
      <c r="B2823" s="101"/>
      <c r="C2823" s="115"/>
      <c r="D2823" s="115"/>
      <c r="E2823" s="85"/>
      <c r="F2823" s="138"/>
      <c r="G2823" s="101"/>
      <c r="H2823" s="105"/>
      <c r="I2823" s="105"/>
      <c r="J2823" s="44"/>
      <c r="K2823" s="116"/>
      <c r="L2823" s="117"/>
      <c r="M2823" s="67"/>
      <c r="N2823" s="33"/>
      <c r="O2823" s="70"/>
      <c r="P2823" s="34"/>
      <c r="Q2823" s="60"/>
      <c r="R2823" s="36"/>
      <c r="S2823" s="71"/>
      <c r="T2823" s="37"/>
      <c r="U2823" s="118"/>
      <c r="V2823" s="74"/>
      <c r="W2823" s="74"/>
      <c r="X2823" s="35"/>
      <c r="Y2823" s="35"/>
      <c r="Z2823" s="40"/>
      <c r="AA2823" s="34"/>
      <c r="AB2823" s="41"/>
      <c r="AC2823" s="42" t="b">
        <v>0</v>
      </c>
      <c r="AD2823" s="66"/>
      <c r="AE2823" s="42"/>
      <c r="AF2823" s="42"/>
      <c r="AG2823" s="43"/>
    </row>
    <row r="2824">
      <c r="A2824" s="23"/>
      <c r="B2824" s="101"/>
      <c r="C2824" s="115"/>
      <c r="D2824" s="115"/>
      <c r="E2824" s="85"/>
      <c r="F2824" s="138"/>
      <c r="G2824" s="101"/>
      <c r="H2824" s="105"/>
      <c r="I2824" s="105"/>
      <c r="J2824" s="44"/>
      <c r="K2824" s="116"/>
      <c r="L2824" s="117"/>
      <c r="M2824" s="67"/>
      <c r="N2824" s="33"/>
      <c r="O2824" s="70"/>
      <c r="P2824" s="34"/>
      <c r="Q2824" s="60"/>
      <c r="R2824" s="36"/>
      <c r="S2824" s="71"/>
      <c r="T2824" s="37"/>
      <c r="U2824" s="118"/>
      <c r="V2824" s="74"/>
      <c r="W2824" s="74"/>
      <c r="X2824" s="35"/>
      <c r="Y2824" s="35"/>
      <c r="Z2824" s="40"/>
      <c r="AA2824" s="34"/>
      <c r="AB2824" s="41"/>
      <c r="AC2824" s="42" t="b">
        <v>0</v>
      </c>
      <c r="AD2824" s="66"/>
      <c r="AE2824" s="42"/>
      <c r="AF2824" s="42"/>
      <c r="AG2824" s="43"/>
    </row>
    <row r="2825">
      <c r="A2825" s="23"/>
      <c r="B2825" s="101"/>
      <c r="C2825" s="115"/>
      <c r="D2825" s="115"/>
      <c r="E2825" s="85"/>
      <c r="F2825" s="138"/>
      <c r="G2825" s="101"/>
      <c r="H2825" s="105"/>
      <c r="I2825" s="105"/>
      <c r="J2825" s="44"/>
      <c r="K2825" s="116"/>
      <c r="L2825" s="117"/>
      <c r="M2825" s="67"/>
      <c r="N2825" s="33"/>
      <c r="O2825" s="70"/>
      <c r="P2825" s="34"/>
      <c r="Q2825" s="60"/>
      <c r="R2825" s="36"/>
      <c r="S2825" s="71"/>
      <c r="T2825" s="37"/>
      <c r="U2825" s="118"/>
      <c r="V2825" s="74"/>
      <c r="W2825" s="74"/>
      <c r="X2825" s="35"/>
      <c r="Y2825" s="35"/>
      <c r="Z2825" s="40"/>
      <c r="AA2825" s="34"/>
      <c r="AB2825" s="41"/>
      <c r="AC2825" s="42" t="b">
        <v>0</v>
      </c>
      <c r="AD2825" s="66"/>
      <c r="AE2825" s="42"/>
      <c r="AF2825" s="42"/>
      <c r="AG2825" s="43"/>
    </row>
    <row r="2826">
      <c r="A2826" s="23"/>
      <c r="B2826" s="101"/>
      <c r="C2826" s="115"/>
      <c r="D2826" s="115"/>
      <c r="E2826" s="85"/>
      <c r="F2826" s="138"/>
      <c r="G2826" s="101"/>
      <c r="H2826" s="105"/>
      <c r="I2826" s="105"/>
      <c r="J2826" s="44"/>
      <c r="K2826" s="116"/>
      <c r="L2826" s="117"/>
      <c r="M2826" s="67"/>
      <c r="N2826" s="33"/>
      <c r="O2826" s="70"/>
      <c r="P2826" s="34"/>
      <c r="Q2826" s="60"/>
      <c r="R2826" s="36"/>
      <c r="S2826" s="71"/>
      <c r="T2826" s="37"/>
      <c r="U2826" s="118"/>
      <c r="V2826" s="74"/>
      <c r="W2826" s="74"/>
      <c r="X2826" s="35"/>
      <c r="Y2826" s="35"/>
      <c r="Z2826" s="40"/>
      <c r="AA2826" s="34"/>
      <c r="AB2826" s="41"/>
      <c r="AC2826" s="42" t="b">
        <v>0</v>
      </c>
      <c r="AD2826" s="66"/>
      <c r="AE2826" s="42"/>
      <c r="AF2826" s="42"/>
      <c r="AG2826" s="43"/>
    </row>
    <row r="2827">
      <c r="A2827" s="23"/>
      <c r="B2827" s="101"/>
      <c r="C2827" s="115"/>
      <c r="D2827" s="115"/>
      <c r="E2827" s="85"/>
      <c r="F2827" s="138"/>
      <c r="G2827" s="101"/>
      <c r="H2827" s="105"/>
      <c r="I2827" s="105"/>
      <c r="J2827" s="44"/>
      <c r="K2827" s="116"/>
      <c r="L2827" s="117"/>
      <c r="M2827" s="67"/>
      <c r="N2827" s="33"/>
      <c r="O2827" s="70"/>
      <c r="P2827" s="34"/>
      <c r="Q2827" s="60"/>
      <c r="R2827" s="36"/>
      <c r="S2827" s="71"/>
      <c r="T2827" s="37"/>
      <c r="U2827" s="118"/>
      <c r="V2827" s="74"/>
      <c r="W2827" s="74"/>
      <c r="X2827" s="35"/>
      <c r="Y2827" s="35"/>
      <c r="Z2827" s="40"/>
      <c r="AA2827" s="34"/>
      <c r="AB2827" s="41"/>
      <c r="AC2827" s="42" t="b">
        <v>0</v>
      </c>
      <c r="AD2827" s="66"/>
      <c r="AE2827" s="42"/>
      <c r="AF2827" s="42"/>
      <c r="AG2827" s="43"/>
    </row>
    <row r="2828">
      <c r="A2828" s="23"/>
      <c r="B2828" s="101"/>
      <c r="C2828" s="115"/>
      <c r="D2828" s="115"/>
      <c r="E2828" s="85"/>
      <c r="F2828" s="138"/>
      <c r="G2828" s="101"/>
      <c r="H2828" s="105"/>
      <c r="I2828" s="105"/>
      <c r="J2828" s="44"/>
      <c r="K2828" s="116"/>
      <c r="L2828" s="117"/>
      <c r="M2828" s="67"/>
      <c r="N2828" s="33"/>
      <c r="O2828" s="70"/>
      <c r="P2828" s="34"/>
      <c r="Q2828" s="60"/>
      <c r="R2828" s="36"/>
      <c r="S2828" s="71"/>
      <c r="T2828" s="37"/>
      <c r="U2828" s="118"/>
      <c r="V2828" s="74"/>
      <c r="W2828" s="74"/>
      <c r="X2828" s="35"/>
      <c r="Y2828" s="35"/>
      <c r="Z2828" s="40"/>
      <c r="AA2828" s="34"/>
      <c r="AB2828" s="41"/>
      <c r="AC2828" s="42" t="b">
        <v>0</v>
      </c>
      <c r="AD2828" s="66"/>
      <c r="AE2828" s="42"/>
      <c r="AF2828" s="42"/>
      <c r="AG2828" s="43"/>
    </row>
    <row r="2829">
      <c r="A2829" s="23"/>
      <c r="B2829" s="101"/>
      <c r="C2829" s="115"/>
      <c r="D2829" s="115"/>
      <c r="E2829" s="85"/>
      <c r="F2829" s="138"/>
      <c r="G2829" s="101"/>
      <c r="H2829" s="105"/>
      <c r="I2829" s="105"/>
      <c r="J2829" s="44"/>
      <c r="K2829" s="116"/>
      <c r="L2829" s="117"/>
      <c r="M2829" s="67"/>
      <c r="N2829" s="33"/>
      <c r="O2829" s="70"/>
      <c r="P2829" s="34"/>
      <c r="Q2829" s="60"/>
      <c r="R2829" s="36"/>
      <c r="S2829" s="71"/>
      <c r="T2829" s="37"/>
      <c r="U2829" s="118"/>
      <c r="V2829" s="74"/>
      <c r="W2829" s="74"/>
      <c r="X2829" s="35"/>
      <c r="Y2829" s="35"/>
      <c r="Z2829" s="40"/>
      <c r="AA2829" s="34"/>
      <c r="AB2829" s="41"/>
      <c r="AC2829" s="42" t="b">
        <v>0</v>
      </c>
      <c r="AD2829" s="66"/>
      <c r="AE2829" s="42"/>
      <c r="AF2829" s="42"/>
      <c r="AG2829" s="43"/>
    </row>
    <row r="2830">
      <c r="A2830" s="23"/>
      <c r="B2830" s="101"/>
      <c r="C2830" s="115"/>
      <c r="D2830" s="115"/>
      <c r="E2830" s="85"/>
      <c r="F2830" s="138"/>
      <c r="G2830" s="101"/>
      <c r="H2830" s="105"/>
      <c r="I2830" s="105"/>
      <c r="J2830" s="44"/>
      <c r="K2830" s="116"/>
      <c r="L2830" s="117"/>
      <c r="M2830" s="67"/>
      <c r="N2830" s="33"/>
      <c r="O2830" s="70"/>
      <c r="P2830" s="34"/>
      <c r="Q2830" s="60"/>
      <c r="R2830" s="36"/>
      <c r="S2830" s="71"/>
      <c r="T2830" s="37"/>
      <c r="U2830" s="118"/>
      <c r="V2830" s="74"/>
      <c r="W2830" s="74"/>
      <c r="X2830" s="35"/>
      <c r="Y2830" s="35"/>
      <c r="Z2830" s="40"/>
      <c r="AA2830" s="34"/>
      <c r="AB2830" s="41"/>
      <c r="AC2830" s="42" t="b">
        <v>0</v>
      </c>
      <c r="AD2830" s="66"/>
      <c r="AE2830" s="42"/>
      <c r="AF2830" s="42"/>
      <c r="AG2830" s="43"/>
    </row>
    <row r="2831">
      <c r="A2831" s="23"/>
      <c r="B2831" s="101"/>
      <c r="C2831" s="115"/>
      <c r="D2831" s="115"/>
      <c r="E2831" s="85"/>
      <c r="F2831" s="138"/>
      <c r="G2831" s="101"/>
      <c r="H2831" s="105"/>
      <c r="I2831" s="105"/>
      <c r="J2831" s="44"/>
      <c r="K2831" s="116"/>
      <c r="L2831" s="117"/>
      <c r="M2831" s="67"/>
      <c r="N2831" s="33"/>
      <c r="O2831" s="70"/>
      <c r="P2831" s="34"/>
      <c r="Q2831" s="60"/>
      <c r="R2831" s="36"/>
      <c r="S2831" s="71"/>
      <c r="T2831" s="37"/>
      <c r="U2831" s="118"/>
      <c r="V2831" s="74"/>
      <c r="W2831" s="74"/>
      <c r="X2831" s="35"/>
      <c r="Y2831" s="35"/>
      <c r="Z2831" s="40"/>
      <c r="AA2831" s="34"/>
      <c r="AB2831" s="41"/>
      <c r="AC2831" s="42" t="b">
        <v>0</v>
      </c>
      <c r="AD2831" s="66"/>
      <c r="AE2831" s="42"/>
      <c r="AF2831" s="42"/>
      <c r="AG2831" s="43"/>
    </row>
    <row r="2832">
      <c r="A2832" s="23"/>
      <c r="B2832" s="101"/>
      <c r="C2832" s="115"/>
      <c r="D2832" s="115"/>
      <c r="E2832" s="85"/>
      <c r="F2832" s="138"/>
      <c r="G2832" s="101"/>
      <c r="H2832" s="105"/>
      <c r="I2832" s="105"/>
      <c r="J2832" s="44"/>
      <c r="K2832" s="116"/>
      <c r="L2832" s="117"/>
      <c r="M2832" s="67"/>
      <c r="N2832" s="33"/>
      <c r="O2832" s="70"/>
      <c r="P2832" s="34"/>
      <c r="Q2832" s="60"/>
      <c r="R2832" s="36"/>
      <c r="S2832" s="71"/>
      <c r="T2832" s="37"/>
      <c r="U2832" s="118"/>
      <c r="V2832" s="74"/>
      <c r="W2832" s="74"/>
      <c r="X2832" s="35"/>
      <c r="Y2832" s="35"/>
      <c r="Z2832" s="40"/>
      <c r="AA2832" s="34"/>
      <c r="AB2832" s="41"/>
      <c r="AC2832" s="42" t="b">
        <v>0</v>
      </c>
      <c r="AD2832" s="66"/>
      <c r="AE2832" s="42"/>
      <c r="AF2832" s="42"/>
      <c r="AG2832" s="43"/>
    </row>
    <row r="2833">
      <c r="A2833" s="23"/>
      <c r="B2833" s="101"/>
      <c r="C2833" s="115"/>
      <c r="D2833" s="115"/>
      <c r="E2833" s="85"/>
      <c r="F2833" s="138"/>
      <c r="G2833" s="101"/>
      <c r="H2833" s="105"/>
      <c r="I2833" s="105"/>
      <c r="J2833" s="44"/>
      <c r="K2833" s="116"/>
      <c r="L2833" s="117"/>
      <c r="M2833" s="67"/>
      <c r="N2833" s="33"/>
      <c r="O2833" s="70"/>
      <c r="P2833" s="34"/>
      <c r="Q2833" s="60"/>
      <c r="R2833" s="36"/>
      <c r="S2833" s="71"/>
      <c r="T2833" s="37"/>
      <c r="U2833" s="118"/>
      <c r="V2833" s="74"/>
      <c r="W2833" s="74"/>
      <c r="X2833" s="35"/>
      <c r="Y2833" s="35"/>
      <c r="Z2833" s="40"/>
      <c r="AA2833" s="34"/>
      <c r="AB2833" s="41"/>
      <c r="AC2833" s="42" t="b">
        <v>0</v>
      </c>
      <c r="AD2833" s="66"/>
      <c r="AE2833" s="42"/>
      <c r="AF2833" s="42"/>
      <c r="AG2833" s="43"/>
    </row>
    <row r="2834">
      <c r="A2834" s="23"/>
      <c r="B2834" s="101"/>
      <c r="C2834" s="115"/>
      <c r="D2834" s="115"/>
      <c r="E2834" s="85"/>
      <c r="F2834" s="138"/>
      <c r="G2834" s="101"/>
      <c r="H2834" s="105"/>
      <c r="I2834" s="105"/>
      <c r="J2834" s="44"/>
      <c r="K2834" s="116"/>
      <c r="L2834" s="117"/>
      <c r="M2834" s="67"/>
      <c r="N2834" s="33"/>
      <c r="O2834" s="70"/>
      <c r="P2834" s="34"/>
      <c r="Q2834" s="60"/>
      <c r="R2834" s="36"/>
      <c r="S2834" s="71"/>
      <c r="T2834" s="37"/>
      <c r="U2834" s="118"/>
      <c r="V2834" s="74"/>
      <c r="W2834" s="74"/>
      <c r="X2834" s="35"/>
      <c r="Y2834" s="35"/>
      <c r="Z2834" s="40"/>
      <c r="AA2834" s="34"/>
      <c r="AB2834" s="41"/>
      <c r="AC2834" s="42" t="b">
        <v>0</v>
      </c>
      <c r="AD2834" s="66"/>
      <c r="AE2834" s="42"/>
      <c r="AF2834" s="42"/>
      <c r="AG2834" s="43"/>
    </row>
    <row r="2835">
      <c r="A2835" s="23"/>
      <c r="B2835" s="101"/>
      <c r="C2835" s="115"/>
      <c r="D2835" s="115"/>
      <c r="E2835" s="85"/>
      <c r="F2835" s="138"/>
      <c r="G2835" s="101"/>
      <c r="H2835" s="105"/>
      <c r="I2835" s="105"/>
      <c r="J2835" s="44"/>
      <c r="K2835" s="116"/>
      <c r="L2835" s="117"/>
      <c r="M2835" s="67"/>
      <c r="N2835" s="33"/>
      <c r="O2835" s="70"/>
      <c r="P2835" s="34"/>
      <c r="Q2835" s="60"/>
      <c r="R2835" s="36"/>
      <c r="S2835" s="71"/>
      <c r="T2835" s="37"/>
      <c r="U2835" s="118"/>
      <c r="V2835" s="74"/>
      <c r="W2835" s="74"/>
      <c r="X2835" s="35"/>
      <c r="Y2835" s="35"/>
      <c r="Z2835" s="40"/>
      <c r="AA2835" s="34"/>
      <c r="AB2835" s="41"/>
      <c r="AC2835" s="42" t="b">
        <v>0</v>
      </c>
      <c r="AD2835" s="66"/>
      <c r="AE2835" s="42"/>
      <c r="AF2835" s="42"/>
      <c r="AG2835" s="43"/>
    </row>
    <row r="2836">
      <c r="A2836" s="23"/>
      <c r="B2836" s="101"/>
      <c r="C2836" s="115"/>
      <c r="D2836" s="115"/>
      <c r="E2836" s="85"/>
      <c r="F2836" s="138"/>
      <c r="G2836" s="101"/>
      <c r="H2836" s="105"/>
      <c r="I2836" s="105"/>
      <c r="J2836" s="44"/>
      <c r="K2836" s="116"/>
      <c r="L2836" s="117"/>
      <c r="M2836" s="67"/>
      <c r="N2836" s="33"/>
      <c r="O2836" s="70"/>
      <c r="P2836" s="34"/>
      <c r="Q2836" s="60"/>
      <c r="R2836" s="36"/>
      <c r="S2836" s="71"/>
      <c r="T2836" s="37"/>
      <c r="U2836" s="118"/>
      <c r="V2836" s="74"/>
      <c r="W2836" s="74"/>
      <c r="X2836" s="35"/>
      <c r="Y2836" s="35"/>
      <c r="Z2836" s="40"/>
      <c r="AA2836" s="34"/>
      <c r="AB2836" s="41"/>
      <c r="AC2836" s="42" t="b">
        <v>0</v>
      </c>
      <c r="AD2836" s="66"/>
      <c r="AE2836" s="42"/>
      <c r="AF2836" s="42"/>
      <c r="AG2836" s="43"/>
    </row>
    <row r="2837">
      <c r="A2837" s="23"/>
      <c r="B2837" s="101"/>
      <c r="C2837" s="115"/>
      <c r="D2837" s="115"/>
      <c r="E2837" s="85"/>
      <c r="F2837" s="138"/>
      <c r="G2837" s="101"/>
      <c r="H2837" s="105"/>
      <c r="I2837" s="105"/>
      <c r="J2837" s="44"/>
      <c r="K2837" s="116"/>
      <c r="L2837" s="117"/>
      <c r="M2837" s="67"/>
      <c r="N2837" s="33"/>
      <c r="O2837" s="70"/>
      <c r="P2837" s="34"/>
      <c r="Q2837" s="60"/>
      <c r="R2837" s="36"/>
      <c r="S2837" s="71"/>
      <c r="T2837" s="37"/>
      <c r="U2837" s="118"/>
      <c r="V2837" s="74"/>
      <c r="W2837" s="74"/>
      <c r="X2837" s="35"/>
      <c r="Y2837" s="35"/>
      <c r="Z2837" s="40"/>
      <c r="AA2837" s="34"/>
      <c r="AB2837" s="41"/>
      <c r="AC2837" s="42" t="b">
        <v>0</v>
      </c>
      <c r="AD2837" s="66"/>
      <c r="AE2837" s="42"/>
      <c r="AF2837" s="42"/>
      <c r="AG2837" s="43"/>
    </row>
    <row r="2838">
      <c r="A2838" s="23"/>
      <c r="B2838" s="101"/>
      <c r="C2838" s="115"/>
      <c r="D2838" s="115"/>
      <c r="E2838" s="85"/>
      <c r="F2838" s="138"/>
      <c r="G2838" s="101"/>
      <c r="H2838" s="105"/>
      <c r="I2838" s="105"/>
      <c r="J2838" s="44"/>
      <c r="K2838" s="116"/>
      <c r="L2838" s="117"/>
      <c r="M2838" s="67"/>
      <c r="N2838" s="33"/>
      <c r="O2838" s="70"/>
      <c r="P2838" s="34"/>
      <c r="Q2838" s="60"/>
      <c r="R2838" s="36"/>
      <c r="S2838" s="71"/>
      <c r="T2838" s="37"/>
      <c r="U2838" s="118"/>
      <c r="V2838" s="74"/>
      <c r="W2838" s="74"/>
      <c r="X2838" s="35"/>
      <c r="Y2838" s="35"/>
      <c r="Z2838" s="40"/>
      <c r="AA2838" s="34"/>
      <c r="AB2838" s="41"/>
      <c r="AC2838" s="42" t="b">
        <v>0</v>
      </c>
      <c r="AD2838" s="66"/>
      <c r="AE2838" s="42"/>
      <c r="AF2838" s="42"/>
      <c r="AG2838" s="43"/>
    </row>
    <row r="2839">
      <c r="A2839" s="23"/>
      <c r="B2839" s="101"/>
      <c r="C2839" s="115"/>
      <c r="D2839" s="115"/>
      <c r="E2839" s="85"/>
      <c r="F2839" s="138"/>
      <c r="G2839" s="101"/>
      <c r="H2839" s="105"/>
      <c r="I2839" s="105"/>
      <c r="J2839" s="44"/>
      <c r="K2839" s="116"/>
      <c r="L2839" s="117"/>
      <c r="M2839" s="67"/>
      <c r="N2839" s="33"/>
      <c r="O2839" s="70"/>
      <c r="P2839" s="34"/>
      <c r="Q2839" s="60"/>
      <c r="R2839" s="36"/>
      <c r="S2839" s="71"/>
      <c r="T2839" s="37"/>
      <c r="U2839" s="118"/>
      <c r="V2839" s="74"/>
      <c r="W2839" s="74"/>
      <c r="X2839" s="35"/>
      <c r="Y2839" s="35"/>
      <c r="Z2839" s="40"/>
      <c r="AA2839" s="34"/>
      <c r="AB2839" s="41"/>
      <c r="AC2839" s="42" t="b">
        <v>0</v>
      </c>
      <c r="AD2839" s="66"/>
      <c r="AE2839" s="42"/>
      <c r="AF2839" s="42"/>
      <c r="AG2839" s="43"/>
    </row>
    <row r="2840">
      <c r="A2840" s="23"/>
      <c r="B2840" s="101"/>
      <c r="C2840" s="115"/>
      <c r="D2840" s="115"/>
      <c r="E2840" s="85"/>
      <c r="F2840" s="138"/>
      <c r="G2840" s="101"/>
      <c r="H2840" s="105"/>
      <c r="I2840" s="105"/>
      <c r="J2840" s="44"/>
      <c r="K2840" s="116"/>
      <c r="L2840" s="117"/>
      <c r="M2840" s="67"/>
      <c r="N2840" s="33"/>
      <c r="O2840" s="70"/>
      <c r="P2840" s="34"/>
      <c r="Q2840" s="60"/>
      <c r="R2840" s="36"/>
      <c r="S2840" s="71"/>
      <c r="T2840" s="37"/>
      <c r="U2840" s="118"/>
      <c r="V2840" s="74"/>
      <c r="W2840" s="74"/>
      <c r="X2840" s="35"/>
      <c r="Y2840" s="35"/>
      <c r="Z2840" s="40"/>
      <c r="AA2840" s="34"/>
      <c r="AB2840" s="41"/>
      <c r="AC2840" s="42" t="b">
        <v>0</v>
      </c>
      <c r="AD2840" s="66"/>
      <c r="AE2840" s="42"/>
      <c r="AF2840" s="42"/>
      <c r="AG2840" s="43"/>
    </row>
    <row r="2841">
      <c r="A2841" s="23"/>
      <c r="B2841" s="101"/>
      <c r="C2841" s="115"/>
      <c r="D2841" s="115"/>
      <c r="E2841" s="85"/>
      <c r="F2841" s="138"/>
      <c r="G2841" s="101"/>
      <c r="H2841" s="105"/>
      <c r="I2841" s="105"/>
      <c r="J2841" s="44"/>
      <c r="K2841" s="116"/>
      <c r="L2841" s="117"/>
      <c r="M2841" s="67"/>
      <c r="N2841" s="33"/>
      <c r="O2841" s="70"/>
      <c r="P2841" s="34"/>
      <c r="Q2841" s="60"/>
      <c r="R2841" s="36"/>
      <c r="S2841" s="71"/>
      <c r="T2841" s="37"/>
      <c r="U2841" s="118"/>
      <c r="V2841" s="74"/>
      <c r="W2841" s="74"/>
      <c r="X2841" s="35"/>
      <c r="Y2841" s="35"/>
      <c r="Z2841" s="40"/>
      <c r="AA2841" s="34"/>
      <c r="AB2841" s="41"/>
      <c r="AC2841" s="42" t="b">
        <v>0</v>
      </c>
      <c r="AD2841" s="66"/>
      <c r="AE2841" s="42"/>
      <c r="AF2841" s="42"/>
      <c r="AG2841" s="43"/>
    </row>
    <row r="2842">
      <c r="A2842" s="23"/>
      <c r="B2842" s="101"/>
      <c r="C2842" s="115"/>
      <c r="D2842" s="115"/>
      <c r="E2842" s="85"/>
      <c r="F2842" s="138"/>
      <c r="G2842" s="101"/>
      <c r="H2842" s="105"/>
      <c r="I2842" s="105"/>
      <c r="J2842" s="44"/>
      <c r="K2842" s="116"/>
      <c r="L2842" s="117"/>
      <c r="M2842" s="67"/>
      <c r="N2842" s="33"/>
      <c r="O2842" s="70"/>
      <c r="P2842" s="34"/>
      <c r="Q2842" s="60"/>
      <c r="R2842" s="36"/>
      <c r="S2842" s="71"/>
      <c r="T2842" s="37"/>
      <c r="U2842" s="118"/>
      <c r="V2842" s="74"/>
      <c r="W2842" s="74"/>
      <c r="X2842" s="35"/>
      <c r="Y2842" s="35"/>
      <c r="Z2842" s="40"/>
      <c r="AA2842" s="34"/>
      <c r="AB2842" s="41"/>
      <c r="AC2842" s="42" t="b">
        <v>0</v>
      </c>
      <c r="AD2842" s="66"/>
      <c r="AE2842" s="42"/>
      <c r="AF2842" s="42"/>
      <c r="AG2842" s="43"/>
    </row>
    <row r="2843">
      <c r="A2843" s="23"/>
      <c r="B2843" s="101"/>
      <c r="C2843" s="115"/>
      <c r="D2843" s="115"/>
      <c r="E2843" s="85"/>
      <c r="F2843" s="138"/>
      <c r="G2843" s="101"/>
      <c r="H2843" s="105"/>
      <c r="I2843" s="105"/>
      <c r="J2843" s="44"/>
      <c r="K2843" s="116"/>
      <c r="L2843" s="117"/>
      <c r="M2843" s="67"/>
      <c r="N2843" s="33"/>
      <c r="O2843" s="70"/>
      <c r="P2843" s="34"/>
      <c r="Q2843" s="60"/>
      <c r="R2843" s="36"/>
      <c r="S2843" s="71"/>
      <c r="T2843" s="37"/>
      <c r="U2843" s="118"/>
      <c r="V2843" s="74"/>
      <c r="W2843" s="74"/>
      <c r="X2843" s="35"/>
      <c r="Y2843" s="35"/>
      <c r="Z2843" s="40"/>
      <c r="AA2843" s="34"/>
      <c r="AB2843" s="41"/>
      <c r="AC2843" s="42" t="b">
        <v>0</v>
      </c>
      <c r="AD2843" s="66"/>
      <c r="AE2843" s="42"/>
      <c r="AF2843" s="42"/>
      <c r="AG2843" s="43"/>
    </row>
    <row r="2844">
      <c r="A2844" s="23"/>
      <c r="B2844" s="101"/>
      <c r="C2844" s="115"/>
      <c r="D2844" s="115"/>
      <c r="E2844" s="85"/>
      <c r="F2844" s="138"/>
      <c r="G2844" s="101"/>
      <c r="H2844" s="105"/>
      <c r="I2844" s="105"/>
      <c r="J2844" s="44"/>
      <c r="K2844" s="116"/>
      <c r="L2844" s="117"/>
      <c r="M2844" s="67"/>
      <c r="N2844" s="33"/>
      <c r="O2844" s="70"/>
      <c r="P2844" s="34"/>
      <c r="Q2844" s="60"/>
      <c r="R2844" s="36"/>
      <c r="S2844" s="71"/>
      <c r="T2844" s="37"/>
      <c r="U2844" s="118"/>
      <c r="V2844" s="74"/>
      <c r="W2844" s="74"/>
      <c r="X2844" s="35"/>
      <c r="Y2844" s="35"/>
      <c r="Z2844" s="40"/>
      <c r="AA2844" s="34"/>
      <c r="AB2844" s="41"/>
      <c r="AC2844" s="42" t="b">
        <v>0</v>
      </c>
      <c r="AD2844" s="66"/>
      <c r="AE2844" s="42"/>
      <c r="AF2844" s="42"/>
      <c r="AG2844" s="43"/>
    </row>
    <row r="2845">
      <c r="A2845" s="23"/>
      <c r="B2845" s="101"/>
      <c r="C2845" s="115"/>
      <c r="D2845" s="115"/>
      <c r="E2845" s="85"/>
      <c r="F2845" s="138"/>
      <c r="G2845" s="101"/>
      <c r="H2845" s="105"/>
      <c r="I2845" s="105"/>
      <c r="J2845" s="44"/>
      <c r="K2845" s="116"/>
      <c r="L2845" s="117"/>
      <c r="M2845" s="67"/>
      <c r="N2845" s="33"/>
      <c r="O2845" s="70"/>
      <c r="P2845" s="34"/>
      <c r="Q2845" s="60"/>
      <c r="R2845" s="36"/>
      <c r="S2845" s="71"/>
      <c r="T2845" s="37"/>
      <c r="U2845" s="118"/>
      <c r="V2845" s="74"/>
      <c r="W2845" s="74"/>
      <c r="X2845" s="35"/>
      <c r="Y2845" s="35"/>
      <c r="Z2845" s="40"/>
      <c r="AA2845" s="34"/>
      <c r="AB2845" s="41"/>
      <c r="AC2845" s="42" t="b">
        <v>0</v>
      </c>
      <c r="AD2845" s="66"/>
      <c r="AE2845" s="42"/>
      <c r="AF2845" s="42"/>
      <c r="AG2845" s="43"/>
    </row>
    <row r="2846">
      <c r="A2846" s="23"/>
      <c r="B2846" s="101"/>
      <c r="C2846" s="115"/>
      <c r="D2846" s="115"/>
      <c r="E2846" s="85"/>
      <c r="F2846" s="138"/>
      <c r="G2846" s="101"/>
      <c r="H2846" s="105"/>
      <c r="I2846" s="105"/>
      <c r="J2846" s="44"/>
      <c r="K2846" s="116"/>
      <c r="L2846" s="117"/>
      <c r="M2846" s="67"/>
      <c r="N2846" s="33"/>
      <c r="O2846" s="70"/>
      <c r="P2846" s="34"/>
      <c r="Q2846" s="60"/>
      <c r="R2846" s="36"/>
      <c r="S2846" s="71"/>
      <c r="T2846" s="37"/>
      <c r="U2846" s="118"/>
      <c r="V2846" s="74"/>
      <c r="W2846" s="74"/>
      <c r="X2846" s="35"/>
      <c r="Y2846" s="35"/>
      <c r="Z2846" s="40"/>
      <c r="AA2846" s="34"/>
      <c r="AB2846" s="41"/>
      <c r="AC2846" s="42" t="b">
        <v>0</v>
      </c>
      <c r="AD2846" s="66"/>
      <c r="AE2846" s="42"/>
      <c r="AF2846" s="42"/>
      <c r="AG2846" s="43"/>
    </row>
    <row r="2847">
      <c r="A2847" s="23"/>
      <c r="B2847" s="101"/>
      <c r="C2847" s="115"/>
      <c r="D2847" s="115"/>
      <c r="E2847" s="85"/>
      <c r="F2847" s="138"/>
      <c r="G2847" s="101"/>
      <c r="H2847" s="105"/>
      <c r="I2847" s="105"/>
      <c r="J2847" s="44"/>
      <c r="K2847" s="116"/>
      <c r="L2847" s="117"/>
      <c r="M2847" s="67"/>
      <c r="N2847" s="33"/>
      <c r="O2847" s="70"/>
      <c r="P2847" s="34"/>
      <c r="Q2847" s="60"/>
      <c r="R2847" s="36"/>
      <c r="S2847" s="71"/>
      <c r="T2847" s="37"/>
      <c r="U2847" s="118"/>
      <c r="V2847" s="74"/>
      <c r="W2847" s="74"/>
      <c r="X2847" s="35"/>
      <c r="Y2847" s="35"/>
      <c r="Z2847" s="40"/>
      <c r="AA2847" s="34"/>
      <c r="AB2847" s="41"/>
      <c r="AC2847" s="42" t="b">
        <v>0</v>
      </c>
      <c r="AD2847" s="66"/>
      <c r="AE2847" s="42"/>
      <c r="AF2847" s="42"/>
      <c r="AG2847" s="43"/>
    </row>
    <row r="2848">
      <c r="A2848" s="23"/>
      <c r="B2848" s="101"/>
      <c r="C2848" s="115"/>
      <c r="D2848" s="115"/>
      <c r="E2848" s="85"/>
      <c r="F2848" s="138"/>
      <c r="G2848" s="101"/>
      <c r="H2848" s="105"/>
      <c r="I2848" s="105"/>
      <c r="J2848" s="44"/>
      <c r="K2848" s="116"/>
      <c r="L2848" s="117"/>
      <c r="M2848" s="67"/>
      <c r="N2848" s="33"/>
      <c r="O2848" s="70"/>
      <c r="P2848" s="34"/>
      <c r="Q2848" s="60"/>
      <c r="R2848" s="36"/>
      <c r="S2848" s="71"/>
      <c r="T2848" s="37"/>
      <c r="U2848" s="118"/>
      <c r="V2848" s="74"/>
      <c r="W2848" s="74"/>
      <c r="X2848" s="35"/>
      <c r="Y2848" s="35"/>
      <c r="Z2848" s="40"/>
      <c r="AA2848" s="34"/>
      <c r="AB2848" s="41"/>
      <c r="AC2848" s="42" t="b">
        <v>0</v>
      </c>
      <c r="AD2848" s="66"/>
      <c r="AE2848" s="42"/>
      <c r="AF2848" s="42"/>
      <c r="AG2848" s="43"/>
    </row>
    <row r="2849">
      <c r="A2849" s="23"/>
      <c r="B2849" s="101"/>
      <c r="C2849" s="115"/>
      <c r="D2849" s="115"/>
      <c r="E2849" s="85"/>
      <c r="F2849" s="138"/>
      <c r="G2849" s="101"/>
      <c r="H2849" s="105"/>
      <c r="I2849" s="105"/>
      <c r="J2849" s="44"/>
      <c r="K2849" s="116"/>
      <c r="L2849" s="117"/>
      <c r="M2849" s="67"/>
      <c r="N2849" s="33"/>
      <c r="O2849" s="70"/>
      <c r="P2849" s="34"/>
      <c r="Q2849" s="60"/>
      <c r="R2849" s="36"/>
      <c r="S2849" s="71"/>
      <c r="T2849" s="37"/>
      <c r="U2849" s="118"/>
      <c r="V2849" s="74"/>
      <c r="W2849" s="74"/>
      <c r="X2849" s="35"/>
      <c r="Y2849" s="35"/>
      <c r="Z2849" s="40"/>
      <c r="AA2849" s="34"/>
      <c r="AB2849" s="41"/>
      <c r="AC2849" s="42" t="b">
        <v>0</v>
      </c>
      <c r="AD2849" s="66"/>
      <c r="AE2849" s="42"/>
      <c r="AF2849" s="42"/>
      <c r="AG2849" s="43"/>
    </row>
    <row r="2850">
      <c r="A2850" s="23"/>
      <c r="B2850" s="101"/>
      <c r="C2850" s="115"/>
      <c r="D2850" s="115"/>
      <c r="E2850" s="85"/>
      <c r="F2850" s="138"/>
      <c r="G2850" s="101"/>
      <c r="H2850" s="105"/>
      <c r="I2850" s="105"/>
      <c r="J2850" s="44"/>
      <c r="K2850" s="116"/>
      <c r="L2850" s="117"/>
      <c r="M2850" s="67"/>
      <c r="N2850" s="33"/>
      <c r="O2850" s="70"/>
      <c r="P2850" s="34"/>
      <c r="Q2850" s="60"/>
      <c r="R2850" s="36"/>
      <c r="S2850" s="71"/>
      <c r="T2850" s="37"/>
      <c r="U2850" s="118"/>
      <c r="V2850" s="74"/>
      <c r="W2850" s="74"/>
      <c r="X2850" s="35"/>
      <c r="Y2850" s="35"/>
      <c r="Z2850" s="40"/>
      <c r="AA2850" s="34"/>
      <c r="AB2850" s="41"/>
      <c r="AC2850" s="42" t="b">
        <v>0</v>
      </c>
      <c r="AD2850" s="66"/>
      <c r="AE2850" s="42"/>
      <c r="AF2850" s="42"/>
      <c r="AG2850" s="43"/>
    </row>
    <row r="2851">
      <c r="A2851" s="23"/>
      <c r="B2851" s="101"/>
      <c r="C2851" s="115"/>
      <c r="D2851" s="115"/>
      <c r="E2851" s="85"/>
      <c r="F2851" s="138"/>
      <c r="G2851" s="101"/>
      <c r="H2851" s="105"/>
      <c r="I2851" s="105"/>
      <c r="J2851" s="44"/>
      <c r="K2851" s="116"/>
      <c r="L2851" s="117"/>
      <c r="M2851" s="67"/>
      <c r="N2851" s="33"/>
      <c r="O2851" s="70"/>
      <c r="P2851" s="34"/>
      <c r="Q2851" s="60"/>
      <c r="R2851" s="36"/>
      <c r="S2851" s="71"/>
      <c r="T2851" s="37"/>
      <c r="U2851" s="118"/>
      <c r="V2851" s="74"/>
      <c r="W2851" s="74"/>
      <c r="X2851" s="35"/>
      <c r="Y2851" s="35"/>
      <c r="Z2851" s="40"/>
      <c r="AA2851" s="34"/>
      <c r="AB2851" s="41"/>
      <c r="AC2851" s="42" t="b">
        <v>0</v>
      </c>
      <c r="AD2851" s="66"/>
      <c r="AE2851" s="42"/>
      <c r="AF2851" s="42"/>
      <c r="AG2851" s="43"/>
    </row>
    <row r="2852">
      <c r="A2852" s="23"/>
      <c r="B2852" s="101"/>
      <c r="C2852" s="115"/>
      <c r="D2852" s="115"/>
      <c r="E2852" s="85"/>
      <c r="F2852" s="138"/>
      <c r="G2852" s="101"/>
      <c r="H2852" s="105"/>
      <c r="I2852" s="105"/>
      <c r="J2852" s="44"/>
      <c r="K2852" s="116"/>
      <c r="L2852" s="117"/>
      <c r="M2852" s="67"/>
      <c r="N2852" s="33"/>
      <c r="O2852" s="70"/>
      <c r="P2852" s="34"/>
      <c r="Q2852" s="60"/>
      <c r="R2852" s="36"/>
      <c r="S2852" s="71"/>
      <c r="T2852" s="37"/>
      <c r="U2852" s="118"/>
      <c r="V2852" s="74"/>
      <c r="W2852" s="74"/>
      <c r="X2852" s="35"/>
      <c r="Y2852" s="35"/>
      <c r="Z2852" s="40"/>
      <c r="AA2852" s="34"/>
      <c r="AB2852" s="41"/>
      <c r="AC2852" s="42" t="b">
        <v>0</v>
      </c>
      <c r="AD2852" s="66"/>
      <c r="AE2852" s="42"/>
      <c r="AF2852" s="42"/>
      <c r="AG2852" s="43"/>
    </row>
    <row r="2853">
      <c r="A2853" s="23"/>
      <c r="B2853" s="101"/>
      <c r="C2853" s="115"/>
      <c r="D2853" s="115"/>
      <c r="E2853" s="85"/>
      <c r="F2853" s="138"/>
      <c r="G2853" s="101"/>
      <c r="H2853" s="105"/>
      <c r="I2853" s="105"/>
      <c r="J2853" s="44"/>
      <c r="K2853" s="116"/>
      <c r="L2853" s="117"/>
      <c r="M2853" s="67"/>
      <c r="N2853" s="33"/>
      <c r="O2853" s="70"/>
      <c r="P2853" s="34"/>
      <c r="Q2853" s="60"/>
      <c r="R2853" s="36"/>
      <c r="S2853" s="71"/>
      <c r="T2853" s="37"/>
      <c r="U2853" s="118"/>
      <c r="V2853" s="74"/>
      <c r="W2853" s="74"/>
      <c r="X2853" s="35"/>
      <c r="Y2853" s="35"/>
      <c r="Z2853" s="40"/>
      <c r="AA2853" s="34"/>
      <c r="AB2853" s="41"/>
      <c r="AC2853" s="42" t="b">
        <v>0</v>
      </c>
      <c r="AD2853" s="66"/>
      <c r="AE2853" s="42"/>
      <c r="AF2853" s="42"/>
      <c r="AG2853" s="43"/>
    </row>
    <row r="2854">
      <c r="A2854" s="23"/>
      <c r="B2854" s="101"/>
      <c r="C2854" s="115"/>
      <c r="D2854" s="115"/>
      <c r="E2854" s="85"/>
      <c r="F2854" s="138"/>
      <c r="G2854" s="101"/>
      <c r="H2854" s="105"/>
      <c r="I2854" s="105"/>
      <c r="J2854" s="44"/>
      <c r="K2854" s="116"/>
      <c r="L2854" s="117"/>
      <c r="M2854" s="67"/>
      <c r="N2854" s="33"/>
      <c r="O2854" s="70"/>
      <c r="P2854" s="34"/>
      <c r="Q2854" s="60"/>
      <c r="R2854" s="36"/>
      <c r="S2854" s="71"/>
      <c r="T2854" s="37"/>
      <c r="U2854" s="118"/>
      <c r="V2854" s="74"/>
      <c r="W2854" s="74"/>
      <c r="X2854" s="35"/>
      <c r="Y2854" s="35"/>
      <c r="Z2854" s="40"/>
      <c r="AA2854" s="34"/>
      <c r="AB2854" s="41"/>
      <c r="AC2854" s="42" t="b">
        <v>0</v>
      </c>
      <c r="AD2854" s="66"/>
      <c r="AE2854" s="42"/>
      <c r="AF2854" s="42"/>
      <c r="AG2854" s="43"/>
    </row>
    <row r="2855">
      <c r="A2855" s="23"/>
      <c r="B2855" s="101"/>
      <c r="C2855" s="115"/>
      <c r="D2855" s="115"/>
      <c r="E2855" s="85"/>
      <c r="F2855" s="138"/>
      <c r="G2855" s="101"/>
      <c r="H2855" s="105"/>
      <c r="I2855" s="105"/>
      <c r="J2855" s="44"/>
      <c r="K2855" s="116"/>
      <c r="L2855" s="117"/>
      <c r="M2855" s="67"/>
      <c r="N2855" s="33"/>
      <c r="O2855" s="70"/>
      <c r="P2855" s="34"/>
      <c r="Q2855" s="60"/>
      <c r="R2855" s="36"/>
      <c r="S2855" s="71"/>
      <c r="T2855" s="37"/>
      <c r="U2855" s="118"/>
      <c r="V2855" s="74"/>
      <c r="W2855" s="74"/>
      <c r="X2855" s="35"/>
      <c r="Y2855" s="35"/>
      <c r="Z2855" s="40"/>
      <c r="AA2855" s="34"/>
      <c r="AB2855" s="41"/>
      <c r="AC2855" s="42" t="b">
        <v>0</v>
      </c>
      <c r="AD2855" s="66"/>
      <c r="AE2855" s="42"/>
      <c r="AF2855" s="42"/>
      <c r="AG2855" s="43"/>
    </row>
    <row r="2856">
      <c r="A2856" s="23"/>
      <c r="B2856" s="101"/>
      <c r="C2856" s="115"/>
      <c r="D2856" s="115"/>
      <c r="E2856" s="85"/>
      <c r="F2856" s="138"/>
      <c r="G2856" s="101"/>
      <c r="H2856" s="105"/>
      <c r="I2856" s="105"/>
      <c r="J2856" s="44"/>
      <c r="K2856" s="116"/>
      <c r="L2856" s="117"/>
      <c r="M2856" s="67"/>
      <c r="N2856" s="33"/>
      <c r="O2856" s="70"/>
      <c r="P2856" s="34"/>
      <c r="Q2856" s="60"/>
      <c r="R2856" s="36"/>
      <c r="S2856" s="71"/>
      <c r="T2856" s="37"/>
      <c r="U2856" s="118"/>
      <c r="V2856" s="74"/>
      <c r="W2856" s="74"/>
      <c r="X2856" s="35"/>
      <c r="Y2856" s="35"/>
      <c r="Z2856" s="40"/>
      <c r="AA2856" s="34"/>
      <c r="AB2856" s="41"/>
      <c r="AC2856" s="42" t="b">
        <v>0</v>
      </c>
      <c r="AD2856" s="66"/>
      <c r="AE2856" s="42"/>
      <c r="AF2856" s="42"/>
      <c r="AG2856" s="43"/>
    </row>
    <row r="2857">
      <c r="A2857" s="23"/>
      <c r="B2857" s="101"/>
      <c r="C2857" s="115"/>
      <c r="D2857" s="115"/>
      <c r="E2857" s="85"/>
      <c r="F2857" s="138"/>
      <c r="G2857" s="101"/>
      <c r="H2857" s="105"/>
      <c r="I2857" s="105"/>
      <c r="J2857" s="44"/>
      <c r="K2857" s="116"/>
      <c r="L2857" s="117"/>
      <c r="M2857" s="67"/>
      <c r="N2857" s="33"/>
      <c r="O2857" s="70"/>
      <c r="P2857" s="34"/>
      <c r="Q2857" s="60"/>
      <c r="R2857" s="36"/>
      <c r="S2857" s="71"/>
      <c r="T2857" s="37"/>
      <c r="U2857" s="118"/>
      <c r="V2857" s="74"/>
      <c r="W2857" s="74"/>
      <c r="X2857" s="35"/>
      <c r="Y2857" s="35"/>
      <c r="Z2857" s="40"/>
      <c r="AA2857" s="34"/>
      <c r="AB2857" s="41"/>
      <c r="AC2857" s="42" t="b">
        <v>0</v>
      </c>
      <c r="AD2857" s="66"/>
      <c r="AE2857" s="42"/>
      <c r="AF2857" s="42"/>
      <c r="AG2857" s="43"/>
    </row>
    <row r="2858">
      <c r="A2858" s="23"/>
      <c r="B2858" s="101"/>
      <c r="C2858" s="115"/>
      <c r="D2858" s="115"/>
      <c r="E2858" s="85"/>
      <c r="F2858" s="138"/>
      <c r="G2858" s="101"/>
      <c r="H2858" s="105"/>
      <c r="I2858" s="105"/>
      <c r="J2858" s="44"/>
      <c r="K2858" s="116"/>
      <c r="L2858" s="117"/>
      <c r="M2858" s="67"/>
      <c r="N2858" s="33"/>
      <c r="O2858" s="70"/>
      <c r="P2858" s="34"/>
      <c r="Q2858" s="60"/>
      <c r="R2858" s="36"/>
      <c r="S2858" s="71"/>
      <c r="T2858" s="37"/>
      <c r="U2858" s="118"/>
      <c r="V2858" s="74"/>
      <c r="W2858" s="74"/>
      <c r="X2858" s="35"/>
      <c r="Y2858" s="35"/>
      <c r="Z2858" s="40"/>
      <c r="AA2858" s="34"/>
      <c r="AB2858" s="41"/>
      <c r="AC2858" s="42" t="b">
        <v>0</v>
      </c>
      <c r="AD2858" s="66"/>
      <c r="AE2858" s="42"/>
      <c r="AF2858" s="42"/>
      <c r="AG2858" s="43"/>
    </row>
    <row r="2859">
      <c r="A2859" s="23"/>
      <c r="B2859" s="101"/>
      <c r="C2859" s="115"/>
      <c r="D2859" s="115"/>
      <c r="E2859" s="85"/>
      <c r="F2859" s="138"/>
      <c r="G2859" s="101"/>
      <c r="H2859" s="105"/>
      <c r="I2859" s="105"/>
      <c r="J2859" s="44"/>
      <c r="K2859" s="116"/>
      <c r="L2859" s="117"/>
      <c r="M2859" s="67"/>
      <c r="N2859" s="33"/>
      <c r="O2859" s="70"/>
      <c r="P2859" s="34"/>
      <c r="Q2859" s="60"/>
      <c r="R2859" s="36"/>
      <c r="S2859" s="71"/>
      <c r="T2859" s="37"/>
      <c r="U2859" s="118"/>
      <c r="V2859" s="74"/>
      <c r="W2859" s="74"/>
      <c r="X2859" s="35"/>
      <c r="Y2859" s="35"/>
      <c r="Z2859" s="40"/>
      <c r="AA2859" s="34"/>
      <c r="AB2859" s="41"/>
      <c r="AC2859" s="42" t="b">
        <v>0</v>
      </c>
      <c r="AD2859" s="66"/>
      <c r="AE2859" s="42"/>
      <c r="AF2859" s="42"/>
      <c r="AG2859" s="43"/>
    </row>
    <row r="2860">
      <c r="A2860" s="23"/>
      <c r="B2860" s="101"/>
      <c r="C2860" s="115"/>
      <c r="D2860" s="115"/>
      <c r="E2860" s="85"/>
      <c r="F2860" s="138"/>
      <c r="G2860" s="101"/>
      <c r="H2860" s="105"/>
      <c r="I2860" s="105"/>
      <c r="J2860" s="44"/>
      <c r="K2860" s="116"/>
      <c r="L2860" s="117"/>
      <c r="M2860" s="67"/>
      <c r="N2860" s="33"/>
      <c r="O2860" s="70"/>
      <c r="P2860" s="34"/>
      <c r="Q2860" s="60"/>
      <c r="R2860" s="36"/>
      <c r="S2860" s="71"/>
      <c r="T2860" s="37"/>
      <c r="U2860" s="118"/>
      <c r="V2860" s="74"/>
      <c r="W2860" s="74"/>
      <c r="X2860" s="35"/>
      <c r="Y2860" s="35"/>
      <c r="Z2860" s="40"/>
      <c r="AA2860" s="34"/>
      <c r="AB2860" s="41"/>
      <c r="AC2860" s="42" t="b">
        <v>0</v>
      </c>
      <c r="AD2860" s="66"/>
      <c r="AE2860" s="42"/>
      <c r="AF2860" s="42"/>
      <c r="AG2860" s="43"/>
    </row>
    <row r="2861">
      <c r="A2861" s="23"/>
      <c r="B2861" s="101"/>
      <c r="C2861" s="115"/>
      <c r="D2861" s="115"/>
      <c r="E2861" s="85"/>
      <c r="F2861" s="138"/>
      <c r="G2861" s="101"/>
      <c r="H2861" s="105"/>
      <c r="I2861" s="105"/>
      <c r="J2861" s="44"/>
      <c r="K2861" s="116"/>
      <c r="L2861" s="117"/>
      <c r="M2861" s="67"/>
      <c r="N2861" s="33"/>
      <c r="O2861" s="70"/>
      <c r="P2861" s="34"/>
      <c r="Q2861" s="60"/>
      <c r="R2861" s="36"/>
      <c r="S2861" s="71"/>
      <c r="T2861" s="37"/>
      <c r="U2861" s="118"/>
      <c r="V2861" s="74"/>
      <c r="W2861" s="74"/>
      <c r="X2861" s="35"/>
      <c r="Y2861" s="35"/>
      <c r="Z2861" s="40"/>
      <c r="AA2861" s="34"/>
      <c r="AB2861" s="41"/>
      <c r="AC2861" s="42" t="b">
        <v>0</v>
      </c>
      <c r="AD2861" s="66"/>
      <c r="AE2861" s="42"/>
      <c r="AF2861" s="42"/>
      <c r="AG2861" s="43"/>
    </row>
    <row r="2862">
      <c r="A2862" s="23"/>
      <c r="B2862" s="101"/>
      <c r="C2862" s="115"/>
      <c r="D2862" s="115"/>
      <c r="E2862" s="85"/>
      <c r="F2862" s="138"/>
      <c r="G2862" s="101"/>
      <c r="H2862" s="105"/>
      <c r="I2862" s="105"/>
      <c r="J2862" s="44"/>
      <c r="K2862" s="116"/>
      <c r="L2862" s="117"/>
      <c r="M2862" s="67"/>
      <c r="N2862" s="33"/>
      <c r="O2862" s="70"/>
      <c r="P2862" s="34"/>
      <c r="Q2862" s="60"/>
      <c r="R2862" s="36"/>
      <c r="S2862" s="71"/>
      <c r="T2862" s="37"/>
      <c r="U2862" s="118"/>
      <c r="V2862" s="74"/>
      <c r="W2862" s="74"/>
      <c r="X2862" s="35"/>
      <c r="Y2862" s="35"/>
      <c r="Z2862" s="40"/>
      <c r="AA2862" s="34"/>
      <c r="AB2862" s="41"/>
      <c r="AC2862" s="42" t="b">
        <v>0</v>
      </c>
      <c r="AD2862" s="66"/>
      <c r="AE2862" s="42"/>
      <c r="AF2862" s="42"/>
      <c r="AG2862" s="43"/>
    </row>
    <row r="2863">
      <c r="A2863" s="23"/>
      <c r="B2863" s="101"/>
      <c r="C2863" s="115"/>
      <c r="D2863" s="115"/>
      <c r="E2863" s="85"/>
      <c r="F2863" s="138"/>
      <c r="G2863" s="101"/>
      <c r="H2863" s="105"/>
      <c r="I2863" s="105"/>
      <c r="J2863" s="44"/>
      <c r="K2863" s="116"/>
      <c r="L2863" s="117"/>
      <c r="M2863" s="67"/>
      <c r="N2863" s="33"/>
      <c r="O2863" s="70"/>
      <c r="P2863" s="34"/>
      <c r="Q2863" s="60"/>
      <c r="R2863" s="36"/>
      <c r="S2863" s="71"/>
      <c r="T2863" s="37"/>
      <c r="U2863" s="118"/>
      <c r="V2863" s="74"/>
      <c r="W2863" s="74"/>
      <c r="X2863" s="35"/>
      <c r="Y2863" s="35"/>
      <c r="Z2863" s="40"/>
      <c r="AA2863" s="34"/>
      <c r="AB2863" s="41"/>
      <c r="AC2863" s="42" t="b">
        <v>0</v>
      </c>
      <c r="AD2863" s="66"/>
      <c r="AE2863" s="42"/>
      <c r="AF2863" s="42"/>
      <c r="AG2863" s="43"/>
    </row>
    <row r="2864">
      <c r="A2864" s="23"/>
      <c r="B2864" s="101"/>
      <c r="C2864" s="115"/>
      <c r="D2864" s="115"/>
      <c r="E2864" s="85"/>
      <c r="F2864" s="138"/>
      <c r="G2864" s="101"/>
      <c r="H2864" s="105"/>
      <c r="I2864" s="105"/>
      <c r="J2864" s="44"/>
      <c r="K2864" s="116"/>
      <c r="L2864" s="117"/>
      <c r="M2864" s="67"/>
      <c r="N2864" s="33"/>
      <c r="O2864" s="70"/>
      <c r="P2864" s="34"/>
      <c r="Q2864" s="60"/>
      <c r="R2864" s="36"/>
      <c r="S2864" s="71"/>
      <c r="T2864" s="37"/>
      <c r="U2864" s="118"/>
      <c r="V2864" s="74"/>
      <c r="W2864" s="74"/>
      <c r="X2864" s="35"/>
      <c r="Y2864" s="35"/>
      <c r="Z2864" s="40"/>
      <c r="AA2864" s="34"/>
      <c r="AB2864" s="41"/>
      <c r="AC2864" s="42" t="b">
        <v>0</v>
      </c>
      <c r="AD2864" s="66"/>
      <c r="AE2864" s="42"/>
      <c r="AF2864" s="42"/>
      <c r="AG2864" s="43"/>
    </row>
    <row r="2865">
      <c r="A2865" s="23"/>
      <c r="B2865" s="101"/>
      <c r="C2865" s="115"/>
      <c r="D2865" s="115"/>
      <c r="E2865" s="85"/>
      <c r="F2865" s="138"/>
      <c r="G2865" s="101"/>
      <c r="H2865" s="105"/>
      <c r="I2865" s="105"/>
      <c r="J2865" s="44"/>
      <c r="K2865" s="116"/>
      <c r="L2865" s="117"/>
      <c r="M2865" s="67"/>
      <c r="N2865" s="33"/>
      <c r="O2865" s="70"/>
      <c r="P2865" s="34"/>
      <c r="Q2865" s="60"/>
      <c r="R2865" s="36"/>
      <c r="S2865" s="71"/>
      <c r="T2865" s="37"/>
      <c r="U2865" s="118"/>
      <c r="V2865" s="74"/>
      <c r="W2865" s="74"/>
      <c r="X2865" s="35"/>
      <c r="Y2865" s="35"/>
      <c r="Z2865" s="40"/>
      <c r="AA2865" s="34"/>
      <c r="AB2865" s="41"/>
      <c r="AC2865" s="42" t="b">
        <v>0</v>
      </c>
      <c r="AD2865" s="66"/>
      <c r="AE2865" s="42"/>
      <c r="AF2865" s="42"/>
      <c r="AG2865" s="43"/>
    </row>
    <row r="2866">
      <c r="A2866" s="23"/>
      <c r="B2866" s="101"/>
      <c r="C2866" s="115"/>
      <c r="D2866" s="115"/>
      <c r="E2866" s="85"/>
      <c r="F2866" s="138"/>
      <c r="G2866" s="101"/>
      <c r="H2866" s="105"/>
      <c r="I2866" s="105"/>
      <c r="J2866" s="44"/>
      <c r="K2866" s="116"/>
      <c r="L2866" s="117"/>
      <c r="M2866" s="67"/>
      <c r="N2866" s="33"/>
      <c r="O2866" s="70"/>
      <c r="P2866" s="34"/>
      <c r="Q2866" s="60"/>
      <c r="R2866" s="36"/>
      <c r="S2866" s="71"/>
      <c r="T2866" s="37"/>
      <c r="U2866" s="118"/>
      <c r="V2866" s="74"/>
      <c r="W2866" s="74"/>
      <c r="X2866" s="35"/>
      <c r="Y2866" s="35"/>
      <c r="Z2866" s="40"/>
      <c r="AA2866" s="34"/>
      <c r="AB2866" s="41"/>
      <c r="AC2866" s="42" t="b">
        <v>0</v>
      </c>
      <c r="AD2866" s="66"/>
      <c r="AE2866" s="42"/>
      <c r="AF2866" s="42"/>
      <c r="AG2866" s="43"/>
    </row>
    <row r="2867">
      <c r="A2867" s="23"/>
      <c r="B2867" s="101"/>
      <c r="C2867" s="115"/>
      <c r="D2867" s="115"/>
      <c r="E2867" s="85"/>
      <c r="F2867" s="138"/>
      <c r="G2867" s="101"/>
      <c r="H2867" s="105"/>
      <c r="I2867" s="105"/>
      <c r="J2867" s="44"/>
      <c r="K2867" s="116"/>
      <c r="L2867" s="117"/>
      <c r="M2867" s="67"/>
      <c r="N2867" s="33"/>
      <c r="O2867" s="70"/>
      <c r="P2867" s="34"/>
      <c r="Q2867" s="60"/>
      <c r="R2867" s="36"/>
      <c r="S2867" s="71"/>
      <c r="T2867" s="37"/>
      <c r="U2867" s="118"/>
      <c r="V2867" s="74"/>
      <c r="W2867" s="74"/>
      <c r="X2867" s="35"/>
      <c r="Y2867" s="35"/>
      <c r="Z2867" s="40"/>
      <c r="AA2867" s="34"/>
      <c r="AB2867" s="41"/>
      <c r="AC2867" s="42" t="b">
        <v>0</v>
      </c>
      <c r="AD2867" s="66"/>
      <c r="AE2867" s="42"/>
      <c r="AF2867" s="42"/>
      <c r="AG2867" s="43"/>
    </row>
    <row r="2868">
      <c r="A2868" s="23"/>
      <c r="B2868" s="101"/>
      <c r="C2868" s="115"/>
      <c r="D2868" s="115"/>
      <c r="E2868" s="85"/>
      <c r="F2868" s="138"/>
      <c r="G2868" s="101"/>
      <c r="H2868" s="105"/>
      <c r="I2868" s="105"/>
      <c r="J2868" s="44"/>
      <c r="K2868" s="116"/>
      <c r="L2868" s="117"/>
      <c r="M2868" s="67"/>
      <c r="N2868" s="33"/>
      <c r="O2868" s="70"/>
      <c r="P2868" s="34"/>
      <c r="Q2868" s="60"/>
      <c r="R2868" s="36"/>
      <c r="S2868" s="71"/>
      <c r="T2868" s="37"/>
      <c r="U2868" s="118"/>
      <c r="V2868" s="74"/>
      <c r="W2868" s="74"/>
      <c r="X2868" s="35"/>
      <c r="Y2868" s="35"/>
      <c r="Z2868" s="40"/>
      <c r="AA2868" s="34"/>
      <c r="AB2868" s="41"/>
      <c r="AC2868" s="42" t="b">
        <v>0</v>
      </c>
      <c r="AD2868" s="66"/>
      <c r="AE2868" s="42"/>
      <c r="AF2868" s="42"/>
      <c r="AG2868" s="43"/>
    </row>
    <row r="2869">
      <c r="A2869" s="23"/>
      <c r="B2869" s="101"/>
      <c r="C2869" s="115"/>
      <c r="D2869" s="115"/>
      <c r="E2869" s="85"/>
      <c r="F2869" s="138"/>
      <c r="G2869" s="101"/>
      <c r="H2869" s="105"/>
      <c r="I2869" s="105"/>
      <c r="J2869" s="44"/>
      <c r="K2869" s="116"/>
      <c r="L2869" s="117"/>
      <c r="M2869" s="67"/>
      <c r="N2869" s="33"/>
      <c r="O2869" s="70"/>
      <c r="P2869" s="34"/>
      <c r="Q2869" s="60"/>
      <c r="R2869" s="36"/>
      <c r="S2869" s="71"/>
      <c r="T2869" s="37"/>
      <c r="U2869" s="118"/>
      <c r="V2869" s="74"/>
      <c r="W2869" s="74"/>
      <c r="X2869" s="35"/>
      <c r="Y2869" s="35"/>
      <c r="Z2869" s="40"/>
      <c r="AA2869" s="34"/>
      <c r="AB2869" s="41"/>
      <c r="AC2869" s="42" t="b">
        <v>0</v>
      </c>
      <c r="AD2869" s="66"/>
      <c r="AE2869" s="42"/>
      <c r="AF2869" s="42"/>
      <c r="AG2869" s="43"/>
    </row>
    <row r="2870">
      <c r="A2870" s="23"/>
      <c r="B2870" s="101"/>
      <c r="C2870" s="115"/>
      <c r="D2870" s="115"/>
      <c r="E2870" s="85"/>
      <c r="F2870" s="138"/>
      <c r="G2870" s="101"/>
      <c r="H2870" s="105"/>
      <c r="I2870" s="105"/>
      <c r="J2870" s="44"/>
      <c r="K2870" s="116"/>
      <c r="L2870" s="117"/>
      <c r="M2870" s="67"/>
      <c r="N2870" s="33"/>
      <c r="O2870" s="70"/>
      <c r="P2870" s="34"/>
      <c r="Q2870" s="60"/>
      <c r="R2870" s="36"/>
      <c r="S2870" s="71"/>
      <c r="T2870" s="37"/>
      <c r="U2870" s="118"/>
      <c r="V2870" s="74"/>
      <c r="W2870" s="74"/>
      <c r="X2870" s="35"/>
      <c r="Y2870" s="35"/>
      <c r="Z2870" s="40"/>
      <c r="AA2870" s="34"/>
      <c r="AB2870" s="41"/>
      <c r="AC2870" s="42" t="b">
        <v>0</v>
      </c>
      <c r="AD2870" s="66"/>
      <c r="AE2870" s="42"/>
      <c r="AF2870" s="42"/>
      <c r="AG2870" s="43"/>
    </row>
    <row r="2871">
      <c r="A2871" s="23"/>
      <c r="B2871" s="101"/>
      <c r="C2871" s="115"/>
      <c r="D2871" s="115"/>
      <c r="E2871" s="85"/>
      <c r="F2871" s="138"/>
      <c r="G2871" s="101"/>
      <c r="H2871" s="105"/>
      <c r="I2871" s="105"/>
      <c r="J2871" s="44"/>
      <c r="K2871" s="116"/>
      <c r="L2871" s="117"/>
      <c r="M2871" s="67"/>
      <c r="N2871" s="33"/>
      <c r="O2871" s="70"/>
      <c r="P2871" s="34"/>
      <c r="Q2871" s="60"/>
      <c r="R2871" s="36"/>
      <c r="S2871" s="71"/>
      <c r="T2871" s="37"/>
      <c r="U2871" s="118"/>
      <c r="V2871" s="74"/>
      <c r="W2871" s="74"/>
      <c r="X2871" s="35"/>
      <c r="Y2871" s="35"/>
      <c r="Z2871" s="40"/>
      <c r="AA2871" s="34"/>
      <c r="AB2871" s="41"/>
      <c r="AC2871" s="42" t="b">
        <v>0</v>
      </c>
      <c r="AD2871" s="66"/>
      <c r="AE2871" s="42"/>
      <c r="AF2871" s="42"/>
      <c r="AG2871" s="43"/>
    </row>
    <row r="2872">
      <c r="A2872" s="23"/>
      <c r="B2872" s="101"/>
      <c r="C2872" s="115"/>
      <c r="D2872" s="115"/>
      <c r="E2872" s="85"/>
      <c r="F2872" s="138"/>
      <c r="G2872" s="101"/>
      <c r="H2872" s="105"/>
      <c r="I2872" s="105"/>
      <c r="J2872" s="44"/>
      <c r="K2872" s="116"/>
      <c r="L2872" s="117"/>
      <c r="M2872" s="67"/>
      <c r="N2872" s="33"/>
      <c r="O2872" s="70"/>
      <c r="P2872" s="34"/>
      <c r="Q2872" s="60"/>
      <c r="R2872" s="36"/>
      <c r="S2872" s="71"/>
      <c r="T2872" s="37"/>
      <c r="U2872" s="118"/>
      <c r="V2872" s="74"/>
      <c r="W2872" s="74"/>
      <c r="X2872" s="35"/>
      <c r="Y2872" s="35"/>
      <c r="Z2872" s="40"/>
      <c r="AA2872" s="34"/>
      <c r="AB2872" s="41"/>
      <c r="AC2872" s="42" t="b">
        <v>0</v>
      </c>
      <c r="AD2872" s="66"/>
      <c r="AE2872" s="42"/>
      <c r="AF2872" s="42"/>
      <c r="AG2872" s="43"/>
    </row>
    <row r="2873">
      <c r="A2873" s="23"/>
      <c r="B2873" s="101"/>
      <c r="C2873" s="115"/>
      <c r="D2873" s="115"/>
      <c r="E2873" s="85"/>
      <c r="F2873" s="138"/>
      <c r="G2873" s="101"/>
      <c r="H2873" s="105"/>
      <c r="I2873" s="105"/>
      <c r="J2873" s="44"/>
      <c r="K2873" s="116"/>
      <c r="L2873" s="117"/>
      <c r="M2873" s="67"/>
      <c r="N2873" s="33"/>
      <c r="O2873" s="70"/>
      <c r="P2873" s="34"/>
      <c r="Q2873" s="60"/>
      <c r="R2873" s="36"/>
      <c r="S2873" s="71"/>
      <c r="T2873" s="37"/>
      <c r="U2873" s="118"/>
      <c r="V2873" s="74"/>
      <c r="W2873" s="74"/>
      <c r="X2873" s="35"/>
      <c r="Y2873" s="35"/>
      <c r="Z2873" s="40"/>
      <c r="AA2873" s="34"/>
      <c r="AB2873" s="41"/>
      <c r="AC2873" s="42" t="b">
        <v>0</v>
      </c>
      <c r="AD2873" s="66"/>
      <c r="AE2873" s="42"/>
      <c r="AF2873" s="42"/>
      <c r="AG2873" s="43"/>
    </row>
    <row r="2874">
      <c r="A2874" s="23"/>
      <c r="B2874" s="101"/>
      <c r="C2874" s="115"/>
      <c r="D2874" s="115"/>
      <c r="E2874" s="85"/>
      <c r="F2874" s="138"/>
      <c r="G2874" s="101"/>
      <c r="H2874" s="105"/>
      <c r="I2874" s="105"/>
      <c r="J2874" s="44"/>
      <c r="K2874" s="116"/>
      <c r="L2874" s="117"/>
      <c r="M2874" s="67"/>
      <c r="N2874" s="33"/>
      <c r="O2874" s="70"/>
      <c r="P2874" s="34"/>
      <c r="Q2874" s="60"/>
      <c r="R2874" s="36"/>
      <c r="S2874" s="71"/>
      <c r="T2874" s="37"/>
      <c r="U2874" s="118"/>
      <c r="V2874" s="74"/>
      <c r="W2874" s="74"/>
      <c r="X2874" s="35"/>
      <c r="Y2874" s="35"/>
      <c r="Z2874" s="40"/>
      <c r="AA2874" s="34"/>
      <c r="AB2874" s="41"/>
      <c r="AC2874" s="42" t="b">
        <v>0</v>
      </c>
      <c r="AD2874" s="66"/>
      <c r="AE2874" s="42"/>
      <c r="AF2874" s="42"/>
      <c r="AG2874" s="43"/>
    </row>
    <row r="2875">
      <c r="A2875" s="23"/>
      <c r="B2875" s="101"/>
      <c r="C2875" s="115"/>
      <c r="D2875" s="115"/>
      <c r="E2875" s="85"/>
      <c r="F2875" s="138"/>
      <c r="G2875" s="101"/>
      <c r="H2875" s="105"/>
      <c r="I2875" s="105"/>
      <c r="J2875" s="44"/>
      <c r="K2875" s="116"/>
      <c r="L2875" s="117"/>
      <c r="M2875" s="67"/>
      <c r="N2875" s="33"/>
      <c r="O2875" s="70"/>
      <c r="P2875" s="34"/>
      <c r="Q2875" s="60"/>
      <c r="R2875" s="36"/>
      <c r="S2875" s="71"/>
      <c r="T2875" s="37"/>
      <c r="U2875" s="118"/>
      <c r="V2875" s="74"/>
      <c r="W2875" s="74"/>
      <c r="X2875" s="35"/>
      <c r="Y2875" s="35"/>
      <c r="Z2875" s="40"/>
      <c r="AA2875" s="34"/>
      <c r="AB2875" s="41"/>
      <c r="AC2875" s="42" t="b">
        <v>0</v>
      </c>
      <c r="AD2875" s="66"/>
      <c r="AE2875" s="42"/>
      <c r="AF2875" s="42"/>
      <c r="AG2875" s="43"/>
    </row>
    <row r="2876">
      <c r="A2876" s="23"/>
      <c r="B2876" s="101"/>
      <c r="C2876" s="115"/>
      <c r="D2876" s="115"/>
      <c r="E2876" s="85"/>
      <c r="F2876" s="138"/>
      <c r="G2876" s="101"/>
      <c r="H2876" s="105"/>
      <c r="I2876" s="105"/>
      <c r="J2876" s="44"/>
      <c r="K2876" s="116"/>
      <c r="L2876" s="117"/>
      <c r="M2876" s="67"/>
      <c r="N2876" s="33"/>
      <c r="O2876" s="70"/>
      <c r="P2876" s="34"/>
      <c r="Q2876" s="60"/>
      <c r="R2876" s="36"/>
      <c r="S2876" s="71"/>
      <c r="T2876" s="37"/>
      <c r="U2876" s="118"/>
      <c r="V2876" s="74"/>
      <c r="W2876" s="74"/>
      <c r="X2876" s="35"/>
      <c r="Y2876" s="35"/>
      <c r="Z2876" s="40"/>
      <c r="AA2876" s="34"/>
      <c r="AB2876" s="41"/>
      <c r="AC2876" s="42" t="b">
        <v>0</v>
      </c>
      <c r="AD2876" s="66"/>
      <c r="AE2876" s="42"/>
      <c r="AF2876" s="42"/>
      <c r="AG2876" s="43"/>
    </row>
    <row r="2877">
      <c r="A2877" s="23"/>
      <c r="B2877" s="101"/>
      <c r="C2877" s="115"/>
      <c r="D2877" s="115"/>
      <c r="E2877" s="85"/>
      <c r="F2877" s="138"/>
      <c r="G2877" s="101"/>
      <c r="H2877" s="105"/>
      <c r="I2877" s="105"/>
      <c r="J2877" s="44"/>
      <c r="K2877" s="116"/>
      <c r="L2877" s="117"/>
      <c r="M2877" s="67"/>
      <c r="N2877" s="33"/>
      <c r="O2877" s="70"/>
      <c r="P2877" s="34"/>
      <c r="Q2877" s="60"/>
      <c r="R2877" s="36"/>
      <c r="S2877" s="71"/>
      <c r="T2877" s="37"/>
      <c r="U2877" s="118"/>
      <c r="V2877" s="74"/>
      <c r="W2877" s="74"/>
      <c r="X2877" s="35"/>
      <c r="Y2877" s="35"/>
      <c r="Z2877" s="40"/>
      <c r="AA2877" s="34"/>
      <c r="AB2877" s="41"/>
      <c r="AC2877" s="42" t="b">
        <v>0</v>
      </c>
      <c r="AD2877" s="66"/>
      <c r="AE2877" s="42"/>
      <c r="AF2877" s="42"/>
      <c r="AG2877" s="43"/>
    </row>
    <row r="2878">
      <c r="A2878" s="23"/>
      <c r="B2878" s="101"/>
      <c r="C2878" s="115"/>
      <c r="D2878" s="115"/>
      <c r="E2878" s="85"/>
      <c r="F2878" s="138"/>
      <c r="G2878" s="101"/>
      <c r="H2878" s="105"/>
      <c r="I2878" s="105"/>
      <c r="J2878" s="44"/>
      <c r="K2878" s="116"/>
      <c r="L2878" s="117"/>
      <c r="M2878" s="67"/>
      <c r="N2878" s="33"/>
      <c r="O2878" s="70"/>
      <c r="P2878" s="34"/>
      <c r="Q2878" s="60"/>
      <c r="R2878" s="36"/>
      <c r="S2878" s="71"/>
      <c r="T2878" s="37"/>
      <c r="U2878" s="118"/>
      <c r="V2878" s="74"/>
      <c r="W2878" s="74"/>
      <c r="X2878" s="35"/>
      <c r="Y2878" s="35"/>
      <c r="Z2878" s="40"/>
      <c r="AA2878" s="34"/>
      <c r="AB2878" s="41"/>
      <c r="AC2878" s="42" t="b">
        <v>0</v>
      </c>
      <c r="AD2878" s="66"/>
      <c r="AE2878" s="42"/>
      <c r="AF2878" s="42"/>
      <c r="AG2878" s="43"/>
    </row>
    <row r="2879">
      <c r="A2879" s="23"/>
      <c r="B2879" s="101"/>
      <c r="C2879" s="115"/>
      <c r="D2879" s="115"/>
      <c r="E2879" s="85"/>
      <c r="F2879" s="138"/>
      <c r="G2879" s="101"/>
      <c r="H2879" s="105"/>
      <c r="I2879" s="105"/>
      <c r="J2879" s="44"/>
      <c r="K2879" s="116"/>
      <c r="L2879" s="117"/>
      <c r="M2879" s="67"/>
      <c r="N2879" s="33"/>
      <c r="O2879" s="70"/>
      <c r="P2879" s="34"/>
      <c r="Q2879" s="60"/>
      <c r="R2879" s="36"/>
      <c r="S2879" s="71"/>
      <c r="T2879" s="37"/>
      <c r="U2879" s="118"/>
      <c r="V2879" s="74"/>
      <c r="W2879" s="74"/>
      <c r="X2879" s="35"/>
      <c r="Y2879" s="35"/>
      <c r="Z2879" s="40"/>
      <c r="AA2879" s="34"/>
      <c r="AB2879" s="41"/>
      <c r="AC2879" s="42" t="b">
        <v>0</v>
      </c>
      <c r="AD2879" s="66"/>
      <c r="AE2879" s="42"/>
      <c r="AF2879" s="42"/>
      <c r="AG2879" s="43"/>
    </row>
    <row r="2880">
      <c r="A2880" s="23"/>
      <c r="B2880" s="101"/>
      <c r="C2880" s="115"/>
      <c r="D2880" s="115"/>
      <c r="E2880" s="85"/>
      <c r="F2880" s="138"/>
      <c r="G2880" s="101"/>
      <c r="H2880" s="105"/>
      <c r="I2880" s="105"/>
      <c r="J2880" s="44"/>
      <c r="K2880" s="116"/>
      <c r="L2880" s="117"/>
      <c r="M2880" s="67"/>
      <c r="N2880" s="33"/>
      <c r="O2880" s="70"/>
      <c r="P2880" s="34"/>
      <c r="Q2880" s="60"/>
      <c r="R2880" s="36"/>
      <c r="S2880" s="71"/>
      <c r="T2880" s="37"/>
      <c r="U2880" s="118"/>
      <c r="V2880" s="74"/>
      <c r="W2880" s="74"/>
      <c r="X2880" s="35"/>
      <c r="Y2880" s="35"/>
      <c r="Z2880" s="40"/>
      <c r="AA2880" s="34"/>
      <c r="AB2880" s="41"/>
      <c r="AC2880" s="42" t="b">
        <v>0</v>
      </c>
      <c r="AD2880" s="66"/>
      <c r="AE2880" s="42"/>
      <c r="AF2880" s="42"/>
      <c r="AG2880" s="43"/>
    </row>
    <row r="2881">
      <c r="A2881" s="23"/>
      <c r="B2881" s="101"/>
      <c r="C2881" s="115"/>
      <c r="D2881" s="115"/>
      <c r="E2881" s="85"/>
      <c r="F2881" s="138"/>
      <c r="G2881" s="101"/>
      <c r="H2881" s="105"/>
      <c r="I2881" s="105"/>
      <c r="J2881" s="44"/>
      <c r="K2881" s="116"/>
      <c r="L2881" s="117"/>
      <c r="M2881" s="67"/>
      <c r="N2881" s="33"/>
      <c r="O2881" s="70"/>
      <c r="P2881" s="34"/>
      <c r="Q2881" s="60"/>
      <c r="R2881" s="36"/>
      <c r="S2881" s="71"/>
      <c r="T2881" s="37"/>
      <c r="U2881" s="118"/>
      <c r="V2881" s="74"/>
      <c r="W2881" s="74"/>
      <c r="X2881" s="35"/>
      <c r="Y2881" s="35"/>
      <c r="Z2881" s="40"/>
      <c r="AA2881" s="34"/>
      <c r="AB2881" s="41"/>
      <c r="AC2881" s="42" t="b">
        <v>0</v>
      </c>
      <c r="AD2881" s="66"/>
      <c r="AE2881" s="42"/>
      <c r="AF2881" s="42"/>
      <c r="AG2881" s="43"/>
    </row>
    <row r="2882">
      <c r="A2882" s="23"/>
      <c r="B2882" s="101"/>
      <c r="C2882" s="115"/>
      <c r="D2882" s="115"/>
      <c r="E2882" s="85"/>
      <c r="F2882" s="138"/>
      <c r="G2882" s="101"/>
      <c r="H2882" s="105"/>
      <c r="I2882" s="105"/>
      <c r="J2882" s="44"/>
      <c r="K2882" s="116"/>
      <c r="L2882" s="117"/>
      <c r="M2882" s="67"/>
      <c r="N2882" s="33"/>
      <c r="O2882" s="70"/>
      <c r="P2882" s="34"/>
      <c r="Q2882" s="60"/>
      <c r="R2882" s="36"/>
      <c r="S2882" s="71"/>
      <c r="T2882" s="37"/>
      <c r="U2882" s="118"/>
      <c r="V2882" s="74"/>
      <c r="W2882" s="74"/>
      <c r="X2882" s="35"/>
      <c r="Y2882" s="35"/>
      <c r="Z2882" s="40"/>
      <c r="AA2882" s="34"/>
      <c r="AB2882" s="41"/>
      <c r="AC2882" s="42" t="b">
        <v>0</v>
      </c>
      <c r="AD2882" s="66"/>
      <c r="AE2882" s="42"/>
      <c r="AF2882" s="42"/>
      <c r="AG2882" s="43"/>
    </row>
    <row r="2883">
      <c r="A2883" s="23"/>
      <c r="B2883" s="101"/>
      <c r="C2883" s="115"/>
      <c r="D2883" s="115"/>
      <c r="E2883" s="85"/>
      <c r="F2883" s="138"/>
      <c r="G2883" s="101"/>
      <c r="H2883" s="105"/>
      <c r="I2883" s="105"/>
      <c r="J2883" s="44"/>
      <c r="K2883" s="116"/>
      <c r="L2883" s="117"/>
      <c r="M2883" s="67"/>
      <c r="N2883" s="33"/>
      <c r="O2883" s="70"/>
      <c r="P2883" s="34"/>
      <c r="Q2883" s="60"/>
      <c r="R2883" s="36"/>
      <c r="S2883" s="71"/>
      <c r="T2883" s="37"/>
      <c r="U2883" s="118"/>
      <c r="V2883" s="74"/>
      <c r="W2883" s="74"/>
      <c r="X2883" s="35"/>
      <c r="Y2883" s="35"/>
      <c r="Z2883" s="40"/>
      <c r="AA2883" s="34"/>
      <c r="AB2883" s="41"/>
      <c r="AC2883" s="42" t="b">
        <v>0</v>
      </c>
      <c r="AD2883" s="66"/>
      <c r="AE2883" s="42"/>
      <c r="AF2883" s="42"/>
      <c r="AG2883" s="43"/>
    </row>
    <row r="2884">
      <c r="A2884" s="23"/>
      <c r="B2884" s="101"/>
      <c r="C2884" s="115"/>
      <c r="D2884" s="115"/>
      <c r="E2884" s="85"/>
      <c r="F2884" s="138"/>
      <c r="G2884" s="101"/>
      <c r="H2884" s="105"/>
      <c r="I2884" s="105"/>
      <c r="J2884" s="44"/>
      <c r="K2884" s="116"/>
      <c r="L2884" s="117"/>
      <c r="M2884" s="67"/>
      <c r="N2884" s="33"/>
      <c r="O2884" s="70"/>
      <c r="P2884" s="34"/>
      <c r="Q2884" s="60"/>
      <c r="R2884" s="36"/>
      <c r="S2884" s="71"/>
      <c r="T2884" s="37"/>
      <c r="U2884" s="118"/>
      <c r="V2884" s="74"/>
      <c r="W2884" s="74"/>
      <c r="X2884" s="35"/>
      <c r="Y2884" s="35"/>
      <c r="Z2884" s="40"/>
      <c r="AA2884" s="34"/>
      <c r="AB2884" s="41"/>
      <c r="AC2884" s="42" t="b">
        <v>0</v>
      </c>
      <c r="AD2884" s="66"/>
      <c r="AE2884" s="42"/>
      <c r="AF2884" s="42"/>
      <c r="AG2884" s="43"/>
    </row>
    <row r="2885">
      <c r="A2885" s="23"/>
      <c r="B2885" s="101"/>
      <c r="C2885" s="115"/>
      <c r="D2885" s="115"/>
      <c r="E2885" s="85"/>
      <c r="F2885" s="138"/>
      <c r="G2885" s="101"/>
      <c r="H2885" s="105"/>
      <c r="I2885" s="105"/>
      <c r="J2885" s="44"/>
      <c r="K2885" s="116"/>
      <c r="L2885" s="117"/>
      <c r="M2885" s="67"/>
      <c r="N2885" s="33"/>
      <c r="O2885" s="70"/>
      <c r="P2885" s="34"/>
      <c r="Q2885" s="60"/>
      <c r="R2885" s="36"/>
      <c r="S2885" s="71"/>
      <c r="T2885" s="37"/>
      <c r="U2885" s="118"/>
      <c r="V2885" s="74"/>
      <c r="W2885" s="74"/>
      <c r="X2885" s="35"/>
      <c r="Y2885" s="35"/>
      <c r="Z2885" s="40"/>
      <c r="AA2885" s="34"/>
      <c r="AB2885" s="41"/>
      <c r="AC2885" s="42" t="b">
        <v>0</v>
      </c>
      <c r="AD2885" s="66"/>
      <c r="AE2885" s="42"/>
      <c r="AF2885" s="42"/>
      <c r="AG2885" s="43"/>
    </row>
    <row r="2886">
      <c r="A2886" s="23"/>
      <c r="B2886" s="101"/>
      <c r="C2886" s="115"/>
      <c r="D2886" s="115"/>
      <c r="E2886" s="85"/>
      <c r="F2886" s="138"/>
      <c r="G2886" s="101"/>
      <c r="H2886" s="105"/>
      <c r="I2886" s="105"/>
      <c r="J2886" s="44"/>
      <c r="K2886" s="116"/>
      <c r="L2886" s="117"/>
      <c r="M2886" s="67"/>
      <c r="N2886" s="33"/>
      <c r="O2886" s="70"/>
      <c r="P2886" s="34"/>
      <c r="Q2886" s="60"/>
      <c r="R2886" s="36"/>
      <c r="S2886" s="71"/>
      <c r="T2886" s="37"/>
      <c r="U2886" s="118"/>
      <c r="V2886" s="74"/>
      <c r="W2886" s="74"/>
      <c r="X2886" s="35"/>
      <c r="Y2886" s="35"/>
      <c r="Z2886" s="40"/>
      <c r="AA2886" s="34"/>
      <c r="AB2886" s="41"/>
      <c r="AC2886" s="42" t="b">
        <v>0</v>
      </c>
      <c r="AD2886" s="66"/>
      <c r="AE2886" s="42"/>
      <c r="AF2886" s="42"/>
      <c r="AG2886" s="43"/>
    </row>
    <row r="2887">
      <c r="A2887" s="23"/>
      <c r="B2887" s="101"/>
      <c r="C2887" s="115"/>
      <c r="D2887" s="115"/>
      <c r="E2887" s="85"/>
      <c r="F2887" s="138"/>
      <c r="G2887" s="101"/>
      <c r="H2887" s="105"/>
      <c r="I2887" s="105"/>
      <c r="J2887" s="44"/>
      <c r="K2887" s="116"/>
      <c r="L2887" s="117"/>
      <c r="M2887" s="67"/>
      <c r="N2887" s="33"/>
      <c r="O2887" s="70"/>
      <c r="P2887" s="34"/>
      <c r="Q2887" s="60"/>
      <c r="R2887" s="36"/>
      <c r="S2887" s="71"/>
      <c r="T2887" s="37"/>
      <c r="U2887" s="118"/>
      <c r="V2887" s="74"/>
      <c r="W2887" s="74"/>
      <c r="X2887" s="35"/>
      <c r="Y2887" s="35"/>
      <c r="Z2887" s="40"/>
      <c r="AA2887" s="34"/>
      <c r="AB2887" s="41"/>
      <c r="AC2887" s="42" t="b">
        <v>0</v>
      </c>
      <c r="AD2887" s="66"/>
      <c r="AE2887" s="42"/>
      <c r="AF2887" s="42"/>
      <c r="AG2887" s="43"/>
    </row>
    <row r="2888">
      <c r="A2888" s="23"/>
      <c r="B2888" s="101"/>
      <c r="C2888" s="115"/>
      <c r="D2888" s="115"/>
      <c r="E2888" s="85"/>
      <c r="F2888" s="138"/>
      <c r="G2888" s="101"/>
      <c r="H2888" s="105"/>
      <c r="I2888" s="105"/>
      <c r="J2888" s="44"/>
      <c r="K2888" s="116"/>
      <c r="L2888" s="117"/>
      <c r="M2888" s="67"/>
      <c r="N2888" s="33"/>
      <c r="O2888" s="70"/>
      <c r="P2888" s="34"/>
      <c r="Q2888" s="60"/>
      <c r="R2888" s="36"/>
      <c r="S2888" s="71"/>
      <c r="T2888" s="37"/>
      <c r="U2888" s="118"/>
      <c r="V2888" s="74"/>
      <c r="W2888" s="74"/>
      <c r="X2888" s="35"/>
      <c r="Y2888" s="35"/>
      <c r="Z2888" s="40"/>
      <c r="AA2888" s="34"/>
      <c r="AB2888" s="41"/>
      <c r="AC2888" s="42" t="b">
        <v>0</v>
      </c>
      <c r="AD2888" s="66"/>
      <c r="AE2888" s="42"/>
      <c r="AF2888" s="42"/>
      <c r="AG2888" s="43"/>
    </row>
    <row r="2889">
      <c r="A2889" s="23"/>
      <c r="B2889" s="101"/>
      <c r="C2889" s="115"/>
      <c r="D2889" s="115"/>
      <c r="E2889" s="85"/>
      <c r="F2889" s="138"/>
      <c r="G2889" s="101"/>
      <c r="H2889" s="105"/>
      <c r="I2889" s="105"/>
      <c r="J2889" s="44"/>
      <c r="K2889" s="116"/>
      <c r="L2889" s="117"/>
      <c r="M2889" s="67"/>
      <c r="N2889" s="33"/>
      <c r="O2889" s="70"/>
      <c r="P2889" s="34"/>
      <c r="Q2889" s="60"/>
      <c r="R2889" s="36"/>
      <c r="S2889" s="71"/>
      <c r="T2889" s="37"/>
      <c r="U2889" s="118"/>
      <c r="V2889" s="74"/>
      <c r="W2889" s="74"/>
      <c r="X2889" s="35"/>
      <c r="Y2889" s="35"/>
      <c r="Z2889" s="40"/>
      <c r="AA2889" s="34"/>
      <c r="AB2889" s="41"/>
      <c r="AC2889" s="42" t="b">
        <v>0</v>
      </c>
      <c r="AD2889" s="66"/>
      <c r="AE2889" s="42"/>
      <c r="AF2889" s="42"/>
      <c r="AG2889" s="43"/>
    </row>
    <row r="2890">
      <c r="A2890" s="23"/>
      <c r="B2890" s="101"/>
      <c r="C2890" s="115"/>
      <c r="D2890" s="115"/>
      <c r="E2890" s="85"/>
      <c r="F2890" s="138"/>
      <c r="G2890" s="101"/>
      <c r="H2890" s="105"/>
      <c r="I2890" s="105"/>
      <c r="J2890" s="44"/>
      <c r="K2890" s="116"/>
      <c r="L2890" s="117"/>
      <c r="M2890" s="67"/>
      <c r="N2890" s="33"/>
      <c r="O2890" s="70"/>
      <c r="P2890" s="34"/>
      <c r="Q2890" s="60"/>
      <c r="R2890" s="36"/>
      <c r="S2890" s="71"/>
      <c r="T2890" s="37"/>
      <c r="U2890" s="118"/>
      <c r="V2890" s="74"/>
      <c r="W2890" s="74"/>
      <c r="X2890" s="35"/>
      <c r="Y2890" s="35"/>
      <c r="Z2890" s="40"/>
      <c r="AA2890" s="34"/>
      <c r="AB2890" s="41"/>
      <c r="AC2890" s="42" t="b">
        <v>0</v>
      </c>
      <c r="AD2890" s="66"/>
      <c r="AE2890" s="42"/>
      <c r="AF2890" s="42"/>
      <c r="AG2890" s="43"/>
    </row>
    <row r="2891">
      <c r="A2891" s="23"/>
      <c r="B2891" s="101"/>
      <c r="C2891" s="115"/>
      <c r="D2891" s="115"/>
      <c r="E2891" s="85"/>
      <c r="F2891" s="138"/>
      <c r="G2891" s="101"/>
      <c r="H2891" s="105"/>
      <c r="I2891" s="105"/>
      <c r="J2891" s="44"/>
      <c r="K2891" s="116"/>
      <c r="L2891" s="117"/>
      <c r="M2891" s="67"/>
      <c r="N2891" s="33"/>
      <c r="O2891" s="70"/>
      <c r="P2891" s="34"/>
      <c r="Q2891" s="60"/>
      <c r="R2891" s="36"/>
      <c r="S2891" s="71"/>
      <c r="T2891" s="37"/>
      <c r="U2891" s="118"/>
      <c r="V2891" s="74"/>
      <c r="W2891" s="74"/>
      <c r="X2891" s="35"/>
      <c r="Y2891" s="35"/>
      <c r="Z2891" s="40"/>
      <c r="AA2891" s="34"/>
      <c r="AB2891" s="41"/>
      <c r="AC2891" s="42" t="b">
        <v>0</v>
      </c>
      <c r="AD2891" s="66"/>
      <c r="AE2891" s="42"/>
      <c r="AF2891" s="42"/>
      <c r="AG2891" s="43"/>
    </row>
    <row r="2892">
      <c r="A2892" s="23"/>
      <c r="B2892" s="101"/>
      <c r="C2892" s="115"/>
      <c r="D2892" s="115"/>
      <c r="E2892" s="85"/>
      <c r="F2892" s="138"/>
      <c r="G2892" s="101"/>
      <c r="H2892" s="105"/>
      <c r="I2892" s="105"/>
      <c r="J2892" s="44"/>
      <c r="K2892" s="116"/>
      <c r="L2892" s="117"/>
      <c r="M2892" s="67"/>
      <c r="N2892" s="33"/>
      <c r="O2892" s="70"/>
      <c r="P2892" s="34"/>
      <c r="Q2892" s="60"/>
      <c r="R2892" s="36"/>
      <c r="S2892" s="71"/>
      <c r="T2892" s="37"/>
      <c r="U2892" s="118"/>
      <c r="V2892" s="74"/>
      <c r="W2892" s="74"/>
      <c r="X2892" s="35"/>
      <c r="Y2892" s="35"/>
      <c r="Z2892" s="40"/>
      <c r="AA2892" s="34"/>
      <c r="AB2892" s="41"/>
      <c r="AC2892" s="42" t="b">
        <v>0</v>
      </c>
      <c r="AD2892" s="66"/>
      <c r="AE2892" s="42"/>
      <c r="AF2892" s="42"/>
      <c r="AG2892" s="43"/>
    </row>
    <row r="2893">
      <c r="A2893" s="23"/>
      <c r="B2893" s="101"/>
      <c r="C2893" s="115"/>
      <c r="D2893" s="115"/>
      <c r="E2893" s="85"/>
      <c r="F2893" s="138"/>
      <c r="G2893" s="101"/>
      <c r="H2893" s="105"/>
      <c r="I2893" s="105"/>
      <c r="J2893" s="44"/>
      <c r="K2893" s="116"/>
      <c r="L2893" s="117"/>
      <c r="M2893" s="67"/>
      <c r="N2893" s="33"/>
      <c r="O2893" s="70"/>
      <c r="P2893" s="34"/>
      <c r="Q2893" s="60"/>
      <c r="R2893" s="36"/>
      <c r="S2893" s="71"/>
      <c r="T2893" s="37"/>
      <c r="U2893" s="118"/>
      <c r="V2893" s="74"/>
      <c r="W2893" s="74"/>
      <c r="X2893" s="35"/>
      <c r="Y2893" s="35"/>
      <c r="Z2893" s="40"/>
      <c r="AA2893" s="34"/>
      <c r="AB2893" s="41"/>
      <c r="AC2893" s="42" t="b">
        <v>0</v>
      </c>
      <c r="AD2893" s="66"/>
      <c r="AE2893" s="42"/>
      <c r="AF2893" s="42"/>
      <c r="AG2893" s="43"/>
    </row>
    <row r="2894">
      <c r="A2894" s="23"/>
      <c r="B2894" s="101"/>
      <c r="C2894" s="115"/>
      <c r="D2894" s="115"/>
      <c r="E2894" s="85"/>
      <c r="F2894" s="138"/>
      <c r="G2894" s="101"/>
      <c r="H2894" s="105"/>
      <c r="I2894" s="105"/>
      <c r="J2894" s="44"/>
      <c r="K2894" s="116"/>
      <c r="L2894" s="117"/>
      <c r="M2894" s="67"/>
      <c r="N2894" s="33"/>
      <c r="O2894" s="70"/>
      <c r="P2894" s="34"/>
      <c r="Q2894" s="60"/>
      <c r="R2894" s="36"/>
      <c r="S2894" s="71"/>
      <c r="T2894" s="37"/>
      <c r="U2894" s="118"/>
      <c r="V2894" s="74"/>
      <c r="W2894" s="74"/>
      <c r="X2894" s="35"/>
      <c r="Y2894" s="35"/>
      <c r="Z2894" s="40"/>
      <c r="AA2894" s="34"/>
      <c r="AB2894" s="41"/>
      <c r="AC2894" s="42" t="b">
        <v>0</v>
      </c>
      <c r="AD2894" s="66"/>
      <c r="AE2894" s="42"/>
      <c r="AF2894" s="42"/>
      <c r="AG2894" s="43"/>
    </row>
    <row r="2895">
      <c r="A2895" s="23"/>
      <c r="B2895" s="101"/>
      <c r="C2895" s="115"/>
      <c r="D2895" s="115"/>
      <c r="E2895" s="85"/>
      <c r="F2895" s="138"/>
      <c r="G2895" s="101"/>
      <c r="H2895" s="105"/>
      <c r="I2895" s="105"/>
      <c r="J2895" s="44"/>
      <c r="K2895" s="116"/>
      <c r="L2895" s="117"/>
      <c r="M2895" s="67"/>
      <c r="N2895" s="33"/>
      <c r="O2895" s="70"/>
      <c r="P2895" s="34"/>
      <c r="Q2895" s="60"/>
      <c r="R2895" s="36"/>
      <c r="S2895" s="71"/>
      <c r="T2895" s="37"/>
      <c r="U2895" s="118"/>
      <c r="V2895" s="74"/>
      <c r="W2895" s="74"/>
      <c r="X2895" s="35"/>
      <c r="Y2895" s="35"/>
      <c r="Z2895" s="40"/>
      <c r="AA2895" s="34"/>
      <c r="AB2895" s="41"/>
      <c r="AC2895" s="42" t="b">
        <v>0</v>
      </c>
      <c r="AD2895" s="66"/>
      <c r="AE2895" s="42"/>
      <c r="AF2895" s="42"/>
      <c r="AG2895" s="43"/>
    </row>
    <row r="2896">
      <c r="A2896" s="23"/>
      <c r="B2896" s="101"/>
      <c r="C2896" s="115"/>
      <c r="D2896" s="115"/>
      <c r="E2896" s="85"/>
      <c r="F2896" s="138"/>
      <c r="G2896" s="101"/>
      <c r="H2896" s="105"/>
      <c r="I2896" s="105"/>
      <c r="J2896" s="44"/>
      <c r="K2896" s="116"/>
      <c r="L2896" s="117"/>
      <c r="M2896" s="67"/>
      <c r="N2896" s="33"/>
      <c r="O2896" s="70"/>
      <c r="P2896" s="34"/>
      <c r="Q2896" s="60"/>
      <c r="R2896" s="36"/>
      <c r="S2896" s="71"/>
      <c r="T2896" s="37"/>
      <c r="U2896" s="118"/>
      <c r="V2896" s="74"/>
      <c r="W2896" s="74"/>
      <c r="X2896" s="35"/>
      <c r="Y2896" s="35"/>
      <c r="Z2896" s="40"/>
      <c r="AA2896" s="34"/>
      <c r="AB2896" s="41"/>
      <c r="AC2896" s="42" t="b">
        <v>0</v>
      </c>
      <c r="AD2896" s="66"/>
      <c r="AE2896" s="42"/>
      <c r="AF2896" s="42"/>
      <c r="AG2896" s="43"/>
    </row>
    <row r="2897">
      <c r="A2897" s="23"/>
      <c r="B2897" s="101"/>
      <c r="C2897" s="115"/>
      <c r="D2897" s="115"/>
      <c r="E2897" s="85"/>
      <c r="F2897" s="138"/>
      <c r="G2897" s="101"/>
      <c r="H2897" s="105"/>
      <c r="I2897" s="105"/>
      <c r="J2897" s="44"/>
      <c r="K2897" s="116"/>
      <c r="L2897" s="117"/>
      <c r="M2897" s="67"/>
      <c r="N2897" s="33"/>
      <c r="O2897" s="70"/>
      <c r="P2897" s="34"/>
      <c r="Q2897" s="60"/>
      <c r="R2897" s="36"/>
      <c r="S2897" s="71"/>
      <c r="T2897" s="37"/>
      <c r="U2897" s="118"/>
      <c r="V2897" s="74"/>
      <c r="W2897" s="74"/>
      <c r="X2897" s="35"/>
      <c r="Y2897" s="35"/>
      <c r="Z2897" s="40"/>
      <c r="AA2897" s="34"/>
      <c r="AB2897" s="41"/>
      <c r="AC2897" s="42" t="b">
        <v>0</v>
      </c>
      <c r="AD2897" s="66"/>
      <c r="AE2897" s="42"/>
      <c r="AF2897" s="42"/>
      <c r="AG2897" s="43"/>
    </row>
    <row r="2898">
      <c r="A2898" s="23"/>
      <c r="B2898" s="101"/>
      <c r="C2898" s="115"/>
      <c r="D2898" s="115"/>
      <c r="E2898" s="85"/>
      <c r="F2898" s="138"/>
      <c r="G2898" s="101"/>
      <c r="H2898" s="105"/>
      <c r="I2898" s="105"/>
      <c r="J2898" s="44"/>
      <c r="K2898" s="116"/>
      <c r="L2898" s="117"/>
      <c r="M2898" s="67"/>
      <c r="N2898" s="33"/>
      <c r="O2898" s="70"/>
      <c r="P2898" s="34"/>
      <c r="Q2898" s="60"/>
      <c r="R2898" s="36"/>
      <c r="S2898" s="71"/>
      <c r="T2898" s="37"/>
      <c r="U2898" s="118"/>
      <c r="V2898" s="74"/>
      <c r="W2898" s="74"/>
      <c r="X2898" s="35"/>
      <c r="Y2898" s="35"/>
      <c r="Z2898" s="40"/>
      <c r="AA2898" s="34"/>
      <c r="AB2898" s="41"/>
      <c r="AC2898" s="42" t="b">
        <v>0</v>
      </c>
      <c r="AD2898" s="66"/>
      <c r="AE2898" s="42"/>
      <c r="AF2898" s="42"/>
      <c r="AG2898" s="43"/>
    </row>
    <row r="2899">
      <c r="A2899" s="23"/>
      <c r="B2899" s="101"/>
      <c r="C2899" s="115"/>
      <c r="D2899" s="115"/>
      <c r="E2899" s="85"/>
      <c r="F2899" s="138"/>
      <c r="G2899" s="101"/>
      <c r="H2899" s="105"/>
      <c r="I2899" s="105"/>
      <c r="J2899" s="44"/>
      <c r="K2899" s="116"/>
      <c r="L2899" s="117"/>
      <c r="M2899" s="67"/>
      <c r="N2899" s="33"/>
      <c r="O2899" s="70"/>
      <c r="P2899" s="34"/>
      <c r="Q2899" s="60"/>
      <c r="R2899" s="36"/>
      <c r="S2899" s="71"/>
      <c r="T2899" s="37"/>
      <c r="U2899" s="118"/>
      <c r="V2899" s="74"/>
      <c r="W2899" s="74"/>
      <c r="X2899" s="35"/>
      <c r="Y2899" s="35"/>
      <c r="Z2899" s="40"/>
      <c r="AA2899" s="34"/>
      <c r="AB2899" s="41"/>
      <c r="AC2899" s="42" t="b">
        <v>0</v>
      </c>
      <c r="AD2899" s="66"/>
      <c r="AE2899" s="42"/>
      <c r="AF2899" s="42"/>
      <c r="AG2899" s="43"/>
    </row>
    <row r="2900">
      <c r="A2900" s="23"/>
      <c r="B2900" s="101"/>
      <c r="C2900" s="115"/>
      <c r="D2900" s="115"/>
      <c r="E2900" s="85"/>
      <c r="F2900" s="138"/>
      <c r="G2900" s="101"/>
      <c r="H2900" s="105"/>
      <c r="I2900" s="105"/>
      <c r="J2900" s="44"/>
      <c r="K2900" s="116"/>
      <c r="L2900" s="117"/>
      <c r="M2900" s="67"/>
      <c r="N2900" s="33"/>
      <c r="O2900" s="70"/>
      <c r="P2900" s="34"/>
      <c r="Q2900" s="60"/>
      <c r="R2900" s="36"/>
      <c r="S2900" s="71"/>
      <c r="T2900" s="37"/>
      <c r="U2900" s="118"/>
      <c r="V2900" s="74"/>
      <c r="W2900" s="74"/>
      <c r="X2900" s="35"/>
      <c r="Y2900" s="35"/>
      <c r="Z2900" s="40"/>
      <c r="AA2900" s="34"/>
      <c r="AB2900" s="41"/>
      <c r="AC2900" s="42" t="b">
        <v>0</v>
      </c>
      <c r="AD2900" s="66"/>
      <c r="AE2900" s="42"/>
      <c r="AF2900" s="42"/>
      <c r="AG2900" s="43"/>
    </row>
    <row r="2901">
      <c r="A2901" s="23"/>
      <c r="B2901" s="101"/>
      <c r="C2901" s="115"/>
      <c r="D2901" s="115"/>
      <c r="E2901" s="85"/>
      <c r="F2901" s="138"/>
      <c r="G2901" s="101"/>
      <c r="H2901" s="105"/>
      <c r="I2901" s="105"/>
      <c r="J2901" s="44"/>
      <c r="K2901" s="116"/>
      <c r="L2901" s="117"/>
      <c r="M2901" s="67"/>
      <c r="N2901" s="33"/>
      <c r="O2901" s="70"/>
      <c r="P2901" s="34"/>
      <c r="Q2901" s="60"/>
      <c r="R2901" s="36"/>
      <c r="S2901" s="71"/>
      <c r="T2901" s="37"/>
      <c r="U2901" s="118"/>
      <c r="V2901" s="74"/>
      <c r="W2901" s="74"/>
      <c r="X2901" s="35"/>
      <c r="Y2901" s="35"/>
      <c r="Z2901" s="40"/>
      <c r="AA2901" s="34"/>
      <c r="AB2901" s="41"/>
      <c r="AC2901" s="42" t="b">
        <v>0</v>
      </c>
      <c r="AD2901" s="66"/>
      <c r="AE2901" s="42"/>
      <c r="AF2901" s="42"/>
      <c r="AG2901" s="43"/>
    </row>
    <row r="2902">
      <c r="A2902" s="23"/>
      <c r="B2902" s="101"/>
      <c r="C2902" s="115"/>
      <c r="D2902" s="115"/>
      <c r="E2902" s="85"/>
      <c r="F2902" s="138"/>
      <c r="G2902" s="101"/>
      <c r="H2902" s="105"/>
      <c r="I2902" s="105"/>
      <c r="J2902" s="44"/>
      <c r="K2902" s="116"/>
      <c r="L2902" s="117"/>
      <c r="M2902" s="67"/>
      <c r="N2902" s="33"/>
      <c r="O2902" s="70"/>
      <c r="P2902" s="34"/>
      <c r="Q2902" s="60"/>
      <c r="R2902" s="36"/>
      <c r="S2902" s="71"/>
      <c r="T2902" s="37"/>
      <c r="U2902" s="118"/>
      <c r="V2902" s="74"/>
      <c r="W2902" s="74"/>
      <c r="X2902" s="35"/>
      <c r="Y2902" s="35"/>
      <c r="Z2902" s="40"/>
      <c r="AA2902" s="34"/>
      <c r="AB2902" s="41"/>
      <c r="AC2902" s="42" t="b">
        <v>0</v>
      </c>
      <c r="AD2902" s="66"/>
      <c r="AE2902" s="42"/>
      <c r="AF2902" s="42"/>
      <c r="AG2902" s="43"/>
    </row>
    <row r="2903">
      <c r="A2903" s="23"/>
      <c r="B2903" s="101"/>
      <c r="C2903" s="115"/>
      <c r="D2903" s="115"/>
      <c r="E2903" s="85"/>
      <c r="F2903" s="138"/>
      <c r="G2903" s="101"/>
      <c r="H2903" s="105"/>
      <c r="I2903" s="105"/>
      <c r="J2903" s="44"/>
      <c r="K2903" s="116"/>
      <c r="L2903" s="117"/>
      <c r="M2903" s="67"/>
      <c r="N2903" s="33"/>
      <c r="O2903" s="70"/>
      <c r="P2903" s="34"/>
      <c r="Q2903" s="60"/>
      <c r="R2903" s="36"/>
      <c r="S2903" s="71"/>
      <c r="T2903" s="37"/>
      <c r="U2903" s="118"/>
      <c r="V2903" s="74"/>
      <c r="W2903" s="74"/>
      <c r="X2903" s="35"/>
      <c r="Y2903" s="35"/>
      <c r="Z2903" s="40"/>
      <c r="AA2903" s="34"/>
      <c r="AB2903" s="41"/>
      <c r="AC2903" s="42" t="b">
        <v>0</v>
      </c>
      <c r="AD2903" s="66"/>
      <c r="AE2903" s="42"/>
      <c r="AF2903" s="42"/>
      <c r="AG2903" s="43"/>
    </row>
    <row r="2904">
      <c r="A2904" s="23"/>
      <c r="B2904" s="101"/>
      <c r="C2904" s="115"/>
      <c r="D2904" s="115"/>
      <c r="E2904" s="85"/>
      <c r="F2904" s="138"/>
      <c r="G2904" s="101"/>
      <c r="H2904" s="105"/>
      <c r="I2904" s="105"/>
      <c r="J2904" s="44"/>
      <c r="K2904" s="116"/>
      <c r="L2904" s="117"/>
      <c r="M2904" s="67"/>
      <c r="N2904" s="33"/>
      <c r="O2904" s="70"/>
      <c r="P2904" s="34"/>
      <c r="Q2904" s="60"/>
      <c r="R2904" s="36"/>
      <c r="S2904" s="71"/>
      <c r="T2904" s="37"/>
      <c r="U2904" s="118"/>
      <c r="V2904" s="74"/>
      <c r="W2904" s="74"/>
      <c r="X2904" s="35"/>
      <c r="Y2904" s="35"/>
      <c r="Z2904" s="40"/>
      <c r="AA2904" s="34"/>
      <c r="AB2904" s="41"/>
      <c r="AC2904" s="42" t="b">
        <v>0</v>
      </c>
      <c r="AD2904" s="66"/>
      <c r="AE2904" s="42"/>
      <c r="AF2904" s="42"/>
      <c r="AG2904" s="43"/>
    </row>
    <row r="2905">
      <c r="A2905" s="23"/>
      <c r="B2905" s="101"/>
      <c r="C2905" s="115"/>
      <c r="D2905" s="115"/>
      <c r="E2905" s="85"/>
      <c r="F2905" s="138"/>
      <c r="G2905" s="101"/>
      <c r="H2905" s="105"/>
      <c r="I2905" s="105"/>
      <c r="J2905" s="44"/>
      <c r="K2905" s="116"/>
      <c r="L2905" s="117"/>
      <c r="M2905" s="67"/>
      <c r="N2905" s="33"/>
      <c r="O2905" s="70"/>
      <c r="P2905" s="34"/>
      <c r="Q2905" s="60"/>
      <c r="R2905" s="36"/>
      <c r="S2905" s="71"/>
      <c r="T2905" s="37"/>
      <c r="U2905" s="118"/>
      <c r="V2905" s="74"/>
      <c r="W2905" s="74"/>
      <c r="X2905" s="35"/>
      <c r="Y2905" s="35"/>
      <c r="Z2905" s="40"/>
      <c r="AA2905" s="34"/>
      <c r="AB2905" s="41"/>
      <c r="AC2905" s="42" t="b">
        <v>0</v>
      </c>
      <c r="AD2905" s="66"/>
      <c r="AE2905" s="42"/>
      <c r="AF2905" s="42"/>
      <c r="AG2905" s="43"/>
    </row>
    <row r="2906">
      <c r="A2906" s="23"/>
      <c r="B2906" s="101"/>
      <c r="C2906" s="115"/>
      <c r="D2906" s="115"/>
      <c r="E2906" s="85"/>
      <c r="F2906" s="138"/>
      <c r="G2906" s="101"/>
      <c r="H2906" s="105"/>
      <c r="I2906" s="105"/>
      <c r="J2906" s="44"/>
      <c r="K2906" s="116"/>
      <c r="L2906" s="117"/>
      <c r="M2906" s="67"/>
      <c r="N2906" s="33"/>
      <c r="O2906" s="70"/>
      <c r="P2906" s="34"/>
      <c r="Q2906" s="60"/>
      <c r="R2906" s="36"/>
      <c r="S2906" s="71"/>
      <c r="T2906" s="37"/>
      <c r="U2906" s="118"/>
      <c r="V2906" s="74"/>
      <c r="W2906" s="74"/>
      <c r="X2906" s="35"/>
      <c r="Y2906" s="35"/>
      <c r="Z2906" s="40"/>
      <c r="AA2906" s="34"/>
      <c r="AB2906" s="41"/>
      <c r="AC2906" s="42" t="b">
        <v>0</v>
      </c>
      <c r="AD2906" s="66"/>
      <c r="AE2906" s="42"/>
      <c r="AF2906" s="42"/>
      <c r="AG2906" s="43"/>
    </row>
    <row r="2907">
      <c r="A2907" s="23"/>
      <c r="B2907" s="101"/>
      <c r="C2907" s="115"/>
      <c r="D2907" s="115"/>
      <c r="E2907" s="85"/>
      <c r="F2907" s="138"/>
      <c r="G2907" s="101"/>
      <c r="H2907" s="105"/>
      <c r="I2907" s="105"/>
      <c r="J2907" s="44"/>
      <c r="K2907" s="116"/>
      <c r="L2907" s="117"/>
      <c r="M2907" s="67"/>
      <c r="N2907" s="33"/>
      <c r="O2907" s="70"/>
      <c r="P2907" s="34"/>
      <c r="Q2907" s="60"/>
      <c r="R2907" s="36"/>
      <c r="S2907" s="71"/>
      <c r="T2907" s="37"/>
      <c r="U2907" s="118"/>
      <c r="V2907" s="74"/>
      <c r="W2907" s="74"/>
      <c r="X2907" s="35"/>
      <c r="Y2907" s="35"/>
      <c r="Z2907" s="40"/>
      <c r="AA2907" s="34"/>
      <c r="AB2907" s="41"/>
      <c r="AC2907" s="42" t="b">
        <v>0</v>
      </c>
      <c r="AD2907" s="66"/>
      <c r="AE2907" s="42"/>
      <c r="AF2907" s="42"/>
      <c r="AG2907" s="43"/>
    </row>
    <row r="2908">
      <c r="A2908" s="23"/>
      <c r="B2908" s="101"/>
      <c r="C2908" s="115"/>
      <c r="D2908" s="115"/>
      <c r="E2908" s="85"/>
      <c r="F2908" s="138"/>
      <c r="G2908" s="101"/>
      <c r="H2908" s="105"/>
      <c r="I2908" s="105"/>
      <c r="J2908" s="44"/>
      <c r="K2908" s="116"/>
      <c r="L2908" s="117"/>
      <c r="M2908" s="67"/>
      <c r="N2908" s="33"/>
      <c r="O2908" s="70"/>
      <c r="P2908" s="34"/>
      <c r="Q2908" s="60"/>
      <c r="R2908" s="36"/>
      <c r="S2908" s="71"/>
      <c r="T2908" s="37"/>
      <c r="U2908" s="118"/>
      <c r="V2908" s="74"/>
      <c r="W2908" s="74"/>
      <c r="X2908" s="35"/>
      <c r="Y2908" s="35"/>
      <c r="Z2908" s="40"/>
      <c r="AA2908" s="34"/>
      <c r="AB2908" s="41"/>
      <c r="AC2908" s="42" t="b">
        <v>0</v>
      </c>
      <c r="AD2908" s="66"/>
      <c r="AE2908" s="42"/>
      <c r="AF2908" s="42"/>
      <c r="AG2908" s="43"/>
    </row>
    <row r="2909">
      <c r="A2909" s="23"/>
      <c r="B2909" s="101"/>
      <c r="C2909" s="115"/>
      <c r="D2909" s="115"/>
      <c r="E2909" s="85"/>
      <c r="F2909" s="138"/>
      <c r="G2909" s="101"/>
      <c r="H2909" s="105"/>
      <c r="I2909" s="105"/>
      <c r="J2909" s="44"/>
      <c r="K2909" s="116"/>
      <c r="L2909" s="117"/>
      <c r="M2909" s="67"/>
      <c r="N2909" s="33"/>
      <c r="O2909" s="70"/>
      <c r="P2909" s="34"/>
      <c r="Q2909" s="60"/>
      <c r="R2909" s="36"/>
      <c r="S2909" s="71"/>
      <c r="T2909" s="37"/>
      <c r="U2909" s="118"/>
      <c r="V2909" s="74"/>
      <c r="W2909" s="74"/>
      <c r="X2909" s="35"/>
      <c r="Y2909" s="35"/>
      <c r="Z2909" s="40"/>
      <c r="AA2909" s="34"/>
      <c r="AB2909" s="41"/>
      <c r="AC2909" s="42" t="b">
        <v>0</v>
      </c>
      <c r="AD2909" s="66"/>
      <c r="AE2909" s="42"/>
      <c r="AF2909" s="42"/>
      <c r="AG2909" s="43"/>
    </row>
    <row r="2910">
      <c r="A2910" s="23"/>
      <c r="B2910" s="101"/>
      <c r="C2910" s="115"/>
      <c r="D2910" s="115"/>
      <c r="E2910" s="85"/>
      <c r="F2910" s="138"/>
      <c r="G2910" s="101"/>
      <c r="H2910" s="105"/>
      <c r="I2910" s="105"/>
      <c r="J2910" s="44"/>
      <c r="K2910" s="116"/>
      <c r="L2910" s="117"/>
      <c r="M2910" s="67"/>
      <c r="N2910" s="33"/>
      <c r="O2910" s="70"/>
      <c r="P2910" s="34"/>
      <c r="Q2910" s="60"/>
      <c r="R2910" s="36"/>
      <c r="S2910" s="71"/>
      <c r="T2910" s="37"/>
      <c r="U2910" s="118"/>
      <c r="V2910" s="74"/>
      <c r="W2910" s="74"/>
      <c r="X2910" s="35"/>
      <c r="Y2910" s="35"/>
      <c r="Z2910" s="40"/>
      <c r="AA2910" s="34"/>
      <c r="AB2910" s="41"/>
      <c r="AC2910" s="42" t="b">
        <v>0</v>
      </c>
      <c r="AD2910" s="66"/>
      <c r="AE2910" s="42"/>
      <c r="AF2910" s="42"/>
      <c r="AG2910" s="43"/>
    </row>
    <row r="2911">
      <c r="A2911" s="23"/>
      <c r="B2911" s="101"/>
      <c r="C2911" s="115"/>
      <c r="D2911" s="115"/>
      <c r="E2911" s="85"/>
      <c r="F2911" s="138"/>
      <c r="G2911" s="101"/>
      <c r="H2911" s="105"/>
      <c r="I2911" s="105"/>
      <c r="J2911" s="44"/>
      <c r="K2911" s="116"/>
      <c r="L2911" s="117"/>
      <c r="M2911" s="67"/>
      <c r="N2911" s="33"/>
      <c r="O2911" s="70"/>
      <c r="P2911" s="34"/>
      <c r="Q2911" s="60"/>
      <c r="R2911" s="36"/>
      <c r="S2911" s="71"/>
      <c r="T2911" s="37"/>
      <c r="U2911" s="118"/>
      <c r="V2911" s="74"/>
      <c r="W2911" s="74"/>
      <c r="X2911" s="35"/>
      <c r="Y2911" s="35"/>
      <c r="Z2911" s="40"/>
      <c r="AA2911" s="34"/>
      <c r="AB2911" s="41"/>
      <c r="AC2911" s="42" t="b">
        <v>0</v>
      </c>
      <c r="AD2911" s="66"/>
      <c r="AE2911" s="42"/>
      <c r="AF2911" s="42"/>
      <c r="AG2911" s="43"/>
    </row>
    <row r="2912">
      <c r="A2912" s="23"/>
      <c r="B2912" s="101"/>
      <c r="C2912" s="115"/>
      <c r="D2912" s="115"/>
      <c r="E2912" s="85"/>
      <c r="F2912" s="138"/>
      <c r="G2912" s="101"/>
      <c r="H2912" s="105"/>
      <c r="I2912" s="105"/>
      <c r="J2912" s="44"/>
      <c r="K2912" s="116"/>
      <c r="L2912" s="117"/>
      <c r="M2912" s="67"/>
      <c r="N2912" s="33"/>
      <c r="O2912" s="70"/>
      <c r="P2912" s="34"/>
      <c r="Q2912" s="60"/>
      <c r="R2912" s="36"/>
      <c r="S2912" s="71"/>
      <c r="T2912" s="37"/>
      <c r="U2912" s="118"/>
      <c r="V2912" s="74"/>
      <c r="W2912" s="74"/>
      <c r="X2912" s="35"/>
      <c r="Y2912" s="35"/>
      <c r="Z2912" s="40"/>
      <c r="AA2912" s="34"/>
      <c r="AB2912" s="41"/>
      <c r="AC2912" s="42" t="b">
        <v>0</v>
      </c>
      <c r="AD2912" s="66"/>
      <c r="AE2912" s="42"/>
      <c r="AF2912" s="42"/>
      <c r="AG2912" s="43"/>
    </row>
    <row r="2913">
      <c r="A2913" s="23"/>
      <c r="B2913" s="101"/>
      <c r="C2913" s="115"/>
      <c r="D2913" s="115"/>
      <c r="E2913" s="85"/>
      <c r="F2913" s="138"/>
      <c r="G2913" s="101"/>
      <c r="H2913" s="105"/>
      <c r="I2913" s="105"/>
      <c r="J2913" s="44"/>
      <c r="K2913" s="116"/>
      <c r="L2913" s="117"/>
      <c r="M2913" s="67"/>
      <c r="N2913" s="33"/>
      <c r="O2913" s="70"/>
      <c r="P2913" s="34"/>
      <c r="Q2913" s="60"/>
      <c r="R2913" s="36"/>
      <c r="S2913" s="71"/>
      <c r="T2913" s="37"/>
      <c r="U2913" s="118"/>
      <c r="V2913" s="74"/>
      <c r="W2913" s="74"/>
      <c r="X2913" s="35"/>
      <c r="Y2913" s="35"/>
      <c r="Z2913" s="40"/>
      <c r="AA2913" s="34"/>
      <c r="AB2913" s="41"/>
      <c r="AC2913" s="42" t="b">
        <v>0</v>
      </c>
      <c r="AD2913" s="66"/>
      <c r="AE2913" s="42"/>
      <c r="AF2913" s="42"/>
      <c r="AG2913" s="43"/>
    </row>
    <row r="2914">
      <c r="A2914" s="23"/>
      <c r="B2914" s="101"/>
      <c r="C2914" s="115"/>
      <c r="D2914" s="115"/>
      <c r="E2914" s="85"/>
      <c r="F2914" s="138"/>
      <c r="G2914" s="101"/>
      <c r="H2914" s="105"/>
      <c r="I2914" s="105"/>
      <c r="J2914" s="44"/>
      <c r="K2914" s="116"/>
      <c r="L2914" s="117"/>
      <c r="M2914" s="67"/>
      <c r="N2914" s="33"/>
      <c r="O2914" s="70"/>
      <c r="P2914" s="34"/>
      <c r="Q2914" s="60"/>
      <c r="R2914" s="36"/>
      <c r="S2914" s="71"/>
      <c r="T2914" s="37"/>
      <c r="U2914" s="118"/>
      <c r="V2914" s="74"/>
      <c r="W2914" s="74"/>
      <c r="X2914" s="35"/>
      <c r="Y2914" s="35"/>
      <c r="Z2914" s="40"/>
      <c r="AA2914" s="34"/>
      <c r="AB2914" s="41"/>
      <c r="AC2914" s="42" t="b">
        <v>0</v>
      </c>
      <c r="AD2914" s="66"/>
      <c r="AE2914" s="42"/>
      <c r="AF2914" s="42"/>
      <c r="AG2914" s="43"/>
    </row>
    <row r="2915">
      <c r="A2915" s="23"/>
      <c r="B2915" s="101"/>
      <c r="C2915" s="115"/>
      <c r="D2915" s="115"/>
      <c r="E2915" s="85"/>
      <c r="F2915" s="138"/>
      <c r="G2915" s="101"/>
      <c r="H2915" s="105"/>
      <c r="I2915" s="105"/>
      <c r="J2915" s="44"/>
      <c r="K2915" s="116"/>
      <c r="L2915" s="117"/>
      <c r="M2915" s="67"/>
      <c r="N2915" s="33"/>
      <c r="O2915" s="70"/>
      <c r="P2915" s="34"/>
      <c r="Q2915" s="60"/>
      <c r="R2915" s="36"/>
      <c r="S2915" s="71"/>
      <c r="T2915" s="37"/>
      <c r="U2915" s="118"/>
      <c r="V2915" s="74"/>
      <c r="W2915" s="74"/>
      <c r="X2915" s="35"/>
      <c r="Y2915" s="35"/>
      <c r="Z2915" s="40"/>
      <c r="AA2915" s="34"/>
      <c r="AB2915" s="41"/>
      <c r="AC2915" s="42" t="b">
        <v>0</v>
      </c>
      <c r="AD2915" s="66"/>
      <c r="AE2915" s="42"/>
      <c r="AF2915" s="42"/>
      <c r="AG2915" s="43"/>
    </row>
    <row r="2916">
      <c r="A2916" s="23"/>
      <c r="B2916" s="101"/>
      <c r="C2916" s="115"/>
      <c r="D2916" s="115"/>
      <c r="E2916" s="85"/>
      <c r="F2916" s="138"/>
      <c r="G2916" s="101"/>
      <c r="H2916" s="105"/>
      <c r="I2916" s="105"/>
      <c r="J2916" s="44"/>
      <c r="K2916" s="116"/>
      <c r="L2916" s="117"/>
      <c r="M2916" s="67"/>
      <c r="N2916" s="33"/>
      <c r="O2916" s="70"/>
      <c r="P2916" s="34"/>
      <c r="Q2916" s="60"/>
      <c r="R2916" s="36"/>
      <c r="S2916" s="71"/>
      <c r="T2916" s="37"/>
      <c r="U2916" s="118"/>
      <c r="V2916" s="74"/>
      <c r="W2916" s="74"/>
      <c r="X2916" s="35"/>
      <c r="Y2916" s="35"/>
      <c r="Z2916" s="40"/>
      <c r="AA2916" s="34"/>
      <c r="AB2916" s="41"/>
      <c r="AC2916" s="42" t="b">
        <v>0</v>
      </c>
      <c r="AD2916" s="66"/>
      <c r="AE2916" s="42"/>
      <c r="AF2916" s="42"/>
      <c r="AG2916" s="43"/>
    </row>
    <row r="2917">
      <c r="A2917" s="23"/>
      <c r="B2917" s="101"/>
      <c r="C2917" s="115"/>
      <c r="D2917" s="115"/>
      <c r="E2917" s="85"/>
      <c r="F2917" s="138"/>
      <c r="G2917" s="101"/>
      <c r="H2917" s="105"/>
      <c r="I2917" s="105"/>
      <c r="J2917" s="44"/>
      <c r="K2917" s="116"/>
      <c r="L2917" s="117"/>
      <c r="M2917" s="67"/>
      <c r="N2917" s="33"/>
      <c r="O2917" s="70"/>
      <c r="P2917" s="34"/>
      <c r="Q2917" s="60"/>
      <c r="R2917" s="36"/>
      <c r="S2917" s="71"/>
      <c r="T2917" s="37"/>
      <c r="U2917" s="118"/>
      <c r="V2917" s="74"/>
      <c r="W2917" s="74"/>
      <c r="X2917" s="35"/>
      <c r="Y2917" s="35"/>
      <c r="Z2917" s="40"/>
      <c r="AA2917" s="34"/>
      <c r="AB2917" s="41"/>
      <c r="AC2917" s="42" t="b">
        <v>0</v>
      </c>
      <c r="AD2917" s="66"/>
      <c r="AE2917" s="42"/>
      <c r="AF2917" s="42"/>
      <c r="AG2917" s="43"/>
    </row>
    <row r="2918">
      <c r="A2918" s="23"/>
      <c r="B2918" s="101"/>
      <c r="C2918" s="115"/>
      <c r="D2918" s="115"/>
      <c r="E2918" s="85"/>
      <c r="F2918" s="138"/>
      <c r="G2918" s="101"/>
      <c r="H2918" s="105"/>
      <c r="I2918" s="105"/>
      <c r="J2918" s="44"/>
      <c r="K2918" s="116"/>
      <c r="L2918" s="117"/>
      <c r="M2918" s="67"/>
      <c r="N2918" s="33"/>
      <c r="O2918" s="70"/>
      <c r="P2918" s="34"/>
      <c r="Q2918" s="60"/>
      <c r="R2918" s="36"/>
      <c r="S2918" s="71"/>
      <c r="T2918" s="37"/>
      <c r="U2918" s="118"/>
      <c r="V2918" s="74"/>
      <c r="W2918" s="74"/>
      <c r="X2918" s="35"/>
      <c r="Y2918" s="35"/>
      <c r="Z2918" s="40"/>
      <c r="AA2918" s="34"/>
      <c r="AB2918" s="41"/>
      <c r="AC2918" s="42" t="b">
        <v>0</v>
      </c>
      <c r="AD2918" s="66"/>
      <c r="AE2918" s="42"/>
      <c r="AF2918" s="42"/>
      <c r="AG2918" s="43"/>
    </row>
    <row r="2919">
      <c r="A2919" s="23"/>
      <c r="B2919" s="101"/>
      <c r="C2919" s="115"/>
      <c r="D2919" s="115"/>
      <c r="E2919" s="85"/>
      <c r="F2919" s="138"/>
      <c r="G2919" s="101"/>
      <c r="H2919" s="105"/>
      <c r="I2919" s="105"/>
      <c r="J2919" s="44"/>
      <c r="K2919" s="116"/>
      <c r="L2919" s="117"/>
      <c r="M2919" s="67"/>
      <c r="N2919" s="33"/>
      <c r="O2919" s="70"/>
      <c r="P2919" s="34"/>
      <c r="Q2919" s="60"/>
      <c r="R2919" s="36"/>
      <c r="S2919" s="71"/>
      <c r="T2919" s="37"/>
      <c r="U2919" s="118"/>
      <c r="V2919" s="74"/>
      <c r="W2919" s="74"/>
      <c r="X2919" s="35"/>
      <c r="Y2919" s="35"/>
      <c r="Z2919" s="40"/>
      <c r="AA2919" s="34"/>
      <c r="AB2919" s="41"/>
      <c r="AC2919" s="42" t="b">
        <v>0</v>
      </c>
      <c r="AD2919" s="66"/>
      <c r="AE2919" s="42"/>
      <c r="AF2919" s="42"/>
      <c r="AG2919" s="43"/>
    </row>
    <row r="2920">
      <c r="A2920" s="23"/>
      <c r="B2920" s="101"/>
      <c r="C2920" s="115"/>
      <c r="D2920" s="115"/>
      <c r="E2920" s="85"/>
      <c r="F2920" s="138"/>
      <c r="G2920" s="101"/>
      <c r="H2920" s="105"/>
      <c r="I2920" s="105"/>
      <c r="J2920" s="44"/>
      <c r="K2920" s="116"/>
      <c r="L2920" s="117"/>
      <c r="M2920" s="67"/>
      <c r="N2920" s="33"/>
      <c r="O2920" s="70"/>
      <c r="P2920" s="34"/>
      <c r="Q2920" s="60"/>
      <c r="R2920" s="36"/>
      <c r="S2920" s="71"/>
      <c r="T2920" s="37"/>
      <c r="U2920" s="118"/>
      <c r="V2920" s="74"/>
      <c r="W2920" s="74"/>
      <c r="X2920" s="35"/>
      <c r="Y2920" s="35"/>
      <c r="Z2920" s="40"/>
      <c r="AA2920" s="34"/>
      <c r="AB2920" s="41"/>
      <c r="AC2920" s="42" t="b">
        <v>0</v>
      </c>
      <c r="AD2920" s="66"/>
      <c r="AE2920" s="42"/>
      <c r="AF2920" s="42"/>
      <c r="AG2920" s="43"/>
    </row>
    <row r="2921">
      <c r="A2921" s="23"/>
      <c r="B2921" s="101"/>
      <c r="C2921" s="115"/>
      <c r="D2921" s="115"/>
      <c r="E2921" s="85"/>
      <c r="F2921" s="138"/>
      <c r="G2921" s="101"/>
      <c r="H2921" s="105"/>
      <c r="I2921" s="105"/>
      <c r="J2921" s="44"/>
      <c r="K2921" s="116"/>
      <c r="L2921" s="117"/>
      <c r="M2921" s="67"/>
      <c r="N2921" s="33"/>
      <c r="O2921" s="70"/>
      <c r="P2921" s="34"/>
      <c r="Q2921" s="60"/>
      <c r="R2921" s="36"/>
      <c r="S2921" s="71"/>
      <c r="T2921" s="37"/>
      <c r="U2921" s="118"/>
      <c r="V2921" s="74"/>
      <c r="W2921" s="74"/>
      <c r="X2921" s="35"/>
      <c r="Y2921" s="35"/>
      <c r="Z2921" s="40"/>
      <c r="AA2921" s="34"/>
      <c r="AB2921" s="41"/>
      <c r="AC2921" s="42" t="b">
        <v>0</v>
      </c>
      <c r="AD2921" s="66"/>
      <c r="AE2921" s="42"/>
      <c r="AF2921" s="42"/>
      <c r="AG2921" s="43"/>
    </row>
    <row r="2922">
      <c r="A2922" s="23"/>
      <c r="B2922" s="101"/>
      <c r="C2922" s="115"/>
      <c r="D2922" s="115"/>
      <c r="E2922" s="85"/>
      <c r="F2922" s="138"/>
      <c r="G2922" s="101"/>
      <c r="H2922" s="105"/>
      <c r="I2922" s="105"/>
      <c r="J2922" s="44"/>
      <c r="K2922" s="116"/>
      <c r="L2922" s="117"/>
      <c r="M2922" s="67"/>
      <c r="N2922" s="33"/>
      <c r="O2922" s="70"/>
      <c r="P2922" s="34"/>
      <c r="Q2922" s="60"/>
      <c r="R2922" s="36"/>
      <c r="S2922" s="71"/>
      <c r="T2922" s="37"/>
      <c r="U2922" s="118"/>
      <c r="V2922" s="74"/>
      <c r="W2922" s="74"/>
      <c r="X2922" s="35"/>
      <c r="Y2922" s="35"/>
      <c r="Z2922" s="40"/>
      <c r="AA2922" s="34"/>
      <c r="AB2922" s="41"/>
      <c r="AC2922" s="42" t="b">
        <v>0</v>
      </c>
      <c r="AD2922" s="66"/>
      <c r="AE2922" s="42"/>
      <c r="AF2922" s="42"/>
      <c r="AG2922" s="43"/>
    </row>
    <row r="2923">
      <c r="A2923" s="23"/>
      <c r="B2923" s="101"/>
      <c r="C2923" s="115"/>
      <c r="D2923" s="115"/>
      <c r="E2923" s="85"/>
      <c r="F2923" s="138"/>
      <c r="G2923" s="101"/>
      <c r="H2923" s="105"/>
      <c r="I2923" s="105"/>
      <c r="J2923" s="44"/>
      <c r="K2923" s="116"/>
      <c r="L2923" s="117"/>
      <c r="M2923" s="67"/>
      <c r="N2923" s="33"/>
      <c r="O2923" s="70"/>
      <c r="P2923" s="34"/>
      <c r="Q2923" s="60"/>
      <c r="R2923" s="36"/>
      <c r="S2923" s="71"/>
      <c r="T2923" s="37"/>
      <c r="U2923" s="118"/>
      <c r="V2923" s="74"/>
      <c r="W2923" s="74"/>
      <c r="X2923" s="35"/>
      <c r="Y2923" s="35"/>
      <c r="Z2923" s="40"/>
      <c r="AA2923" s="34"/>
      <c r="AB2923" s="41"/>
      <c r="AC2923" s="42" t="b">
        <v>0</v>
      </c>
      <c r="AD2923" s="66"/>
      <c r="AE2923" s="42"/>
      <c r="AF2923" s="42"/>
      <c r="AG2923" s="43"/>
    </row>
    <row r="2924">
      <c r="A2924" s="23"/>
      <c r="B2924" s="101"/>
      <c r="C2924" s="115"/>
      <c r="D2924" s="115"/>
      <c r="E2924" s="85"/>
      <c r="F2924" s="138"/>
      <c r="G2924" s="101"/>
      <c r="H2924" s="105"/>
      <c r="I2924" s="105"/>
      <c r="J2924" s="44"/>
      <c r="K2924" s="116"/>
      <c r="L2924" s="117"/>
      <c r="M2924" s="67"/>
      <c r="N2924" s="33"/>
      <c r="O2924" s="70"/>
      <c r="P2924" s="34"/>
      <c r="Q2924" s="60"/>
      <c r="R2924" s="36"/>
      <c r="S2924" s="71"/>
      <c r="T2924" s="37"/>
      <c r="U2924" s="118"/>
      <c r="V2924" s="74"/>
      <c r="W2924" s="74"/>
      <c r="X2924" s="35"/>
      <c r="Y2924" s="35"/>
      <c r="Z2924" s="40"/>
      <c r="AA2924" s="34"/>
      <c r="AB2924" s="41"/>
      <c r="AC2924" s="42" t="b">
        <v>0</v>
      </c>
      <c r="AD2924" s="66"/>
      <c r="AE2924" s="42"/>
      <c r="AF2924" s="42"/>
      <c r="AG2924" s="43"/>
    </row>
    <row r="2925">
      <c r="A2925" s="23"/>
      <c r="B2925" s="101"/>
      <c r="C2925" s="115"/>
      <c r="D2925" s="115"/>
      <c r="E2925" s="85"/>
      <c r="F2925" s="138"/>
      <c r="G2925" s="101"/>
      <c r="H2925" s="105"/>
      <c r="I2925" s="105"/>
      <c r="J2925" s="44"/>
      <c r="K2925" s="116"/>
      <c r="L2925" s="117"/>
      <c r="M2925" s="67"/>
      <c r="N2925" s="33"/>
      <c r="O2925" s="70"/>
      <c r="P2925" s="34"/>
      <c r="Q2925" s="60"/>
      <c r="R2925" s="36"/>
      <c r="S2925" s="71"/>
      <c r="T2925" s="37"/>
      <c r="U2925" s="118"/>
      <c r="V2925" s="74"/>
      <c r="W2925" s="74"/>
      <c r="X2925" s="35"/>
      <c r="Y2925" s="35"/>
      <c r="Z2925" s="40"/>
      <c r="AA2925" s="34"/>
      <c r="AB2925" s="41"/>
      <c r="AC2925" s="42" t="b">
        <v>0</v>
      </c>
      <c r="AD2925" s="66"/>
      <c r="AE2925" s="42"/>
      <c r="AF2925" s="42"/>
      <c r="AG2925" s="43"/>
    </row>
    <row r="2926">
      <c r="A2926" s="23"/>
      <c r="B2926" s="101"/>
      <c r="C2926" s="115"/>
      <c r="D2926" s="115"/>
      <c r="E2926" s="85"/>
      <c r="F2926" s="138"/>
      <c r="G2926" s="101"/>
      <c r="H2926" s="105"/>
      <c r="I2926" s="105"/>
      <c r="J2926" s="44"/>
      <c r="K2926" s="116"/>
      <c r="L2926" s="117"/>
      <c r="M2926" s="67"/>
      <c r="N2926" s="33"/>
      <c r="O2926" s="70"/>
      <c r="P2926" s="34"/>
      <c r="Q2926" s="60"/>
      <c r="R2926" s="36"/>
      <c r="S2926" s="71"/>
      <c r="T2926" s="37"/>
      <c r="U2926" s="118"/>
      <c r="V2926" s="74"/>
      <c r="W2926" s="74"/>
      <c r="X2926" s="35"/>
      <c r="Y2926" s="35"/>
      <c r="Z2926" s="40"/>
      <c r="AA2926" s="34"/>
      <c r="AB2926" s="41"/>
      <c r="AC2926" s="42" t="b">
        <v>0</v>
      </c>
      <c r="AD2926" s="66"/>
      <c r="AE2926" s="42"/>
      <c r="AF2926" s="42"/>
      <c r="AG2926" s="43"/>
    </row>
    <row r="2927">
      <c r="A2927" s="23"/>
      <c r="B2927" s="101"/>
      <c r="C2927" s="115"/>
      <c r="D2927" s="115"/>
      <c r="E2927" s="85"/>
      <c r="F2927" s="138"/>
      <c r="G2927" s="101"/>
      <c r="H2927" s="105"/>
      <c r="I2927" s="105"/>
      <c r="J2927" s="44"/>
      <c r="K2927" s="116"/>
      <c r="L2927" s="117"/>
      <c r="M2927" s="67"/>
      <c r="N2927" s="33"/>
      <c r="O2927" s="70"/>
      <c r="P2927" s="34"/>
      <c r="Q2927" s="60"/>
      <c r="R2927" s="36"/>
      <c r="S2927" s="71"/>
      <c r="T2927" s="37"/>
      <c r="U2927" s="118"/>
      <c r="V2927" s="74"/>
      <c r="W2927" s="74"/>
      <c r="X2927" s="35"/>
      <c r="Y2927" s="35"/>
      <c r="Z2927" s="40"/>
      <c r="AA2927" s="34"/>
      <c r="AB2927" s="41"/>
      <c r="AC2927" s="42" t="b">
        <v>0</v>
      </c>
      <c r="AD2927" s="66"/>
      <c r="AE2927" s="42"/>
      <c r="AF2927" s="42"/>
      <c r="AG2927" s="43"/>
    </row>
    <row r="2928">
      <c r="A2928" s="23"/>
      <c r="B2928" s="101"/>
      <c r="C2928" s="115"/>
      <c r="D2928" s="115"/>
      <c r="E2928" s="85"/>
      <c r="F2928" s="138"/>
      <c r="G2928" s="101"/>
      <c r="H2928" s="105"/>
      <c r="I2928" s="105"/>
      <c r="J2928" s="44"/>
      <c r="K2928" s="116"/>
      <c r="L2928" s="117"/>
      <c r="M2928" s="67"/>
      <c r="N2928" s="33"/>
      <c r="O2928" s="70"/>
      <c r="P2928" s="34"/>
      <c r="Q2928" s="60"/>
      <c r="R2928" s="36"/>
      <c r="S2928" s="71"/>
      <c r="T2928" s="37"/>
      <c r="U2928" s="118"/>
      <c r="V2928" s="74"/>
      <c r="W2928" s="74"/>
      <c r="X2928" s="35"/>
      <c r="Y2928" s="35"/>
      <c r="Z2928" s="40"/>
      <c r="AA2928" s="34"/>
      <c r="AB2928" s="41"/>
      <c r="AC2928" s="42" t="b">
        <v>0</v>
      </c>
      <c r="AD2928" s="66"/>
      <c r="AE2928" s="42"/>
      <c r="AF2928" s="42"/>
      <c r="AG2928" s="43"/>
    </row>
    <row r="2929">
      <c r="A2929" s="23"/>
      <c r="B2929" s="101"/>
      <c r="C2929" s="115"/>
      <c r="D2929" s="115"/>
      <c r="E2929" s="85"/>
      <c r="F2929" s="138"/>
      <c r="G2929" s="101"/>
      <c r="H2929" s="105"/>
      <c r="I2929" s="105"/>
      <c r="J2929" s="44"/>
      <c r="K2929" s="116"/>
      <c r="L2929" s="117"/>
      <c r="M2929" s="67"/>
      <c r="N2929" s="33"/>
      <c r="O2929" s="70"/>
      <c r="P2929" s="34"/>
      <c r="Q2929" s="60"/>
      <c r="R2929" s="36"/>
      <c r="S2929" s="71"/>
      <c r="T2929" s="37"/>
      <c r="U2929" s="118"/>
      <c r="V2929" s="74"/>
      <c r="W2929" s="74"/>
      <c r="X2929" s="35"/>
      <c r="Y2929" s="35"/>
      <c r="Z2929" s="40"/>
      <c r="AA2929" s="34"/>
      <c r="AB2929" s="41"/>
      <c r="AC2929" s="42" t="b">
        <v>0</v>
      </c>
      <c r="AD2929" s="66"/>
      <c r="AE2929" s="42"/>
      <c r="AF2929" s="42"/>
      <c r="AG2929" s="43"/>
    </row>
    <row r="2930">
      <c r="A2930" s="23"/>
      <c r="B2930" s="101"/>
      <c r="C2930" s="115"/>
      <c r="D2930" s="115"/>
      <c r="E2930" s="85"/>
      <c r="F2930" s="138"/>
      <c r="G2930" s="101"/>
      <c r="H2930" s="105"/>
      <c r="I2930" s="105"/>
      <c r="J2930" s="44"/>
      <c r="K2930" s="116"/>
      <c r="L2930" s="117"/>
      <c r="M2930" s="67"/>
      <c r="N2930" s="33"/>
      <c r="O2930" s="70"/>
      <c r="P2930" s="34"/>
      <c r="Q2930" s="60"/>
      <c r="R2930" s="36"/>
      <c r="S2930" s="71"/>
      <c r="T2930" s="37"/>
      <c r="U2930" s="118"/>
      <c r="V2930" s="74"/>
      <c r="W2930" s="74"/>
      <c r="X2930" s="35"/>
      <c r="Y2930" s="35"/>
      <c r="Z2930" s="40"/>
      <c r="AA2930" s="34"/>
      <c r="AB2930" s="41"/>
      <c r="AC2930" s="42" t="b">
        <v>0</v>
      </c>
      <c r="AD2930" s="66"/>
      <c r="AE2930" s="42"/>
      <c r="AF2930" s="42"/>
      <c r="AG2930" s="43"/>
    </row>
    <row r="2931">
      <c r="A2931" s="23"/>
      <c r="B2931" s="101"/>
      <c r="C2931" s="115"/>
      <c r="D2931" s="115"/>
      <c r="E2931" s="85"/>
      <c r="F2931" s="138"/>
      <c r="G2931" s="101"/>
      <c r="H2931" s="105"/>
      <c r="I2931" s="105"/>
      <c r="J2931" s="44"/>
      <c r="K2931" s="116"/>
      <c r="L2931" s="117"/>
      <c r="M2931" s="67"/>
      <c r="N2931" s="33"/>
      <c r="O2931" s="70"/>
      <c r="P2931" s="34"/>
      <c r="Q2931" s="60"/>
      <c r="R2931" s="36"/>
      <c r="S2931" s="71"/>
      <c r="T2931" s="37"/>
      <c r="U2931" s="118"/>
      <c r="V2931" s="74"/>
      <c r="W2931" s="74"/>
      <c r="X2931" s="35"/>
      <c r="Y2931" s="35"/>
      <c r="Z2931" s="40"/>
      <c r="AA2931" s="34"/>
      <c r="AB2931" s="41"/>
      <c r="AC2931" s="42" t="b">
        <v>0</v>
      </c>
      <c r="AD2931" s="66"/>
      <c r="AE2931" s="42"/>
      <c r="AF2931" s="42"/>
      <c r="AG2931" s="43"/>
    </row>
    <row r="2932">
      <c r="A2932" s="23"/>
      <c r="B2932" s="101"/>
      <c r="C2932" s="115"/>
      <c r="D2932" s="115"/>
      <c r="E2932" s="85"/>
      <c r="F2932" s="138"/>
      <c r="G2932" s="101"/>
      <c r="H2932" s="105"/>
      <c r="I2932" s="105"/>
      <c r="J2932" s="44"/>
      <c r="K2932" s="116"/>
      <c r="L2932" s="117"/>
      <c r="M2932" s="67"/>
      <c r="N2932" s="33"/>
      <c r="O2932" s="70"/>
      <c r="P2932" s="34"/>
      <c r="Q2932" s="60"/>
      <c r="R2932" s="36"/>
      <c r="S2932" s="71"/>
      <c r="T2932" s="37"/>
      <c r="U2932" s="118"/>
      <c r="V2932" s="74"/>
      <c r="W2932" s="74"/>
      <c r="X2932" s="35"/>
      <c r="Y2932" s="35"/>
      <c r="Z2932" s="40"/>
      <c r="AA2932" s="34"/>
      <c r="AB2932" s="41"/>
      <c r="AC2932" s="42" t="b">
        <v>0</v>
      </c>
      <c r="AD2932" s="66"/>
      <c r="AE2932" s="42"/>
      <c r="AF2932" s="42"/>
      <c r="AG2932" s="43"/>
    </row>
    <row r="2933">
      <c r="A2933" s="23"/>
      <c r="B2933" s="101"/>
      <c r="C2933" s="115"/>
      <c r="D2933" s="115"/>
      <c r="E2933" s="85"/>
      <c r="F2933" s="138"/>
      <c r="G2933" s="101"/>
      <c r="H2933" s="105"/>
      <c r="I2933" s="105"/>
      <c r="J2933" s="44"/>
      <c r="K2933" s="116"/>
      <c r="L2933" s="117"/>
      <c r="M2933" s="67"/>
      <c r="N2933" s="33"/>
      <c r="O2933" s="70"/>
      <c r="P2933" s="34"/>
      <c r="Q2933" s="60"/>
      <c r="R2933" s="36"/>
      <c r="S2933" s="71"/>
      <c r="T2933" s="37"/>
      <c r="U2933" s="118"/>
      <c r="V2933" s="74"/>
      <c r="W2933" s="74"/>
      <c r="X2933" s="35"/>
      <c r="Y2933" s="35"/>
      <c r="Z2933" s="40"/>
      <c r="AA2933" s="34"/>
      <c r="AB2933" s="41"/>
      <c r="AC2933" s="42" t="b">
        <v>0</v>
      </c>
      <c r="AD2933" s="66"/>
      <c r="AE2933" s="42"/>
      <c r="AF2933" s="42"/>
      <c r="AG2933" s="43"/>
    </row>
    <row r="2934">
      <c r="A2934" s="23"/>
      <c r="B2934" s="101"/>
      <c r="C2934" s="115"/>
      <c r="D2934" s="115"/>
      <c r="E2934" s="85"/>
      <c r="F2934" s="138"/>
      <c r="G2934" s="101"/>
      <c r="H2934" s="105"/>
      <c r="I2934" s="105"/>
      <c r="J2934" s="44"/>
      <c r="K2934" s="116"/>
      <c r="L2934" s="117"/>
      <c r="M2934" s="67"/>
      <c r="N2934" s="33"/>
      <c r="O2934" s="70"/>
      <c r="P2934" s="34"/>
      <c r="Q2934" s="60"/>
      <c r="R2934" s="36"/>
      <c r="S2934" s="71"/>
      <c r="T2934" s="37"/>
      <c r="U2934" s="118"/>
      <c r="V2934" s="74"/>
      <c r="W2934" s="74"/>
      <c r="X2934" s="35"/>
      <c r="Y2934" s="35"/>
      <c r="Z2934" s="40"/>
      <c r="AA2934" s="34"/>
      <c r="AB2934" s="41"/>
      <c r="AC2934" s="42" t="b">
        <v>0</v>
      </c>
      <c r="AD2934" s="66"/>
      <c r="AE2934" s="42"/>
      <c r="AF2934" s="42"/>
      <c r="AG2934" s="43"/>
    </row>
    <row r="2935">
      <c r="A2935" s="23"/>
      <c r="B2935" s="101"/>
      <c r="C2935" s="115"/>
      <c r="D2935" s="115"/>
      <c r="E2935" s="85"/>
      <c r="F2935" s="138"/>
      <c r="G2935" s="101"/>
      <c r="H2935" s="105"/>
      <c r="I2935" s="105"/>
      <c r="J2935" s="44"/>
      <c r="K2935" s="116"/>
      <c r="L2935" s="117"/>
      <c r="M2935" s="67"/>
      <c r="N2935" s="33"/>
      <c r="O2935" s="70"/>
      <c r="P2935" s="34"/>
      <c r="Q2935" s="60"/>
      <c r="R2935" s="36"/>
      <c r="S2935" s="71"/>
      <c r="T2935" s="37"/>
      <c r="U2935" s="118"/>
      <c r="V2935" s="74"/>
      <c r="W2935" s="74"/>
      <c r="X2935" s="35"/>
      <c r="Y2935" s="35"/>
      <c r="Z2935" s="40"/>
      <c r="AA2935" s="34"/>
      <c r="AB2935" s="41"/>
      <c r="AC2935" s="42" t="b">
        <v>0</v>
      </c>
      <c r="AD2935" s="66"/>
      <c r="AE2935" s="42"/>
      <c r="AF2935" s="42"/>
      <c r="AG2935" s="43"/>
    </row>
    <row r="2936">
      <c r="A2936" s="23"/>
      <c r="B2936" s="101"/>
      <c r="C2936" s="115"/>
      <c r="D2936" s="115"/>
      <c r="E2936" s="85"/>
      <c r="F2936" s="138"/>
      <c r="G2936" s="101"/>
      <c r="H2936" s="105"/>
      <c r="I2936" s="105"/>
      <c r="J2936" s="44"/>
      <c r="K2936" s="116"/>
      <c r="L2936" s="117"/>
      <c r="M2936" s="67"/>
      <c r="N2936" s="33"/>
      <c r="O2936" s="70"/>
      <c r="P2936" s="34"/>
      <c r="Q2936" s="60"/>
      <c r="R2936" s="36"/>
      <c r="S2936" s="71"/>
      <c r="T2936" s="37"/>
      <c r="U2936" s="118"/>
      <c r="V2936" s="74"/>
      <c r="W2936" s="74"/>
      <c r="X2936" s="35"/>
      <c r="Y2936" s="35"/>
      <c r="Z2936" s="40"/>
      <c r="AA2936" s="34"/>
      <c r="AB2936" s="41"/>
      <c r="AC2936" s="42" t="b">
        <v>0</v>
      </c>
      <c r="AD2936" s="66"/>
      <c r="AE2936" s="42"/>
      <c r="AF2936" s="42"/>
      <c r="AG2936" s="43"/>
    </row>
    <row r="2937">
      <c r="A2937" s="23"/>
      <c r="B2937" s="101"/>
      <c r="C2937" s="115"/>
      <c r="D2937" s="115"/>
      <c r="E2937" s="85"/>
      <c r="F2937" s="138"/>
      <c r="G2937" s="101"/>
      <c r="H2937" s="105"/>
      <c r="I2937" s="105"/>
      <c r="J2937" s="44"/>
      <c r="K2937" s="116"/>
      <c r="L2937" s="117"/>
      <c r="M2937" s="67"/>
      <c r="N2937" s="33"/>
      <c r="O2937" s="70"/>
      <c r="P2937" s="34"/>
      <c r="Q2937" s="60"/>
      <c r="R2937" s="36"/>
      <c r="S2937" s="71"/>
      <c r="T2937" s="37"/>
      <c r="U2937" s="118"/>
      <c r="V2937" s="74"/>
      <c r="W2937" s="74"/>
      <c r="X2937" s="35"/>
      <c r="Y2937" s="35"/>
      <c r="Z2937" s="40"/>
      <c r="AA2937" s="34"/>
      <c r="AB2937" s="41"/>
      <c r="AC2937" s="42" t="b">
        <v>0</v>
      </c>
      <c r="AD2937" s="66"/>
      <c r="AE2937" s="42"/>
      <c r="AF2937" s="42"/>
      <c r="AG2937" s="43"/>
    </row>
    <row r="2938">
      <c r="A2938" s="23"/>
      <c r="B2938" s="101"/>
      <c r="C2938" s="115"/>
      <c r="D2938" s="115"/>
      <c r="E2938" s="85"/>
      <c r="F2938" s="138"/>
      <c r="G2938" s="101"/>
      <c r="H2938" s="105"/>
      <c r="I2938" s="105"/>
      <c r="J2938" s="44"/>
      <c r="K2938" s="116"/>
      <c r="L2938" s="117"/>
      <c r="M2938" s="67"/>
      <c r="N2938" s="33"/>
      <c r="O2938" s="70"/>
      <c r="P2938" s="34"/>
      <c r="Q2938" s="60"/>
      <c r="R2938" s="36"/>
      <c r="S2938" s="71"/>
      <c r="T2938" s="37"/>
      <c r="U2938" s="118"/>
      <c r="V2938" s="74"/>
      <c r="W2938" s="74"/>
      <c r="X2938" s="35"/>
      <c r="Y2938" s="35"/>
      <c r="Z2938" s="40"/>
      <c r="AA2938" s="34"/>
      <c r="AB2938" s="41"/>
      <c r="AC2938" s="42" t="b">
        <v>0</v>
      </c>
      <c r="AD2938" s="66"/>
      <c r="AE2938" s="42"/>
      <c r="AF2938" s="42"/>
      <c r="AG2938" s="43"/>
    </row>
    <row r="2939">
      <c r="A2939" s="23"/>
      <c r="B2939" s="101"/>
      <c r="C2939" s="115"/>
      <c r="D2939" s="115"/>
      <c r="E2939" s="85"/>
      <c r="F2939" s="138"/>
      <c r="G2939" s="101"/>
      <c r="H2939" s="105"/>
      <c r="I2939" s="105"/>
      <c r="J2939" s="44"/>
      <c r="K2939" s="116"/>
      <c r="L2939" s="117"/>
      <c r="M2939" s="67"/>
      <c r="N2939" s="33"/>
      <c r="O2939" s="70"/>
      <c r="P2939" s="34"/>
      <c r="Q2939" s="60"/>
      <c r="R2939" s="36"/>
      <c r="S2939" s="71"/>
      <c r="T2939" s="37"/>
      <c r="U2939" s="118"/>
      <c r="V2939" s="74"/>
      <c r="W2939" s="74"/>
      <c r="X2939" s="35"/>
      <c r="Y2939" s="35"/>
      <c r="Z2939" s="40"/>
      <c r="AA2939" s="34"/>
      <c r="AB2939" s="41"/>
      <c r="AC2939" s="42" t="b">
        <v>0</v>
      </c>
      <c r="AD2939" s="66"/>
      <c r="AE2939" s="42"/>
      <c r="AF2939" s="42"/>
      <c r="AG2939" s="43"/>
    </row>
    <row r="2940">
      <c r="A2940" s="23"/>
      <c r="B2940" s="101"/>
      <c r="C2940" s="115"/>
      <c r="D2940" s="115"/>
      <c r="E2940" s="85"/>
      <c r="F2940" s="138"/>
      <c r="G2940" s="101"/>
      <c r="H2940" s="105"/>
      <c r="I2940" s="105"/>
      <c r="J2940" s="44"/>
      <c r="K2940" s="116"/>
      <c r="L2940" s="117"/>
      <c r="M2940" s="67"/>
      <c r="N2940" s="33"/>
      <c r="O2940" s="70"/>
      <c r="P2940" s="34"/>
      <c r="Q2940" s="60"/>
      <c r="R2940" s="36"/>
      <c r="S2940" s="71"/>
      <c r="T2940" s="37"/>
      <c r="U2940" s="118"/>
      <c r="V2940" s="74"/>
      <c r="W2940" s="74"/>
      <c r="X2940" s="35"/>
      <c r="Y2940" s="35"/>
      <c r="Z2940" s="40"/>
      <c r="AA2940" s="34"/>
      <c r="AB2940" s="41"/>
      <c r="AC2940" s="42" t="b">
        <v>0</v>
      </c>
      <c r="AD2940" s="66"/>
      <c r="AE2940" s="42"/>
      <c r="AF2940" s="42"/>
      <c r="AG2940" s="43"/>
    </row>
    <row r="2941">
      <c r="A2941" s="23"/>
      <c r="B2941" s="101"/>
      <c r="C2941" s="115"/>
      <c r="D2941" s="115"/>
      <c r="E2941" s="85"/>
      <c r="F2941" s="138"/>
      <c r="G2941" s="101"/>
      <c r="H2941" s="105"/>
      <c r="I2941" s="105"/>
      <c r="J2941" s="44"/>
      <c r="K2941" s="116"/>
      <c r="L2941" s="117"/>
      <c r="M2941" s="67"/>
      <c r="N2941" s="33"/>
      <c r="O2941" s="70"/>
      <c r="P2941" s="34"/>
      <c r="Q2941" s="60"/>
      <c r="R2941" s="36"/>
      <c r="S2941" s="71"/>
      <c r="T2941" s="37"/>
      <c r="U2941" s="118"/>
      <c r="V2941" s="74"/>
      <c r="W2941" s="74"/>
      <c r="X2941" s="35"/>
      <c r="Y2941" s="35"/>
      <c r="Z2941" s="40"/>
      <c r="AA2941" s="34"/>
      <c r="AB2941" s="41"/>
      <c r="AC2941" s="42" t="b">
        <v>0</v>
      </c>
      <c r="AD2941" s="66"/>
      <c r="AE2941" s="42"/>
      <c r="AF2941" s="42"/>
      <c r="AG2941" s="43"/>
    </row>
    <row r="2942">
      <c r="A2942" s="23"/>
      <c r="B2942" s="101"/>
      <c r="C2942" s="115"/>
      <c r="D2942" s="115"/>
      <c r="E2942" s="85"/>
      <c r="F2942" s="138"/>
      <c r="G2942" s="101"/>
      <c r="H2942" s="105"/>
      <c r="I2942" s="105"/>
      <c r="J2942" s="44"/>
      <c r="K2942" s="116"/>
      <c r="L2942" s="117"/>
      <c r="M2942" s="67"/>
      <c r="N2942" s="33"/>
      <c r="O2942" s="70"/>
      <c r="P2942" s="34"/>
      <c r="Q2942" s="60"/>
      <c r="R2942" s="36"/>
      <c r="S2942" s="71"/>
      <c r="T2942" s="37"/>
      <c r="U2942" s="118"/>
      <c r="V2942" s="74"/>
      <c r="W2942" s="74"/>
      <c r="X2942" s="35"/>
      <c r="Y2942" s="35"/>
      <c r="Z2942" s="40"/>
      <c r="AA2942" s="34"/>
      <c r="AB2942" s="41"/>
      <c r="AC2942" s="42" t="b">
        <v>0</v>
      </c>
      <c r="AD2942" s="66"/>
      <c r="AE2942" s="42"/>
      <c r="AF2942" s="42"/>
      <c r="AG2942" s="43"/>
    </row>
    <row r="2943">
      <c r="A2943" s="23"/>
      <c r="B2943" s="101"/>
      <c r="C2943" s="115"/>
      <c r="D2943" s="115"/>
      <c r="E2943" s="85"/>
      <c r="F2943" s="138"/>
      <c r="G2943" s="101"/>
      <c r="H2943" s="105"/>
      <c r="I2943" s="105"/>
      <c r="J2943" s="44"/>
      <c r="K2943" s="116"/>
      <c r="L2943" s="117"/>
      <c r="M2943" s="67"/>
      <c r="N2943" s="33"/>
      <c r="O2943" s="70"/>
      <c r="P2943" s="34"/>
      <c r="Q2943" s="60"/>
      <c r="R2943" s="36"/>
      <c r="S2943" s="71"/>
      <c r="T2943" s="37"/>
      <c r="U2943" s="118"/>
      <c r="V2943" s="74"/>
      <c r="W2943" s="74"/>
      <c r="X2943" s="35"/>
      <c r="Y2943" s="35"/>
      <c r="Z2943" s="40"/>
      <c r="AA2943" s="34"/>
      <c r="AB2943" s="41"/>
      <c r="AC2943" s="42" t="b">
        <v>0</v>
      </c>
      <c r="AD2943" s="66"/>
      <c r="AE2943" s="42"/>
      <c r="AF2943" s="42"/>
      <c r="AG2943" s="43"/>
    </row>
    <row r="2944">
      <c r="A2944" s="23"/>
      <c r="B2944" s="101"/>
      <c r="C2944" s="115"/>
      <c r="D2944" s="115"/>
      <c r="E2944" s="85"/>
      <c r="F2944" s="138"/>
      <c r="G2944" s="101"/>
      <c r="H2944" s="105"/>
      <c r="I2944" s="105"/>
      <c r="J2944" s="44"/>
      <c r="K2944" s="116"/>
      <c r="L2944" s="117"/>
      <c r="M2944" s="67"/>
      <c r="N2944" s="33"/>
      <c r="O2944" s="70"/>
      <c r="P2944" s="34"/>
      <c r="Q2944" s="60"/>
      <c r="R2944" s="36"/>
      <c r="S2944" s="71"/>
      <c r="T2944" s="37"/>
      <c r="U2944" s="118"/>
      <c r="V2944" s="74"/>
      <c r="W2944" s="74"/>
      <c r="X2944" s="35"/>
      <c r="Y2944" s="35"/>
      <c r="Z2944" s="40"/>
      <c r="AA2944" s="34"/>
      <c r="AB2944" s="41"/>
      <c r="AC2944" s="42" t="b">
        <v>0</v>
      </c>
      <c r="AD2944" s="66"/>
      <c r="AE2944" s="42"/>
      <c r="AF2944" s="42"/>
      <c r="AG2944" s="43"/>
    </row>
    <row r="2945">
      <c r="A2945" s="23"/>
      <c r="B2945" s="101"/>
      <c r="C2945" s="115"/>
      <c r="D2945" s="115"/>
      <c r="E2945" s="85"/>
      <c r="F2945" s="138"/>
      <c r="G2945" s="101"/>
      <c r="H2945" s="105"/>
      <c r="I2945" s="105"/>
      <c r="J2945" s="44"/>
      <c r="K2945" s="116"/>
      <c r="L2945" s="117"/>
      <c r="M2945" s="67"/>
      <c r="N2945" s="33"/>
      <c r="O2945" s="70"/>
      <c r="P2945" s="34"/>
      <c r="Q2945" s="60"/>
      <c r="R2945" s="36"/>
      <c r="S2945" s="71"/>
      <c r="T2945" s="37"/>
      <c r="U2945" s="118"/>
      <c r="V2945" s="74"/>
      <c r="W2945" s="74"/>
      <c r="X2945" s="35"/>
      <c r="Y2945" s="35"/>
      <c r="Z2945" s="40"/>
      <c r="AA2945" s="34"/>
      <c r="AB2945" s="41"/>
      <c r="AC2945" s="42" t="b">
        <v>0</v>
      </c>
      <c r="AD2945" s="66"/>
      <c r="AE2945" s="42"/>
      <c r="AF2945" s="42"/>
      <c r="AG2945" s="43"/>
    </row>
    <row r="2946">
      <c r="A2946" s="23"/>
      <c r="B2946" s="101"/>
      <c r="C2946" s="115"/>
      <c r="D2946" s="115"/>
      <c r="E2946" s="85"/>
      <c r="F2946" s="138"/>
      <c r="G2946" s="101"/>
      <c r="H2946" s="105"/>
      <c r="I2946" s="105"/>
      <c r="J2946" s="44"/>
      <c r="K2946" s="116"/>
      <c r="L2946" s="117"/>
      <c r="M2946" s="67"/>
      <c r="N2946" s="33"/>
      <c r="O2946" s="70"/>
      <c r="P2946" s="34"/>
      <c r="Q2946" s="60"/>
      <c r="R2946" s="36"/>
      <c r="S2946" s="71"/>
      <c r="T2946" s="37"/>
      <c r="U2946" s="118"/>
      <c r="V2946" s="74"/>
      <c r="W2946" s="74"/>
      <c r="X2946" s="35"/>
      <c r="Y2946" s="35"/>
      <c r="Z2946" s="40"/>
      <c r="AA2946" s="34"/>
      <c r="AB2946" s="41"/>
      <c r="AC2946" s="42" t="b">
        <v>0</v>
      </c>
      <c r="AD2946" s="66"/>
      <c r="AE2946" s="42"/>
      <c r="AF2946" s="42"/>
      <c r="AG2946" s="43"/>
    </row>
    <row r="2947">
      <c r="A2947" s="23"/>
      <c r="B2947" s="101"/>
      <c r="C2947" s="115"/>
      <c r="D2947" s="115"/>
      <c r="E2947" s="85"/>
      <c r="F2947" s="138"/>
      <c r="G2947" s="101"/>
      <c r="H2947" s="105"/>
      <c r="I2947" s="105"/>
      <c r="J2947" s="44"/>
      <c r="K2947" s="116"/>
      <c r="L2947" s="117"/>
      <c r="M2947" s="67"/>
      <c r="N2947" s="33"/>
      <c r="O2947" s="70"/>
      <c r="P2947" s="34"/>
      <c r="Q2947" s="60"/>
      <c r="R2947" s="36"/>
      <c r="S2947" s="71"/>
      <c r="T2947" s="37"/>
      <c r="U2947" s="118"/>
      <c r="V2947" s="74"/>
      <c r="W2947" s="74"/>
      <c r="X2947" s="35"/>
      <c r="Y2947" s="35"/>
      <c r="Z2947" s="40"/>
      <c r="AA2947" s="34"/>
      <c r="AB2947" s="41"/>
      <c r="AC2947" s="42" t="b">
        <v>0</v>
      </c>
      <c r="AD2947" s="66"/>
      <c r="AE2947" s="42"/>
      <c r="AF2947" s="42"/>
      <c r="AG2947" s="43"/>
    </row>
    <row r="2948">
      <c r="A2948" s="23"/>
      <c r="B2948" s="101"/>
      <c r="C2948" s="115"/>
      <c r="D2948" s="115"/>
      <c r="E2948" s="85"/>
      <c r="F2948" s="138"/>
      <c r="G2948" s="101"/>
      <c r="H2948" s="105"/>
      <c r="I2948" s="105"/>
      <c r="J2948" s="44"/>
      <c r="K2948" s="116"/>
      <c r="L2948" s="117"/>
      <c r="M2948" s="67"/>
      <c r="N2948" s="33"/>
      <c r="O2948" s="70"/>
      <c r="P2948" s="34"/>
      <c r="Q2948" s="60"/>
      <c r="R2948" s="36"/>
      <c r="S2948" s="71"/>
      <c r="T2948" s="37"/>
      <c r="U2948" s="118"/>
      <c r="V2948" s="74"/>
      <c r="W2948" s="74"/>
      <c r="X2948" s="35"/>
      <c r="Y2948" s="35"/>
      <c r="Z2948" s="40"/>
      <c r="AA2948" s="34"/>
      <c r="AB2948" s="41"/>
      <c r="AC2948" s="42" t="b">
        <v>0</v>
      </c>
      <c r="AD2948" s="66"/>
      <c r="AE2948" s="42"/>
      <c r="AF2948" s="42"/>
      <c r="AG2948" s="43"/>
    </row>
    <row r="2949">
      <c r="A2949" s="23"/>
      <c r="B2949" s="101"/>
      <c r="C2949" s="115"/>
      <c r="D2949" s="115"/>
      <c r="E2949" s="85"/>
      <c r="F2949" s="138"/>
      <c r="G2949" s="101"/>
      <c r="H2949" s="105"/>
      <c r="I2949" s="105"/>
      <c r="J2949" s="44"/>
      <c r="K2949" s="116"/>
      <c r="L2949" s="117"/>
      <c r="M2949" s="67"/>
      <c r="N2949" s="33"/>
      <c r="O2949" s="70"/>
      <c r="P2949" s="34"/>
      <c r="Q2949" s="60"/>
      <c r="R2949" s="36"/>
      <c r="S2949" s="71"/>
      <c r="T2949" s="37"/>
      <c r="U2949" s="118"/>
      <c r="V2949" s="74"/>
      <c r="W2949" s="74"/>
      <c r="X2949" s="35"/>
      <c r="Y2949" s="35"/>
      <c r="Z2949" s="40"/>
      <c r="AA2949" s="34"/>
      <c r="AB2949" s="41"/>
      <c r="AC2949" s="42" t="b">
        <v>0</v>
      </c>
      <c r="AD2949" s="66"/>
      <c r="AE2949" s="42"/>
      <c r="AF2949" s="42"/>
      <c r="AG2949" s="43"/>
    </row>
    <row r="2950">
      <c r="A2950" s="23"/>
      <c r="B2950" s="101"/>
      <c r="C2950" s="115"/>
      <c r="D2950" s="115"/>
      <c r="E2950" s="85"/>
      <c r="F2950" s="138"/>
      <c r="G2950" s="101"/>
      <c r="H2950" s="105"/>
      <c r="I2950" s="105"/>
      <c r="J2950" s="44"/>
      <c r="K2950" s="116"/>
      <c r="L2950" s="117"/>
      <c r="M2950" s="67"/>
      <c r="N2950" s="33"/>
      <c r="O2950" s="70"/>
      <c r="P2950" s="34"/>
      <c r="Q2950" s="60"/>
      <c r="R2950" s="36"/>
      <c r="S2950" s="71"/>
      <c r="T2950" s="37"/>
      <c r="U2950" s="118"/>
      <c r="V2950" s="74"/>
      <c r="W2950" s="74"/>
      <c r="X2950" s="35"/>
      <c r="Y2950" s="35"/>
      <c r="Z2950" s="40"/>
      <c r="AA2950" s="34"/>
      <c r="AB2950" s="41"/>
      <c r="AC2950" s="42" t="b">
        <v>0</v>
      </c>
      <c r="AD2950" s="66"/>
      <c r="AE2950" s="42"/>
      <c r="AF2950" s="42"/>
      <c r="AG2950" s="43"/>
    </row>
    <row r="2951">
      <c r="A2951" s="23"/>
      <c r="B2951" s="101"/>
      <c r="C2951" s="115"/>
      <c r="D2951" s="115"/>
      <c r="E2951" s="85"/>
      <c r="F2951" s="138"/>
      <c r="G2951" s="101"/>
      <c r="H2951" s="105"/>
      <c r="I2951" s="105"/>
      <c r="J2951" s="44"/>
      <c r="K2951" s="116"/>
      <c r="L2951" s="117"/>
      <c r="M2951" s="67"/>
      <c r="N2951" s="33"/>
      <c r="O2951" s="70"/>
      <c r="P2951" s="34"/>
      <c r="Q2951" s="60"/>
      <c r="R2951" s="36"/>
      <c r="S2951" s="71"/>
      <c r="T2951" s="37"/>
      <c r="U2951" s="118"/>
      <c r="V2951" s="74"/>
      <c r="W2951" s="74"/>
      <c r="X2951" s="35"/>
      <c r="Y2951" s="35"/>
      <c r="Z2951" s="40"/>
      <c r="AA2951" s="34"/>
      <c r="AB2951" s="41"/>
      <c r="AC2951" s="42" t="b">
        <v>0</v>
      </c>
      <c r="AD2951" s="66"/>
      <c r="AE2951" s="42"/>
      <c r="AF2951" s="42"/>
      <c r="AG2951" s="43"/>
    </row>
    <row r="2952">
      <c r="A2952" s="23"/>
      <c r="B2952" s="101"/>
      <c r="C2952" s="115"/>
      <c r="D2952" s="115"/>
      <c r="E2952" s="85"/>
      <c r="F2952" s="138"/>
      <c r="G2952" s="101"/>
      <c r="H2952" s="105"/>
      <c r="I2952" s="105"/>
      <c r="J2952" s="44"/>
      <c r="K2952" s="116"/>
      <c r="L2952" s="117"/>
      <c r="M2952" s="67"/>
      <c r="N2952" s="33"/>
      <c r="O2952" s="70"/>
      <c r="P2952" s="34"/>
      <c r="Q2952" s="60"/>
      <c r="R2952" s="36"/>
      <c r="S2952" s="71"/>
      <c r="T2952" s="37"/>
      <c r="U2952" s="118"/>
      <c r="V2952" s="74"/>
      <c r="W2952" s="74"/>
      <c r="X2952" s="35"/>
      <c r="Y2952" s="35"/>
      <c r="Z2952" s="40"/>
      <c r="AA2952" s="34"/>
      <c r="AB2952" s="41"/>
      <c r="AC2952" s="42" t="b">
        <v>0</v>
      </c>
      <c r="AD2952" s="66"/>
      <c r="AE2952" s="42"/>
      <c r="AF2952" s="42"/>
      <c r="AG2952" s="43"/>
    </row>
    <row r="2953">
      <c r="A2953" s="23"/>
      <c r="B2953" s="101"/>
      <c r="C2953" s="115"/>
      <c r="D2953" s="115"/>
      <c r="E2953" s="85"/>
      <c r="F2953" s="138"/>
      <c r="G2953" s="101"/>
      <c r="H2953" s="105"/>
      <c r="I2953" s="105"/>
      <c r="J2953" s="44"/>
      <c r="K2953" s="116"/>
      <c r="L2953" s="117"/>
      <c r="M2953" s="67"/>
      <c r="N2953" s="33"/>
      <c r="O2953" s="70"/>
      <c r="P2953" s="34"/>
      <c r="Q2953" s="60"/>
      <c r="R2953" s="36"/>
      <c r="S2953" s="71"/>
      <c r="T2953" s="37"/>
      <c r="U2953" s="118"/>
      <c r="V2953" s="74"/>
      <c r="W2953" s="74"/>
      <c r="X2953" s="35"/>
      <c r="Y2953" s="35"/>
      <c r="Z2953" s="40"/>
      <c r="AA2953" s="34"/>
      <c r="AB2953" s="41"/>
      <c r="AC2953" s="42" t="b">
        <v>0</v>
      </c>
      <c r="AD2953" s="66"/>
      <c r="AE2953" s="42"/>
      <c r="AF2953" s="42"/>
      <c r="AG2953" s="43"/>
    </row>
    <row r="2954">
      <c r="A2954" s="23"/>
      <c r="B2954" s="101"/>
      <c r="C2954" s="115"/>
      <c r="D2954" s="115"/>
      <c r="E2954" s="85"/>
      <c r="F2954" s="138"/>
      <c r="G2954" s="101"/>
      <c r="H2954" s="105"/>
      <c r="I2954" s="105"/>
      <c r="J2954" s="44"/>
      <c r="K2954" s="116"/>
      <c r="L2954" s="117"/>
      <c r="M2954" s="67"/>
      <c r="N2954" s="33"/>
      <c r="O2954" s="70"/>
      <c r="P2954" s="34"/>
      <c r="Q2954" s="60"/>
      <c r="R2954" s="36"/>
      <c r="S2954" s="71"/>
      <c r="T2954" s="37"/>
      <c r="U2954" s="118"/>
      <c r="V2954" s="74"/>
      <c r="W2954" s="74"/>
      <c r="X2954" s="35"/>
      <c r="Y2954" s="35"/>
      <c r="Z2954" s="40"/>
      <c r="AA2954" s="34"/>
      <c r="AB2954" s="41"/>
      <c r="AC2954" s="42" t="b">
        <v>0</v>
      </c>
      <c r="AD2954" s="66"/>
      <c r="AE2954" s="42"/>
      <c r="AF2954" s="42"/>
      <c r="AG2954" s="43"/>
    </row>
    <row r="2955">
      <c r="A2955" s="23"/>
      <c r="B2955" s="101"/>
      <c r="C2955" s="115"/>
      <c r="D2955" s="115"/>
      <c r="E2955" s="85"/>
      <c r="F2955" s="138"/>
      <c r="G2955" s="101"/>
      <c r="H2955" s="105"/>
      <c r="I2955" s="105"/>
      <c r="J2955" s="44"/>
      <c r="K2955" s="116"/>
      <c r="L2955" s="117"/>
      <c r="M2955" s="67"/>
      <c r="N2955" s="33"/>
      <c r="O2955" s="70"/>
      <c r="P2955" s="34"/>
      <c r="Q2955" s="60"/>
      <c r="R2955" s="36"/>
      <c r="S2955" s="71"/>
      <c r="T2955" s="37"/>
      <c r="U2955" s="118"/>
      <c r="V2955" s="74"/>
      <c r="W2955" s="74"/>
      <c r="X2955" s="35"/>
      <c r="Y2955" s="35"/>
      <c r="Z2955" s="40"/>
      <c r="AA2955" s="34"/>
      <c r="AB2955" s="41"/>
      <c r="AC2955" s="42" t="b">
        <v>0</v>
      </c>
      <c r="AD2955" s="66"/>
      <c r="AE2955" s="42"/>
      <c r="AF2955" s="42"/>
      <c r="AG2955" s="43"/>
    </row>
    <row r="2956">
      <c r="A2956" s="23"/>
      <c r="B2956" s="101"/>
      <c r="C2956" s="115"/>
      <c r="D2956" s="115"/>
      <c r="E2956" s="85"/>
      <c r="F2956" s="138"/>
      <c r="G2956" s="101"/>
      <c r="H2956" s="105"/>
      <c r="I2956" s="105"/>
      <c r="J2956" s="44"/>
      <c r="K2956" s="116"/>
      <c r="L2956" s="117"/>
      <c r="M2956" s="67"/>
      <c r="N2956" s="33"/>
      <c r="O2956" s="70"/>
      <c r="P2956" s="34"/>
      <c r="Q2956" s="60"/>
      <c r="R2956" s="36"/>
      <c r="S2956" s="71"/>
      <c r="T2956" s="37"/>
      <c r="U2956" s="118"/>
      <c r="V2956" s="74"/>
      <c r="W2956" s="74"/>
      <c r="X2956" s="35"/>
      <c r="Y2956" s="35"/>
      <c r="Z2956" s="40"/>
      <c r="AA2956" s="34"/>
      <c r="AB2956" s="41"/>
      <c r="AC2956" s="42" t="b">
        <v>0</v>
      </c>
      <c r="AD2956" s="66"/>
      <c r="AE2956" s="42"/>
      <c r="AF2956" s="42"/>
      <c r="AG2956" s="43"/>
    </row>
    <row r="2957">
      <c r="A2957" s="23"/>
      <c r="B2957" s="101"/>
      <c r="C2957" s="115"/>
      <c r="D2957" s="115"/>
      <c r="E2957" s="85"/>
      <c r="F2957" s="138"/>
      <c r="G2957" s="101"/>
      <c r="H2957" s="105"/>
      <c r="I2957" s="105"/>
      <c r="J2957" s="44"/>
      <c r="K2957" s="116"/>
      <c r="L2957" s="117"/>
      <c r="M2957" s="67"/>
      <c r="N2957" s="33"/>
      <c r="O2957" s="70"/>
      <c r="P2957" s="34"/>
      <c r="Q2957" s="60"/>
      <c r="R2957" s="36"/>
      <c r="S2957" s="71"/>
      <c r="T2957" s="37"/>
      <c r="U2957" s="118"/>
      <c r="V2957" s="74"/>
      <c r="W2957" s="74"/>
      <c r="X2957" s="35"/>
      <c r="Y2957" s="35"/>
      <c r="Z2957" s="40"/>
      <c r="AA2957" s="34"/>
      <c r="AB2957" s="41"/>
      <c r="AC2957" s="42" t="b">
        <v>0</v>
      </c>
      <c r="AD2957" s="66"/>
      <c r="AE2957" s="42"/>
      <c r="AF2957" s="42"/>
      <c r="AG2957" s="43"/>
    </row>
    <row r="2958">
      <c r="A2958" s="23"/>
      <c r="B2958" s="101"/>
      <c r="C2958" s="115"/>
      <c r="D2958" s="115"/>
      <c r="E2958" s="85"/>
      <c r="F2958" s="138"/>
      <c r="G2958" s="101"/>
      <c r="H2958" s="105"/>
      <c r="I2958" s="105"/>
      <c r="J2958" s="44"/>
      <c r="K2958" s="116"/>
      <c r="L2958" s="117"/>
      <c r="M2958" s="67"/>
      <c r="N2958" s="33"/>
      <c r="O2958" s="70"/>
      <c r="P2958" s="34"/>
      <c r="Q2958" s="60"/>
      <c r="R2958" s="36"/>
      <c r="S2958" s="71"/>
      <c r="T2958" s="37"/>
      <c r="U2958" s="118"/>
      <c r="V2958" s="74"/>
      <c r="W2958" s="74"/>
      <c r="X2958" s="35"/>
      <c r="Y2958" s="35"/>
      <c r="Z2958" s="40"/>
      <c r="AA2958" s="34"/>
      <c r="AB2958" s="41"/>
      <c r="AC2958" s="42" t="b">
        <v>0</v>
      </c>
      <c r="AD2958" s="66"/>
      <c r="AE2958" s="42"/>
      <c r="AF2958" s="42"/>
      <c r="AG2958" s="43"/>
    </row>
    <row r="2959">
      <c r="A2959" s="23"/>
      <c r="B2959" s="101"/>
      <c r="C2959" s="115"/>
      <c r="D2959" s="115"/>
      <c r="E2959" s="85"/>
      <c r="F2959" s="138"/>
      <c r="G2959" s="101"/>
      <c r="H2959" s="105"/>
      <c r="I2959" s="105"/>
      <c r="J2959" s="44"/>
      <c r="K2959" s="116"/>
      <c r="L2959" s="117"/>
      <c r="M2959" s="67"/>
      <c r="N2959" s="33"/>
      <c r="O2959" s="70"/>
      <c r="P2959" s="34"/>
      <c r="Q2959" s="60"/>
      <c r="R2959" s="36"/>
      <c r="S2959" s="71"/>
      <c r="T2959" s="37"/>
      <c r="U2959" s="118"/>
      <c r="V2959" s="74"/>
      <c r="W2959" s="74"/>
      <c r="X2959" s="35"/>
      <c r="Y2959" s="35"/>
      <c r="Z2959" s="40"/>
      <c r="AA2959" s="34"/>
      <c r="AB2959" s="41"/>
      <c r="AC2959" s="42" t="b">
        <v>0</v>
      </c>
      <c r="AD2959" s="66"/>
      <c r="AE2959" s="42"/>
      <c r="AF2959" s="42"/>
      <c r="AG2959" s="43"/>
    </row>
    <row r="2960">
      <c r="A2960" s="23"/>
      <c r="B2960" s="101"/>
      <c r="C2960" s="115"/>
      <c r="D2960" s="115"/>
      <c r="E2960" s="85"/>
      <c r="F2960" s="138"/>
      <c r="G2960" s="101"/>
      <c r="H2960" s="105"/>
      <c r="I2960" s="105"/>
      <c r="J2960" s="44"/>
      <c r="K2960" s="116"/>
      <c r="L2960" s="117"/>
      <c r="M2960" s="67"/>
      <c r="N2960" s="33"/>
      <c r="O2960" s="70"/>
      <c r="P2960" s="34"/>
      <c r="Q2960" s="60"/>
      <c r="R2960" s="36"/>
      <c r="S2960" s="71"/>
      <c r="T2960" s="37"/>
      <c r="U2960" s="118"/>
      <c r="V2960" s="74"/>
      <c r="W2960" s="74"/>
      <c r="X2960" s="35"/>
      <c r="Y2960" s="35"/>
      <c r="Z2960" s="40"/>
      <c r="AA2960" s="34"/>
      <c r="AB2960" s="41"/>
      <c r="AC2960" s="42" t="b">
        <v>0</v>
      </c>
      <c r="AD2960" s="66"/>
      <c r="AE2960" s="42"/>
      <c r="AF2960" s="42"/>
      <c r="AG2960" s="43"/>
    </row>
    <row r="2961">
      <c r="A2961" s="23"/>
      <c r="B2961" s="101"/>
      <c r="C2961" s="115"/>
      <c r="D2961" s="115"/>
      <c r="E2961" s="85"/>
      <c r="F2961" s="138"/>
      <c r="G2961" s="101"/>
      <c r="H2961" s="105"/>
      <c r="I2961" s="105"/>
      <c r="J2961" s="44"/>
      <c r="K2961" s="116"/>
      <c r="L2961" s="117"/>
      <c r="M2961" s="67"/>
      <c r="N2961" s="33"/>
      <c r="O2961" s="70"/>
      <c r="P2961" s="34"/>
      <c r="Q2961" s="60"/>
      <c r="R2961" s="36"/>
      <c r="S2961" s="71"/>
      <c r="T2961" s="37"/>
      <c r="U2961" s="118"/>
      <c r="V2961" s="74"/>
      <c r="W2961" s="74"/>
      <c r="X2961" s="35"/>
      <c r="Y2961" s="35"/>
      <c r="Z2961" s="40"/>
      <c r="AA2961" s="34"/>
      <c r="AB2961" s="41"/>
      <c r="AC2961" s="42" t="b">
        <v>0</v>
      </c>
      <c r="AD2961" s="66"/>
      <c r="AE2961" s="42"/>
      <c r="AF2961" s="42"/>
      <c r="AG2961" s="43"/>
    </row>
    <row r="2962">
      <c r="A2962" s="23"/>
      <c r="B2962" s="101"/>
      <c r="C2962" s="115"/>
      <c r="D2962" s="115"/>
      <c r="E2962" s="85"/>
      <c r="F2962" s="138"/>
      <c r="G2962" s="101"/>
      <c r="H2962" s="105"/>
      <c r="I2962" s="105"/>
      <c r="J2962" s="44"/>
      <c r="K2962" s="116"/>
      <c r="L2962" s="117"/>
      <c r="M2962" s="67"/>
      <c r="N2962" s="33"/>
      <c r="O2962" s="70"/>
      <c r="P2962" s="34"/>
      <c r="Q2962" s="60"/>
      <c r="R2962" s="36"/>
      <c r="S2962" s="71"/>
      <c r="T2962" s="37"/>
      <c r="U2962" s="118"/>
      <c r="V2962" s="74"/>
      <c r="W2962" s="74"/>
      <c r="X2962" s="35"/>
      <c r="Y2962" s="35"/>
      <c r="Z2962" s="40"/>
      <c r="AA2962" s="34"/>
      <c r="AB2962" s="41"/>
      <c r="AC2962" s="42" t="b">
        <v>0</v>
      </c>
      <c r="AD2962" s="66"/>
      <c r="AE2962" s="42"/>
      <c r="AF2962" s="42"/>
      <c r="AG2962" s="43"/>
    </row>
    <row r="2963">
      <c r="A2963" s="23"/>
      <c r="B2963" s="101"/>
      <c r="C2963" s="115"/>
      <c r="D2963" s="115"/>
      <c r="E2963" s="85"/>
      <c r="F2963" s="138"/>
      <c r="G2963" s="101"/>
      <c r="H2963" s="105"/>
      <c r="I2963" s="105"/>
      <c r="J2963" s="44"/>
      <c r="K2963" s="116"/>
      <c r="L2963" s="117"/>
      <c r="M2963" s="67"/>
      <c r="N2963" s="33"/>
      <c r="O2963" s="70"/>
      <c r="P2963" s="34"/>
      <c r="Q2963" s="60"/>
      <c r="R2963" s="36"/>
      <c r="S2963" s="71"/>
      <c r="T2963" s="37"/>
      <c r="U2963" s="118"/>
      <c r="V2963" s="74"/>
      <c r="W2963" s="74"/>
      <c r="X2963" s="35"/>
      <c r="Y2963" s="35"/>
      <c r="Z2963" s="40"/>
      <c r="AA2963" s="34"/>
      <c r="AB2963" s="41"/>
      <c r="AC2963" s="42" t="b">
        <v>0</v>
      </c>
      <c r="AD2963" s="66"/>
      <c r="AE2963" s="42"/>
      <c r="AF2963" s="42"/>
      <c r="AG2963" s="43"/>
    </row>
    <row r="2964">
      <c r="A2964" s="23"/>
      <c r="B2964" s="101"/>
      <c r="C2964" s="115"/>
      <c r="D2964" s="115"/>
      <c r="E2964" s="85"/>
      <c r="F2964" s="138"/>
      <c r="G2964" s="101"/>
      <c r="H2964" s="105"/>
      <c r="I2964" s="105"/>
      <c r="J2964" s="44"/>
      <c r="K2964" s="116"/>
      <c r="L2964" s="117"/>
      <c r="M2964" s="67"/>
      <c r="N2964" s="33"/>
      <c r="O2964" s="70"/>
      <c r="P2964" s="34"/>
      <c r="Q2964" s="60"/>
      <c r="R2964" s="36"/>
      <c r="S2964" s="71"/>
      <c r="T2964" s="37"/>
      <c r="U2964" s="118"/>
      <c r="V2964" s="74"/>
      <c r="W2964" s="74"/>
      <c r="X2964" s="35"/>
      <c r="Y2964" s="35"/>
      <c r="Z2964" s="40"/>
      <c r="AA2964" s="34"/>
      <c r="AB2964" s="41"/>
      <c r="AC2964" s="42" t="b">
        <v>0</v>
      </c>
      <c r="AD2964" s="66"/>
      <c r="AE2964" s="42"/>
      <c r="AF2964" s="42"/>
      <c r="AG2964" s="43"/>
    </row>
    <row r="2965">
      <c r="A2965" s="23"/>
      <c r="B2965" s="101"/>
      <c r="C2965" s="115"/>
      <c r="D2965" s="115"/>
      <c r="E2965" s="85"/>
      <c r="F2965" s="138"/>
      <c r="G2965" s="101"/>
      <c r="H2965" s="105"/>
      <c r="I2965" s="105"/>
      <c r="J2965" s="44"/>
      <c r="K2965" s="116"/>
      <c r="L2965" s="117"/>
      <c r="M2965" s="67"/>
      <c r="N2965" s="33"/>
      <c r="O2965" s="70"/>
      <c r="P2965" s="34"/>
      <c r="Q2965" s="60"/>
      <c r="R2965" s="36"/>
      <c r="S2965" s="71"/>
      <c r="T2965" s="37"/>
      <c r="U2965" s="118"/>
      <c r="V2965" s="74"/>
      <c r="W2965" s="74"/>
      <c r="X2965" s="35"/>
      <c r="Y2965" s="35"/>
      <c r="Z2965" s="40"/>
      <c r="AA2965" s="34"/>
      <c r="AB2965" s="41"/>
      <c r="AC2965" s="42" t="b">
        <v>0</v>
      </c>
      <c r="AD2965" s="66"/>
      <c r="AE2965" s="42"/>
      <c r="AF2965" s="42"/>
      <c r="AG2965" s="43"/>
    </row>
    <row r="2966">
      <c r="A2966" s="23"/>
      <c r="B2966" s="101"/>
      <c r="C2966" s="115"/>
      <c r="D2966" s="115"/>
      <c r="E2966" s="85"/>
      <c r="F2966" s="138"/>
      <c r="G2966" s="101"/>
      <c r="H2966" s="105"/>
      <c r="I2966" s="105"/>
      <c r="J2966" s="44"/>
      <c r="K2966" s="116"/>
      <c r="L2966" s="117"/>
      <c r="M2966" s="67"/>
      <c r="N2966" s="33"/>
      <c r="O2966" s="70"/>
      <c r="P2966" s="34"/>
      <c r="Q2966" s="60"/>
      <c r="R2966" s="36"/>
      <c r="S2966" s="71"/>
      <c r="T2966" s="37"/>
      <c r="U2966" s="118"/>
      <c r="V2966" s="74"/>
      <c r="W2966" s="74"/>
      <c r="X2966" s="35"/>
      <c r="Y2966" s="35"/>
      <c r="Z2966" s="40"/>
      <c r="AA2966" s="34"/>
      <c r="AB2966" s="41"/>
      <c r="AC2966" s="42" t="b">
        <v>0</v>
      </c>
      <c r="AD2966" s="66"/>
      <c r="AE2966" s="42"/>
      <c r="AF2966" s="42"/>
      <c r="AG2966" s="43"/>
    </row>
    <row r="2967">
      <c r="A2967" s="23"/>
      <c r="B2967" s="101"/>
      <c r="C2967" s="115"/>
      <c r="D2967" s="115"/>
      <c r="E2967" s="85"/>
      <c r="F2967" s="138"/>
      <c r="G2967" s="101"/>
      <c r="H2967" s="105"/>
      <c r="I2967" s="105"/>
      <c r="J2967" s="44"/>
      <c r="K2967" s="116"/>
      <c r="L2967" s="117"/>
      <c r="M2967" s="67"/>
      <c r="N2967" s="33"/>
      <c r="O2967" s="70"/>
      <c r="P2967" s="34"/>
      <c r="Q2967" s="60"/>
      <c r="R2967" s="36"/>
      <c r="S2967" s="71"/>
      <c r="T2967" s="37"/>
      <c r="U2967" s="118"/>
      <c r="V2967" s="74"/>
      <c r="W2967" s="74"/>
      <c r="X2967" s="35"/>
      <c r="Y2967" s="35"/>
      <c r="Z2967" s="40"/>
      <c r="AA2967" s="34"/>
      <c r="AB2967" s="41"/>
      <c r="AC2967" s="42" t="b">
        <v>0</v>
      </c>
      <c r="AD2967" s="66"/>
      <c r="AE2967" s="42"/>
      <c r="AF2967" s="42"/>
      <c r="AG2967" s="43"/>
    </row>
    <row r="2968">
      <c r="A2968" s="23"/>
      <c r="B2968" s="101"/>
      <c r="C2968" s="115"/>
      <c r="D2968" s="115"/>
      <c r="E2968" s="85"/>
      <c r="F2968" s="138"/>
      <c r="G2968" s="101"/>
      <c r="H2968" s="105"/>
      <c r="I2968" s="105"/>
      <c r="J2968" s="44"/>
      <c r="K2968" s="116"/>
      <c r="L2968" s="117"/>
      <c r="M2968" s="67"/>
      <c r="N2968" s="33"/>
      <c r="O2968" s="70"/>
      <c r="P2968" s="34"/>
      <c r="Q2968" s="60"/>
      <c r="R2968" s="36"/>
      <c r="S2968" s="71"/>
      <c r="T2968" s="37"/>
      <c r="U2968" s="118"/>
      <c r="V2968" s="74"/>
      <c r="W2968" s="74"/>
      <c r="X2968" s="35"/>
      <c r="Y2968" s="35"/>
      <c r="Z2968" s="40"/>
      <c r="AA2968" s="34"/>
      <c r="AB2968" s="41"/>
      <c r="AC2968" s="42" t="b">
        <v>0</v>
      </c>
      <c r="AD2968" s="66"/>
      <c r="AE2968" s="42"/>
      <c r="AF2968" s="42"/>
      <c r="AG2968" s="43"/>
    </row>
    <row r="2969">
      <c r="A2969" s="23"/>
      <c r="B2969" s="101"/>
      <c r="C2969" s="115"/>
      <c r="D2969" s="115"/>
      <c r="E2969" s="85"/>
      <c r="F2969" s="138"/>
      <c r="G2969" s="101"/>
      <c r="H2969" s="105"/>
      <c r="I2969" s="105"/>
      <c r="J2969" s="44"/>
      <c r="K2969" s="116"/>
      <c r="L2969" s="117"/>
      <c r="M2969" s="67"/>
      <c r="N2969" s="33"/>
      <c r="O2969" s="70"/>
      <c r="P2969" s="34"/>
      <c r="Q2969" s="60"/>
      <c r="R2969" s="36"/>
      <c r="S2969" s="71"/>
      <c r="T2969" s="37"/>
      <c r="U2969" s="118"/>
      <c r="V2969" s="74"/>
      <c r="W2969" s="74"/>
      <c r="X2969" s="35"/>
      <c r="Y2969" s="35"/>
      <c r="Z2969" s="40"/>
      <c r="AA2969" s="34"/>
      <c r="AB2969" s="41"/>
      <c r="AC2969" s="42" t="b">
        <v>0</v>
      </c>
      <c r="AD2969" s="66"/>
      <c r="AE2969" s="42"/>
      <c r="AF2969" s="42"/>
      <c r="AG2969" s="43"/>
    </row>
    <row r="2970">
      <c r="A2970" s="23"/>
      <c r="B2970" s="101"/>
      <c r="C2970" s="115"/>
      <c r="D2970" s="115"/>
      <c r="E2970" s="85"/>
      <c r="F2970" s="138"/>
      <c r="G2970" s="101"/>
      <c r="H2970" s="105"/>
      <c r="I2970" s="105"/>
      <c r="J2970" s="44"/>
      <c r="K2970" s="116"/>
      <c r="L2970" s="117"/>
      <c r="M2970" s="67"/>
      <c r="N2970" s="33"/>
      <c r="O2970" s="70"/>
      <c r="P2970" s="34"/>
      <c r="Q2970" s="60"/>
      <c r="R2970" s="36"/>
      <c r="S2970" s="71"/>
      <c r="T2970" s="37"/>
      <c r="U2970" s="118"/>
      <c r="V2970" s="74"/>
      <c r="W2970" s="74"/>
      <c r="X2970" s="35"/>
      <c r="Y2970" s="35"/>
      <c r="Z2970" s="40"/>
      <c r="AA2970" s="34"/>
      <c r="AB2970" s="41"/>
      <c r="AC2970" s="42" t="b">
        <v>0</v>
      </c>
      <c r="AD2970" s="66"/>
      <c r="AE2970" s="42"/>
      <c r="AF2970" s="42"/>
      <c r="AG2970" s="43"/>
    </row>
    <row r="2971">
      <c r="A2971" s="23"/>
      <c r="B2971" s="101"/>
      <c r="C2971" s="115"/>
      <c r="D2971" s="115"/>
      <c r="E2971" s="85"/>
      <c r="F2971" s="138"/>
      <c r="G2971" s="101"/>
      <c r="H2971" s="105"/>
      <c r="I2971" s="105"/>
      <c r="J2971" s="44"/>
      <c r="K2971" s="116"/>
      <c r="L2971" s="117"/>
      <c r="M2971" s="67"/>
      <c r="N2971" s="33"/>
      <c r="O2971" s="70"/>
      <c r="P2971" s="34"/>
      <c r="Q2971" s="60"/>
      <c r="R2971" s="36"/>
      <c r="S2971" s="71"/>
      <c r="T2971" s="37"/>
      <c r="U2971" s="118"/>
      <c r="V2971" s="74"/>
      <c r="W2971" s="74"/>
      <c r="X2971" s="35"/>
      <c r="Y2971" s="35"/>
      <c r="Z2971" s="40"/>
      <c r="AA2971" s="34"/>
      <c r="AB2971" s="41"/>
      <c r="AC2971" s="42" t="b">
        <v>0</v>
      </c>
      <c r="AD2971" s="66"/>
      <c r="AE2971" s="42"/>
      <c r="AF2971" s="42"/>
      <c r="AG2971" s="43"/>
    </row>
    <row r="2972">
      <c r="A2972" s="23"/>
      <c r="B2972" s="101"/>
      <c r="C2972" s="115"/>
      <c r="D2972" s="115"/>
      <c r="E2972" s="85"/>
      <c r="F2972" s="138"/>
      <c r="G2972" s="101"/>
      <c r="H2972" s="105"/>
      <c r="I2972" s="105"/>
      <c r="J2972" s="44"/>
      <c r="K2972" s="116"/>
      <c r="L2972" s="117"/>
      <c r="M2972" s="67"/>
      <c r="N2972" s="33"/>
      <c r="O2972" s="70"/>
      <c r="P2972" s="34"/>
      <c r="Q2972" s="60"/>
      <c r="R2972" s="36"/>
      <c r="S2972" s="71"/>
      <c r="T2972" s="37"/>
      <c r="U2972" s="118"/>
      <c r="V2972" s="74"/>
      <c r="W2972" s="74"/>
      <c r="X2972" s="35"/>
      <c r="Y2972" s="35"/>
      <c r="Z2972" s="40"/>
      <c r="AA2972" s="34"/>
      <c r="AB2972" s="41"/>
      <c r="AC2972" s="42" t="b">
        <v>0</v>
      </c>
      <c r="AD2972" s="66"/>
      <c r="AE2972" s="42"/>
      <c r="AF2972" s="42"/>
      <c r="AG2972" s="43"/>
    </row>
    <row r="2973">
      <c r="A2973" s="23"/>
      <c r="B2973" s="101"/>
      <c r="C2973" s="115"/>
      <c r="D2973" s="115"/>
      <c r="E2973" s="85"/>
      <c r="F2973" s="138"/>
      <c r="G2973" s="101"/>
      <c r="H2973" s="105"/>
      <c r="I2973" s="105"/>
      <c r="J2973" s="44"/>
      <c r="K2973" s="116"/>
      <c r="L2973" s="117"/>
      <c r="M2973" s="67"/>
      <c r="N2973" s="33"/>
      <c r="O2973" s="70"/>
      <c r="P2973" s="34"/>
      <c r="Q2973" s="60"/>
      <c r="R2973" s="36"/>
      <c r="S2973" s="71"/>
      <c r="T2973" s="37"/>
      <c r="U2973" s="118"/>
      <c r="V2973" s="74"/>
      <c r="W2973" s="74"/>
      <c r="X2973" s="35"/>
      <c r="Y2973" s="35"/>
      <c r="Z2973" s="40"/>
      <c r="AA2973" s="34"/>
      <c r="AB2973" s="41"/>
      <c r="AC2973" s="42" t="b">
        <v>0</v>
      </c>
      <c r="AD2973" s="66"/>
      <c r="AE2973" s="42"/>
      <c r="AF2973" s="42"/>
      <c r="AG2973" s="43"/>
    </row>
    <row r="2974">
      <c r="A2974" s="23"/>
      <c r="B2974" s="101"/>
      <c r="C2974" s="115"/>
      <c r="D2974" s="115"/>
      <c r="E2974" s="85"/>
      <c r="F2974" s="138"/>
      <c r="G2974" s="101"/>
      <c r="H2974" s="105"/>
      <c r="I2974" s="105"/>
      <c r="J2974" s="44"/>
      <c r="K2974" s="116"/>
      <c r="L2974" s="117"/>
      <c r="M2974" s="67"/>
      <c r="N2974" s="33"/>
      <c r="O2974" s="70"/>
      <c r="P2974" s="34"/>
      <c r="Q2974" s="60"/>
      <c r="R2974" s="36"/>
      <c r="S2974" s="71"/>
      <c r="T2974" s="37"/>
      <c r="U2974" s="118"/>
      <c r="V2974" s="74"/>
      <c r="W2974" s="74"/>
      <c r="X2974" s="35"/>
      <c r="Y2974" s="35"/>
      <c r="Z2974" s="40"/>
      <c r="AA2974" s="34"/>
      <c r="AB2974" s="41"/>
      <c r="AC2974" s="42" t="b">
        <v>0</v>
      </c>
      <c r="AD2974" s="66"/>
      <c r="AE2974" s="42"/>
      <c r="AF2974" s="42"/>
      <c r="AG2974" s="43"/>
    </row>
    <row r="2975">
      <c r="A2975" s="23"/>
      <c r="B2975" s="101"/>
      <c r="C2975" s="115"/>
      <c r="D2975" s="115"/>
      <c r="E2975" s="85"/>
      <c r="F2975" s="138"/>
      <c r="G2975" s="101"/>
      <c r="H2975" s="105"/>
      <c r="I2975" s="105"/>
      <c r="J2975" s="44"/>
      <c r="K2975" s="116"/>
      <c r="L2975" s="117"/>
      <c r="M2975" s="67"/>
      <c r="N2975" s="33"/>
      <c r="O2975" s="70"/>
      <c r="P2975" s="34"/>
      <c r="Q2975" s="60"/>
      <c r="R2975" s="36"/>
      <c r="S2975" s="71"/>
      <c r="T2975" s="37"/>
      <c r="U2975" s="118"/>
      <c r="V2975" s="74"/>
      <c r="W2975" s="74"/>
      <c r="X2975" s="35"/>
      <c r="Y2975" s="35"/>
      <c r="Z2975" s="40"/>
      <c r="AA2975" s="34"/>
      <c r="AB2975" s="41"/>
      <c r="AC2975" s="42" t="b">
        <v>0</v>
      </c>
      <c r="AD2975" s="66"/>
      <c r="AE2975" s="42"/>
      <c r="AF2975" s="42"/>
      <c r="AG2975" s="43"/>
    </row>
    <row r="2976">
      <c r="A2976" s="23"/>
      <c r="B2976" s="101"/>
      <c r="C2976" s="115"/>
      <c r="D2976" s="115"/>
      <c r="E2976" s="85"/>
      <c r="F2976" s="138"/>
      <c r="G2976" s="101"/>
      <c r="H2976" s="105"/>
      <c r="I2976" s="105"/>
      <c r="J2976" s="44"/>
      <c r="K2976" s="116"/>
      <c r="L2976" s="117"/>
      <c r="M2976" s="67"/>
      <c r="N2976" s="33"/>
      <c r="O2976" s="70"/>
      <c r="P2976" s="34"/>
      <c r="Q2976" s="60"/>
      <c r="R2976" s="36"/>
      <c r="S2976" s="71"/>
      <c r="T2976" s="37"/>
      <c r="U2976" s="118"/>
      <c r="V2976" s="74"/>
      <c r="W2976" s="74"/>
      <c r="X2976" s="35"/>
      <c r="Y2976" s="35"/>
      <c r="Z2976" s="40"/>
      <c r="AA2976" s="34"/>
      <c r="AB2976" s="41"/>
      <c r="AC2976" s="42" t="b">
        <v>0</v>
      </c>
      <c r="AD2976" s="66"/>
      <c r="AE2976" s="42"/>
      <c r="AF2976" s="42"/>
      <c r="AG2976" s="43"/>
    </row>
    <row r="2977">
      <c r="A2977" s="23"/>
      <c r="B2977" s="101"/>
      <c r="C2977" s="115"/>
      <c r="D2977" s="115"/>
      <c r="E2977" s="85"/>
      <c r="F2977" s="138"/>
      <c r="G2977" s="101"/>
      <c r="H2977" s="105"/>
      <c r="I2977" s="105"/>
      <c r="J2977" s="44"/>
      <c r="K2977" s="116"/>
      <c r="L2977" s="117"/>
      <c r="M2977" s="67"/>
      <c r="N2977" s="33"/>
      <c r="O2977" s="70"/>
      <c r="P2977" s="34"/>
      <c r="Q2977" s="60"/>
      <c r="R2977" s="36"/>
      <c r="S2977" s="71"/>
      <c r="T2977" s="37"/>
      <c r="U2977" s="118"/>
      <c r="V2977" s="74"/>
      <c r="W2977" s="74"/>
      <c r="X2977" s="35"/>
      <c r="Y2977" s="35"/>
      <c r="Z2977" s="40"/>
      <c r="AA2977" s="34"/>
      <c r="AB2977" s="41"/>
      <c r="AC2977" s="42" t="b">
        <v>0</v>
      </c>
      <c r="AD2977" s="66"/>
      <c r="AE2977" s="42"/>
      <c r="AF2977" s="42"/>
      <c r="AG2977" s="43"/>
    </row>
    <row r="2978">
      <c r="A2978" s="23"/>
      <c r="B2978" s="101"/>
      <c r="C2978" s="115"/>
      <c r="D2978" s="115"/>
      <c r="E2978" s="85"/>
      <c r="F2978" s="138"/>
      <c r="G2978" s="101"/>
      <c r="H2978" s="105"/>
      <c r="I2978" s="105"/>
      <c r="J2978" s="44"/>
      <c r="K2978" s="116"/>
      <c r="L2978" s="117"/>
      <c r="M2978" s="67"/>
      <c r="N2978" s="33"/>
      <c r="O2978" s="70"/>
      <c r="P2978" s="34"/>
      <c r="Q2978" s="60"/>
      <c r="R2978" s="36"/>
      <c r="S2978" s="71"/>
      <c r="T2978" s="37"/>
      <c r="U2978" s="118"/>
      <c r="V2978" s="74"/>
      <c r="W2978" s="74"/>
      <c r="X2978" s="35"/>
      <c r="Y2978" s="35"/>
      <c r="Z2978" s="40"/>
      <c r="AA2978" s="34"/>
      <c r="AB2978" s="41"/>
      <c r="AC2978" s="42" t="b">
        <v>0</v>
      </c>
      <c r="AD2978" s="66"/>
      <c r="AE2978" s="42"/>
      <c r="AF2978" s="42"/>
      <c r="AG2978" s="43"/>
    </row>
    <row r="2979">
      <c r="A2979" s="23"/>
      <c r="B2979" s="101"/>
      <c r="C2979" s="115"/>
      <c r="D2979" s="115"/>
      <c r="E2979" s="85"/>
      <c r="F2979" s="138"/>
      <c r="G2979" s="101"/>
      <c r="H2979" s="105"/>
      <c r="I2979" s="105"/>
      <c r="J2979" s="44"/>
      <c r="K2979" s="116"/>
      <c r="L2979" s="117"/>
      <c r="M2979" s="67"/>
      <c r="N2979" s="33"/>
      <c r="O2979" s="70"/>
      <c r="P2979" s="34"/>
      <c r="Q2979" s="60"/>
      <c r="R2979" s="36"/>
      <c r="S2979" s="71"/>
      <c r="T2979" s="37"/>
      <c r="U2979" s="118"/>
      <c r="V2979" s="74"/>
      <c r="W2979" s="74"/>
      <c r="X2979" s="35"/>
      <c r="Y2979" s="35"/>
      <c r="Z2979" s="40"/>
      <c r="AA2979" s="34"/>
      <c r="AB2979" s="41"/>
      <c r="AC2979" s="42" t="b">
        <v>0</v>
      </c>
      <c r="AD2979" s="66"/>
      <c r="AE2979" s="42"/>
      <c r="AF2979" s="42"/>
      <c r="AG2979" s="43"/>
    </row>
    <row r="2980">
      <c r="A2980" s="23"/>
      <c r="B2980" s="101"/>
      <c r="C2980" s="115"/>
      <c r="D2980" s="115"/>
      <c r="E2980" s="85"/>
      <c r="F2980" s="138"/>
      <c r="G2980" s="101"/>
      <c r="H2980" s="105"/>
      <c r="I2980" s="105"/>
      <c r="J2980" s="44"/>
      <c r="K2980" s="116"/>
      <c r="L2980" s="117"/>
      <c r="M2980" s="67"/>
      <c r="N2980" s="33"/>
      <c r="O2980" s="70"/>
      <c r="P2980" s="34"/>
      <c r="Q2980" s="60"/>
      <c r="R2980" s="36"/>
      <c r="S2980" s="71"/>
      <c r="T2980" s="37"/>
      <c r="U2980" s="118"/>
      <c r="V2980" s="74"/>
      <c r="W2980" s="74"/>
      <c r="X2980" s="35"/>
      <c r="Y2980" s="35"/>
      <c r="Z2980" s="40"/>
      <c r="AA2980" s="34"/>
      <c r="AB2980" s="41"/>
      <c r="AC2980" s="42" t="b">
        <v>0</v>
      </c>
      <c r="AD2980" s="66"/>
      <c r="AE2980" s="42"/>
      <c r="AF2980" s="42"/>
      <c r="AG2980" s="43"/>
    </row>
    <row r="2981">
      <c r="A2981" s="23"/>
      <c r="B2981" s="101"/>
      <c r="C2981" s="115"/>
      <c r="D2981" s="115"/>
      <c r="E2981" s="85"/>
      <c r="F2981" s="138"/>
      <c r="G2981" s="101"/>
      <c r="H2981" s="105"/>
      <c r="I2981" s="105"/>
      <c r="J2981" s="44"/>
      <c r="K2981" s="116"/>
      <c r="L2981" s="117"/>
      <c r="M2981" s="67"/>
      <c r="N2981" s="33"/>
      <c r="O2981" s="70"/>
      <c r="P2981" s="34"/>
      <c r="Q2981" s="60"/>
      <c r="R2981" s="36"/>
      <c r="S2981" s="71"/>
      <c r="T2981" s="37"/>
      <c r="U2981" s="118"/>
      <c r="V2981" s="74"/>
      <c r="W2981" s="74"/>
      <c r="X2981" s="35"/>
      <c r="Y2981" s="35"/>
      <c r="Z2981" s="40"/>
      <c r="AA2981" s="34"/>
      <c r="AB2981" s="41"/>
      <c r="AC2981" s="42" t="b">
        <v>0</v>
      </c>
      <c r="AD2981" s="66"/>
      <c r="AE2981" s="42"/>
      <c r="AF2981" s="42"/>
      <c r="AG2981" s="43"/>
    </row>
    <row r="2982">
      <c r="A2982" s="23"/>
      <c r="B2982" s="101"/>
      <c r="C2982" s="115"/>
      <c r="D2982" s="115"/>
      <c r="E2982" s="85"/>
      <c r="F2982" s="138"/>
      <c r="G2982" s="101"/>
      <c r="H2982" s="105"/>
      <c r="I2982" s="105"/>
      <c r="J2982" s="44"/>
      <c r="K2982" s="116"/>
      <c r="L2982" s="117"/>
      <c r="M2982" s="67"/>
      <c r="N2982" s="33"/>
      <c r="O2982" s="70"/>
      <c r="P2982" s="34"/>
      <c r="Q2982" s="60"/>
      <c r="R2982" s="36"/>
      <c r="S2982" s="71"/>
      <c r="T2982" s="37"/>
      <c r="U2982" s="118"/>
      <c r="V2982" s="74"/>
      <c r="W2982" s="74"/>
      <c r="X2982" s="35"/>
      <c r="Y2982" s="35"/>
      <c r="Z2982" s="40"/>
      <c r="AA2982" s="34"/>
      <c r="AB2982" s="41"/>
      <c r="AC2982" s="42" t="b">
        <v>0</v>
      </c>
      <c r="AD2982" s="66"/>
      <c r="AE2982" s="42"/>
      <c r="AF2982" s="42"/>
      <c r="AG2982" s="43"/>
    </row>
    <row r="2983">
      <c r="A2983" s="23"/>
      <c r="B2983" s="101"/>
      <c r="C2983" s="115"/>
      <c r="D2983" s="115"/>
      <c r="E2983" s="85"/>
      <c r="F2983" s="138"/>
      <c r="G2983" s="101"/>
      <c r="H2983" s="105"/>
      <c r="I2983" s="105"/>
      <c r="J2983" s="44"/>
      <c r="K2983" s="116"/>
      <c r="L2983" s="117"/>
      <c r="M2983" s="67"/>
      <c r="N2983" s="33"/>
      <c r="O2983" s="70"/>
      <c r="P2983" s="34"/>
      <c r="Q2983" s="60"/>
      <c r="R2983" s="36"/>
      <c r="S2983" s="71"/>
      <c r="T2983" s="37"/>
      <c r="U2983" s="118"/>
      <c r="V2983" s="74"/>
      <c r="W2983" s="74"/>
      <c r="X2983" s="35"/>
      <c r="Y2983" s="35"/>
      <c r="Z2983" s="40"/>
      <c r="AA2983" s="34"/>
      <c r="AB2983" s="41"/>
      <c r="AC2983" s="42" t="b">
        <v>0</v>
      </c>
      <c r="AD2983" s="66"/>
      <c r="AE2983" s="42"/>
      <c r="AF2983" s="42"/>
      <c r="AG2983" s="43"/>
    </row>
    <row r="2984">
      <c r="A2984" s="23"/>
      <c r="B2984" s="101"/>
      <c r="C2984" s="115"/>
      <c r="D2984" s="115"/>
      <c r="E2984" s="85"/>
      <c r="F2984" s="138"/>
      <c r="G2984" s="101"/>
      <c r="H2984" s="105"/>
      <c r="I2984" s="105"/>
      <c r="J2984" s="44"/>
      <c r="K2984" s="116"/>
      <c r="L2984" s="117"/>
      <c r="M2984" s="67"/>
      <c r="N2984" s="33"/>
      <c r="O2984" s="70"/>
      <c r="P2984" s="34"/>
      <c r="Q2984" s="60"/>
      <c r="R2984" s="36"/>
      <c r="S2984" s="71"/>
      <c r="T2984" s="37"/>
      <c r="U2984" s="118"/>
      <c r="V2984" s="74"/>
      <c r="W2984" s="74"/>
      <c r="X2984" s="35"/>
      <c r="Y2984" s="35"/>
      <c r="Z2984" s="40"/>
      <c r="AA2984" s="34"/>
      <c r="AB2984" s="41"/>
      <c r="AC2984" s="42" t="b">
        <v>0</v>
      </c>
      <c r="AD2984" s="66"/>
      <c r="AE2984" s="42"/>
      <c r="AF2984" s="42"/>
      <c r="AG2984" s="43"/>
    </row>
    <row r="2985">
      <c r="A2985" s="23"/>
      <c r="B2985" s="101"/>
      <c r="C2985" s="115"/>
      <c r="D2985" s="115"/>
      <c r="E2985" s="85"/>
      <c r="F2985" s="138"/>
      <c r="G2985" s="101"/>
      <c r="H2985" s="105"/>
      <c r="I2985" s="105"/>
      <c r="J2985" s="44"/>
      <c r="K2985" s="116"/>
      <c r="L2985" s="117"/>
      <c r="M2985" s="67"/>
      <c r="N2985" s="33"/>
      <c r="O2985" s="70"/>
      <c r="P2985" s="34"/>
      <c r="Q2985" s="60"/>
      <c r="R2985" s="36"/>
      <c r="S2985" s="71"/>
      <c r="T2985" s="37"/>
      <c r="U2985" s="118"/>
      <c r="V2985" s="74"/>
      <c r="W2985" s="74"/>
      <c r="X2985" s="35"/>
      <c r="Y2985" s="35"/>
      <c r="Z2985" s="40"/>
      <c r="AA2985" s="34"/>
      <c r="AB2985" s="41"/>
      <c r="AC2985" s="42" t="b">
        <v>0</v>
      </c>
      <c r="AD2985" s="66"/>
      <c r="AE2985" s="42"/>
      <c r="AF2985" s="42"/>
      <c r="AG2985" s="43"/>
    </row>
    <row r="2986">
      <c r="A2986" s="23"/>
      <c r="B2986" s="101"/>
      <c r="C2986" s="115"/>
      <c r="D2986" s="115"/>
      <c r="E2986" s="85"/>
      <c r="F2986" s="138"/>
      <c r="G2986" s="101"/>
      <c r="H2986" s="105"/>
      <c r="I2986" s="105"/>
      <c r="J2986" s="44"/>
      <c r="K2986" s="116"/>
      <c r="L2986" s="117"/>
      <c r="M2986" s="67"/>
      <c r="N2986" s="33"/>
      <c r="O2986" s="70"/>
      <c r="P2986" s="34"/>
      <c r="Q2986" s="60"/>
      <c r="R2986" s="36"/>
      <c r="S2986" s="71"/>
      <c r="T2986" s="37"/>
      <c r="U2986" s="118"/>
      <c r="V2986" s="74"/>
      <c r="W2986" s="74"/>
      <c r="X2986" s="35"/>
      <c r="Y2986" s="35"/>
      <c r="Z2986" s="40"/>
      <c r="AA2986" s="34"/>
      <c r="AB2986" s="41"/>
      <c r="AC2986" s="42" t="b">
        <v>0</v>
      </c>
      <c r="AD2986" s="66"/>
      <c r="AE2986" s="42"/>
      <c r="AF2986" s="42"/>
      <c r="AG2986" s="43"/>
    </row>
    <row r="2987">
      <c r="A2987" s="23"/>
      <c r="B2987" s="101"/>
      <c r="C2987" s="115"/>
      <c r="D2987" s="115"/>
      <c r="E2987" s="85"/>
      <c r="F2987" s="138"/>
      <c r="G2987" s="101"/>
      <c r="H2987" s="105"/>
      <c r="I2987" s="105"/>
      <c r="J2987" s="44"/>
      <c r="K2987" s="116"/>
      <c r="L2987" s="117"/>
      <c r="M2987" s="67"/>
      <c r="N2987" s="33"/>
      <c r="O2987" s="70"/>
      <c r="P2987" s="34"/>
      <c r="Q2987" s="60"/>
      <c r="R2987" s="36"/>
      <c r="S2987" s="71"/>
      <c r="T2987" s="37"/>
      <c r="U2987" s="118"/>
      <c r="V2987" s="74"/>
      <c r="W2987" s="74"/>
      <c r="X2987" s="35"/>
      <c r="Y2987" s="35"/>
      <c r="Z2987" s="40"/>
      <c r="AA2987" s="34"/>
      <c r="AB2987" s="41"/>
      <c r="AC2987" s="42" t="b">
        <v>0</v>
      </c>
      <c r="AD2987" s="66"/>
      <c r="AE2987" s="42"/>
      <c r="AF2987" s="42"/>
      <c r="AG2987" s="43"/>
    </row>
    <row r="2988">
      <c r="A2988" s="23"/>
      <c r="B2988" s="101"/>
      <c r="C2988" s="115"/>
      <c r="D2988" s="115"/>
      <c r="E2988" s="85"/>
      <c r="F2988" s="138"/>
      <c r="G2988" s="101"/>
      <c r="H2988" s="105"/>
      <c r="I2988" s="105"/>
      <c r="J2988" s="44"/>
      <c r="K2988" s="116"/>
      <c r="L2988" s="117"/>
      <c r="M2988" s="67"/>
      <c r="N2988" s="33"/>
      <c r="O2988" s="70"/>
      <c r="P2988" s="34"/>
      <c r="Q2988" s="60"/>
      <c r="R2988" s="36"/>
      <c r="S2988" s="71"/>
      <c r="T2988" s="37"/>
      <c r="U2988" s="118"/>
      <c r="V2988" s="74"/>
      <c r="W2988" s="74"/>
      <c r="X2988" s="35"/>
      <c r="Y2988" s="35"/>
      <c r="Z2988" s="40"/>
      <c r="AA2988" s="34"/>
      <c r="AB2988" s="41"/>
      <c r="AC2988" s="42" t="b">
        <v>0</v>
      </c>
      <c r="AD2988" s="66"/>
      <c r="AE2988" s="42"/>
      <c r="AF2988" s="42"/>
      <c r="AG2988" s="43"/>
    </row>
    <row r="2989">
      <c r="A2989" s="23"/>
      <c r="B2989" s="101"/>
      <c r="C2989" s="115"/>
      <c r="D2989" s="115"/>
      <c r="E2989" s="85"/>
      <c r="F2989" s="138"/>
      <c r="G2989" s="101"/>
      <c r="H2989" s="105"/>
      <c r="I2989" s="105"/>
      <c r="J2989" s="44"/>
      <c r="K2989" s="116"/>
      <c r="L2989" s="117"/>
      <c r="M2989" s="67"/>
      <c r="N2989" s="33"/>
      <c r="O2989" s="70"/>
      <c r="P2989" s="34"/>
      <c r="Q2989" s="60"/>
      <c r="R2989" s="36"/>
      <c r="S2989" s="71"/>
      <c r="T2989" s="37"/>
      <c r="U2989" s="118"/>
      <c r="V2989" s="74"/>
      <c r="W2989" s="74"/>
      <c r="X2989" s="35"/>
      <c r="Y2989" s="35"/>
      <c r="Z2989" s="40"/>
      <c r="AA2989" s="34"/>
      <c r="AB2989" s="41"/>
      <c r="AC2989" s="42" t="b">
        <v>0</v>
      </c>
      <c r="AD2989" s="66"/>
      <c r="AE2989" s="42"/>
      <c r="AF2989" s="42"/>
      <c r="AG2989" s="43"/>
    </row>
    <row r="2990">
      <c r="A2990" s="23"/>
      <c r="B2990" s="101"/>
      <c r="C2990" s="115"/>
      <c r="D2990" s="115"/>
      <c r="E2990" s="85"/>
      <c r="F2990" s="138"/>
      <c r="G2990" s="101"/>
      <c r="H2990" s="105"/>
      <c r="I2990" s="105"/>
      <c r="J2990" s="44"/>
      <c r="K2990" s="116"/>
      <c r="L2990" s="117"/>
      <c r="M2990" s="67"/>
      <c r="N2990" s="33"/>
      <c r="O2990" s="70"/>
      <c r="P2990" s="34"/>
      <c r="Q2990" s="60"/>
      <c r="R2990" s="36"/>
      <c r="S2990" s="71"/>
      <c r="T2990" s="37"/>
      <c r="U2990" s="118"/>
      <c r="V2990" s="74"/>
      <c r="W2990" s="74"/>
      <c r="X2990" s="35"/>
      <c r="Y2990" s="35"/>
      <c r="Z2990" s="40"/>
      <c r="AA2990" s="34"/>
      <c r="AB2990" s="41"/>
      <c r="AC2990" s="42" t="b">
        <v>0</v>
      </c>
      <c r="AD2990" s="66"/>
      <c r="AE2990" s="42"/>
      <c r="AF2990" s="42"/>
      <c r="AG2990" s="43"/>
    </row>
    <row r="2991">
      <c r="A2991" s="23"/>
      <c r="B2991" s="101"/>
      <c r="C2991" s="115"/>
      <c r="D2991" s="115"/>
      <c r="E2991" s="85"/>
      <c r="F2991" s="138"/>
      <c r="G2991" s="101"/>
      <c r="H2991" s="105"/>
      <c r="I2991" s="105"/>
      <c r="J2991" s="44"/>
      <c r="K2991" s="116"/>
      <c r="L2991" s="117"/>
      <c r="M2991" s="67"/>
      <c r="N2991" s="33"/>
      <c r="O2991" s="70"/>
      <c r="P2991" s="34"/>
      <c r="Q2991" s="60"/>
      <c r="R2991" s="36"/>
      <c r="S2991" s="71"/>
      <c r="T2991" s="37"/>
      <c r="U2991" s="118"/>
      <c r="V2991" s="74"/>
      <c r="W2991" s="74"/>
      <c r="X2991" s="35"/>
      <c r="Y2991" s="35"/>
      <c r="Z2991" s="40"/>
      <c r="AA2991" s="34"/>
      <c r="AB2991" s="41"/>
      <c r="AC2991" s="42" t="b">
        <v>0</v>
      </c>
      <c r="AD2991" s="66"/>
      <c r="AE2991" s="42"/>
      <c r="AF2991" s="42"/>
      <c r="AG2991" s="43"/>
    </row>
    <row r="2992">
      <c r="A2992" s="23"/>
      <c r="B2992" s="101"/>
      <c r="C2992" s="115"/>
      <c r="D2992" s="115"/>
      <c r="E2992" s="85"/>
      <c r="F2992" s="138"/>
      <c r="G2992" s="101"/>
      <c r="H2992" s="105"/>
      <c r="I2992" s="105"/>
      <c r="J2992" s="44"/>
      <c r="K2992" s="116"/>
      <c r="L2992" s="117"/>
      <c r="M2992" s="67"/>
      <c r="N2992" s="33"/>
      <c r="O2992" s="70"/>
      <c r="P2992" s="34"/>
      <c r="Q2992" s="60"/>
      <c r="R2992" s="36"/>
      <c r="S2992" s="71"/>
      <c r="T2992" s="37"/>
      <c r="U2992" s="118"/>
      <c r="V2992" s="74"/>
      <c r="W2992" s="74"/>
      <c r="X2992" s="35"/>
      <c r="Y2992" s="35"/>
      <c r="Z2992" s="40"/>
      <c r="AA2992" s="34"/>
      <c r="AB2992" s="41"/>
      <c r="AC2992" s="42" t="b">
        <v>0</v>
      </c>
      <c r="AD2992" s="66"/>
      <c r="AE2992" s="42"/>
      <c r="AF2992" s="42"/>
      <c r="AG2992" s="43"/>
    </row>
    <row r="2993">
      <c r="A2993" s="23"/>
      <c r="B2993" s="101"/>
      <c r="C2993" s="115"/>
      <c r="D2993" s="115"/>
      <c r="E2993" s="85"/>
      <c r="F2993" s="138"/>
      <c r="G2993" s="101"/>
      <c r="H2993" s="105"/>
      <c r="I2993" s="105"/>
      <c r="J2993" s="44"/>
      <c r="K2993" s="116"/>
      <c r="L2993" s="117"/>
      <c r="M2993" s="67"/>
      <c r="N2993" s="33"/>
      <c r="O2993" s="70"/>
      <c r="P2993" s="34"/>
      <c r="Q2993" s="60"/>
      <c r="R2993" s="36"/>
      <c r="S2993" s="71"/>
      <c r="T2993" s="37"/>
      <c r="U2993" s="118"/>
      <c r="V2993" s="74"/>
      <c r="W2993" s="74"/>
      <c r="X2993" s="35"/>
      <c r="Y2993" s="35"/>
      <c r="Z2993" s="40"/>
      <c r="AA2993" s="34"/>
      <c r="AB2993" s="41"/>
      <c r="AC2993" s="42" t="b">
        <v>0</v>
      </c>
      <c r="AD2993" s="66"/>
      <c r="AE2993" s="42"/>
      <c r="AF2993" s="42"/>
      <c r="AG2993" s="43"/>
    </row>
    <row r="2994">
      <c r="A2994" s="23"/>
      <c r="B2994" s="101"/>
      <c r="C2994" s="115"/>
      <c r="D2994" s="115"/>
      <c r="E2994" s="85"/>
      <c r="F2994" s="138"/>
      <c r="G2994" s="101"/>
      <c r="H2994" s="105"/>
      <c r="I2994" s="105"/>
      <c r="J2994" s="44"/>
      <c r="K2994" s="116"/>
      <c r="L2994" s="117"/>
      <c r="M2994" s="67"/>
      <c r="N2994" s="33"/>
      <c r="O2994" s="70"/>
      <c r="P2994" s="34"/>
      <c r="Q2994" s="60"/>
      <c r="R2994" s="36"/>
      <c r="S2994" s="71"/>
      <c r="T2994" s="37"/>
      <c r="U2994" s="118"/>
      <c r="V2994" s="74"/>
      <c r="W2994" s="74"/>
      <c r="X2994" s="35"/>
      <c r="Y2994" s="35"/>
      <c r="Z2994" s="40"/>
      <c r="AA2994" s="34"/>
      <c r="AB2994" s="41"/>
      <c r="AC2994" s="42" t="b">
        <v>0</v>
      </c>
      <c r="AD2994" s="66"/>
      <c r="AE2994" s="42"/>
      <c r="AF2994" s="42"/>
      <c r="AG2994" s="43"/>
    </row>
    <row r="2995">
      <c r="A2995" s="23"/>
      <c r="B2995" s="101"/>
      <c r="C2995" s="115"/>
      <c r="D2995" s="115"/>
      <c r="E2995" s="85"/>
      <c r="F2995" s="138"/>
      <c r="G2995" s="101"/>
      <c r="H2995" s="105"/>
      <c r="I2995" s="105"/>
      <c r="J2995" s="44"/>
      <c r="K2995" s="116"/>
      <c r="L2995" s="117"/>
      <c r="M2995" s="67"/>
      <c r="N2995" s="33"/>
      <c r="O2995" s="70"/>
      <c r="P2995" s="34"/>
      <c r="Q2995" s="60"/>
      <c r="R2995" s="36"/>
      <c r="S2995" s="71"/>
      <c r="T2995" s="37"/>
      <c r="U2995" s="118"/>
      <c r="V2995" s="74"/>
      <c r="W2995" s="74"/>
      <c r="X2995" s="35"/>
      <c r="Y2995" s="35"/>
      <c r="Z2995" s="40"/>
      <c r="AA2995" s="34"/>
      <c r="AB2995" s="41"/>
      <c r="AC2995" s="42" t="b">
        <v>0</v>
      </c>
      <c r="AD2995" s="66"/>
      <c r="AE2995" s="42"/>
      <c r="AF2995" s="42"/>
      <c r="AG2995" s="43"/>
    </row>
    <row r="2996">
      <c r="A2996" s="23"/>
      <c r="B2996" s="101"/>
      <c r="C2996" s="115"/>
      <c r="D2996" s="115"/>
      <c r="E2996" s="85"/>
      <c r="F2996" s="138"/>
      <c r="G2996" s="101"/>
      <c r="H2996" s="105"/>
      <c r="I2996" s="105"/>
      <c r="J2996" s="44"/>
      <c r="K2996" s="116"/>
      <c r="L2996" s="117"/>
      <c r="M2996" s="67"/>
      <c r="N2996" s="33"/>
      <c r="O2996" s="70"/>
      <c r="P2996" s="34"/>
      <c r="Q2996" s="60"/>
      <c r="R2996" s="36"/>
      <c r="S2996" s="71"/>
      <c r="T2996" s="37"/>
      <c r="U2996" s="118"/>
      <c r="V2996" s="74"/>
      <c r="W2996" s="74"/>
      <c r="X2996" s="35"/>
      <c r="Y2996" s="35"/>
      <c r="Z2996" s="40"/>
      <c r="AA2996" s="34"/>
      <c r="AB2996" s="41"/>
      <c r="AC2996" s="42" t="b">
        <v>0</v>
      </c>
      <c r="AD2996" s="66"/>
      <c r="AE2996" s="42"/>
      <c r="AF2996" s="42"/>
      <c r="AG2996" s="43"/>
    </row>
    <row r="2997">
      <c r="A2997" s="23"/>
      <c r="B2997" s="101"/>
      <c r="C2997" s="115"/>
      <c r="D2997" s="115"/>
      <c r="E2997" s="85"/>
      <c r="F2997" s="138"/>
      <c r="G2997" s="101"/>
      <c r="H2997" s="105"/>
      <c r="I2997" s="105"/>
      <c r="J2997" s="44"/>
      <c r="K2997" s="116"/>
      <c r="L2997" s="117"/>
      <c r="M2997" s="67"/>
      <c r="N2997" s="33"/>
      <c r="O2997" s="70"/>
      <c r="P2997" s="34"/>
      <c r="Q2997" s="60"/>
      <c r="R2997" s="36"/>
      <c r="S2997" s="71"/>
      <c r="T2997" s="37"/>
      <c r="U2997" s="118"/>
      <c r="V2997" s="74"/>
      <c r="W2997" s="74"/>
      <c r="X2997" s="35"/>
      <c r="Y2997" s="35"/>
      <c r="Z2997" s="40"/>
      <c r="AA2997" s="34"/>
      <c r="AB2997" s="41"/>
      <c r="AC2997" s="42" t="b">
        <v>0</v>
      </c>
      <c r="AD2997" s="66"/>
      <c r="AE2997" s="42"/>
      <c r="AF2997" s="42"/>
      <c r="AG2997" s="43"/>
    </row>
    <row r="2998">
      <c r="A2998" s="23"/>
      <c r="B2998" s="101"/>
      <c r="C2998" s="115"/>
      <c r="D2998" s="115"/>
      <c r="E2998" s="85"/>
      <c r="F2998" s="138"/>
      <c r="G2998" s="101"/>
      <c r="H2998" s="105"/>
      <c r="I2998" s="105"/>
      <c r="J2998" s="44"/>
      <c r="K2998" s="116"/>
      <c r="L2998" s="117"/>
      <c r="M2998" s="67"/>
      <c r="N2998" s="33"/>
      <c r="O2998" s="70"/>
      <c r="P2998" s="34"/>
      <c r="Q2998" s="60"/>
      <c r="R2998" s="36"/>
      <c r="S2998" s="71"/>
      <c r="T2998" s="37"/>
      <c r="U2998" s="118"/>
      <c r="V2998" s="74"/>
      <c r="W2998" s="74"/>
      <c r="X2998" s="35"/>
      <c r="Y2998" s="35"/>
      <c r="Z2998" s="40"/>
      <c r="AA2998" s="34"/>
      <c r="AB2998" s="41"/>
      <c r="AC2998" s="42" t="b">
        <v>0</v>
      </c>
      <c r="AD2998" s="66"/>
      <c r="AE2998" s="42"/>
      <c r="AF2998" s="42"/>
      <c r="AG2998" s="43"/>
    </row>
    <row r="2999">
      <c r="A2999" s="23"/>
      <c r="B2999" s="101"/>
      <c r="C2999" s="115"/>
      <c r="D2999" s="115"/>
      <c r="E2999" s="85"/>
      <c r="F2999" s="138"/>
      <c r="G2999" s="101"/>
      <c r="H2999" s="105"/>
      <c r="I2999" s="105"/>
      <c r="J2999" s="44"/>
      <c r="K2999" s="116"/>
      <c r="L2999" s="117"/>
      <c r="M2999" s="67"/>
      <c r="N2999" s="33"/>
      <c r="O2999" s="70"/>
      <c r="P2999" s="34"/>
      <c r="Q2999" s="60"/>
      <c r="R2999" s="36"/>
      <c r="S2999" s="71"/>
      <c r="T2999" s="37"/>
      <c r="U2999" s="118"/>
      <c r="V2999" s="74"/>
      <c r="W2999" s="74"/>
      <c r="X2999" s="35"/>
      <c r="Y2999" s="35"/>
      <c r="Z2999" s="40"/>
      <c r="AA2999" s="34"/>
      <c r="AB2999" s="41"/>
      <c r="AC2999" s="42" t="b">
        <v>0</v>
      </c>
      <c r="AD2999" s="66"/>
      <c r="AE2999" s="42"/>
      <c r="AF2999" s="42"/>
      <c r="AG2999" s="43"/>
    </row>
    <row r="3000">
      <c r="A3000" s="23"/>
      <c r="B3000" s="101"/>
      <c r="C3000" s="115"/>
      <c r="D3000" s="115"/>
      <c r="E3000" s="85"/>
      <c r="F3000" s="138"/>
      <c r="G3000" s="101"/>
      <c r="H3000" s="105"/>
      <c r="I3000" s="105"/>
      <c r="J3000" s="44"/>
      <c r="K3000" s="116"/>
      <c r="L3000" s="117"/>
      <c r="M3000" s="67"/>
      <c r="N3000" s="33"/>
      <c r="O3000" s="70"/>
      <c r="P3000" s="34"/>
      <c r="Q3000" s="60"/>
      <c r="R3000" s="36"/>
      <c r="S3000" s="71"/>
      <c r="T3000" s="37"/>
      <c r="U3000" s="118"/>
      <c r="V3000" s="74"/>
      <c r="W3000" s="74"/>
      <c r="X3000" s="35"/>
      <c r="Y3000" s="35"/>
      <c r="Z3000" s="40"/>
      <c r="AA3000" s="34"/>
      <c r="AB3000" s="41"/>
      <c r="AC3000" s="42" t="b">
        <v>0</v>
      </c>
      <c r="AD3000" s="66"/>
      <c r="AE3000" s="42"/>
      <c r="AF3000" s="42"/>
      <c r="AG3000" s="43"/>
    </row>
    <row r="3001">
      <c r="A3001" s="23"/>
      <c r="B3001" s="101"/>
      <c r="C3001" s="115"/>
      <c r="D3001" s="115"/>
      <c r="E3001" s="85"/>
      <c r="F3001" s="138"/>
      <c r="G3001" s="101"/>
      <c r="H3001" s="105"/>
      <c r="I3001" s="105"/>
      <c r="J3001" s="44"/>
      <c r="K3001" s="116"/>
      <c r="L3001" s="117"/>
      <c r="M3001" s="67"/>
      <c r="N3001" s="33"/>
      <c r="O3001" s="70"/>
      <c r="P3001" s="34"/>
      <c r="Q3001" s="60"/>
      <c r="R3001" s="36"/>
      <c r="S3001" s="71"/>
      <c r="T3001" s="37"/>
      <c r="U3001" s="118"/>
      <c r="V3001" s="74"/>
      <c r="W3001" s="74"/>
      <c r="X3001" s="35"/>
      <c r="Y3001" s="35"/>
      <c r="Z3001" s="40"/>
      <c r="AA3001" s="34"/>
      <c r="AB3001" s="41"/>
      <c r="AC3001" s="42" t="b">
        <v>0</v>
      </c>
      <c r="AD3001" s="66"/>
      <c r="AE3001" s="42"/>
      <c r="AF3001" s="42"/>
      <c r="AG3001" s="43"/>
    </row>
    <row r="3002">
      <c r="A3002" s="23"/>
      <c r="B3002" s="101"/>
      <c r="C3002" s="115"/>
      <c r="D3002" s="115"/>
      <c r="E3002" s="85"/>
      <c r="F3002" s="138"/>
      <c r="G3002" s="101"/>
      <c r="H3002" s="105"/>
      <c r="I3002" s="105"/>
      <c r="J3002" s="44"/>
      <c r="K3002" s="116"/>
      <c r="L3002" s="117"/>
      <c r="M3002" s="67"/>
      <c r="N3002" s="33"/>
      <c r="O3002" s="70"/>
      <c r="P3002" s="34"/>
      <c r="Q3002" s="60"/>
      <c r="R3002" s="36"/>
      <c r="S3002" s="71"/>
      <c r="T3002" s="37"/>
      <c r="U3002" s="118"/>
      <c r="V3002" s="74"/>
      <c r="W3002" s="74"/>
      <c r="X3002" s="35"/>
      <c r="Y3002" s="35"/>
      <c r="Z3002" s="40"/>
      <c r="AA3002" s="34"/>
      <c r="AB3002" s="41"/>
      <c r="AC3002" s="42" t="b">
        <v>0</v>
      </c>
      <c r="AD3002" s="66"/>
      <c r="AE3002" s="42"/>
      <c r="AF3002" s="42"/>
      <c r="AG3002" s="43"/>
    </row>
    <row r="3003">
      <c r="A3003" s="23"/>
      <c r="B3003" s="101"/>
      <c r="C3003" s="115"/>
      <c r="D3003" s="115"/>
      <c r="E3003" s="85"/>
      <c r="F3003" s="138"/>
      <c r="G3003" s="101"/>
      <c r="H3003" s="105"/>
      <c r="I3003" s="105"/>
      <c r="J3003" s="44"/>
      <c r="K3003" s="116"/>
      <c r="L3003" s="117"/>
      <c r="M3003" s="67"/>
      <c r="N3003" s="33"/>
      <c r="O3003" s="70"/>
      <c r="P3003" s="34"/>
      <c r="Q3003" s="60"/>
      <c r="R3003" s="36"/>
      <c r="S3003" s="71"/>
      <c r="T3003" s="37"/>
      <c r="U3003" s="118"/>
      <c r="V3003" s="74"/>
      <c r="W3003" s="74"/>
      <c r="X3003" s="35"/>
      <c r="Y3003" s="35"/>
      <c r="Z3003" s="40"/>
      <c r="AA3003" s="34"/>
      <c r="AB3003" s="41"/>
      <c r="AC3003" s="42" t="b">
        <v>0</v>
      </c>
      <c r="AD3003" s="66"/>
      <c r="AE3003" s="42"/>
      <c r="AF3003" s="42"/>
      <c r="AG3003" s="43"/>
    </row>
    <row r="3004">
      <c r="A3004" s="23"/>
      <c r="B3004" s="101"/>
      <c r="C3004" s="115"/>
      <c r="D3004" s="115"/>
      <c r="E3004" s="85"/>
      <c r="F3004" s="138"/>
      <c r="G3004" s="101"/>
      <c r="H3004" s="105"/>
      <c r="I3004" s="105"/>
      <c r="J3004" s="44"/>
      <c r="K3004" s="116"/>
      <c r="L3004" s="117"/>
      <c r="M3004" s="67"/>
      <c r="N3004" s="33"/>
      <c r="O3004" s="70"/>
      <c r="P3004" s="34"/>
      <c r="Q3004" s="60"/>
      <c r="R3004" s="36"/>
      <c r="S3004" s="71"/>
      <c r="T3004" s="37"/>
      <c r="U3004" s="118"/>
      <c r="V3004" s="74"/>
      <c r="W3004" s="74"/>
      <c r="X3004" s="35"/>
      <c r="Y3004" s="35"/>
      <c r="Z3004" s="40"/>
      <c r="AA3004" s="34"/>
      <c r="AB3004" s="41"/>
      <c r="AC3004" s="42" t="b">
        <v>0</v>
      </c>
      <c r="AD3004" s="66"/>
      <c r="AE3004" s="42"/>
      <c r="AF3004" s="42"/>
      <c r="AG3004" s="43"/>
    </row>
    <row r="3005">
      <c r="A3005" s="23"/>
      <c r="B3005" s="101"/>
      <c r="C3005" s="115"/>
      <c r="D3005" s="115"/>
      <c r="E3005" s="85"/>
      <c r="F3005" s="138"/>
      <c r="G3005" s="101"/>
      <c r="H3005" s="105"/>
      <c r="I3005" s="105"/>
      <c r="J3005" s="44"/>
      <c r="K3005" s="116"/>
      <c r="L3005" s="117"/>
      <c r="M3005" s="67"/>
      <c r="N3005" s="33"/>
      <c r="O3005" s="70"/>
      <c r="P3005" s="34"/>
      <c r="Q3005" s="60"/>
      <c r="R3005" s="36"/>
      <c r="S3005" s="71"/>
      <c r="T3005" s="37"/>
      <c r="U3005" s="118"/>
      <c r="V3005" s="74"/>
      <c r="W3005" s="74"/>
      <c r="X3005" s="35"/>
      <c r="Y3005" s="35"/>
      <c r="Z3005" s="40"/>
      <c r="AA3005" s="34"/>
      <c r="AB3005" s="41"/>
      <c r="AC3005" s="42" t="b">
        <v>0</v>
      </c>
      <c r="AD3005" s="66"/>
      <c r="AE3005" s="42"/>
      <c r="AF3005" s="42"/>
      <c r="AG3005" s="43"/>
    </row>
    <row r="3006">
      <c r="A3006" s="23"/>
      <c r="B3006" s="101"/>
      <c r="C3006" s="115"/>
      <c r="D3006" s="115"/>
      <c r="E3006" s="85"/>
      <c r="F3006" s="138"/>
      <c r="G3006" s="101"/>
      <c r="H3006" s="105"/>
      <c r="I3006" s="105"/>
      <c r="J3006" s="44"/>
      <c r="K3006" s="116"/>
      <c r="L3006" s="117"/>
      <c r="M3006" s="67"/>
      <c r="N3006" s="33"/>
      <c r="O3006" s="70"/>
      <c r="P3006" s="34"/>
      <c r="Q3006" s="60"/>
      <c r="R3006" s="36"/>
      <c r="S3006" s="71"/>
      <c r="T3006" s="37"/>
      <c r="U3006" s="118"/>
      <c r="V3006" s="74"/>
      <c r="W3006" s="74"/>
      <c r="X3006" s="35"/>
      <c r="Y3006" s="35"/>
      <c r="Z3006" s="40"/>
      <c r="AA3006" s="34"/>
      <c r="AB3006" s="41"/>
      <c r="AC3006" s="42" t="b">
        <v>0</v>
      </c>
      <c r="AD3006" s="66"/>
      <c r="AE3006" s="42"/>
      <c r="AF3006" s="42"/>
      <c r="AG3006" s="43"/>
    </row>
    <row r="3007">
      <c r="A3007" s="23"/>
      <c r="B3007" s="101"/>
      <c r="C3007" s="115"/>
      <c r="D3007" s="115"/>
      <c r="E3007" s="85"/>
      <c r="F3007" s="138"/>
      <c r="G3007" s="101"/>
      <c r="H3007" s="105"/>
      <c r="I3007" s="105"/>
      <c r="J3007" s="44"/>
      <c r="K3007" s="116"/>
      <c r="L3007" s="117"/>
      <c r="M3007" s="67"/>
      <c r="N3007" s="33"/>
      <c r="O3007" s="70"/>
      <c r="P3007" s="34"/>
      <c r="Q3007" s="60"/>
      <c r="R3007" s="36"/>
      <c r="S3007" s="71"/>
      <c r="T3007" s="37"/>
      <c r="U3007" s="118"/>
      <c r="V3007" s="74"/>
      <c r="W3007" s="74"/>
      <c r="X3007" s="35"/>
      <c r="Y3007" s="35"/>
      <c r="Z3007" s="40"/>
      <c r="AA3007" s="34"/>
      <c r="AB3007" s="41"/>
      <c r="AC3007" s="42" t="b">
        <v>0</v>
      </c>
      <c r="AD3007" s="66"/>
      <c r="AE3007" s="42"/>
      <c r="AF3007" s="42"/>
      <c r="AG3007" s="43"/>
    </row>
    <row r="3008">
      <c r="A3008" s="23"/>
      <c r="B3008" s="101"/>
      <c r="C3008" s="115"/>
      <c r="D3008" s="115"/>
      <c r="E3008" s="85"/>
      <c r="F3008" s="138"/>
      <c r="G3008" s="101"/>
      <c r="H3008" s="105"/>
      <c r="I3008" s="105"/>
      <c r="J3008" s="44"/>
      <c r="K3008" s="116"/>
      <c r="L3008" s="117"/>
      <c r="M3008" s="67"/>
      <c r="N3008" s="33"/>
      <c r="O3008" s="70"/>
      <c r="P3008" s="34"/>
      <c r="Q3008" s="60"/>
      <c r="R3008" s="36"/>
      <c r="S3008" s="71"/>
      <c r="T3008" s="37"/>
      <c r="U3008" s="118"/>
      <c r="V3008" s="74"/>
      <c r="W3008" s="74"/>
      <c r="X3008" s="35"/>
      <c r="Y3008" s="35"/>
      <c r="Z3008" s="40"/>
      <c r="AA3008" s="34"/>
      <c r="AB3008" s="41"/>
      <c r="AC3008" s="42" t="b">
        <v>0</v>
      </c>
      <c r="AD3008" s="66"/>
      <c r="AE3008" s="42"/>
      <c r="AF3008" s="42"/>
      <c r="AG3008" s="43"/>
    </row>
    <row r="3009">
      <c r="A3009" s="23"/>
      <c r="B3009" s="101"/>
      <c r="C3009" s="115"/>
      <c r="D3009" s="115"/>
      <c r="E3009" s="85"/>
      <c r="F3009" s="138"/>
      <c r="G3009" s="101"/>
      <c r="H3009" s="105"/>
      <c r="I3009" s="105"/>
      <c r="J3009" s="44"/>
      <c r="K3009" s="116"/>
      <c r="L3009" s="117"/>
      <c r="M3009" s="67"/>
      <c r="N3009" s="33"/>
      <c r="O3009" s="70"/>
      <c r="P3009" s="34"/>
      <c r="Q3009" s="60"/>
      <c r="R3009" s="36"/>
      <c r="S3009" s="71"/>
      <c r="T3009" s="37"/>
      <c r="U3009" s="118"/>
      <c r="V3009" s="74"/>
      <c r="W3009" s="74"/>
      <c r="X3009" s="35"/>
      <c r="Y3009" s="35"/>
      <c r="Z3009" s="40"/>
      <c r="AA3009" s="34"/>
      <c r="AB3009" s="41"/>
      <c r="AC3009" s="42" t="b">
        <v>0</v>
      </c>
      <c r="AD3009" s="66"/>
      <c r="AE3009" s="42"/>
      <c r="AF3009" s="42"/>
      <c r="AG3009" s="43"/>
    </row>
    <row r="3010">
      <c r="A3010" s="23"/>
      <c r="B3010" s="101"/>
      <c r="C3010" s="115"/>
      <c r="D3010" s="115"/>
      <c r="E3010" s="85"/>
      <c r="F3010" s="138"/>
      <c r="G3010" s="101"/>
      <c r="H3010" s="105"/>
      <c r="I3010" s="105"/>
      <c r="J3010" s="44"/>
      <c r="K3010" s="116"/>
      <c r="L3010" s="117"/>
      <c r="M3010" s="67"/>
      <c r="N3010" s="33"/>
      <c r="O3010" s="70"/>
      <c r="P3010" s="34"/>
      <c r="Q3010" s="60"/>
      <c r="R3010" s="36"/>
      <c r="S3010" s="71"/>
      <c r="T3010" s="37"/>
      <c r="U3010" s="118"/>
      <c r="V3010" s="74"/>
      <c r="W3010" s="74"/>
      <c r="X3010" s="35"/>
      <c r="Y3010" s="35"/>
      <c r="Z3010" s="40"/>
      <c r="AA3010" s="34"/>
      <c r="AB3010" s="41"/>
      <c r="AC3010" s="42" t="b">
        <v>0</v>
      </c>
      <c r="AD3010" s="66"/>
      <c r="AE3010" s="42"/>
      <c r="AF3010" s="42"/>
      <c r="AG3010" s="43"/>
    </row>
    <row r="3011">
      <c r="A3011" s="23"/>
      <c r="B3011" s="101"/>
      <c r="C3011" s="115"/>
      <c r="D3011" s="115"/>
      <c r="E3011" s="85"/>
      <c r="F3011" s="138"/>
      <c r="G3011" s="101"/>
      <c r="H3011" s="105"/>
      <c r="I3011" s="105"/>
      <c r="J3011" s="44"/>
      <c r="K3011" s="116"/>
      <c r="L3011" s="117"/>
      <c r="M3011" s="67"/>
      <c r="N3011" s="33"/>
      <c r="O3011" s="70"/>
      <c r="P3011" s="34"/>
      <c r="Q3011" s="60"/>
      <c r="R3011" s="36"/>
      <c r="S3011" s="71"/>
      <c r="T3011" s="37"/>
      <c r="U3011" s="118"/>
      <c r="V3011" s="74"/>
      <c r="W3011" s="74"/>
      <c r="X3011" s="35"/>
      <c r="Y3011" s="35"/>
      <c r="Z3011" s="40"/>
      <c r="AA3011" s="34"/>
      <c r="AB3011" s="41"/>
      <c r="AC3011" s="42" t="b">
        <v>0</v>
      </c>
      <c r="AD3011" s="66"/>
      <c r="AE3011" s="42"/>
      <c r="AF3011" s="42"/>
      <c r="AG3011" s="43"/>
    </row>
    <row r="3012">
      <c r="A3012" s="23"/>
      <c r="B3012" s="101"/>
      <c r="C3012" s="115"/>
      <c r="D3012" s="115"/>
      <c r="E3012" s="85"/>
      <c r="F3012" s="138"/>
      <c r="G3012" s="101"/>
      <c r="H3012" s="105"/>
      <c r="I3012" s="105"/>
      <c r="J3012" s="44"/>
      <c r="K3012" s="116"/>
      <c r="L3012" s="117"/>
      <c r="M3012" s="67"/>
      <c r="N3012" s="33"/>
      <c r="O3012" s="70"/>
      <c r="P3012" s="34"/>
      <c r="Q3012" s="60"/>
      <c r="R3012" s="36"/>
      <c r="S3012" s="71"/>
      <c r="T3012" s="37"/>
      <c r="U3012" s="118"/>
      <c r="V3012" s="74"/>
      <c r="W3012" s="74"/>
      <c r="X3012" s="35"/>
      <c r="Y3012" s="35"/>
      <c r="Z3012" s="40"/>
      <c r="AA3012" s="34"/>
      <c r="AB3012" s="41"/>
      <c r="AC3012" s="42" t="b">
        <v>0</v>
      </c>
      <c r="AD3012" s="66"/>
      <c r="AE3012" s="42"/>
      <c r="AF3012" s="42"/>
      <c r="AG3012" s="43"/>
    </row>
    <row r="3013">
      <c r="A3013" s="23"/>
      <c r="B3013" s="101"/>
      <c r="C3013" s="115"/>
      <c r="D3013" s="115"/>
      <c r="E3013" s="85"/>
      <c r="F3013" s="138"/>
      <c r="G3013" s="101"/>
      <c r="H3013" s="105"/>
      <c r="I3013" s="105"/>
      <c r="J3013" s="44"/>
      <c r="K3013" s="116"/>
      <c r="L3013" s="117"/>
      <c r="M3013" s="67"/>
      <c r="N3013" s="33"/>
      <c r="O3013" s="70"/>
      <c r="P3013" s="34"/>
      <c r="Q3013" s="60"/>
      <c r="R3013" s="36"/>
      <c r="S3013" s="71"/>
      <c r="T3013" s="37"/>
      <c r="U3013" s="118"/>
      <c r="V3013" s="74"/>
      <c r="W3013" s="74"/>
      <c r="X3013" s="35"/>
      <c r="Y3013" s="35"/>
      <c r="Z3013" s="40"/>
      <c r="AA3013" s="34"/>
      <c r="AB3013" s="41"/>
      <c r="AC3013" s="42" t="b">
        <v>0</v>
      </c>
      <c r="AD3013" s="66"/>
      <c r="AE3013" s="42"/>
      <c r="AF3013" s="42"/>
      <c r="AG3013" s="43"/>
    </row>
    <row r="3014">
      <c r="A3014" s="23"/>
      <c r="B3014" s="101"/>
      <c r="C3014" s="115"/>
      <c r="D3014" s="115"/>
      <c r="E3014" s="85"/>
      <c r="F3014" s="138"/>
      <c r="G3014" s="101"/>
      <c r="H3014" s="105"/>
      <c r="I3014" s="105"/>
      <c r="J3014" s="44"/>
      <c r="K3014" s="116"/>
      <c r="L3014" s="117"/>
      <c r="M3014" s="67"/>
      <c r="N3014" s="33"/>
      <c r="O3014" s="70"/>
      <c r="P3014" s="34"/>
      <c r="Q3014" s="60"/>
      <c r="R3014" s="36"/>
      <c r="S3014" s="71"/>
      <c r="T3014" s="37"/>
      <c r="U3014" s="118"/>
      <c r="V3014" s="74"/>
      <c r="W3014" s="74"/>
      <c r="X3014" s="35"/>
      <c r="Y3014" s="35"/>
      <c r="Z3014" s="40"/>
      <c r="AA3014" s="34"/>
      <c r="AB3014" s="41"/>
      <c r="AC3014" s="42" t="b">
        <v>0</v>
      </c>
      <c r="AD3014" s="66"/>
      <c r="AE3014" s="42"/>
      <c r="AF3014" s="42"/>
      <c r="AG3014" s="43"/>
    </row>
    <row r="3015">
      <c r="A3015" s="23"/>
      <c r="B3015" s="101"/>
      <c r="C3015" s="115"/>
      <c r="D3015" s="115"/>
      <c r="E3015" s="85"/>
      <c r="F3015" s="138"/>
      <c r="G3015" s="101"/>
      <c r="H3015" s="105"/>
      <c r="I3015" s="105"/>
      <c r="J3015" s="44"/>
      <c r="K3015" s="116"/>
      <c r="L3015" s="117"/>
      <c r="M3015" s="67"/>
      <c r="N3015" s="33"/>
      <c r="O3015" s="70"/>
      <c r="P3015" s="34"/>
      <c r="Q3015" s="60"/>
      <c r="R3015" s="36"/>
      <c r="S3015" s="71"/>
      <c r="T3015" s="37"/>
      <c r="U3015" s="118"/>
      <c r="V3015" s="74"/>
      <c r="W3015" s="74"/>
      <c r="X3015" s="35"/>
      <c r="Y3015" s="35"/>
      <c r="Z3015" s="40"/>
      <c r="AA3015" s="34"/>
      <c r="AB3015" s="41"/>
      <c r="AC3015" s="42" t="b">
        <v>0</v>
      </c>
      <c r="AD3015" s="66"/>
      <c r="AE3015" s="42"/>
      <c r="AF3015" s="42"/>
      <c r="AG3015" s="43"/>
    </row>
    <row r="3016">
      <c r="A3016" s="23"/>
      <c r="B3016" s="101"/>
      <c r="C3016" s="115"/>
      <c r="D3016" s="115"/>
      <c r="E3016" s="85"/>
      <c r="F3016" s="138"/>
      <c r="G3016" s="101"/>
      <c r="H3016" s="105"/>
      <c r="I3016" s="105"/>
      <c r="J3016" s="44"/>
      <c r="K3016" s="116"/>
      <c r="L3016" s="117"/>
      <c r="M3016" s="67"/>
      <c r="N3016" s="33"/>
      <c r="O3016" s="70"/>
      <c r="P3016" s="34"/>
      <c r="Q3016" s="60"/>
      <c r="R3016" s="36"/>
      <c r="S3016" s="71"/>
      <c r="T3016" s="37"/>
      <c r="U3016" s="118"/>
      <c r="V3016" s="74"/>
      <c r="W3016" s="74"/>
      <c r="X3016" s="35"/>
      <c r="Y3016" s="35"/>
      <c r="Z3016" s="40"/>
      <c r="AA3016" s="34"/>
      <c r="AB3016" s="41"/>
      <c r="AC3016" s="42" t="b">
        <v>0</v>
      </c>
      <c r="AD3016" s="66"/>
      <c r="AE3016" s="42"/>
      <c r="AF3016" s="42"/>
      <c r="AG3016" s="43"/>
    </row>
    <row r="3017">
      <c r="A3017" s="23"/>
      <c r="B3017" s="101"/>
      <c r="C3017" s="115"/>
      <c r="D3017" s="115"/>
      <c r="E3017" s="85"/>
      <c r="F3017" s="138"/>
      <c r="G3017" s="101"/>
      <c r="H3017" s="105"/>
      <c r="I3017" s="105"/>
      <c r="J3017" s="44"/>
      <c r="K3017" s="116"/>
      <c r="L3017" s="117"/>
      <c r="M3017" s="67"/>
      <c r="N3017" s="33"/>
      <c r="O3017" s="70"/>
      <c r="P3017" s="34"/>
      <c r="Q3017" s="60"/>
      <c r="R3017" s="36"/>
      <c r="S3017" s="71"/>
      <c r="T3017" s="37"/>
      <c r="U3017" s="118"/>
      <c r="V3017" s="74"/>
      <c r="W3017" s="74"/>
      <c r="X3017" s="35"/>
      <c r="Y3017" s="35"/>
      <c r="Z3017" s="40"/>
      <c r="AA3017" s="34"/>
      <c r="AB3017" s="41"/>
      <c r="AC3017" s="42" t="b">
        <v>0</v>
      </c>
      <c r="AD3017" s="66"/>
      <c r="AE3017" s="42"/>
      <c r="AF3017" s="42"/>
      <c r="AG3017" s="43"/>
    </row>
    <row r="3018">
      <c r="A3018" s="23"/>
      <c r="B3018" s="101"/>
      <c r="C3018" s="115"/>
      <c r="D3018" s="115"/>
      <c r="E3018" s="85"/>
      <c r="F3018" s="138"/>
      <c r="G3018" s="101"/>
      <c r="H3018" s="105"/>
      <c r="I3018" s="105"/>
      <c r="J3018" s="44"/>
      <c r="K3018" s="116"/>
      <c r="L3018" s="117"/>
      <c r="M3018" s="67"/>
      <c r="N3018" s="33"/>
      <c r="O3018" s="70"/>
      <c r="P3018" s="34"/>
      <c r="Q3018" s="60"/>
      <c r="R3018" s="36"/>
      <c r="S3018" s="71"/>
      <c r="T3018" s="37"/>
      <c r="U3018" s="118"/>
      <c r="V3018" s="74"/>
      <c r="W3018" s="74"/>
      <c r="X3018" s="35"/>
      <c r="Y3018" s="35"/>
      <c r="Z3018" s="40"/>
      <c r="AA3018" s="34"/>
      <c r="AB3018" s="41"/>
      <c r="AC3018" s="42" t="b">
        <v>0</v>
      </c>
      <c r="AD3018" s="66"/>
      <c r="AE3018" s="42"/>
      <c r="AF3018" s="42"/>
      <c r="AG3018" s="43"/>
    </row>
    <row r="3019">
      <c r="A3019" s="23"/>
      <c r="B3019" s="101"/>
      <c r="C3019" s="115"/>
      <c r="D3019" s="115"/>
      <c r="E3019" s="85"/>
      <c r="F3019" s="138"/>
      <c r="G3019" s="101"/>
      <c r="H3019" s="105"/>
      <c r="I3019" s="105"/>
      <c r="J3019" s="44"/>
      <c r="K3019" s="116"/>
      <c r="L3019" s="117"/>
      <c r="M3019" s="67"/>
      <c r="N3019" s="33"/>
      <c r="O3019" s="70"/>
      <c r="P3019" s="34"/>
      <c r="Q3019" s="60"/>
      <c r="R3019" s="36"/>
      <c r="S3019" s="71"/>
      <c r="T3019" s="37"/>
      <c r="U3019" s="118"/>
      <c r="V3019" s="74"/>
      <c r="W3019" s="74"/>
      <c r="X3019" s="35"/>
      <c r="Y3019" s="35"/>
      <c r="Z3019" s="40"/>
      <c r="AA3019" s="34"/>
      <c r="AB3019" s="41"/>
      <c r="AC3019" s="42" t="b">
        <v>0</v>
      </c>
      <c r="AD3019" s="66"/>
      <c r="AE3019" s="42"/>
      <c r="AF3019" s="42"/>
      <c r="AG3019" s="43"/>
    </row>
    <row r="3020">
      <c r="A3020" s="23"/>
      <c r="B3020" s="101"/>
      <c r="C3020" s="115"/>
      <c r="D3020" s="115"/>
      <c r="E3020" s="85"/>
      <c r="F3020" s="138"/>
      <c r="G3020" s="101"/>
      <c r="H3020" s="105"/>
      <c r="I3020" s="105"/>
      <c r="J3020" s="44"/>
      <c r="K3020" s="116"/>
      <c r="L3020" s="117"/>
      <c r="M3020" s="67"/>
      <c r="N3020" s="33"/>
      <c r="O3020" s="70"/>
      <c r="P3020" s="34"/>
      <c r="Q3020" s="60"/>
      <c r="R3020" s="36"/>
      <c r="S3020" s="71"/>
      <c r="T3020" s="37"/>
      <c r="U3020" s="118"/>
      <c r="V3020" s="74"/>
      <c r="W3020" s="74"/>
      <c r="X3020" s="35"/>
      <c r="Y3020" s="35"/>
      <c r="Z3020" s="40"/>
      <c r="AA3020" s="34"/>
      <c r="AB3020" s="41"/>
      <c r="AC3020" s="42" t="b">
        <v>0</v>
      </c>
      <c r="AD3020" s="66"/>
      <c r="AE3020" s="42"/>
      <c r="AF3020" s="42"/>
      <c r="AG3020" s="43"/>
    </row>
    <row r="3021">
      <c r="A3021" s="23"/>
      <c r="B3021" s="101"/>
      <c r="C3021" s="115"/>
      <c r="D3021" s="115"/>
      <c r="E3021" s="85"/>
      <c r="F3021" s="138"/>
      <c r="G3021" s="101"/>
      <c r="H3021" s="105"/>
      <c r="I3021" s="105"/>
      <c r="J3021" s="44"/>
      <c r="K3021" s="116"/>
      <c r="L3021" s="117"/>
      <c r="M3021" s="67"/>
      <c r="N3021" s="33"/>
      <c r="O3021" s="70"/>
      <c r="P3021" s="34"/>
      <c r="Q3021" s="60"/>
      <c r="R3021" s="36"/>
      <c r="S3021" s="71"/>
      <c r="T3021" s="37"/>
      <c r="U3021" s="118"/>
      <c r="V3021" s="74"/>
      <c r="W3021" s="74"/>
      <c r="X3021" s="35"/>
      <c r="Y3021" s="35"/>
      <c r="Z3021" s="40"/>
      <c r="AA3021" s="34"/>
      <c r="AB3021" s="41"/>
      <c r="AC3021" s="42" t="b">
        <v>0</v>
      </c>
      <c r="AD3021" s="66"/>
      <c r="AE3021" s="42"/>
      <c r="AF3021" s="42"/>
      <c r="AG3021" s="43"/>
    </row>
    <row r="3022">
      <c r="A3022" s="23"/>
      <c r="B3022" s="101"/>
      <c r="C3022" s="115"/>
      <c r="D3022" s="115"/>
      <c r="E3022" s="85"/>
      <c r="F3022" s="138"/>
      <c r="G3022" s="101"/>
      <c r="H3022" s="105"/>
      <c r="I3022" s="105"/>
      <c r="J3022" s="44"/>
      <c r="K3022" s="116"/>
      <c r="L3022" s="117"/>
      <c r="M3022" s="67"/>
      <c r="N3022" s="33"/>
      <c r="O3022" s="70"/>
      <c r="P3022" s="34"/>
      <c r="Q3022" s="60"/>
      <c r="R3022" s="36"/>
      <c r="S3022" s="71"/>
      <c r="T3022" s="37"/>
      <c r="U3022" s="118"/>
      <c r="V3022" s="74"/>
      <c r="W3022" s="74"/>
      <c r="X3022" s="35"/>
      <c r="Y3022" s="35"/>
      <c r="Z3022" s="40"/>
      <c r="AA3022" s="34"/>
      <c r="AB3022" s="41"/>
      <c r="AC3022" s="42" t="b">
        <v>0</v>
      </c>
      <c r="AD3022" s="66"/>
      <c r="AE3022" s="42"/>
      <c r="AF3022" s="42"/>
      <c r="AG3022" s="43"/>
    </row>
    <row r="3023">
      <c r="A3023" s="23"/>
      <c r="B3023" s="101"/>
      <c r="C3023" s="115"/>
      <c r="D3023" s="115"/>
      <c r="E3023" s="85"/>
      <c r="F3023" s="138"/>
      <c r="G3023" s="101"/>
      <c r="H3023" s="105"/>
      <c r="I3023" s="105"/>
      <c r="J3023" s="44"/>
      <c r="K3023" s="116"/>
      <c r="L3023" s="117"/>
      <c r="M3023" s="67"/>
      <c r="N3023" s="33"/>
      <c r="O3023" s="70"/>
      <c r="P3023" s="34"/>
      <c r="Q3023" s="60"/>
      <c r="R3023" s="36"/>
      <c r="S3023" s="71"/>
      <c r="T3023" s="37"/>
      <c r="U3023" s="118"/>
      <c r="V3023" s="74"/>
      <c r="W3023" s="74"/>
      <c r="X3023" s="35"/>
      <c r="Y3023" s="35"/>
      <c r="Z3023" s="40"/>
      <c r="AA3023" s="34"/>
      <c r="AB3023" s="41"/>
      <c r="AC3023" s="42" t="b">
        <v>0</v>
      </c>
      <c r="AD3023" s="66"/>
      <c r="AE3023" s="42"/>
      <c r="AF3023" s="42"/>
      <c r="AG3023" s="43"/>
    </row>
    <row r="3024">
      <c r="A3024" s="23"/>
      <c r="B3024" s="101"/>
      <c r="C3024" s="115"/>
      <c r="D3024" s="115"/>
      <c r="E3024" s="85"/>
      <c r="F3024" s="138"/>
      <c r="G3024" s="101"/>
      <c r="H3024" s="105"/>
      <c r="I3024" s="105"/>
      <c r="J3024" s="44"/>
      <c r="K3024" s="116"/>
      <c r="L3024" s="117"/>
      <c r="M3024" s="67"/>
      <c r="N3024" s="33"/>
      <c r="O3024" s="70"/>
      <c r="P3024" s="34"/>
      <c r="Q3024" s="60"/>
      <c r="R3024" s="36"/>
      <c r="S3024" s="71"/>
      <c r="T3024" s="37"/>
      <c r="U3024" s="118"/>
      <c r="V3024" s="74"/>
      <c r="W3024" s="74"/>
      <c r="X3024" s="35"/>
      <c r="Y3024" s="35"/>
      <c r="Z3024" s="40"/>
      <c r="AA3024" s="34"/>
      <c r="AB3024" s="41"/>
      <c r="AC3024" s="42" t="b">
        <v>0</v>
      </c>
      <c r="AD3024" s="66"/>
      <c r="AE3024" s="42"/>
      <c r="AF3024" s="42"/>
      <c r="AG3024" s="43"/>
    </row>
    <row r="3025">
      <c r="A3025" s="23"/>
      <c r="B3025" s="101"/>
      <c r="C3025" s="115"/>
      <c r="D3025" s="115"/>
      <c r="E3025" s="85"/>
      <c r="F3025" s="138"/>
      <c r="G3025" s="101"/>
      <c r="H3025" s="105"/>
      <c r="I3025" s="105"/>
      <c r="J3025" s="44"/>
      <c r="K3025" s="116"/>
      <c r="L3025" s="117"/>
      <c r="M3025" s="67"/>
      <c r="N3025" s="33"/>
      <c r="O3025" s="70"/>
      <c r="P3025" s="34"/>
      <c r="Q3025" s="60"/>
      <c r="R3025" s="36"/>
      <c r="S3025" s="71"/>
      <c r="T3025" s="37"/>
      <c r="U3025" s="118"/>
      <c r="V3025" s="74"/>
      <c r="W3025" s="74"/>
      <c r="X3025" s="35"/>
      <c r="Y3025" s="35"/>
      <c r="Z3025" s="40"/>
      <c r="AA3025" s="34"/>
      <c r="AB3025" s="41"/>
      <c r="AC3025" s="42" t="b">
        <v>0</v>
      </c>
      <c r="AD3025" s="66"/>
      <c r="AE3025" s="42"/>
      <c r="AF3025" s="42"/>
      <c r="AG3025" s="43"/>
    </row>
    <row r="3026">
      <c r="A3026" s="23"/>
      <c r="B3026" s="101"/>
      <c r="C3026" s="115"/>
      <c r="D3026" s="115"/>
      <c r="E3026" s="85"/>
      <c r="F3026" s="138"/>
      <c r="G3026" s="101"/>
      <c r="H3026" s="105"/>
      <c r="I3026" s="105"/>
      <c r="J3026" s="44"/>
      <c r="K3026" s="116"/>
      <c r="L3026" s="117"/>
      <c r="M3026" s="67"/>
      <c r="N3026" s="33"/>
      <c r="O3026" s="70"/>
      <c r="P3026" s="34"/>
      <c r="Q3026" s="60"/>
      <c r="R3026" s="36"/>
      <c r="S3026" s="71"/>
      <c r="T3026" s="37"/>
      <c r="U3026" s="118"/>
      <c r="V3026" s="74"/>
      <c r="W3026" s="74"/>
      <c r="X3026" s="35"/>
      <c r="Y3026" s="35"/>
      <c r="Z3026" s="40"/>
      <c r="AA3026" s="34"/>
      <c r="AB3026" s="41"/>
      <c r="AC3026" s="42" t="b">
        <v>0</v>
      </c>
      <c r="AD3026" s="66"/>
      <c r="AE3026" s="42"/>
      <c r="AF3026" s="42"/>
      <c r="AG3026" s="43"/>
    </row>
    <row r="3027">
      <c r="A3027" s="23"/>
      <c r="B3027" s="101"/>
      <c r="C3027" s="115"/>
      <c r="D3027" s="115"/>
      <c r="E3027" s="85"/>
      <c r="F3027" s="138"/>
      <c r="G3027" s="101"/>
      <c r="H3027" s="105"/>
      <c r="I3027" s="105"/>
      <c r="J3027" s="44"/>
      <c r="K3027" s="116"/>
      <c r="L3027" s="117"/>
      <c r="M3027" s="67"/>
      <c r="N3027" s="33"/>
      <c r="O3027" s="70"/>
      <c r="P3027" s="34"/>
      <c r="Q3027" s="60"/>
      <c r="R3027" s="36"/>
      <c r="S3027" s="71"/>
      <c r="T3027" s="37"/>
      <c r="U3027" s="118"/>
      <c r="V3027" s="74"/>
      <c r="W3027" s="74"/>
      <c r="X3027" s="35"/>
      <c r="Y3027" s="35"/>
      <c r="Z3027" s="40"/>
      <c r="AA3027" s="34"/>
      <c r="AB3027" s="41"/>
      <c r="AC3027" s="42" t="b">
        <v>0</v>
      </c>
      <c r="AD3027" s="66"/>
      <c r="AE3027" s="42"/>
      <c r="AF3027" s="42"/>
      <c r="AG3027" s="43"/>
    </row>
    <row r="3028">
      <c r="A3028" s="23"/>
      <c r="B3028" s="101"/>
      <c r="C3028" s="115"/>
      <c r="D3028" s="115"/>
      <c r="E3028" s="85"/>
      <c r="F3028" s="138"/>
      <c r="G3028" s="101"/>
      <c r="H3028" s="105"/>
      <c r="I3028" s="105"/>
      <c r="J3028" s="44"/>
      <c r="K3028" s="116"/>
      <c r="L3028" s="117"/>
      <c r="M3028" s="67"/>
      <c r="N3028" s="33"/>
      <c r="O3028" s="70"/>
      <c r="P3028" s="34"/>
      <c r="Q3028" s="60"/>
      <c r="R3028" s="36"/>
      <c r="S3028" s="71"/>
      <c r="T3028" s="37"/>
      <c r="U3028" s="118"/>
      <c r="V3028" s="74"/>
      <c r="W3028" s="74"/>
      <c r="X3028" s="35"/>
      <c r="Y3028" s="35"/>
      <c r="Z3028" s="40"/>
      <c r="AA3028" s="34"/>
      <c r="AB3028" s="41"/>
      <c r="AC3028" s="42" t="b">
        <v>0</v>
      </c>
      <c r="AD3028" s="66"/>
      <c r="AE3028" s="42"/>
      <c r="AF3028" s="42"/>
      <c r="AG3028" s="43"/>
    </row>
    <row r="3029">
      <c r="A3029" s="23"/>
      <c r="B3029" s="101"/>
      <c r="C3029" s="115"/>
      <c r="D3029" s="115"/>
      <c r="E3029" s="85"/>
      <c r="F3029" s="138"/>
      <c r="G3029" s="101"/>
      <c r="H3029" s="105"/>
      <c r="I3029" s="105"/>
      <c r="J3029" s="44"/>
      <c r="K3029" s="116"/>
      <c r="L3029" s="117"/>
      <c r="M3029" s="67"/>
      <c r="N3029" s="33"/>
      <c r="O3029" s="70"/>
      <c r="P3029" s="34"/>
      <c r="Q3029" s="60"/>
      <c r="R3029" s="36"/>
      <c r="S3029" s="71"/>
      <c r="T3029" s="37"/>
      <c r="U3029" s="118"/>
      <c r="V3029" s="74"/>
      <c r="W3029" s="74"/>
      <c r="X3029" s="35"/>
      <c r="Y3029" s="35"/>
      <c r="Z3029" s="40"/>
      <c r="AA3029" s="34"/>
      <c r="AB3029" s="41"/>
      <c r="AC3029" s="42" t="b">
        <v>0</v>
      </c>
      <c r="AD3029" s="66"/>
      <c r="AE3029" s="42"/>
      <c r="AF3029" s="42"/>
      <c r="AG3029" s="43"/>
    </row>
    <row r="3030">
      <c r="A3030" s="23"/>
      <c r="B3030" s="101"/>
      <c r="C3030" s="115"/>
      <c r="D3030" s="115"/>
      <c r="E3030" s="85"/>
      <c r="F3030" s="138"/>
      <c r="G3030" s="101"/>
      <c r="H3030" s="105"/>
      <c r="I3030" s="105"/>
      <c r="J3030" s="44"/>
      <c r="K3030" s="116"/>
      <c r="L3030" s="117"/>
      <c r="M3030" s="67"/>
      <c r="N3030" s="33"/>
      <c r="O3030" s="70"/>
      <c r="P3030" s="34"/>
      <c r="Q3030" s="60"/>
      <c r="R3030" s="36"/>
      <c r="S3030" s="71"/>
      <c r="T3030" s="37"/>
      <c r="U3030" s="118"/>
      <c r="V3030" s="74"/>
      <c r="W3030" s="74"/>
      <c r="X3030" s="35"/>
      <c r="Y3030" s="35"/>
      <c r="Z3030" s="40"/>
      <c r="AA3030" s="34"/>
      <c r="AB3030" s="41"/>
      <c r="AC3030" s="42" t="b">
        <v>0</v>
      </c>
      <c r="AD3030" s="66"/>
      <c r="AE3030" s="42"/>
      <c r="AF3030" s="42"/>
      <c r="AG3030" s="43"/>
    </row>
    <row r="3031">
      <c r="A3031" s="23"/>
      <c r="B3031" s="101"/>
      <c r="C3031" s="115"/>
      <c r="D3031" s="115"/>
      <c r="E3031" s="85"/>
      <c r="F3031" s="138"/>
      <c r="G3031" s="101"/>
      <c r="H3031" s="105"/>
      <c r="I3031" s="105"/>
      <c r="J3031" s="44"/>
      <c r="K3031" s="116"/>
      <c r="L3031" s="117"/>
      <c r="M3031" s="67"/>
      <c r="N3031" s="33"/>
      <c r="O3031" s="70"/>
      <c r="P3031" s="34"/>
      <c r="Q3031" s="60"/>
      <c r="R3031" s="36"/>
      <c r="S3031" s="71"/>
      <c r="T3031" s="37"/>
      <c r="U3031" s="118"/>
      <c r="V3031" s="74"/>
      <c r="W3031" s="74"/>
      <c r="X3031" s="35"/>
      <c r="Y3031" s="35"/>
      <c r="Z3031" s="40"/>
      <c r="AA3031" s="34"/>
      <c r="AB3031" s="41"/>
      <c r="AC3031" s="42" t="b">
        <v>0</v>
      </c>
      <c r="AD3031" s="66"/>
      <c r="AE3031" s="42"/>
      <c r="AF3031" s="42"/>
      <c r="AG3031" s="43"/>
    </row>
    <row r="3032">
      <c r="A3032" s="23"/>
      <c r="B3032" s="101"/>
      <c r="C3032" s="115"/>
      <c r="D3032" s="115"/>
      <c r="E3032" s="85"/>
      <c r="F3032" s="138"/>
      <c r="G3032" s="101"/>
      <c r="H3032" s="105"/>
      <c r="I3032" s="105"/>
      <c r="J3032" s="44"/>
      <c r="K3032" s="116"/>
      <c r="L3032" s="117"/>
      <c r="M3032" s="67"/>
      <c r="N3032" s="33"/>
      <c r="O3032" s="70"/>
      <c r="P3032" s="34"/>
      <c r="Q3032" s="60"/>
      <c r="R3032" s="36"/>
      <c r="S3032" s="71"/>
      <c r="T3032" s="37"/>
      <c r="U3032" s="118"/>
      <c r="V3032" s="74"/>
      <c r="W3032" s="74"/>
      <c r="X3032" s="35"/>
      <c r="Y3032" s="35"/>
      <c r="Z3032" s="40"/>
      <c r="AA3032" s="34"/>
      <c r="AB3032" s="41"/>
      <c r="AC3032" s="42" t="b">
        <v>0</v>
      </c>
      <c r="AD3032" s="66"/>
      <c r="AE3032" s="42"/>
      <c r="AF3032" s="42"/>
      <c r="AG3032" s="43"/>
    </row>
    <row r="3033">
      <c r="A3033" s="23"/>
      <c r="B3033" s="101"/>
      <c r="C3033" s="115"/>
      <c r="D3033" s="115"/>
      <c r="E3033" s="85"/>
      <c r="F3033" s="138"/>
      <c r="G3033" s="101"/>
      <c r="H3033" s="105"/>
      <c r="I3033" s="105"/>
      <c r="J3033" s="44"/>
      <c r="K3033" s="116"/>
      <c r="L3033" s="117"/>
      <c r="M3033" s="67"/>
      <c r="N3033" s="33"/>
      <c r="O3033" s="70"/>
      <c r="P3033" s="34"/>
      <c r="Q3033" s="60"/>
      <c r="R3033" s="36"/>
      <c r="S3033" s="71"/>
      <c r="T3033" s="37"/>
      <c r="U3033" s="118"/>
      <c r="V3033" s="74"/>
      <c r="W3033" s="74"/>
      <c r="X3033" s="35"/>
      <c r="Y3033" s="35"/>
      <c r="Z3033" s="40"/>
      <c r="AA3033" s="34"/>
      <c r="AB3033" s="41"/>
      <c r="AC3033" s="42" t="b">
        <v>0</v>
      </c>
      <c r="AD3033" s="66"/>
      <c r="AE3033" s="42"/>
      <c r="AF3033" s="42"/>
      <c r="AG3033" s="43"/>
    </row>
    <row r="3034">
      <c r="A3034" s="23"/>
      <c r="B3034" s="101"/>
      <c r="C3034" s="115"/>
      <c r="D3034" s="115"/>
      <c r="E3034" s="85"/>
      <c r="F3034" s="138"/>
      <c r="G3034" s="101"/>
      <c r="H3034" s="105"/>
      <c r="I3034" s="105"/>
      <c r="J3034" s="44"/>
      <c r="K3034" s="116"/>
      <c r="L3034" s="117"/>
      <c r="M3034" s="67"/>
      <c r="N3034" s="33"/>
      <c r="O3034" s="70"/>
      <c r="P3034" s="34"/>
      <c r="Q3034" s="60"/>
      <c r="R3034" s="36"/>
      <c r="S3034" s="71"/>
      <c r="T3034" s="37"/>
      <c r="U3034" s="118"/>
      <c r="V3034" s="74"/>
      <c r="W3034" s="74"/>
      <c r="X3034" s="35"/>
      <c r="Y3034" s="35"/>
      <c r="Z3034" s="40"/>
      <c r="AA3034" s="34"/>
      <c r="AB3034" s="41"/>
      <c r="AC3034" s="42" t="b">
        <v>0</v>
      </c>
      <c r="AD3034" s="66"/>
      <c r="AE3034" s="42"/>
      <c r="AF3034" s="42"/>
      <c r="AG3034" s="43"/>
    </row>
    <row r="3035">
      <c r="A3035" s="23"/>
      <c r="B3035" s="101"/>
      <c r="C3035" s="115"/>
      <c r="D3035" s="115"/>
      <c r="E3035" s="85"/>
      <c r="F3035" s="138"/>
      <c r="G3035" s="101"/>
      <c r="H3035" s="105"/>
      <c r="I3035" s="105"/>
      <c r="J3035" s="44"/>
      <c r="K3035" s="116"/>
      <c r="L3035" s="117"/>
      <c r="M3035" s="67"/>
      <c r="N3035" s="33"/>
      <c r="O3035" s="70"/>
      <c r="P3035" s="34"/>
      <c r="Q3035" s="60"/>
      <c r="R3035" s="36"/>
      <c r="S3035" s="71"/>
      <c r="T3035" s="37"/>
      <c r="U3035" s="118"/>
      <c r="V3035" s="74"/>
      <c r="W3035" s="74"/>
      <c r="X3035" s="35"/>
      <c r="Y3035" s="35"/>
      <c r="Z3035" s="40"/>
      <c r="AA3035" s="34"/>
      <c r="AB3035" s="41"/>
      <c r="AC3035" s="42" t="b">
        <v>0</v>
      </c>
      <c r="AD3035" s="66"/>
      <c r="AE3035" s="42"/>
      <c r="AF3035" s="42"/>
      <c r="AG3035" s="43"/>
    </row>
    <row r="3036">
      <c r="A3036" s="23"/>
      <c r="B3036" s="101"/>
      <c r="C3036" s="115"/>
      <c r="D3036" s="115"/>
      <c r="E3036" s="85"/>
      <c r="F3036" s="138"/>
      <c r="G3036" s="101"/>
      <c r="H3036" s="105"/>
      <c r="I3036" s="105"/>
      <c r="J3036" s="44"/>
      <c r="K3036" s="116"/>
      <c r="L3036" s="117"/>
      <c r="M3036" s="67"/>
      <c r="N3036" s="33"/>
      <c r="O3036" s="70"/>
      <c r="P3036" s="34"/>
      <c r="Q3036" s="60"/>
      <c r="R3036" s="36"/>
      <c r="S3036" s="71"/>
      <c r="T3036" s="37"/>
      <c r="U3036" s="118"/>
      <c r="V3036" s="74"/>
      <c r="W3036" s="74"/>
      <c r="X3036" s="35"/>
      <c r="Y3036" s="35"/>
      <c r="Z3036" s="40"/>
      <c r="AA3036" s="34"/>
      <c r="AB3036" s="41"/>
      <c r="AC3036" s="42" t="b">
        <v>0</v>
      </c>
      <c r="AD3036" s="66"/>
      <c r="AE3036" s="42"/>
      <c r="AF3036" s="42"/>
      <c r="AG3036" s="43"/>
    </row>
    <row r="3037">
      <c r="A3037" s="23"/>
      <c r="B3037" s="101"/>
      <c r="C3037" s="115"/>
      <c r="D3037" s="115"/>
      <c r="E3037" s="85"/>
      <c r="F3037" s="138"/>
      <c r="G3037" s="101"/>
      <c r="H3037" s="105"/>
      <c r="I3037" s="105"/>
      <c r="J3037" s="44"/>
      <c r="K3037" s="116"/>
      <c r="L3037" s="117"/>
      <c r="M3037" s="67"/>
      <c r="N3037" s="33"/>
      <c r="O3037" s="70"/>
      <c r="P3037" s="34"/>
      <c r="Q3037" s="60"/>
      <c r="R3037" s="36"/>
      <c r="S3037" s="71"/>
      <c r="T3037" s="37"/>
      <c r="U3037" s="118"/>
      <c r="V3037" s="74"/>
      <c r="W3037" s="74"/>
      <c r="X3037" s="35"/>
      <c r="Y3037" s="35"/>
      <c r="Z3037" s="40"/>
      <c r="AA3037" s="34"/>
      <c r="AB3037" s="41"/>
      <c r="AC3037" s="42" t="b">
        <v>0</v>
      </c>
      <c r="AD3037" s="66"/>
      <c r="AE3037" s="42"/>
      <c r="AF3037" s="42"/>
      <c r="AG3037" s="43"/>
    </row>
    <row r="3038">
      <c r="A3038" s="23"/>
      <c r="B3038" s="101"/>
      <c r="C3038" s="115"/>
      <c r="D3038" s="115"/>
      <c r="E3038" s="85"/>
      <c r="F3038" s="138"/>
      <c r="G3038" s="101"/>
      <c r="H3038" s="105"/>
      <c r="I3038" s="105"/>
      <c r="J3038" s="44"/>
      <c r="K3038" s="116"/>
      <c r="L3038" s="117"/>
      <c r="M3038" s="67"/>
      <c r="N3038" s="33"/>
      <c r="O3038" s="70"/>
      <c r="P3038" s="34"/>
      <c r="Q3038" s="60"/>
      <c r="R3038" s="36"/>
      <c r="S3038" s="71"/>
      <c r="T3038" s="37"/>
      <c r="U3038" s="118"/>
      <c r="V3038" s="74"/>
      <c r="W3038" s="74"/>
      <c r="X3038" s="35"/>
      <c r="Y3038" s="35"/>
      <c r="Z3038" s="40"/>
      <c r="AA3038" s="34"/>
      <c r="AB3038" s="41"/>
      <c r="AC3038" s="42" t="b">
        <v>0</v>
      </c>
      <c r="AD3038" s="66"/>
      <c r="AE3038" s="42"/>
      <c r="AF3038" s="42"/>
      <c r="AG3038" s="43"/>
    </row>
    <row r="3039">
      <c r="A3039" s="23"/>
      <c r="B3039" s="101"/>
      <c r="C3039" s="115"/>
      <c r="D3039" s="115"/>
      <c r="E3039" s="85"/>
      <c r="F3039" s="138"/>
      <c r="G3039" s="101"/>
      <c r="H3039" s="105"/>
      <c r="I3039" s="105"/>
      <c r="J3039" s="44"/>
      <c r="K3039" s="116"/>
      <c r="L3039" s="117"/>
      <c r="M3039" s="67"/>
      <c r="N3039" s="33"/>
      <c r="O3039" s="70"/>
      <c r="P3039" s="34"/>
      <c r="Q3039" s="60"/>
      <c r="R3039" s="36"/>
      <c r="S3039" s="71"/>
      <c r="T3039" s="37"/>
      <c r="U3039" s="118"/>
      <c r="V3039" s="74"/>
      <c r="W3039" s="74"/>
      <c r="X3039" s="35"/>
      <c r="Y3039" s="35"/>
      <c r="Z3039" s="40"/>
      <c r="AA3039" s="34"/>
      <c r="AB3039" s="41"/>
      <c r="AC3039" s="42" t="b">
        <v>0</v>
      </c>
      <c r="AD3039" s="66"/>
      <c r="AE3039" s="42"/>
      <c r="AF3039" s="42"/>
      <c r="AG3039" s="43"/>
    </row>
    <row r="3040">
      <c r="A3040" s="23"/>
      <c r="B3040" s="101"/>
      <c r="C3040" s="115"/>
      <c r="D3040" s="115"/>
      <c r="E3040" s="85"/>
      <c r="F3040" s="138"/>
      <c r="G3040" s="101"/>
      <c r="H3040" s="105"/>
      <c r="I3040" s="105"/>
      <c r="J3040" s="44"/>
      <c r="K3040" s="116"/>
      <c r="L3040" s="117"/>
      <c r="M3040" s="67"/>
      <c r="N3040" s="33"/>
      <c r="O3040" s="70"/>
      <c r="P3040" s="34"/>
      <c r="Q3040" s="60"/>
      <c r="R3040" s="36"/>
      <c r="S3040" s="71"/>
      <c r="T3040" s="37"/>
      <c r="U3040" s="118"/>
      <c r="V3040" s="74"/>
      <c r="W3040" s="74"/>
      <c r="X3040" s="35"/>
      <c r="Y3040" s="35"/>
      <c r="Z3040" s="40"/>
      <c r="AA3040" s="34"/>
      <c r="AB3040" s="41"/>
      <c r="AC3040" s="42" t="b">
        <v>0</v>
      </c>
      <c r="AD3040" s="66"/>
      <c r="AE3040" s="42"/>
      <c r="AF3040" s="42"/>
      <c r="AG3040" s="43"/>
    </row>
    <row r="3041">
      <c r="A3041" s="23"/>
      <c r="B3041" s="101"/>
      <c r="C3041" s="115"/>
      <c r="D3041" s="115"/>
      <c r="E3041" s="85"/>
      <c r="F3041" s="138"/>
      <c r="G3041" s="101"/>
      <c r="H3041" s="105"/>
      <c r="I3041" s="105"/>
      <c r="J3041" s="44"/>
      <c r="K3041" s="116"/>
      <c r="L3041" s="117"/>
      <c r="M3041" s="67"/>
      <c r="N3041" s="33"/>
      <c r="O3041" s="70"/>
      <c r="P3041" s="34"/>
      <c r="Q3041" s="60"/>
      <c r="R3041" s="36"/>
      <c r="S3041" s="71"/>
      <c r="T3041" s="37"/>
      <c r="U3041" s="118"/>
      <c r="V3041" s="74"/>
      <c r="W3041" s="74"/>
      <c r="X3041" s="35"/>
      <c r="Y3041" s="35"/>
      <c r="Z3041" s="40"/>
      <c r="AA3041" s="34"/>
      <c r="AB3041" s="41"/>
      <c r="AC3041" s="42" t="b">
        <v>0</v>
      </c>
      <c r="AD3041" s="66"/>
      <c r="AE3041" s="42"/>
      <c r="AF3041" s="42"/>
      <c r="AG3041" s="43"/>
    </row>
    <row r="3042">
      <c r="A3042" s="23"/>
      <c r="B3042" s="101"/>
      <c r="C3042" s="115"/>
      <c r="D3042" s="115"/>
      <c r="E3042" s="85"/>
      <c r="F3042" s="138"/>
      <c r="G3042" s="101"/>
      <c r="H3042" s="105"/>
      <c r="I3042" s="105"/>
      <c r="J3042" s="44"/>
      <c r="K3042" s="116"/>
      <c r="L3042" s="117"/>
      <c r="M3042" s="67"/>
      <c r="N3042" s="33"/>
      <c r="O3042" s="70"/>
      <c r="P3042" s="34"/>
      <c r="Q3042" s="60"/>
      <c r="R3042" s="36"/>
      <c r="S3042" s="71"/>
      <c r="T3042" s="37"/>
      <c r="U3042" s="118"/>
      <c r="V3042" s="74"/>
      <c r="W3042" s="74"/>
      <c r="X3042" s="35"/>
      <c r="Y3042" s="35"/>
      <c r="Z3042" s="40"/>
      <c r="AA3042" s="34"/>
      <c r="AB3042" s="41"/>
      <c r="AC3042" s="42" t="b">
        <v>0</v>
      </c>
      <c r="AD3042" s="66"/>
      <c r="AE3042" s="42"/>
      <c r="AF3042" s="42"/>
      <c r="AG3042" s="43"/>
    </row>
    <row r="3043">
      <c r="A3043" s="23"/>
      <c r="B3043" s="101"/>
      <c r="C3043" s="115"/>
      <c r="D3043" s="115"/>
      <c r="E3043" s="85"/>
      <c r="F3043" s="138"/>
      <c r="G3043" s="101"/>
      <c r="H3043" s="105"/>
      <c r="I3043" s="105"/>
      <c r="J3043" s="44"/>
      <c r="K3043" s="116"/>
      <c r="L3043" s="117"/>
      <c r="M3043" s="67"/>
      <c r="N3043" s="33"/>
      <c r="O3043" s="70"/>
      <c r="P3043" s="34"/>
      <c r="Q3043" s="60"/>
      <c r="R3043" s="36"/>
      <c r="S3043" s="71"/>
      <c r="T3043" s="37"/>
      <c r="U3043" s="118"/>
      <c r="V3043" s="74"/>
      <c r="W3043" s="74"/>
      <c r="X3043" s="35"/>
      <c r="Y3043" s="35"/>
      <c r="Z3043" s="40"/>
      <c r="AA3043" s="34"/>
      <c r="AB3043" s="41"/>
      <c r="AC3043" s="42" t="b">
        <v>0</v>
      </c>
      <c r="AD3043" s="66"/>
      <c r="AE3043" s="42"/>
      <c r="AF3043" s="42"/>
      <c r="AG3043" s="43"/>
    </row>
    <row r="3044">
      <c r="A3044" s="23"/>
      <c r="B3044" s="101"/>
      <c r="C3044" s="115"/>
      <c r="D3044" s="115"/>
      <c r="E3044" s="85"/>
      <c r="F3044" s="138"/>
      <c r="G3044" s="101"/>
      <c r="H3044" s="105"/>
      <c r="I3044" s="105"/>
      <c r="J3044" s="44"/>
      <c r="K3044" s="116"/>
      <c r="L3044" s="117"/>
      <c r="M3044" s="67"/>
      <c r="N3044" s="33"/>
      <c r="O3044" s="70"/>
      <c r="P3044" s="34"/>
      <c r="Q3044" s="60"/>
      <c r="R3044" s="36"/>
      <c r="S3044" s="71"/>
      <c r="T3044" s="37"/>
      <c r="U3044" s="118"/>
      <c r="V3044" s="74"/>
      <c r="W3044" s="74"/>
      <c r="X3044" s="35"/>
      <c r="Y3044" s="35"/>
      <c r="Z3044" s="40"/>
      <c r="AA3044" s="34"/>
      <c r="AB3044" s="41"/>
      <c r="AC3044" s="42" t="b">
        <v>0</v>
      </c>
      <c r="AD3044" s="66"/>
      <c r="AE3044" s="42"/>
      <c r="AF3044" s="42"/>
      <c r="AG3044" s="43"/>
    </row>
    <row r="3045">
      <c r="A3045" s="23"/>
      <c r="B3045" s="101"/>
      <c r="C3045" s="115"/>
      <c r="D3045" s="115"/>
      <c r="E3045" s="85"/>
      <c r="F3045" s="138"/>
      <c r="G3045" s="101"/>
      <c r="H3045" s="105"/>
      <c r="I3045" s="105"/>
      <c r="J3045" s="44"/>
      <c r="K3045" s="116"/>
      <c r="L3045" s="117"/>
      <c r="M3045" s="67"/>
      <c r="N3045" s="33"/>
      <c r="O3045" s="70"/>
      <c r="P3045" s="34"/>
      <c r="Q3045" s="60"/>
      <c r="R3045" s="36"/>
      <c r="S3045" s="71"/>
      <c r="T3045" s="37"/>
      <c r="U3045" s="118"/>
      <c r="V3045" s="74"/>
      <c r="W3045" s="74"/>
      <c r="X3045" s="35"/>
      <c r="Y3045" s="35"/>
      <c r="Z3045" s="40"/>
      <c r="AA3045" s="34"/>
      <c r="AB3045" s="41"/>
      <c r="AC3045" s="42" t="b">
        <v>0</v>
      </c>
      <c r="AD3045" s="66"/>
      <c r="AE3045" s="42"/>
      <c r="AF3045" s="42"/>
      <c r="AG3045" s="43"/>
    </row>
    <row r="3046">
      <c r="A3046" s="23"/>
      <c r="B3046" s="101"/>
      <c r="C3046" s="115"/>
      <c r="D3046" s="115"/>
      <c r="E3046" s="85"/>
      <c r="F3046" s="138"/>
      <c r="G3046" s="101"/>
      <c r="H3046" s="105"/>
      <c r="I3046" s="105"/>
      <c r="J3046" s="44"/>
      <c r="K3046" s="116"/>
      <c r="L3046" s="117"/>
      <c r="M3046" s="67"/>
      <c r="N3046" s="33"/>
      <c r="O3046" s="70"/>
      <c r="P3046" s="34"/>
      <c r="Q3046" s="60"/>
      <c r="R3046" s="36"/>
      <c r="S3046" s="71"/>
      <c r="T3046" s="37"/>
      <c r="U3046" s="118"/>
      <c r="V3046" s="74"/>
      <c r="W3046" s="74"/>
      <c r="X3046" s="35"/>
      <c r="Y3046" s="35"/>
      <c r="Z3046" s="40"/>
      <c r="AA3046" s="34"/>
      <c r="AB3046" s="41"/>
      <c r="AC3046" s="42" t="b">
        <v>0</v>
      </c>
      <c r="AD3046" s="66"/>
      <c r="AE3046" s="42"/>
      <c r="AF3046" s="42"/>
      <c r="AG3046" s="43"/>
    </row>
    <row r="3047">
      <c r="A3047" s="23"/>
      <c r="B3047" s="101"/>
      <c r="C3047" s="115"/>
      <c r="D3047" s="115"/>
      <c r="E3047" s="85"/>
      <c r="F3047" s="138"/>
      <c r="G3047" s="101"/>
      <c r="H3047" s="105"/>
      <c r="I3047" s="105"/>
      <c r="J3047" s="44"/>
      <c r="K3047" s="116"/>
      <c r="L3047" s="117"/>
      <c r="M3047" s="67"/>
      <c r="N3047" s="33"/>
      <c r="O3047" s="70"/>
      <c r="P3047" s="34"/>
      <c r="Q3047" s="60"/>
      <c r="R3047" s="36"/>
      <c r="S3047" s="71"/>
      <c r="T3047" s="37"/>
      <c r="U3047" s="118"/>
      <c r="V3047" s="74"/>
      <c r="W3047" s="74"/>
      <c r="X3047" s="35"/>
      <c r="Y3047" s="35"/>
      <c r="Z3047" s="40"/>
      <c r="AA3047" s="34"/>
      <c r="AB3047" s="41"/>
      <c r="AC3047" s="42" t="b">
        <v>0</v>
      </c>
      <c r="AD3047" s="66"/>
      <c r="AE3047" s="42"/>
      <c r="AF3047" s="42"/>
      <c r="AG3047" s="43"/>
    </row>
    <row r="3048">
      <c r="A3048" s="23"/>
      <c r="B3048" s="101"/>
      <c r="C3048" s="115"/>
      <c r="D3048" s="115"/>
      <c r="E3048" s="85"/>
      <c r="F3048" s="138"/>
      <c r="G3048" s="101"/>
      <c r="H3048" s="105"/>
      <c r="I3048" s="105"/>
      <c r="J3048" s="44"/>
      <c r="K3048" s="116"/>
      <c r="L3048" s="117"/>
      <c r="M3048" s="67"/>
      <c r="N3048" s="33"/>
      <c r="O3048" s="70"/>
      <c r="P3048" s="34"/>
      <c r="Q3048" s="60"/>
      <c r="R3048" s="36"/>
      <c r="S3048" s="71"/>
      <c r="T3048" s="37"/>
      <c r="U3048" s="118"/>
      <c r="V3048" s="74"/>
      <c r="W3048" s="74"/>
      <c r="X3048" s="35"/>
      <c r="Y3048" s="35"/>
      <c r="Z3048" s="40"/>
      <c r="AA3048" s="34"/>
      <c r="AB3048" s="41"/>
      <c r="AC3048" s="42" t="b">
        <v>0</v>
      </c>
      <c r="AD3048" s="66"/>
      <c r="AE3048" s="42"/>
      <c r="AF3048" s="42"/>
      <c r="AG3048" s="43"/>
    </row>
    <row r="3049">
      <c r="A3049" s="23"/>
      <c r="B3049" s="101"/>
      <c r="C3049" s="115"/>
      <c r="D3049" s="115"/>
      <c r="E3049" s="85"/>
      <c r="F3049" s="138"/>
      <c r="G3049" s="101"/>
      <c r="H3049" s="105"/>
      <c r="I3049" s="105"/>
      <c r="J3049" s="44"/>
      <c r="K3049" s="116"/>
      <c r="L3049" s="117"/>
      <c r="M3049" s="67"/>
      <c r="N3049" s="33"/>
      <c r="O3049" s="70"/>
      <c r="P3049" s="34"/>
      <c r="Q3049" s="60"/>
      <c r="R3049" s="36"/>
      <c r="S3049" s="71"/>
      <c r="T3049" s="37"/>
      <c r="U3049" s="118"/>
      <c r="V3049" s="74"/>
      <c r="W3049" s="74"/>
      <c r="X3049" s="35"/>
      <c r="Y3049" s="35"/>
      <c r="Z3049" s="40"/>
      <c r="AA3049" s="34"/>
      <c r="AB3049" s="41"/>
      <c r="AC3049" s="42" t="b">
        <v>0</v>
      </c>
      <c r="AD3049" s="66"/>
      <c r="AE3049" s="42"/>
      <c r="AF3049" s="42"/>
      <c r="AG3049" s="43"/>
    </row>
    <row r="3050">
      <c r="A3050" s="23"/>
      <c r="B3050" s="101"/>
      <c r="C3050" s="115"/>
      <c r="D3050" s="115"/>
      <c r="E3050" s="85"/>
      <c r="F3050" s="138"/>
      <c r="G3050" s="101"/>
      <c r="H3050" s="105"/>
      <c r="I3050" s="105"/>
      <c r="J3050" s="44"/>
      <c r="K3050" s="116"/>
      <c r="L3050" s="117"/>
      <c r="M3050" s="67"/>
      <c r="N3050" s="33"/>
      <c r="O3050" s="70"/>
      <c r="P3050" s="34"/>
      <c r="Q3050" s="60"/>
      <c r="R3050" s="36"/>
      <c r="S3050" s="71"/>
      <c r="T3050" s="37"/>
      <c r="U3050" s="118"/>
      <c r="V3050" s="74"/>
      <c r="W3050" s="74"/>
      <c r="X3050" s="35"/>
      <c r="Y3050" s="35"/>
      <c r="Z3050" s="40"/>
      <c r="AA3050" s="34"/>
      <c r="AB3050" s="41"/>
      <c r="AC3050" s="42" t="b">
        <v>0</v>
      </c>
      <c r="AD3050" s="66"/>
      <c r="AE3050" s="42"/>
      <c r="AF3050" s="42"/>
      <c r="AG3050" s="43"/>
    </row>
    <row r="3051">
      <c r="A3051" s="23"/>
      <c r="B3051" s="101"/>
      <c r="C3051" s="115"/>
      <c r="D3051" s="115"/>
      <c r="E3051" s="85"/>
      <c r="F3051" s="138"/>
      <c r="G3051" s="101"/>
      <c r="H3051" s="105"/>
      <c r="I3051" s="105"/>
      <c r="J3051" s="44"/>
      <c r="K3051" s="116"/>
      <c r="L3051" s="117"/>
      <c r="M3051" s="67"/>
      <c r="N3051" s="33"/>
      <c r="O3051" s="70"/>
      <c r="P3051" s="34"/>
      <c r="Q3051" s="60"/>
      <c r="R3051" s="36"/>
      <c r="S3051" s="71"/>
      <c r="T3051" s="37"/>
      <c r="U3051" s="118"/>
      <c r="V3051" s="74"/>
      <c r="W3051" s="74"/>
      <c r="X3051" s="35"/>
      <c r="Y3051" s="35"/>
      <c r="Z3051" s="40"/>
      <c r="AA3051" s="34"/>
      <c r="AB3051" s="41"/>
      <c r="AC3051" s="42" t="b">
        <v>0</v>
      </c>
      <c r="AD3051" s="66"/>
      <c r="AE3051" s="42"/>
      <c r="AF3051" s="42"/>
      <c r="AG3051" s="43"/>
    </row>
    <row r="3052">
      <c r="A3052" s="23"/>
      <c r="B3052" s="101"/>
      <c r="C3052" s="115"/>
      <c r="D3052" s="115"/>
      <c r="E3052" s="85"/>
      <c r="F3052" s="138"/>
      <c r="G3052" s="101"/>
      <c r="H3052" s="105"/>
      <c r="I3052" s="105"/>
      <c r="J3052" s="44"/>
      <c r="K3052" s="116"/>
      <c r="L3052" s="117"/>
      <c r="M3052" s="67"/>
      <c r="N3052" s="33"/>
      <c r="O3052" s="70"/>
      <c r="P3052" s="34"/>
      <c r="Q3052" s="60"/>
      <c r="R3052" s="36"/>
      <c r="S3052" s="71"/>
      <c r="T3052" s="37"/>
      <c r="U3052" s="118"/>
      <c r="V3052" s="74"/>
      <c r="W3052" s="74"/>
      <c r="X3052" s="35"/>
      <c r="Y3052" s="35"/>
      <c r="Z3052" s="40"/>
      <c r="AA3052" s="34"/>
      <c r="AB3052" s="41"/>
      <c r="AC3052" s="42" t="b">
        <v>0</v>
      </c>
      <c r="AD3052" s="66"/>
      <c r="AE3052" s="42"/>
      <c r="AF3052" s="42"/>
      <c r="AG3052" s="43"/>
    </row>
    <row r="3053">
      <c r="A3053" s="23"/>
      <c r="B3053" s="101"/>
      <c r="C3053" s="115"/>
      <c r="D3053" s="115"/>
      <c r="E3053" s="85"/>
      <c r="F3053" s="138"/>
      <c r="G3053" s="101"/>
      <c r="H3053" s="105"/>
      <c r="I3053" s="105"/>
      <c r="J3053" s="44"/>
      <c r="K3053" s="116"/>
      <c r="L3053" s="117"/>
      <c r="M3053" s="67"/>
      <c r="N3053" s="33"/>
      <c r="O3053" s="70"/>
      <c r="P3053" s="34"/>
      <c r="Q3053" s="60"/>
      <c r="R3053" s="36"/>
      <c r="S3053" s="71"/>
      <c r="T3053" s="37"/>
      <c r="U3053" s="118"/>
      <c r="V3053" s="74"/>
      <c r="W3053" s="74"/>
      <c r="X3053" s="35"/>
      <c r="Y3053" s="35"/>
      <c r="Z3053" s="40"/>
      <c r="AA3053" s="34"/>
      <c r="AB3053" s="41"/>
      <c r="AC3053" s="42" t="b">
        <v>0</v>
      </c>
      <c r="AD3053" s="66"/>
      <c r="AE3053" s="42"/>
      <c r="AF3053" s="42"/>
      <c r="AG3053" s="43"/>
    </row>
    <row r="3054">
      <c r="A3054" s="23"/>
      <c r="B3054" s="101"/>
      <c r="C3054" s="115"/>
      <c r="D3054" s="115"/>
      <c r="E3054" s="85"/>
      <c r="F3054" s="138"/>
      <c r="G3054" s="101"/>
      <c r="H3054" s="105"/>
      <c r="I3054" s="105"/>
      <c r="J3054" s="44"/>
      <c r="K3054" s="116"/>
      <c r="L3054" s="117"/>
      <c r="M3054" s="67"/>
      <c r="N3054" s="33"/>
      <c r="O3054" s="70"/>
      <c r="P3054" s="34"/>
      <c r="Q3054" s="60"/>
      <c r="R3054" s="36"/>
      <c r="S3054" s="71"/>
      <c r="T3054" s="37"/>
      <c r="U3054" s="118"/>
      <c r="V3054" s="74"/>
      <c r="W3054" s="74"/>
      <c r="X3054" s="35"/>
      <c r="Y3054" s="35"/>
      <c r="Z3054" s="40"/>
      <c r="AA3054" s="34"/>
      <c r="AB3054" s="41"/>
      <c r="AC3054" s="42" t="b">
        <v>0</v>
      </c>
      <c r="AD3054" s="66"/>
      <c r="AE3054" s="42"/>
      <c r="AF3054" s="42"/>
      <c r="AG3054" s="43"/>
    </row>
    <row r="3055">
      <c r="A3055" s="23"/>
      <c r="B3055" s="101"/>
      <c r="C3055" s="115"/>
      <c r="D3055" s="115"/>
      <c r="E3055" s="85"/>
      <c r="F3055" s="138"/>
      <c r="G3055" s="101"/>
      <c r="H3055" s="105"/>
      <c r="I3055" s="105"/>
      <c r="J3055" s="44"/>
      <c r="K3055" s="116"/>
      <c r="L3055" s="117"/>
      <c r="M3055" s="67"/>
      <c r="N3055" s="33"/>
      <c r="O3055" s="70"/>
      <c r="P3055" s="34"/>
      <c r="Q3055" s="60"/>
      <c r="R3055" s="36"/>
      <c r="S3055" s="71"/>
      <c r="T3055" s="37"/>
      <c r="U3055" s="118"/>
      <c r="V3055" s="74"/>
      <c r="W3055" s="74"/>
      <c r="X3055" s="35"/>
      <c r="Y3055" s="35"/>
      <c r="Z3055" s="40"/>
      <c r="AA3055" s="34"/>
      <c r="AB3055" s="41"/>
      <c r="AC3055" s="42" t="b">
        <v>0</v>
      </c>
      <c r="AD3055" s="66"/>
      <c r="AE3055" s="42"/>
      <c r="AF3055" s="42"/>
      <c r="AG3055" s="43"/>
    </row>
    <row r="3056">
      <c r="A3056" s="23"/>
      <c r="B3056" s="101"/>
      <c r="C3056" s="115"/>
      <c r="D3056" s="115"/>
      <c r="E3056" s="85"/>
      <c r="F3056" s="138"/>
      <c r="G3056" s="101"/>
      <c r="H3056" s="105"/>
      <c r="I3056" s="105"/>
      <c r="J3056" s="44"/>
      <c r="K3056" s="116"/>
      <c r="L3056" s="117"/>
      <c r="M3056" s="67"/>
      <c r="N3056" s="33"/>
      <c r="O3056" s="70"/>
      <c r="P3056" s="34"/>
      <c r="Q3056" s="60"/>
      <c r="R3056" s="36"/>
      <c r="S3056" s="71"/>
      <c r="T3056" s="37"/>
      <c r="U3056" s="118"/>
      <c r="V3056" s="74"/>
      <c r="W3056" s="74"/>
      <c r="X3056" s="35"/>
      <c r="Y3056" s="35"/>
      <c r="Z3056" s="40"/>
      <c r="AA3056" s="34"/>
      <c r="AB3056" s="41"/>
      <c r="AC3056" s="42" t="b">
        <v>0</v>
      </c>
      <c r="AD3056" s="66"/>
      <c r="AE3056" s="42"/>
      <c r="AF3056" s="42"/>
      <c r="AG3056" s="43"/>
    </row>
    <row r="3057">
      <c r="A3057" s="23"/>
      <c r="B3057" s="101"/>
      <c r="C3057" s="115"/>
      <c r="D3057" s="115"/>
      <c r="E3057" s="85"/>
      <c r="F3057" s="138"/>
      <c r="G3057" s="101"/>
      <c r="H3057" s="105"/>
      <c r="I3057" s="105"/>
      <c r="J3057" s="44"/>
      <c r="K3057" s="116"/>
      <c r="L3057" s="117"/>
      <c r="M3057" s="67"/>
      <c r="N3057" s="33"/>
      <c r="O3057" s="70"/>
      <c r="P3057" s="34"/>
      <c r="Q3057" s="60"/>
      <c r="R3057" s="36"/>
      <c r="S3057" s="71"/>
      <c r="T3057" s="37"/>
      <c r="U3057" s="118"/>
      <c r="V3057" s="74"/>
      <c r="W3057" s="74"/>
      <c r="X3057" s="35"/>
      <c r="Y3057" s="35"/>
      <c r="Z3057" s="40"/>
      <c r="AA3057" s="34"/>
      <c r="AB3057" s="41"/>
      <c r="AC3057" s="42" t="b">
        <v>0</v>
      </c>
      <c r="AD3057" s="66"/>
      <c r="AE3057" s="42"/>
      <c r="AF3057" s="42"/>
      <c r="AG3057" s="43"/>
    </row>
    <row r="3058">
      <c r="A3058" s="23"/>
      <c r="B3058" s="101"/>
      <c r="C3058" s="115"/>
      <c r="D3058" s="115"/>
      <c r="E3058" s="85"/>
      <c r="F3058" s="138"/>
      <c r="G3058" s="101"/>
      <c r="H3058" s="105"/>
      <c r="I3058" s="105"/>
      <c r="J3058" s="44"/>
      <c r="K3058" s="116"/>
      <c r="L3058" s="117"/>
      <c r="M3058" s="67"/>
      <c r="N3058" s="33"/>
      <c r="O3058" s="70"/>
      <c r="P3058" s="34"/>
      <c r="Q3058" s="60"/>
      <c r="R3058" s="36"/>
      <c r="S3058" s="71"/>
      <c r="T3058" s="37"/>
      <c r="U3058" s="118"/>
      <c r="V3058" s="74"/>
      <c r="W3058" s="74"/>
      <c r="X3058" s="35"/>
      <c r="Y3058" s="35"/>
      <c r="Z3058" s="40"/>
      <c r="AA3058" s="34"/>
      <c r="AB3058" s="41"/>
      <c r="AC3058" s="42" t="b">
        <v>0</v>
      </c>
      <c r="AD3058" s="66"/>
      <c r="AE3058" s="42"/>
      <c r="AF3058" s="42"/>
      <c r="AG3058" s="43"/>
    </row>
    <row r="3059">
      <c r="A3059" s="23"/>
      <c r="B3059" s="101"/>
      <c r="C3059" s="115"/>
      <c r="D3059" s="115"/>
      <c r="E3059" s="85"/>
      <c r="F3059" s="138"/>
      <c r="G3059" s="101"/>
      <c r="H3059" s="105"/>
      <c r="I3059" s="105"/>
      <c r="J3059" s="44"/>
      <c r="K3059" s="116"/>
      <c r="L3059" s="117"/>
      <c r="M3059" s="67"/>
      <c r="N3059" s="33"/>
      <c r="O3059" s="70"/>
      <c r="P3059" s="34"/>
      <c r="Q3059" s="60"/>
      <c r="R3059" s="36"/>
      <c r="S3059" s="71"/>
      <c r="T3059" s="37"/>
      <c r="U3059" s="118"/>
      <c r="V3059" s="74"/>
      <c r="W3059" s="74"/>
      <c r="X3059" s="35"/>
      <c r="Y3059" s="35"/>
      <c r="Z3059" s="40"/>
      <c r="AA3059" s="34"/>
      <c r="AB3059" s="41"/>
      <c r="AC3059" s="42" t="b">
        <v>0</v>
      </c>
      <c r="AD3059" s="66"/>
      <c r="AE3059" s="42"/>
      <c r="AF3059" s="42"/>
      <c r="AG3059" s="43"/>
    </row>
    <row r="3060">
      <c r="A3060" s="23"/>
      <c r="B3060" s="101"/>
      <c r="C3060" s="115"/>
      <c r="D3060" s="115"/>
      <c r="E3060" s="85"/>
      <c r="F3060" s="138"/>
      <c r="G3060" s="101"/>
      <c r="H3060" s="105"/>
      <c r="I3060" s="105"/>
      <c r="J3060" s="44"/>
      <c r="K3060" s="116"/>
      <c r="L3060" s="117"/>
      <c r="M3060" s="67"/>
      <c r="N3060" s="33"/>
      <c r="O3060" s="70"/>
      <c r="P3060" s="34"/>
      <c r="Q3060" s="60"/>
      <c r="R3060" s="36"/>
      <c r="S3060" s="71"/>
      <c r="T3060" s="37"/>
      <c r="U3060" s="118"/>
      <c r="V3060" s="74"/>
      <c r="W3060" s="74"/>
      <c r="X3060" s="35"/>
      <c r="Y3060" s="35"/>
      <c r="Z3060" s="40"/>
      <c r="AA3060" s="34"/>
      <c r="AB3060" s="41"/>
      <c r="AC3060" s="42" t="b">
        <v>0</v>
      </c>
      <c r="AD3060" s="66"/>
      <c r="AE3060" s="42"/>
      <c r="AF3060" s="42"/>
      <c r="AG3060" s="43"/>
    </row>
    <row r="3061">
      <c r="A3061" s="23"/>
      <c r="B3061" s="101"/>
      <c r="C3061" s="115"/>
      <c r="D3061" s="115"/>
      <c r="E3061" s="85"/>
      <c r="F3061" s="138"/>
      <c r="G3061" s="101"/>
      <c r="H3061" s="105"/>
      <c r="I3061" s="105"/>
      <c r="J3061" s="44"/>
      <c r="K3061" s="116"/>
      <c r="L3061" s="117"/>
      <c r="M3061" s="67"/>
      <c r="N3061" s="33"/>
      <c r="O3061" s="70"/>
      <c r="P3061" s="34"/>
      <c r="Q3061" s="60"/>
      <c r="R3061" s="36"/>
      <c r="S3061" s="71"/>
      <c r="T3061" s="37"/>
      <c r="U3061" s="118"/>
      <c r="V3061" s="74"/>
      <c r="W3061" s="74"/>
      <c r="X3061" s="35"/>
      <c r="Y3061" s="35"/>
      <c r="Z3061" s="40"/>
      <c r="AA3061" s="34"/>
      <c r="AB3061" s="41"/>
      <c r="AC3061" s="42" t="b">
        <v>0</v>
      </c>
      <c r="AD3061" s="66"/>
      <c r="AE3061" s="42"/>
      <c r="AF3061" s="42"/>
      <c r="AG3061" s="43"/>
    </row>
    <row r="3062">
      <c r="A3062" s="23"/>
      <c r="B3062" s="101"/>
      <c r="C3062" s="115"/>
      <c r="D3062" s="115"/>
      <c r="E3062" s="85"/>
      <c r="F3062" s="138"/>
      <c r="G3062" s="101"/>
      <c r="H3062" s="105"/>
      <c r="I3062" s="105"/>
      <c r="J3062" s="44"/>
      <c r="K3062" s="116"/>
      <c r="L3062" s="117"/>
      <c r="M3062" s="67"/>
      <c r="N3062" s="33"/>
      <c r="O3062" s="70"/>
      <c r="P3062" s="34"/>
      <c r="Q3062" s="60"/>
      <c r="R3062" s="36"/>
      <c r="S3062" s="71"/>
      <c r="T3062" s="37"/>
      <c r="U3062" s="118"/>
      <c r="V3062" s="74"/>
      <c r="W3062" s="74"/>
      <c r="X3062" s="35"/>
      <c r="Y3062" s="35"/>
      <c r="Z3062" s="40"/>
      <c r="AA3062" s="34"/>
      <c r="AB3062" s="41"/>
      <c r="AC3062" s="42" t="b">
        <v>0</v>
      </c>
      <c r="AD3062" s="66"/>
      <c r="AE3062" s="42"/>
      <c r="AF3062" s="42"/>
      <c r="AG3062" s="43"/>
    </row>
    <row r="3063">
      <c r="A3063" s="23"/>
      <c r="B3063" s="101"/>
      <c r="C3063" s="115"/>
      <c r="D3063" s="115"/>
      <c r="E3063" s="85"/>
      <c r="F3063" s="138"/>
      <c r="G3063" s="101"/>
      <c r="H3063" s="105"/>
      <c r="I3063" s="105"/>
      <c r="J3063" s="44"/>
      <c r="K3063" s="116"/>
      <c r="L3063" s="117"/>
      <c r="M3063" s="67"/>
      <c r="N3063" s="33"/>
      <c r="O3063" s="70"/>
      <c r="P3063" s="34"/>
      <c r="Q3063" s="60"/>
      <c r="R3063" s="36"/>
      <c r="S3063" s="71"/>
      <c r="T3063" s="37"/>
      <c r="U3063" s="118"/>
      <c r="V3063" s="74"/>
      <c r="W3063" s="74"/>
      <c r="X3063" s="35"/>
      <c r="Y3063" s="35"/>
      <c r="Z3063" s="40"/>
      <c r="AA3063" s="34"/>
      <c r="AB3063" s="41"/>
      <c r="AC3063" s="42" t="b">
        <v>0</v>
      </c>
      <c r="AD3063" s="66"/>
      <c r="AE3063" s="42"/>
      <c r="AF3063" s="42"/>
      <c r="AG3063" s="43"/>
    </row>
    <row r="3064">
      <c r="A3064" s="23"/>
      <c r="B3064" s="101"/>
      <c r="C3064" s="115"/>
      <c r="D3064" s="115"/>
      <c r="E3064" s="85"/>
      <c r="F3064" s="138"/>
      <c r="G3064" s="101"/>
      <c r="H3064" s="105"/>
      <c r="I3064" s="105"/>
      <c r="J3064" s="44"/>
      <c r="K3064" s="116"/>
      <c r="L3064" s="117"/>
      <c r="M3064" s="67"/>
      <c r="N3064" s="33"/>
      <c r="O3064" s="70"/>
      <c r="P3064" s="34"/>
      <c r="Q3064" s="60"/>
      <c r="R3064" s="36"/>
      <c r="S3064" s="71"/>
      <c r="T3064" s="37"/>
      <c r="U3064" s="118"/>
      <c r="V3064" s="74"/>
      <c r="W3064" s="74"/>
      <c r="X3064" s="35"/>
      <c r="Y3064" s="35"/>
      <c r="Z3064" s="40"/>
      <c r="AA3064" s="34"/>
      <c r="AB3064" s="41"/>
      <c r="AC3064" s="42" t="b">
        <v>0</v>
      </c>
      <c r="AD3064" s="66"/>
      <c r="AE3064" s="42"/>
      <c r="AF3064" s="42"/>
      <c r="AG3064" s="43"/>
    </row>
    <row r="3065">
      <c r="A3065" s="23"/>
      <c r="B3065" s="101"/>
      <c r="C3065" s="115"/>
      <c r="D3065" s="115"/>
      <c r="E3065" s="85"/>
      <c r="F3065" s="138"/>
      <c r="G3065" s="101"/>
      <c r="H3065" s="105"/>
      <c r="I3065" s="105"/>
      <c r="J3065" s="44"/>
      <c r="K3065" s="116"/>
      <c r="L3065" s="117"/>
      <c r="M3065" s="67"/>
      <c r="N3065" s="33"/>
      <c r="O3065" s="70"/>
      <c r="P3065" s="34"/>
      <c r="Q3065" s="60"/>
      <c r="R3065" s="36"/>
      <c r="S3065" s="71"/>
      <c r="T3065" s="37"/>
      <c r="U3065" s="118"/>
      <c r="V3065" s="74"/>
      <c r="W3065" s="74"/>
      <c r="X3065" s="35"/>
      <c r="Y3065" s="35"/>
      <c r="Z3065" s="40"/>
      <c r="AA3065" s="34"/>
      <c r="AB3065" s="41"/>
      <c r="AC3065" s="42" t="b">
        <v>0</v>
      </c>
      <c r="AD3065" s="66"/>
      <c r="AE3065" s="42"/>
      <c r="AF3065" s="42"/>
      <c r="AG3065" s="43"/>
    </row>
    <row r="3066">
      <c r="A3066" s="23"/>
      <c r="B3066" s="101"/>
      <c r="C3066" s="115"/>
      <c r="D3066" s="115"/>
      <c r="E3066" s="85"/>
      <c r="F3066" s="138"/>
      <c r="G3066" s="101"/>
      <c r="H3066" s="105"/>
      <c r="I3066" s="105"/>
      <c r="J3066" s="44"/>
      <c r="K3066" s="116"/>
      <c r="L3066" s="117"/>
      <c r="M3066" s="67"/>
      <c r="N3066" s="33"/>
      <c r="O3066" s="70"/>
      <c r="P3066" s="34"/>
      <c r="Q3066" s="60"/>
      <c r="R3066" s="36"/>
      <c r="S3066" s="71"/>
      <c r="T3066" s="37"/>
      <c r="U3066" s="118"/>
      <c r="V3066" s="74"/>
      <c r="W3066" s="74"/>
      <c r="X3066" s="35"/>
      <c r="Y3066" s="35"/>
      <c r="Z3066" s="40"/>
      <c r="AA3066" s="34"/>
      <c r="AB3066" s="41"/>
      <c r="AC3066" s="42" t="b">
        <v>0</v>
      </c>
      <c r="AD3066" s="66"/>
      <c r="AE3066" s="42"/>
      <c r="AF3066" s="42"/>
      <c r="AG3066" s="43"/>
    </row>
    <row r="3067">
      <c r="A3067" s="23"/>
      <c r="B3067" s="101"/>
      <c r="C3067" s="115"/>
      <c r="D3067" s="115"/>
      <c r="E3067" s="85"/>
      <c r="F3067" s="138"/>
      <c r="G3067" s="101"/>
      <c r="H3067" s="105"/>
      <c r="I3067" s="105"/>
      <c r="J3067" s="44"/>
      <c r="K3067" s="116"/>
      <c r="L3067" s="117"/>
      <c r="M3067" s="67"/>
      <c r="N3067" s="33"/>
      <c r="O3067" s="70"/>
      <c r="P3067" s="34"/>
      <c r="Q3067" s="60"/>
      <c r="R3067" s="36"/>
      <c r="S3067" s="71"/>
      <c r="T3067" s="37"/>
      <c r="U3067" s="118"/>
      <c r="V3067" s="74"/>
      <c r="W3067" s="74"/>
      <c r="X3067" s="35"/>
      <c r="Y3067" s="35"/>
      <c r="Z3067" s="40"/>
      <c r="AA3067" s="34"/>
      <c r="AB3067" s="41"/>
      <c r="AC3067" s="42" t="b">
        <v>0</v>
      </c>
      <c r="AD3067" s="66"/>
      <c r="AE3067" s="42"/>
      <c r="AF3067" s="42"/>
      <c r="AG3067" s="43"/>
    </row>
    <row r="3068">
      <c r="A3068" s="23"/>
      <c r="B3068" s="101"/>
      <c r="C3068" s="115"/>
      <c r="D3068" s="115"/>
      <c r="E3068" s="85"/>
      <c r="F3068" s="138"/>
      <c r="G3068" s="101"/>
      <c r="H3068" s="105"/>
      <c r="I3068" s="105"/>
      <c r="J3068" s="44"/>
      <c r="K3068" s="116"/>
      <c r="L3068" s="117"/>
      <c r="M3068" s="67"/>
      <c r="N3068" s="33"/>
      <c r="O3068" s="70"/>
      <c r="P3068" s="34"/>
      <c r="Q3068" s="60"/>
      <c r="R3068" s="36"/>
      <c r="S3068" s="71"/>
      <c r="T3068" s="37"/>
      <c r="U3068" s="118"/>
      <c r="V3068" s="74"/>
      <c r="W3068" s="74"/>
      <c r="X3068" s="35"/>
      <c r="Y3068" s="35"/>
      <c r="Z3068" s="40"/>
      <c r="AA3068" s="34"/>
      <c r="AB3068" s="41"/>
      <c r="AC3068" s="42" t="b">
        <v>0</v>
      </c>
      <c r="AD3068" s="66"/>
      <c r="AE3068" s="42"/>
      <c r="AF3068" s="42"/>
      <c r="AG3068" s="43"/>
    </row>
    <row r="3069">
      <c r="A3069" s="23"/>
      <c r="B3069" s="101"/>
      <c r="C3069" s="115"/>
      <c r="D3069" s="115"/>
      <c r="E3069" s="85"/>
      <c r="F3069" s="138"/>
      <c r="G3069" s="101"/>
      <c r="H3069" s="105"/>
      <c r="I3069" s="105"/>
      <c r="J3069" s="44"/>
      <c r="K3069" s="116"/>
      <c r="L3069" s="117"/>
      <c r="M3069" s="67"/>
      <c r="N3069" s="33"/>
      <c r="O3069" s="70"/>
      <c r="P3069" s="34"/>
      <c r="Q3069" s="60"/>
      <c r="R3069" s="36"/>
      <c r="S3069" s="71"/>
      <c r="T3069" s="37"/>
      <c r="U3069" s="118"/>
      <c r="V3069" s="74"/>
      <c r="W3069" s="74"/>
      <c r="X3069" s="35"/>
      <c r="Y3069" s="35"/>
      <c r="Z3069" s="40"/>
      <c r="AA3069" s="34"/>
      <c r="AB3069" s="41"/>
      <c r="AC3069" s="42" t="b">
        <v>0</v>
      </c>
      <c r="AD3069" s="66"/>
      <c r="AE3069" s="42"/>
      <c r="AF3069" s="42"/>
      <c r="AG3069" s="43"/>
    </row>
    <row r="3070">
      <c r="A3070" s="23"/>
      <c r="B3070" s="101"/>
      <c r="C3070" s="115"/>
      <c r="D3070" s="115"/>
      <c r="E3070" s="85"/>
      <c r="F3070" s="138"/>
      <c r="G3070" s="101"/>
      <c r="H3070" s="105"/>
      <c r="I3070" s="105"/>
      <c r="J3070" s="44"/>
      <c r="K3070" s="116"/>
      <c r="L3070" s="117"/>
      <c r="M3070" s="67"/>
      <c r="N3070" s="33"/>
      <c r="O3070" s="70"/>
      <c r="P3070" s="34"/>
      <c r="Q3070" s="60"/>
      <c r="R3070" s="36"/>
      <c r="S3070" s="71"/>
      <c r="T3070" s="37"/>
      <c r="U3070" s="118"/>
      <c r="V3070" s="74"/>
      <c r="W3070" s="74"/>
      <c r="X3070" s="35"/>
      <c r="Y3070" s="35"/>
      <c r="Z3070" s="40"/>
      <c r="AA3070" s="34"/>
      <c r="AB3070" s="41"/>
      <c r="AC3070" s="42" t="b">
        <v>0</v>
      </c>
      <c r="AD3070" s="66"/>
      <c r="AE3070" s="42"/>
      <c r="AF3070" s="42"/>
      <c r="AG3070" s="43"/>
    </row>
    <row r="3071">
      <c r="A3071" s="23"/>
      <c r="B3071" s="101"/>
      <c r="C3071" s="115"/>
      <c r="D3071" s="115"/>
      <c r="E3071" s="85"/>
      <c r="F3071" s="138"/>
      <c r="G3071" s="101"/>
      <c r="H3071" s="105"/>
      <c r="I3071" s="105"/>
      <c r="J3071" s="44"/>
      <c r="K3071" s="116"/>
      <c r="L3071" s="117"/>
      <c r="M3071" s="67"/>
      <c r="N3071" s="33"/>
      <c r="O3071" s="70"/>
      <c r="P3071" s="34"/>
      <c r="Q3071" s="60"/>
      <c r="R3071" s="36"/>
      <c r="S3071" s="71"/>
      <c r="T3071" s="37"/>
      <c r="U3071" s="118"/>
      <c r="V3071" s="74"/>
      <c r="W3071" s="74"/>
      <c r="X3071" s="35"/>
      <c r="Y3071" s="35"/>
      <c r="Z3071" s="40"/>
      <c r="AA3071" s="34"/>
      <c r="AB3071" s="41"/>
      <c r="AC3071" s="42" t="b">
        <v>0</v>
      </c>
      <c r="AD3071" s="66"/>
      <c r="AE3071" s="42"/>
      <c r="AF3071" s="42"/>
      <c r="AG3071" s="43"/>
    </row>
    <row r="3072">
      <c r="A3072" s="23"/>
      <c r="B3072" s="101"/>
      <c r="C3072" s="115"/>
      <c r="D3072" s="115"/>
      <c r="E3072" s="85"/>
      <c r="F3072" s="138"/>
      <c r="G3072" s="101"/>
      <c r="H3072" s="105"/>
      <c r="I3072" s="105"/>
      <c r="J3072" s="44"/>
      <c r="K3072" s="116"/>
      <c r="L3072" s="117"/>
      <c r="M3072" s="67"/>
      <c r="N3072" s="33"/>
      <c r="O3072" s="70"/>
      <c r="P3072" s="34"/>
      <c r="Q3072" s="60"/>
      <c r="R3072" s="36"/>
      <c r="S3072" s="71"/>
      <c r="T3072" s="37"/>
      <c r="U3072" s="118"/>
      <c r="V3072" s="74"/>
      <c r="W3072" s="74"/>
      <c r="X3072" s="35"/>
      <c r="Y3072" s="35"/>
      <c r="Z3072" s="40"/>
      <c r="AA3072" s="34"/>
      <c r="AB3072" s="41"/>
      <c r="AC3072" s="42" t="b">
        <v>0</v>
      </c>
      <c r="AD3072" s="66"/>
      <c r="AE3072" s="42"/>
      <c r="AF3072" s="42"/>
      <c r="AG3072" s="43"/>
    </row>
    <row r="3073">
      <c r="A3073" s="23"/>
      <c r="B3073" s="101"/>
      <c r="C3073" s="115"/>
      <c r="D3073" s="115"/>
      <c r="E3073" s="85"/>
      <c r="F3073" s="138"/>
      <c r="G3073" s="101"/>
      <c r="H3073" s="105"/>
      <c r="I3073" s="105"/>
      <c r="J3073" s="44"/>
      <c r="K3073" s="116"/>
      <c r="L3073" s="117"/>
      <c r="M3073" s="67"/>
      <c r="N3073" s="33"/>
      <c r="O3073" s="70"/>
      <c r="P3073" s="34"/>
      <c r="Q3073" s="60"/>
      <c r="R3073" s="36"/>
      <c r="S3073" s="71"/>
      <c r="T3073" s="37"/>
      <c r="U3073" s="118"/>
      <c r="V3073" s="74"/>
      <c r="W3073" s="74"/>
      <c r="X3073" s="35"/>
      <c r="Y3073" s="35"/>
      <c r="Z3073" s="40"/>
      <c r="AA3073" s="34"/>
      <c r="AB3073" s="41"/>
      <c r="AC3073" s="42" t="b">
        <v>0</v>
      </c>
      <c r="AD3073" s="66"/>
      <c r="AE3073" s="42"/>
      <c r="AF3073" s="42"/>
      <c r="AG3073" s="43"/>
    </row>
    <row r="3074">
      <c r="A3074" s="23"/>
      <c r="B3074" s="101"/>
      <c r="C3074" s="115"/>
      <c r="D3074" s="115"/>
      <c r="E3074" s="85"/>
      <c r="F3074" s="138"/>
      <c r="G3074" s="101"/>
      <c r="H3074" s="105"/>
      <c r="I3074" s="105"/>
      <c r="J3074" s="44"/>
      <c r="K3074" s="116"/>
      <c r="L3074" s="117"/>
      <c r="M3074" s="67"/>
      <c r="N3074" s="33"/>
      <c r="O3074" s="70"/>
      <c r="P3074" s="34"/>
      <c r="Q3074" s="60"/>
      <c r="R3074" s="36"/>
      <c r="S3074" s="71"/>
      <c r="T3074" s="37"/>
      <c r="U3074" s="118"/>
      <c r="V3074" s="74"/>
      <c r="W3074" s="74"/>
      <c r="X3074" s="35"/>
      <c r="Y3074" s="35"/>
      <c r="Z3074" s="40"/>
      <c r="AA3074" s="34"/>
      <c r="AB3074" s="41"/>
      <c r="AC3074" s="42" t="b">
        <v>0</v>
      </c>
      <c r="AD3074" s="66"/>
      <c r="AE3074" s="42"/>
      <c r="AF3074" s="42"/>
      <c r="AG3074" s="43"/>
    </row>
    <row r="3075">
      <c r="A3075" s="23"/>
      <c r="B3075" s="101"/>
      <c r="C3075" s="115"/>
      <c r="D3075" s="115"/>
      <c r="E3075" s="85"/>
      <c r="F3075" s="138"/>
      <c r="G3075" s="101"/>
      <c r="H3075" s="105"/>
      <c r="I3075" s="105"/>
      <c r="J3075" s="44"/>
      <c r="K3075" s="116"/>
      <c r="L3075" s="117"/>
      <c r="M3075" s="67"/>
      <c r="N3075" s="33"/>
      <c r="O3075" s="70"/>
      <c r="P3075" s="34"/>
      <c r="Q3075" s="60"/>
      <c r="R3075" s="36"/>
      <c r="S3075" s="71"/>
      <c r="T3075" s="37"/>
      <c r="U3075" s="118"/>
      <c r="V3075" s="74"/>
      <c r="W3075" s="74"/>
      <c r="X3075" s="35"/>
      <c r="Y3075" s="35"/>
      <c r="Z3075" s="40"/>
      <c r="AA3075" s="34"/>
      <c r="AB3075" s="41"/>
      <c r="AC3075" s="42" t="b">
        <v>0</v>
      </c>
      <c r="AD3075" s="66"/>
      <c r="AE3075" s="42"/>
      <c r="AF3075" s="42"/>
      <c r="AG3075" s="43"/>
    </row>
    <row r="3076">
      <c r="A3076" s="23"/>
      <c r="B3076" s="101"/>
      <c r="C3076" s="115"/>
      <c r="D3076" s="115"/>
      <c r="E3076" s="85"/>
      <c r="F3076" s="138"/>
      <c r="G3076" s="101"/>
      <c r="H3076" s="105"/>
      <c r="I3076" s="105"/>
      <c r="J3076" s="44"/>
      <c r="K3076" s="116"/>
      <c r="L3076" s="117"/>
      <c r="M3076" s="67"/>
      <c r="N3076" s="33"/>
      <c r="O3076" s="70"/>
      <c r="P3076" s="34"/>
      <c r="Q3076" s="60"/>
      <c r="R3076" s="36"/>
      <c r="S3076" s="71"/>
      <c r="T3076" s="37"/>
      <c r="U3076" s="118"/>
      <c r="V3076" s="74"/>
      <c r="W3076" s="74"/>
      <c r="X3076" s="35"/>
      <c r="Y3076" s="35"/>
      <c r="Z3076" s="40"/>
      <c r="AA3076" s="34"/>
      <c r="AB3076" s="41"/>
      <c r="AC3076" s="42" t="b">
        <v>0</v>
      </c>
      <c r="AD3076" s="66"/>
      <c r="AE3076" s="42"/>
      <c r="AF3076" s="42"/>
      <c r="AG3076" s="43"/>
    </row>
    <row r="3077">
      <c r="A3077" s="23"/>
      <c r="B3077" s="101"/>
      <c r="C3077" s="115"/>
      <c r="D3077" s="115"/>
      <c r="E3077" s="85"/>
      <c r="F3077" s="138"/>
      <c r="G3077" s="101"/>
      <c r="H3077" s="105"/>
      <c r="I3077" s="105"/>
      <c r="J3077" s="44"/>
      <c r="K3077" s="116"/>
      <c r="L3077" s="117"/>
      <c r="M3077" s="67"/>
      <c r="N3077" s="33"/>
      <c r="O3077" s="70"/>
      <c r="P3077" s="34"/>
      <c r="Q3077" s="60"/>
      <c r="R3077" s="36"/>
      <c r="S3077" s="71"/>
      <c r="T3077" s="37"/>
      <c r="U3077" s="118"/>
      <c r="V3077" s="74"/>
      <c r="W3077" s="74"/>
      <c r="X3077" s="35"/>
      <c r="Y3077" s="35"/>
      <c r="Z3077" s="40"/>
      <c r="AA3077" s="34"/>
      <c r="AB3077" s="41"/>
      <c r="AC3077" s="42" t="b">
        <v>0</v>
      </c>
      <c r="AD3077" s="66"/>
      <c r="AE3077" s="42"/>
      <c r="AF3077" s="42"/>
      <c r="AG3077" s="43"/>
    </row>
    <row r="3078">
      <c r="A3078" s="23"/>
      <c r="B3078" s="101"/>
      <c r="C3078" s="115"/>
      <c r="D3078" s="115"/>
      <c r="E3078" s="85"/>
      <c r="F3078" s="138"/>
      <c r="G3078" s="101"/>
      <c r="H3078" s="105"/>
      <c r="I3078" s="105"/>
      <c r="J3078" s="44"/>
      <c r="K3078" s="116"/>
      <c r="L3078" s="117"/>
      <c r="M3078" s="67"/>
      <c r="N3078" s="33"/>
      <c r="O3078" s="70"/>
      <c r="P3078" s="34"/>
      <c r="Q3078" s="60"/>
      <c r="R3078" s="36"/>
      <c r="S3078" s="71"/>
      <c r="T3078" s="37"/>
      <c r="U3078" s="118"/>
      <c r="V3078" s="74"/>
      <c r="W3078" s="74"/>
      <c r="X3078" s="35"/>
      <c r="Y3078" s="35"/>
      <c r="Z3078" s="40"/>
      <c r="AA3078" s="34"/>
      <c r="AB3078" s="41"/>
      <c r="AC3078" s="42" t="b">
        <v>0</v>
      </c>
      <c r="AD3078" s="66"/>
      <c r="AE3078" s="42"/>
      <c r="AF3078" s="42"/>
      <c r="AG3078" s="43"/>
    </row>
    <row r="3079">
      <c r="A3079" s="23"/>
      <c r="B3079" s="101"/>
      <c r="C3079" s="115"/>
      <c r="D3079" s="115"/>
      <c r="E3079" s="85"/>
      <c r="F3079" s="138"/>
      <c r="G3079" s="101"/>
      <c r="H3079" s="105"/>
      <c r="I3079" s="105"/>
      <c r="J3079" s="44"/>
      <c r="K3079" s="116"/>
      <c r="L3079" s="117"/>
      <c r="M3079" s="67"/>
      <c r="N3079" s="33"/>
      <c r="O3079" s="70"/>
      <c r="P3079" s="34"/>
      <c r="Q3079" s="60"/>
      <c r="R3079" s="36"/>
      <c r="S3079" s="71"/>
      <c r="T3079" s="37"/>
      <c r="U3079" s="118"/>
      <c r="V3079" s="74"/>
      <c r="W3079" s="74"/>
      <c r="X3079" s="35"/>
      <c r="Y3079" s="35"/>
      <c r="Z3079" s="40"/>
      <c r="AA3079" s="34"/>
      <c r="AB3079" s="41"/>
      <c r="AC3079" s="42" t="b">
        <v>0</v>
      </c>
      <c r="AD3079" s="66"/>
      <c r="AE3079" s="42"/>
      <c r="AF3079" s="42"/>
      <c r="AG3079" s="43"/>
    </row>
    <row r="3080">
      <c r="A3080" s="23"/>
      <c r="B3080" s="101"/>
      <c r="C3080" s="115"/>
      <c r="D3080" s="115"/>
      <c r="E3080" s="85"/>
      <c r="F3080" s="138"/>
      <c r="G3080" s="101"/>
      <c r="H3080" s="105"/>
      <c r="I3080" s="105"/>
      <c r="J3080" s="44"/>
      <c r="K3080" s="116"/>
      <c r="L3080" s="117"/>
      <c r="M3080" s="67"/>
      <c r="N3080" s="33"/>
      <c r="O3080" s="70"/>
      <c r="P3080" s="34"/>
      <c r="Q3080" s="60"/>
      <c r="R3080" s="36"/>
      <c r="S3080" s="71"/>
      <c r="T3080" s="37"/>
      <c r="U3080" s="118"/>
      <c r="V3080" s="74"/>
      <c r="W3080" s="74"/>
      <c r="X3080" s="35"/>
      <c r="Y3080" s="35"/>
      <c r="Z3080" s="40"/>
      <c r="AA3080" s="34"/>
      <c r="AB3080" s="41"/>
      <c r="AC3080" s="42" t="b">
        <v>0</v>
      </c>
      <c r="AD3080" s="66"/>
      <c r="AE3080" s="42"/>
      <c r="AF3080" s="42"/>
      <c r="AG3080" s="43"/>
    </row>
    <row r="3081">
      <c r="A3081" s="23"/>
      <c r="B3081" s="101"/>
      <c r="C3081" s="115"/>
      <c r="D3081" s="115"/>
      <c r="E3081" s="85"/>
      <c r="F3081" s="138"/>
      <c r="G3081" s="101"/>
      <c r="H3081" s="105"/>
      <c r="I3081" s="105"/>
      <c r="J3081" s="44"/>
      <c r="K3081" s="116"/>
      <c r="L3081" s="117"/>
      <c r="M3081" s="67"/>
      <c r="N3081" s="33"/>
      <c r="O3081" s="70"/>
      <c r="P3081" s="34"/>
      <c r="Q3081" s="60"/>
      <c r="R3081" s="36"/>
      <c r="S3081" s="71"/>
      <c r="T3081" s="37"/>
      <c r="U3081" s="118"/>
      <c r="V3081" s="74"/>
      <c r="W3081" s="74"/>
      <c r="X3081" s="35"/>
      <c r="Y3081" s="35"/>
      <c r="Z3081" s="40"/>
      <c r="AA3081" s="34"/>
      <c r="AB3081" s="41"/>
      <c r="AC3081" s="42" t="b">
        <v>0</v>
      </c>
      <c r="AD3081" s="66"/>
      <c r="AE3081" s="42"/>
      <c r="AF3081" s="42"/>
      <c r="AG3081" s="43"/>
    </row>
    <row r="3082">
      <c r="A3082" s="23"/>
      <c r="B3082" s="101"/>
      <c r="C3082" s="115"/>
      <c r="D3082" s="115"/>
      <c r="E3082" s="85"/>
      <c r="F3082" s="138"/>
      <c r="G3082" s="101"/>
      <c r="H3082" s="105"/>
      <c r="I3082" s="105"/>
      <c r="J3082" s="44"/>
      <c r="K3082" s="116"/>
      <c r="L3082" s="117"/>
      <c r="M3082" s="67"/>
      <c r="N3082" s="33"/>
      <c r="O3082" s="70"/>
      <c r="P3082" s="34"/>
      <c r="Q3082" s="60"/>
      <c r="R3082" s="36"/>
      <c r="S3082" s="71"/>
      <c r="T3082" s="37"/>
      <c r="U3082" s="118"/>
      <c r="V3082" s="74"/>
      <c r="W3082" s="74"/>
      <c r="X3082" s="35"/>
      <c r="Y3082" s="35"/>
      <c r="Z3082" s="40"/>
      <c r="AA3082" s="34"/>
      <c r="AB3082" s="41"/>
      <c r="AC3082" s="42" t="b">
        <v>0</v>
      </c>
      <c r="AD3082" s="66"/>
      <c r="AE3082" s="42"/>
      <c r="AF3082" s="42"/>
      <c r="AG3082" s="43"/>
    </row>
    <row r="3083">
      <c r="A3083" s="23"/>
      <c r="B3083" s="101"/>
      <c r="C3083" s="115"/>
      <c r="D3083" s="115"/>
      <c r="E3083" s="85"/>
      <c r="F3083" s="138"/>
      <c r="G3083" s="101"/>
      <c r="H3083" s="105"/>
      <c r="I3083" s="105"/>
      <c r="J3083" s="44"/>
      <c r="K3083" s="116"/>
      <c r="L3083" s="117"/>
      <c r="M3083" s="67"/>
      <c r="N3083" s="33"/>
      <c r="O3083" s="70"/>
      <c r="P3083" s="34"/>
      <c r="Q3083" s="60"/>
      <c r="R3083" s="36"/>
      <c r="S3083" s="71"/>
      <c r="T3083" s="37"/>
      <c r="U3083" s="118"/>
      <c r="V3083" s="74"/>
      <c r="W3083" s="74"/>
      <c r="X3083" s="35"/>
      <c r="Y3083" s="35"/>
      <c r="Z3083" s="40"/>
      <c r="AA3083" s="34"/>
      <c r="AB3083" s="41"/>
      <c r="AC3083" s="42" t="b">
        <v>0</v>
      </c>
      <c r="AD3083" s="66"/>
      <c r="AE3083" s="42"/>
      <c r="AF3083" s="42"/>
      <c r="AG3083" s="43"/>
    </row>
    <row r="3084">
      <c r="A3084" s="23"/>
      <c r="B3084" s="101"/>
      <c r="C3084" s="115"/>
      <c r="D3084" s="115"/>
      <c r="E3084" s="85"/>
      <c r="F3084" s="138"/>
      <c r="G3084" s="101"/>
      <c r="H3084" s="105"/>
      <c r="I3084" s="105"/>
      <c r="J3084" s="44"/>
      <c r="K3084" s="116"/>
      <c r="L3084" s="117"/>
      <c r="M3084" s="67"/>
      <c r="N3084" s="33"/>
      <c r="O3084" s="70"/>
      <c r="P3084" s="34"/>
      <c r="Q3084" s="60"/>
      <c r="R3084" s="36"/>
      <c r="S3084" s="71"/>
      <c r="T3084" s="37"/>
      <c r="U3084" s="118"/>
      <c r="V3084" s="74"/>
      <c r="W3084" s="74"/>
      <c r="X3084" s="35"/>
      <c r="Y3084" s="35"/>
      <c r="Z3084" s="40"/>
      <c r="AA3084" s="34"/>
      <c r="AB3084" s="41"/>
      <c r="AC3084" s="42" t="b">
        <v>0</v>
      </c>
      <c r="AD3084" s="66"/>
      <c r="AE3084" s="42"/>
      <c r="AF3084" s="42"/>
      <c r="AG3084" s="43"/>
    </row>
    <row r="3085">
      <c r="A3085" s="23"/>
      <c r="B3085" s="101"/>
      <c r="C3085" s="115"/>
      <c r="D3085" s="115"/>
      <c r="E3085" s="85"/>
      <c r="F3085" s="138"/>
      <c r="G3085" s="101"/>
      <c r="H3085" s="105"/>
      <c r="I3085" s="105"/>
      <c r="J3085" s="44"/>
      <c r="K3085" s="116"/>
      <c r="L3085" s="117"/>
      <c r="M3085" s="67"/>
      <c r="N3085" s="33"/>
      <c r="O3085" s="70"/>
      <c r="P3085" s="34"/>
      <c r="Q3085" s="60"/>
      <c r="R3085" s="36"/>
      <c r="S3085" s="71"/>
      <c r="T3085" s="37"/>
      <c r="U3085" s="118"/>
      <c r="V3085" s="74"/>
      <c r="W3085" s="74"/>
      <c r="X3085" s="35"/>
      <c r="Y3085" s="35"/>
      <c r="Z3085" s="40"/>
      <c r="AA3085" s="34"/>
      <c r="AB3085" s="41"/>
      <c r="AC3085" s="42" t="b">
        <v>0</v>
      </c>
      <c r="AD3085" s="66"/>
      <c r="AE3085" s="42"/>
      <c r="AF3085" s="42"/>
      <c r="AG3085" s="43"/>
    </row>
    <row r="3086">
      <c r="A3086" s="23"/>
      <c r="B3086" s="101"/>
      <c r="C3086" s="115"/>
      <c r="D3086" s="115"/>
      <c r="E3086" s="85"/>
      <c r="F3086" s="138"/>
      <c r="G3086" s="101"/>
      <c r="H3086" s="105"/>
      <c r="I3086" s="105"/>
      <c r="J3086" s="44"/>
      <c r="K3086" s="116"/>
      <c r="L3086" s="117"/>
      <c r="M3086" s="67"/>
      <c r="N3086" s="33"/>
      <c r="O3086" s="70"/>
      <c r="P3086" s="34"/>
      <c r="Q3086" s="60"/>
      <c r="R3086" s="36"/>
      <c r="S3086" s="71"/>
      <c r="T3086" s="37"/>
      <c r="U3086" s="118"/>
      <c r="V3086" s="74"/>
      <c r="W3086" s="74"/>
      <c r="X3086" s="35"/>
      <c r="Y3086" s="35"/>
      <c r="Z3086" s="40"/>
      <c r="AA3086" s="34"/>
      <c r="AB3086" s="41"/>
      <c r="AC3086" s="42" t="b">
        <v>0</v>
      </c>
      <c r="AD3086" s="66"/>
      <c r="AE3086" s="42"/>
      <c r="AF3086" s="42"/>
      <c r="AG3086" s="43"/>
    </row>
    <row r="3087">
      <c r="A3087" s="23"/>
      <c r="B3087" s="101"/>
      <c r="C3087" s="115"/>
      <c r="D3087" s="115"/>
      <c r="E3087" s="85"/>
      <c r="F3087" s="138"/>
      <c r="G3087" s="101"/>
      <c r="H3087" s="105"/>
      <c r="I3087" s="105"/>
      <c r="J3087" s="44"/>
      <c r="K3087" s="116"/>
      <c r="L3087" s="117"/>
      <c r="M3087" s="67"/>
      <c r="N3087" s="33"/>
      <c r="O3087" s="70"/>
      <c r="P3087" s="34"/>
      <c r="Q3087" s="60"/>
      <c r="R3087" s="36"/>
      <c r="S3087" s="71"/>
      <c r="T3087" s="37"/>
      <c r="U3087" s="118"/>
      <c r="V3087" s="74"/>
      <c r="W3087" s="74"/>
      <c r="X3087" s="35"/>
      <c r="Y3087" s="35"/>
      <c r="Z3087" s="40"/>
      <c r="AA3087" s="34"/>
      <c r="AB3087" s="41"/>
      <c r="AC3087" s="42" t="b">
        <v>0</v>
      </c>
      <c r="AD3087" s="66"/>
      <c r="AE3087" s="42"/>
      <c r="AF3087" s="42"/>
      <c r="AG3087" s="43"/>
    </row>
    <row r="3088">
      <c r="A3088" s="23"/>
      <c r="B3088" s="101"/>
      <c r="C3088" s="115"/>
      <c r="D3088" s="115"/>
      <c r="E3088" s="85"/>
      <c r="F3088" s="138"/>
      <c r="G3088" s="101"/>
      <c r="H3088" s="105"/>
      <c r="I3088" s="105"/>
      <c r="J3088" s="44"/>
      <c r="K3088" s="116"/>
      <c r="L3088" s="117"/>
      <c r="M3088" s="67"/>
      <c r="N3088" s="33"/>
      <c r="O3088" s="70"/>
      <c r="P3088" s="34"/>
      <c r="Q3088" s="60"/>
      <c r="R3088" s="36"/>
      <c r="S3088" s="71"/>
      <c r="T3088" s="37"/>
      <c r="U3088" s="118"/>
      <c r="V3088" s="74"/>
      <c r="W3088" s="74"/>
      <c r="X3088" s="35"/>
      <c r="Y3088" s="35"/>
      <c r="Z3088" s="40"/>
      <c r="AA3088" s="34"/>
      <c r="AB3088" s="41"/>
      <c r="AC3088" s="42" t="b">
        <v>0</v>
      </c>
      <c r="AD3088" s="66"/>
      <c r="AE3088" s="42"/>
      <c r="AF3088" s="42"/>
      <c r="AG3088" s="43"/>
    </row>
    <row r="3089">
      <c r="A3089" s="23"/>
      <c r="B3089" s="101"/>
      <c r="C3089" s="115"/>
      <c r="D3089" s="115"/>
      <c r="E3089" s="85"/>
      <c r="F3089" s="138"/>
      <c r="G3089" s="101"/>
      <c r="H3089" s="105"/>
      <c r="I3089" s="105"/>
      <c r="J3089" s="44"/>
      <c r="K3089" s="116"/>
      <c r="L3089" s="117"/>
      <c r="M3089" s="67"/>
      <c r="N3089" s="33"/>
      <c r="O3089" s="70"/>
      <c r="P3089" s="34"/>
      <c r="Q3089" s="60"/>
      <c r="R3089" s="36"/>
      <c r="S3089" s="71"/>
      <c r="T3089" s="37"/>
      <c r="U3089" s="118"/>
      <c r="V3089" s="74"/>
      <c r="W3089" s="74"/>
      <c r="X3089" s="35"/>
      <c r="Y3089" s="35"/>
      <c r="Z3089" s="40"/>
      <c r="AA3089" s="34"/>
      <c r="AB3089" s="41"/>
      <c r="AC3089" s="42" t="b">
        <v>0</v>
      </c>
      <c r="AD3089" s="66"/>
      <c r="AE3089" s="42"/>
      <c r="AF3089" s="42"/>
      <c r="AG3089" s="43"/>
    </row>
    <row r="3090">
      <c r="A3090" s="23"/>
      <c r="B3090" s="101"/>
      <c r="C3090" s="115"/>
      <c r="D3090" s="115"/>
      <c r="E3090" s="85"/>
      <c r="F3090" s="138"/>
      <c r="G3090" s="101"/>
      <c r="H3090" s="105"/>
      <c r="I3090" s="105"/>
      <c r="J3090" s="44"/>
      <c r="K3090" s="116"/>
      <c r="L3090" s="117"/>
      <c r="M3090" s="67"/>
      <c r="N3090" s="33"/>
      <c r="O3090" s="70"/>
      <c r="P3090" s="34"/>
      <c r="Q3090" s="60"/>
      <c r="R3090" s="36"/>
      <c r="S3090" s="71"/>
      <c r="T3090" s="37"/>
      <c r="U3090" s="118"/>
      <c r="V3090" s="74"/>
      <c r="W3090" s="74"/>
      <c r="X3090" s="35"/>
      <c r="Y3090" s="35"/>
      <c r="Z3090" s="40"/>
      <c r="AA3090" s="34"/>
      <c r="AB3090" s="41"/>
      <c r="AC3090" s="42" t="b">
        <v>0</v>
      </c>
      <c r="AD3090" s="66"/>
      <c r="AE3090" s="42"/>
      <c r="AF3090" s="42"/>
      <c r="AG3090" s="43"/>
    </row>
    <row r="3091">
      <c r="A3091" s="23"/>
      <c r="B3091" s="101"/>
      <c r="C3091" s="115"/>
      <c r="D3091" s="115"/>
      <c r="E3091" s="85"/>
      <c r="F3091" s="138"/>
      <c r="G3091" s="101"/>
      <c r="H3091" s="105"/>
      <c r="I3091" s="105"/>
      <c r="J3091" s="44"/>
      <c r="K3091" s="116"/>
      <c r="L3091" s="117"/>
      <c r="M3091" s="67"/>
      <c r="N3091" s="33"/>
      <c r="O3091" s="70"/>
      <c r="P3091" s="34"/>
      <c r="Q3091" s="60"/>
      <c r="R3091" s="36"/>
      <c r="S3091" s="71"/>
      <c r="T3091" s="37"/>
      <c r="U3091" s="118"/>
      <c r="V3091" s="74"/>
      <c r="W3091" s="74"/>
      <c r="X3091" s="35"/>
      <c r="Y3091" s="35"/>
      <c r="Z3091" s="40"/>
      <c r="AA3091" s="34"/>
      <c r="AB3091" s="41"/>
      <c r="AC3091" s="42" t="b">
        <v>0</v>
      </c>
      <c r="AD3091" s="66"/>
      <c r="AE3091" s="42"/>
      <c r="AF3091" s="42"/>
      <c r="AG3091" s="43"/>
    </row>
    <row r="3092">
      <c r="A3092" s="23"/>
      <c r="B3092" s="101"/>
      <c r="C3092" s="115"/>
      <c r="D3092" s="115"/>
      <c r="E3092" s="85"/>
      <c r="F3092" s="138"/>
      <c r="G3092" s="101"/>
      <c r="H3092" s="105"/>
      <c r="I3092" s="105"/>
      <c r="J3092" s="44"/>
      <c r="K3092" s="116"/>
      <c r="L3092" s="117"/>
      <c r="M3092" s="67"/>
      <c r="N3092" s="33"/>
      <c r="O3092" s="70"/>
      <c r="P3092" s="34"/>
      <c r="Q3092" s="60"/>
      <c r="R3092" s="36"/>
      <c r="S3092" s="71"/>
      <c r="T3092" s="37"/>
      <c r="U3092" s="118"/>
      <c r="V3092" s="74"/>
      <c r="W3092" s="74"/>
      <c r="X3092" s="35"/>
      <c r="Y3092" s="35"/>
      <c r="Z3092" s="40"/>
      <c r="AA3092" s="34"/>
      <c r="AB3092" s="41"/>
      <c r="AC3092" s="42" t="b">
        <v>0</v>
      </c>
      <c r="AD3092" s="66"/>
      <c r="AE3092" s="42"/>
      <c r="AF3092" s="42"/>
      <c r="AG3092" s="43"/>
    </row>
    <row r="3093">
      <c r="A3093" s="23"/>
      <c r="B3093" s="101"/>
      <c r="C3093" s="115"/>
      <c r="D3093" s="115"/>
      <c r="E3093" s="85"/>
      <c r="F3093" s="138"/>
      <c r="G3093" s="101"/>
      <c r="H3093" s="105"/>
      <c r="I3093" s="105"/>
      <c r="J3093" s="44"/>
      <c r="K3093" s="116"/>
      <c r="L3093" s="117"/>
      <c r="M3093" s="67"/>
      <c r="N3093" s="33"/>
      <c r="O3093" s="70"/>
      <c r="P3093" s="34"/>
      <c r="Q3093" s="60"/>
      <c r="R3093" s="36"/>
      <c r="S3093" s="71"/>
      <c r="T3093" s="37"/>
      <c r="U3093" s="118"/>
      <c r="V3093" s="74"/>
      <c r="W3093" s="74"/>
      <c r="X3093" s="35"/>
      <c r="Y3093" s="35"/>
      <c r="Z3093" s="40"/>
      <c r="AA3093" s="34"/>
      <c r="AB3093" s="41"/>
      <c r="AC3093" s="42" t="b">
        <v>0</v>
      </c>
      <c r="AD3093" s="66"/>
      <c r="AE3093" s="42"/>
      <c r="AF3093" s="42"/>
      <c r="AG3093" s="43"/>
    </row>
    <row r="3094">
      <c r="A3094" s="23"/>
      <c r="B3094" s="101"/>
      <c r="C3094" s="115"/>
      <c r="D3094" s="115"/>
      <c r="E3094" s="85"/>
      <c r="F3094" s="138"/>
      <c r="G3094" s="101"/>
      <c r="H3094" s="105"/>
      <c r="I3094" s="105"/>
      <c r="J3094" s="44"/>
      <c r="K3094" s="116"/>
      <c r="L3094" s="117"/>
      <c r="M3094" s="67"/>
      <c r="N3094" s="33"/>
      <c r="O3094" s="70"/>
      <c r="P3094" s="34"/>
      <c r="Q3094" s="60"/>
      <c r="R3094" s="36"/>
      <c r="S3094" s="71"/>
      <c r="T3094" s="37"/>
      <c r="U3094" s="118"/>
      <c r="V3094" s="74"/>
      <c r="W3094" s="74"/>
      <c r="X3094" s="35"/>
      <c r="Y3094" s="35"/>
      <c r="Z3094" s="40"/>
      <c r="AA3094" s="34"/>
      <c r="AB3094" s="41"/>
      <c r="AC3094" s="42" t="b">
        <v>0</v>
      </c>
      <c r="AD3094" s="66"/>
      <c r="AE3094" s="42"/>
      <c r="AF3094" s="42"/>
      <c r="AG3094" s="43"/>
    </row>
    <row r="3095">
      <c r="A3095" s="23"/>
      <c r="B3095" s="101"/>
      <c r="C3095" s="115"/>
      <c r="D3095" s="115"/>
      <c r="E3095" s="85"/>
      <c r="F3095" s="138"/>
      <c r="G3095" s="101"/>
      <c r="H3095" s="105"/>
      <c r="I3095" s="105"/>
      <c r="J3095" s="44"/>
      <c r="K3095" s="116"/>
      <c r="L3095" s="117"/>
      <c r="M3095" s="67"/>
      <c r="N3095" s="33"/>
      <c r="O3095" s="70"/>
      <c r="P3095" s="34"/>
      <c r="Q3095" s="60"/>
      <c r="R3095" s="36"/>
      <c r="S3095" s="71"/>
      <c r="T3095" s="37"/>
      <c r="U3095" s="118"/>
      <c r="V3095" s="74"/>
      <c r="W3095" s="74"/>
      <c r="X3095" s="35"/>
      <c r="Y3095" s="35"/>
      <c r="Z3095" s="40"/>
      <c r="AA3095" s="34"/>
      <c r="AB3095" s="41"/>
      <c r="AC3095" s="42" t="b">
        <v>0</v>
      </c>
      <c r="AD3095" s="66"/>
      <c r="AE3095" s="42"/>
      <c r="AF3095" s="42"/>
      <c r="AG3095" s="43"/>
    </row>
    <row r="3096">
      <c r="A3096" s="23"/>
      <c r="B3096" s="101"/>
      <c r="C3096" s="115"/>
      <c r="D3096" s="115"/>
      <c r="E3096" s="85"/>
      <c r="F3096" s="138"/>
      <c r="G3096" s="101"/>
      <c r="H3096" s="105"/>
      <c r="I3096" s="105"/>
      <c r="J3096" s="44"/>
      <c r="K3096" s="116"/>
      <c r="L3096" s="117"/>
      <c r="M3096" s="67"/>
      <c r="N3096" s="33"/>
      <c r="O3096" s="70"/>
      <c r="P3096" s="34"/>
      <c r="Q3096" s="60"/>
      <c r="R3096" s="36"/>
      <c r="S3096" s="71"/>
      <c r="T3096" s="37"/>
      <c r="U3096" s="118"/>
      <c r="V3096" s="74"/>
      <c r="W3096" s="74"/>
      <c r="X3096" s="35"/>
      <c r="Y3096" s="35"/>
      <c r="Z3096" s="40"/>
      <c r="AA3096" s="34"/>
      <c r="AB3096" s="41"/>
      <c r="AC3096" s="42" t="b">
        <v>0</v>
      </c>
      <c r="AD3096" s="66"/>
      <c r="AE3096" s="42"/>
      <c r="AF3096" s="42"/>
      <c r="AG3096" s="43"/>
    </row>
    <row r="3097">
      <c r="A3097" s="23"/>
      <c r="B3097" s="101"/>
      <c r="C3097" s="115"/>
      <c r="D3097" s="115"/>
      <c r="E3097" s="85"/>
      <c r="F3097" s="138"/>
      <c r="G3097" s="101"/>
      <c r="H3097" s="105"/>
      <c r="I3097" s="105"/>
      <c r="J3097" s="44"/>
      <c r="K3097" s="116"/>
      <c r="L3097" s="117"/>
      <c r="M3097" s="67"/>
      <c r="N3097" s="33"/>
      <c r="O3097" s="70"/>
      <c r="P3097" s="34"/>
      <c r="Q3097" s="60"/>
      <c r="R3097" s="36"/>
      <c r="S3097" s="71"/>
      <c r="T3097" s="37"/>
      <c r="U3097" s="118"/>
      <c r="V3097" s="74"/>
      <c r="W3097" s="74"/>
      <c r="X3097" s="35"/>
      <c r="Y3097" s="35"/>
      <c r="Z3097" s="40"/>
      <c r="AA3097" s="34"/>
      <c r="AB3097" s="41"/>
      <c r="AC3097" s="42" t="b">
        <v>0</v>
      </c>
      <c r="AD3097" s="66"/>
      <c r="AE3097" s="42"/>
      <c r="AF3097" s="42"/>
      <c r="AG3097" s="43"/>
    </row>
    <row r="3098">
      <c r="A3098" s="23"/>
      <c r="B3098" s="101"/>
      <c r="C3098" s="115"/>
      <c r="D3098" s="115"/>
      <c r="E3098" s="85"/>
      <c r="F3098" s="138"/>
      <c r="G3098" s="101"/>
      <c r="H3098" s="105"/>
      <c r="I3098" s="105"/>
      <c r="J3098" s="44"/>
      <c r="K3098" s="116"/>
      <c r="L3098" s="117"/>
      <c r="M3098" s="67"/>
      <c r="N3098" s="33"/>
      <c r="O3098" s="70"/>
      <c r="P3098" s="34"/>
      <c r="Q3098" s="60"/>
      <c r="R3098" s="36"/>
      <c r="S3098" s="71"/>
      <c r="T3098" s="37"/>
      <c r="U3098" s="118"/>
      <c r="V3098" s="74"/>
      <c r="W3098" s="74"/>
      <c r="X3098" s="35"/>
      <c r="Y3098" s="35"/>
      <c r="Z3098" s="40"/>
      <c r="AA3098" s="34"/>
      <c r="AB3098" s="41"/>
      <c r="AC3098" s="42" t="b">
        <v>0</v>
      </c>
      <c r="AD3098" s="66"/>
      <c r="AE3098" s="42"/>
      <c r="AF3098" s="42"/>
      <c r="AG3098" s="43"/>
    </row>
    <row r="3099">
      <c r="A3099" s="23"/>
      <c r="B3099" s="101"/>
      <c r="C3099" s="115"/>
      <c r="D3099" s="115"/>
      <c r="E3099" s="85"/>
      <c r="F3099" s="138"/>
      <c r="G3099" s="101"/>
      <c r="H3099" s="105"/>
      <c r="I3099" s="105"/>
      <c r="J3099" s="44"/>
      <c r="K3099" s="116"/>
      <c r="L3099" s="117"/>
      <c r="M3099" s="67"/>
      <c r="N3099" s="33"/>
      <c r="O3099" s="70"/>
      <c r="P3099" s="34"/>
      <c r="Q3099" s="60"/>
      <c r="R3099" s="36"/>
      <c r="S3099" s="71"/>
      <c r="T3099" s="37"/>
      <c r="U3099" s="118"/>
      <c r="V3099" s="74"/>
      <c r="W3099" s="74"/>
      <c r="X3099" s="35"/>
      <c r="Y3099" s="35"/>
      <c r="Z3099" s="40"/>
      <c r="AA3099" s="34"/>
      <c r="AB3099" s="41"/>
      <c r="AC3099" s="42" t="b">
        <v>0</v>
      </c>
      <c r="AD3099" s="66"/>
      <c r="AE3099" s="42"/>
      <c r="AF3099" s="42"/>
      <c r="AG3099" s="43"/>
    </row>
    <row r="3100">
      <c r="A3100" s="23"/>
      <c r="B3100" s="101"/>
      <c r="C3100" s="115"/>
      <c r="D3100" s="115"/>
      <c r="E3100" s="85"/>
      <c r="F3100" s="138"/>
      <c r="G3100" s="101"/>
      <c r="H3100" s="105"/>
      <c r="I3100" s="105"/>
      <c r="J3100" s="44"/>
      <c r="K3100" s="116"/>
      <c r="L3100" s="117"/>
      <c r="M3100" s="67"/>
      <c r="N3100" s="33"/>
      <c r="O3100" s="70"/>
      <c r="P3100" s="34"/>
      <c r="Q3100" s="60"/>
      <c r="R3100" s="36"/>
      <c r="S3100" s="71"/>
      <c r="T3100" s="37"/>
      <c r="U3100" s="118"/>
      <c r="V3100" s="74"/>
      <c r="W3100" s="74"/>
      <c r="X3100" s="35"/>
      <c r="Y3100" s="35"/>
      <c r="Z3100" s="40"/>
      <c r="AA3100" s="34"/>
      <c r="AB3100" s="41"/>
      <c r="AC3100" s="42" t="b">
        <v>0</v>
      </c>
      <c r="AD3100" s="66"/>
      <c r="AE3100" s="42"/>
      <c r="AF3100" s="42"/>
      <c r="AG3100" s="43"/>
    </row>
    <row r="3101">
      <c r="A3101" s="23"/>
      <c r="B3101" s="101"/>
      <c r="C3101" s="115"/>
      <c r="D3101" s="115"/>
      <c r="E3101" s="85"/>
      <c r="F3101" s="138"/>
      <c r="G3101" s="101"/>
      <c r="H3101" s="105"/>
      <c r="I3101" s="105"/>
      <c r="J3101" s="44"/>
      <c r="K3101" s="116"/>
      <c r="L3101" s="117"/>
      <c r="M3101" s="67"/>
      <c r="N3101" s="33"/>
      <c r="O3101" s="70"/>
      <c r="P3101" s="34"/>
      <c r="Q3101" s="60"/>
      <c r="R3101" s="36"/>
      <c r="S3101" s="71"/>
      <c r="T3101" s="37"/>
      <c r="U3101" s="118"/>
      <c r="V3101" s="74"/>
      <c r="W3101" s="74"/>
      <c r="X3101" s="35"/>
      <c r="Y3101" s="35"/>
      <c r="Z3101" s="40"/>
      <c r="AA3101" s="34"/>
      <c r="AB3101" s="41"/>
      <c r="AC3101" s="42" t="b">
        <v>0</v>
      </c>
      <c r="AD3101" s="66"/>
      <c r="AE3101" s="42"/>
      <c r="AF3101" s="42"/>
      <c r="AG3101" s="43"/>
    </row>
    <row r="3102">
      <c r="A3102" s="23"/>
      <c r="B3102" s="101"/>
      <c r="C3102" s="115"/>
      <c r="D3102" s="115"/>
      <c r="E3102" s="85"/>
      <c r="F3102" s="138"/>
      <c r="G3102" s="101"/>
      <c r="H3102" s="105"/>
      <c r="I3102" s="105"/>
      <c r="J3102" s="44"/>
      <c r="K3102" s="116"/>
      <c r="L3102" s="117"/>
      <c r="M3102" s="67"/>
      <c r="N3102" s="33"/>
      <c r="O3102" s="70"/>
      <c r="P3102" s="34"/>
      <c r="Q3102" s="60"/>
      <c r="R3102" s="36"/>
      <c r="S3102" s="71"/>
      <c r="T3102" s="37"/>
      <c r="U3102" s="118"/>
      <c r="V3102" s="74"/>
      <c r="W3102" s="74"/>
      <c r="X3102" s="35"/>
      <c r="Y3102" s="35"/>
      <c r="Z3102" s="40"/>
      <c r="AA3102" s="34"/>
      <c r="AB3102" s="41"/>
      <c r="AC3102" s="42" t="b">
        <v>0</v>
      </c>
      <c r="AD3102" s="66"/>
      <c r="AE3102" s="42"/>
      <c r="AF3102" s="42"/>
      <c r="AG3102" s="43"/>
    </row>
    <row r="3103">
      <c r="A3103" s="23"/>
      <c r="B3103" s="101"/>
      <c r="C3103" s="115"/>
      <c r="D3103" s="115"/>
      <c r="E3103" s="85"/>
      <c r="F3103" s="138"/>
      <c r="G3103" s="101"/>
      <c r="H3103" s="105"/>
      <c r="I3103" s="105"/>
      <c r="J3103" s="44"/>
      <c r="K3103" s="116"/>
      <c r="L3103" s="117"/>
      <c r="M3103" s="67"/>
      <c r="N3103" s="33"/>
      <c r="O3103" s="70"/>
      <c r="P3103" s="34"/>
      <c r="Q3103" s="60"/>
      <c r="R3103" s="36"/>
      <c r="S3103" s="71"/>
      <c r="T3103" s="37"/>
      <c r="U3103" s="118"/>
      <c r="V3103" s="74"/>
      <c r="W3103" s="74"/>
      <c r="X3103" s="35"/>
      <c r="Y3103" s="35"/>
      <c r="Z3103" s="40"/>
      <c r="AA3103" s="34"/>
      <c r="AB3103" s="41"/>
      <c r="AC3103" s="42" t="b">
        <v>0</v>
      </c>
      <c r="AD3103" s="66"/>
      <c r="AE3103" s="42"/>
      <c r="AF3103" s="42"/>
      <c r="AG3103" s="43"/>
    </row>
    <row r="3104">
      <c r="A3104" s="23"/>
      <c r="B3104" s="101"/>
      <c r="C3104" s="115"/>
      <c r="D3104" s="115"/>
      <c r="E3104" s="85"/>
      <c r="F3104" s="138"/>
      <c r="G3104" s="101"/>
      <c r="H3104" s="105"/>
      <c r="I3104" s="105"/>
      <c r="J3104" s="44"/>
      <c r="K3104" s="116"/>
      <c r="L3104" s="117"/>
      <c r="M3104" s="67"/>
      <c r="N3104" s="33"/>
      <c r="O3104" s="70"/>
      <c r="P3104" s="34"/>
      <c r="Q3104" s="60"/>
      <c r="R3104" s="36"/>
      <c r="S3104" s="71"/>
      <c r="T3104" s="37"/>
      <c r="U3104" s="118"/>
      <c r="V3104" s="74"/>
      <c r="W3104" s="74"/>
      <c r="X3104" s="35"/>
      <c r="Y3104" s="35"/>
      <c r="Z3104" s="40"/>
      <c r="AA3104" s="34"/>
      <c r="AB3104" s="41"/>
      <c r="AC3104" s="42" t="b">
        <v>0</v>
      </c>
      <c r="AD3104" s="66"/>
      <c r="AE3104" s="42"/>
      <c r="AF3104" s="42"/>
      <c r="AG3104" s="43"/>
    </row>
    <row r="3105">
      <c r="A3105" s="23"/>
      <c r="B3105" s="101"/>
      <c r="C3105" s="115"/>
      <c r="D3105" s="115"/>
      <c r="E3105" s="85"/>
      <c r="F3105" s="138"/>
      <c r="G3105" s="101"/>
      <c r="H3105" s="105"/>
      <c r="I3105" s="105"/>
      <c r="J3105" s="44"/>
      <c r="K3105" s="116"/>
      <c r="L3105" s="117"/>
      <c r="M3105" s="67"/>
      <c r="N3105" s="33"/>
      <c r="O3105" s="70"/>
      <c r="P3105" s="34"/>
      <c r="Q3105" s="60"/>
      <c r="R3105" s="36"/>
      <c r="S3105" s="71"/>
      <c r="T3105" s="37"/>
      <c r="U3105" s="118"/>
      <c r="V3105" s="74"/>
      <c r="W3105" s="74"/>
      <c r="X3105" s="35"/>
      <c r="Y3105" s="35"/>
      <c r="Z3105" s="40"/>
      <c r="AA3105" s="34"/>
      <c r="AB3105" s="41"/>
      <c r="AC3105" s="42" t="b">
        <v>0</v>
      </c>
      <c r="AD3105" s="66"/>
      <c r="AE3105" s="42"/>
      <c r="AF3105" s="42"/>
      <c r="AG3105" s="43"/>
    </row>
    <row r="3106">
      <c r="A3106" s="23"/>
      <c r="B3106" s="101"/>
      <c r="C3106" s="115"/>
      <c r="D3106" s="115"/>
      <c r="E3106" s="85"/>
      <c r="F3106" s="138"/>
      <c r="G3106" s="101"/>
      <c r="H3106" s="105"/>
      <c r="I3106" s="105"/>
      <c r="J3106" s="44"/>
      <c r="K3106" s="116"/>
      <c r="L3106" s="117"/>
      <c r="M3106" s="67"/>
      <c r="N3106" s="33"/>
      <c r="O3106" s="70"/>
      <c r="P3106" s="34"/>
      <c r="Q3106" s="60"/>
      <c r="R3106" s="36"/>
      <c r="S3106" s="71"/>
      <c r="T3106" s="37"/>
      <c r="U3106" s="118"/>
      <c r="V3106" s="74"/>
      <c r="W3106" s="74"/>
      <c r="X3106" s="35"/>
      <c r="Y3106" s="35"/>
      <c r="Z3106" s="40"/>
      <c r="AA3106" s="34"/>
      <c r="AB3106" s="41"/>
      <c r="AC3106" s="42" t="b">
        <v>0</v>
      </c>
      <c r="AD3106" s="66"/>
      <c r="AE3106" s="42"/>
      <c r="AF3106" s="42"/>
      <c r="AG3106" s="43"/>
    </row>
    <row r="3107">
      <c r="A3107" s="23"/>
      <c r="B3107" s="101"/>
      <c r="C3107" s="115"/>
      <c r="D3107" s="115"/>
      <c r="E3107" s="85"/>
      <c r="F3107" s="138"/>
      <c r="G3107" s="101"/>
      <c r="H3107" s="105"/>
      <c r="I3107" s="105"/>
      <c r="J3107" s="44"/>
      <c r="K3107" s="116"/>
      <c r="L3107" s="117"/>
      <c r="M3107" s="67"/>
      <c r="N3107" s="33"/>
      <c r="O3107" s="70"/>
      <c r="P3107" s="34"/>
      <c r="Q3107" s="60"/>
      <c r="R3107" s="36"/>
      <c r="S3107" s="71"/>
      <c r="T3107" s="37"/>
      <c r="U3107" s="118"/>
      <c r="V3107" s="74"/>
      <c r="W3107" s="74"/>
      <c r="X3107" s="35"/>
      <c r="Y3107" s="35"/>
      <c r="Z3107" s="40"/>
      <c r="AA3107" s="34"/>
      <c r="AB3107" s="41"/>
      <c r="AC3107" s="42" t="b">
        <v>0</v>
      </c>
      <c r="AD3107" s="66"/>
      <c r="AE3107" s="42"/>
      <c r="AF3107" s="42"/>
      <c r="AG3107" s="43"/>
    </row>
    <row r="3108">
      <c r="A3108" s="23"/>
      <c r="B3108" s="101"/>
      <c r="C3108" s="115"/>
      <c r="D3108" s="115"/>
      <c r="E3108" s="85"/>
      <c r="F3108" s="138"/>
      <c r="G3108" s="101"/>
      <c r="H3108" s="105"/>
      <c r="I3108" s="105"/>
      <c r="J3108" s="44"/>
      <c r="K3108" s="116"/>
      <c r="L3108" s="117"/>
      <c r="M3108" s="67"/>
      <c r="N3108" s="33"/>
      <c r="O3108" s="70"/>
      <c r="P3108" s="34"/>
      <c r="Q3108" s="60"/>
      <c r="R3108" s="36"/>
      <c r="S3108" s="71"/>
      <c r="T3108" s="37"/>
      <c r="U3108" s="118"/>
      <c r="V3108" s="74"/>
      <c r="W3108" s="74"/>
      <c r="X3108" s="35"/>
      <c r="Y3108" s="35"/>
      <c r="Z3108" s="40"/>
      <c r="AA3108" s="34"/>
      <c r="AB3108" s="41"/>
      <c r="AC3108" s="42" t="b">
        <v>0</v>
      </c>
      <c r="AD3108" s="66"/>
      <c r="AE3108" s="42"/>
      <c r="AF3108" s="42"/>
      <c r="AG3108" s="43"/>
    </row>
    <row r="3109">
      <c r="A3109" s="23"/>
      <c r="B3109" s="101"/>
      <c r="C3109" s="115"/>
      <c r="D3109" s="115"/>
      <c r="E3109" s="85"/>
      <c r="F3109" s="138"/>
      <c r="G3109" s="101"/>
      <c r="H3109" s="105"/>
      <c r="I3109" s="105"/>
      <c r="J3109" s="44"/>
      <c r="K3109" s="116"/>
      <c r="L3109" s="117"/>
      <c r="M3109" s="67"/>
      <c r="N3109" s="33"/>
      <c r="O3109" s="70"/>
      <c r="P3109" s="34"/>
      <c r="Q3109" s="60"/>
      <c r="R3109" s="36"/>
      <c r="S3109" s="71"/>
      <c r="T3109" s="37"/>
      <c r="U3109" s="118"/>
      <c r="V3109" s="74"/>
      <c r="W3109" s="74"/>
      <c r="X3109" s="35"/>
      <c r="Y3109" s="35"/>
      <c r="Z3109" s="40"/>
      <c r="AA3109" s="34"/>
      <c r="AB3109" s="41"/>
      <c r="AC3109" s="42" t="b">
        <v>0</v>
      </c>
      <c r="AD3109" s="66"/>
      <c r="AE3109" s="42"/>
      <c r="AF3109" s="42"/>
      <c r="AG3109" s="43"/>
    </row>
    <row r="3110">
      <c r="A3110" s="23"/>
      <c r="B3110" s="101"/>
      <c r="C3110" s="115"/>
      <c r="D3110" s="115"/>
      <c r="E3110" s="85"/>
      <c r="F3110" s="138"/>
      <c r="G3110" s="101"/>
      <c r="H3110" s="105"/>
      <c r="I3110" s="105"/>
      <c r="J3110" s="44"/>
      <c r="K3110" s="116"/>
      <c r="L3110" s="117"/>
      <c r="M3110" s="67"/>
      <c r="N3110" s="33"/>
      <c r="O3110" s="70"/>
      <c r="P3110" s="34"/>
      <c r="Q3110" s="60"/>
      <c r="R3110" s="36"/>
      <c r="S3110" s="71"/>
      <c r="T3110" s="37"/>
      <c r="U3110" s="118"/>
      <c r="V3110" s="74"/>
      <c r="W3110" s="74"/>
      <c r="X3110" s="35"/>
      <c r="Y3110" s="35"/>
      <c r="Z3110" s="40"/>
      <c r="AA3110" s="34"/>
      <c r="AB3110" s="41"/>
      <c r="AC3110" s="42" t="b">
        <v>0</v>
      </c>
      <c r="AD3110" s="66"/>
      <c r="AE3110" s="42"/>
      <c r="AF3110" s="42"/>
      <c r="AG3110" s="43"/>
    </row>
    <row r="3111">
      <c r="A3111" s="23"/>
      <c r="B3111" s="101"/>
      <c r="C3111" s="115"/>
      <c r="D3111" s="115"/>
      <c r="E3111" s="85"/>
      <c r="F3111" s="138"/>
      <c r="G3111" s="101"/>
      <c r="H3111" s="105"/>
      <c r="I3111" s="105"/>
      <c r="J3111" s="44"/>
      <c r="K3111" s="116"/>
      <c r="L3111" s="117"/>
      <c r="M3111" s="67"/>
      <c r="N3111" s="33"/>
      <c r="O3111" s="70"/>
      <c r="P3111" s="34"/>
      <c r="Q3111" s="60"/>
      <c r="R3111" s="36"/>
      <c r="S3111" s="71"/>
      <c r="T3111" s="37"/>
      <c r="U3111" s="118"/>
      <c r="V3111" s="74"/>
      <c r="W3111" s="74"/>
      <c r="X3111" s="35"/>
      <c r="Y3111" s="35"/>
      <c r="Z3111" s="40"/>
      <c r="AA3111" s="34"/>
      <c r="AB3111" s="41"/>
      <c r="AC3111" s="42" t="b">
        <v>0</v>
      </c>
      <c r="AD3111" s="66"/>
      <c r="AE3111" s="42"/>
      <c r="AF3111" s="42"/>
      <c r="AG3111" s="43"/>
    </row>
    <row r="3112">
      <c r="A3112" s="23"/>
      <c r="B3112" s="101"/>
      <c r="C3112" s="115"/>
      <c r="D3112" s="115"/>
      <c r="E3112" s="85"/>
      <c r="F3112" s="138"/>
      <c r="G3112" s="101"/>
      <c r="H3112" s="105"/>
      <c r="I3112" s="105"/>
      <c r="J3112" s="44"/>
      <c r="K3112" s="116"/>
      <c r="L3112" s="117"/>
      <c r="M3112" s="67"/>
      <c r="N3112" s="33"/>
      <c r="O3112" s="70"/>
      <c r="P3112" s="34"/>
      <c r="Q3112" s="60"/>
      <c r="R3112" s="36"/>
      <c r="S3112" s="71"/>
      <c r="T3112" s="37"/>
      <c r="U3112" s="118"/>
      <c r="V3112" s="74"/>
      <c r="W3112" s="74"/>
      <c r="X3112" s="35"/>
      <c r="Y3112" s="35"/>
      <c r="Z3112" s="40"/>
      <c r="AA3112" s="34"/>
      <c r="AB3112" s="41"/>
      <c r="AC3112" s="42" t="b">
        <v>0</v>
      </c>
      <c r="AD3112" s="66"/>
      <c r="AE3112" s="42"/>
      <c r="AF3112" s="42"/>
      <c r="AG3112" s="43"/>
    </row>
    <row r="3113">
      <c r="A3113" s="23"/>
      <c r="B3113" s="101"/>
      <c r="C3113" s="115"/>
      <c r="D3113" s="115"/>
      <c r="E3113" s="85"/>
      <c r="F3113" s="138"/>
      <c r="G3113" s="101"/>
      <c r="H3113" s="105"/>
      <c r="I3113" s="105"/>
      <c r="J3113" s="44"/>
      <c r="K3113" s="116"/>
      <c r="L3113" s="117"/>
      <c r="M3113" s="67"/>
      <c r="N3113" s="33"/>
      <c r="O3113" s="70"/>
      <c r="P3113" s="34"/>
      <c r="Q3113" s="60"/>
      <c r="R3113" s="36"/>
      <c r="S3113" s="71"/>
      <c r="T3113" s="37"/>
      <c r="U3113" s="118"/>
      <c r="V3113" s="74"/>
      <c r="W3113" s="74"/>
      <c r="X3113" s="35"/>
      <c r="Y3113" s="35"/>
      <c r="Z3113" s="40"/>
      <c r="AA3113" s="34"/>
      <c r="AB3113" s="41"/>
      <c r="AC3113" s="42" t="b">
        <v>0</v>
      </c>
      <c r="AD3113" s="66"/>
      <c r="AE3113" s="42"/>
      <c r="AF3113" s="42"/>
      <c r="AG3113" s="43"/>
    </row>
    <row r="3114">
      <c r="A3114" s="23"/>
      <c r="B3114" s="101"/>
      <c r="C3114" s="115"/>
      <c r="D3114" s="115"/>
      <c r="E3114" s="85"/>
      <c r="F3114" s="138"/>
      <c r="G3114" s="101"/>
      <c r="H3114" s="105"/>
      <c r="I3114" s="105"/>
      <c r="J3114" s="44"/>
      <c r="K3114" s="116"/>
      <c r="L3114" s="117"/>
      <c r="M3114" s="67"/>
      <c r="N3114" s="33"/>
      <c r="O3114" s="70"/>
      <c r="P3114" s="34"/>
      <c r="Q3114" s="60"/>
      <c r="R3114" s="36"/>
      <c r="S3114" s="71"/>
      <c r="T3114" s="37"/>
      <c r="U3114" s="118"/>
      <c r="V3114" s="74"/>
      <c r="W3114" s="74"/>
      <c r="X3114" s="35"/>
      <c r="Y3114" s="35"/>
      <c r="Z3114" s="40"/>
      <c r="AA3114" s="34"/>
      <c r="AB3114" s="41"/>
      <c r="AC3114" s="42" t="b">
        <v>0</v>
      </c>
      <c r="AD3114" s="66"/>
      <c r="AE3114" s="42"/>
      <c r="AF3114" s="42"/>
      <c r="AG3114" s="43"/>
    </row>
    <row r="3115">
      <c r="A3115" s="23"/>
      <c r="B3115" s="101"/>
      <c r="C3115" s="115"/>
      <c r="D3115" s="115"/>
      <c r="E3115" s="85"/>
      <c r="F3115" s="138"/>
      <c r="G3115" s="101"/>
      <c r="H3115" s="105"/>
      <c r="I3115" s="105"/>
      <c r="J3115" s="44"/>
      <c r="K3115" s="116"/>
      <c r="L3115" s="117"/>
      <c r="M3115" s="67"/>
      <c r="N3115" s="33"/>
      <c r="O3115" s="70"/>
      <c r="P3115" s="34"/>
      <c r="Q3115" s="60"/>
      <c r="R3115" s="36"/>
      <c r="S3115" s="71"/>
      <c r="T3115" s="37"/>
      <c r="U3115" s="118"/>
      <c r="V3115" s="74"/>
      <c r="W3115" s="74"/>
      <c r="X3115" s="35"/>
      <c r="Y3115" s="35"/>
      <c r="Z3115" s="40"/>
      <c r="AA3115" s="34"/>
      <c r="AB3115" s="41"/>
      <c r="AC3115" s="42" t="b">
        <v>0</v>
      </c>
      <c r="AD3115" s="66"/>
      <c r="AE3115" s="42"/>
      <c r="AF3115" s="42"/>
      <c r="AG3115" s="43"/>
    </row>
    <row r="3116">
      <c r="A3116" s="23"/>
      <c r="B3116" s="101"/>
      <c r="C3116" s="115"/>
      <c r="D3116" s="115"/>
      <c r="E3116" s="85"/>
      <c r="F3116" s="138"/>
      <c r="G3116" s="101"/>
      <c r="H3116" s="105"/>
      <c r="I3116" s="105"/>
      <c r="J3116" s="44"/>
      <c r="K3116" s="116"/>
      <c r="L3116" s="117"/>
      <c r="M3116" s="67"/>
      <c r="N3116" s="33"/>
      <c r="O3116" s="70"/>
      <c r="P3116" s="34"/>
      <c r="Q3116" s="60"/>
      <c r="R3116" s="36"/>
      <c r="S3116" s="71"/>
      <c r="T3116" s="37"/>
      <c r="U3116" s="118"/>
      <c r="V3116" s="74"/>
      <c r="W3116" s="74"/>
      <c r="X3116" s="35"/>
      <c r="Y3116" s="35"/>
      <c r="Z3116" s="40"/>
      <c r="AA3116" s="34"/>
      <c r="AB3116" s="41"/>
      <c r="AC3116" s="42" t="b">
        <v>0</v>
      </c>
      <c r="AD3116" s="66"/>
      <c r="AE3116" s="42"/>
      <c r="AF3116" s="42"/>
      <c r="AG3116" s="43"/>
    </row>
    <row r="3117">
      <c r="A3117" s="23"/>
      <c r="B3117" s="101"/>
      <c r="C3117" s="115"/>
      <c r="D3117" s="115"/>
      <c r="E3117" s="85"/>
      <c r="F3117" s="138"/>
      <c r="G3117" s="101"/>
      <c r="H3117" s="105"/>
      <c r="I3117" s="105"/>
      <c r="J3117" s="44"/>
      <c r="K3117" s="116"/>
      <c r="L3117" s="117"/>
      <c r="M3117" s="67"/>
      <c r="N3117" s="33"/>
      <c r="O3117" s="70"/>
      <c r="P3117" s="34"/>
      <c r="Q3117" s="60"/>
      <c r="R3117" s="36"/>
      <c r="S3117" s="71"/>
      <c r="T3117" s="37"/>
      <c r="U3117" s="118"/>
      <c r="V3117" s="74"/>
      <c r="W3117" s="74"/>
      <c r="X3117" s="35"/>
      <c r="Y3117" s="35"/>
      <c r="Z3117" s="40"/>
      <c r="AA3117" s="34"/>
      <c r="AB3117" s="41"/>
      <c r="AC3117" s="42" t="b">
        <v>0</v>
      </c>
      <c r="AD3117" s="66"/>
      <c r="AE3117" s="42"/>
      <c r="AF3117" s="42"/>
      <c r="AG3117" s="43"/>
    </row>
    <row r="3118">
      <c r="A3118" s="23"/>
      <c r="B3118" s="101"/>
      <c r="C3118" s="115"/>
      <c r="D3118" s="115"/>
      <c r="E3118" s="85"/>
      <c r="F3118" s="138"/>
      <c r="G3118" s="101"/>
      <c r="H3118" s="105"/>
      <c r="I3118" s="105"/>
      <c r="J3118" s="44"/>
      <c r="K3118" s="116"/>
      <c r="L3118" s="117"/>
      <c r="M3118" s="67"/>
      <c r="N3118" s="33"/>
      <c r="O3118" s="70"/>
      <c r="P3118" s="34"/>
      <c r="Q3118" s="60"/>
      <c r="R3118" s="36"/>
      <c r="S3118" s="71"/>
      <c r="T3118" s="37"/>
      <c r="U3118" s="118"/>
      <c r="V3118" s="74"/>
      <c r="W3118" s="74"/>
      <c r="X3118" s="35"/>
      <c r="Y3118" s="35"/>
      <c r="Z3118" s="40"/>
      <c r="AA3118" s="34"/>
      <c r="AB3118" s="41"/>
      <c r="AC3118" s="42" t="b">
        <v>0</v>
      </c>
      <c r="AD3118" s="66"/>
      <c r="AE3118" s="42"/>
      <c r="AF3118" s="42"/>
      <c r="AG3118" s="43"/>
    </row>
    <row r="3119">
      <c r="A3119" s="23"/>
      <c r="B3119" s="101"/>
      <c r="C3119" s="115"/>
      <c r="D3119" s="115"/>
      <c r="E3119" s="85"/>
      <c r="F3119" s="138"/>
      <c r="G3119" s="101"/>
      <c r="H3119" s="105"/>
      <c r="I3119" s="105"/>
      <c r="J3119" s="44"/>
      <c r="K3119" s="116"/>
      <c r="L3119" s="117"/>
      <c r="M3119" s="67"/>
      <c r="N3119" s="33"/>
      <c r="O3119" s="70"/>
      <c r="P3119" s="34"/>
      <c r="Q3119" s="60"/>
      <c r="R3119" s="36"/>
      <c r="S3119" s="71"/>
      <c r="T3119" s="37"/>
      <c r="U3119" s="118"/>
      <c r="V3119" s="74"/>
      <c r="W3119" s="74"/>
      <c r="X3119" s="35"/>
      <c r="Y3119" s="35"/>
      <c r="Z3119" s="40"/>
      <c r="AA3119" s="34"/>
      <c r="AB3119" s="41"/>
      <c r="AC3119" s="42" t="b">
        <v>0</v>
      </c>
      <c r="AD3119" s="66"/>
      <c r="AE3119" s="42"/>
      <c r="AF3119" s="42"/>
      <c r="AG3119" s="43"/>
    </row>
    <row r="3120">
      <c r="A3120" s="23"/>
      <c r="B3120" s="101"/>
      <c r="C3120" s="115"/>
      <c r="D3120" s="115"/>
      <c r="E3120" s="85"/>
      <c r="F3120" s="138"/>
      <c r="G3120" s="101"/>
      <c r="H3120" s="105"/>
      <c r="I3120" s="105"/>
      <c r="J3120" s="44"/>
      <c r="K3120" s="116"/>
      <c r="L3120" s="117"/>
      <c r="M3120" s="67"/>
      <c r="N3120" s="33"/>
      <c r="O3120" s="70"/>
      <c r="P3120" s="34"/>
      <c r="Q3120" s="60"/>
      <c r="R3120" s="36"/>
      <c r="S3120" s="71"/>
      <c r="T3120" s="37"/>
      <c r="U3120" s="118"/>
      <c r="V3120" s="74"/>
      <c r="W3120" s="74"/>
      <c r="X3120" s="35"/>
      <c r="Y3120" s="35"/>
      <c r="Z3120" s="40"/>
      <c r="AA3120" s="34"/>
      <c r="AB3120" s="41"/>
      <c r="AC3120" s="42" t="b">
        <v>0</v>
      </c>
      <c r="AD3120" s="66"/>
      <c r="AE3120" s="42"/>
      <c r="AF3120" s="42"/>
      <c r="AG3120" s="43"/>
    </row>
    <row r="3121">
      <c r="A3121" s="23"/>
      <c r="B3121" s="101"/>
      <c r="C3121" s="115"/>
      <c r="D3121" s="115"/>
      <c r="E3121" s="85"/>
      <c r="F3121" s="138"/>
      <c r="G3121" s="101"/>
      <c r="H3121" s="105"/>
      <c r="I3121" s="105"/>
      <c r="J3121" s="44"/>
      <c r="K3121" s="116"/>
      <c r="L3121" s="117"/>
      <c r="M3121" s="67"/>
      <c r="N3121" s="33"/>
      <c r="O3121" s="70"/>
      <c r="P3121" s="34"/>
      <c r="Q3121" s="60"/>
      <c r="R3121" s="36"/>
      <c r="S3121" s="71"/>
      <c r="T3121" s="37"/>
      <c r="U3121" s="118"/>
      <c r="V3121" s="74"/>
      <c r="W3121" s="74"/>
      <c r="X3121" s="35"/>
      <c r="Y3121" s="35"/>
      <c r="Z3121" s="40"/>
      <c r="AA3121" s="34"/>
      <c r="AB3121" s="41"/>
      <c r="AC3121" s="42" t="b">
        <v>0</v>
      </c>
      <c r="AD3121" s="66"/>
      <c r="AE3121" s="42"/>
      <c r="AF3121" s="42"/>
      <c r="AG3121" s="43"/>
    </row>
    <row r="3122">
      <c r="A3122" s="23"/>
      <c r="B3122" s="101"/>
      <c r="C3122" s="115"/>
      <c r="D3122" s="115"/>
      <c r="E3122" s="85"/>
      <c r="F3122" s="138"/>
      <c r="G3122" s="101"/>
      <c r="H3122" s="105"/>
      <c r="I3122" s="105"/>
      <c r="J3122" s="44"/>
      <c r="K3122" s="116"/>
      <c r="L3122" s="117"/>
      <c r="M3122" s="67"/>
      <c r="N3122" s="33"/>
      <c r="O3122" s="70"/>
      <c r="P3122" s="34"/>
      <c r="Q3122" s="60"/>
      <c r="R3122" s="36"/>
      <c r="S3122" s="71"/>
      <c r="T3122" s="37"/>
      <c r="U3122" s="118"/>
      <c r="V3122" s="74"/>
      <c r="W3122" s="74"/>
      <c r="X3122" s="35"/>
      <c r="Y3122" s="35"/>
      <c r="Z3122" s="40"/>
      <c r="AA3122" s="34"/>
      <c r="AB3122" s="41"/>
      <c r="AC3122" s="42" t="b">
        <v>0</v>
      </c>
      <c r="AD3122" s="66"/>
      <c r="AE3122" s="42"/>
      <c r="AF3122" s="42"/>
      <c r="AG3122" s="43"/>
    </row>
    <row r="3123">
      <c r="A3123" s="23"/>
      <c r="B3123" s="101"/>
      <c r="C3123" s="115"/>
      <c r="D3123" s="115"/>
      <c r="E3123" s="85"/>
      <c r="F3123" s="138"/>
      <c r="G3123" s="101"/>
      <c r="H3123" s="105"/>
      <c r="I3123" s="105"/>
      <c r="J3123" s="44"/>
      <c r="K3123" s="116"/>
      <c r="L3123" s="117"/>
      <c r="M3123" s="67"/>
      <c r="N3123" s="33"/>
      <c r="O3123" s="70"/>
      <c r="P3123" s="34"/>
      <c r="Q3123" s="60"/>
      <c r="R3123" s="36"/>
      <c r="S3123" s="71"/>
      <c r="T3123" s="37"/>
      <c r="U3123" s="118"/>
      <c r="V3123" s="74"/>
      <c r="W3123" s="74"/>
      <c r="X3123" s="35"/>
      <c r="Y3123" s="35"/>
      <c r="Z3123" s="40"/>
      <c r="AA3123" s="34"/>
      <c r="AB3123" s="41"/>
      <c r="AC3123" s="42" t="b">
        <v>0</v>
      </c>
      <c r="AD3123" s="66"/>
      <c r="AE3123" s="42"/>
      <c r="AF3123" s="42"/>
      <c r="AG3123" s="43"/>
    </row>
    <row r="3124">
      <c r="A3124" s="23"/>
      <c r="B3124" s="101"/>
      <c r="C3124" s="115"/>
      <c r="D3124" s="115"/>
      <c r="E3124" s="85"/>
      <c r="F3124" s="138"/>
      <c r="G3124" s="101"/>
      <c r="H3124" s="105"/>
      <c r="I3124" s="105"/>
      <c r="J3124" s="44"/>
      <c r="K3124" s="116"/>
      <c r="L3124" s="117"/>
      <c r="M3124" s="67"/>
      <c r="N3124" s="33"/>
      <c r="O3124" s="70"/>
      <c r="P3124" s="34"/>
      <c r="Q3124" s="60"/>
      <c r="R3124" s="36"/>
      <c r="S3124" s="71"/>
      <c r="T3124" s="37"/>
      <c r="U3124" s="118"/>
      <c r="V3124" s="74"/>
      <c r="W3124" s="74"/>
      <c r="X3124" s="35"/>
      <c r="Y3124" s="35"/>
      <c r="Z3124" s="40"/>
      <c r="AA3124" s="34"/>
      <c r="AB3124" s="41"/>
      <c r="AC3124" s="42" t="b">
        <v>0</v>
      </c>
      <c r="AD3124" s="66"/>
      <c r="AE3124" s="42"/>
      <c r="AF3124" s="42"/>
      <c r="AG3124" s="43"/>
    </row>
    <row r="3125">
      <c r="A3125" s="23"/>
      <c r="B3125" s="101"/>
      <c r="C3125" s="115"/>
      <c r="D3125" s="115"/>
      <c r="E3125" s="85"/>
      <c r="F3125" s="138"/>
      <c r="G3125" s="101"/>
      <c r="H3125" s="105"/>
      <c r="I3125" s="105"/>
      <c r="J3125" s="44"/>
      <c r="K3125" s="116"/>
      <c r="L3125" s="117"/>
      <c r="M3125" s="67"/>
      <c r="N3125" s="33"/>
      <c r="O3125" s="70"/>
      <c r="P3125" s="34"/>
      <c r="Q3125" s="60"/>
      <c r="R3125" s="36"/>
      <c r="S3125" s="71"/>
      <c r="T3125" s="37"/>
      <c r="U3125" s="118"/>
      <c r="V3125" s="74"/>
      <c r="W3125" s="74"/>
      <c r="X3125" s="35"/>
      <c r="Y3125" s="35"/>
      <c r="Z3125" s="40"/>
      <c r="AA3125" s="34"/>
      <c r="AB3125" s="41"/>
      <c r="AC3125" s="42" t="b">
        <v>0</v>
      </c>
      <c r="AD3125" s="66"/>
      <c r="AE3125" s="42"/>
      <c r="AF3125" s="42"/>
      <c r="AG3125" s="43"/>
    </row>
    <row r="3126">
      <c r="A3126" s="23"/>
      <c r="B3126" s="101"/>
      <c r="C3126" s="115"/>
      <c r="D3126" s="115"/>
      <c r="E3126" s="85"/>
      <c r="F3126" s="138"/>
      <c r="G3126" s="101"/>
      <c r="H3126" s="105"/>
      <c r="I3126" s="105"/>
      <c r="J3126" s="44"/>
      <c r="K3126" s="116"/>
      <c r="L3126" s="117"/>
      <c r="M3126" s="67"/>
      <c r="N3126" s="33"/>
      <c r="O3126" s="70"/>
      <c r="P3126" s="34"/>
      <c r="Q3126" s="60"/>
      <c r="R3126" s="36"/>
      <c r="S3126" s="71"/>
      <c r="T3126" s="37"/>
      <c r="U3126" s="118"/>
      <c r="V3126" s="74"/>
      <c r="W3126" s="74"/>
      <c r="X3126" s="35"/>
      <c r="Y3126" s="35"/>
      <c r="Z3126" s="40"/>
      <c r="AA3126" s="34"/>
      <c r="AB3126" s="41"/>
      <c r="AC3126" s="42" t="b">
        <v>0</v>
      </c>
      <c r="AD3126" s="66"/>
      <c r="AE3126" s="42"/>
      <c r="AF3126" s="42"/>
      <c r="AG3126" s="43"/>
    </row>
    <row r="3127">
      <c r="A3127" s="23"/>
      <c r="B3127" s="101"/>
      <c r="C3127" s="115"/>
      <c r="D3127" s="115"/>
      <c r="E3127" s="85"/>
      <c r="F3127" s="138"/>
      <c r="G3127" s="101"/>
      <c r="H3127" s="105"/>
      <c r="I3127" s="105"/>
      <c r="J3127" s="44"/>
      <c r="K3127" s="116"/>
      <c r="L3127" s="117"/>
      <c r="M3127" s="67"/>
      <c r="N3127" s="33"/>
      <c r="O3127" s="70"/>
      <c r="P3127" s="34"/>
      <c r="Q3127" s="60"/>
      <c r="R3127" s="36"/>
      <c r="S3127" s="71"/>
      <c r="T3127" s="37"/>
      <c r="U3127" s="118"/>
      <c r="V3127" s="74"/>
      <c r="W3127" s="74"/>
      <c r="X3127" s="35"/>
      <c r="Y3127" s="35"/>
      <c r="Z3127" s="40"/>
      <c r="AA3127" s="34"/>
      <c r="AB3127" s="41"/>
      <c r="AC3127" s="42" t="b">
        <v>0</v>
      </c>
      <c r="AD3127" s="66"/>
      <c r="AE3127" s="42"/>
      <c r="AF3127" s="42"/>
      <c r="AG3127" s="43"/>
    </row>
    <row r="3128">
      <c r="A3128" s="23"/>
      <c r="B3128" s="101"/>
      <c r="C3128" s="115"/>
      <c r="D3128" s="115"/>
      <c r="E3128" s="85"/>
      <c r="F3128" s="138"/>
      <c r="G3128" s="101"/>
      <c r="H3128" s="105"/>
      <c r="I3128" s="105"/>
      <c r="J3128" s="44"/>
      <c r="K3128" s="116"/>
      <c r="L3128" s="117"/>
      <c r="M3128" s="67"/>
      <c r="N3128" s="33"/>
      <c r="O3128" s="70"/>
      <c r="P3128" s="34"/>
      <c r="Q3128" s="60"/>
      <c r="R3128" s="36"/>
      <c r="S3128" s="71"/>
      <c r="T3128" s="37"/>
      <c r="U3128" s="118"/>
      <c r="V3128" s="74"/>
      <c r="W3128" s="74"/>
      <c r="X3128" s="35"/>
      <c r="Y3128" s="35"/>
      <c r="Z3128" s="40"/>
      <c r="AA3128" s="34"/>
      <c r="AB3128" s="41"/>
      <c r="AC3128" s="42" t="b">
        <v>0</v>
      </c>
      <c r="AD3128" s="66"/>
      <c r="AE3128" s="42"/>
      <c r="AF3128" s="42"/>
      <c r="AG3128" s="43"/>
    </row>
    <row r="3129">
      <c r="A3129" s="23"/>
      <c r="B3129" s="101"/>
      <c r="C3129" s="115"/>
      <c r="D3129" s="115"/>
      <c r="E3129" s="85"/>
      <c r="F3129" s="138"/>
      <c r="G3129" s="101"/>
      <c r="H3129" s="105"/>
      <c r="I3129" s="105"/>
      <c r="J3129" s="44"/>
      <c r="K3129" s="116"/>
      <c r="L3129" s="117"/>
      <c r="M3129" s="67"/>
      <c r="N3129" s="33"/>
      <c r="O3129" s="70"/>
      <c r="P3129" s="34"/>
      <c r="Q3129" s="60"/>
      <c r="R3129" s="36"/>
      <c r="S3129" s="71"/>
      <c r="T3129" s="37"/>
      <c r="U3129" s="118"/>
      <c r="V3129" s="74"/>
      <c r="W3129" s="74"/>
      <c r="X3129" s="35"/>
      <c r="Y3129" s="35"/>
      <c r="Z3129" s="40"/>
      <c r="AA3129" s="34"/>
      <c r="AB3129" s="41"/>
      <c r="AC3129" s="42" t="b">
        <v>0</v>
      </c>
      <c r="AD3129" s="66"/>
      <c r="AE3129" s="42"/>
      <c r="AF3129" s="42"/>
      <c r="AG3129" s="43"/>
    </row>
    <row r="3130">
      <c r="A3130" s="23"/>
      <c r="B3130" s="101"/>
      <c r="C3130" s="115"/>
      <c r="D3130" s="115"/>
      <c r="E3130" s="85"/>
      <c r="F3130" s="138"/>
      <c r="G3130" s="101"/>
      <c r="H3130" s="105"/>
      <c r="I3130" s="105"/>
      <c r="J3130" s="44"/>
      <c r="K3130" s="116"/>
      <c r="L3130" s="117"/>
      <c r="M3130" s="67"/>
      <c r="N3130" s="33"/>
      <c r="O3130" s="70"/>
      <c r="P3130" s="34"/>
      <c r="Q3130" s="60"/>
      <c r="R3130" s="36"/>
      <c r="S3130" s="71"/>
      <c r="T3130" s="37"/>
      <c r="U3130" s="118"/>
      <c r="V3130" s="74"/>
      <c r="W3130" s="74"/>
      <c r="X3130" s="35"/>
      <c r="Y3130" s="35"/>
      <c r="Z3130" s="40"/>
      <c r="AA3130" s="34"/>
      <c r="AB3130" s="41"/>
      <c r="AC3130" s="42" t="b">
        <v>0</v>
      </c>
      <c r="AD3130" s="66"/>
      <c r="AE3130" s="42"/>
      <c r="AF3130" s="42"/>
      <c r="AG3130" s="43"/>
    </row>
    <row r="3131">
      <c r="A3131" s="23"/>
      <c r="B3131" s="101"/>
      <c r="C3131" s="115"/>
      <c r="D3131" s="115"/>
      <c r="E3131" s="85"/>
      <c r="F3131" s="138"/>
      <c r="G3131" s="101"/>
      <c r="H3131" s="105"/>
      <c r="I3131" s="105"/>
      <c r="J3131" s="44"/>
      <c r="K3131" s="116"/>
      <c r="L3131" s="117"/>
      <c r="M3131" s="67"/>
      <c r="N3131" s="33"/>
      <c r="O3131" s="70"/>
      <c r="P3131" s="34"/>
      <c r="Q3131" s="60"/>
      <c r="R3131" s="36"/>
      <c r="S3131" s="71"/>
      <c r="T3131" s="37"/>
      <c r="U3131" s="118"/>
      <c r="V3131" s="74"/>
      <c r="W3131" s="74"/>
      <c r="X3131" s="35"/>
      <c r="Y3131" s="35"/>
      <c r="Z3131" s="40"/>
      <c r="AA3131" s="34"/>
      <c r="AB3131" s="41"/>
      <c r="AC3131" s="42" t="b">
        <v>0</v>
      </c>
      <c r="AD3131" s="66"/>
      <c r="AE3131" s="42"/>
      <c r="AF3131" s="42"/>
      <c r="AG3131" s="43"/>
    </row>
    <row r="3132">
      <c r="A3132" s="23"/>
      <c r="B3132" s="101"/>
      <c r="C3132" s="115"/>
      <c r="D3132" s="115"/>
      <c r="E3132" s="85"/>
      <c r="F3132" s="138"/>
      <c r="G3132" s="101"/>
      <c r="H3132" s="105"/>
      <c r="I3132" s="105"/>
      <c r="J3132" s="44"/>
      <c r="K3132" s="116"/>
      <c r="L3132" s="117"/>
      <c r="M3132" s="67"/>
      <c r="N3132" s="33"/>
      <c r="O3132" s="70"/>
      <c r="P3132" s="34"/>
      <c r="Q3132" s="60"/>
      <c r="R3132" s="36"/>
      <c r="S3132" s="71"/>
      <c r="T3132" s="37"/>
      <c r="U3132" s="118"/>
      <c r="V3132" s="74"/>
      <c r="W3132" s="74"/>
      <c r="X3132" s="35"/>
      <c r="Y3132" s="35"/>
      <c r="Z3132" s="40"/>
      <c r="AA3132" s="34"/>
      <c r="AB3132" s="41"/>
      <c r="AC3132" s="42" t="b">
        <v>0</v>
      </c>
      <c r="AD3132" s="66"/>
      <c r="AE3132" s="42"/>
      <c r="AF3132" s="42"/>
      <c r="AG3132" s="43"/>
    </row>
    <row r="3133">
      <c r="A3133" s="23"/>
      <c r="B3133" s="101"/>
      <c r="C3133" s="115"/>
      <c r="D3133" s="115"/>
      <c r="E3133" s="85"/>
      <c r="F3133" s="138"/>
      <c r="G3133" s="101"/>
      <c r="H3133" s="105"/>
      <c r="I3133" s="105"/>
      <c r="J3133" s="44"/>
      <c r="K3133" s="116"/>
      <c r="L3133" s="117"/>
      <c r="M3133" s="67"/>
      <c r="N3133" s="33"/>
      <c r="O3133" s="70"/>
      <c r="P3133" s="34"/>
      <c r="Q3133" s="60"/>
      <c r="R3133" s="36"/>
      <c r="S3133" s="71"/>
      <c r="T3133" s="37"/>
      <c r="U3133" s="118"/>
      <c r="V3133" s="74"/>
      <c r="W3133" s="74"/>
      <c r="X3133" s="35"/>
      <c r="Y3133" s="35"/>
      <c r="Z3133" s="40"/>
      <c r="AA3133" s="34"/>
      <c r="AB3133" s="41"/>
      <c r="AC3133" s="42" t="b">
        <v>0</v>
      </c>
      <c r="AD3133" s="66"/>
      <c r="AE3133" s="42"/>
      <c r="AF3133" s="42"/>
      <c r="AG3133" s="43"/>
    </row>
    <row r="3134">
      <c r="A3134" s="23"/>
      <c r="B3134" s="101"/>
      <c r="C3134" s="115"/>
      <c r="D3134" s="115"/>
      <c r="E3134" s="85"/>
      <c r="F3134" s="138"/>
      <c r="G3134" s="101"/>
      <c r="H3134" s="105"/>
      <c r="I3134" s="105"/>
      <c r="J3134" s="44"/>
      <c r="K3134" s="116"/>
      <c r="L3134" s="117"/>
      <c r="M3134" s="67"/>
      <c r="N3134" s="33"/>
      <c r="O3134" s="70"/>
      <c r="P3134" s="34"/>
      <c r="Q3134" s="60"/>
      <c r="R3134" s="36"/>
      <c r="S3134" s="71"/>
      <c r="T3134" s="37"/>
      <c r="U3134" s="118"/>
      <c r="V3134" s="74"/>
      <c r="W3134" s="74"/>
      <c r="X3134" s="35"/>
      <c r="Y3134" s="35"/>
      <c r="Z3134" s="40"/>
      <c r="AA3134" s="34"/>
      <c r="AB3134" s="41"/>
      <c r="AC3134" s="42" t="b">
        <v>0</v>
      </c>
      <c r="AD3134" s="66"/>
      <c r="AE3134" s="42"/>
      <c r="AF3134" s="42"/>
      <c r="AG3134" s="43"/>
    </row>
    <row r="3135">
      <c r="A3135" s="23"/>
      <c r="B3135" s="101"/>
      <c r="C3135" s="115"/>
      <c r="D3135" s="115"/>
      <c r="E3135" s="85"/>
      <c r="F3135" s="138"/>
      <c r="G3135" s="101"/>
      <c r="H3135" s="105"/>
      <c r="I3135" s="105"/>
      <c r="J3135" s="44"/>
      <c r="K3135" s="116"/>
      <c r="L3135" s="117"/>
      <c r="M3135" s="67"/>
      <c r="N3135" s="33"/>
      <c r="O3135" s="70"/>
      <c r="P3135" s="34"/>
      <c r="Q3135" s="60"/>
      <c r="R3135" s="36"/>
      <c r="S3135" s="71"/>
      <c r="T3135" s="37"/>
      <c r="U3135" s="118"/>
      <c r="V3135" s="74"/>
      <c r="W3135" s="74"/>
      <c r="X3135" s="35"/>
      <c r="Y3135" s="35"/>
      <c r="Z3135" s="40"/>
      <c r="AA3135" s="34"/>
      <c r="AB3135" s="41"/>
      <c r="AC3135" s="42" t="b">
        <v>0</v>
      </c>
      <c r="AD3135" s="66"/>
      <c r="AE3135" s="42"/>
      <c r="AF3135" s="42"/>
      <c r="AG3135" s="43"/>
    </row>
    <row r="3136">
      <c r="A3136" s="23"/>
      <c r="B3136" s="101"/>
      <c r="C3136" s="115"/>
      <c r="D3136" s="115"/>
      <c r="E3136" s="85"/>
      <c r="F3136" s="138"/>
      <c r="G3136" s="101"/>
      <c r="H3136" s="105"/>
      <c r="I3136" s="105"/>
      <c r="J3136" s="44"/>
      <c r="K3136" s="116"/>
      <c r="L3136" s="117"/>
      <c r="M3136" s="67"/>
      <c r="N3136" s="33"/>
      <c r="O3136" s="70"/>
      <c r="P3136" s="34"/>
      <c r="Q3136" s="60"/>
      <c r="R3136" s="36"/>
      <c r="S3136" s="71"/>
      <c r="T3136" s="37"/>
      <c r="U3136" s="118"/>
      <c r="V3136" s="74"/>
      <c r="W3136" s="74"/>
      <c r="X3136" s="35"/>
      <c r="Y3136" s="35"/>
      <c r="Z3136" s="40"/>
      <c r="AA3136" s="34"/>
      <c r="AB3136" s="41"/>
      <c r="AC3136" s="42" t="b">
        <v>0</v>
      </c>
      <c r="AD3136" s="66"/>
      <c r="AE3136" s="42"/>
      <c r="AF3136" s="42"/>
      <c r="AG3136" s="43"/>
    </row>
    <row r="3137">
      <c r="A3137" s="23"/>
      <c r="B3137" s="101"/>
      <c r="C3137" s="115"/>
      <c r="D3137" s="115"/>
      <c r="E3137" s="85"/>
      <c r="F3137" s="138"/>
      <c r="G3137" s="101"/>
      <c r="H3137" s="105"/>
      <c r="I3137" s="105"/>
      <c r="J3137" s="44"/>
      <c r="K3137" s="116"/>
      <c r="L3137" s="117"/>
      <c r="M3137" s="67"/>
      <c r="N3137" s="33"/>
      <c r="O3137" s="70"/>
      <c r="P3137" s="34"/>
      <c r="Q3137" s="60"/>
      <c r="R3137" s="36"/>
      <c r="S3137" s="71"/>
      <c r="T3137" s="37"/>
      <c r="U3137" s="118"/>
      <c r="V3137" s="74"/>
      <c r="W3137" s="74"/>
      <c r="X3137" s="35"/>
      <c r="Y3137" s="35"/>
      <c r="Z3137" s="40"/>
      <c r="AA3137" s="34"/>
      <c r="AB3137" s="41"/>
      <c r="AC3137" s="42" t="b">
        <v>0</v>
      </c>
      <c r="AD3137" s="66"/>
      <c r="AE3137" s="42"/>
      <c r="AF3137" s="42"/>
      <c r="AG3137" s="43"/>
    </row>
    <row r="3138">
      <c r="A3138" s="23"/>
      <c r="B3138" s="101"/>
      <c r="C3138" s="115"/>
      <c r="D3138" s="115"/>
      <c r="E3138" s="85"/>
      <c r="F3138" s="138"/>
      <c r="G3138" s="101"/>
      <c r="H3138" s="105"/>
      <c r="I3138" s="105"/>
      <c r="J3138" s="44"/>
      <c r="K3138" s="116"/>
      <c r="L3138" s="117"/>
      <c r="M3138" s="67"/>
      <c r="N3138" s="33"/>
      <c r="O3138" s="70"/>
      <c r="P3138" s="34"/>
      <c r="Q3138" s="60"/>
      <c r="R3138" s="36"/>
      <c r="S3138" s="71"/>
      <c r="T3138" s="37"/>
      <c r="U3138" s="118"/>
      <c r="V3138" s="74"/>
      <c r="W3138" s="74"/>
      <c r="X3138" s="35"/>
      <c r="Y3138" s="35"/>
      <c r="Z3138" s="40"/>
      <c r="AA3138" s="34"/>
      <c r="AB3138" s="41"/>
      <c r="AC3138" s="42" t="b">
        <v>0</v>
      </c>
      <c r="AD3138" s="66"/>
      <c r="AE3138" s="42"/>
      <c r="AF3138" s="42"/>
      <c r="AG3138" s="43"/>
    </row>
    <row r="3139">
      <c r="A3139" s="23"/>
      <c r="B3139" s="101"/>
      <c r="C3139" s="115"/>
      <c r="D3139" s="115"/>
      <c r="E3139" s="85"/>
      <c r="F3139" s="138"/>
      <c r="G3139" s="101"/>
      <c r="H3139" s="105"/>
      <c r="I3139" s="105"/>
      <c r="J3139" s="44"/>
      <c r="K3139" s="116"/>
      <c r="L3139" s="117"/>
      <c r="M3139" s="67"/>
      <c r="N3139" s="33"/>
      <c r="O3139" s="70"/>
      <c r="P3139" s="34"/>
      <c r="Q3139" s="60"/>
      <c r="R3139" s="36"/>
      <c r="S3139" s="71"/>
      <c r="T3139" s="37"/>
      <c r="U3139" s="118"/>
      <c r="V3139" s="74"/>
      <c r="W3139" s="74"/>
      <c r="X3139" s="35"/>
      <c r="Y3139" s="35"/>
      <c r="Z3139" s="40"/>
      <c r="AA3139" s="34"/>
      <c r="AB3139" s="41"/>
      <c r="AC3139" s="42" t="b">
        <v>0</v>
      </c>
      <c r="AD3139" s="66"/>
      <c r="AE3139" s="42"/>
      <c r="AF3139" s="42"/>
      <c r="AG3139" s="43"/>
    </row>
    <row r="3140">
      <c r="A3140" s="23"/>
      <c r="B3140" s="101"/>
      <c r="C3140" s="115"/>
      <c r="D3140" s="115"/>
      <c r="E3140" s="85"/>
      <c r="F3140" s="138"/>
      <c r="G3140" s="101"/>
      <c r="H3140" s="105"/>
      <c r="I3140" s="105"/>
      <c r="J3140" s="44"/>
      <c r="K3140" s="116"/>
      <c r="L3140" s="117"/>
      <c r="M3140" s="67"/>
      <c r="N3140" s="33"/>
      <c r="O3140" s="70"/>
      <c r="P3140" s="34"/>
      <c r="Q3140" s="60"/>
      <c r="R3140" s="36"/>
      <c r="S3140" s="71"/>
      <c r="T3140" s="37"/>
      <c r="U3140" s="118"/>
      <c r="V3140" s="74"/>
      <c r="W3140" s="74"/>
      <c r="X3140" s="35"/>
      <c r="Y3140" s="35"/>
      <c r="Z3140" s="40"/>
      <c r="AA3140" s="34"/>
      <c r="AB3140" s="41"/>
      <c r="AC3140" s="42" t="b">
        <v>0</v>
      </c>
      <c r="AD3140" s="66"/>
      <c r="AE3140" s="42"/>
      <c r="AF3140" s="42"/>
      <c r="AG3140" s="43"/>
    </row>
    <row r="3141">
      <c r="A3141" s="23"/>
      <c r="B3141" s="101"/>
      <c r="C3141" s="115"/>
      <c r="D3141" s="115"/>
      <c r="E3141" s="85"/>
      <c r="F3141" s="138"/>
      <c r="G3141" s="101"/>
      <c r="H3141" s="105"/>
      <c r="I3141" s="105"/>
      <c r="J3141" s="44"/>
      <c r="K3141" s="116"/>
      <c r="L3141" s="117"/>
      <c r="M3141" s="67"/>
      <c r="N3141" s="33"/>
      <c r="O3141" s="70"/>
      <c r="P3141" s="34"/>
      <c r="Q3141" s="60"/>
      <c r="R3141" s="36"/>
      <c r="S3141" s="71"/>
      <c r="T3141" s="37"/>
      <c r="U3141" s="118"/>
      <c r="V3141" s="74"/>
      <c r="W3141" s="74"/>
      <c r="X3141" s="35"/>
      <c r="Y3141" s="35"/>
      <c r="Z3141" s="40"/>
      <c r="AA3141" s="34"/>
      <c r="AB3141" s="41"/>
      <c r="AC3141" s="42" t="b">
        <v>0</v>
      </c>
      <c r="AD3141" s="66"/>
      <c r="AE3141" s="42"/>
      <c r="AF3141" s="42"/>
      <c r="AG3141" s="43"/>
    </row>
    <row r="3142">
      <c r="A3142" s="23"/>
      <c r="B3142" s="101"/>
      <c r="C3142" s="115"/>
      <c r="D3142" s="115"/>
      <c r="E3142" s="85"/>
      <c r="F3142" s="138"/>
      <c r="G3142" s="101"/>
      <c r="H3142" s="105"/>
      <c r="I3142" s="105"/>
      <c r="J3142" s="44"/>
      <c r="K3142" s="116"/>
      <c r="L3142" s="117"/>
      <c r="M3142" s="67"/>
      <c r="N3142" s="33"/>
      <c r="O3142" s="70"/>
      <c r="P3142" s="34"/>
      <c r="Q3142" s="60"/>
      <c r="R3142" s="36"/>
      <c r="S3142" s="71"/>
      <c r="T3142" s="37"/>
      <c r="U3142" s="118"/>
      <c r="V3142" s="74"/>
      <c r="W3142" s="74"/>
      <c r="X3142" s="35"/>
      <c r="Y3142" s="35"/>
      <c r="Z3142" s="40"/>
      <c r="AA3142" s="34"/>
      <c r="AB3142" s="41"/>
      <c r="AC3142" s="42" t="b">
        <v>0</v>
      </c>
      <c r="AD3142" s="66"/>
      <c r="AE3142" s="42"/>
      <c r="AF3142" s="42"/>
      <c r="AG3142" s="43"/>
    </row>
    <row r="3143">
      <c r="A3143" s="23"/>
      <c r="B3143" s="101"/>
      <c r="C3143" s="115"/>
      <c r="D3143" s="115"/>
      <c r="E3143" s="85"/>
      <c r="F3143" s="138"/>
      <c r="G3143" s="101"/>
      <c r="H3143" s="105"/>
      <c r="I3143" s="105"/>
      <c r="J3143" s="44"/>
      <c r="K3143" s="116"/>
      <c r="L3143" s="117"/>
      <c r="M3143" s="67"/>
      <c r="N3143" s="33"/>
      <c r="O3143" s="70"/>
      <c r="P3143" s="34"/>
      <c r="Q3143" s="60"/>
      <c r="R3143" s="36"/>
      <c r="S3143" s="71"/>
      <c r="T3143" s="37"/>
      <c r="U3143" s="118"/>
      <c r="V3143" s="74"/>
      <c r="W3143" s="74"/>
      <c r="X3143" s="35"/>
      <c r="Y3143" s="35"/>
      <c r="Z3143" s="40"/>
      <c r="AA3143" s="34"/>
      <c r="AB3143" s="41"/>
      <c r="AC3143" s="42" t="b">
        <v>0</v>
      </c>
      <c r="AD3143" s="66"/>
      <c r="AE3143" s="42"/>
      <c r="AF3143" s="42"/>
      <c r="AG3143" s="43"/>
    </row>
    <row r="3144">
      <c r="A3144" s="23"/>
      <c r="B3144" s="101"/>
      <c r="C3144" s="115"/>
      <c r="D3144" s="115"/>
      <c r="E3144" s="85"/>
      <c r="F3144" s="138"/>
      <c r="G3144" s="101"/>
      <c r="H3144" s="105"/>
      <c r="I3144" s="105"/>
      <c r="J3144" s="44"/>
      <c r="K3144" s="116"/>
      <c r="L3144" s="117"/>
      <c r="M3144" s="67"/>
      <c r="N3144" s="33"/>
      <c r="O3144" s="70"/>
      <c r="P3144" s="34"/>
      <c r="Q3144" s="60"/>
      <c r="R3144" s="36"/>
      <c r="S3144" s="71"/>
      <c r="T3144" s="37"/>
      <c r="U3144" s="118"/>
      <c r="V3144" s="74"/>
      <c r="W3144" s="74"/>
      <c r="X3144" s="35"/>
      <c r="Y3144" s="35"/>
      <c r="Z3144" s="40"/>
      <c r="AA3144" s="34"/>
      <c r="AB3144" s="41"/>
      <c r="AC3144" s="42" t="b">
        <v>0</v>
      </c>
      <c r="AD3144" s="66"/>
      <c r="AE3144" s="42"/>
      <c r="AF3144" s="42"/>
      <c r="AG3144" s="43"/>
    </row>
    <row r="3145">
      <c r="A3145" s="23"/>
      <c r="B3145" s="101"/>
      <c r="C3145" s="115"/>
      <c r="D3145" s="115"/>
      <c r="E3145" s="85"/>
      <c r="F3145" s="138"/>
      <c r="G3145" s="101"/>
      <c r="H3145" s="105"/>
      <c r="I3145" s="105"/>
      <c r="J3145" s="44"/>
      <c r="K3145" s="116"/>
      <c r="L3145" s="117"/>
      <c r="M3145" s="67"/>
      <c r="N3145" s="33"/>
      <c r="O3145" s="70"/>
      <c r="P3145" s="34"/>
      <c r="Q3145" s="60"/>
      <c r="R3145" s="36"/>
      <c r="S3145" s="71"/>
      <c r="T3145" s="37"/>
      <c r="U3145" s="118"/>
      <c r="V3145" s="74"/>
      <c r="W3145" s="74"/>
      <c r="X3145" s="35"/>
      <c r="Y3145" s="35"/>
      <c r="Z3145" s="40"/>
      <c r="AA3145" s="34"/>
      <c r="AB3145" s="41"/>
      <c r="AC3145" s="42" t="b">
        <v>0</v>
      </c>
      <c r="AD3145" s="66"/>
      <c r="AE3145" s="42"/>
      <c r="AF3145" s="42"/>
      <c r="AG3145" s="43"/>
    </row>
    <row r="3146">
      <c r="A3146" s="23"/>
      <c r="B3146" s="101"/>
      <c r="C3146" s="115"/>
      <c r="D3146" s="115"/>
      <c r="E3146" s="85"/>
      <c r="F3146" s="138"/>
      <c r="G3146" s="101"/>
      <c r="H3146" s="105"/>
      <c r="I3146" s="105"/>
      <c r="J3146" s="44"/>
      <c r="K3146" s="116"/>
      <c r="L3146" s="117"/>
      <c r="M3146" s="67"/>
      <c r="N3146" s="33"/>
      <c r="O3146" s="70"/>
      <c r="P3146" s="34"/>
      <c r="Q3146" s="60"/>
      <c r="R3146" s="36"/>
      <c r="S3146" s="71"/>
      <c r="T3146" s="37"/>
      <c r="U3146" s="118"/>
      <c r="V3146" s="74"/>
      <c r="W3146" s="74"/>
      <c r="X3146" s="35"/>
      <c r="Y3146" s="35"/>
      <c r="Z3146" s="40"/>
      <c r="AA3146" s="34"/>
      <c r="AB3146" s="41"/>
      <c r="AC3146" s="42" t="b">
        <v>0</v>
      </c>
      <c r="AD3146" s="66"/>
      <c r="AE3146" s="42"/>
      <c r="AF3146" s="42"/>
      <c r="AG3146" s="43"/>
    </row>
    <row r="3147">
      <c r="A3147" s="23"/>
      <c r="B3147" s="101"/>
      <c r="C3147" s="115"/>
      <c r="D3147" s="115"/>
      <c r="E3147" s="85"/>
      <c r="F3147" s="138"/>
      <c r="G3147" s="101"/>
      <c r="H3147" s="105"/>
      <c r="I3147" s="105"/>
      <c r="J3147" s="44"/>
      <c r="K3147" s="116"/>
      <c r="L3147" s="117"/>
      <c r="M3147" s="67"/>
      <c r="N3147" s="33"/>
      <c r="O3147" s="70"/>
      <c r="P3147" s="34"/>
      <c r="Q3147" s="60"/>
      <c r="R3147" s="36"/>
      <c r="S3147" s="71"/>
      <c r="T3147" s="37"/>
      <c r="U3147" s="118"/>
      <c r="V3147" s="74"/>
      <c r="W3147" s="74"/>
      <c r="X3147" s="35"/>
      <c r="Y3147" s="35"/>
      <c r="Z3147" s="40"/>
      <c r="AA3147" s="34"/>
      <c r="AB3147" s="41"/>
      <c r="AC3147" s="42" t="b">
        <v>0</v>
      </c>
      <c r="AD3147" s="66"/>
      <c r="AE3147" s="42"/>
      <c r="AF3147" s="42"/>
      <c r="AG3147" s="43"/>
    </row>
    <row r="3148">
      <c r="A3148" s="23"/>
      <c r="B3148" s="101"/>
      <c r="C3148" s="115"/>
      <c r="D3148" s="115"/>
      <c r="E3148" s="85"/>
      <c r="F3148" s="138"/>
      <c r="G3148" s="101"/>
      <c r="H3148" s="105"/>
      <c r="I3148" s="105"/>
      <c r="J3148" s="44"/>
      <c r="K3148" s="116"/>
      <c r="L3148" s="117"/>
      <c r="M3148" s="67"/>
      <c r="N3148" s="33"/>
      <c r="O3148" s="70"/>
      <c r="P3148" s="34"/>
      <c r="Q3148" s="60"/>
      <c r="R3148" s="36"/>
      <c r="S3148" s="71"/>
      <c r="T3148" s="37"/>
      <c r="U3148" s="118"/>
      <c r="V3148" s="74"/>
      <c r="W3148" s="74"/>
      <c r="X3148" s="35"/>
      <c r="Y3148" s="35"/>
      <c r="Z3148" s="40"/>
      <c r="AA3148" s="34"/>
      <c r="AB3148" s="41"/>
      <c r="AC3148" s="42" t="b">
        <v>0</v>
      </c>
      <c r="AD3148" s="66"/>
      <c r="AE3148" s="42"/>
      <c r="AF3148" s="42"/>
      <c r="AG3148" s="43"/>
    </row>
    <row r="3149">
      <c r="A3149" s="23"/>
      <c r="B3149" s="101"/>
      <c r="C3149" s="115"/>
      <c r="D3149" s="115"/>
      <c r="E3149" s="85"/>
      <c r="F3149" s="138"/>
      <c r="G3149" s="101"/>
      <c r="H3149" s="105"/>
      <c r="I3149" s="105"/>
      <c r="J3149" s="44"/>
      <c r="K3149" s="116"/>
      <c r="L3149" s="117"/>
      <c r="M3149" s="67"/>
      <c r="N3149" s="33"/>
      <c r="O3149" s="70"/>
      <c r="P3149" s="34"/>
      <c r="Q3149" s="60"/>
      <c r="R3149" s="36"/>
      <c r="S3149" s="71"/>
      <c r="T3149" s="37"/>
      <c r="U3149" s="118"/>
      <c r="V3149" s="74"/>
      <c r="W3149" s="74"/>
      <c r="X3149" s="35"/>
      <c r="Y3149" s="35"/>
      <c r="Z3149" s="40"/>
      <c r="AA3149" s="34"/>
      <c r="AB3149" s="41"/>
      <c r="AC3149" s="42" t="b">
        <v>0</v>
      </c>
      <c r="AD3149" s="66"/>
      <c r="AE3149" s="42"/>
      <c r="AF3149" s="42"/>
      <c r="AG3149" s="43"/>
    </row>
    <row r="3150">
      <c r="A3150" s="23"/>
      <c r="B3150" s="101"/>
      <c r="C3150" s="115"/>
      <c r="D3150" s="115"/>
      <c r="E3150" s="85"/>
      <c r="F3150" s="138"/>
      <c r="G3150" s="101"/>
      <c r="H3150" s="105"/>
      <c r="I3150" s="105"/>
      <c r="J3150" s="44"/>
      <c r="K3150" s="116"/>
      <c r="L3150" s="117"/>
      <c r="M3150" s="67"/>
      <c r="N3150" s="33"/>
      <c r="O3150" s="70"/>
      <c r="P3150" s="34"/>
      <c r="Q3150" s="60"/>
      <c r="R3150" s="36"/>
      <c r="S3150" s="71"/>
      <c r="T3150" s="37"/>
      <c r="U3150" s="118"/>
      <c r="V3150" s="74"/>
      <c r="W3150" s="74"/>
      <c r="X3150" s="35"/>
      <c r="Y3150" s="35"/>
      <c r="Z3150" s="40"/>
      <c r="AA3150" s="34"/>
      <c r="AB3150" s="41"/>
      <c r="AC3150" s="42" t="b">
        <v>0</v>
      </c>
      <c r="AD3150" s="66"/>
      <c r="AE3150" s="42"/>
      <c r="AF3150" s="42"/>
      <c r="AG3150" s="43"/>
    </row>
    <row r="3151">
      <c r="A3151" s="23"/>
      <c r="B3151" s="101"/>
      <c r="C3151" s="115"/>
      <c r="D3151" s="115"/>
      <c r="E3151" s="85"/>
      <c r="F3151" s="138"/>
      <c r="G3151" s="101"/>
      <c r="H3151" s="105"/>
      <c r="I3151" s="105"/>
      <c r="J3151" s="44"/>
      <c r="K3151" s="116"/>
      <c r="L3151" s="117"/>
      <c r="M3151" s="67"/>
      <c r="N3151" s="33"/>
      <c r="O3151" s="70"/>
      <c r="P3151" s="34"/>
      <c r="Q3151" s="60"/>
      <c r="R3151" s="36"/>
      <c r="S3151" s="71"/>
      <c r="T3151" s="37"/>
      <c r="U3151" s="118"/>
      <c r="V3151" s="74"/>
      <c r="W3151" s="74"/>
      <c r="X3151" s="35"/>
      <c r="Y3151" s="35"/>
      <c r="Z3151" s="40"/>
      <c r="AA3151" s="34"/>
      <c r="AB3151" s="41"/>
      <c r="AC3151" s="42" t="b">
        <v>0</v>
      </c>
      <c r="AD3151" s="66"/>
      <c r="AE3151" s="42"/>
      <c r="AF3151" s="42"/>
      <c r="AG3151" s="43"/>
    </row>
    <row r="3152">
      <c r="A3152" s="23"/>
      <c r="B3152" s="101"/>
      <c r="C3152" s="115"/>
      <c r="D3152" s="115"/>
      <c r="E3152" s="85"/>
      <c r="F3152" s="138"/>
      <c r="G3152" s="101"/>
      <c r="H3152" s="105"/>
      <c r="I3152" s="105"/>
      <c r="J3152" s="44"/>
      <c r="K3152" s="116"/>
      <c r="L3152" s="117"/>
      <c r="M3152" s="67"/>
      <c r="N3152" s="33"/>
      <c r="O3152" s="70"/>
      <c r="P3152" s="34"/>
      <c r="Q3152" s="60"/>
      <c r="R3152" s="36"/>
      <c r="S3152" s="71"/>
      <c r="T3152" s="37"/>
      <c r="U3152" s="118"/>
      <c r="V3152" s="74"/>
      <c r="W3152" s="74"/>
      <c r="X3152" s="35"/>
      <c r="Y3152" s="35"/>
      <c r="Z3152" s="40"/>
      <c r="AA3152" s="34"/>
      <c r="AB3152" s="41"/>
      <c r="AC3152" s="42" t="b">
        <v>0</v>
      </c>
      <c r="AD3152" s="66"/>
      <c r="AE3152" s="42"/>
      <c r="AF3152" s="42"/>
      <c r="AG3152" s="43"/>
    </row>
    <row r="3153">
      <c r="A3153" s="23"/>
      <c r="B3153" s="101"/>
      <c r="C3153" s="115"/>
      <c r="D3153" s="115"/>
      <c r="E3153" s="85"/>
      <c r="F3153" s="138"/>
      <c r="G3153" s="101"/>
      <c r="H3153" s="105"/>
      <c r="I3153" s="105"/>
      <c r="J3153" s="44"/>
      <c r="K3153" s="116"/>
      <c r="L3153" s="117"/>
      <c r="M3153" s="67"/>
      <c r="N3153" s="33"/>
      <c r="O3153" s="70"/>
      <c r="P3153" s="34"/>
      <c r="Q3153" s="60"/>
      <c r="R3153" s="36"/>
      <c r="S3153" s="71"/>
      <c r="T3153" s="37"/>
      <c r="U3153" s="118"/>
      <c r="V3153" s="74"/>
      <c r="W3153" s="74"/>
      <c r="X3153" s="35"/>
      <c r="Y3153" s="35"/>
      <c r="Z3153" s="40"/>
      <c r="AA3153" s="34"/>
      <c r="AB3153" s="41"/>
      <c r="AC3153" s="42" t="b">
        <v>0</v>
      </c>
      <c r="AD3153" s="66"/>
      <c r="AE3153" s="42"/>
      <c r="AF3153" s="42"/>
      <c r="AG3153" s="43"/>
    </row>
    <row r="3154">
      <c r="A3154" s="23"/>
      <c r="B3154" s="101"/>
      <c r="C3154" s="115"/>
      <c r="D3154" s="115"/>
      <c r="E3154" s="85"/>
      <c r="F3154" s="138"/>
      <c r="G3154" s="101"/>
      <c r="H3154" s="105"/>
      <c r="I3154" s="105"/>
      <c r="J3154" s="44"/>
      <c r="K3154" s="116"/>
      <c r="L3154" s="117"/>
      <c r="M3154" s="67"/>
      <c r="N3154" s="33"/>
      <c r="O3154" s="70"/>
      <c r="P3154" s="34"/>
      <c r="Q3154" s="60"/>
      <c r="R3154" s="36"/>
      <c r="S3154" s="71"/>
      <c r="T3154" s="37"/>
      <c r="U3154" s="118"/>
      <c r="V3154" s="74"/>
      <c r="W3154" s="74"/>
      <c r="X3154" s="35"/>
      <c r="Y3154" s="35"/>
      <c r="Z3154" s="40"/>
      <c r="AA3154" s="34"/>
      <c r="AB3154" s="41"/>
      <c r="AC3154" s="42" t="b">
        <v>0</v>
      </c>
      <c r="AD3154" s="66"/>
      <c r="AE3154" s="42"/>
      <c r="AF3154" s="42"/>
      <c r="AG3154" s="43"/>
    </row>
    <row r="3155">
      <c r="A3155" s="23"/>
      <c r="B3155" s="101"/>
      <c r="C3155" s="115"/>
      <c r="D3155" s="115"/>
      <c r="E3155" s="85"/>
      <c r="F3155" s="138"/>
      <c r="G3155" s="101"/>
      <c r="H3155" s="105"/>
      <c r="I3155" s="105"/>
      <c r="J3155" s="44"/>
      <c r="K3155" s="116"/>
      <c r="L3155" s="117"/>
      <c r="M3155" s="67"/>
      <c r="N3155" s="33"/>
      <c r="O3155" s="70"/>
      <c r="P3155" s="34"/>
      <c r="Q3155" s="60"/>
      <c r="R3155" s="36"/>
      <c r="S3155" s="71"/>
      <c r="T3155" s="37"/>
      <c r="U3155" s="118"/>
      <c r="V3155" s="74"/>
      <c r="W3155" s="74"/>
      <c r="X3155" s="35"/>
      <c r="Y3155" s="35"/>
      <c r="Z3155" s="40"/>
      <c r="AA3155" s="34"/>
      <c r="AB3155" s="41"/>
      <c r="AC3155" s="42" t="b">
        <v>0</v>
      </c>
      <c r="AD3155" s="66"/>
      <c r="AE3155" s="42"/>
      <c r="AF3155" s="42"/>
      <c r="AG3155" s="43"/>
    </row>
    <row r="3156">
      <c r="A3156" s="23"/>
      <c r="B3156" s="101"/>
      <c r="C3156" s="115"/>
      <c r="D3156" s="115"/>
      <c r="E3156" s="85"/>
      <c r="F3156" s="138"/>
      <c r="G3156" s="101"/>
      <c r="H3156" s="105"/>
      <c r="I3156" s="105"/>
      <c r="J3156" s="44"/>
      <c r="K3156" s="116"/>
      <c r="L3156" s="117"/>
      <c r="M3156" s="67"/>
      <c r="N3156" s="33"/>
      <c r="O3156" s="70"/>
      <c r="P3156" s="34"/>
      <c r="Q3156" s="60"/>
      <c r="R3156" s="36"/>
      <c r="S3156" s="71"/>
      <c r="T3156" s="37"/>
      <c r="U3156" s="118"/>
      <c r="V3156" s="74"/>
      <c r="W3156" s="74"/>
      <c r="X3156" s="35"/>
      <c r="Y3156" s="35"/>
      <c r="Z3156" s="40"/>
      <c r="AA3156" s="34"/>
      <c r="AB3156" s="41"/>
      <c r="AC3156" s="42" t="b">
        <v>0</v>
      </c>
      <c r="AD3156" s="66"/>
      <c r="AE3156" s="42"/>
      <c r="AF3156" s="42"/>
      <c r="AG3156" s="43"/>
    </row>
    <row r="3157">
      <c r="A3157" s="23"/>
      <c r="B3157" s="101"/>
      <c r="C3157" s="115"/>
      <c r="D3157" s="115"/>
      <c r="E3157" s="85"/>
      <c r="F3157" s="138"/>
      <c r="G3157" s="101"/>
      <c r="H3157" s="105"/>
      <c r="I3157" s="105"/>
      <c r="J3157" s="44"/>
      <c r="K3157" s="116"/>
      <c r="L3157" s="117"/>
      <c r="M3157" s="67"/>
      <c r="N3157" s="33"/>
      <c r="O3157" s="70"/>
      <c r="P3157" s="34"/>
      <c r="Q3157" s="60"/>
      <c r="R3157" s="36"/>
      <c r="S3157" s="71"/>
      <c r="T3157" s="37"/>
      <c r="U3157" s="118"/>
      <c r="V3157" s="74"/>
      <c r="W3157" s="74"/>
      <c r="X3157" s="35"/>
      <c r="Y3157" s="35"/>
      <c r="Z3157" s="40"/>
      <c r="AA3157" s="34"/>
      <c r="AB3157" s="41"/>
      <c r="AC3157" s="42" t="b">
        <v>0</v>
      </c>
      <c r="AD3157" s="66"/>
      <c r="AE3157" s="42"/>
      <c r="AF3157" s="42"/>
      <c r="AG3157" s="43"/>
    </row>
    <row r="3158">
      <c r="A3158" s="23"/>
      <c r="B3158" s="101"/>
      <c r="C3158" s="115"/>
      <c r="D3158" s="115"/>
      <c r="E3158" s="85"/>
      <c r="F3158" s="138"/>
      <c r="G3158" s="101"/>
      <c r="H3158" s="105"/>
      <c r="I3158" s="105"/>
      <c r="J3158" s="44"/>
      <c r="K3158" s="116"/>
      <c r="L3158" s="117"/>
      <c r="M3158" s="67"/>
      <c r="N3158" s="33"/>
      <c r="O3158" s="70"/>
      <c r="P3158" s="34"/>
      <c r="Q3158" s="60"/>
      <c r="R3158" s="36"/>
      <c r="S3158" s="71"/>
      <c r="T3158" s="37"/>
      <c r="U3158" s="118"/>
      <c r="V3158" s="74"/>
      <c r="W3158" s="74"/>
      <c r="X3158" s="35"/>
      <c r="Y3158" s="35"/>
      <c r="Z3158" s="40"/>
      <c r="AA3158" s="34"/>
      <c r="AB3158" s="41"/>
      <c r="AC3158" s="42" t="b">
        <v>0</v>
      </c>
      <c r="AD3158" s="66"/>
      <c r="AE3158" s="42"/>
      <c r="AF3158" s="42"/>
      <c r="AG3158" s="43"/>
    </row>
    <row r="3159">
      <c r="A3159" s="23"/>
      <c r="B3159" s="101"/>
      <c r="C3159" s="115"/>
      <c r="D3159" s="115"/>
      <c r="E3159" s="85"/>
      <c r="F3159" s="138"/>
      <c r="G3159" s="101"/>
      <c r="H3159" s="105"/>
      <c r="I3159" s="105"/>
      <c r="J3159" s="44"/>
      <c r="K3159" s="116"/>
      <c r="L3159" s="117"/>
      <c r="M3159" s="67"/>
      <c r="N3159" s="33"/>
      <c r="O3159" s="70"/>
      <c r="P3159" s="34"/>
      <c r="Q3159" s="60"/>
      <c r="R3159" s="36"/>
      <c r="S3159" s="71"/>
      <c r="T3159" s="37"/>
      <c r="U3159" s="118"/>
      <c r="V3159" s="74"/>
      <c r="W3159" s="74"/>
      <c r="X3159" s="35"/>
      <c r="Y3159" s="35"/>
      <c r="Z3159" s="40"/>
      <c r="AA3159" s="34"/>
      <c r="AB3159" s="41"/>
      <c r="AC3159" s="42" t="b">
        <v>0</v>
      </c>
      <c r="AD3159" s="66"/>
      <c r="AE3159" s="42"/>
      <c r="AF3159" s="42"/>
      <c r="AG3159" s="43"/>
    </row>
    <row r="3160">
      <c r="A3160" s="23"/>
      <c r="B3160" s="101"/>
      <c r="C3160" s="115"/>
      <c r="D3160" s="115"/>
      <c r="E3160" s="85"/>
      <c r="F3160" s="138"/>
      <c r="G3160" s="101"/>
      <c r="H3160" s="105"/>
      <c r="I3160" s="105"/>
      <c r="J3160" s="44"/>
      <c r="K3160" s="116"/>
      <c r="L3160" s="117"/>
      <c r="M3160" s="67"/>
      <c r="N3160" s="33"/>
      <c r="O3160" s="70"/>
      <c r="P3160" s="34"/>
      <c r="Q3160" s="60"/>
      <c r="R3160" s="36"/>
      <c r="S3160" s="71"/>
      <c r="T3160" s="37"/>
      <c r="U3160" s="118"/>
      <c r="V3160" s="74"/>
      <c r="W3160" s="74"/>
      <c r="X3160" s="35"/>
      <c r="Y3160" s="35"/>
      <c r="Z3160" s="40"/>
      <c r="AA3160" s="34"/>
      <c r="AB3160" s="41"/>
      <c r="AC3160" s="42" t="b">
        <v>0</v>
      </c>
      <c r="AD3160" s="66"/>
      <c r="AE3160" s="42"/>
      <c r="AF3160" s="42"/>
      <c r="AG3160" s="43"/>
    </row>
    <row r="3161">
      <c r="A3161" s="23"/>
      <c r="B3161" s="101"/>
      <c r="C3161" s="115"/>
      <c r="D3161" s="115"/>
      <c r="E3161" s="85"/>
      <c r="F3161" s="138"/>
      <c r="G3161" s="101"/>
      <c r="H3161" s="105"/>
      <c r="I3161" s="105"/>
      <c r="J3161" s="44"/>
      <c r="K3161" s="116"/>
      <c r="L3161" s="117"/>
      <c r="M3161" s="67"/>
      <c r="N3161" s="33"/>
      <c r="O3161" s="70"/>
      <c r="P3161" s="34"/>
      <c r="Q3161" s="60"/>
      <c r="R3161" s="36"/>
      <c r="S3161" s="71"/>
      <c r="T3161" s="37"/>
      <c r="U3161" s="118"/>
      <c r="V3161" s="74"/>
      <c r="W3161" s="74"/>
      <c r="X3161" s="35"/>
      <c r="Y3161" s="35"/>
      <c r="Z3161" s="40"/>
      <c r="AA3161" s="34"/>
      <c r="AB3161" s="41"/>
      <c r="AC3161" s="42" t="b">
        <v>0</v>
      </c>
      <c r="AD3161" s="66"/>
      <c r="AE3161" s="42"/>
      <c r="AF3161" s="42"/>
      <c r="AG3161" s="43"/>
    </row>
    <row r="3162">
      <c r="A3162" s="23"/>
      <c r="B3162" s="101"/>
      <c r="C3162" s="115"/>
      <c r="D3162" s="115"/>
      <c r="E3162" s="85"/>
      <c r="F3162" s="138"/>
      <c r="G3162" s="101"/>
      <c r="H3162" s="105"/>
      <c r="I3162" s="105"/>
      <c r="J3162" s="44"/>
      <c r="K3162" s="116"/>
      <c r="L3162" s="117"/>
      <c r="M3162" s="67"/>
      <c r="N3162" s="33"/>
      <c r="O3162" s="70"/>
      <c r="P3162" s="34"/>
      <c r="Q3162" s="60"/>
      <c r="R3162" s="36"/>
      <c r="S3162" s="71"/>
      <c r="T3162" s="37"/>
      <c r="U3162" s="118"/>
      <c r="V3162" s="74"/>
      <c r="W3162" s="74"/>
      <c r="X3162" s="35"/>
      <c r="Y3162" s="35"/>
      <c r="Z3162" s="40"/>
      <c r="AA3162" s="34"/>
      <c r="AB3162" s="41"/>
      <c r="AC3162" s="42" t="b">
        <v>0</v>
      </c>
      <c r="AD3162" s="66"/>
      <c r="AE3162" s="42"/>
      <c r="AF3162" s="42"/>
      <c r="AG3162" s="43"/>
    </row>
    <row r="3163">
      <c r="A3163" s="23"/>
      <c r="B3163" s="101"/>
      <c r="C3163" s="115"/>
      <c r="D3163" s="115"/>
      <c r="E3163" s="85"/>
      <c r="F3163" s="138"/>
      <c r="G3163" s="101"/>
      <c r="H3163" s="105"/>
      <c r="I3163" s="105"/>
      <c r="J3163" s="44"/>
      <c r="K3163" s="116"/>
      <c r="L3163" s="117"/>
      <c r="M3163" s="67"/>
      <c r="N3163" s="33"/>
      <c r="O3163" s="70"/>
      <c r="P3163" s="34"/>
      <c r="Q3163" s="60"/>
      <c r="R3163" s="36"/>
      <c r="S3163" s="71"/>
      <c r="T3163" s="37"/>
      <c r="U3163" s="118"/>
      <c r="V3163" s="74"/>
      <c r="W3163" s="74"/>
      <c r="X3163" s="35"/>
      <c r="Y3163" s="35"/>
      <c r="Z3163" s="40"/>
      <c r="AA3163" s="34"/>
      <c r="AB3163" s="41"/>
      <c r="AC3163" s="42" t="b">
        <v>0</v>
      </c>
      <c r="AD3163" s="66"/>
      <c r="AE3163" s="42"/>
      <c r="AF3163" s="42"/>
      <c r="AG3163" s="43"/>
    </row>
    <row r="3164">
      <c r="A3164" s="23"/>
      <c r="B3164" s="101"/>
      <c r="C3164" s="115"/>
      <c r="D3164" s="115"/>
      <c r="E3164" s="85"/>
      <c r="F3164" s="138"/>
      <c r="G3164" s="101"/>
      <c r="H3164" s="105"/>
      <c r="I3164" s="105"/>
      <c r="J3164" s="44"/>
      <c r="K3164" s="116"/>
      <c r="L3164" s="117"/>
      <c r="M3164" s="67"/>
      <c r="N3164" s="33"/>
      <c r="O3164" s="70"/>
      <c r="P3164" s="34"/>
      <c r="Q3164" s="60"/>
      <c r="R3164" s="36"/>
      <c r="S3164" s="71"/>
      <c r="T3164" s="37"/>
      <c r="U3164" s="118"/>
      <c r="V3164" s="74"/>
      <c r="W3164" s="74"/>
      <c r="X3164" s="35"/>
      <c r="Y3164" s="35"/>
      <c r="Z3164" s="40"/>
      <c r="AA3164" s="34"/>
      <c r="AB3164" s="41"/>
      <c r="AC3164" s="42" t="b">
        <v>0</v>
      </c>
      <c r="AD3164" s="66"/>
      <c r="AE3164" s="42"/>
      <c r="AF3164" s="42"/>
      <c r="AG3164" s="43"/>
    </row>
    <row r="3165">
      <c r="A3165" s="23"/>
      <c r="B3165" s="101"/>
      <c r="C3165" s="115"/>
      <c r="D3165" s="115"/>
      <c r="E3165" s="85"/>
      <c r="F3165" s="138"/>
      <c r="G3165" s="101"/>
      <c r="H3165" s="105"/>
      <c r="I3165" s="105"/>
      <c r="J3165" s="44"/>
      <c r="K3165" s="116"/>
      <c r="L3165" s="117"/>
      <c r="M3165" s="67"/>
      <c r="N3165" s="33"/>
      <c r="O3165" s="70"/>
      <c r="P3165" s="34"/>
      <c r="Q3165" s="60"/>
      <c r="R3165" s="36"/>
      <c r="S3165" s="71"/>
      <c r="T3165" s="37"/>
      <c r="U3165" s="118"/>
      <c r="V3165" s="74"/>
      <c r="W3165" s="74"/>
      <c r="X3165" s="35"/>
      <c r="Y3165" s="35"/>
      <c r="Z3165" s="40"/>
      <c r="AA3165" s="34"/>
      <c r="AB3165" s="41"/>
      <c r="AC3165" s="42" t="b">
        <v>0</v>
      </c>
      <c r="AD3165" s="66"/>
      <c r="AE3165" s="42"/>
      <c r="AF3165" s="42"/>
      <c r="AG3165" s="43"/>
    </row>
    <row r="3166">
      <c r="A3166" s="23"/>
      <c r="B3166" s="101"/>
      <c r="C3166" s="115"/>
      <c r="D3166" s="115"/>
      <c r="E3166" s="85"/>
      <c r="F3166" s="138"/>
      <c r="G3166" s="101"/>
      <c r="H3166" s="105"/>
      <c r="I3166" s="105"/>
      <c r="J3166" s="44"/>
      <c r="K3166" s="116"/>
      <c r="L3166" s="117"/>
      <c r="M3166" s="67"/>
      <c r="N3166" s="33"/>
      <c r="O3166" s="70"/>
      <c r="P3166" s="34"/>
      <c r="Q3166" s="60"/>
      <c r="R3166" s="36"/>
      <c r="S3166" s="71"/>
      <c r="T3166" s="37"/>
      <c r="U3166" s="118"/>
      <c r="V3166" s="74"/>
      <c r="W3166" s="74"/>
      <c r="X3166" s="35"/>
      <c r="Y3166" s="35"/>
      <c r="Z3166" s="40"/>
      <c r="AA3166" s="34"/>
      <c r="AB3166" s="41"/>
      <c r="AC3166" s="42" t="b">
        <v>0</v>
      </c>
      <c r="AD3166" s="66"/>
      <c r="AE3166" s="42"/>
      <c r="AF3166" s="42"/>
      <c r="AG3166" s="43"/>
    </row>
    <row r="3167">
      <c r="A3167" s="23"/>
      <c r="B3167" s="101"/>
      <c r="C3167" s="115"/>
      <c r="D3167" s="115"/>
      <c r="E3167" s="85"/>
      <c r="F3167" s="138"/>
      <c r="G3167" s="101"/>
      <c r="H3167" s="105"/>
      <c r="I3167" s="105"/>
      <c r="J3167" s="44"/>
      <c r="K3167" s="116"/>
      <c r="L3167" s="117"/>
      <c r="M3167" s="67"/>
      <c r="N3167" s="33"/>
      <c r="O3167" s="70"/>
      <c r="P3167" s="34"/>
      <c r="Q3167" s="60"/>
      <c r="R3167" s="36"/>
      <c r="S3167" s="71"/>
      <c r="T3167" s="37"/>
      <c r="U3167" s="118"/>
      <c r="V3167" s="74"/>
      <c r="W3167" s="74"/>
      <c r="X3167" s="35"/>
      <c r="Y3167" s="35"/>
      <c r="Z3167" s="40"/>
      <c r="AA3167" s="34"/>
      <c r="AB3167" s="41"/>
      <c r="AC3167" s="42" t="b">
        <v>0</v>
      </c>
      <c r="AD3167" s="66"/>
      <c r="AE3167" s="42"/>
      <c r="AF3167" s="42"/>
      <c r="AG3167" s="43"/>
    </row>
    <row r="3168">
      <c r="A3168" s="23"/>
      <c r="B3168" s="101"/>
      <c r="C3168" s="115"/>
      <c r="D3168" s="115"/>
      <c r="E3168" s="85"/>
      <c r="F3168" s="138"/>
      <c r="G3168" s="101"/>
      <c r="H3168" s="105"/>
      <c r="I3168" s="105"/>
      <c r="J3168" s="44"/>
      <c r="K3168" s="116"/>
      <c r="L3168" s="117"/>
      <c r="M3168" s="67"/>
      <c r="N3168" s="33"/>
      <c r="O3168" s="70"/>
      <c r="P3168" s="34"/>
      <c r="Q3168" s="60"/>
      <c r="R3168" s="36"/>
      <c r="S3168" s="71"/>
      <c r="T3168" s="37"/>
      <c r="U3168" s="118"/>
      <c r="V3168" s="74"/>
      <c r="W3168" s="74"/>
      <c r="X3168" s="35"/>
      <c r="Y3168" s="35"/>
      <c r="Z3168" s="40"/>
      <c r="AA3168" s="34"/>
      <c r="AB3168" s="41"/>
      <c r="AC3168" s="42" t="b">
        <v>0</v>
      </c>
      <c r="AD3168" s="66"/>
      <c r="AE3168" s="42"/>
      <c r="AF3168" s="42"/>
      <c r="AG3168" s="43"/>
    </row>
    <row r="3169">
      <c r="A3169" s="23"/>
      <c r="B3169" s="101"/>
      <c r="C3169" s="115"/>
      <c r="D3169" s="115"/>
      <c r="E3169" s="85"/>
      <c r="F3169" s="138"/>
      <c r="G3169" s="101"/>
      <c r="H3169" s="105"/>
      <c r="I3169" s="105"/>
      <c r="J3169" s="44"/>
      <c r="K3169" s="116"/>
      <c r="L3169" s="117"/>
      <c r="M3169" s="67"/>
      <c r="N3169" s="33"/>
      <c r="O3169" s="70"/>
      <c r="P3169" s="34"/>
      <c r="Q3169" s="60"/>
      <c r="R3169" s="36"/>
      <c r="S3169" s="71"/>
      <c r="T3169" s="37"/>
      <c r="U3169" s="118"/>
      <c r="V3169" s="74"/>
      <c r="W3169" s="74"/>
      <c r="X3169" s="35"/>
      <c r="Y3169" s="35"/>
      <c r="Z3169" s="40"/>
      <c r="AA3169" s="34"/>
      <c r="AB3169" s="41"/>
      <c r="AC3169" s="42" t="b">
        <v>0</v>
      </c>
      <c r="AD3169" s="66"/>
      <c r="AE3169" s="42"/>
      <c r="AF3169" s="42"/>
      <c r="AG3169" s="43"/>
    </row>
    <row r="3170">
      <c r="A3170" s="23"/>
      <c r="B3170" s="101"/>
      <c r="C3170" s="115"/>
      <c r="D3170" s="115"/>
      <c r="E3170" s="85"/>
      <c r="F3170" s="138"/>
      <c r="G3170" s="101"/>
      <c r="H3170" s="105"/>
      <c r="I3170" s="105"/>
      <c r="J3170" s="44"/>
      <c r="K3170" s="116"/>
      <c r="L3170" s="117"/>
      <c r="M3170" s="67"/>
      <c r="N3170" s="33"/>
      <c r="O3170" s="70"/>
      <c r="P3170" s="34"/>
      <c r="Q3170" s="60"/>
      <c r="R3170" s="36"/>
      <c r="S3170" s="71"/>
      <c r="T3170" s="37"/>
      <c r="U3170" s="118"/>
      <c r="V3170" s="74"/>
      <c r="W3170" s="74"/>
      <c r="X3170" s="35"/>
      <c r="Y3170" s="35"/>
      <c r="Z3170" s="40"/>
      <c r="AA3170" s="34"/>
      <c r="AB3170" s="41"/>
      <c r="AC3170" s="42" t="b">
        <v>0</v>
      </c>
      <c r="AD3170" s="66"/>
      <c r="AE3170" s="42"/>
      <c r="AF3170" s="42"/>
      <c r="AG3170" s="43"/>
    </row>
    <row r="3171">
      <c r="A3171" s="23"/>
      <c r="B3171" s="101"/>
      <c r="C3171" s="115"/>
      <c r="D3171" s="115"/>
      <c r="E3171" s="85"/>
      <c r="F3171" s="138"/>
      <c r="G3171" s="101"/>
      <c r="H3171" s="105"/>
      <c r="I3171" s="105"/>
      <c r="J3171" s="44"/>
      <c r="K3171" s="116"/>
      <c r="L3171" s="117"/>
      <c r="M3171" s="67"/>
      <c r="N3171" s="33"/>
      <c r="O3171" s="70"/>
      <c r="P3171" s="34"/>
      <c r="Q3171" s="60"/>
      <c r="R3171" s="36"/>
      <c r="S3171" s="71"/>
      <c r="T3171" s="37"/>
      <c r="U3171" s="118"/>
      <c r="V3171" s="74"/>
      <c r="W3171" s="74"/>
      <c r="X3171" s="35"/>
      <c r="Y3171" s="35"/>
      <c r="Z3171" s="40"/>
      <c r="AA3171" s="34"/>
      <c r="AB3171" s="41"/>
      <c r="AC3171" s="42" t="b">
        <v>0</v>
      </c>
      <c r="AD3171" s="66"/>
      <c r="AE3171" s="42"/>
      <c r="AF3171" s="42"/>
      <c r="AG3171" s="43"/>
    </row>
    <row r="3172">
      <c r="A3172" s="23"/>
      <c r="B3172" s="101"/>
      <c r="C3172" s="115"/>
      <c r="D3172" s="115"/>
      <c r="E3172" s="85"/>
      <c r="F3172" s="138"/>
      <c r="G3172" s="101"/>
      <c r="H3172" s="105"/>
      <c r="I3172" s="105"/>
      <c r="J3172" s="44"/>
      <c r="K3172" s="116"/>
      <c r="L3172" s="117"/>
      <c r="M3172" s="67"/>
      <c r="N3172" s="33"/>
      <c r="O3172" s="70"/>
      <c r="P3172" s="34"/>
      <c r="Q3172" s="60"/>
      <c r="R3172" s="36"/>
      <c r="S3172" s="71"/>
      <c r="T3172" s="37"/>
      <c r="U3172" s="118"/>
      <c r="V3172" s="74"/>
      <c r="W3172" s="74"/>
      <c r="X3172" s="35"/>
      <c r="Y3172" s="35"/>
      <c r="Z3172" s="40"/>
      <c r="AA3172" s="34"/>
      <c r="AB3172" s="41"/>
      <c r="AC3172" s="42" t="b">
        <v>0</v>
      </c>
      <c r="AD3172" s="66"/>
      <c r="AE3172" s="42"/>
      <c r="AF3172" s="42"/>
      <c r="AG3172" s="43"/>
    </row>
    <row r="3173">
      <c r="A3173" s="23"/>
      <c r="B3173" s="101"/>
      <c r="C3173" s="115"/>
      <c r="D3173" s="115"/>
      <c r="E3173" s="85"/>
      <c r="F3173" s="138"/>
      <c r="G3173" s="101"/>
      <c r="H3173" s="105"/>
      <c r="I3173" s="105"/>
      <c r="J3173" s="44"/>
      <c r="K3173" s="116"/>
      <c r="L3173" s="117"/>
      <c r="M3173" s="67"/>
      <c r="N3173" s="33"/>
      <c r="O3173" s="70"/>
      <c r="P3173" s="34"/>
      <c r="Q3173" s="60"/>
      <c r="R3173" s="36"/>
      <c r="S3173" s="71"/>
      <c r="T3173" s="37"/>
      <c r="U3173" s="118"/>
      <c r="V3173" s="74"/>
      <c r="W3173" s="74"/>
      <c r="X3173" s="35"/>
      <c r="Y3173" s="35"/>
      <c r="Z3173" s="40"/>
      <c r="AA3173" s="34"/>
      <c r="AB3173" s="41"/>
      <c r="AC3173" s="42" t="b">
        <v>0</v>
      </c>
      <c r="AD3173" s="66"/>
      <c r="AE3173" s="42"/>
      <c r="AF3173" s="42"/>
      <c r="AG3173" s="43"/>
    </row>
    <row r="3174">
      <c r="A3174" s="23"/>
      <c r="B3174" s="101"/>
      <c r="C3174" s="115"/>
      <c r="D3174" s="115"/>
      <c r="E3174" s="85"/>
      <c r="F3174" s="138"/>
      <c r="G3174" s="101"/>
      <c r="H3174" s="105"/>
      <c r="I3174" s="105"/>
      <c r="J3174" s="44"/>
      <c r="K3174" s="116"/>
      <c r="L3174" s="117"/>
      <c r="M3174" s="67"/>
      <c r="N3174" s="33"/>
      <c r="O3174" s="70"/>
      <c r="P3174" s="34"/>
      <c r="Q3174" s="60"/>
      <c r="R3174" s="36"/>
      <c r="S3174" s="71"/>
      <c r="T3174" s="37"/>
      <c r="U3174" s="118"/>
      <c r="V3174" s="74"/>
      <c r="W3174" s="74"/>
      <c r="X3174" s="35"/>
      <c r="Y3174" s="35"/>
      <c r="Z3174" s="40"/>
      <c r="AA3174" s="34"/>
      <c r="AB3174" s="41"/>
      <c r="AC3174" s="42" t="b">
        <v>0</v>
      </c>
      <c r="AD3174" s="66"/>
      <c r="AE3174" s="42"/>
      <c r="AF3174" s="42"/>
      <c r="AG3174" s="43"/>
    </row>
    <row r="3175">
      <c r="A3175" s="23"/>
      <c r="B3175" s="101"/>
      <c r="C3175" s="115"/>
      <c r="D3175" s="115"/>
      <c r="E3175" s="85"/>
      <c r="F3175" s="138"/>
      <c r="G3175" s="101"/>
      <c r="H3175" s="105"/>
      <c r="I3175" s="105"/>
      <c r="J3175" s="44"/>
      <c r="K3175" s="116"/>
      <c r="L3175" s="117"/>
      <c r="M3175" s="67"/>
      <c r="N3175" s="33"/>
      <c r="O3175" s="70"/>
      <c r="P3175" s="34"/>
      <c r="Q3175" s="60"/>
      <c r="R3175" s="36"/>
      <c r="S3175" s="71"/>
      <c r="T3175" s="37"/>
      <c r="U3175" s="118"/>
      <c r="V3175" s="74"/>
      <c r="W3175" s="74"/>
      <c r="X3175" s="35"/>
      <c r="Y3175" s="35"/>
      <c r="Z3175" s="40"/>
      <c r="AA3175" s="34"/>
      <c r="AB3175" s="41"/>
      <c r="AC3175" s="42" t="b">
        <v>0</v>
      </c>
      <c r="AD3175" s="66"/>
      <c r="AE3175" s="42"/>
      <c r="AF3175" s="42"/>
      <c r="AG3175" s="43"/>
    </row>
    <row r="3176">
      <c r="A3176" s="23"/>
      <c r="B3176" s="101"/>
      <c r="C3176" s="115"/>
      <c r="D3176" s="115"/>
      <c r="E3176" s="85"/>
      <c r="F3176" s="138"/>
      <c r="G3176" s="101"/>
      <c r="H3176" s="105"/>
      <c r="I3176" s="105"/>
      <c r="J3176" s="44"/>
      <c r="K3176" s="116"/>
      <c r="L3176" s="117"/>
      <c r="M3176" s="67"/>
      <c r="N3176" s="33"/>
      <c r="O3176" s="70"/>
      <c r="P3176" s="34"/>
      <c r="Q3176" s="60"/>
      <c r="R3176" s="36"/>
      <c r="S3176" s="71"/>
      <c r="T3176" s="37"/>
      <c r="U3176" s="118"/>
      <c r="V3176" s="74"/>
      <c r="W3176" s="74"/>
      <c r="X3176" s="35"/>
      <c r="Y3176" s="35"/>
      <c r="Z3176" s="40"/>
      <c r="AA3176" s="34"/>
      <c r="AB3176" s="41"/>
      <c r="AC3176" s="42" t="b">
        <v>0</v>
      </c>
      <c r="AD3176" s="66"/>
      <c r="AE3176" s="42"/>
      <c r="AF3176" s="42"/>
      <c r="AG3176" s="43"/>
    </row>
    <row r="3177">
      <c r="A3177" s="23"/>
      <c r="B3177" s="101"/>
      <c r="C3177" s="115"/>
      <c r="D3177" s="115"/>
      <c r="E3177" s="85"/>
      <c r="F3177" s="138"/>
      <c r="G3177" s="101"/>
      <c r="H3177" s="105"/>
      <c r="I3177" s="105"/>
      <c r="J3177" s="44"/>
      <c r="K3177" s="116"/>
      <c r="L3177" s="117"/>
      <c r="M3177" s="67"/>
      <c r="N3177" s="33"/>
      <c r="O3177" s="70"/>
      <c r="P3177" s="34"/>
      <c r="Q3177" s="60"/>
      <c r="R3177" s="36"/>
      <c r="S3177" s="71"/>
      <c r="T3177" s="37"/>
      <c r="U3177" s="118"/>
      <c r="V3177" s="74"/>
      <c r="W3177" s="74"/>
      <c r="X3177" s="35"/>
      <c r="Y3177" s="35"/>
      <c r="Z3177" s="40"/>
      <c r="AA3177" s="34"/>
      <c r="AB3177" s="41"/>
      <c r="AC3177" s="42" t="b">
        <v>0</v>
      </c>
      <c r="AD3177" s="66"/>
      <c r="AE3177" s="42"/>
      <c r="AF3177" s="42"/>
      <c r="AG3177" s="43"/>
    </row>
    <row r="3178">
      <c r="A3178" s="23"/>
      <c r="B3178" s="101"/>
      <c r="C3178" s="115"/>
      <c r="D3178" s="115"/>
      <c r="E3178" s="85"/>
      <c r="F3178" s="138"/>
      <c r="G3178" s="101"/>
      <c r="H3178" s="105"/>
      <c r="I3178" s="105"/>
      <c r="J3178" s="44"/>
      <c r="K3178" s="116"/>
      <c r="L3178" s="117"/>
      <c r="M3178" s="67"/>
      <c r="N3178" s="33"/>
      <c r="O3178" s="70"/>
      <c r="P3178" s="34"/>
      <c r="Q3178" s="60"/>
      <c r="R3178" s="36"/>
      <c r="S3178" s="71"/>
      <c r="T3178" s="37"/>
      <c r="U3178" s="118"/>
      <c r="V3178" s="74"/>
      <c r="W3178" s="74"/>
      <c r="X3178" s="35"/>
      <c r="Y3178" s="35"/>
      <c r="Z3178" s="40"/>
      <c r="AA3178" s="34"/>
      <c r="AB3178" s="41"/>
      <c r="AC3178" s="42" t="b">
        <v>0</v>
      </c>
      <c r="AD3178" s="66"/>
      <c r="AE3178" s="42"/>
      <c r="AF3178" s="42"/>
      <c r="AG3178" s="43"/>
    </row>
    <row r="3179">
      <c r="A3179" s="23"/>
      <c r="B3179" s="101"/>
      <c r="C3179" s="115"/>
      <c r="D3179" s="115"/>
      <c r="E3179" s="85"/>
      <c r="F3179" s="138"/>
      <c r="G3179" s="101"/>
      <c r="H3179" s="105"/>
      <c r="I3179" s="105"/>
      <c r="J3179" s="44"/>
      <c r="K3179" s="116"/>
      <c r="L3179" s="117"/>
      <c r="M3179" s="67"/>
      <c r="N3179" s="33"/>
      <c r="O3179" s="70"/>
      <c r="P3179" s="34"/>
      <c r="Q3179" s="60"/>
      <c r="R3179" s="36"/>
      <c r="S3179" s="71"/>
      <c r="T3179" s="37"/>
      <c r="U3179" s="118"/>
      <c r="V3179" s="74"/>
      <c r="W3179" s="74"/>
      <c r="X3179" s="35"/>
      <c r="Y3179" s="35"/>
      <c r="Z3179" s="40"/>
      <c r="AA3179" s="34"/>
      <c r="AB3179" s="41"/>
      <c r="AC3179" s="42" t="b">
        <v>0</v>
      </c>
      <c r="AD3179" s="66"/>
      <c r="AE3179" s="42"/>
      <c r="AF3179" s="42"/>
      <c r="AG3179" s="43"/>
    </row>
    <row r="3180">
      <c r="A3180" s="23"/>
      <c r="B3180" s="101"/>
      <c r="C3180" s="115"/>
      <c r="D3180" s="115"/>
      <c r="E3180" s="85"/>
      <c r="F3180" s="138"/>
      <c r="G3180" s="101"/>
      <c r="H3180" s="105"/>
      <c r="I3180" s="105"/>
      <c r="J3180" s="44"/>
      <c r="K3180" s="116"/>
      <c r="L3180" s="117"/>
      <c r="M3180" s="67"/>
      <c r="N3180" s="33"/>
      <c r="O3180" s="70"/>
      <c r="P3180" s="34"/>
      <c r="Q3180" s="60"/>
      <c r="R3180" s="36"/>
      <c r="S3180" s="71"/>
      <c r="T3180" s="37"/>
      <c r="U3180" s="118"/>
      <c r="V3180" s="74"/>
      <c r="W3180" s="74"/>
      <c r="X3180" s="35"/>
      <c r="Y3180" s="35"/>
      <c r="Z3180" s="40"/>
      <c r="AA3180" s="34"/>
      <c r="AB3180" s="41"/>
      <c r="AC3180" s="42" t="b">
        <v>0</v>
      </c>
      <c r="AD3180" s="66"/>
      <c r="AE3180" s="42"/>
      <c r="AF3180" s="42"/>
      <c r="AG3180" s="43"/>
    </row>
    <row r="3181">
      <c r="A3181" s="23"/>
      <c r="B3181" s="101"/>
      <c r="C3181" s="115"/>
      <c r="D3181" s="115"/>
      <c r="E3181" s="85"/>
      <c r="F3181" s="138"/>
      <c r="G3181" s="101"/>
      <c r="H3181" s="105"/>
      <c r="I3181" s="105"/>
      <c r="J3181" s="44"/>
      <c r="K3181" s="116"/>
      <c r="L3181" s="117"/>
      <c r="M3181" s="67"/>
      <c r="N3181" s="33"/>
      <c r="O3181" s="70"/>
      <c r="P3181" s="34"/>
      <c r="Q3181" s="60"/>
      <c r="R3181" s="36"/>
      <c r="S3181" s="71"/>
      <c r="T3181" s="37"/>
      <c r="U3181" s="118"/>
      <c r="V3181" s="74"/>
      <c r="W3181" s="74"/>
      <c r="X3181" s="35"/>
      <c r="Y3181" s="35"/>
      <c r="Z3181" s="40"/>
      <c r="AA3181" s="34"/>
      <c r="AB3181" s="41"/>
      <c r="AC3181" s="42" t="b">
        <v>0</v>
      </c>
      <c r="AD3181" s="66"/>
      <c r="AE3181" s="42"/>
      <c r="AF3181" s="42"/>
      <c r="AG3181" s="43"/>
    </row>
    <row r="3182">
      <c r="A3182" s="23"/>
      <c r="B3182" s="101"/>
      <c r="C3182" s="115"/>
      <c r="D3182" s="115"/>
      <c r="E3182" s="85"/>
      <c r="F3182" s="138"/>
      <c r="G3182" s="101"/>
      <c r="H3182" s="105"/>
      <c r="I3182" s="105"/>
      <c r="J3182" s="44"/>
      <c r="K3182" s="116"/>
      <c r="L3182" s="117"/>
      <c r="M3182" s="67"/>
      <c r="N3182" s="33"/>
      <c r="O3182" s="70"/>
      <c r="P3182" s="34"/>
      <c r="Q3182" s="60"/>
      <c r="R3182" s="36"/>
      <c r="S3182" s="71"/>
      <c r="T3182" s="37"/>
      <c r="U3182" s="118"/>
      <c r="V3182" s="74"/>
      <c r="W3182" s="74"/>
      <c r="X3182" s="35"/>
      <c r="Y3182" s="35"/>
      <c r="Z3182" s="40"/>
      <c r="AA3182" s="34"/>
      <c r="AB3182" s="41"/>
      <c r="AC3182" s="42" t="b">
        <v>0</v>
      </c>
      <c r="AD3182" s="66"/>
      <c r="AE3182" s="42"/>
      <c r="AF3182" s="42"/>
      <c r="AG3182" s="43"/>
    </row>
    <row r="3183">
      <c r="A3183" s="23"/>
      <c r="B3183" s="101"/>
      <c r="C3183" s="115"/>
      <c r="D3183" s="115"/>
      <c r="E3183" s="85"/>
      <c r="F3183" s="138"/>
      <c r="G3183" s="101"/>
      <c r="H3183" s="105"/>
      <c r="I3183" s="105"/>
      <c r="J3183" s="44"/>
      <c r="K3183" s="116"/>
      <c r="L3183" s="117"/>
      <c r="M3183" s="67"/>
      <c r="N3183" s="33"/>
      <c r="O3183" s="70"/>
      <c r="P3183" s="34"/>
      <c r="Q3183" s="60"/>
      <c r="R3183" s="36"/>
      <c r="S3183" s="71"/>
      <c r="T3183" s="37"/>
      <c r="U3183" s="118"/>
      <c r="V3183" s="74"/>
      <c r="W3183" s="74"/>
      <c r="X3183" s="35"/>
      <c r="Y3183" s="35"/>
      <c r="Z3183" s="40"/>
      <c r="AA3183" s="34"/>
      <c r="AB3183" s="41"/>
      <c r="AC3183" s="42" t="b">
        <v>0</v>
      </c>
      <c r="AD3183" s="66"/>
      <c r="AE3183" s="42"/>
      <c r="AF3183" s="42"/>
      <c r="AG3183" s="43"/>
    </row>
    <row r="3184">
      <c r="A3184" s="23"/>
      <c r="B3184" s="101"/>
      <c r="C3184" s="115"/>
      <c r="D3184" s="115"/>
      <c r="E3184" s="85"/>
      <c r="F3184" s="138"/>
      <c r="G3184" s="101"/>
      <c r="H3184" s="105"/>
      <c r="I3184" s="105"/>
      <c r="J3184" s="44"/>
      <c r="K3184" s="116"/>
      <c r="L3184" s="117"/>
      <c r="M3184" s="67"/>
      <c r="N3184" s="33"/>
      <c r="O3184" s="70"/>
      <c r="P3184" s="34"/>
      <c r="Q3184" s="60"/>
      <c r="R3184" s="36"/>
      <c r="S3184" s="71"/>
      <c r="T3184" s="37"/>
      <c r="U3184" s="118"/>
      <c r="V3184" s="74"/>
      <c r="W3184" s="74"/>
      <c r="X3184" s="35"/>
      <c r="Y3184" s="35"/>
      <c r="Z3184" s="40"/>
      <c r="AA3184" s="34"/>
      <c r="AB3184" s="41"/>
      <c r="AC3184" s="42" t="b">
        <v>0</v>
      </c>
      <c r="AD3184" s="66"/>
      <c r="AE3184" s="42"/>
      <c r="AF3184" s="42"/>
      <c r="AG3184" s="43"/>
    </row>
    <row r="3185">
      <c r="A3185" s="23"/>
      <c r="B3185" s="101"/>
      <c r="C3185" s="115"/>
      <c r="D3185" s="115"/>
      <c r="E3185" s="85"/>
      <c r="F3185" s="138"/>
      <c r="G3185" s="101"/>
      <c r="H3185" s="105"/>
      <c r="I3185" s="105"/>
      <c r="J3185" s="44"/>
      <c r="K3185" s="116"/>
      <c r="L3185" s="117"/>
      <c r="M3185" s="67"/>
      <c r="N3185" s="33"/>
      <c r="O3185" s="70"/>
      <c r="P3185" s="34"/>
      <c r="Q3185" s="60"/>
      <c r="R3185" s="36"/>
      <c r="S3185" s="71"/>
      <c r="T3185" s="37"/>
      <c r="U3185" s="118"/>
      <c r="V3185" s="74"/>
      <c r="W3185" s="74"/>
      <c r="X3185" s="35"/>
      <c r="Y3185" s="35"/>
      <c r="Z3185" s="40"/>
      <c r="AA3185" s="34"/>
      <c r="AB3185" s="41"/>
      <c r="AC3185" s="42" t="b">
        <v>0</v>
      </c>
      <c r="AD3185" s="66"/>
      <c r="AE3185" s="42"/>
      <c r="AF3185" s="42"/>
      <c r="AG3185" s="43"/>
    </row>
    <row r="3186">
      <c r="A3186" s="23"/>
      <c r="B3186" s="101"/>
      <c r="C3186" s="115"/>
      <c r="D3186" s="115"/>
      <c r="E3186" s="85"/>
      <c r="F3186" s="138"/>
      <c r="G3186" s="101"/>
      <c r="H3186" s="105"/>
      <c r="I3186" s="105"/>
      <c r="J3186" s="44"/>
      <c r="K3186" s="116"/>
      <c r="L3186" s="117"/>
      <c r="M3186" s="67"/>
      <c r="N3186" s="33"/>
      <c r="O3186" s="70"/>
      <c r="P3186" s="34"/>
      <c r="Q3186" s="60"/>
      <c r="R3186" s="36"/>
      <c r="S3186" s="71"/>
      <c r="T3186" s="37"/>
      <c r="U3186" s="118"/>
      <c r="V3186" s="74"/>
      <c r="W3186" s="74"/>
      <c r="X3186" s="35"/>
      <c r="Y3186" s="35"/>
      <c r="Z3186" s="40"/>
      <c r="AA3186" s="34"/>
      <c r="AB3186" s="41"/>
      <c r="AC3186" s="42" t="b">
        <v>0</v>
      </c>
      <c r="AD3186" s="66"/>
      <c r="AE3186" s="42"/>
      <c r="AF3186" s="42"/>
      <c r="AG3186" s="43"/>
    </row>
    <row r="3187">
      <c r="A3187" s="23"/>
      <c r="B3187" s="101"/>
      <c r="C3187" s="115"/>
      <c r="D3187" s="115"/>
      <c r="E3187" s="85"/>
      <c r="F3187" s="138"/>
      <c r="G3187" s="101"/>
      <c r="H3187" s="105"/>
      <c r="I3187" s="105"/>
      <c r="J3187" s="44"/>
      <c r="K3187" s="116"/>
      <c r="L3187" s="117"/>
      <c r="M3187" s="67"/>
      <c r="N3187" s="33"/>
      <c r="O3187" s="70"/>
      <c r="P3187" s="34"/>
      <c r="Q3187" s="60"/>
      <c r="R3187" s="36"/>
      <c r="S3187" s="71"/>
      <c r="T3187" s="37"/>
      <c r="U3187" s="118"/>
      <c r="V3187" s="74"/>
      <c r="W3187" s="74"/>
      <c r="X3187" s="35"/>
      <c r="Y3187" s="35"/>
      <c r="Z3187" s="40"/>
      <c r="AA3187" s="34"/>
      <c r="AB3187" s="41"/>
      <c r="AC3187" s="42" t="b">
        <v>0</v>
      </c>
      <c r="AD3187" s="66"/>
      <c r="AE3187" s="42"/>
      <c r="AF3187" s="42"/>
      <c r="AG3187" s="43"/>
    </row>
    <row r="3188">
      <c r="A3188" s="23"/>
      <c r="B3188" s="101"/>
      <c r="C3188" s="115"/>
      <c r="D3188" s="115"/>
      <c r="E3188" s="85"/>
      <c r="F3188" s="138"/>
      <c r="G3188" s="101"/>
      <c r="H3188" s="105"/>
      <c r="I3188" s="105"/>
      <c r="J3188" s="44"/>
      <c r="K3188" s="116"/>
      <c r="L3188" s="117"/>
      <c r="M3188" s="67"/>
      <c r="N3188" s="33"/>
      <c r="O3188" s="70"/>
      <c r="P3188" s="34"/>
      <c r="Q3188" s="60"/>
      <c r="R3188" s="36"/>
      <c r="S3188" s="71"/>
      <c r="T3188" s="37"/>
      <c r="U3188" s="118"/>
      <c r="V3188" s="74"/>
      <c r="W3188" s="74"/>
      <c r="X3188" s="35"/>
      <c r="Y3188" s="35"/>
      <c r="Z3188" s="40"/>
      <c r="AA3188" s="34"/>
      <c r="AB3188" s="41"/>
      <c r="AC3188" s="42" t="b">
        <v>0</v>
      </c>
      <c r="AD3188" s="66"/>
      <c r="AE3188" s="42"/>
      <c r="AF3188" s="42"/>
      <c r="AG3188" s="43"/>
    </row>
    <row r="3189">
      <c r="A3189" s="23"/>
      <c r="B3189" s="101"/>
      <c r="C3189" s="115"/>
      <c r="D3189" s="115"/>
      <c r="E3189" s="85"/>
      <c r="F3189" s="138"/>
      <c r="G3189" s="101"/>
      <c r="H3189" s="105"/>
      <c r="I3189" s="105"/>
      <c r="J3189" s="44"/>
      <c r="K3189" s="116"/>
      <c r="L3189" s="117"/>
      <c r="M3189" s="67"/>
      <c r="N3189" s="33"/>
      <c r="O3189" s="70"/>
      <c r="P3189" s="34"/>
      <c r="Q3189" s="60"/>
      <c r="R3189" s="36"/>
      <c r="S3189" s="71"/>
      <c r="T3189" s="37"/>
      <c r="U3189" s="118"/>
      <c r="V3189" s="74"/>
      <c r="W3189" s="74"/>
      <c r="X3189" s="35"/>
      <c r="Y3189" s="35"/>
      <c r="Z3189" s="40"/>
      <c r="AA3189" s="34"/>
      <c r="AB3189" s="41"/>
      <c r="AC3189" s="42" t="b">
        <v>0</v>
      </c>
      <c r="AD3189" s="66"/>
      <c r="AE3189" s="42"/>
      <c r="AF3189" s="42"/>
      <c r="AG3189" s="43"/>
    </row>
    <row r="3190">
      <c r="A3190" s="23"/>
      <c r="B3190" s="101"/>
      <c r="C3190" s="115"/>
      <c r="D3190" s="115"/>
      <c r="E3190" s="85"/>
      <c r="F3190" s="138"/>
      <c r="G3190" s="101"/>
      <c r="H3190" s="105"/>
      <c r="I3190" s="105"/>
      <c r="J3190" s="44"/>
      <c r="K3190" s="116"/>
      <c r="L3190" s="117"/>
      <c r="M3190" s="67"/>
      <c r="N3190" s="33"/>
      <c r="O3190" s="70"/>
      <c r="P3190" s="34"/>
      <c r="Q3190" s="60"/>
      <c r="R3190" s="36"/>
      <c r="S3190" s="71"/>
      <c r="T3190" s="37"/>
      <c r="U3190" s="118"/>
      <c r="V3190" s="74"/>
      <c r="W3190" s="74"/>
      <c r="X3190" s="35"/>
      <c r="Y3190" s="35"/>
      <c r="Z3190" s="40"/>
      <c r="AA3190" s="34"/>
      <c r="AB3190" s="41"/>
      <c r="AC3190" s="42" t="b">
        <v>0</v>
      </c>
      <c r="AD3190" s="66"/>
      <c r="AE3190" s="42"/>
      <c r="AF3190" s="42"/>
      <c r="AG3190" s="43"/>
    </row>
    <row r="3191">
      <c r="A3191" s="23"/>
      <c r="B3191" s="101"/>
      <c r="C3191" s="115"/>
      <c r="D3191" s="115"/>
      <c r="E3191" s="85"/>
      <c r="F3191" s="138"/>
      <c r="G3191" s="101"/>
      <c r="H3191" s="105"/>
      <c r="I3191" s="105"/>
      <c r="J3191" s="44"/>
      <c r="K3191" s="116"/>
      <c r="L3191" s="117"/>
      <c r="M3191" s="67"/>
      <c r="N3191" s="33"/>
      <c r="O3191" s="70"/>
      <c r="P3191" s="34"/>
      <c r="Q3191" s="60"/>
      <c r="R3191" s="36"/>
      <c r="S3191" s="71"/>
      <c r="T3191" s="37"/>
      <c r="U3191" s="118"/>
      <c r="V3191" s="74"/>
      <c r="W3191" s="74"/>
      <c r="X3191" s="35"/>
      <c r="Y3191" s="35"/>
      <c r="Z3191" s="40"/>
      <c r="AA3191" s="34"/>
      <c r="AB3191" s="41"/>
      <c r="AC3191" s="42" t="b">
        <v>0</v>
      </c>
      <c r="AD3191" s="66"/>
      <c r="AE3191" s="42"/>
      <c r="AF3191" s="42"/>
      <c r="AG3191" s="43"/>
    </row>
    <row r="3192">
      <c r="A3192" s="23"/>
      <c r="B3192" s="101"/>
      <c r="C3192" s="115"/>
      <c r="D3192" s="115"/>
      <c r="E3192" s="85"/>
      <c r="F3192" s="138"/>
      <c r="G3192" s="101"/>
      <c r="H3192" s="105"/>
      <c r="I3192" s="105"/>
      <c r="J3192" s="44"/>
      <c r="K3192" s="116"/>
      <c r="L3192" s="117"/>
      <c r="M3192" s="67"/>
      <c r="N3192" s="33"/>
      <c r="O3192" s="70"/>
      <c r="P3192" s="34"/>
      <c r="Q3192" s="60"/>
      <c r="R3192" s="36"/>
      <c r="S3192" s="71"/>
      <c r="T3192" s="37"/>
      <c r="U3192" s="118"/>
      <c r="V3192" s="74"/>
      <c r="W3192" s="74"/>
      <c r="X3192" s="35"/>
      <c r="Y3192" s="35"/>
      <c r="Z3192" s="40"/>
      <c r="AA3192" s="34"/>
      <c r="AB3192" s="41"/>
      <c r="AC3192" s="42" t="b">
        <v>0</v>
      </c>
      <c r="AD3192" s="66"/>
      <c r="AE3192" s="42"/>
      <c r="AF3192" s="42"/>
      <c r="AG3192" s="43"/>
    </row>
    <row r="3193">
      <c r="A3193" s="23"/>
      <c r="B3193" s="101"/>
      <c r="C3193" s="115"/>
      <c r="D3193" s="115"/>
      <c r="E3193" s="85"/>
      <c r="F3193" s="138"/>
      <c r="G3193" s="101"/>
      <c r="H3193" s="105"/>
      <c r="I3193" s="105"/>
      <c r="J3193" s="44"/>
      <c r="K3193" s="116"/>
      <c r="L3193" s="117"/>
      <c r="M3193" s="67"/>
      <c r="N3193" s="33"/>
      <c r="O3193" s="70"/>
      <c r="P3193" s="34"/>
      <c r="Q3193" s="60"/>
      <c r="R3193" s="36"/>
      <c r="S3193" s="71"/>
      <c r="T3193" s="37"/>
      <c r="U3193" s="118"/>
      <c r="V3193" s="74"/>
      <c r="W3193" s="74"/>
      <c r="X3193" s="35"/>
      <c r="Y3193" s="35"/>
      <c r="Z3193" s="40"/>
      <c r="AA3193" s="34"/>
      <c r="AB3193" s="41"/>
      <c r="AC3193" s="42" t="b">
        <v>0</v>
      </c>
      <c r="AD3193" s="66"/>
      <c r="AE3193" s="42"/>
      <c r="AF3193" s="42"/>
      <c r="AG3193" s="43"/>
    </row>
    <row r="3194">
      <c r="A3194" s="23"/>
      <c r="B3194" s="101"/>
      <c r="C3194" s="115"/>
      <c r="D3194" s="115"/>
      <c r="E3194" s="85"/>
      <c r="F3194" s="138"/>
      <c r="G3194" s="101"/>
      <c r="H3194" s="105"/>
      <c r="I3194" s="105"/>
      <c r="J3194" s="44"/>
      <c r="K3194" s="116"/>
      <c r="L3194" s="117"/>
      <c r="M3194" s="67"/>
      <c r="N3194" s="33"/>
      <c r="O3194" s="70"/>
      <c r="P3194" s="34"/>
      <c r="Q3194" s="60"/>
      <c r="R3194" s="36"/>
      <c r="S3194" s="71"/>
      <c r="T3194" s="37"/>
      <c r="U3194" s="118"/>
      <c r="V3194" s="74"/>
      <c r="W3194" s="74"/>
      <c r="X3194" s="35"/>
      <c r="Y3194" s="35"/>
      <c r="Z3194" s="40"/>
      <c r="AA3194" s="34"/>
      <c r="AB3194" s="41"/>
      <c r="AC3194" s="42" t="b">
        <v>0</v>
      </c>
      <c r="AD3194" s="66"/>
      <c r="AE3194" s="42"/>
      <c r="AF3194" s="42"/>
      <c r="AG3194" s="43"/>
    </row>
    <row r="3195">
      <c r="A3195" s="23"/>
      <c r="B3195" s="101"/>
      <c r="C3195" s="115"/>
      <c r="D3195" s="115"/>
      <c r="E3195" s="85"/>
      <c r="F3195" s="138"/>
      <c r="G3195" s="101"/>
      <c r="H3195" s="105"/>
      <c r="I3195" s="105"/>
      <c r="J3195" s="44"/>
      <c r="K3195" s="116"/>
      <c r="L3195" s="117"/>
      <c r="M3195" s="67"/>
      <c r="N3195" s="33"/>
      <c r="O3195" s="70"/>
      <c r="P3195" s="34"/>
      <c r="Q3195" s="60"/>
      <c r="R3195" s="36"/>
      <c r="S3195" s="71"/>
      <c r="T3195" s="37"/>
      <c r="U3195" s="118"/>
      <c r="V3195" s="74"/>
      <c r="W3195" s="74"/>
      <c r="X3195" s="35"/>
      <c r="Y3195" s="35"/>
      <c r="Z3195" s="40"/>
      <c r="AA3195" s="34"/>
      <c r="AB3195" s="41"/>
      <c r="AC3195" s="42" t="b">
        <v>0</v>
      </c>
      <c r="AD3195" s="66"/>
      <c r="AE3195" s="42"/>
      <c r="AF3195" s="42"/>
      <c r="AG3195" s="43"/>
    </row>
    <row r="3196">
      <c r="A3196" s="23"/>
      <c r="B3196" s="101"/>
      <c r="C3196" s="115"/>
      <c r="D3196" s="115"/>
      <c r="E3196" s="85"/>
      <c r="F3196" s="138"/>
      <c r="G3196" s="101"/>
      <c r="H3196" s="105"/>
      <c r="I3196" s="105"/>
      <c r="J3196" s="44"/>
      <c r="K3196" s="116"/>
      <c r="L3196" s="117"/>
      <c r="M3196" s="67"/>
      <c r="N3196" s="33"/>
      <c r="O3196" s="70"/>
      <c r="P3196" s="34"/>
      <c r="Q3196" s="60"/>
      <c r="R3196" s="36"/>
      <c r="S3196" s="71"/>
      <c r="T3196" s="37"/>
      <c r="U3196" s="118"/>
      <c r="V3196" s="74"/>
      <c r="W3196" s="74"/>
      <c r="X3196" s="35"/>
      <c r="Y3196" s="35"/>
      <c r="Z3196" s="40"/>
      <c r="AA3196" s="34"/>
      <c r="AB3196" s="41"/>
      <c r="AC3196" s="42" t="b">
        <v>0</v>
      </c>
      <c r="AD3196" s="66"/>
      <c r="AE3196" s="42"/>
      <c r="AF3196" s="42"/>
      <c r="AG3196" s="43"/>
    </row>
    <row r="3197">
      <c r="A3197" s="23"/>
      <c r="B3197" s="101"/>
      <c r="C3197" s="115"/>
      <c r="D3197" s="115"/>
      <c r="E3197" s="85"/>
      <c r="F3197" s="138"/>
      <c r="G3197" s="101"/>
      <c r="H3197" s="105"/>
      <c r="I3197" s="105"/>
      <c r="J3197" s="44"/>
      <c r="K3197" s="116"/>
      <c r="L3197" s="117"/>
      <c r="M3197" s="67"/>
      <c r="N3197" s="33"/>
      <c r="O3197" s="70"/>
      <c r="P3197" s="34"/>
      <c r="Q3197" s="60"/>
      <c r="R3197" s="36"/>
      <c r="S3197" s="71"/>
      <c r="T3197" s="37"/>
      <c r="U3197" s="118"/>
      <c r="V3197" s="74"/>
      <c r="W3197" s="74"/>
      <c r="X3197" s="35"/>
      <c r="Y3197" s="35"/>
      <c r="Z3197" s="40"/>
      <c r="AA3197" s="34"/>
      <c r="AB3197" s="41"/>
      <c r="AC3197" s="42" t="b">
        <v>0</v>
      </c>
      <c r="AD3197" s="66"/>
      <c r="AE3197" s="42"/>
      <c r="AF3197" s="42"/>
      <c r="AG3197" s="43"/>
    </row>
    <row r="3198">
      <c r="A3198" s="23"/>
      <c r="B3198" s="101"/>
      <c r="C3198" s="115"/>
      <c r="D3198" s="115"/>
      <c r="E3198" s="85"/>
      <c r="F3198" s="138"/>
      <c r="G3198" s="101"/>
      <c r="H3198" s="105"/>
      <c r="I3198" s="105"/>
      <c r="J3198" s="44"/>
      <c r="K3198" s="116"/>
      <c r="L3198" s="117"/>
      <c r="M3198" s="67"/>
      <c r="N3198" s="33"/>
      <c r="O3198" s="70"/>
      <c r="P3198" s="34"/>
      <c r="Q3198" s="60"/>
      <c r="R3198" s="36"/>
      <c r="S3198" s="71"/>
      <c r="T3198" s="37"/>
      <c r="U3198" s="118"/>
      <c r="V3198" s="74"/>
      <c r="W3198" s="74"/>
      <c r="X3198" s="35"/>
      <c r="Y3198" s="35"/>
      <c r="Z3198" s="40"/>
      <c r="AA3198" s="34"/>
      <c r="AB3198" s="41"/>
      <c r="AC3198" s="42" t="b">
        <v>0</v>
      </c>
      <c r="AD3198" s="66"/>
      <c r="AE3198" s="42"/>
      <c r="AF3198" s="42"/>
      <c r="AG3198" s="43"/>
    </row>
    <row r="3199">
      <c r="A3199" s="23"/>
      <c r="B3199" s="101"/>
      <c r="C3199" s="115"/>
      <c r="D3199" s="115"/>
      <c r="E3199" s="85"/>
      <c r="F3199" s="138"/>
      <c r="G3199" s="101"/>
      <c r="H3199" s="105"/>
      <c r="I3199" s="105"/>
      <c r="J3199" s="44"/>
      <c r="K3199" s="116"/>
      <c r="L3199" s="117"/>
      <c r="M3199" s="67"/>
      <c r="N3199" s="33"/>
      <c r="O3199" s="70"/>
      <c r="P3199" s="34"/>
      <c r="Q3199" s="60"/>
      <c r="R3199" s="36"/>
      <c r="S3199" s="71"/>
      <c r="T3199" s="37"/>
      <c r="U3199" s="118"/>
      <c r="V3199" s="74"/>
      <c r="W3199" s="74"/>
      <c r="X3199" s="35"/>
      <c r="Y3199" s="35"/>
      <c r="Z3199" s="40"/>
      <c r="AA3199" s="34"/>
      <c r="AB3199" s="41"/>
      <c r="AC3199" s="42" t="b">
        <v>0</v>
      </c>
      <c r="AD3199" s="66"/>
      <c r="AE3199" s="42"/>
      <c r="AF3199" s="42"/>
      <c r="AG3199" s="43"/>
    </row>
    <row r="3200">
      <c r="A3200" s="23"/>
      <c r="B3200" s="101"/>
      <c r="C3200" s="115"/>
      <c r="D3200" s="115"/>
      <c r="E3200" s="85"/>
      <c r="F3200" s="138"/>
      <c r="G3200" s="101"/>
      <c r="H3200" s="105"/>
      <c r="I3200" s="105"/>
      <c r="J3200" s="44"/>
      <c r="K3200" s="116"/>
      <c r="L3200" s="117"/>
      <c r="M3200" s="67"/>
      <c r="N3200" s="33"/>
      <c r="O3200" s="70"/>
      <c r="P3200" s="34"/>
      <c r="Q3200" s="60"/>
      <c r="R3200" s="36"/>
      <c r="S3200" s="71"/>
      <c r="T3200" s="37"/>
      <c r="U3200" s="118"/>
      <c r="V3200" s="74"/>
      <c r="W3200" s="74"/>
      <c r="X3200" s="35"/>
      <c r="Y3200" s="35"/>
      <c r="Z3200" s="40"/>
      <c r="AA3200" s="34"/>
      <c r="AB3200" s="41"/>
      <c r="AC3200" s="42" t="b">
        <v>0</v>
      </c>
      <c r="AD3200" s="66"/>
      <c r="AE3200" s="42"/>
      <c r="AF3200" s="42"/>
      <c r="AG3200" s="43"/>
    </row>
    <row r="3201">
      <c r="A3201" s="23"/>
      <c r="B3201" s="101"/>
      <c r="C3201" s="115"/>
      <c r="D3201" s="115"/>
      <c r="E3201" s="85"/>
      <c r="F3201" s="138"/>
      <c r="G3201" s="101"/>
      <c r="H3201" s="105"/>
      <c r="I3201" s="105"/>
      <c r="J3201" s="44"/>
      <c r="K3201" s="116"/>
      <c r="L3201" s="117"/>
      <c r="M3201" s="67"/>
      <c r="N3201" s="33"/>
      <c r="O3201" s="70"/>
      <c r="P3201" s="34"/>
      <c r="Q3201" s="60"/>
      <c r="R3201" s="36"/>
      <c r="S3201" s="71"/>
      <c r="T3201" s="37"/>
      <c r="U3201" s="118"/>
      <c r="V3201" s="74"/>
      <c r="W3201" s="74"/>
      <c r="X3201" s="35"/>
      <c r="Y3201" s="35"/>
      <c r="Z3201" s="40"/>
      <c r="AA3201" s="34"/>
      <c r="AB3201" s="41"/>
      <c r="AC3201" s="42" t="b">
        <v>0</v>
      </c>
      <c r="AD3201" s="66"/>
      <c r="AE3201" s="42"/>
      <c r="AF3201" s="42"/>
      <c r="AG3201" s="43"/>
    </row>
    <row r="3202">
      <c r="A3202" s="23"/>
      <c r="B3202" s="101"/>
      <c r="C3202" s="115"/>
      <c r="D3202" s="115"/>
      <c r="E3202" s="85"/>
      <c r="F3202" s="138"/>
      <c r="G3202" s="101"/>
      <c r="H3202" s="105"/>
      <c r="I3202" s="105"/>
      <c r="J3202" s="44"/>
      <c r="K3202" s="116"/>
      <c r="L3202" s="117"/>
      <c r="M3202" s="67"/>
      <c r="N3202" s="33"/>
      <c r="O3202" s="70"/>
      <c r="P3202" s="34"/>
      <c r="Q3202" s="60"/>
      <c r="R3202" s="36"/>
      <c r="S3202" s="71"/>
      <c r="T3202" s="37"/>
      <c r="U3202" s="118"/>
      <c r="V3202" s="74"/>
      <c r="W3202" s="74"/>
      <c r="X3202" s="35"/>
      <c r="Y3202" s="35"/>
      <c r="Z3202" s="40"/>
      <c r="AA3202" s="34"/>
      <c r="AB3202" s="41"/>
      <c r="AC3202" s="42" t="b">
        <v>0</v>
      </c>
      <c r="AD3202" s="66"/>
      <c r="AE3202" s="42"/>
      <c r="AF3202" s="42"/>
      <c r="AG3202" s="43"/>
    </row>
    <row r="3203">
      <c r="A3203" s="23"/>
      <c r="B3203" s="101"/>
      <c r="C3203" s="115"/>
      <c r="D3203" s="115"/>
      <c r="E3203" s="85"/>
      <c r="F3203" s="138"/>
      <c r="G3203" s="101"/>
      <c r="H3203" s="105"/>
      <c r="I3203" s="105"/>
      <c r="J3203" s="44"/>
      <c r="K3203" s="116"/>
      <c r="L3203" s="117"/>
      <c r="M3203" s="67"/>
      <c r="N3203" s="33"/>
      <c r="O3203" s="70"/>
      <c r="P3203" s="34"/>
      <c r="Q3203" s="60"/>
      <c r="R3203" s="36"/>
      <c r="S3203" s="71"/>
      <c r="T3203" s="37"/>
      <c r="U3203" s="118"/>
      <c r="V3203" s="74"/>
      <c r="W3203" s="74"/>
      <c r="X3203" s="35"/>
      <c r="Y3203" s="35"/>
      <c r="Z3203" s="40"/>
      <c r="AA3203" s="34"/>
      <c r="AB3203" s="41"/>
      <c r="AC3203" s="42" t="b">
        <v>0</v>
      </c>
      <c r="AD3203" s="66"/>
      <c r="AE3203" s="42"/>
      <c r="AF3203" s="42"/>
      <c r="AG3203" s="43"/>
    </row>
    <row r="3204">
      <c r="A3204" s="23"/>
      <c r="B3204" s="101"/>
      <c r="C3204" s="115"/>
      <c r="D3204" s="115"/>
      <c r="E3204" s="85"/>
      <c r="F3204" s="138"/>
      <c r="G3204" s="101"/>
      <c r="H3204" s="105"/>
      <c r="I3204" s="105"/>
      <c r="J3204" s="44"/>
      <c r="K3204" s="116"/>
      <c r="L3204" s="117"/>
      <c r="M3204" s="67"/>
      <c r="N3204" s="33"/>
      <c r="O3204" s="70"/>
      <c r="P3204" s="34"/>
      <c r="Q3204" s="60"/>
      <c r="R3204" s="36"/>
      <c r="S3204" s="71"/>
      <c r="T3204" s="37"/>
      <c r="U3204" s="118"/>
      <c r="V3204" s="74"/>
      <c r="W3204" s="74"/>
      <c r="X3204" s="35"/>
      <c r="Y3204" s="35"/>
      <c r="Z3204" s="40"/>
      <c r="AA3204" s="34"/>
      <c r="AB3204" s="41"/>
      <c r="AC3204" s="42" t="b">
        <v>0</v>
      </c>
      <c r="AD3204" s="66"/>
      <c r="AE3204" s="42"/>
      <c r="AF3204" s="42"/>
      <c r="AG3204" s="43"/>
    </row>
    <row r="3205">
      <c r="A3205" s="23"/>
      <c r="B3205" s="101"/>
      <c r="C3205" s="115"/>
      <c r="D3205" s="115"/>
      <c r="E3205" s="85"/>
      <c r="F3205" s="138"/>
      <c r="G3205" s="101"/>
      <c r="H3205" s="105"/>
      <c r="I3205" s="105"/>
      <c r="J3205" s="44"/>
      <c r="K3205" s="116"/>
      <c r="L3205" s="117"/>
      <c r="M3205" s="67"/>
      <c r="N3205" s="33"/>
      <c r="O3205" s="70"/>
      <c r="P3205" s="34"/>
      <c r="Q3205" s="60"/>
      <c r="R3205" s="36"/>
      <c r="S3205" s="71"/>
      <c r="T3205" s="37"/>
      <c r="U3205" s="118"/>
      <c r="V3205" s="74"/>
      <c r="W3205" s="74"/>
      <c r="X3205" s="35"/>
      <c r="Y3205" s="35"/>
      <c r="Z3205" s="40"/>
      <c r="AA3205" s="34"/>
      <c r="AB3205" s="41"/>
      <c r="AC3205" s="42" t="b">
        <v>0</v>
      </c>
      <c r="AD3205" s="66"/>
      <c r="AE3205" s="42"/>
      <c r="AF3205" s="42"/>
      <c r="AG3205" s="43"/>
    </row>
    <row r="3206">
      <c r="A3206" s="23"/>
      <c r="B3206" s="101"/>
      <c r="C3206" s="115"/>
      <c r="D3206" s="115"/>
      <c r="E3206" s="85"/>
      <c r="F3206" s="138"/>
      <c r="G3206" s="101"/>
      <c r="H3206" s="105"/>
      <c r="I3206" s="105"/>
      <c r="J3206" s="44"/>
      <c r="K3206" s="116"/>
      <c r="L3206" s="117"/>
      <c r="M3206" s="67"/>
      <c r="N3206" s="33"/>
      <c r="O3206" s="70"/>
      <c r="P3206" s="34"/>
      <c r="Q3206" s="60"/>
      <c r="R3206" s="36"/>
      <c r="S3206" s="71"/>
      <c r="T3206" s="37"/>
      <c r="U3206" s="118"/>
      <c r="V3206" s="74"/>
      <c r="W3206" s="74"/>
      <c r="X3206" s="35"/>
      <c r="Y3206" s="35"/>
      <c r="Z3206" s="40"/>
      <c r="AA3206" s="34"/>
      <c r="AB3206" s="41"/>
      <c r="AC3206" s="42" t="b">
        <v>0</v>
      </c>
      <c r="AD3206" s="66"/>
      <c r="AE3206" s="42"/>
      <c r="AF3206" s="42"/>
      <c r="AG3206" s="43"/>
    </row>
    <row r="3207">
      <c r="A3207" s="23"/>
      <c r="B3207" s="101"/>
      <c r="C3207" s="115"/>
      <c r="D3207" s="115"/>
      <c r="E3207" s="85"/>
      <c r="F3207" s="138"/>
      <c r="G3207" s="101"/>
      <c r="H3207" s="105"/>
      <c r="I3207" s="105"/>
      <c r="J3207" s="44"/>
      <c r="K3207" s="116"/>
      <c r="L3207" s="117"/>
      <c r="M3207" s="67"/>
      <c r="N3207" s="33"/>
      <c r="O3207" s="70"/>
      <c r="P3207" s="34"/>
      <c r="Q3207" s="60"/>
      <c r="R3207" s="36"/>
      <c r="S3207" s="71"/>
      <c r="T3207" s="37"/>
      <c r="U3207" s="118"/>
      <c r="V3207" s="74"/>
      <c r="W3207" s="74"/>
      <c r="X3207" s="35"/>
      <c r="Y3207" s="35"/>
      <c r="Z3207" s="40"/>
      <c r="AA3207" s="34"/>
      <c r="AB3207" s="41"/>
      <c r="AC3207" s="42" t="b">
        <v>0</v>
      </c>
      <c r="AD3207" s="66"/>
      <c r="AE3207" s="42"/>
      <c r="AF3207" s="42"/>
      <c r="AG3207" s="43"/>
    </row>
    <row r="3208">
      <c r="A3208" s="23"/>
      <c r="B3208" s="101"/>
      <c r="C3208" s="115"/>
      <c r="D3208" s="115"/>
      <c r="E3208" s="85"/>
      <c r="F3208" s="138"/>
      <c r="G3208" s="101"/>
      <c r="H3208" s="105"/>
      <c r="I3208" s="105"/>
      <c r="J3208" s="44"/>
      <c r="K3208" s="116"/>
      <c r="L3208" s="117"/>
      <c r="M3208" s="67"/>
      <c r="N3208" s="33"/>
      <c r="O3208" s="70"/>
      <c r="P3208" s="34"/>
      <c r="Q3208" s="60"/>
      <c r="R3208" s="36"/>
      <c r="S3208" s="71"/>
      <c r="T3208" s="37"/>
      <c r="U3208" s="118"/>
      <c r="V3208" s="74"/>
      <c r="W3208" s="74"/>
      <c r="X3208" s="35"/>
      <c r="Y3208" s="35"/>
      <c r="Z3208" s="40"/>
      <c r="AA3208" s="34"/>
      <c r="AB3208" s="41"/>
      <c r="AC3208" s="42" t="b">
        <v>0</v>
      </c>
      <c r="AD3208" s="66"/>
      <c r="AE3208" s="42"/>
      <c r="AF3208" s="42"/>
      <c r="AG3208" s="43"/>
    </row>
    <row r="3209">
      <c r="A3209" s="23"/>
      <c r="B3209" s="101"/>
      <c r="C3209" s="115"/>
      <c r="D3209" s="115"/>
      <c r="E3209" s="85"/>
      <c r="F3209" s="138"/>
      <c r="G3209" s="101"/>
      <c r="H3209" s="105"/>
      <c r="I3209" s="105"/>
      <c r="J3209" s="44"/>
      <c r="K3209" s="116"/>
      <c r="L3209" s="117"/>
      <c r="M3209" s="67"/>
      <c r="N3209" s="33"/>
      <c r="O3209" s="70"/>
      <c r="P3209" s="34"/>
      <c r="Q3209" s="60"/>
      <c r="R3209" s="36"/>
      <c r="S3209" s="71"/>
      <c r="T3209" s="37"/>
      <c r="U3209" s="118"/>
      <c r="V3209" s="74"/>
      <c r="W3209" s="74"/>
      <c r="X3209" s="35"/>
      <c r="Y3209" s="35"/>
      <c r="Z3209" s="40"/>
      <c r="AA3209" s="34"/>
      <c r="AB3209" s="41"/>
      <c r="AC3209" s="42" t="b">
        <v>0</v>
      </c>
      <c r="AD3209" s="66"/>
      <c r="AE3209" s="42"/>
      <c r="AF3209" s="42"/>
      <c r="AG3209" s="43"/>
    </row>
    <row r="3210">
      <c r="A3210" s="23"/>
      <c r="B3210" s="101"/>
      <c r="C3210" s="115"/>
      <c r="D3210" s="115"/>
      <c r="E3210" s="85"/>
      <c r="F3210" s="138"/>
      <c r="G3210" s="101"/>
      <c r="H3210" s="105"/>
      <c r="I3210" s="105"/>
      <c r="J3210" s="44"/>
      <c r="K3210" s="116"/>
      <c r="L3210" s="117"/>
      <c r="M3210" s="67"/>
      <c r="N3210" s="33"/>
      <c r="O3210" s="70"/>
      <c r="P3210" s="34"/>
      <c r="Q3210" s="60"/>
      <c r="R3210" s="36"/>
      <c r="S3210" s="71"/>
      <c r="T3210" s="37"/>
      <c r="U3210" s="118"/>
      <c r="V3210" s="74"/>
      <c r="W3210" s="74"/>
      <c r="X3210" s="35"/>
      <c r="Y3210" s="35"/>
      <c r="Z3210" s="40"/>
      <c r="AA3210" s="34"/>
      <c r="AB3210" s="41"/>
      <c r="AC3210" s="42" t="b">
        <v>0</v>
      </c>
      <c r="AD3210" s="66"/>
      <c r="AE3210" s="42"/>
      <c r="AF3210" s="42"/>
      <c r="AG3210" s="43"/>
    </row>
    <row r="3211">
      <c r="A3211" s="23"/>
      <c r="B3211" s="101"/>
      <c r="C3211" s="115"/>
      <c r="D3211" s="115"/>
      <c r="E3211" s="85"/>
      <c r="F3211" s="138"/>
      <c r="G3211" s="101"/>
      <c r="H3211" s="105"/>
      <c r="I3211" s="105"/>
      <c r="J3211" s="44"/>
      <c r="K3211" s="116"/>
      <c r="L3211" s="117"/>
      <c r="M3211" s="67"/>
      <c r="N3211" s="33"/>
      <c r="O3211" s="70"/>
      <c r="P3211" s="34"/>
      <c r="Q3211" s="60"/>
      <c r="R3211" s="36"/>
      <c r="S3211" s="71"/>
      <c r="T3211" s="37"/>
      <c r="U3211" s="118"/>
      <c r="V3211" s="74"/>
      <c r="W3211" s="74"/>
      <c r="X3211" s="35"/>
      <c r="Y3211" s="35"/>
      <c r="Z3211" s="40"/>
      <c r="AA3211" s="34"/>
      <c r="AB3211" s="41"/>
      <c r="AC3211" s="42" t="b">
        <v>0</v>
      </c>
      <c r="AD3211" s="66"/>
      <c r="AE3211" s="42"/>
      <c r="AF3211" s="42"/>
      <c r="AG3211" s="43"/>
    </row>
    <row r="3212">
      <c r="A3212" s="23"/>
      <c r="B3212" s="101"/>
      <c r="C3212" s="115"/>
      <c r="D3212" s="115"/>
      <c r="E3212" s="85"/>
      <c r="F3212" s="138"/>
      <c r="G3212" s="101"/>
      <c r="H3212" s="105"/>
      <c r="I3212" s="105"/>
      <c r="J3212" s="44"/>
      <c r="K3212" s="116"/>
      <c r="L3212" s="117"/>
      <c r="M3212" s="67"/>
      <c r="N3212" s="33"/>
      <c r="O3212" s="70"/>
      <c r="P3212" s="34"/>
      <c r="Q3212" s="60"/>
      <c r="R3212" s="36"/>
      <c r="S3212" s="71"/>
      <c r="T3212" s="37"/>
      <c r="U3212" s="118"/>
      <c r="V3212" s="74"/>
      <c r="W3212" s="74"/>
      <c r="X3212" s="35"/>
      <c r="Y3212" s="35"/>
      <c r="Z3212" s="40"/>
      <c r="AA3212" s="34"/>
      <c r="AB3212" s="41"/>
      <c r="AC3212" s="42" t="b">
        <v>0</v>
      </c>
      <c r="AD3212" s="66"/>
      <c r="AE3212" s="42"/>
      <c r="AF3212" s="42"/>
      <c r="AG3212" s="43"/>
    </row>
    <row r="3213">
      <c r="A3213" s="23"/>
      <c r="B3213" s="101"/>
      <c r="C3213" s="115"/>
      <c r="D3213" s="115"/>
      <c r="E3213" s="85"/>
      <c r="F3213" s="138"/>
      <c r="G3213" s="101"/>
      <c r="H3213" s="105"/>
      <c r="I3213" s="105"/>
      <c r="J3213" s="44"/>
      <c r="K3213" s="116"/>
      <c r="L3213" s="117"/>
      <c r="M3213" s="67"/>
      <c r="N3213" s="33"/>
      <c r="O3213" s="70"/>
      <c r="P3213" s="34"/>
      <c r="Q3213" s="60"/>
      <c r="R3213" s="36"/>
      <c r="S3213" s="71"/>
      <c r="T3213" s="37"/>
      <c r="U3213" s="118"/>
      <c r="V3213" s="74"/>
      <c r="W3213" s="74"/>
      <c r="X3213" s="35"/>
      <c r="Y3213" s="35"/>
      <c r="Z3213" s="40"/>
      <c r="AA3213" s="34"/>
      <c r="AB3213" s="41"/>
      <c r="AC3213" s="42" t="b">
        <v>0</v>
      </c>
      <c r="AD3213" s="66"/>
      <c r="AE3213" s="42"/>
      <c r="AF3213" s="42"/>
      <c r="AG3213" s="43"/>
    </row>
    <row r="3214">
      <c r="A3214" s="23"/>
      <c r="B3214" s="101"/>
      <c r="C3214" s="115"/>
      <c r="D3214" s="115"/>
      <c r="E3214" s="85"/>
      <c r="F3214" s="138"/>
      <c r="G3214" s="101"/>
      <c r="H3214" s="105"/>
      <c r="I3214" s="105"/>
      <c r="J3214" s="44"/>
      <c r="K3214" s="116"/>
      <c r="L3214" s="117"/>
      <c r="M3214" s="67"/>
      <c r="N3214" s="33"/>
      <c r="O3214" s="70"/>
      <c r="P3214" s="34"/>
      <c r="Q3214" s="60"/>
      <c r="R3214" s="36"/>
      <c r="S3214" s="71"/>
      <c r="T3214" s="37"/>
      <c r="U3214" s="118"/>
      <c r="V3214" s="74"/>
      <c r="W3214" s="74"/>
      <c r="X3214" s="35"/>
      <c r="Y3214" s="35"/>
      <c r="Z3214" s="40"/>
      <c r="AA3214" s="34"/>
      <c r="AB3214" s="41"/>
      <c r="AC3214" s="42" t="b">
        <v>0</v>
      </c>
      <c r="AD3214" s="66"/>
      <c r="AE3214" s="42"/>
      <c r="AF3214" s="42"/>
      <c r="AG3214" s="43"/>
    </row>
    <row r="3215">
      <c r="A3215" s="23"/>
      <c r="B3215" s="101"/>
      <c r="C3215" s="115"/>
      <c r="D3215" s="115"/>
      <c r="E3215" s="85"/>
      <c r="F3215" s="138"/>
      <c r="G3215" s="101"/>
      <c r="H3215" s="105"/>
      <c r="I3215" s="105"/>
      <c r="J3215" s="44"/>
      <c r="K3215" s="116"/>
      <c r="L3215" s="117"/>
      <c r="M3215" s="67"/>
      <c r="N3215" s="33"/>
      <c r="O3215" s="70"/>
      <c r="P3215" s="34"/>
      <c r="Q3215" s="60"/>
      <c r="R3215" s="36"/>
      <c r="S3215" s="71"/>
      <c r="T3215" s="37"/>
      <c r="U3215" s="118"/>
      <c r="V3215" s="74"/>
      <c r="W3215" s="74"/>
      <c r="X3215" s="35"/>
      <c r="Y3215" s="35"/>
      <c r="Z3215" s="40"/>
      <c r="AA3215" s="34"/>
      <c r="AB3215" s="41"/>
      <c r="AC3215" s="42" t="b">
        <v>0</v>
      </c>
      <c r="AD3215" s="66"/>
      <c r="AE3215" s="42"/>
      <c r="AF3215" s="42"/>
      <c r="AG3215" s="43"/>
    </row>
    <row r="3216">
      <c r="A3216" s="23"/>
      <c r="B3216" s="101"/>
      <c r="C3216" s="115"/>
      <c r="D3216" s="115"/>
      <c r="E3216" s="85"/>
      <c r="F3216" s="138"/>
      <c r="G3216" s="101"/>
      <c r="H3216" s="105"/>
      <c r="I3216" s="105"/>
      <c r="J3216" s="44"/>
      <c r="K3216" s="116"/>
      <c r="L3216" s="117"/>
      <c r="M3216" s="67"/>
      <c r="N3216" s="33"/>
      <c r="O3216" s="70"/>
      <c r="P3216" s="34"/>
      <c r="Q3216" s="60"/>
      <c r="R3216" s="36"/>
      <c r="S3216" s="71"/>
      <c r="T3216" s="37"/>
      <c r="U3216" s="118"/>
      <c r="V3216" s="74"/>
      <c r="W3216" s="74"/>
      <c r="X3216" s="35"/>
      <c r="Y3216" s="35"/>
      <c r="Z3216" s="40"/>
      <c r="AA3216" s="34"/>
      <c r="AB3216" s="41"/>
      <c r="AC3216" s="42" t="b">
        <v>0</v>
      </c>
      <c r="AD3216" s="66"/>
      <c r="AE3216" s="42"/>
      <c r="AF3216" s="42"/>
      <c r="AG3216" s="43"/>
    </row>
    <row r="3217">
      <c r="A3217" s="23"/>
      <c r="B3217" s="101"/>
      <c r="C3217" s="115"/>
      <c r="D3217" s="115"/>
      <c r="E3217" s="85"/>
      <c r="F3217" s="138"/>
      <c r="G3217" s="101"/>
      <c r="H3217" s="105"/>
      <c r="I3217" s="105"/>
      <c r="J3217" s="44"/>
      <c r="K3217" s="116"/>
      <c r="L3217" s="117"/>
      <c r="M3217" s="67"/>
      <c r="N3217" s="33"/>
      <c r="O3217" s="70"/>
      <c r="P3217" s="34"/>
      <c r="Q3217" s="60"/>
      <c r="R3217" s="36"/>
      <c r="S3217" s="71"/>
      <c r="T3217" s="37"/>
      <c r="U3217" s="118"/>
      <c r="V3217" s="74"/>
      <c r="W3217" s="74"/>
      <c r="X3217" s="35"/>
      <c r="Y3217" s="35"/>
      <c r="Z3217" s="40"/>
      <c r="AA3217" s="34"/>
      <c r="AB3217" s="41"/>
      <c r="AC3217" s="42" t="b">
        <v>0</v>
      </c>
      <c r="AD3217" s="66"/>
      <c r="AE3217" s="42"/>
      <c r="AF3217" s="42"/>
      <c r="AG3217" s="43"/>
    </row>
    <row r="3218">
      <c r="A3218" s="23"/>
      <c r="B3218" s="101"/>
      <c r="C3218" s="115"/>
      <c r="D3218" s="115"/>
      <c r="E3218" s="85"/>
      <c r="F3218" s="138"/>
      <c r="G3218" s="101"/>
      <c r="H3218" s="105"/>
      <c r="I3218" s="105"/>
      <c r="J3218" s="44"/>
      <c r="K3218" s="116"/>
      <c r="L3218" s="117"/>
      <c r="M3218" s="67"/>
      <c r="N3218" s="33"/>
      <c r="O3218" s="70"/>
      <c r="P3218" s="34"/>
      <c r="Q3218" s="60"/>
      <c r="R3218" s="36"/>
      <c r="S3218" s="71"/>
      <c r="T3218" s="37"/>
      <c r="U3218" s="118"/>
      <c r="V3218" s="74"/>
      <c r="W3218" s="74"/>
      <c r="X3218" s="35"/>
      <c r="Y3218" s="35"/>
      <c r="Z3218" s="40"/>
      <c r="AA3218" s="34"/>
      <c r="AB3218" s="41"/>
      <c r="AC3218" s="42" t="b">
        <v>0</v>
      </c>
      <c r="AD3218" s="66"/>
      <c r="AE3218" s="42"/>
      <c r="AF3218" s="42"/>
      <c r="AG3218" s="43"/>
    </row>
    <row r="3219">
      <c r="A3219" s="23"/>
      <c r="B3219" s="101"/>
      <c r="C3219" s="115"/>
      <c r="D3219" s="115"/>
      <c r="E3219" s="85"/>
      <c r="F3219" s="138"/>
      <c r="G3219" s="101"/>
      <c r="H3219" s="105"/>
      <c r="I3219" s="105"/>
      <c r="J3219" s="44"/>
      <c r="K3219" s="116"/>
      <c r="L3219" s="117"/>
      <c r="M3219" s="67"/>
      <c r="N3219" s="33"/>
      <c r="O3219" s="70"/>
      <c r="P3219" s="34"/>
      <c r="Q3219" s="60"/>
      <c r="R3219" s="36"/>
      <c r="S3219" s="71"/>
      <c r="T3219" s="37"/>
      <c r="U3219" s="118"/>
      <c r="V3219" s="74"/>
      <c r="W3219" s="74"/>
      <c r="X3219" s="35"/>
      <c r="Y3219" s="35"/>
      <c r="Z3219" s="40"/>
      <c r="AA3219" s="34"/>
      <c r="AB3219" s="41"/>
      <c r="AC3219" s="42" t="b">
        <v>0</v>
      </c>
      <c r="AD3219" s="66"/>
      <c r="AE3219" s="42"/>
      <c r="AF3219" s="42"/>
      <c r="AG3219" s="43"/>
    </row>
    <row r="3220">
      <c r="A3220" s="23"/>
      <c r="B3220" s="101"/>
      <c r="C3220" s="115"/>
      <c r="D3220" s="115"/>
      <c r="E3220" s="85"/>
      <c r="F3220" s="138"/>
      <c r="G3220" s="101"/>
      <c r="H3220" s="105"/>
      <c r="I3220" s="105"/>
      <c r="J3220" s="44"/>
      <c r="K3220" s="116"/>
      <c r="L3220" s="117"/>
      <c r="M3220" s="67"/>
      <c r="N3220" s="33"/>
      <c r="O3220" s="70"/>
      <c r="P3220" s="34"/>
      <c r="Q3220" s="60"/>
      <c r="R3220" s="36"/>
      <c r="S3220" s="71"/>
      <c r="T3220" s="37"/>
      <c r="U3220" s="118"/>
      <c r="V3220" s="74"/>
      <c r="W3220" s="74"/>
      <c r="X3220" s="35"/>
      <c r="Y3220" s="35"/>
      <c r="Z3220" s="40"/>
      <c r="AA3220" s="34"/>
      <c r="AB3220" s="41"/>
      <c r="AC3220" s="42" t="b">
        <v>0</v>
      </c>
      <c r="AD3220" s="66"/>
      <c r="AE3220" s="42"/>
      <c r="AF3220" s="42"/>
      <c r="AG3220" s="43"/>
    </row>
    <row r="3221">
      <c r="A3221" s="23"/>
      <c r="B3221" s="101"/>
      <c r="C3221" s="115"/>
      <c r="D3221" s="115"/>
      <c r="E3221" s="85"/>
      <c r="F3221" s="138"/>
      <c r="G3221" s="101"/>
      <c r="H3221" s="105"/>
      <c r="I3221" s="105"/>
      <c r="J3221" s="44"/>
      <c r="K3221" s="116"/>
      <c r="L3221" s="117"/>
      <c r="M3221" s="67"/>
      <c r="N3221" s="33"/>
      <c r="O3221" s="70"/>
      <c r="P3221" s="34"/>
      <c r="Q3221" s="60"/>
      <c r="R3221" s="36"/>
      <c r="S3221" s="71"/>
      <c r="T3221" s="37"/>
      <c r="U3221" s="118"/>
      <c r="V3221" s="74"/>
      <c r="W3221" s="74"/>
      <c r="X3221" s="35"/>
      <c r="Y3221" s="35"/>
      <c r="Z3221" s="40"/>
      <c r="AA3221" s="34"/>
      <c r="AB3221" s="41"/>
      <c r="AC3221" s="42" t="b">
        <v>0</v>
      </c>
      <c r="AD3221" s="66"/>
      <c r="AE3221" s="42"/>
      <c r="AF3221" s="42"/>
      <c r="AG3221" s="43"/>
    </row>
    <row r="3222">
      <c r="A3222" s="23"/>
      <c r="B3222" s="101"/>
      <c r="C3222" s="115"/>
      <c r="D3222" s="115"/>
      <c r="E3222" s="85"/>
      <c r="F3222" s="138"/>
      <c r="G3222" s="101"/>
      <c r="H3222" s="105"/>
      <c r="I3222" s="105"/>
      <c r="J3222" s="44"/>
      <c r="K3222" s="116"/>
      <c r="L3222" s="117"/>
      <c r="M3222" s="67"/>
      <c r="N3222" s="33"/>
      <c r="O3222" s="70"/>
      <c r="P3222" s="34"/>
      <c r="Q3222" s="60"/>
      <c r="R3222" s="36"/>
      <c r="S3222" s="71"/>
      <c r="T3222" s="37"/>
      <c r="U3222" s="118"/>
      <c r="V3222" s="74"/>
      <c r="W3222" s="74"/>
      <c r="X3222" s="35"/>
      <c r="Y3222" s="35"/>
      <c r="Z3222" s="40"/>
      <c r="AA3222" s="34"/>
      <c r="AB3222" s="41"/>
      <c r="AC3222" s="42" t="b">
        <v>0</v>
      </c>
      <c r="AD3222" s="66"/>
      <c r="AE3222" s="42"/>
      <c r="AF3222" s="42"/>
      <c r="AG3222" s="43"/>
    </row>
    <row r="3223">
      <c r="A3223" s="23"/>
      <c r="B3223" s="101"/>
      <c r="C3223" s="115"/>
      <c r="D3223" s="115"/>
      <c r="E3223" s="85"/>
      <c r="F3223" s="138"/>
      <c r="G3223" s="101"/>
      <c r="H3223" s="105"/>
      <c r="I3223" s="105"/>
      <c r="J3223" s="44"/>
      <c r="K3223" s="116"/>
      <c r="L3223" s="117"/>
      <c r="M3223" s="67"/>
      <c r="N3223" s="33"/>
      <c r="O3223" s="70"/>
      <c r="P3223" s="34"/>
      <c r="Q3223" s="60"/>
      <c r="R3223" s="36"/>
      <c r="S3223" s="71"/>
      <c r="T3223" s="37"/>
      <c r="U3223" s="118"/>
      <c r="V3223" s="74"/>
      <c r="W3223" s="74"/>
      <c r="X3223" s="35"/>
      <c r="Y3223" s="35"/>
      <c r="Z3223" s="40"/>
      <c r="AA3223" s="34"/>
      <c r="AB3223" s="41"/>
      <c r="AC3223" s="42" t="b">
        <v>0</v>
      </c>
      <c r="AD3223" s="66"/>
      <c r="AE3223" s="42"/>
      <c r="AF3223" s="42"/>
      <c r="AG3223" s="43"/>
    </row>
    <row r="3224">
      <c r="A3224" s="23"/>
      <c r="B3224" s="101"/>
      <c r="C3224" s="115"/>
      <c r="D3224" s="115"/>
      <c r="E3224" s="85"/>
      <c r="F3224" s="138"/>
      <c r="G3224" s="101"/>
      <c r="H3224" s="105"/>
      <c r="I3224" s="105"/>
      <c r="J3224" s="44"/>
      <c r="K3224" s="116"/>
      <c r="L3224" s="117"/>
      <c r="M3224" s="67"/>
      <c r="N3224" s="33"/>
      <c r="O3224" s="70"/>
      <c r="P3224" s="34"/>
      <c r="Q3224" s="60"/>
      <c r="R3224" s="36"/>
      <c r="S3224" s="71"/>
      <c r="T3224" s="37"/>
      <c r="U3224" s="118"/>
      <c r="V3224" s="74"/>
      <c r="W3224" s="74"/>
      <c r="X3224" s="35"/>
      <c r="Y3224" s="35"/>
      <c r="Z3224" s="40"/>
      <c r="AA3224" s="34"/>
      <c r="AB3224" s="41"/>
      <c r="AC3224" s="42" t="b">
        <v>0</v>
      </c>
      <c r="AD3224" s="66"/>
      <c r="AE3224" s="42"/>
      <c r="AF3224" s="42"/>
      <c r="AG3224" s="43"/>
    </row>
    <row r="3225">
      <c r="A3225" s="23"/>
      <c r="B3225" s="101"/>
      <c r="C3225" s="115"/>
      <c r="D3225" s="115"/>
      <c r="E3225" s="85"/>
      <c r="F3225" s="138"/>
      <c r="G3225" s="101"/>
      <c r="H3225" s="105"/>
      <c r="I3225" s="105"/>
      <c r="J3225" s="44"/>
      <c r="K3225" s="116"/>
      <c r="L3225" s="117"/>
      <c r="M3225" s="67"/>
      <c r="N3225" s="33"/>
      <c r="O3225" s="70"/>
      <c r="P3225" s="34"/>
      <c r="Q3225" s="60"/>
      <c r="R3225" s="36"/>
      <c r="S3225" s="71"/>
      <c r="T3225" s="37"/>
      <c r="U3225" s="118"/>
      <c r="V3225" s="74"/>
      <c r="W3225" s="74"/>
      <c r="X3225" s="35"/>
      <c r="Y3225" s="35"/>
      <c r="Z3225" s="40"/>
      <c r="AA3225" s="34"/>
      <c r="AB3225" s="41"/>
      <c r="AC3225" s="42" t="b">
        <v>0</v>
      </c>
      <c r="AD3225" s="66"/>
      <c r="AE3225" s="42"/>
      <c r="AF3225" s="42"/>
      <c r="AG3225" s="43"/>
    </row>
    <row r="3226">
      <c r="A3226" s="23"/>
      <c r="B3226" s="101"/>
      <c r="C3226" s="115"/>
      <c r="D3226" s="115"/>
      <c r="E3226" s="85"/>
      <c r="F3226" s="138"/>
      <c r="G3226" s="101"/>
      <c r="H3226" s="105"/>
      <c r="I3226" s="105"/>
      <c r="J3226" s="44"/>
      <c r="K3226" s="116"/>
      <c r="L3226" s="117"/>
      <c r="M3226" s="67"/>
      <c r="N3226" s="33"/>
      <c r="O3226" s="70"/>
      <c r="P3226" s="34"/>
      <c r="Q3226" s="60"/>
      <c r="R3226" s="36"/>
      <c r="S3226" s="71"/>
      <c r="T3226" s="37"/>
      <c r="U3226" s="118"/>
      <c r="V3226" s="74"/>
      <c r="W3226" s="74"/>
      <c r="X3226" s="35"/>
      <c r="Y3226" s="35"/>
      <c r="Z3226" s="40"/>
      <c r="AA3226" s="34"/>
      <c r="AB3226" s="41"/>
      <c r="AC3226" s="42" t="b">
        <v>0</v>
      </c>
      <c r="AD3226" s="66"/>
      <c r="AE3226" s="42"/>
      <c r="AF3226" s="42"/>
      <c r="AG3226" s="43"/>
    </row>
    <row r="3227">
      <c r="A3227" s="23"/>
      <c r="B3227" s="101"/>
      <c r="C3227" s="115"/>
      <c r="D3227" s="115"/>
      <c r="E3227" s="85"/>
      <c r="F3227" s="138"/>
      <c r="G3227" s="101"/>
      <c r="H3227" s="105"/>
      <c r="I3227" s="105"/>
      <c r="J3227" s="44"/>
      <c r="K3227" s="116"/>
      <c r="L3227" s="117"/>
      <c r="M3227" s="67"/>
      <c r="N3227" s="33"/>
      <c r="O3227" s="70"/>
      <c r="P3227" s="34"/>
      <c r="Q3227" s="60"/>
      <c r="R3227" s="36"/>
      <c r="S3227" s="71"/>
      <c r="T3227" s="37"/>
      <c r="U3227" s="118"/>
      <c r="V3227" s="74"/>
      <c r="W3227" s="74"/>
      <c r="X3227" s="35"/>
      <c r="Y3227" s="35"/>
      <c r="Z3227" s="40"/>
      <c r="AA3227" s="34"/>
      <c r="AB3227" s="41"/>
      <c r="AC3227" s="42" t="b">
        <v>0</v>
      </c>
      <c r="AD3227" s="66"/>
      <c r="AE3227" s="42"/>
      <c r="AF3227" s="42"/>
      <c r="AG3227" s="43"/>
    </row>
    <row r="3228">
      <c r="A3228" s="23"/>
      <c r="B3228" s="101"/>
      <c r="C3228" s="115"/>
      <c r="D3228" s="115"/>
      <c r="E3228" s="85"/>
      <c r="F3228" s="138"/>
      <c r="G3228" s="101"/>
      <c r="H3228" s="105"/>
      <c r="I3228" s="105"/>
      <c r="J3228" s="44"/>
      <c r="K3228" s="116"/>
      <c r="L3228" s="117"/>
      <c r="M3228" s="67"/>
      <c r="N3228" s="33"/>
      <c r="O3228" s="70"/>
      <c r="P3228" s="34"/>
      <c r="Q3228" s="60"/>
      <c r="R3228" s="36"/>
      <c r="S3228" s="71"/>
      <c r="T3228" s="37"/>
      <c r="U3228" s="118"/>
      <c r="V3228" s="74"/>
      <c r="W3228" s="74"/>
      <c r="X3228" s="35"/>
      <c r="Y3228" s="35"/>
      <c r="Z3228" s="40"/>
      <c r="AA3228" s="34"/>
      <c r="AB3228" s="41"/>
      <c r="AC3228" s="42" t="b">
        <v>0</v>
      </c>
      <c r="AD3228" s="66"/>
      <c r="AE3228" s="42"/>
      <c r="AF3228" s="42"/>
      <c r="AG3228" s="43"/>
    </row>
    <row r="3229">
      <c r="A3229" s="23"/>
      <c r="B3229" s="101"/>
      <c r="C3229" s="115"/>
      <c r="D3229" s="115"/>
      <c r="E3229" s="85"/>
      <c r="F3229" s="138"/>
      <c r="G3229" s="101"/>
      <c r="H3229" s="105"/>
      <c r="I3229" s="105"/>
      <c r="J3229" s="44"/>
      <c r="K3229" s="116"/>
      <c r="L3229" s="117"/>
      <c r="M3229" s="67"/>
      <c r="N3229" s="33"/>
      <c r="O3229" s="70"/>
      <c r="P3229" s="34"/>
      <c r="Q3229" s="60"/>
      <c r="R3229" s="36"/>
      <c r="S3229" s="71"/>
      <c r="T3229" s="37"/>
      <c r="U3229" s="118"/>
      <c r="V3229" s="74"/>
      <c r="W3229" s="74"/>
      <c r="X3229" s="35"/>
      <c r="Y3229" s="35"/>
      <c r="Z3229" s="40"/>
      <c r="AA3229" s="34"/>
      <c r="AB3229" s="41"/>
      <c r="AC3229" s="42" t="b">
        <v>0</v>
      </c>
      <c r="AD3229" s="66"/>
      <c r="AE3229" s="42"/>
      <c r="AF3229" s="42"/>
      <c r="AG3229" s="43"/>
    </row>
    <row r="3230">
      <c r="A3230" s="23"/>
      <c r="B3230" s="101"/>
      <c r="C3230" s="115"/>
      <c r="D3230" s="115"/>
      <c r="E3230" s="85"/>
      <c r="F3230" s="138"/>
      <c r="G3230" s="101"/>
      <c r="H3230" s="105"/>
      <c r="I3230" s="105"/>
      <c r="J3230" s="44"/>
      <c r="K3230" s="116"/>
      <c r="L3230" s="117"/>
      <c r="M3230" s="67"/>
      <c r="N3230" s="33"/>
      <c r="O3230" s="70"/>
      <c r="P3230" s="34"/>
      <c r="Q3230" s="60"/>
      <c r="R3230" s="36"/>
      <c r="S3230" s="71"/>
      <c r="T3230" s="37"/>
      <c r="U3230" s="118"/>
      <c r="V3230" s="74"/>
      <c r="W3230" s="74"/>
      <c r="X3230" s="35"/>
      <c r="Y3230" s="35"/>
      <c r="Z3230" s="40"/>
      <c r="AA3230" s="34"/>
      <c r="AB3230" s="41"/>
      <c r="AC3230" s="42" t="b">
        <v>0</v>
      </c>
      <c r="AD3230" s="66"/>
      <c r="AE3230" s="42"/>
      <c r="AF3230" s="42"/>
      <c r="AG3230" s="43"/>
    </row>
    <row r="3231">
      <c r="A3231" s="23"/>
      <c r="B3231" s="101"/>
      <c r="C3231" s="115"/>
      <c r="D3231" s="115"/>
      <c r="E3231" s="85"/>
      <c r="F3231" s="138"/>
      <c r="G3231" s="101"/>
      <c r="H3231" s="105"/>
      <c r="I3231" s="105"/>
      <c r="J3231" s="44"/>
      <c r="K3231" s="116"/>
      <c r="L3231" s="117"/>
      <c r="M3231" s="67"/>
      <c r="N3231" s="33"/>
      <c r="O3231" s="70"/>
      <c r="P3231" s="34"/>
      <c r="Q3231" s="60"/>
      <c r="R3231" s="36"/>
      <c r="S3231" s="71"/>
      <c r="T3231" s="37"/>
      <c r="U3231" s="118"/>
      <c r="V3231" s="74"/>
      <c r="W3231" s="74"/>
      <c r="X3231" s="35"/>
      <c r="Y3231" s="35"/>
      <c r="Z3231" s="40"/>
      <c r="AA3231" s="34"/>
      <c r="AB3231" s="41"/>
      <c r="AC3231" s="42" t="b">
        <v>0</v>
      </c>
      <c r="AD3231" s="66"/>
      <c r="AE3231" s="42"/>
      <c r="AF3231" s="42"/>
      <c r="AG3231" s="43"/>
    </row>
    <row r="3232">
      <c r="A3232" s="23"/>
      <c r="B3232" s="101"/>
      <c r="C3232" s="115"/>
      <c r="D3232" s="115"/>
      <c r="E3232" s="85"/>
      <c r="F3232" s="138"/>
      <c r="G3232" s="101"/>
      <c r="H3232" s="105"/>
      <c r="I3232" s="105"/>
      <c r="J3232" s="44"/>
      <c r="K3232" s="116"/>
      <c r="L3232" s="117"/>
      <c r="M3232" s="67"/>
      <c r="N3232" s="33"/>
      <c r="O3232" s="70"/>
      <c r="P3232" s="34"/>
      <c r="Q3232" s="60"/>
      <c r="R3232" s="36"/>
      <c r="S3232" s="71"/>
      <c r="T3232" s="37"/>
      <c r="U3232" s="118"/>
      <c r="V3232" s="74"/>
      <c r="W3232" s="74"/>
      <c r="X3232" s="35"/>
      <c r="Y3232" s="35"/>
      <c r="Z3232" s="40"/>
      <c r="AA3232" s="34"/>
      <c r="AB3232" s="41"/>
      <c r="AC3232" s="42" t="b">
        <v>0</v>
      </c>
      <c r="AD3232" s="66"/>
      <c r="AE3232" s="42"/>
      <c r="AF3232" s="42"/>
      <c r="AG3232" s="43"/>
    </row>
    <row r="3233">
      <c r="A3233" s="23"/>
      <c r="B3233" s="101"/>
      <c r="C3233" s="115"/>
      <c r="D3233" s="115"/>
      <c r="E3233" s="85"/>
      <c r="F3233" s="138"/>
      <c r="G3233" s="101"/>
      <c r="H3233" s="105"/>
      <c r="I3233" s="105"/>
      <c r="J3233" s="44"/>
      <c r="K3233" s="116"/>
      <c r="L3233" s="117"/>
      <c r="M3233" s="67"/>
      <c r="N3233" s="33"/>
      <c r="O3233" s="70"/>
      <c r="P3233" s="34"/>
      <c r="Q3233" s="60"/>
      <c r="R3233" s="36"/>
      <c r="S3233" s="71"/>
      <c r="T3233" s="37"/>
      <c r="U3233" s="118"/>
      <c r="V3233" s="74"/>
      <c r="W3233" s="74"/>
      <c r="X3233" s="35"/>
      <c r="Y3233" s="35"/>
      <c r="Z3233" s="40"/>
      <c r="AA3233" s="34"/>
      <c r="AB3233" s="41"/>
      <c r="AC3233" s="42" t="b">
        <v>0</v>
      </c>
      <c r="AD3233" s="66"/>
      <c r="AE3233" s="42"/>
      <c r="AF3233" s="42"/>
      <c r="AG3233" s="43"/>
    </row>
    <row r="3234">
      <c r="A3234" s="23"/>
      <c r="B3234" s="101"/>
      <c r="C3234" s="115"/>
      <c r="D3234" s="115"/>
      <c r="E3234" s="85"/>
      <c r="F3234" s="138"/>
      <c r="G3234" s="101"/>
      <c r="H3234" s="105"/>
      <c r="I3234" s="105"/>
      <c r="J3234" s="44"/>
      <c r="K3234" s="116"/>
      <c r="L3234" s="117"/>
      <c r="M3234" s="67"/>
      <c r="N3234" s="33"/>
      <c r="O3234" s="70"/>
      <c r="P3234" s="34"/>
      <c r="Q3234" s="60"/>
      <c r="R3234" s="36"/>
      <c r="S3234" s="71"/>
      <c r="T3234" s="37"/>
      <c r="U3234" s="118"/>
      <c r="V3234" s="74"/>
      <c r="W3234" s="74"/>
      <c r="X3234" s="35"/>
      <c r="Y3234" s="35"/>
      <c r="Z3234" s="40"/>
      <c r="AA3234" s="34"/>
      <c r="AB3234" s="41"/>
      <c r="AC3234" s="42" t="b">
        <v>0</v>
      </c>
      <c r="AD3234" s="66"/>
      <c r="AE3234" s="42"/>
      <c r="AF3234" s="42"/>
      <c r="AG3234" s="43"/>
    </row>
    <row r="3235">
      <c r="A3235" s="23"/>
      <c r="B3235" s="101"/>
      <c r="C3235" s="115"/>
      <c r="D3235" s="115"/>
      <c r="E3235" s="85"/>
      <c r="F3235" s="138"/>
      <c r="G3235" s="101"/>
      <c r="H3235" s="105"/>
      <c r="I3235" s="105"/>
      <c r="J3235" s="44"/>
      <c r="K3235" s="116"/>
      <c r="L3235" s="117"/>
      <c r="M3235" s="67"/>
      <c r="N3235" s="33"/>
      <c r="O3235" s="70"/>
      <c r="P3235" s="34"/>
      <c r="Q3235" s="60"/>
      <c r="R3235" s="36"/>
      <c r="S3235" s="71"/>
      <c r="T3235" s="37"/>
      <c r="U3235" s="118"/>
      <c r="V3235" s="74"/>
      <c r="W3235" s="74"/>
      <c r="X3235" s="35"/>
      <c r="Y3235" s="35"/>
      <c r="Z3235" s="40"/>
      <c r="AA3235" s="34"/>
      <c r="AB3235" s="41"/>
      <c r="AC3235" s="42" t="b">
        <v>0</v>
      </c>
      <c r="AD3235" s="66"/>
      <c r="AE3235" s="42"/>
      <c r="AF3235" s="42"/>
      <c r="AG3235" s="43"/>
    </row>
    <row r="3236">
      <c r="A3236" s="23"/>
      <c r="B3236" s="101"/>
      <c r="C3236" s="115"/>
      <c r="D3236" s="115"/>
      <c r="E3236" s="85"/>
      <c r="F3236" s="138"/>
      <c r="G3236" s="101"/>
      <c r="H3236" s="105"/>
      <c r="I3236" s="105"/>
      <c r="J3236" s="44"/>
      <c r="K3236" s="116"/>
      <c r="L3236" s="117"/>
      <c r="M3236" s="67"/>
      <c r="N3236" s="33"/>
      <c r="O3236" s="70"/>
      <c r="P3236" s="34"/>
      <c r="Q3236" s="60"/>
      <c r="R3236" s="36"/>
      <c r="S3236" s="71"/>
      <c r="T3236" s="37"/>
      <c r="U3236" s="118"/>
      <c r="V3236" s="74"/>
      <c r="W3236" s="74"/>
      <c r="X3236" s="35"/>
      <c r="Y3236" s="35"/>
      <c r="Z3236" s="40"/>
      <c r="AA3236" s="34"/>
      <c r="AB3236" s="41"/>
      <c r="AC3236" s="42" t="b">
        <v>0</v>
      </c>
      <c r="AD3236" s="66"/>
      <c r="AE3236" s="42"/>
      <c r="AF3236" s="42"/>
      <c r="AG3236" s="43"/>
    </row>
    <row r="3237">
      <c r="A3237" s="23"/>
      <c r="B3237" s="101"/>
      <c r="C3237" s="115"/>
      <c r="D3237" s="115"/>
      <c r="E3237" s="85"/>
      <c r="F3237" s="138"/>
      <c r="G3237" s="101"/>
      <c r="H3237" s="105"/>
      <c r="I3237" s="105"/>
      <c r="J3237" s="44"/>
      <c r="K3237" s="116"/>
      <c r="L3237" s="117"/>
      <c r="M3237" s="67"/>
      <c r="N3237" s="33"/>
      <c r="O3237" s="70"/>
      <c r="P3237" s="34"/>
      <c r="Q3237" s="60"/>
      <c r="R3237" s="36"/>
      <c r="S3237" s="71"/>
      <c r="T3237" s="37"/>
      <c r="U3237" s="118"/>
      <c r="V3237" s="74"/>
      <c r="W3237" s="74"/>
      <c r="X3237" s="35"/>
      <c r="Y3237" s="35"/>
      <c r="Z3237" s="40"/>
      <c r="AA3237" s="34"/>
      <c r="AB3237" s="41"/>
      <c r="AC3237" s="42" t="b">
        <v>0</v>
      </c>
      <c r="AD3237" s="66"/>
      <c r="AE3237" s="42"/>
      <c r="AF3237" s="42"/>
      <c r="AG3237" s="43"/>
    </row>
    <row r="3238">
      <c r="A3238" s="23"/>
      <c r="B3238" s="101"/>
      <c r="C3238" s="115"/>
      <c r="D3238" s="115"/>
      <c r="E3238" s="85"/>
      <c r="F3238" s="138"/>
      <c r="G3238" s="101"/>
      <c r="H3238" s="105"/>
      <c r="I3238" s="105"/>
      <c r="J3238" s="44"/>
      <c r="K3238" s="116"/>
      <c r="L3238" s="117"/>
      <c r="M3238" s="67"/>
      <c r="N3238" s="33"/>
      <c r="O3238" s="70"/>
      <c r="P3238" s="34"/>
      <c r="Q3238" s="60"/>
      <c r="R3238" s="36"/>
      <c r="S3238" s="71"/>
      <c r="T3238" s="37"/>
      <c r="U3238" s="118"/>
      <c r="V3238" s="74"/>
      <c r="W3238" s="74"/>
      <c r="X3238" s="35"/>
      <c r="Y3238" s="35"/>
      <c r="Z3238" s="40"/>
      <c r="AA3238" s="34"/>
      <c r="AB3238" s="41"/>
      <c r="AC3238" s="42" t="b">
        <v>0</v>
      </c>
      <c r="AD3238" s="66"/>
      <c r="AE3238" s="42"/>
      <c r="AF3238" s="42"/>
      <c r="AG3238" s="43"/>
    </row>
    <row r="3239">
      <c r="A3239" s="23"/>
      <c r="B3239" s="101"/>
      <c r="C3239" s="115"/>
      <c r="D3239" s="115"/>
      <c r="E3239" s="85"/>
      <c r="F3239" s="138"/>
      <c r="G3239" s="101"/>
      <c r="H3239" s="105"/>
      <c r="I3239" s="105"/>
      <c r="J3239" s="44"/>
      <c r="K3239" s="116"/>
      <c r="L3239" s="117"/>
      <c r="M3239" s="67"/>
      <c r="N3239" s="33"/>
      <c r="O3239" s="70"/>
      <c r="P3239" s="34"/>
      <c r="Q3239" s="60"/>
      <c r="R3239" s="36"/>
      <c r="S3239" s="71"/>
      <c r="T3239" s="37"/>
      <c r="U3239" s="118"/>
      <c r="V3239" s="74"/>
      <c r="W3239" s="74"/>
      <c r="X3239" s="35"/>
      <c r="Y3239" s="35"/>
      <c r="Z3239" s="40"/>
      <c r="AA3239" s="34"/>
      <c r="AB3239" s="41"/>
      <c r="AC3239" s="42" t="b">
        <v>0</v>
      </c>
      <c r="AD3239" s="66"/>
      <c r="AE3239" s="42"/>
      <c r="AF3239" s="42"/>
      <c r="AG3239" s="43"/>
    </row>
    <row r="3240">
      <c r="A3240" s="23"/>
      <c r="B3240" s="101"/>
      <c r="C3240" s="115"/>
      <c r="D3240" s="115"/>
      <c r="E3240" s="85"/>
      <c r="F3240" s="138"/>
      <c r="G3240" s="101"/>
      <c r="H3240" s="105"/>
      <c r="I3240" s="105"/>
      <c r="J3240" s="44"/>
      <c r="K3240" s="116"/>
      <c r="L3240" s="117"/>
      <c r="M3240" s="67"/>
      <c r="N3240" s="33"/>
      <c r="O3240" s="70"/>
      <c r="P3240" s="34"/>
      <c r="Q3240" s="60"/>
      <c r="R3240" s="36"/>
      <c r="S3240" s="71"/>
      <c r="T3240" s="37"/>
      <c r="U3240" s="118"/>
      <c r="V3240" s="74"/>
      <c r="W3240" s="74"/>
      <c r="X3240" s="35"/>
      <c r="Y3240" s="35"/>
      <c r="Z3240" s="40"/>
      <c r="AA3240" s="34"/>
      <c r="AB3240" s="41"/>
      <c r="AC3240" s="42" t="b">
        <v>0</v>
      </c>
      <c r="AD3240" s="66"/>
      <c r="AE3240" s="42"/>
      <c r="AF3240" s="42"/>
      <c r="AG3240" s="43"/>
    </row>
    <row r="3241">
      <c r="A3241" s="23"/>
      <c r="B3241" s="101"/>
      <c r="C3241" s="115"/>
      <c r="D3241" s="115"/>
      <c r="E3241" s="85"/>
      <c r="F3241" s="138"/>
      <c r="G3241" s="101"/>
      <c r="H3241" s="105"/>
      <c r="I3241" s="105"/>
      <c r="J3241" s="44"/>
      <c r="K3241" s="116"/>
      <c r="L3241" s="117"/>
      <c r="M3241" s="67"/>
      <c r="N3241" s="33"/>
      <c r="O3241" s="70"/>
      <c r="P3241" s="34"/>
      <c r="Q3241" s="60"/>
      <c r="R3241" s="36"/>
      <c r="S3241" s="71"/>
      <c r="T3241" s="37"/>
      <c r="U3241" s="118"/>
      <c r="V3241" s="74"/>
      <c r="W3241" s="74"/>
      <c r="X3241" s="35"/>
      <c r="Y3241" s="35"/>
      <c r="Z3241" s="40"/>
      <c r="AA3241" s="34"/>
      <c r="AB3241" s="41"/>
      <c r="AC3241" s="42" t="b">
        <v>0</v>
      </c>
      <c r="AD3241" s="66"/>
      <c r="AE3241" s="42"/>
      <c r="AF3241" s="42"/>
      <c r="AG3241" s="43"/>
    </row>
    <row r="3242">
      <c r="A3242" s="23"/>
      <c r="B3242" s="101"/>
      <c r="C3242" s="115"/>
      <c r="D3242" s="115"/>
      <c r="E3242" s="85"/>
      <c r="F3242" s="138"/>
      <c r="G3242" s="101"/>
      <c r="H3242" s="105"/>
      <c r="I3242" s="105"/>
      <c r="J3242" s="44"/>
      <c r="K3242" s="116"/>
      <c r="L3242" s="117"/>
      <c r="M3242" s="67"/>
      <c r="N3242" s="33"/>
      <c r="O3242" s="70"/>
      <c r="P3242" s="34"/>
      <c r="Q3242" s="60"/>
      <c r="R3242" s="36"/>
      <c r="S3242" s="71"/>
      <c r="T3242" s="37"/>
      <c r="U3242" s="118"/>
      <c r="V3242" s="74"/>
      <c r="W3242" s="74"/>
      <c r="X3242" s="35"/>
      <c r="Y3242" s="35"/>
      <c r="Z3242" s="40"/>
      <c r="AA3242" s="34"/>
      <c r="AB3242" s="41"/>
      <c r="AC3242" s="42" t="b">
        <v>0</v>
      </c>
      <c r="AD3242" s="66"/>
      <c r="AE3242" s="42"/>
      <c r="AF3242" s="42"/>
      <c r="AG3242" s="43"/>
    </row>
    <row r="3243">
      <c r="A3243" s="23"/>
      <c r="B3243" s="101"/>
      <c r="C3243" s="115"/>
      <c r="D3243" s="115"/>
      <c r="E3243" s="85"/>
      <c r="F3243" s="138"/>
      <c r="G3243" s="101"/>
      <c r="H3243" s="105"/>
      <c r="I3243" s="105"/>
      <c r="J3243" s="44"/>
      <c r="K3243" s="116"/>
      <c r="L3243" s="117"/>
      <c r="M3243" s="67"/>
      <c r="N3243" s="33"/>
      <c r="O3243" s="70"/>
      <c r="P3243" s="34"/>
      <c r="Q3243" s="60"/>
      <c r="R3243" s="36"/>
      <c r="S3243" s="71"/>
      <c r="T3243" s="37"/>
      <c r="U3243" s="118"/>
      <c r="V3243" s="74"/>
      <c r="W3243" s="74"/>
      <c r="X3243" s="35"/>
      <c r="Y3243" s="35"/>
      <c r="Z3243" s="40"/>
      <c r="AA3243" s="34"/>
      <c r="AB3243" s="41"/>
      <c r="AC3243" s="42" t="b">
        <v>0</v>
      </c>
      <c r="AD3243" s="66"/>
      <c r="AE3243" s="42"/>
      <c r="AF3243" s="42"/>
      <c r="AG3243" s="43"/>
    </row>
    <row r="3244">
      <c r="A3244" s="23"/>
      <c r="B3244" s="101"/>
      <c r="C3244" s="115"/>
      <c r="D3244" s="115"/>
      <c r="E3244" s="85"/>
      <c r="F3244" s="138"/>
      <c r="G3244" s="101"/>
      <c r="H3244" s="105"/>
      <c r="I3244" s="105"/>
      <c r="J3244" s="44"/>
      <c r="K3244" s="116"/>
      <c r="L3244" s="117"/>
      <c r="M3244" s="67"/>
      <c r="N3244" s="33"/>
      <c r="O3244" s="70"/>
      <c r="P3244" s="34"/>
      <c r="Q3244" s="60"/>
      <c r="R3244" s="36"/>
      <c r="S3244" s="71"/>
      <c r="T3244" s="37"/>
      <c r="U3244" s="118"/>
      <c r="V3244" s="74"/>
      <c r="W3244" s="74"/>
      <c r="X3244" s="35"/>
      <c r="Y3244" s="35"/>
      <c r="Z3244" s="40"/>
      <c r="AA3244" s="34"/>
      <c r="AB3244" s="41"/>
      <c r="AC3244" s="42" t="b">
        <v>0</v>
      </c>
      <c r="AD3244" s="66"/>
      <c r="AE3244" s="42"/>
      <c r="AF3244" s="42"/>
      <c r="AG3244" s="43"/>
    </row>
    <row r="3245">
      <c r="A3245" s="23"/>
      <c r="B3245" s="101"/>
      <c r="C3245" s="115"/>
      <c r="D3245" s="115"/>
      <c r="E3245" s="85"/>
      <c r="F3245" s="138"/>
      <c r="G3245" s="101"/>
      <c r="H3245" s="105"/>
      <c r="I3245" s="105"/>
      <c r="J3245" s="44"/>
      <c r="K3245" s="116"/>
      <c r="L3245" s="117"/>
      <c r="M3245" s="67"/>
      <c r="N3245" s="33"/>
      <c r="O3245" s="70"/>
      <c r="P3245" s="34"/>
      <c r="Q3245" s="60"/>
      <c r="R3245" s="36"/>
      <c r="S3245" s="71"/>
      <c r="T3245" s="37"/>
      <c r="U3245" s="118"/>
      <c r="V3245" s="74"/>
      <c r="W3245" s="74"/>
      <c r="X3245" s="35"/>
      <c r="Y3245" s="35"/>
      <c r="Z3245" s="40"/>
      <c r="AA3245" s="34"/>
      <c r="AB3245" s="41"/>
      <c r="AC3245" s="42" t="b">
        <v>0</v>
      </c>
      <c r="AD3245" s="66"/>
      <c r="AE3245" s="42"/>
      <c r="AF3245" s="42"/>
      <c r="AG3245" s="43"/>
    </row>
    <row r="3246">
      <c r="A3246" s="23"/>
      <c r="B3246" s="101"/>
      <c r="C3246" s="115"/>
      <c r="D3246" s="115"/>
      <c r="E3246" s="85"/>
      <c r="F3246" s="138"/>
      <c r="G3246" s="101"/>
      <c r="H3246" s="105"/>
      <c r="I3246" s="105"/>
      <c r="J3246" s="44"/>
      <c r="K3246" s="116"/>
      <c r="L3246" s="117"/>
      <c r="M3246" s="67"/>
      <c r="N3246" s="33"/>
      <c r="O3246" s="70"/>
      <c r="P3246" s="34"/>
      <c r="Q3246" s="60"/>
      <c r="R3246" s="36"/>
      <c r="S3246" s="71"/>
      <c r="T3246" s="37"/>
      <c r="U3246" s="118"/>
      <c r="V3246" s="74"/>
      <c r="W3246" s="74"/>
      <c r="X3246" s="35"/>
      <c r="Y3246" s="35"/>
      <c r="Z3246" s="40"/>
      <c r="AA3246" s="34"/>
      <c r="AB3246" s="41"/>
      <c r="AC3246" s="42" t="b">
        <v>0</v>
      </c>
      <c r="AD3246" s="66"/>
      <c r="AE3246" s="42"/>
      <c r="AF3246" s="42"/>
      <c r="AG3246" s="43"/>
    </row>
    <row r="3247">
      <c r="A3247" s="23"/>
      <c r="B3247" s="101"/>
      <c r="C3247" s="115"/>
      <c r="D3247" s="115"/>
      <c r="E3247" s="85"/>
      <c r="F3247" s="138"/>
      <c r="G3247" s="101"/>
      <c r="H3247" s="105"/>
      <c r="I3247" s="105"/>
      <c r="J3247" s="44"/>
      <c r="K3247" s="116"/>
      <c r="L3247" s="117"/>
      <c r="M3247" s="67"/>
      <c r="N3247" s="33"/>
      <c r="O3247" s="70"/>
      <c r="P3247" s="34"/>
      <c r="Q3247" s="60"/>
      <c r="R3247" s="36"/>
      <c r="S3247" s="71"/>
      <c r="T3247" s="37"/>
      <c r="U3247" s="118"/>
      <c r="V3247" s="74"/>
      <c r="W3247" s="74"/>
      <c r="X3247" s="35"/>
      <c r="Y3247" s="35"/>
      <c r="Z3247" s="40"/>
      <c r="AA3247" s="34"/>
      <c r="AB3247" s="41"/>
      <c r="AC3247" s="42" t="b">
        <v>0</v>
      </c>
      <c r="AD3247" s="66"/>
      <c r="AE3247" s="42"/>
      <c r="AF3247" s="42"/>
      <c r="AG3247" s="43"/>
    </row>
    <row r="3248">
      <c r="A3248" s="23"/>
      <c r="B3248" s="101"/>
      <c r="C3248" s="115"/>
      <c r="D3248" s="115"/>
      <c r="E3248" s="85"/>
      <c r="F3248" s="138"/>
      <c r="G3248" s="101"/>
      <c r="H3248" s="105"/>
      <c r="I3248" s="105"/>
      <c r="J3248" s="44"/>
      <c r="K3248" s="116"/>
      <c r="L3248" s="117"/>
      <c r="M3248" s="67"/>
      <c r="N3248" s="33"/>
      <c r="O3248" s="70"/>
      <c r="P3248" s="34"/>
      <c r="Q3248" s="60"/>
      <c r="R3248" s="36"/>
      <c r="S3248" s="71"/>
      <c r="T3248" s="37"/>
      <c r="U3248" s="118"/>
      <c r="V3248" s="74"/>
      <c r="W3248" s="74"/>
      <c r="X3248" s="35"/>
      <c r="Y3248" s="35"/>
      <c r="Z3248" s="40"/>
      <c r="AA3248" s="34"/>
      <c r="AB3248" s="41"/>
      <c r="AC3248" s="42" t="b">
        <v>0</v>
      </c>
      <c r="AD3248" s="66"/>
      <c r="AE3248" s="42"/>
      <c r="AF3248" s="42"/>
      <c r="AG3248" s="43"/>
    </row>
    <row r="3249">
      <c r="A3249" s="23"/>
      <c r="B3249" s="101"/>
      <c r="C3249" s="115"/>
      <c r="D3249" s="115"/>
      <c r="E3249" s="85"/>
      <c r="F3249" s="138"/>
      <c r="G3249" s="101"/>
      <c r="H3249" s="105"/>
      <c r="I3249" s="105"/>
      <c r="J3249" s="44"/>
      <c r="K3249" s="116"/>
      <c r="L3249" s="117"/>
      <c r="M3249" s="67"/>
      <c r="N3249" s="33"/>
      <c r="O3249" s="70"/>
      <c r="P3249" s="34"/>
      <c r="Q3249" s="60"/>
      <c r="R3249" s="36"/>
      <c r="S3249" s="71"/>
      <c r="T3249" s="37"/>
      <c r="U3249" s="118"/>
      <c r="V3249" s="74"/>
      <c r="W3249" s="74"/>
      <c r="X3249" s="35"/>
      <c r="Y3249" s="35"/>
      <c r="Z3249" s="40"/>
      <c r="AA3249" s="34"/>
      <c r="AB3249" s="41"/>
      <c r="AC3249" s="42" t="b">
        <v>0</v>
      </c>
      <c r="AD3249" s="66"/>
      <c r="AE3249" s="42"/>
      <c r="AF3249" s="42"/>
      <c r="AG3249" s="43"/>
    </row>
    <row r="3250">
      <c r="A3250" s="23"/>
      <c r="B3250" s="101"/>
      <c r="C3250" s="115"/>
      <c r="D3250" s="115"/>
      <c r="E3250" s="85"/>
      <c r="F3250" s="138"/>
      <c r="G3250" s="101"/>
      <c r="H3250" s="105"/>
      <c r="I3250" s="105"/>
      <c r="J3250" s="44"/>
      <c r="K3250" s="116"/>
      <c r="L3250" s="117"/>
      <c r="M3250" s="67"/>
      <c r="N3250" s="33"/>
      <c r="O3250" s="70"/>
      <c r="P3250" s="34"/>
      <c r="Q3250" s="60"/>
      <c r="R3250" s="36"/>
      <c r="S3250" s="71"/>
      <c r="T3250" s="37"/>
      <c r="U3250" s="118"/>
      <c r="V3250" s="74"/>
      <c r="W3250" s="74"/>
      <c r="X3250" s="35"/>
      <c r="Y3250" s="35"/>
      <c r="Z3250" s="40"/>
      <c r="AA3250" s="34"/>
      <c r="AB3250" s="41"/>
      <c r="AC3250" s="42" t="b">
        <v>0</v>
      </c>
      <c r="AD3250" s="66"/>
      <c r="AE3250" s="42"/>
      <c r="AF3250" s="42"/>
      <c r="AG3250" s="43"/>
    </row>
    <row r="3251">
      <c r="A3251" s="23"/>
      <c r="B3251" s="101"/>
      <c r="C3251" s="115"/>
      <c r="D3251" s="115"/>
      <c r="E3251" s="85"/>
      <c r="F3251" s="138"/>
      <c r="G3251" s="101"/>
      <c r="H3251" s="105"/>
      <c r="I3251" s="105"/>
      <c r="J3251" s="44"/>
      <c r="K3251" s="116"/>
      <c r="L3251" s="117"/>
      <c r="M3251" s="67"/>
      <c r="N3251" s="33"/>
      <c r="O3251" s="70"/>
      <c r="P3251" s="34"/>
      <c r="Q3251" s="60"/>
      <c r="R3251" s="36"/>
      <c r="S3251" s="71"/>
      <c r="T3251" s="37"/>
      <c r="U3251" s="118"/>
      <c r="V3251" s="74"/>
      <c r="W3251" s="74"/>
      <c r="X3251" s="35"/>
      <c r="Y3251" s="35"/>
      <c r="Z3251" s="40"/>
      <c r="AA3251" s="34"/>
      <c r="AB3251" s="41"/>
      <c r="AC3251" s="42" t="b">
        <v>0</v>
      </c>
      <c r="AD3251" s="66"/>
      <c r="AE3251" s="42"/>
      <c r="AF3251" s="42"/>
      <c r="AG3251" s="43"/>
    </row>
    <row r="3252">
      <c r="A3252" s="23"/>
      <c r="B3252" s="101"/>
      <c r="C3252" s="115"/>
      <c r="D3252" s="115"/>
      <c r="E3252" s="85"/>
      <c r="F3252" s="138"/>
      <c r="G3252" s="101"/>
      <c r="H3252" s="105"/>
      <c r="I3252" s="105"/>
      <c r="J3252" s="44"/>
      <c r="K3252" s="116"/>
      <c r="L3252" s="117"/>
      <c r="M3252" s="67"/>
      <c r="N3252" s="33"/>
      <c r="O3252" s="70"/>
      <c r="P3252" s="34"/>
      <c r="Q3252" s="60"/>
      <c r="R3252" s="36"/>
      <c r="S3252" s="71"/>
      <c r="T3252" s="37"/>
      <c r="U3252" s="118"/>
      <c r="V3252" s="74"/>
      <c r="W3252" s="74"/>
      <c r="X3252" s="35"/>
      <c r="Y3252" s="35"/>
      <c r="Z3252" s="40"/>
      <c r="AA3252" s="34"/>
      <c r="AB3252" s="41"/>
      <c r="AC3252" s="42" t="b">
        <v>0</v>
      </c>
      <c r="AD3252" s="66"/>
      <c r="AE3252" s="42"/>
      <c r="AF3252" s="42"/>
      <c r="AG3252" s="43"/>
    </row>
    <row r="3253">
      <c r="A3253" s="23"/>
      <c r="B3253" s="101"/>
      <c r="C3253" s="115"/>
      <c r="D3253" s="115"/>
      <c r="E3253" s="85"/>
      <c r="F3253" s="138"/>
      <c r="G3253" s="101"/>
      <c r="H3253" s="105"/>
      <c r="I3253" s="105"/>
      <c r="J3253" s="44"/>
      <c r="K3253" s="116"/>
      <c r="L3253" s="117"/>
      <c r="M3253" s="67"/>
      <c r="N3253" s="33"/>
      <c r="O3253" s="70"/>
      <c r="P3253" s="34"/>
      <c r="Q3253" s="60"/>
      <c r="R3253" s="36"/>
      <c r="S3253" s="71"/>
      <c r="T3253" s="37"/>
      <c r="U3253" s="118"/>
      <c r="V3253" s="74"/>
      <c r="W3253" s="74"/>
      <c r="X3253" s="35"/>
      <c r="Y3253" s="35"/>
      <c r="Z3253" s="40"/>
      <c r="AA3253" s="34"/>
      <c r="AB3253" s="41"/>
      <c r="AC3253" s="42" t="b">
        <v>0</v>
      </c>
      <c r="AD3253" s="66"/>
      <c r="AE3253" s="42"/>
      <c r="AF3253" s="42"/>
      <c r="AG3253" s="43"/>
    </row>
    <row r="3254">
      <c r="A3254" s="23"/>
      <c r="B3254" s="101"/>
      <c r="C3254" s="115"/>
      <c r="D3254" s="115"/>
      <c r="E3254" s="85"/>
      <c r="F3254" s="138"/>
      <c r="G3254" s="101"/>
      <c r="H3254" s="105"/>
      <c r="I3254" s="105"/>
      <c r="J3254" s="44"/>
      <c r="K3254" s="116"/>
      <c r="L3254" s="117"/>
      <c r="M3254" s="67"/>
      <c r="N3254" s="33"/>
      <c r="O3254" s="70"/>
      <c r="P3254" s="34"/>
      <c r="Q3254" s="60"/>
      <c r="R3254" s="36"/>
      <c r="S3254" s="71"/>
      <c r="T3254" s="37"/>
      <c r="U3254" s="118"/>
      <c r="V3254" s="74"/>
      <c r="W3254" s="74"/>
      <c r="X3254" s="35"/>
      <c r="Y3254" s="35"/>
      <c r="Z3254" s="40"/>
      <c r="AA3254" s="34"/>
      <c r="AB3254" s="41"/>
      <c r="AC3254" s="42" t="b">
        <v>0</v>
      </c>
      <c r="AD3254" s="66"/>
      <c r="AE3254" s="42"/>
      <c r="AF3254" s="42"/>
      <c r="AG3254" s="43"/>
    </row>
    <row r="3255">
      <c r="A3255" s="23"/>
      <c r="B3255" s="101"/>
      <c r="C3255" s="115"/>
      <c r="D3255" s="115"/>
      <c r="E3255" s="85"/>
      <c r="F3255" s="138"/>
      <c r="G3255" s="101"/>
      <c r="H3255" s="105"/>
      <c r="I3255" s="105"/>
      <c r="J3255" s="44"/>
      <c r="K3255" s="116"/>
      <c r="L3255" s="117"/>
      <c r="M3255" s="67"/>
      <c r="N3255" s="33"/>
      <c r="O3255" s="70"/>
      <c r="P3255" s="34"/>
      <c r="Q3255" s="60"/>
      <c r="R3255" s="36"/>
      <c r="S3255" s="71"/>
      <c r="T3255" s="37"/>
      <c r="U3255" s="118"/>
      <c r="V3255" s="74"/>
      <c r="W3255" s="74"/>
      <c r="X3255" s="35"/>
      <c r="Y3255" s="35"/>
      <c r="Z3255" s="40"/>
      <c r="AA3255" s="34"/>
      <c r="AB3255" s="41"/>
      <c r="AC3255" s="42" t="b">
        <v>0</v>
      </c>
      <c r="AD3255" s="66"/>
      <c r="AE3255" s="42"/>
      <c r="AF3255" s="42"/>
      <c r="AG3255" s="43"/>
    </row>
    <row r="3256">
      <c r="A3256" s="23"/>
      <c r="B3256" s="101"/>
      <c r="C3256" s="115"/>
      <c r="D3256" s="115"/>
      <c r="E3256" s="85"/>
      <c r="F3256" s="138"/>
      <c r="G3256" s="101"/>
      <c r="H3256" s="105"/>
      <c r="I3256" s="105"/>
      <c r="J3256" s="44"/>
      <c r="K3256" s="116"/>
      <c r="L3256" s="117"/>
      <c r="M3256" s="67"/>
      <c r="N3256" s="33"/>
      <c r="O3256" s="70"/>
      <c r="P3256" s="34"/>
      <c r="Q3256" s="60"/>
      <c r="R3256" s="36"/>
      <c r="S3256" s="71"/>
      <c r="T3256" s="37"/>
      <c r="U3256" s="118"/>
      <c r="V3256" s="74"/>
      <c r="W3256" s="74"/>
      <c r="X3256" s="35"/>
      <c r="Y3256" s="35"/>
      <c r="Z3256" s="40"/>
      <c r="AA3256" s="34"/>
      <c r="AB3256" s="41"/>
      <c r="AC3256" s="42" t="b">
        <v>0</v>
      </c>
      <c r="AD3256" s="66"/>
      <c r="AE3256" s="42"/>
      <c r="AF3256" s="42"/>
      <c r="AG3256" s="43"/>
    </row>
    <row r="3257">
      <c r="A3257" s="23"/>
      <c r="B3257" s="101"/>
      <c r="C3257" s="115"/>
      <c r="D3257" s="115"/>
      <c r="E3257" s="85"/>
      <c r="F3257" s="138"/>
      <c r="G3257" s="101"/>
      <c r="H3257" s="105"/>
      <c r="I3257" s="105"/>
      <c r="J3257" s="44"/>
      <c r="K3257" s="116"/>
      <c r="L3257" s="117"/>
      <c r="M3257" s="67"/>
      <c r="N3257" s="33"/>
      <c r="O3257" s="70"/>
      <c r="P3257" s="34"/>
      <c r="Q3257" s="60"/>
      <c r="R3257" s="36"/>
      <c r="S3257" s="71"/>
      <c r="T3257" s="37"/>
      <c r="U3257" s="118"/>
      <c r="V3257" s="74"/>
      <c r="W3257" s="74"/>
      <c r="X3257" s="35"/>
      <c r="Y3257" s="35"/>
      <c r="Z3257" s="40"/>
      <c r="AA3257" s="34"/>
      <c r="AB3257" s="41"/>
      <c r="AC3257" s="42" t="b">
        <v>0</v>
      </c>
      <c r="AD3257" s="66"/>
      <c r="AE3257" s="42"/>
      <c r="AF3257" s="42"/>
      <c r="AG3257" s="43"/>
    </row>
    <row r="3258">
      <c r="A3258" s="23"/>
      <c r="B3258" s="101"/>
      <c r="C3258" s="115"/>
      <c r="D3258" s="115"/>
      <c r="E3258" s="85"/>
      <c r="F3258" s="138"/>
      <c r="G3258" s="101"/>
      <c r="H3258" s="105"/>
      <c r="I3258" s="105"/>
      <c r="J3258" s="44"/>
      <c r="K3258" s="116"/>
      <c r="L3258" s="117"/>
      <c r="M3258" s="67"/>
      <c r="N3258" s="33"/>
      <c r="O3258" s="70"/>
      <c r="P3258" s="34"/>
      <c r="Q3258" s="60"/>
      <c r="R3258" s="36"/>
      <c r="S3258" s="71"/>
      <c r="T3258" s="37"/>
      <c r="U3258" s="118"/>
      <c r="V3258" s="74"/>
      <c r="W3258" s="74"/>
      <c r="X3258" s="35"/>
      <c r="Y3258" s="35"/>
      <c r="Z3258" s="40"/>
      <c r="AA3258" s="34"/>
      <c r="AB3258" s="41"/>
      <c r="AC3258" s="42" t="b">
        <v>0</v>
      </c>
      <c r="AD3258" s="66"/>
      <c r="AE3258" s="42"/>
      <c r="AF3258" s="42"/>
      <c r="AG3258" s="43"/>
    </row>
    <row r="3259">
      <c r="A3259" s="23"/>
      <c r="B3259" s="101"/>
      <c r="C3259" s="115"/>
      <c r="D3259" s="115"/>
      <c r="E3259" s="85"/>
      <c r="F3259" s="138"/>
      <c r="G3259" s="101"/>
      <c r="H3259" s="105"/>
      <c r="I3259" s="105"/>
      <c r="J3259" s="44"/>
      <c r="K3259" s="116"/>
      <c r="L3259" s="117"/>
      <c r="M3259" s="67"/>
      <c r="N3259" s="33"/>
      <c r="O3259" s="70"/>
      <c r="P3259" s="34"/>
      <c r="Q3259" s="60"/>
      <c r="R3259" s="36"/>
      <c r="S3259" s="71"/>
      <c r="T3259" s="37"/>
      <c r="U3259" s="118"/>
      <c r="V3259" s="74"/>
      <c r="W3259" s="74"/>
      <c r="X3259" s="35"/>
      <c r="Y3259" s="35"/>
      <c r="Z3259" s="40"/>
      <c r="AA3259" s="34"/>
      <c r="AB3259" s="41"/>
      <c r="AC3259" s="42" t="b">
        <v>0</v>
      </c>
      <c r="AD3259" s="66"/>
      <c r="AE3259" s="42"/>
      <c r="AF3259" s="42"/>
      <c r="AG3259" s="43"/>
    </row>
    <row r="3260">
      <c r="A3260" s="23"/>
      <c r="B3260" s="101"/>
      <c r="C3260" s="115"/>
      <c r="D3260" s="115"/>
      <c r="E3260" s="85"/>
      <c r="F3260" s="138"/>
      <c r="G3260" s="101"/>
      <c r="H3260" s="105"/>
      <c r="I3260" s="105"/>
      <c r="J3260" s="44"/>
      <c r="K3260" s="116"/>
      <c r="L3260" s="117"/>
      <c r="M3260" s="67"/>
      <c r="N3260" s="33"/>
      <c r="O3260" s="70"/>
      <c r="P3260" s="34"/>
      <c r="Q3260" s="60"/>
      <c r="R3260" s="36"/>
      <c r="S3260" s="71"/>
      <c r="T3260" s="37"/>
      <c r="U3260" s="118"/>
      <c r="V3260" s="74"/>
      <c r="W3260" s="74"/>
      <c r="X3260" s="35"/>
      <c r="Y3260" s="35"/>
      <c r="Z3260" s="40"/>
      <c r="AA3260" s="34"/>
      <c r="AB3260" s="41"/>
      <c r="AC3260" s="42" t="b">
        <v>0</v>
      </c>
      <c r="AD3260" s="66"/>
      <c r="AE3260" s="42"/>
      <c r="AF3260" s="42"/>
      <c r="AG3260" s="43"/>
    </row>
    <row r="3261">
      <c r="A3261" s="23"/>
      <c r="B3261" s="101"/>
      <c r="C3261" s="115"/>
      <c r="D3261" s="115"/>
      <c r="E3261" s="85"/>
      <c r="F3261" s="138"/>
      <c r="G3261" s="101"/>
      <c r="H3261" s="105"/>
      <c r="I3261" s="105"/>
      <c r="J3261" s="44"/>
      <c r="K3261" s="116"/>
      <c r="L3261" s="117"/>
      <c r="M3261" s="67"/>
      <c r="N3261" s="33"/>
      <c r="O3261" s="70"/>
      <c r="P3261" s="34"/>
      <c r="Q3261" s="60"/>
      <c r="R3261" s="36"/>
      <c r="S3261" s="71"/>
      <c r="T3261" s="37"/>
      <c r="U3261" s="118"/>
      <c r="V3261" s="74"/>
      <c r="W3261" s="74"/>
      <c r="X3261" s="35"/>
      <c r="Y3261" s="35"/>
      <c r="Z3261" s="40"/>
      <c r="AA3261" s="34"/>
      <c r="AB3261" s="41"/>
      <c r="AC3261" s="42" t="b">
        <v>0</v>
      </c>
      <c r="AD3261" s="66"/>
      <c r="AE3261" s="42"/>
      <c r="AF3261" s="42"/>
      <c r="AG3261" s="43"/>
    </row>
    <row r="3262">
      <c r="A3262" s="23"/>
      <c r="B3262" s="101"/>
      <c r="C3262" s="115"/>
      <c r="D3262" s="115"/>
      <c r="E3262" s="85"/>
      <c r="F3262" s="138"/>
      <c r="G3262" s="101"/>
      <c r="H3262" s="105"/>
      <c r="I3262" s="105"/>
      <c r="J3262" s="44"/>
      <c r="K3262" s="116"/>
      <c r="L3262" s="117"/>
      <c r="M3262" s="67"/>
      <c r="N3262" s="33"/>
      <c r="O3262" s="70"/>
      <c r="P3262" s="34"/>
      <c r="Q3262" s="60"/>
      <c r="R3262" s="36"/>
      <c r="S3262" s="71"/>
      <c r="T3262" s="37"/>
      <c r="U3262" s="118"/>
      <c r="V3262" s="74"/>
      <c r="W3262" s="74"/>
      <c r="X3262" s="35"/>
      <c r="Y3262" s="35"/>
      <c r="Z3262" s="40"/>
      <c r="AA3262" s="34"/>
      <c r="AB3262" s="41"/>
      <c r="AC3262" s="42" t="b">
        <v>0</v>
      </c>
      <c r="AD3262" s="66"/>
      <c r="AE3262" s="42"/>
      <c r="AF3262" s="42"/>
      <c r="AG3262" s="43"/>
    </row>
    <row r="3263">
      <c r="A3263" s="23"/>
      <c r="B3263" s="101"/>
      <c r="C3263" s="115"/>
      <c r="D3263" s="115"/>
      <c r="E3263" s="85"/>
      <c r="F3263" s="138"/>
      <c r="G3263" s="101"/>
      <c r="H3263" s="105"/>
      <c r="I3263" s="105"/>
      <c r="J3263" s="44"/>
      <c r="K3263" s="116"/>
      <c r="L3263" s="117"/>
      <c r="M3263" s="67"/>
      <c r="N3263" s="33"/>
      <c r="O3263" s="70"/>
      <c r="P3263" s="34"/>
      <c r="Q3263" s="60"/>
      <c r="R3263" s="36"/>
      <c r="S3263" s="71"/>
      <c r="T3263" s="37"/>
      <c r="U3263" s="118"/>
      <c r="V3263" s="74"/>
      <c r="W3263" s="74"/>
      <c r="X3263" s="35"/>
      <c r="Y3263" s="35"/>
      <c r="Z3263" s="40"/>
      <c r="AA3263" s="34"/>
      <c r="AB3263" s="41"/>
      <c r="AC3263" s="42" t="b">
        <v>0</v>
      </c>
      <c r="AD3263" s="66"/>
      <c r="AE3263" s="42"/>
      <c r="AF3263" s="42"/>
      <c r="AG3263" s="43"/>
    </row>
    <row r="3264">
      <c r="A3264" s="23"/>
      <c r="B3264" s="101"/>
      <c r="C3264" s="115"/>
      <c r="D3264" s="115"/>
      <c r="E3264" s="85"/>
      <c r="F3264" s="138"/>
      <c r="G3264" s="101"/>
      <c r="H3264" s="105"/>
      <c r="I3264" s="105"/>
      <c r="J3264" s="44"/>
      <c r="K3264" s="116"/>
      <c r="L3264" s="117"/>
      <c r="M3264" s="67"/>
      <c r="N3264" s="33"/>
      <c r="O3264" s="70"/>
      <c r="P3264" s="34"/>
      <c r="Q3264" s="60"/>
      <c r="R3264" s="36"/>
      <c r="S3264" s="71"/>
      <c r="T3264" s="37"/>
      <c r="U3264" s="118"/>
      <c r="V3264" s="74"/>
      <c r="W3264" s="74"/>
      <c r="X3264" s="35"/>
      <c r="Y3264" s="35"/>
      <c r="Z3264" s="40"/>
      <c r="AA3264" s="34"/>
      <c r="AB3264" s="41"/>
      <c r="AC3264" s="42" t="b">
        <v>0</v>
      </c>
      <c r="AD3264" s="66"/>
      <c r="AE3264" s="42"/>
      <c r="AF3264" s="42"/>
      <c r="AG3264" s="43"/>
    </row>
    <row r="3265">
      <c r="A3265" s="23"/>
      <c r="B3265" s="101"/>
      <c r="C3265" s="115"/>
      <c r="D3265" s="115"/>
      <c r="E3265" s="85"/>
      <c r="F3265" s="138"/>
      <c r="G3265" s="101"/>
      <c r="H3265" s="105"/>
      <c r="I3265" s="105"/>
      <c r="J3265" s="44"/>
      <c r="K3265" s="116"/>
      <c r="L3265" s="117"/>
      <c r="M3265" s="67"/>
      <c r="N3265" s="33"/>
      <c r="O3265" s="70"/>
      <c r="P3265" s="34"/>
      <c r="Q3265" s="60"/>
      <c r="R3265" s="36"/>
      <c r="S3265" s="71"/>
      <c r="T3265" s="37"/>
      <c r="U3265" s="118"/>
      <c r="V3265" s="74"/>
      <c r="W3265" s="74"/>
      <c r="X3265" s="35"/>
      <c r="Y3265" s="35"/>
      <c r="Z3265" s="40"/>
      <c r="AA3265" s="34"/>
      <c r="AB3265" s="41"/>
      <c r="AC3265" s="42" t="b">
        <v>0</v>
      </c>
      <c r="AD3265" s="66"/>
      <c r="AE3265" s="42"/>
      <c r="AF3265" s="42"/>
      <c r="AG3265" s="43"/>
    </row>
    <row r="3266">
      <c r="A3266" s="23"/>
      <c r="B3266" s="101"/>
      <c r="C3266" s="115"/>
      <c r="D3266" s="115"/>
      <c r="E3266" s="85"/>
      <c r="F3266" s="138"/>
      <c r="G3266" s="101"/>
      <c r="H3266" s="105"/>
      <c r="I3266" s="105"/>
      <c r="J3266" s="44"/>
      <c r="K3266" s="116"/>
      <c r="L3266" s="117"/>
      <c r="M3266" s="67"/>
      <c r="N3266" s="33"/>
      <c r="O3266" s="70"/>
      <c r="P3266" s="34"/>
      <c r="Q3266" s="60"/>
      <c r="R3266" s="36"/>
      <c r="S3266" s="71"/>
      <c r="T3266" s="37"/>
      <c r="U3266" s="118"/>
      <c r="V3266" s="74"/>
      <c r="W3266" s="74"/>
      <c r="X3266" s="35"/>
      <c r="Y3266" s="35"/>
      <c r="Z3266" s="40"/>
      <c r="AA3266" s="34"/>
      <c r="AB3266" s="41"/>
      <c r="AC3266" s="42" t="b">
        <v>0</v>
      </c>
      <c r="AD3266" s="66"/>
      <c r="AE3266" s="42"/>
      <c r="AF3266" s="42"/>
      <c r="AG3266" s="43"/>
    </row>
    <row r="3267">
      <c r="A3267" s="23"/>
      <c r="B3267" s="101"/>
      <c r="C3267" s="115"/>
      <c r="D3267" s="115"/>
      <c r="E3267" s="85"/>
      <c r="F3267" s="138"/>
      <c r="G3267" s="101"/>
      <c r="H3267" s="105"/>
      <c r="I3267" s="105"/>
      <c r="J3267" s="44"/>
      <c r="K3267" s="116"/>
      <c r="L3267" s="117"/>
      <c r="M3267" s="67"/>
      <c r="N3267" s="33"/>
      <c r="O3267" s="70"/>
      <c r="P3267" s="34"/>
      <c r="Q3267" s="60"/>
      <c r="R3267" s="36"/>
      <c r="S3267" s="71"/>
      <c r="T3267" s="37"/>
      <c r="U3267" s="118"/>
      <c r="V3267" s="74"/>
      <c r="W3267" s="74"/>
      <c r="X3267" s="35"/>
      <c r="Y3267" s="35"/>
      <c r="Z3267" s="40"/>
      <c r="AA3267" s="34"/>
      <c r="AB3267" s="41"/>
      <c r="AC3267" s="42" t="b">
        <v>0</v>
      </c>
      <c r="AD3267" s="66"/>
      <c r="AE3267" s="42"/>
      <c r="AF3267" s="42"/>
      <c r="AG3267" s="43"/>
    </row>
    <row r="3268">
      <c r="A3268" s="23"/>
      <c r="B3268" s="101"/>
      <c r="C3268" s="115"/>
      <c r="D3268" s="115"/>
      <c r="E3268" s="85"/>
      <c r="F3268" s="138"/>
      <c r="G3268" s="101"/>
      <c r="H3268" s="105"/>
      <c r="I3268" s="105"/>
      <c r="J3268" s="44"/>
      <c r="K3268" s="116"/>
      <c r="L3268" s="117"/>
      <c r="M3268" s="67"/>
      <c r="N3268" s="33"/>
      <c r="O3268" s="70"/>
      <c r="P3268" s="34"/>
      <c r="Q3268" s="60"/>
      <c r="R3268" s="36"/>
      <c r="S3268" s="71"/>
      <c r="T3268" s="37"/>
      <c r="U3268" s="118"/>
      <c r="V3268" s="74"/>
      <c r="W3268" s="74"/>
      <c r="X3268" s="35"/>
      <c r="Y3268" s="35"/>
      <c r="Z3268" s="40"/>
      <c r="AA3268" s="34"/>
      <c r="AB3268" s="41"/>
      <c r="AC3268" s="42" t="b">
        <v>0</v>
      </c>
      <c r="AD3268" s="66"/>
      <c r="AE3268" s="42"/>
      <c r="AF3268" s="42"/>
      <c r="AG3268" s="43"/>
    </row>
    <row r="3269">
      <c r="A3269" s="23"/>
      <c r="B3269" s="101"/>
      <c r="C3269" s="115"/>
      <c r="D3269" s="115"/>
      <c r="E3269" s="85"/>
      <c r="F3269" s="138"/>
      <c r="G3269" s="101"/>
      <c r="H3269" s="105"/>
      <c r="I3269" s="105"/>
      <c r="J3269" s="44"/>
      <c r="K3269" s="116"/>
      <c r="L3269" s="117"/>
      <c r="M3269" s="67"/>
      <c r="N3269" s="33"/>
      <c r="O3269" s="70"/>
      <c r="P3269" s="34"/>
      <c r="Q3269" s="60"/>
      <c r="R3269" s="36"/>
      <c r="S3269" s="71"/>
      <c r="T3269" s="37"/>
      <c r="U3269" s="118"/>
      <c r="V3269" s="74"/>
      <c r="W3269" s="74"/>
      <c r="X3269" s="35"/>
      <c r="Y3269" s="35"/>
      <c r="Z3269" s="40"/>
      <c r="AA3269" s="34"/>
      <c r="AB3269" s="41"/>
      <c r="AC3269" s="42" t="b">
        <v>0</v>
      </c>
      <c r="AD3269" s="66"/>
      <c r="AE3269" s="42"/>
      <c r="AF3269" s="42"/>
      <c r="AG3269" s="43"/>
    </row>
    <row r="3270">
      <c r="A3270" s="23"/>
      <c r="B3270" s="101"/>
      <c r="C3270" s="115"/>
      <c r="D3270" s="115"/>
      <c r="E3270" s="85"/>
      <c r="F3270" s="138"/>
      <c r="G3270" s="101"/>
      <c r="H3270" s="105"/>
      <c r="I3270" s="105"/>
      <c r="J3270" s="44"/>
      <c r="K3270" s="116"/>
      <c r="L3270" s="117"/>
      <c r="M3270" s="67"/>
      <c r="N3270" s="33"/>
      <c r="O3270" s="70"/>
      <c r="P3270" s="34"/>
      <c r="Q3270" s="60"/>
      <c r="R3270" s="36"/>
      <c r="S3270" s="71"/>
      <c r="T3270" s="37"/>
      <c r="U3270" s="118"/>
      <c r="V3270" s="74"/>
      <c r="W3270" s="74"/>
      <c r="X3270" s="35"/>
      <c r="Y3270" s="35"/>
      <c r="Z3270" s="40"/>
      <c r="AA3270" s="34"/>
      <c r="AB3270" s="41"/>
      <c r="AC3270" s="42" t="b">
        <v>0</v>
      </c>
      <c r="AD3270" s="66"/>
      <c r="AE3270" s="42"/>
      <c r="AF3270" s="42"/>
      <c r="AG3270" s="43"/>
    </row>
    <row r="3271">
      <c r="A3271" s="23"/>
      <c r="B3271" s="101"/>
      <c r="C3271" s="115"/>
      <c r="D3271" s="115"/>
      <c r="E3271" s="85"/>
      <c r="F3271" s="138"/>
      <c r="G3271" s="101"/>
      <c r="H3271" s="105"/>
      <c r="I3271" s="105"/>
      <c r="J3271" s="44"/>
      <c r="K3271" s="116"/>
      <c r="L3271" s="117"/>
      <c r="M3271" s="67"/>
      <c r="N3271" s="33"/>
      <c r="O3271" s="70"/>
      <c r="P3271" s="34"/>
      <c r="Q3271" s="60"/>
      <c r="R3271" s="36"/>
      <c r="S3271" s="71"/>
      <c r="T3271" s="37"/>
      <c r="U3271" s="118"/>
      <c r="V3271" s="74"/>
      <c r="W3271" s="74"/>
      <c r="X3271" s="35"/>
      <c r="Y3271" s="35"/>
      <c r="Z3271" s="40"/>
      <c r="AA3271" s="34"/>
      <c r="AB3271" s="41"/>
      <c r="AC3271" s="42" t="b">
        <v>0</v>
      </c>
      <c r="AD3271" s="66"/>
      <c r="AE3271" s="42"/>
      <c r="AF3271" s="42"/>
      <c r="AG3271" s="43"/>
    </row>
    <row r="3272">
      <c r="A3272" s="23"/>
      <c r="B3272" s="101"/>
      <c r="C3272" s="115"/>
      <c r="D3272" s="115"/>
      <c r="E3272" s="85"/>
      <c r="F3272" s="138"/>
      <c r="G3272" s="101"/>
      <c r="H3272" s="105"/>
      <c r="I3272" s="105"/>
      <c r="J3272" s="44"/>
      <c r="K3272" s="116"/>
      <c r="L3272" s="117"/>
      <c r="M3272" s="67"/>
      <c r="N3272" s="33"/>
      <c r="O3272" s="70"/>
      <c r="P3272" s="34"/>
      <c r="Q3272" s="60"/>
      <c r="R3272" s="36"/>
      <c r="S3272" s="71"/>
      <c r="T3272" s="37"/>
      <c r="U3272" s="118"/>
      <c r="V3272" s="74"/>
      <c r="W3272" s="74"/>
      <c r="X3272" s="35"/>
      <c r="Y3272" s="35"/>
      <c r="Z3272" s="40"/>
      <c r="AA3272" s="34"/>
      <c r="AB3272" s="41"/>
      <c r="AC3272" s="42" t="b">
        <v>0</v>
      </c>
      <c r="AD3272" s="66"/>
      <c r="AE3272" s="42"/>
      <c r="AF3272" s="42"/>
      <c r="AG3272" s="43"/>
    </row>
    <row r="3273">
      <c r="A3273" s="23"/>
      <c r="B3273" s="101"/>
      <c r="C3273" s="115"/>
      <c r="D3273" s="115"/>
      <c r="E3273" s="85"/>
      <c r="F3273" s="138"/>
      <c r="G3273" s="101"/>
      <c r="H3273" s="105"/>
      <c r="I3273" s="105"/>
      <c r="J3273" s="44"/>
      <c r="K3273" s="116"/>
      <c r="L3273" s="117"/>
      <c r="M3273" s="67"/>
      <c r="N3273" s="33"/>
      <c r="O3273" s="70"/>
      <c r="P3273" s="34"/>
      <c r="Q3273" s="60"/>
      <c r="R3273" s="36"/>
      <c r="S3273" s="71"/>
      <c r="T3273" s="37"/>
      <c r="U3273" s="118"/>
      <c r="V3273" s="74"/>
      <c r="W3273" s="74"/>
      <c r="X3273" s="35"/>
      <c r="Y3273" s="35"/>
      <c r="Z3273" s="40"/>
      <c r="AA3273" s="34"/>
      <c r="AB3273" s="41"/>
      <c r="AC3273" s="42" t="b">
        <v>0</v>
      </c>
      <c r="AD3273" s="66"/>
      <c r="AE3273" s="42"/>
      <c r="AF3273" s="42"/>
      <c r="AG3273" s="43"/>
    </row>
    <row r="3274">
      <c r="A3274" s="23"/>
      <c r="B3274" s="101"/>
      <c r="C3274" s="115"/>
      <c r="D3274" s="115"/>
      <c r="E3274" s="85"/>
      <c r="F3274" s="138"/>
      <c r="G3274" s="101"/>
      <c r="H3274" s="105"/>
      <c r="I3274" s="105"/>
      <c r="J3274" s="44"/>
      <c r="K3274" s="116"/>
      <c r="L3274" s="117"/>
      <c r="M3274" s="67"/>
      <c r="N3274" s="33"/>
      <c r="O3274" s="70"/>
      <c r="P3274" s="34"/>
      <c r="Q3274" s="60"/>
      <c r="R3274" s="36"/>
      <c r="S3274" s="71"/>
      <c r="T3274" s="37"/>
      <c r="U3274" s="118"/>
      <c r="V3274" s="74"/>
      <c r="W3274" s="74"/>
      <c r="X3274" s="35"/>
      <c r="Y3274" s="35"/>
      <c r="Z3274" s="40"/>
      <c r="AA3274" s="34"/>
      <c r="AB3274" s="41"/>
      <c r="AC3274" s="42" t="b">
        <v>0</v>
      </c>
      <c r="AD3274" s="66"/>
      <c r="AE3274" s="42"/>
      <c r="AF3274" s="42"/>
      <c r="AG3274" s="43"/>
    </row>
    <row r="3275">
      <c r="A3275" s="23"/>
      <c r="B3275" s="101"/>
      <c r="C3275" s="115"/>
      <c r="D3275" s="115"/>
      <c r="E3275" s="85"/>
      <c r="F3275" s="138"/>
      <c r="G3275" s="101"/>
      <c r="H3275" s="105"/>
      <c r="I3275" s="105"/>
      <c r="J3275" s="44"/>
      <c r="K3275" s="116"/>
      <c r="L3275" s="117"/>
      <c r="M3275" s="67"/>
      <c r="N3275" s="33"/>
      <c r="O3275" s="70"/>
      <c r="P3275" s="34"/>
      <c r="Q3275" s="60"/>
      <c r="R3275" s="36"/>
      <c r="S3275" s="71"/>
      <c r="T3275" s="37"/>
      <c r="U3275" s="118"/>
      <c r="V3275" s="74"/>
      <c r="W3275" s="74"/>
      <c r="X3275" s="35"/>
      <c r="Y3275" s="35"/>
      <c r="Z3275" s="40"/>
      <c r="AA3275" s="34"/>
      <c r="AB3275" s="41"/>
      <c r="AC3275" s="42" t="b">
        <v>0</v>
      </c>
      <c r="AD3275" s="66"/>
      <c r="AE3275" s="42"/>
      <c r="AF3275" s="42"/>
      <c r="AG3275" s="43"/>
    </row>
    <row r="3276">
      <c r="A3276" s="23"/>
      <c r="B3276" s="101"/>
      <c r="C3276" s="115"/>
      <c r="D3276" s="115"/>
      <c r="E3276" s="85"/>
      <c r="F3276" s="138"/>
      <c r="G3276" s="101"/>
      <c r="H3276" s="105"/>
      <c r="I3276" s="105"/>
      <c r="J3276" s="44"/>
      <c r="K3276" s="116"/>
      <c r="L3276" s="117"/>
      <c r="M3276" s="67"/>
      <c r="N3276" s="33"/>
      <c r="O3276" s="70"/>
      <c r="P3276" s="34"/>
      <c r="Q3276" s="60"/>
      <c r="R3276" s="36"/>
      <c r="S3276" s="71"/>
      <c r="T3276" s="37"/>
      <c r="U3276" s="118"/>
      <c r="V3276" s="74"/>
      <c r="W3276" s="74"/>
      <c r="X3276" s="35"/>
      <c r="Y3276" s="35"/>
      <c r="Z3276" s="40"/>
      <c r="AA3276" s="34"/>
      <c r="AB3276" s="41"/>
      <c r="AC3276" s="42" t="b">
        <v>0</v>
      </c>
      <c r="AD3276" s="66"/>
      <c r="AE3276" s="42"/>
      <c r="AF3276" s="42"/>
      <c r="AG3276" s="43"/>
    </row>
    <row r="3277">
      <c r="A3277" s="23"/>
      <c r="B3277" s="101"/>
      <c r="C3277" s="115"/>
      <c r="D3277" s="115"/>
      <c r="E3277" s="85"/>
      <c r="F3277" s="138"/>
      <c r="G3277" s="101"/>
      <c r="H3277" s="105"/>
      <c r="I3277" s="105"/>
      <c r="J3277" s="44"/>
      <c r="K3277" s="116"/>
      <c r="L3277" s="117"/>
      <c r="M3277" s="67"/>
      <c r="N3277" s="33"/>
      <c r="O3277" s="70"/>
      <c r="P3277" s="34"/>
      <c r="Q3277" s="60"/>
      <c r="R3277" s="36"/>
      <c r="S3277" s="71"/>
      <c r="T3277" s="37"/>
      <c r="U3277" s="118"/>
      <c r="V3277" s="74"/>
      <c r="W3277" s="74"/>
      <c r="X3277" s="35"/>
      <c r="Y3277" s="35"/>
      <c r="Z3277" s="40"/>
      <c r="AA3277" s="34"/>
      <c r="AB3277" s="41"/>
      <c r="AC3277" s="42" t="b">
        <v>0</v>
      </c>
      <c r="AD3277" s="66"/>
      <c r="AE3277" s="42"/>
      <c r="AF3277" s="42"/>
      <c r="AG3277" s="43"/>
    </row>
    <row r="3278">
      <c r="A3278" s="23"/>
      <c r="B3278" s="101"/>
      <c r="C3278" s="115"/>
      <c r="D3278" s="115"/>
      <c r="E3278" s="85"/>
      <c r="F3278" s="138"/>
      <c r="G3278" s="101"/>
      <c r="H3278" s="105"/>
      <c r="I3278" s="105"/>
      <c r="J3278" s="44"/>
      <c r="K3278" s="116"/>
      <c r="L3278" s="117"/>
      <c r="M3278" s="67"/>
      <c r="N3278" s="33"/>
      <c r="O3278" s="70"/>
      <c r="P3278" s="34"/>
      <c r="Q3278" s="60"/>
      <c r="R3278" s="36"/>
      <c r="S3278" s="71"/>
      <c r="T3278" s="37"/>
      <c r="U3278" s="118"/>
      <c r="V3278" s="74"/>
      <c r="W3278" s="74"/>
      <c r="X3278" s="35"/>
      <c r="Y3278" s="35"/>
      <c r="Z3278" s="40"/>
      <c r="AA3278" s="34"/>
      <c r="AB3278" s="41"/>
      <c r="AC3278" s="42" t="b">
        <v>0</v>
      </c>
      <c r="AD3278" s="66"/>
      <c r="AE3278" s="42"/>
      <c r="AF3278" s="42"/>
      <c r="AG3278" s="43"/>
    </row>
    <row r="3279">
      <c r="A3279" s="23"/>
      <c r="B3279" s="101"/>
      <c r="C3279" s="115"/>
      <c r="D3279" s="115"/>
      <c r="E3279" s="85"/>
      <c r="F3279" s="138"/>
      <c r="G3279" s="101"/>
      <c r="H3279" s="105"/>
      <c r="I3279" s="105"/>
      <c r="J3279" s="44"/>
      <c r="K3279" s="116"/>
      <c r="L3279" s="117"/>
      <c r="M3279" s="67"/>
      <c r="N3279" s="33"/>
      <c r="O3279" s="70"/>
      <c r="P3279" s="34"/>
      <c r="Q3279" s="60"/>
      <c r="R3279" s="36"/>
      <c r="S3279" s="71"/>
      <c r="T3279" s="37"/>
      <c r="U3279" s="118"/>
      <c r="V3279" s="74"/>
      <c r="W3279" s="74"/>
      <c r="X3279" s="35"/>
      <c r="Y3279" s="35"/>
      <c r="Z3279" s="40"/>
      <c r="AA3279" s="34"/>
      <c r="AB3279" s="41"/>
      <c r="AC3279" s="42" t="b">
        <v>0</v>
      </c>
      <c r="AD3279" s="66"/>
      <c r="AE3279" s="42"/>
      <c r="AF3279" s="42"/>
      <c r="AG3279" s="43"/>
    </row>
    <row r="3280">
      <c r="A3280" s="23"/>
      <c r="B3280" s="101"/>
      <c r="C3280" s="115"/>
      <c r="D3280" s="115"/>
      <c r="E3280" s="85"/>
      <c r="F3280" s="138"/>
      <c r="G3280" s="101"/>
      <c r="H3280" s="105"/>
      <c r="I3280" s="105"/>
      <c r="J3280" s="44"/>
      <c r="K3280" s="116"/>
      <c r="L3280" s="117"/>
      <c r="M3280" s="67"/>
      <c r="N3280" s="33"/>
      <c r="O3280" s="70"/>
      <c r="P3280" s="34"/>
      <c r="Q3280" s="60"/>
      <c r="R3280" s="36"/>
      <c r="S3280" s="71"/>
      <c r="T3280" s="37"/>
      <c r="U3280" s="118"/>
      <c r="V3280" s="74"/>
      <c r="W3280" s="74"/>
      <c r="X3280" s="35"/>
      <c r="Y3280" s="35"/>
      <c r="Z3280" s="40"/>
      <c r="AA3280" s="34"/>
      <c r="AB3280" s="41"/>
      <c r="AC3280" s="42" t="b">
        <v>0</v>
      </c>
      <c r="AD3280" s="66"/>
      <c r="AE3280" s="42"/>
      <c r="AF3280" s="42"/>
      <c r="AG3280" s="43"/>
    </row>
    <row r="3281">
      <c r="A3281" s="23"/>
      <c r="B3281" s="101"/>
      <c r="C3281" s="115"/>
      <c r="D3281" s="115"/>
      <c r="E3281" s="85"/>
      <c r="F3281" s="138"/>
      <c r="G3281" s="101"/>
      <c r="H3281" s="105"/>
      <c r="I3281" s="105"/>
      <c r="J3281" s="44"/>
      <c r="K3281" s="116"/>
      <c r="L3281" s="117"/>
      <c r="M3281" s="67"/>
      <c r="N3281" s="33"/>
      <c r="O3281" s="70"/>
      <c r="P3281" s="34"/>
      <c r="Q3281" s="60"/>
      <c r="R3281" s="36"/>
      <c r="S3281" s="71"/>
      <c r="T3281" s="37"/>
      <c r="U3281" s="118"/>
      <c r="V3281" s="74"/>
      <c r="W3281" s="74"/>
      <c r="X3281" s="35"/>
      <c r="Y3281" s="35"/>
      <c r="Z3281" s="40"/>
      <c r="AA3281" s="34"/>
      <c r="AB3281" s="41"/>
      <c r="AC3281" s="42" t="b">
        <v>0</v>
      </c>
      <c r="AD3281" s="66"/>
      <c r="AE3281" s="42"/>
      <c r="AF3281" s="42"/>
      <c r="AG3281" s="43"/>
    </row>
    <row r="3282">
      <c r="A3282" s="23"/>
      <c r="B3282" s="101"/>
      <c r="C3282" s="115"/>
      <c r="D3282" s="115"/>
      <c r="E3282" s="85"/>
      <c r="F3282" s="138"/>
      <c r="G3282" s="101"/>
      <c r="H3282" s="105"/>
      <c r="I3282" s="105"/>
      <c r="J3282" s="44"/>
      <c r="K3282" s="116"/>
      <c r="L3282" s="117"/>
      <c r="M3282" s="67"/>
      <c r="N3282" s="33"/>
      <c r="O3282" s="70"/>
      <c r="P3282" s="34"/>
      <c r="Q3282" s="60"/>
      <c r="R3282" s="36"/>
      <c r="S3282" s="71"/>
      <c r="T3282" s="37"/>
      <c r="U3282" s="118"/>
      <c r="V3282" s="74"/>
      <c r="W3282" s="74"/>
      <c r="X3282" s="35"/>
      <c r="Y3282" s="35"/>
      <c r="Z3282" s="40"/>
      <c r="AA3282" s="34"/>
      <c r="AB3282" s="41"/>
      <c r="AC3282" s="42" t="b">
        <v>0</v>
      </c>
      <c r="AD3282" s="66"/>
      <c r="AE3282" s="42"/>
      <c r="AF3282" s="42"/>
      <c r="AG3282" s="43"/>
    </row>
    <row r="3283">
      <c r="A3283" s="23"/>
      <c r="B3283" s="101"/>
      <c r="C3283" s="115"/>
      <c r="D3283" s="115"/>
      <c r="E3283" s="85"/>
      <c r="F3283" s="138"/>
      <c r="G3283" s="101"/>
      <c r="H3283" s="105"/>
      <c r="I3283" s="105"/>
      <c r="J3283" s="44"/>
      <c r="K3283" s="116"/>
      <c r="L3283" s="117"/>
      <c r="M3283" s="67"/>
      <c r="N3283" s="33"/>
      <c r="O3283" s="70"/>
      <c r="P3283" s="34"/>
      <c r="Q3283" s="60"/>
      <c r="R3283" s="36"/>
      <c r="S3283" s="71"/>
      <c r="T3283" s="37"/>
      <c r="U3283" s="118"/>
      <c r="V3283" s="74"/>
      <c r="W3283" s="74"/>
      <c r="X3283" s="35"/>
      <c r="Y3283" s="35"/>
      <c r="Z3283" s="40"/>
      <c r="AA3283" s="34"/>
      <c r="AB3283" s="41"/>
      <c r="AC3283" s="42" t="b">
        <v>0</v>
      </c>
      <c r="AD3283" s="66"/>
      <c r="AE3283" s="42"/>
      <c r="AF3283" s="42"/>
      <c r="AG3283" s="43"/>
    </row>
    <row r="3284">
      <c r="A3284" s="23"/>
      <c r="B3284" s="101"/>
      <c r="C3284" s="115"/>
      <c r="D3284" s="115"/>
      <c r="E3284" s="85"/>
      <c r="F3284" s="138"/>
      <c r="G3284" s="101"/>
      <c r="H3284" s="105"/>
      <c r="I3284" s="105"/>
      <c r="J3284" s="44"/>
      <c r="K3284" s="116"/>
      <c r="L3284" s="117"/>
      <c r="M3284" s="67"/>
      <c r="N3284" s="33"/>
      <c r="O3284" s="70"/>
      <c r="P3284" s="34"/>
      <c r="Q3284" s="60"/>
      <c r="R3284" s="36"/>
      <c r="S3284" s="71"/>
      <c r="T3284" s="37"/>
      <c r="U3284" s="118"/>
      <c r="V3284" s="74"/>
      <c r="W3284" s="74"/>
      <c r="X3284" s="35"/>
      <c r="Y3284" s="35"/>
      <c r="Z3284" s="40"/>
      <c r="AA3284" s="34"/>
      <c r="AB3284" s="41"/>
      <c r="AC3284" s="42" t="b">
        <v>0</v>
      </c>
      <c r="AD3284" s="66"/>
      <c r="AE3284" s="42"/>
      <c r="AF3284" s="42"/>
      <c r="AG3284" s="43"/>
    </row>
    <row r="3285">
      <c r="A3285" s="23"/>
      <c r="B3285" s="101"/>
      <c r="C3285" s="115"/>
      <c r="D3285" s="115"/>
      <c r="E3285" s="85"/>
      <c r="F3285" s="138"/>
      <c r="G3285" s="101"/>
      <c r="H3285" s="105"/>
      <c r="I3285" s="105"/>
      <c r="J3285" s="44"/>
      <c r="K3285" s="116"/>
      <c r="L3285" s="117"/>
      <c r="M3285" s="67"/>
      <c r="N3285" s="33"/>
      <c r="O3285" s="70"/>
      <c r="P3285" s="34"/>
      <c r="Q3285" s="60"/>
      <c r="R3285" s="36"/>
      <c r="S3285" s="71"/>
      <c r="T3285" s="37"/>
      <c r="U3285" s="118"/>
      <c r="V3285" s="74"/>
      <c r="W3285" s="74"/>
      <c r="X3285" s="35"/>
      <c r="Y3285" s="35"/>
      <c r="Z3285" s="40"/>
      <c r="AA3285" s="34"/>
      <c r="AB3285" s="41"/>
      <c r="AC3285" s="42" t="b">
        <v>0</v>
      </c>
      <c r="AD3285" s="66"/>
      <c r="AE3285" s="42"/>
      <c r="AF3285" s="42"/>
      <c r="AG3285" s="43"/>
    </row>
    <row r="3286">
      <c r="A3286" s="23"/>
      <c r="B3286" s="101"/>
      <c r="C3286" s="115"/>
      <c r="D3286" s="115"/>
      <c r="E3286" s="85"/>
      <c r="F3286" s="138"/>
      <c r="G3286" s="101"/>
      <c r="H3286" s="105"/>
      <c r="I3286" s="105"/>
      <c r="J3286" s="44"/>
      <c r="K3286" s="116"/>
      <c r="L3286" s="117"/>
      <c r="M3286" s="67"/>
      <c r="N3286" s="33"/>
      <c r="O3286" s="70"/>
      <c r="P3286" s="34"/>
      <c r="Q3286" s="60"/>
      <c r="R3286" s="36"/>
      <c r="S3286" s="71"/>
      <c r="T3286" s="37"/>
      <c r="U3286" s="118"/>
      <c r="V3286" s="74"/>
      <c r="W3286" s="74"/>
      <c r="X3286" s="35"/>
      <c r="Y3286" s="35"/>
      <c r="Z3286" s="40"/>
      <c r="AA3286" s="34"/>
      <c r="AB3286" s="41"/>
      <c r="AC3286" s="42" t="b">
        <v>0</v>
      </c>
      <c r="AD3286" s="66"/>
      <c r="AE3286" s="42"/>
      <c r="AF3286" s="42"/>
      <c r="AG3286" s="43"/>
    </row>
    <row r="3287">
      <c r="A3287" s="23"/>
      <c r="B3287" s="101"/>
      <c r="C3287" s="115"/>
      <c r="D3287" s="115"/>
      <c r="E3287" s="85"/>
      <c r="F3287" s="138"/>
      <c r="G3287" s="101"/>
      <c r="H3287" s="105"/>
      <c r="I3287" s="105"/>
      <c r="J3287" s="44"/>
      <c r="K3287" s="116"/>
      <c r="L3287" s="117"/>
      <c r="M3287" s="67"/>
      <c r="N3287" s="33"/>
      <c r="O3287" s="70"/>
      <c r="P3287" s="34"/>
      <c r="Q3287" s="60"/>
      <c r="R3287" s="36"/>
      <c r="S3287" s="71"/>
      <c r="T3287" s="37"/>
      <c r="U3287" s="118"/>
      <c r="V3287" s="74"/>
      <c r="W3287" s="74"/>
      <c r="X3287" s="35"/>
      <c r="Y3287" s="35"/>
      <c r="Z3287" s="40"/>
      <c r="AA3287" s="34"/>
      <c r="AB3287" s="41"/>
      <c r="AC3287" s="42" t="b">
        <v>0</v>
      </c>
      <c r="AD3287" s="66"/>
      <c r="AE3287" s="42"/>
      <c r="AF3287" s="42"/>
      <c r="AG3287" s="43"/>
    </row>
    <row r="3288">
      <c r="A3288" s="23"/>
      <c r="B3288" s="101"/>
      <c r="C3288" s="115"/>
      <c r="D3288" s="115"/>
      <c r="E3288" s="85"/>
      <c r="F3288" s="138"/>
      <c r="G3288" s="101"/>
      <c r="H3288" s="105"/>
      <c r="I3288" s="105"/>
      <c r="J3288" s="44"/>
      <c r="K3288" s="116"/>
      <c r="L3288" s="117"/>
      <c r="M3288" s="67"/>
      <c r="N3288" s="33"/>
      <c r="O3288" s="70"/>
      <c r="P3288" s="34"/>
      <c r="Q3288" s="60"/>
      <c r="R3288" s="36"/>
      <c r="S3288" s="71"/>
      <c r="T3288" s="37"/>
      <c r="U3288" s="118"/>
      <c r="V3288" s="74"/>
      <c r="W3288" s="74"/>
      <c r="X3288" s="35"/>
      <c r="Y3288" s="35"/>
      <c r="Z3288" s="40"/>
      <c r="AA3288" s="34"/>
      <c r="AB3288" s="41"/>
      <c r="AC3288" s="42" t="b">
        <v>0</v>
      </c>
      <c r="AD3288" s="66"/>
      <c r="AE3288" s="42"/>
      <c r="AF3288" s="42"/>
      <c r="AG3288" s="43"/>
    </row>
    <row r="3289">
      <c r="A3289" s="23"/>
      <c r="B3289" s="101"/>
      <c r="C3289" s="115"/>
      <c r="D3289" s="115"/>
      <c r="E3289" s="85"/>
      <c r="F3289" s="138"/>
      <c r="G3289" s="101"/>
      <c r="H3289" s="105"/>
      <c r="I3289" s="105"/>
      <c r="J3289" s="44"/>
      <c r="K3289" s="116"/>
      <c r="L3289" s="117"/>
      <c r="M3289" s="67"/>
      <c r="N3289" s="33"/>
      <c r="O3289" s="70"/>
      <c r="P3289" s="34"/>
      <c r="Q3289" s="60"/>
      <c r="R3289" s="36"/>
      <c r="S3289" s="71"/>
      <c r="T3289" s="37"/>
      <c r="U3289" s="118"/>
      <c r="V3289" s="74"/>
      <c r="W3289" s="74"/>
      <c r="X3289" s="35"/>
      <c r="Y3289" s="35"/>
      <c r="Z3289" s="40"/>
      <c r="AA3289" s="34"/>
      <c r="AB3289" s="41"/>
      <c r="AC3289" s="42" t="b">
        <v>0</v>
      </c>
      <c r="AD3289" s="66"/>
      <c r="AE3289" s="42"/>
      <c r="AF3289" s="42"/>
      <c r="AG3289" s="43"/>
    </row>
    <row r="3290">
      <c r="A3290" s="23"/>
      <c r="B3290" s="101"/>
      <c r="C3290" s="115"/>
      <c r="D3290" s="115"/>
      <c r="E3290" s="85"/>
      <c r="F3290" s="138"/>
      <c r="G3290" s="101"/>
      <c r="H3290" s="105"/>
      <c r="I3290" s="105"/>
      <c r="J3290" s="44"/>
      <c r="K3290" s="116"/>
      <c r="L3290" s="117"/>
      <c r="M3290" s="67"/>
      <c r="N3290" s="33"/>
      <c r="O3290" s="70"/>
      <c r="P3290" s="34"/>
      <c r="Q3290" s="60"/>
      <c r="R3290" s="36"/>
      <c r="S3290" s="71"/>
      <c r="T3290" s="37"/>
      <c r="U3290" s="118"/>
      <c r="V3290" s="74"/>
      <c r="W3290" s="74"/>
      <c r="X3290" s="35"/>
      <c r="Y3290" s="35"/>
      <c r="Z3290" s="40"/>
      <c r="AA3290" s="34"/>
      <c r="AB3290" s="41"/>
      <c r="AC3290" s="42" t="b">
        <v>0</v>
      </c>
      <c r="AD3290" s="66"/>
      <c r="AE3290" s="42"/>
      <c r="AF3290" s="42"/>
      <c r="AG3290" s="43"/>
    </row>
    <row r="3291">
      <c r="A3291" s="23"/>
      <c r="B3291" s="101"/>
      <c r="C3291" s="115"/>
      <c r="D3291" s="115"/>
      <c r="E3291" s="85"/>
      <c r="F3291" s="138"/>
      <c r="G3291" s="101"/>
      <c r="H3291" s="105"/>
      <c r="I3291" s="105"/>
      <c r="J3291" s="44"/>
      <c r="K3291" s="116"/>
      <c r="L3291" s="117"/>
      <c r="M3291" s="67"/>
      <c r="N3291" s="33"/>
      <c r="O3291" s="70"/>
      <c r="P3291" s="34"/>
      <c r="Q3291" s="60"/>
      <c r="R3291" s="36"/>
      <c r="S3291" s="71"/>
      <c r="T3291" s="37"/>
      <c r="U3291" s="118"/>
      <c r="V3291" s="74"/>
      <c r="W3291" s="74"/>
      <c r="X3291" s="35"/>
      <c r="Y3291" s="35"/>
      <c r="Z3291" s="40"/>
      <c r="AA3291" s="34"/>
      <c r="AB3291" s="41"/>
      <c r="AC3291" s="42" t="b">
        <v>0</v>
      </c>
      <c r="AD3291" s="66"/>
      <c r="AE3291" s="42"/>
      <c r="AF3291" s="42"/>
      <c r="AG3291" s="43"/>
    </row>
    <row r="3292">
      <c r="A3292" s="23"/>
      <c r="B3292" s="101"/>
      <c r="C3292" s="115"/>
      <c r="D3292" s="115"/>
      <c r="E3292" s="85"/>
      <c r="F3292" s="138"/>
      <c r="G3292" s="101"/>
      <c r="H3292" s="105"/>
      <c r="I3292" s="105"/>
      <c r="J3292" s="44"/>
      <c r="K3292" s="116"/>
      <c r="L3292" s="117"/>
      <c r="M3292" s="67"/>
      <c r="N3292" s="33"/>
      <c r="O3292" s="70"/>
      <c r="P3292" s="34"/>
      <c r="Q3292" s="60"/>
      <c r="R3292" s="36"/>
      <c r="S3292" s="71"/>
      <c r="T3292" s="37"/>
      <c r="U3292" s="118"/>
      <c r="V3292" s="74"/>
      <c r="W3292" s="74"/>
      <c r="X3292" s="35"/>
      <c r="Y3292" s="35"/>
      <c r="Z3292" s="40"/>
      <c r="AA3292" s="34"/>
      <c r="AB3292" s="41"/>
      <c r="AC3292" s="42" t="b">
        <v>0</v>
      </c>
      <c r="AD3292" s="66"/>
      <c r="AE3292" s="42"/>
      <c r="AF3292" s="42"/>
      <c r="AG3292" s="43"/>
    </row>
    <row r="3293">
      <c r="A3293" s="23"/>
      <c r="B3293" s="101"/>
      <c r="C3293" s="115"/>
      <c r="D3293" s="115"/>
      <c r="E3293" s="85"/>
      <c r="F3293" s="138"/>
      <c r="G3293" s="101"/>
      <c r="H3293" s="105"/>
      <c r="I3293" s="105"/>
      <c r="J3293" s="44"/>
      <c r="K3293" s="116"/>
      <c r="L3293" s="117"/>
      <c r="M3293" s="67"/>
      <c r="N3293" s="33"/>
      <c r="O3293" s="70"/>
      <c r="P3293" s="34"/>
      <c r="Q3293" s="60"/>
      <c r="R3293" s="36"/>
      <c r="S3293" s="71"/>
      <c r="T3293" s="37"/>
      <c r="U3293" s="118"/>
      <c r="V3293" s="74"/>
      <c r="W3293" s="74"/>
      <c r="X3293" s="35"/>
      <c r="Y3293" s="35"/>
      <c r="Z3293" s="40"/>
      <c r="AA3293" s="34"/>
      <c r="AB3293" s="41"/>
      <c r="AC3293" s="42" t="b">
        <v>0</v>
      </c>
      <c r="AD3293" s="66"/>
      <c r="AE3293" s="42"/>
      <c r="AF3293" s="42"/>
      <c r="AG3293" s="43"/>
    </row>
    <row r="3294">
      <c r="A3294" s="23"/>
      <c r="B3294" s="101"/>
      <c r="C3294" s="115"/>
      <c r="D3294" s="115"/>
      <c r="E3294" s="85"/>
      <c r="F3294" s="138"/>
      <c r="G3294" s="101"/>
      <c r="H3294" s="105"/>
      <c r="I3294" s="105"/>
      <c r="J3294" s="44"/>
      <c r="K3294" s="116"/>
      <c r="L3294" s="117"/>
      <c r="M3294" s="67"/>
      <c r="N3294" s="33"/>
      <c r="O3294" s="70"/>
      <c r="P3294" s="34"/>
      <c r="Q3294" s="60"/>
      <c r="R3294" s="36"/>
      <c r="S3294" s="71"/>
      <c r="T3294" s="37"/>
      <c r="U3294" s="118"/>
      <c r="V3294" s="74"/>
      <c r="W3294" s="74"/>
      <c r="X3294" s="35"/>
      <c r="Y3294" s="35"/>
      <c r="Z3294" s="40"/>
      <c r="AA3294" s="34"/>
      <c r="AB3294" s="41"/>
      <c r="AC3294" s="42" t="b">
        <v>0</v>
      </c>
      <c r="AD3294" s="66"/>
      <c r="AE3294" s="42"/>
      <c r="AF3294" s="42"/>
      <c r="AG3294" s="43"/>
    </row>
    <row r="3295">
      <c r="A3295" s="23"/>
      <c r="B3295" s="101"/>
      <c r="C3295" s="115"/>
      <c r="D3295" s="115"/>
      <c r="E3295" s="85"/>
      <c r="F3295" s="138"/>
      <c r="G3295" s="101"/>
      <c r="H3295" s="105"/>
      <c r="I3295" s="105"/>
      <c r="J3295" s="44"/>
      <c r="K3295" s="116"/>
      <c r="L3295" s="117"/>
      <c r="M3295" s="67"/>
      <c r="N3295" s="33"/>
      <c r="O3295" s="70"/>
      <c r="P3295" s="34"/>
      <c r="Q3295" s="60"/>
      <c r="R3295" s="36"/>
      <c r="S3295" s="71"/>
      <c r="T3295" s="37"/>
      <c r="U3295" s="118"/>
      <c r="V3295" s="74"/>
      <c r="W3295" s="74"/>
      <c r="X3295" s="35"/>
      <c r="Y3295" s="35"/>
      <c r="Z3295" s="40"/>
      <c r="AA3295" s="34"/>
      <c r="AB3295" s="41"/>
      <c r="AC3295" s="42" t="b">
        <v>0</v>
      </c>
      <c r="AD3295" s="66"/>
      <c r="AE3295" s="42"/>
      <c r="AF3295" s="42"/>
      <c r="AG3295" s="43"/>
    </row>
    <row r="3296">
      <c r="A3296" s="23"/>
      <c r="B3296" s="101"/>
      <c r="C3296" s="115"/>
      <c r="D3296" s="115"/>
      <c r="E3296" s="85"/>
      <c r="F3296" s="138"/>
      <c r="G3296" s="101"/>
      <c r="H3296" s="105"/>
      <c r="I3296" s="105"/>
      <c r="J3296" s="44"/>
      <c r="K3296" s="116"/>
      <c r="L3296" s="117"/>
      <c r="M3296" s="67"/>
      <c r="N3296" s="33"/>
      <c r="O3296" s="70"/>
      <c r="P3296" s="34"/>
      <c r="Q3296" s="60"/>
      <c r="R3296" s="36"/>
      <c r="S3296" s="71"/>
      <c r="T3296" s="37"/>
      <c r="U3296" s="118"/>
      <c r="V3296" s="74"/>
      <c r="W3296" s="74"/>
      <c r="X3296" s="35"/>
      <c r="Y3296" s="35"/>
      <c r="Z3296" s="40"/>
      <c r="AA3296" s="34"/>
      <c r="AB3296" s="41"/>
      <c r="AC3296" s="42" t="b">
        <v>0</v>
      </c>
      <c r="AD3296" s="66"/>
      <c r="AE3296" s="42"/>
      <c r="AF3296" s="42"/>
      <c r="AG3296" s="43"/>
    </row>
    <row r="3297">
      <c r="A3297" s="23"/>
      <c r="B3297" s="101"/>
      <c r="C3297" s="115"/>
      <c r="D3297" s="115"/>
      <c r="E3297" s="85"/>
      <c r="F3297" s="138"/>
      <c r="G3297" s="101"/>
      <c r="H3297" s="105"/>
      <c r="I3297" s="105"/>
      <c r="J3297" s="44"/>
      <c r="K3297" s="116"/>
      <c r="L3297" s="117"/>
      <c r="M3297" s="67"/>
      <c r="N3297" s="33"/>
      <c r="O3297" s="70"/>
      <c r="P3297" s="34"/>
      <c r="Q3297" s="60"/>
      <c r="R3297" s="36"/>
      <c r="S3297" s="71"/>
      <c r="T3297" s="37"/>
      <c r="U3297" s="118"/>
      <c r="V3297" s="74"/>
      <c r="W3297" s="74"/>
      <c r="X3297" s="35"/>
      <c r="Y3297" s="35"/>
      <c r="Z3297" s="40"/>
      <c r="AA3297" s="34"/>
      <c r="AB3297" s="41"/>
      <c r="AC3297" s="42" t="b">
        <v>0</v>
      </c>
      <c r="AD3297" s="66"/>
      <c r="AE3297" s="42"/>
      <c r="AF3297" s="42"/>
      <c r="AG3297" s="43"/>
    </row>
    <row r="3298">
      <c r="A3298" s="23"/>
      <c r="B3298" s="101"/>
      <c r="C3298" s="115"/>
      <c r="D3298" s="115"/>
      <c r="E3298" s="85"/>
      <c r="F3298" s="138"/>
      <c r="G3298" s="101"/>
      <c r="H3298" s="105"/>
      <c r="I3298" s="105"/>
      <c r="J3298" s="44"/>
      <c r="K3298" s="116"/>
      <c r="L3298" s="117"/>
      <c r="M3298" s="67"/>
      <c r="N3298" s="33"/>
      <c r="O3298" s="70"/>
      <c r="P3298" s="34"/>
      <c r="Q3298" s="60"/>
      <c r="R3298" s="36"/>
      <c r="S3298" s="71"/>
      <c r="T3298" s="37"/>
      <c r="U3298" s="118"/>
      <c r="V3298" s="74"/>
      <c r="W3298" s="74"/>
      <c r="X3298" s="35"/>
      <c r="Y3298" s="35"/>
      <c r="Z3298" s="40"/>
      <c r="AA3298" s="34"/>
      <c r="AB3298" s="41"/>
      <c r="AC3298" s="42" t="b">
        <v>0</v>
      </c>
      <c r="AD3298" s="66"/>
      <c r="AE3298" s="42"/>
      <c r="AF3298" s="42"/>
      <c r="AG3298" s="43"/>
    </row>
    <row r="3299">
      <c r="A3299" s="23"/>
      <c r="B3299" s="101"/>
      <c r="C3299" s="115"/>
      <c r="D3299" s="115"/>
      <c r="E3299" s="85"/>
      <c r="F3299" s="138"/>
      <c r="G3299" s="101"/>
      <c r="H3299" s="105"/>
      <c r="I3299" s="105"/>
      <c r="J3299" s="44"/>
      <c r="K3299" s="116"/>
      <c r="L3299" s="117"/>
      <c r="M3299" s="67"/>
      <c r="N3299" s="33"/>
      <c r="O3299" s="70"/>
      <c r="P3299" s="34"/>
      <c r="Q3299" s="60"/>
      <c r="R3299" s="36"/>
      <c r="S3299" s="71"/>
      <c r="T3299" s="37"/>
      <c r="U3299" s="118"/>
      <c r="V3299" s="74"/>
      <c r="W3299" s="74"/>
      <c r="X3299" s="35"/>
      <c r="Y3299" s="35"/>
      <c r="Z3299" s="40"/>
      <c r="AA3299" s="34"/>
      <c r="AB3299" s="41"/>
      <c r="AC3299" s="42" t="b">
        <v>0</v>
      </c>
      <c r="AD3299" s="66"/>
      <c r="AE3299" s="42"/>
      <c r="AF3299" s="42"/>
      <c r="AG3299" s="43"/>
    </row>
    <row r="3300">
      <c r="A3300" s="23"/>
      <c r="B3300" s="101"/>
      <c r="C3300" s="115"/>
      <c r="D3300" s="115"/>
      <c r="E3300" s="85"/>
      <c r="F3300" s="138"/>
      <c r="G3300" s="101"/>
      <c r="H3300" s="105"/>
      <c r="I3300" s="105"/>
      <c r="J3300" s="44"/>
      <c r="K3300" s="116"/>
      <c r="L3300" s="117"/>
      <c r="M3300" s="67"/>
      <c r="N3300" s="33"/>
      <c r="O3300" s="70"/>
      <c r="P3300" s="34"/>
      <c r="Q3300" s="60"/>
      <c r="R3300" s="36"/>
      <c r="S3300" s="71"/>
      <c r="T3300" s="37"/>
      <c r="U3300" s="118"/>
      <c r="V3300" s="74"/>
      <c r="W3300" s="74"/>
      <c r="X3300" s="35"/>
      <c r="Y3300" s="35"/>
      <c r="Z3300" s="40"/>
      <c r="AA3300" s="34"/>
      <c r="AB3300" s="41"/>
      <c r="AC3300" s="42" t="b">
        <v>0</v>
      </c>
      <c r="AD3300" s="66"/>
      <c r="AE3300" s="42"/>
      <c r="AF3300" s="42"/>
      <c r="AG3300" s="43"/>
    </row>
    <row r="3301">
      <c r="A3301" s="23"/>
      <c r="B3301" s="101"/>
      <c r="C3301" s="115"/>
      <c r="D3301" s="115"/>
      <c r="E3301" s="85"/>
      <c r="F3301" s="138"/>
      <c r="G3301" s="101"/>
      <c r="H3301" s="105"/>
      <c r="I3301" s="105"/>
      <c r="J3301" s="44"/>
      <c r="K3301" s="116"/>
      <c r="L3301" s="117"/>
      <c r="M3301" s="67"/>
      <c r="N3301" s="33"/>
      <c r="O3301" s="70"/>
      <c r="P3301" s="34"/>
      <c r="Q3301" s="60"/>
      <c r="R3301" s="36"/>
      <c r="S3301" s="71"/>
      <c r="T3301" s="37"/>
      <c r="U3301" s="118"/>
      <c r="V3301" s="74"/>
      <c r="W3301" s="74"/>
      <c r="X3301" s="35"/>
      <c r="Y3301" s="35"/>
      <c r="Z3301" s="40"/>
      <c r="AA3301" s="34"/>
      <c r="AB3301" s="41"/>
      <c r="AC3301" s="42" t="b">
        <v>0</v>
      </c>
      <c r="AD3301" s="66"/>
      <c r="AE3301" s="42"/>
      <c r="AF3301" s="42"/>
      <c r="AG3301" s="43"/>
    </row>
    <row r="3302">
      <c r="A3302" s="23"/>
      <c r="B3302" s="101"/>
      <c r="C3302" s="115"/>
      <c r="D3302" s="115"/>
      <c r="E3302" s="85"/>
      <c r="F3302" s="138"/>
      <c r="G3302" s="101"/>
      <c r="H3302" s="105"/>
      <c r="I3302" s="105"/>
      <c r="J3302" s="44"/>
      <c r="K3302" s="116"/>
      <c r="L3302" s="117"/>
      <c r="M3302" s="67"/>
      <c r="N3302" s="33"/>
      <c r="O3302" s="70"/>
      <c r="P3302" s="34"/>
      <c r="Q3302" s="60"/>
      <c r="R3302" s="36"/>
      <c r="S3302" s="71"/>
      <c r="T3302" s="37"/>
      <c r="U3302" s="118"/>
      <c r="V3302" s="74"/>
      <c r="W3302" s="74"/>
      <c r="X3302" s="35"/>
      <c r="Y3302" s="35"/>
      <c r="Z3302" s="40"/>
      <c r="AA3302" s="34"/>
      <c r="AB3302" s="41"/>
      <c r="AC3302" s="42" t="b">
        <v>0</v>
      </c>
      <c r="AD3302" s="66"/>
      <c r="AE3302" s="42"/>
      <c r="AF3302" s="42"/>
      <c r="AG3302" s="43"/>
    </row>
    <row r="3303">
      <c r="A3303" s="23"/>
      <c r="B3303" s="101"/>
      <c r="C3303" s="115"/>
      <c r="D3303" s="115"/>
      <c r="E3303" s="85"/>
      <c r="F3303" s="138"/>
      <c r="G3303" s="101"/>
      <c r="H3303" s="105"/>
      <c r="I3303" s="105"/>
      <c r="J3303" s="44"/>
      <c r="K3303" s="116"/>
      <c r="L3303" s="117"/>
      <c r="M3303" s="67"/>
      <c r="N3303" s="33"/>
      <c r="O3303" s="70"/>
      <c r="P3303" s="34"/>
      <c r="Q3303" s="60"/>
      <c r="R3303" s="36"/>
      <c r="S3303" s="71"/>
      <c r="T3303" s="37"/>
      <c r="U3303" s="118"/>
      <c r="V3303" s="74"/>
      <c r="W3303" s="74"/>
      <c r="X3303" s="35"/>
      <c r="Y3303" s="35"/>
      <c r="Z3303" s="40"/>
      <c r="AA3303" s="34"/>
      <c r="AB3303" s="41"/>
      <c r="AC3303" s="42" t="b">
        <v>0</v>
      </c>
      <c r="AD3303" s="66"/>
      <c r="AE3303" s="42"/>
      <c r="AF3303" s="42"/>
      <c r="AG3303" s="43"/>
    </row>
    <row r="3304">
      <c r="A3304" s="23"/>
      <c r="B3304" s="101"/>
      <c r="C3304" s="115"/>
      <c r="D3304" s="115"/>
      <c r="E3304" s="85"/>
      <c r="F3304" s="138"/>
      <c r="G3304" s="101"/>
      <c r="H3304" s="105"/>
      <c r="I3304" s="105"/>
      <c r="J3304" s="44"/>
      <c r="K3304" s="116"/>
      <c r="L3304" s="117"/>
      <c r="M3304" s="67"/>
      <c r="N3304" s="33"/>
      <c r="O3304" s="70"/>
      <c r="P3304" s="34"/>
      <c r="Q3304" s="60"/>
      <c r="R3304" s="36"/>
      <c r="S3304" s="71"/>
      <c r="T3304" s="37"/>
      <c r="U3304" s="118"/>
      <c r="V3304" s="74"/>
      <c r="W3304" s="74"/>
      <c r="X3304" s="35"/>
      <c r="Y3304" s="35"/>
      <c r="Z3304" s="40"/>
      <c r="AA3304" s="34"/>
      <c r="AB3304" s="41"/>
      <c r="AC3304" s="42" t="b">
        <v>0</v>
      </c>
      <c r="AD3304" s="66"/>
      <c r="AE3304" s="42"/>
      <c r="AF3304" s="42"/>
      <c r="AG3304" s="43"/>
    </row>
    <row r="3305">
      <c r="A3305" s="23"/>
      <c r="B3305" s="101"/>
      <c r="C3305" s="115"/>
      <c r="D3305" s="115"/>
      <c r="E3305" s="85"/>
      <c r="F3305" s="138"/>
      <c r="G3305" s="101"/>
      <c r="H3305" s="105"/>
      <c r="I3305" s="105"/>
      <c r="J3305" s="44"/>
      <c r="K3305" s="116"/>
      <c r="L3305" s="117"/>
      <c r="M3305" s="67"/>
      <c r="N3305" s="33"/>
      <c r="O3305" s="70"/>
      <c r="P3305" s="34"/>
      <c r="Q3305" s="60"/>
      <c r="R3305" s="36"/>
      <c r="S3305" s="71"/>
      <c r="T3305" s="37"/>
      <c r="U3305" s="118"/>
      <c r="V3305" s="74"/>
      <c r="W3305" s="74"/>
      <c r="X3305" s="35"/>
      <c r="Y3305" s="35"/>
      <c r="Z3305" s="40"/>
      <c r="AA3305" s="34"/>
      <c r="AB3305" s="41"/>
      <c r="AC3305" s="42" t="b">
        <v>0</v>
      </c>
      <c r="AD3305" s="66"/>
      <c r="AE3305" s="42"/>
      <c r="AF3305" s="42"/>
      <c r="AG3305" s="43"/>
    </row>
    <row r="3306">
      <c r="A3306" s="23"/>
      <c r="B3306" s="101"/>
      <c r="C3306" s="115"/>
      <c r="D3306" s="115"/>
      <c r="E3306" s="85"/>
      <c r="F3306" s="138"/>
      <c r="G3306" s="101"/>
      <c r="H3306" s="105"/>
      <c r="I3306" s="105"/>
      <c r="J3306" s="44"/>
      <c r="K3306" s="116"/>
      <c r="L3306" s="117"/>
      <c r="M3306" s="67"/>
      <c r="N3306" s="33"/>
      <c r="O3306" s="70"/>
      <c r="P3306" s="34"/>
      <c r="Q3306" s="60"/>
      <c r="R3306" s="36"/>
      <c r="S3306" s="71"/>
      <c r="T3306" s="37"/>
      <c r="U3306" s="118"/>
      <c r="V3306" s="74"/>
      <c r="W3306" s="74"/>
      <c r="X3306" s="35"/>
      <c r="Y3306" s="35"/>
      <c r="Z3306" s="40"/>
      <c r="AA3306" s="34"/>
      <c r="AB3306" s="41"/>
      <c r="AC3306" s="42" t="b">
        <v>0</v>
      </c>
      <c r="AD3306" s="66"/>
      <c r="AE3306" s="42"/>
      <c r="AF3306" s="42"/>
      <c r="AG3306" s="43"/>
    </row>
    <row r="3307">
      <c r="A3307" s="23"/>
      <c r="B3307" s="101"/>
      <c r="C3307" s="115"/>
      <c r="D3307" s="115"/>
      <c r="E3307" s="85"/>
      <c r="F3307" s="138"/>
      <c r="G3307" s="101"/>
      <c r="H3307" s="105"/>
      <c r="I3307" s="105"/>
      <c r="J3307" s="44"/>
      <c r="K3307" s="116"/>
      <c r="L3307" s="117"/>
      <c r="M3307" s="67"/>
      <c r="N3307" s="33"/>
      <c r="O3307" s="70"/>
      <c r="P3307" s="34"/>
      <c r="Q3307" s="60"/>
      <c r="R3307" s="36"/>
      <c r="S3307" s="71"/>
      <c r="T3307" s="37"/>
      <c r="U3307" s="118"/>
      <c r="V3307" s="74"/>
      <c r="W3307" s="74"/>
      <c r="X3307" s="35"/>
      <c r="Y3307" s="35"/>
      <c r="Z3307" s="40"/>
      <c r="AA3307" s="34"/>
      <c r="AB3307" s="41"/>
      <c r="AC3307" s="42" t="b">
        <v>0</v>
      </c>
      <c r="AD3307" s="66"/>
      <c r="AE3307" s="42"/>
      <c r="AF3307" s="42"/>
      <c r="AG3307" s="43"/>
    </row>
    <row r="3308">
      <c r="A3308" s="23"/>
      <c r="B3308" s="101"/>
      <c r="C3308" s="115"/>
      <c r="D3308" s="115"/>
      <c r="E3308" s="85"/>
      <c r="F3308" s="138"/>
      <c r="G3308" s="101"/>
      <c r="H3308" s="105"/>
      <c r="I3308" s="105"/>
      <c r="J3308" s="44"/>
      <c r="K3308" s="116"/>
      <c r="L3308" s="117"/>
      <c r="M3308" s="67"/>
      <c r="N3308" s="33"/>
      <c r="O3308" s="70"/>
      <c r="P3308" s="34"/>
      <c r="Q3308" s="60"/>
      <c r="R3308" s="36"/>
      <c r="S3308" s="71"/>
      <c r="T3308" s="37"/>
      <c r="U3308" s="118"/>
      <c r="V3308" s="74"/>
      <c r="W3308" s="74"/>
      <c r="X3308" s="35"/>
      <c r="Y3308" s="35"/>
      <c r="Z3308" s="40"/>
      <c r="AA3308" s="34"/>
      <c r="AB3308" s="41"/>
      <c r="AC3308" s="42" t="b">
        <v>0</v>
      </c>
      <c r="AD3308" s="66"/>
      <c r="AE3308" s="42"/>
      <c r="AF3308" s="42"/>
      <c r="AG3308" s="43"/>
    </row>
    <row r="3309">
      <c r="A3309" s="23"/>
      <c r="B3309" s="101"/>
      <c r="C3309" s="115"/>
      <c r="D3309" s="115"/>
      <c r="E3309" s="85"/>
      <c r="F3309" s="138"/>
      <c r="G3309" s="101"/>
      <c r="H3309" s="105"/>
      <c r="I3309" s="105"/>
      <c r="J3309" s="44"/>
      <c r="K3309" s="116"/>
      <c r="L3309" s="117"/>
      <c r="M3309" s="67"/>
      <c r="N3309" s="33"/>
      <c r="O3309" s="70"/>
      <c r="P3309" s="34"/>
      <c r="Q3309" s="60"/>
      <c r="R3309" s="36"/>
      <c r="S3309" s="71"/>
      <c r="T3309" s="37"/>
      <c r="U3309" s="118"/>
      <c r="V3309" s="74"/>
      <c r="W3309" s="74"/>
      <c r="X3309" s="35"/>
      <c r="Y3309" s="35"/>
      <c r="Z3309" s="40"/>
      <c r="AA3309" s="34"/>
      <c r="AB3309" s="41"/>
      <c r="AC3309" s="42" t="b">
        <v>0</v>
      </c>
      <c r="AD3309" s="66"/>
      <c r="AE3309" s="42"/>
      <c r="AF3309" s="42"/>
      <c r="AG3309" s="43"/>
    </row>
    <row r="3310">
      <c r="A3310" s="23"/>
      <c r="B3310" s="101"/>
      <c r="C3310" s="115"/>
      <c r="D3310" s="115"/>
      <c r="E3310" s="85"/>
      <c r="F3310" s="138"/>
      <c r="G3310" s="101"/>
      <c r="H3310" s="105"/>
      <c r="I3310" s="105"/>
      <c r="J3310" s="44"/>
      <c r="K3310" s="116"/>
      <c r="L3310" s="117"/>
      <c r="M3310" s="67"/>
      <c r="N3310" s="33"/>
      <c r="O3310" s="70"/>
      <c r="P3310" s="34"/>
      <c r="Q3310" s="60"/>
      <c r="R3310" s="36"/>
      <c r="S3310" s="71"/>
      <c r="T3310" s="37"/>
      <c r="U3310" s="118"/>
      <c r="V3310" s="74"/>
      <c r="W3310" s="74"/>
      <c r="X3310" s="35"/>
      <c r="Y3310" s="35"/>
      <c r="Z3310" s="40"/>
      <c r="AA3310" s="34"/>
      <c r="AB3310" s="41"/>
      <c r="AC3310" s="42" t="b">
        <v>0</v>
      </c>
      <c r="AD3310" s="66"/>
      <c r="AE3310" s="42"/>
      <c r="AF3310" s="42"/>
      <c r="AG3310" s="43"/>
    </row>
    <row r="3311">
      <c r="A3311" s="23"/>
      <c r="B3311" s="101"/>
      <c r="C3311" s="115"/>
      <c r="D3311" s="115"/>
      <c r="E3311" s="85"/>
      <c r="F3311" s="138"/>
      <c r="G3311" s="101"/>
      <c r="H3311" s="105"/>
      <c r="I3311" s="105"/>
      <c r="J3311" s="44"/>
      <c r="K3311" s="116"/>
      <c r="L3311" s="117"/>
      <c r="M3311" s="67"/>
      <c r="N3311" s="33"/>
      <c r="O3311" s="70"/>
      <c r="P3311" s="34"/>
      <c r="Q3311" s="60"/>
      <c r="R3311" s="36"/>
      <c r="S3311" s="71"/>
      <c r="T3311" s="37"/>
      <c r="U3311" s="118"/>
      <c r="V3311" s="74"/>
      <c r="W3311" s="74"/>
      <c r="X3311" s="35"/>
      <c r="Y3311" s="35"/>
      <c r="Z3311" s="40"/>
      <c r="AA3311" s="34"/>
      <c r="AB3311" s="41"/>
      <c r="AC3311" s="42" t="b">
        <v>0</v>
      </c>
      <c r="AD3311" s="66"/>
      <c r="AE3311" s="42"/>
      <c r="AF3311" s="42"/>
      <c r="AG3311" s="43"/>
    </row>
    <row r="3312">
      <c r="A3312" s="23"/>
      <c r="B3312" s="101"/>
      <c r="C3312" s="115"/>
      <c r="D3312" s="115"/>
      <c r="E3312" s="85"/>
      <c r="F3312" s="138"/>
      <c r="G3312" s="101"/>
      <c r="H3312" s="105"/>
      <c r="I3312" s="105"/>
      <c r="J3312" s="44"/>
      <c r="K3312" s="116"/>
      <c r="L3312" s="117"/>
      <c r="M3312" s="67"/>
      <c r="N3312" s="33"/>
      <c r="O3312" s="70"/>
      <c r="P3312" s="34"/>
      <c r="Q3312" s="60"/>
      <c r="R3312" s="36"/>
      <c r="S3312" s="71"/>
      <c r="T3312" s="37"/>
      <c r="U3312" s="118"/>
      <c r="V3312" s="74"/>
      <c r="W3312" s="74"/>
      <c r="X3312" s="35"/>
      <c r="Y3312" s="35"/>
      <c r="Z3312" s="40"/>
      <c r="AA3312" s="34"/>
      <c r="AB3312" s="41"/>
      <c r="AC3312" s="42" t="b">
        <v>0</v>
      </c>
      <c r="AD3312" s="66"/>
      <c r="AE3312" s="42"/>
      <c r="AF3312" s="42"/>
      <c r="AG3312" s="43"/>
    </row>
    <row r="3313">
      <c r="A3313" s="23"/>
      <c r="B3313" s="101"/>
      <c r="C3313" s="115"/>
      <c r="D3313" s="115"/>
      <c r="E3313" s="85"/>
      <c r="F3313" s="138"/>
      <c r="G3313" s="101"/>
      <c r="H3313" s="105"/>
      <c r="I3313" s="105"/>
      <c r="J3313" s="44"/>
      <c r="K3313" s="116"/>
      <c r="L3313" s="117"/>
      <c r="M3313" s="67"/>
      <c r="N3313" s="33"/>
      <c r="O3313" s="70"/>
      <c r="P3313" s="34"/>
      <c r="Q3313" s="60"/>
      <c r="R3313" s="36"/>
      <c r="S3313" s="71"/>
      <c r="T3313" s="37"/>
      <c r="U3313" s="118"/>
      <c r="V3313" s="74"/>
      <c r="W3313" s="74"/>
      <c r="X3313" s="35"/>
      <c r="Y3313" s="35"/>
      <c r="Z3313" s="40"/>
      <c r="AA3313" s="34"/>
      <c r="AB3313" s="41"/>
      <c r="AC3313" s="42" t="b">
        <v>0</v>
      </c>
      <c r="AD3313" s="66"/>
      <c r="AE3313" s="42"/>
      <c r="AF3313" s="42"/>
      <c r="AG3313" s="43"/>
    </row>
    <row r="3314">
      <c r="A3314" s="23"/>
      <c r="B3314" s="101"/>
      <c r="C3314" s="115"/>
      <c r="D3314" s="115"/>
      <c r="E3314" s="85"/>
      <c r="F3314" s="138"/>
      <c r="G3314" s="101"/>
      <c r="H3314" s="105"/>
      <c r="I3314" s="105"/>
      <c r="J3314" s="44"/>
      <c r="K3314" s="116"/>
      <c r="L3314" s="117"/>
      <c r="M3314" s="67"/>
      <c r="N3314" s="33"/>
      <c r="O3314" s="70"/>
      <c r="P3314" s="34"/>
      <c r="Q3314" s="60"/>
      <c r="R3314" s="36"/>
      <c r="S3314" s="71"/>
      <c r="T3314" s="37"/>
      <c r="U3314" s="118"/>
      <c r="V3314" s="74"/>
      <c r="W3314" s="74"/>
      <c r="X3314" s="35"/>
      <c r="Y3314" s="35"/>
      <c r="Z3314" s="40"/>
      <c r="AA3314" s="34"/>
      <c r="AB3314" s="41"/>
      <c r="AC3314" s="42" t="b">
        <v>0</v>
      </c>
      <c r="AD3314" s="66"/>
      <c r="AE3314" s="42"/>
      <c r="AF3314" s="42"/>
      <c r="AG3314" s="43"/>
    </row>
    <row r="3315">
      <c r="A3315" s="23"/>
      <c r="B3315" s="101"/>
      <c r="C3315" s="115"/>
      <c r="D3315" s="115"/>
      <c r="E3315" s="85"/>
      <c r="F3315" s="138"/>
      <c r="G3315" s="101"/>
      <c r="H3315" s="105"/>
      <c r="I3315" s="105"/>
      <c r="J3315" s="44"/>
      <c r="K3315" s="116"/>
      <c r="L3315" s="117"/>
      <c r="M3315" s="67"/>
      <c r="N3315" s="33"/>
      <c r="O3315" s="70"/>
      <c r="P3315" s="34"/>
      <c r="Q3315" s="60"/>
      <c r="R3315" s="36"/>
      <c r="S3315" s="71"/>
      <c r="T3315" s="37"/>
      <c r="U3315" s="118"/>
      <c r="V3315" s="74"/>
      <c r="W3315" s="74"/>
      <c r="X3315" s="35"/>
      <c r="Y3315" s="35"/>
      <c r="Z3315" s="40"/>
      <c r="AA3315" s="34"/>
      <c r="AB3315" s="41"/>
      <c r="AC3315" s="42" t="b">
        <v>0</v>
      </c>
      <c r="AD3315" s="66"/>
      <c r="AE3315" s="42"/>
      <c r="AF3315" s="42"/>
      <c r="AG3315" s="43"/>
    </row>
    <row r="3316">
      <c r="A3316" s="23"/>
      <c r="B3316" s="101"/>
      <c r="C3316" s="115"/>
      <c r="D3316" s="115"/>
      <c r="E3316" s="85"/>
      <c r="F3316" s="138"/>
      <c r="G3316" s="101"/>
      <c r="H3316" s="105"/>
      <c r="I3316" s="105"/>
      <c r="J3316" s="44"/>
      <c r="K3316" s="116"/>
      <c r="L3316" s="117"/>
      <c r="M3316" s="67"/>
      <c r="N3316" s="33"/>
      <c r="O3316" s="70"/>
      <c r="P3316" s="34"/>
      <c r="Q3316" s="60"/>
      <c r="R3316" s="36"/>
      <c r="S3316" s="71"/>
      <c r="T3316" s="37"/>
      <c r="U3316" s="118"/>
      <c r="V3316" s="74"/>
      <c r="W3316" s="74"/>
      <c r="X3316" s="35"/>
      <c r="Y3316" s="35"/>
      <c r="Z3316" s="40"/>
      <c r="AA3316" s="34"/>
      <c r="AB3316" s="41"/>
      <c r="AC3316" s="42" t="b">
        <v>0</v>
      </c>
      <c r="AD3316" s="66"/>
      <c r="AE3316" s="42"/>
      <c r="AF3316" s="42"/>
      <c r="AG3316" s="43"/>
    </row>
    <row r="3317">
      <c r="A3317" s="23"/>
      <c r="B3317" s="101"/>
      <c r="C3317" s="115"/>
      <c r="D3317" s="115"/>
      <c r="E3317" s="85"/>
      <c r="F3317" s="138"/>
      <c r="G3317" s="101"/>
      <c r="H3317" s="105"/>
      <c r="I3317" s="105"/>
      <c r="J3317" s="44"/>
      <c r="K3317" s="116"/>
      <c r="L3317" s="117"/>
      <c r="M3317" s="67"/>
      <c r="N3317" s="33"/>
      <c r="O3317" s="70"/>
      <c r="P3317" s="34"/>
      <c r="Q3317" s="60"/>
      <c r="R3317" s="36"/>
      <c r="S3317" s="71"/>
      <c r="T3317" s="37"/>
      <c r="U3317" s="118"/>
      <c r="V3317" s="74"/>
      <c r="W3317" s="74"/>
      <c r="X3317" s="35"/>
      <c r="Y3317" s="35"/>
      <c r="Z3317" s="40"/>
      <c r="AA3317" s="34"/>
      <c r="AB3317" s="41"/>
      <c r="AC3317" s="42" t="b">
        <v>0</v>
      </c>
      <c r="AD3317" s="66"/>
      <c r="AE3317" s="42"/>
      <c r="AF3317" s="42"/>
      <c r="AG3317" s="43"/>
    </row>
    <row r="3318">
      <c r="A3318" s="23"/>
      <c r="B3318" s="101"/>
      <c r="C3318" s="115"/>
      <c r="D3318" s="115"/>
      <c r="E3318" s="85"/>
      <c r="F3318" s="138"/>
      <c r="G3318" s="101"/>
      <c r="H3318" s="105"/>
      <c r="I3318" s="105"/>
      <c r="J3318" s="44"/>
      <c r="K3318" s="116"/>
      <c r="L3318" s="117"/>
      <c r="M3318" s="67"/>
      <c r="N3318" s="33"/>
      <c r="O3318" s="70"/>
      <c r="P3318" s="34"/>
      <c r="Q3318" s="60"/>
      <c r="R3318" s="36"/>
      <c r="S3318" s="71"/>
      <c r="T3318" s="37"/>
      <c r="U3318" s="118"/>
      <c r="V3318" s="74"/>
      <c r="W3318" s="74"/>
      <c r="X3318" s="35"/>
      <c r="Y3318" s="35"/>
      <c r="Z3318" s="40"/>
      <c r="AA3318" s="34"/>
      <c r="AB3318" s="41"/>
      <c r="AC3318" s="42" t="b">
        <v>0</v>
      </c>
      <c r="AD3318" s="66"/>
      <c r="AE3318" s="42"/>
      <c r="AF3318" s="42"/>
      <c r="AG3318" s="43"/>
    </row>
    <row r="3319">
      <c r="A3319" s="23"/>
      <c r="B3319" s="101"/>
      <c r="C3319" s="115"/>
      <c r="D3319" s="115"/>
      <c r="E3319" s="85"/>
      <c r="F3319" s="138"/>
      <c r="G3319" s="101"/>
      <c r="H3319" s="105"/>
      <c r="I3319" s="105"/>
      <c r="J3319" s="44"/>
      <c r="K3319" s="116"/>
      <c r="L3319" s="117"/>
      <c r="M3319" s="67"/>
      <c r="N3319" s="33"/>
      <c r="O3319" s="70"/>
      <c r="P3319" s="34"/>
      <c r="Q3319" s="60"/>
      <c r="R3319" s="36"/>
      <c r="S3319" s="71"/>
      <c r="T3319" s="37"/>
      <c r="U3319" s="118"/>
      <c r="V3319" s="74"/>
      <c r="W3319" s="74"/>
      <c r="X3319" s="35"/>
      <c r="Y3319" s="35"/>
      <c r="Z3319" s="40"/>
      <c r="AA3319" s="34"/>
      <c r="AB3319" s="41"/>
      <c r="AC3319" s="42" t="b">
        <v>0</v>
      </c>
      <c r="AD3319" s="66"/>
      <c r="AE3319" s="42"/>
      <c r="AF3319" s="42"/>
      <c r="AG3319" s="43"/>
    </row>
    <row r="3320">
      <c r="A3320" s="23"/>
      <c r="B3320" s="101"/>
      <c r="C3320" s="115"/>
      <c r="D3320" s="115"/>
      <c r="E3320" s="85"/>
      <c r="F3320" s="138"/>
      <c r="G3320" s="101"/>
      <c r="H3320" s="105"/>
      <c r="I3320" s="105"/>
      <c r="J3320" s="44"/>
      <c r="K3320" s="116"/>
      <c r="L3320" s="117"/>
      <c r="M3320" s="67"/>
      <c r="N3320" s="33"/>
      <c r="O3320" s="70"/>
      <c r="P3320" s="34"/>
      <c r="Q3320" s="60"/>
      <c r="R3320" s="36"/>
      <c r="S3320" s="71"/>
      <c r="T3320" s="37"/>
      <c r="U3320" s="118"/>
      <c r="V3320" s="74"/>
      <c r="W3320" s="74"/>
      <c r="X3320" s="35"/>
      <c r="Y3320" s="35"/>
      <c r="Z3320" s="40"/>
      <c r="AA3320" s="34"/>
      <c r="AB3320" s="41"/>
      <c r="AC3320" s="42" t="b">
        <v>0</v>
      </c>
      <c r="AD3320" s="66"/>
      <c r="AE3320" s="42"/>
      <c r="AF3320" s="42"/>
      <c r="AG3320" s="43"/>
    </row>
    <row r="3321">
      <c r="A3321" s="23"/>
      <c r="B3321" s="101"/>
      <c r="C3321" s="115"/>
      <c r="D3321" s="115"/>
      <c r="E3321" s="85"/>
      <c r="F3321" s="138"/>
      <c r="G3321" s="101"/>
      <c r="H3321" s="105"/>
      <c r="I3321" s="105"/>
      <c r="J3321" s="44"/>
      <c r="K3321" s="116"/>
      <c r="L3321" s="117"/>
      <c r="M3321" s="67"/>
      <c r="N3321" s="33"/>
      <c r="O3321" s="70"/>
      <c r="P3321" s="34"/>
      <c r="Q3321" s="60"/>
      <c r="R3321" s="36"/>
      <c r="S3321" s="71"/>
      <c r="T3321" s="37"/>
      <c r="U3321" s="118"/>
      <c r="V3321" s="74"/>
      <c r="W3321" s="74"/>
      <c r="X3321" s="35"/>
      <c r="Y3321" s="35"/>
      <c r="Z3321" s="40"/>
      <c r="AA3321" s="34"/>
      <c r="AB3321" s="41"/>
      <c r="AC3321" s="42" t="b">
        <v>0</v>
      </c>
      <c r="AD3321" s="66"/>
      <c r="AE3321" s="42"/>
      <c r="AF3321" s="42"/>
      <c r="AG3321" s="43"/>
    </row>
    <row r="3322">
      <c r="A3322" s="23"/>
      <c r="B3322" s="101"/>
      <c r="C3322" s="115"/>
      <c r="D3322" s="115"/>
      <c r="E3322" s="85"/>
      <c r="F3322" s="138"/>
      <c r="G3322" s="101"/>
      <c r="H3322" s="105"/>
      <c r="I3322" s="105"/>
      <c r="J3322" s="44"/>
      <c r="K3322" s="116"/>
      <c r="L3322" s="117"/>
      <c r="M3322" s="67"/>
      <c r="N3322" s="33"/>
      <c r="O3322" s="70"/>
      <c r="P3322" s="34"/>
      <c r="Q3322" s="60"/>
      <c r="R3322" s="36"/>
      <c r="S3322" s="71"/>
      <c r="T3322" s="37"/>
      <c r="U3322" s="118"/>
      <c r="V3322" s="74"/>
      <c r="W3322" s="74"/>
      <c r="X3322" s="35"/>
      <c r="Y3322" s="35"/>
      <c r="Z3322" s="40"/>
      <c r="AA3322" s="34"/>
      <c r="AB3322" s="41"/>
      <c r="AC3322" s="42" t="b">
        <v>0</v>
      </c>
      <c r="AD3322" s="66"/>
      <c r="AE3322" s="42"/>
      <c r="AF3322" s="42"/>
      <c r="AG3322" s="43"/>
    </row>
    <row r="3323">
      <c r="A3323" s="23"/>
      <c r="B3323" s="101"/>
      <c r="C3323" s="115"/>
      <c r="D3323" s="115"/>
      <c r="E3323" s="85"/>
      <c r="F3323" s="138"/>
      <c r="G3323" s="101"/>
      <c r="H3323" s="105"/>
      <c r="I3323" s="105"/>
      <c r="J3323" s="44"/>
      <c r="K3323" s="116"/>
      <c r="L3323" s="117"/>
      <c r="M3323" s="67"/>
      <c r="N3323" s="33"/>
      <c r="O3323" s="70"/>
      <c r="P3323" s="34"/>
      <c r="Q3323" s="60"/>
      <c r="R3323" s="36"/>
      <c r="S3323" s="71"/>
      <c r="T3323" s="37"/>
      <c r="U3323" s="118"/>
      <c r="V3323" s="74"/>
      <c r="W3323" s="74"/>
      <c r="X3323" s="35"/>
      <c r="Y3323" s="35"/>
      <c r="Z3323" s="40"/>
      <c r="AA3323" s="34"/>
      <c r="AB3323" s="41"/>
      <c r="AC3323" s="42" t="b">
        <v>0</v>
      </c>
      <c r="AD3323" s="66"/>
      <c r="AE3323" s="42"/>
      <c r="AF3323" s="42"/>
      <c r="AG3323" s="43"/>
    </row>
    <row r="3324">
      <c r="A3324" s="23"/>
      <c r="B3324" s="101"/>
      <c r="C3324" s="115"/>
      <c r="D3324" s="115"/>
      <c r="E3324" s="85"/>
      <c r="F3324" s="138"/>
      <c r="G3324" s="101"/>
      <c r="H3324" s="105"/>
      <c r="I3324" s="105"/>
      <c r="J3324" s="44"/>
      <c r="K3324" s="116"/>
      <c r="L3324" s="117"/>
      <c r="M3324" s="67"/>
      <c r="N3324" s="33"/>
      <c r="O3324" s="70"/>
      <c r="P3324" s="34"/>
      <c r="Q3324" s="60"/>
      <c r="R3324" s="36"/>
      <c r="S3324" s="71"/>
      <c r="T3324" s="37"/>
      <c r="U3324" s="118"/>
      <c r="V3324" s="74"/>
      <c r="W3324" s="74"/>
      <c r="X3324" s="35"/>
      <c r="Y3324" s="35"/>
      <c r="Z3324" s="40"/>
      <c r="AA3324" s="34"/>
      <c r="AB3324" s="41"/>
      <c r="AC3324" s="42" t="b">
        <v>0</v>
      </c>
      <c r="AD3324" s="66"/>
      <c r="AE3324" s="42"/>
      <c r="AF3324" s="42"/>
      <c r="AG3324" s="43"/>
    </row>
    <row r="3325">
      <c r="A3325" s="23"/>
      <c r="B3325" s="101"/>
      <c r="C3325" s="115"/>
      <c r="D3325" s="115"/>
      <c r="E3325" s="85"/>
      <c r="F3325" s="138"/>
      <c r="G3325" s="101"/>
      <c r="H3325" s="105"/>
      <c r="I3325" s="105"/>
      <c r="J3325" s="44"/>
      <c r="K3325" s="116"/>
      <c r="L3325" s="117"/>
      <c r="M3325" s="67"/>
      <c r="N3325" s="33"/>
      <c r="O3325" s="70"/>
      <c r="P3325" s="34"/>
      <c r="Q3325" s="60"/>
      <c r="R3325" s="36"/>
      <c r="S3325" s="71"/>
      <c r="T3325" s="37"/>
      <c r="U3325" s="118"/>
      <c r="V3325" s="74"/>
      <c r="W3325" s="74"/>
      <c r="X3325" s="35"/>
      <c r="Y3325" s="35"/>
      <c r="Z3325" s="40"/>
      <c r="AA3325" s="34"/>
      <c r="AB3325" s="41"/>
      <c r="AC3325" s="42" t="b">
        <v>0</v>
      </c>
      <c r="AD3325" s="66"/>
      <c r="AE3325" s="42"/>
      <c r="AF3325" s="42"/>
      <c r="AG3325" s="43"/>
    </row>
    <row r="3326">
      <c r="A3326" s="23"/>
      <c r="B3326" s="101"/>
      <c r="C3326" s="115"/>
      <c r="D3326" s="115"/>
      <c r="E3326" s="85"/>
      <c r="F3326" s="138"/>
      <c r="G3326" s="101"/>
      <c r="H3326" s="105"/>
      <c r="I3326" s="105"/>
      <c r="J3326" s="44"/>
      <c r="K3326" s="116"/>
      <c r="L3326" s="117"/>
      <c r="M3326" s="67"/>
      <c r="N3326" s="33"/>
      <c r="O3326" s="70"/>
      <c r="P3326" s="34"/>
      <c r="Q3326" s="60"/>
      <c r="R3326" s="36"/>
      <c r="S3326" s="71"/>
      <c r="T3326" s="37"/>
      <c r="U3326" s="118"/>
      <c r="V3326" s="74"/>
      <c r="W3326" s="74"/>
      <c r="X3326" s="35"/>
      <c r="Y3326" s="35"/>
      <c r="Z3326" s="40"/>
      <c r="AA3326" s="34"/>
      <c r="AB3326" s="41"/>
      <c r="AC3326" s="42" t="b">
        <v>0</v>
      </c>
      <c r="AD3326" s="66"/>
      <c r="AE3326" s="42"/>
      <c r="AF3326" s="42"/>
      <c r="AG3326" s="43"/>
    </row>
    <row r="3327">
      <c r="A3327" s="23"/>
      <c r="B3327" s="101"/>
      <c r="C3327" s="115"/>
      <c r="D3327" s="115"/>
      <c r="E3327" s="85"/>
      <c r="F3327" s="138"/>
      <c r="G3327" s="101"/>
      <c r="H3327" s="105"/>
      <c r="I3327" s="105"/>
      <c r="J3327" s="44"/>
      <c r="K3327" s="116"/>
      <c r="L3327" s="117"/>
      <c r="M3327" s="67"/>
      <c r="N3327" s="33"/>
      <c r="O3327" s="70"/>
      <c r="P3327" s="34"/>
      <c r="Q3327" s="60"/>
      <c r="R3327" s="36"/>
      <c r="S3327" s="71"/>
      <c r="T3327" s="37"/>
      <c r="U3327" s="118"/>
      <c r="V3327" s="74"/>
      <c r="W3327" s="74"/>
      <c r="X3327" s="35"/>
      <c r="Y3327" s="35"/>
      <c r="Z3327" s="40"/>
      <c r="AA3327" s="34"/>
      <c r="AB3327" s="41"/>
      <c r="AC3327" s="42" t="b">
        <v>0</v>
      </c>
      <c r="AD3327" s="66"/>
      <c r="AE3327" s="42"/>
      <c r="AF3327" s="42"/>
      <c r="AG3327" s="43"/>
    </row>
    <row r="3328">
      <c r="A3328" s="23"/>
      <c r="B3328" s="101"/>
      <c r="C3328" s="115"/>
      <c r="D3328" s="115"/>
      <c r="E3328" s="85"/>
      <c r="F3328" s="138"/>
      <c r="G3328" s="101"/>
      <c r="H3328" s="105"/>
      <c r="I3328" s="105"/>
      <c r="J3328" s="44"/>
      <c r="K3328" s="116"/>
      <c r="L3328" s="117"/>
      <c r="M3328" s="67"/>
      <c r="N3328" s="33"/>
      <c r="O3328" s="70"/>
      <c r="P3328" s="34"/>
      <c r="Q3328" s="60"/>
      <c r="R3328" s="36"/>
      <c r="S3328" s="71"/>
      <c r="T3328" s="37"/>
      <c r="U3328" s="118"/>
      <c r="V3328" s="74"/>
      <c r="W3328" s="74"/>
      <c r="X3328" s="35"/>
      <c r="Y3328" s="35"/>
      <c r="Z3328" s="40"/>
      <c r="AA3328" s="34"/>
      <c r="AB3328" s="41"/>
      <c r="AC3328" s="42" t="b">
        <v>0</v>
      </c>
      <c r="AD3328" s="66"/>
      <c r="AE3328" s="42"/>
      <c r="AF3328" s="42"/>
      <c r="AG3328" s="43"/>
    </row>
    <row r="3329">
      <c r="A3329" s="23"/>
      <c r="B3329" s="101"/>
      <c r="C3329" s="115"/>
      <c r="D3329" s="115"/>
      <c r="E3329" s="85"/>
      <c r="F3329" s="138"/>
      <c r="G3329" s="101"/>
      <c r="H3329" s="105"/>
      <c r="I3329" s="105"/>
      <c r="J3329" s="44"/>
      <c r="K3329" s="116"/>
      <c r="L3329" s="117"/>
      <c r="M3329" s="67"/>
      <c r="N3329" s="33"/>
      <c r="O3329" s="70"/>
      <c r="P3329" s="34"/>
      <c r="Q3329" s="60"/>
      <c r="R3329" s="36"/>
      <c r="S3329" s="71"/>
      <c r="T3329" s="37"/>
      <c r="U3329" s="118"/>
      <c r="V3329" s="74"/>
      <c r="W3329" s="74"/>
      <c r="X3329" s="35"/>
      <c r="Y3329" s="35"/>
      <c r="Z3329" s="40"/>
      <c r="AA3329" s="34"/>
      <c r="AB3329" s="41"/>
      <c r="AC3329" s="42" t="b">
        <v>0</v>
      </c>
      <c r="AD3329" s="66"/>
      <c r="AE3329" s="42"/>
      <c r="AF3329" s="42"/>
      <c r="AG3329" s="43"/>
    </row>
    <row r="3330">
      <c r="A3330" s="23"/>
      <c r="B3330" s="101"/>
      <c r="C3330" s="115"/>
      <c r="D3330" s="115"/>
      <c r="E3330" s="85"/>
      <c r="F3330" s="138"/>
      <c r="G3330" s="101"/>
      <c r="H3330" s="105"/>
      <c r="I3330" s="105"/>
      <c r="J3330" s="44"/>
      <c r="K3330" s="116"/>
      <c r="L3330" s="117"/>
      <c r="M3330" s="67"/>
      <c r="N3330" s="33"/>
      <c r="O3330" s="70"/>
      <c r="P3330" s="34"/>
      <c r="Q3330" s="60"/>
      <c r="R3330" s="36"/>
      <c r="S3330" s="71"/>
      <c r="T3330" s="37"/>
      <c r="U3330" s="118"/>
      <c r="V3330" s="74"/>
      <c r="W3330" s="74"/>
      <c r="X3330" s="35"/>
      <c r="Y3330" s="35"/>
      <c r="Z3330" s="40"/>
      <c r="AA3330" s="34"/>
      <c r="AB3330" s="41"/>
      <c r="AC3330" s="42" t="b">
        <v>0</v>
      </c>
      <c r="AD3330" s="66"/>
      <c r="AE3330" s="42"/>
      <c r="AF3330" s="42"/>
      <c r="AG3330" s="43"/>
    </row>
    <row r="3331">
      <c r="A3331" s="23"/>
      <c r="B3331" s="101"/>
      <c r="C3331" s="115"/>
      <c r="D3331" s="115"/>
      <c r="E3331" s="85"/>
      <c r="F3331" s="138"/>
      <c r="G3331" s="101"/>
      <c r="H3331" s="105"/>
      <c r="I3331" s="105"/>
      <c r="J3331" s="44"/>
      <c r="K3331" s="116"/>
      <c r="L3331" s="117"/>
      <c r="M3331" s="67"/>
      <c r="N3331" s="33"/>
      <c r="O3331" s="70"/>
      <c r="P3331" s="34"/>
      <c r="Q3331" s="60"/>
      <c r="R3331" s="36"/>
      <c r="S3331" s="71"/>
      <c r="T3331" s="37"/>
      <c r="U3331" s="118"/>
      <c r="V3331" s="74"/>
      <c r="W3331" s="74"/>
      <c r="X3331" s="35"/>
      <c r="Y3331" s="35"/>
      <c r="Z3331" s="40"/>
      <c r="AA3331" s="34"/>
      <c r="AB3331" s="41"/>
      <c r="AC3331" s="42" t="b">
        <v>0</v>
      </c>
      <c r="AD3331" s="66"/>
      <c r="AE3331" s="42"/>
      <c r="AF3331" s="42"/>
      <c r="AG3331" s="43"/>
    </row>
    <row r="3332">
      <c r="A3332" s="23"/>
      <c r="B3332" s="101"/>
      <c r="C3332" s="115"/>
      <c r="D3332" s="115"/>
      <c r="E3332" s="85"/>
      <c r="F3332" s="138"/>
      <c r="G3332" s="101"/>
      <c r="H3332" s="105"/>
      <c r="I3332" s="105"/>
      <c r="J3332" s="44"/>
      <c r="K3332" s="116"/>
      <c r="L3332" s="117"/>
      <c r="M3332" s="67"/>
      <c r="N3332" s="33"/>
      <c r="O3332" s="70"/>
      <c r="P3332" s="34"/>
      <c r="Q3332" s="60"/>
      <c r="R3332" s="36"/>
      <c r="S3332" s="71"/>
      <c r="T3332" s="37"/>
      <c r="U3332" s="118"/>
      <c r="V3332" s="74"/>
      <c r="W3332" s="74"/>
      <c r="X3332" s="35"/>
      <c r="Y3332" s="35"/>
      <c r="Z3332" s="40"/>
      <c r="AA3332" s="34"/>
      <c r="AB3332" s="41"/>
      <c r="AC3332" s="42" t="b">
        <v>0</v>
      </c>
      <c r="AD3332" s="66"/>
      <c r="AE3332" s="42"/>
      <c r="AF3332" s="42"/>
      <c r="AG3332" s="43"/>
    </row>
    <row r="3333">
      <c r="A3333" s="23"/>
      <c r="B3333" s="101"/>
      <c r="C3333" s="115"/>
      <c r="D3333" s="115"/>
      <c r="E3333" s="85"/>
      <c r="F3333" s="138"/>
      <c r="G3333" s="101"/>
      <c r="H3333" s="105"/>
      <c r="I3333" s="105"/>
      <c r="J3333" s="44"/>
      <c r="K3333" s="116"/>
      <c r="L3333" s="117"/>
      <c r="M3333" s="67"/>
      <c r="N3333" s="33"/>
      <c r="O3333" s="70"/>
      <c r="P3333" s="34"/>
      <c r="Q3333" s="60"/>
      <c r="R3333" s="36"/>
      <c r="S3333" s="71"/>
      <c r="T3333" s="37"/>
      <c r="U3333" s="118"/>
      <c r="V3333" s="74"/>
      <c r="W3333" s="74"/>
      <c r="X3333" s="35"/>
      <c r="Y3333" s="35"/>
      <c r="Z3333" s="40"/>
      <c r="AA3333" s="34"/>
      <c r="AB3333" s="41"/>
      <c r="AC3333" s="42" t="b">
        <v>0</v>
      </c>
      <c r="AD3333" s="66"/>
      <c r="AE3333" s="42"/>
      <c r="AF3333" s="42"/>
      <c r="AG3333" s="43"/>
    </row>
    <row r="3334">
      <c r="A3334" s="23"/>
      <c r="B3334" s="101"/>
      <c r="C3334" s="115"/>
      <c r="D3334" s="115"/>
      <c r="E3334" s="85"/>
      <c r="F3334" s="138"/>
      <c r="G3334" s="101"/>
      <c r="H3334" s="105"/>
      <c r="I3334" s="105"/>
      <c r="J3334" s="44"/>
      <c r="K3334" s="116"/>
      <c r="L3334" s="117"/>
      <c r="M3334" s="67"/>
      <c r="N3334" s="33"/>
      <c r="O3334" s="70"/>
      <c r="P3334" s="34"/>
      <c r="Q3334" s="60"/>
      <c r="R3334" s="36"/>
      <c r="S3334" s="71"/>
      <c r="T3334" s="37"/>
      <c r="U3334" s="118"/>
      <c r="V3334" s="74"/>
      <c r="W3334" s="74"/>
      <c r="X3334" s="35"/>
      <c r="Y3334" s="35"/>
      <c r="Z3334" s="40"/>
      <c r="AA3334" s="34"/>
      <c r="AB3334" s="41"/>
      <c r="AC3334" s="42" t="b">
        <v>0</v>
      </c>
      <c r="AD3334" s="66"/>
      <c r="AE3334" s="42"/>
      <c r="AF3334" s="42"/>
      <c r="AG3334" s="43"/>
    </row>
    <row r="3335">
      <c r="A3335" s="23"/>
      <c r="B3335" s="101"/>
      <c r="C3335" s="115"/>
      <c r="D3335" s="115"/>
      <c r="E3335" s="85"/>
      <c r="F3335" s="138"/>
      <c r="G3335" s="101"/>
      <c r="H3335" s="105"/>
      <c r="I3335" s="105"/>
      <c r="J3335" s="44"/>
      <c r="K3335" s="116"/>
      <c r="L3335" s="117"/>
      <c r="M3335" s="67"/>
      <c r="N3335" s="33"/>
      <c r="O3335" s="70"/>
      <c r="P3335" s="34"/>
      <c r="Q3335" s="60"/>
      <c r="R3335" s="36"/>
      <c r="S3335" s="71"/>
      <c r="T3335" s="37"/>
      <c r="U3335" s="118"/>
      <c r="V3335" s="74"/>
      <c r="W3335" s="74"/>
      <c r="X3335" s="35"/>
      <c r="Y3335" s="35"/>
      <c r="Z3335" s="40"/>
      <c r="AA3335" s="34"/>
      <c r="AB3335" s="41"/>
      <c r="AC3335" s="42" t="b">
        <v>0</v>
      </c>
      <c r="AD3335" s="66"/>
      <c r="AE3335" s="42"/>
      <c r="AF3335" s="42"/>
      <c r="AG3335" s="43"/>
    </row>
    <row r="3336">
      <c r="A3336" s="23"/>
      <c r="B3336" s="101"/>
      <c r="C3336" s="115"/>
      <c r="D3336" s="115"/>
      <c r="E3336" s="85"/>
      <c r="F3336" s="138"/>
      <c r="G3336" s="101"/>
      <c r="H3336" s="105"/>
      <c r="I3336" s="105"/>
      <c r="J3336" s="44"/>
      <c r="K3336" s="116"/>
      <c r="L3336" s="117"/>
      <c r="M3336" s="67"/>
      <c r="N3336" s="33"/>
      <c r="O3336" s="70"/>
      <c r="P3336" s="34"/>
      <c r="Q3336" s="60"/>
      <c r="R3336" s="36"/>
      <c r="S3336" s="71"/>
      <c r="T3336" s="37"/>
      <c r="U3336" s="118"/>
      <c r="V3336" s="74"/>
      <c r="W3336" s="74"/>
      <c r="X3336" s="35"/>
      <c r="Y3336" s="35"/>
      <c r="Z3336" s="40"/>
      <c r="AA3336" s="34"/>
      <c r="AB3336" s="41"/>
      <c r="AC3336" s="42" t="b">
        <v>0</v>
      </c>
      <c r="AD3336" s="66"/>
      <c r="AE3336" s="42"/>
      <c r="AF3336" s="42"/>
      <c r="AG3336" s="43"/>
    </row>
    <row r="3337">
      <c r="A3337" s="23"/>
      <c r="B3337" s="101"/>
      <c r="C3337" s="115"/>
      <c r="D3337" s="115"/>
      <c r="E3337" s="85"/>
      <c r="F3337" s="138"/>
      <c r="G3337" s="101"/>
      <c r="H3337" s="105"/>
      <c r="I3337" s="105"/>
      <c r="J3337" s="44"/>
      <c r="K3337" s="116"/>
      <c r="L3337" s="117"/>
      <c r="M3337" s="67"/>
      <c r="N3337" s="33"/>
      <c r="O3337" s="70"/>
      <c r="P3337" s="34"/>
      <c r="Q3337" s="60"/>
      <c r="R3337" s="36"/>
      <c r="S3337" s="71"/>
      <c r="T3337" s="37"/>
      <c r="U3337" s="118"/>
      <c r="V3337" s="74"/>
      <c r="W3337" s="74"/>
      <c r="X3337" s="35"/>
      <c r="Y3337" s="35"/>
      <c r="Z3337" s="40"/>
      <c r="AA3337" s="34"/>
      <c r="AB3337" s="41"/>
      <c r="AC3337" s="42" t="b">
        <v>0</v>
      </c>
      <c r="AD3337" s="66"/>
      <c r="AE3337" s="42"/>
      <c r="AF3337" s="42"/>
      <c r="AG3337" s="43"/>
    </row>
    <row r="3338">
      <c r="A3338" s="23"/>
      <c r="B3338" s="101"/>
      <c r="C3338" s="115"/>
      <c r="D3338" s="115"/>
      <c r="E3338" s="85"/>
      <c r="F3338" s="138"/>
      <c r="G3338" s="101"/>
      <c r="H3338" s="105"/>
      <c r="I3338" s="105"/>
      <c r="J3338" s="44"/>
      <c r="K3338" s="116"/>
      <c r="L3338" s="117"/>
      <c r="M3338" s="67"/>
      <c r="N3338" s="33"/>
      <c r="O3338" s="70"/>
      <c r="P3338" s="34"/>
      <c r="Q3338" s="60"/>
      <c r="R3338" s="36"/>
      <c r="S3338" s="71"/>
      <c r="T3338" s="37"/>
      <c r="U3338" s="118"/>
      <c r="V3338" s="74"/>
      <c r="W3338" s="74"/>
      <c r="X3338" s="35"/>
      <c r="Y3338" s="35"/>
      <c r="Z3338" s="40"/>
      <c r="AA3338" s="34"/>
      <c r="AB3338" s="41"/>
      <c r="AC3338" s="42" t="b">
        <v>0</v>
      </c>
      <c r="AD3338" s="66"/>
      <c r="AE3338" s="42"/>
      <c r="AF3338" s="42"/>
      <c r="AG3338" s="43"/>
    </row>
    <row r="3339">
      <c r="A3339" s="23"/>
      <c r="B3339" s="101"/>
      <c r="C3339" s="115"/>
      <c r="D3339" s="115"/>
      <c r="E3339" s="85"/>
      <c r="F3339" s="138"/>
      <c r="G3339" s="101"/>
      <c r="H3339" s="105"/>
      <c r="I3339" s="105"/>
      <c r="J3339" s="44"/>
      <c r="K3339" s="116"/>
      <c r="L3339" s="117"/>
      <c r="M3339" s="67"/>
      <c r="N3339" s="33"/>
      <c r="O3339" s="70"/>
      <c r="P3339" s="34"/>
      <c r="Q3339" s="60"/>
      <c r="R3339" s="36"/>
      <c r="S3339" s="71"/>
      <c r="T3339" s="37"/>
      <c r="U3339" s="118"/>
      <c r="V3339" s="74"/>
      <c r="W3339" s="74"/>
      <c r="X3339" s="35"/>
      <c r="Y3339" s="35"/>
      <c r="Z3339" s="40"/>
      <c r="AA3339" s="34"/>
      <c r="AB3339" s="41"/>
      <c r="AC3339" s="42" t="b">
        <v>0</v>
      </c>
      <c r="AD3339" s="66"/>
      <c r="AE3339" s="42"/>
      <c r="AF3339" s="42"/>
      <c r="AG3339" s="43"/>
    </row>
    <row r="3340">
      <c r="A3340" s="23"/>
      <c r="B3340" s="101"/>
      <c r="C3340" s="115"/>
      <c r="D3340" s="115"/>
      <c r="E3340" s="85"/>
      <c r="F3340" s="138"/>
      <c r="G3340" s="101"/>
      <c r="H3340" s="105"/>
      <c r="I3340" s="105"/>
      <c r="J3340" s="44"/>
      <c r="K3340" s="116"/>
      <c r="L3340" s="117"/>
      <c r="M3340" s="67"/>
      <c r="N3340" s="33"/>
      <c r="O3340" s="70"/>
      <c r="P3340" s="34"/>
      <c r="Q3340" s="60"/>
      <c r="R3340" s="36"/>
      <c r="S3340" s="71"/>
      <c r="T3340" s="37"/>
      <c r="U3340" s="118"/>
      <c r="V3340" s="74"/>
      <c r="W3340" s="74"/>
      <c r="X3340" s="35"/>
      <c r="Y3340" s="35"/>
      <c r="Z3340" s="40"/>
      <c r="AA3340" s="34"/>
      <c r="AB3340" s="41"/>
      <c r="AC3340" s="42" t="b">
        <v>0</v>
      </c>
      <c r="AD3340" s="66"/>
      <c r="AE3340" s="42"/>
      <c r="AF3340" s="42"/>
      <c r="AG3340" s="43"/>
    </row>
    <row r="3341">
      <c r="A3341" s="23"/>
      <c r="B3341" s="101"/>
      <c r="C3341" s="115"/>
      <c r="D3341" s="115"/>
      <c r="E3341" s="85"/>
      <c r="F3341" s="138"/>
      <c r="G3341" s="101"/>
      <c r="H3341" s="105"/>
      <c r="I3341" s="105"/>
      <c r="J3341" s="44"/>
      <c r="K3341" s="116"/>
      <c r="L3341" s="117"/>
      <c r="M3341" s="67"/>
      <c r="N3341" s="33"/>
      <c r="O3341" s="70"/>
      <c r="P3341" s="34"/>
      <c r="Q3341" s="60"/>
      <c r="R3341" s="36"/>
      <c r="S3341" s="71"/>
      <c r="T3341" s="37"/>
      <c r="U3341" s="118"/>
      <c r="V3341" s="74"/>
      <c r="W3341" s="74"/>
      <c r="X3341" s="35"/>
      <c r="Y3341" s="35"/>
      <c r="Z3341" s="40"/>
      <c r="AA3341" s="34"/>
      <c r="AB3341" s="41"/>
      <c r="AC3341" s="42" t="b">
        <v>0</v>
      </c>
      <c r="AD3341" s="66"/>
      <c r="AE3341" s="42"/>
      <c r="AF3341" s="42"/>
      <c r="AG3341" s="43"/>
    </row>
    <row r="3342">
      <c r="A3342" s="23"/>
      <c r="B3342" s="101"/>
      <c r="C3342" s="115"/>
      <c r="D3342" s="115"/>
      <c r="E3342" s="85"/>
      <c r="F3342" s="138"/>
      <c r="G3342" s="101"/>
      <c r="H3342" s="105"/>
      <c r="I3342" s="105"/>
      <c r="J3342" s="44"/>
      <c r="K3342" s="116"/>
      <c r="L3342" s="117"/>
      <c r="M3342" s="67"/>
      <c r="N3342" s="33"/>
      <c r="O3342" s="70"/>
      <c r="P3342" s="34"/>
      <c r="Q3342" s="60"/>
      <c r="R3342" s="36"/>
      <c r="S3342" s="71"/>
      <c r="T3342" s="37"/>
      <c r="U3342" s="118"/>
      <c r="V3342" s="74"/>
      <c r="W3342" s="74"/>
      <c r="X3342" s="35"/>
      <c r="Y3342" s="35"/>
      <c r="Z3342" s="40"/>
      <c r="AA3342" s="34"/>
      <c r="AB3342" s="41"/>
      <c r="AC3342" s="42" t="b">
        <v>0</v>
      </c>
      <c r="AD3342" s="66"/>
      <c r="AE3342" s="42"/>
      <c r="AF3342" s="42"/>
      <c r="AG3342" s="43"/>
    </row>
    <row r="3343">
      <c r="A3343" s="23"/>
      <c r="B3343" s="101"/>
      <c r="C3343" s="115"/>
      <c r="D3343" s="115"/>
      <c r="E3343" s="85"/>
      <c r="F3343" s="138"/>
      <c r="G3343" s="101"/>
      <c r="H3343" s="105"/>
      <c r="I3343" s="105"/>
      <c r="J3343" s="44"/>
      <c r="K3343" s="116"/>
      <c r="L3343" s="117"/>
      <c r="M3343" s="67"/>
      <c r="N3343" s="33"/>
      <c r="O3343" s="70"/>
      <c r="P3343" s="34"/>
      <c r="Q3343" s="60"/>
      <c r="R3343" s="36"/>
      <c r="S3343" s="71"/>
      <c r="T3343" s="37"/>
      <c r="U3343" s="118"/>
      <c r="V3343" s="74"/>
      <c r="W3343" s="74"/>
      <c r="X3343" s="35"/>
      <c r="Y3343" s="35"/>
      <c r="Z3343" s="40"/>
      <c r="AA3343" s="34"/>
      <c r="AB3343" s="41"/>
      <c r="AC3343" s="42" t="b">
        <v>0</v>
      </c>
      <c r="AD3343" s="66"/>
      <c r="AE3343" s="42"/>
      <c r="AF3343" s="42"/>
      <c r="AG3343" s="43"/>
    </row>
    <row r="3344">
      <c r="A3344" s="23"/>
      <c r="B3344" s="101"/>
      <c r="C3344" s="115"/>
      <c r="D3344" s="115"/>
      <c r="E3344" s="85"/>
      <c r="F3344" s="138"/>
      <c r="G3344" s="101"/>
      <c r="H3344" s="105"/>
      <c r="I3344" s="105"/>
      <c r="J3344" s="44"/>
      <c r="K3344" s="116"/>
      <c r="L3344" s="117"/>
      <c r="M3344" s="67"/>
      <c r="N3344" s="33"/>
      <c r="O3344" s="70"/>
      <c r="P3344" s="34"/>
      <c r="Q3344" s="60"/>
      <c r="R3344" s="36"/>
      <c r="S3344" s="71"/>
      <c r="T3344" s="37"/>
      <c r="U3344" s="118"/>
      <c r="V3344" s="74"/>
      <c r="W3344" s="74"/>
      <c r="X3344" s="35"/>
      <c r="Y3344" s="35"/>
      <c r="Z3344" s="40"/>
      <c r="AA3344" s="34"/>
      <c r="AB3344" s="41"/>
      <c r="AC3344" s="42" t="b">
        <v>0</v>
      </c>
      <c r="AD3344" s="66"/>
      <c r="AE3344" s="42"/>
      <c r="AF3344" s="42"/>
      <c r="AG3344" s="43"/>
    </row>
    <row r="3345">
      <c r="A3345" s="23"/>
      <c r="B3345" s="101"/>
      <c r="C3345" s="115"/>
      <c r="D3345" s="115"/>
      <c r="E3345" s="85"/>
      <c r="F3345" s="138"/>
      <c r="G3345" s="101"/>
      <c r="H3345" s="105"/>
      <c r="I3345" s="105"/>
      <c r="J3345" s="44"/>
      <c r="K3345" s="116"/>
      <c r="L3345" s="117"/>
      <c r="M3345" s="67"/>
      <c r="N3345" s="33"/>
      <c r="O3345" s="70"/>
      <c r="P3345" s="34"/>
      <c r="Q3345" s="60"/>
      <c r="R3345" s="36"/>
      <c r="S3345" s="71"/>
      <c r="T3345" s="37"/>
      <c r="U3345" s="118"/>
      <c r="V3345" s="74"/>
      <c r="W3345" s="74"/>
      <c r="X3345" s="35"/>
      <c r="Y3345" s="35"/>
      <c r="Z3345" s="40"/>
      <c r="AA3345" s="34"/>
      <c r="AB3345" s="41"/>
      <c r="AC3345" s="42" t="b">
        <v>0</v>
      </c>
      <c r="AD3345" s="66"/>
      <c r="AE3345" s="42"/>
      <c r="AF3345" s="42"/>
      <c r="AG3345" s="43"/>
    </row>
    <row r="3346">
      <c r="A3346" s="23"/>
      <c r="B3346" s="101"/>
      <c r="C3346" s="115"/>
      <c r="D3346" s="115"/>
      <c r="E3346" s="85"/>
      <c r="F3346" s="138"/>
      <c r="G3346" s="101"/>
      <c r="H3346" s="105"/>
      <c r="I3346" s="105"/>
      <c r="J3346" s="44"/>
      <c r="K3346" s="116"/>
      <c r="L3346" s="117"/>
      <c r="M3346" s="67"/>
      <c r="N3346" s="33"/>
      <c r="O3346" s="70"/>
      <c r="P3346" s="34"/>
      <c r="Q3346" s="60"/>
      <c r="R3346" s="36"/>
      <c r="S3346" s="71"/>
      <c r="T3346" s="37"/>
      <c r="U3346" s="118"/>
      <c r="V3346" s="74"/>
      <c r="W3346" s="74"/>
      <c r="X3346" s="35"/>
      <c r="Y3346" s="35"/>
      <c r="Z3346" s="40"/>
      <c r="AA3346" s="34"/>
      <c r="AB3346" s="41"/>
      <c r="AC3346" s="42" t="b">
        <v>0</v>
      </c>
      <c r="AD3346" s="66"/>
      <c r="AE3346" s="42"/>
      <c r="AF3346" s="42"/>
      <c r="AG3346" s="43"/>
    </row>
    <row r="3347">
      <c r="A3347" s="23"/>
      <c r="B3347" s="101"/>
      <c r="C3347" s="115"/>
      <c r="D3347" s="115"/>
      <c r="E3347" s="85"/>
      <c r="F3347" s="138"/>
      <c r="G3347" s="101"/>
      <c r="H3347" s="105"/>
      <c r="I3347" s="105"/>
      <c r="J3347" s="44"/>
      <c r="K3347" s="116"/>
      <c r="L3347" s="117"/>
      <c r="M3347" s="67"/>
      <c r="N3347" s="33"/>
      <c r="O3347" s="70"/>
      <c r="P3347" s="34"/>
      <c r="Q3347" s="60"/>
      <c r="R3347" s="36"/>
      <c r="S3347" s="71"/>
      <c r="T3347" s="37"/>
      <c r="U3347" s="118"/>
      <c r="V3347" s="74"/>
      <c r="W3347" s="74"/>
      <c r="X3347" s="35"/>
      <c r="Y3347" s="35"/>
      <c r="Z3347" s="40"/>
      <c r="AA3347" s="34"/>
      <c r="AB3347" s="41"/>
      <c r="AC3347" s="42" t="b">
        <v>0</v>
      </c>
      <c r="AD3347" s="66"/>
      <c r="AE3347" s="42"/>
      <c r="AF3347" s="42"/>
      <c r="AG3347" s="43"/>
    </row>
    <row r="3348">
      <c r="A3348" s="23"/>
      <c r="B3348" s="101"/>
      <c r="C3348" s="115"/>
      <c r="D3348" s="115"/>
      <c r="E3348" s="85"/>
      <c r="F3348" s="138"/>
      <c r="G3348" s="101"/>
      <c r="H3348" s="105"/>
      <c r="I3348" s="105"/>
      <c r="J3348" s="44"/>
      <c r="K3348" s="116"/>
      <c r="L3348" s="117"/>
      <c r="M3348" s="67"/>
      <c r="N3348" s="33"/>
      <c r="O3348" s="70"/>
      <c r="P3348" s="34"/>
      <c r="Q3348" s="60"/>
      <c r="R3348" s="36"/>
      <c r="S3348" s="71"/>
      <c r="T3348" s="37"/>
      <c r="U3348" s="118"/>
      <c r="V3348" s="74"/>
      <c r="W3348" s="74"/>
      <c r="X3348" s="35"/>
      <c r="Y3348" s="35"/>
      <c r="Z3348" s="40"/>
      <c r="AA3348" s="34"/>
      <c r="AB3348" s="41"/>
      <c r="AC3348" s="42" t="b">
        <v>0</v>
      </c>
      <c r="AD3348" s="66"/>
      <c r="AE3348" s="42"/>
      <c r="AF3348" s="42"/>
      <c r="AG3348" s="43"/>
    </row>
    <row r="3349">
      <c r="A3349" s="23"/>
      <c r="B3349" s="101"/>
      <c r="C3349" s="115"/>
      <c r="D3349" s="115"/>
      <c r="E3349" s="85"/>
      <c r="F3349" s="138"/>
      <c r="G3349" s="101"/>
      <c r="H3349" s="105"/>
      <c r="I3349" s="105"/>
      <c r="J3349" s="44"/>
      <c r="K3349" s="116"/>
      <c r="L3349" s="117"/>
      <c r="M3349" s="67"/>
      <c r="N3349" s="33"/>
      <c r="O3349" s="70"/>
      <c r="P3349" s="34"/>
      <c r="Q3349" s="60"/>
      <c r="R3349" s="36"/>
      <c r="S3349" s="71"/>
      <c r="T3349" s="37"/>
      <c r="U3349" s="118"/>
      <c r="V3349" s="74"/>
      <c r="W3349" s="74"/>
      <c r="X3349" s="35"/>
      <c r="Y3349" s="35"/>
      <c r="Z3349" s="40"/>
      <c r="AA3349" s="34"/>
      <c r="AB3349" s="41"/>
      <c r="AC3349" s="42" t="b">
        <v>0</v>
      </c>
      <c r="AD3349" s="66"/>
      <c r="AE3349" s="42"/>
      <c r="AF3349" s="42"/>
      <c r="AG3349" s="43"/>
    </row>
    <row r="3350">
      <c r="A3350" s="23"/>
      <c r="B3350" s="101"/>
      <c r="C3350" s="115"/>
      <c r="D3350" s="115"/>
      <c r="E3350" s="85"/>
      <c r="F3350" s="138"/>
      <c r="G3350" s="101"/>
      <c r="H3350" s="105"/>
      <c r="I3350" s="105"/>
      <c r="J3350" s="44"/>
      <c r="K3350" s="116"/>
      <c r="L3350" s="117"/>
      <c r="M3350" s="67"/>
      <c r="N3350" s="33"/>
      <c r="O3350" s="70"/>
      <c r="P3350" s="34"/>
      <c r="Q3350" s="60"/>
      <c r="R3350" s="36"/>
      <c r="S3350" s="71"/>
      <c r="T3350" s="37"/>
      <c r="U3350" s="118"/>
      <c r="V3350" s="74"/>
      <c r="W3350" s="74"/>
      <c r="X3350" s="35"/>
      <c r="Y3350" s="35"/>
      <c r="Z3350" s="40"/>
      <c r="AA3350" s="34"/>
      <c r="AB3350" s="41"/>
      <c r="AC3350" s="42" t="b">
        <v>0</v>
      </c>
      <c r="AD3350" s="66"/>
      <c r="AE3350" s="42"/>
      <c r="AF3350" s="42"/>
      <c r="AG3350" s="43"/>
    </row>
    <row r="3351">
      <c r="A3351" s="23"/>
      <c r="B3351" s="101"/>
      <c r="C3351" s="115"/>
      <c r="D3351" s="115"/>
      <c r="E3351" s="85"/>
      <c r="F3351" s="138"/>
      <c r="G3351" s="101"/>
      <c r="H3351" s="105"/>
      <c r="I3351" s="105"/>
      <c r="J3351" s="44"/>
      <c r="K3351" s="116"/>
      <c r="L3351" s="117"/>
      <c r="M3351" s="67"/>
      <c r="N3351" s="33"/>
      <c r="O3351" s="70"/>
      <c r="P3351" s="34"/>
      <c r="Q3351" s="60"/>
      <c r="R3351" s="36"/>
      <c r="S3351" s="71"/>
      <c r="T3351" s="37"/>
      <c r="U3351" s="118"/>
      <c r="V3351" s="74"/>
      <c r="W3351" s="74"/>
      <c r="X3351" s="35"/>
      <c r="Y3351" s="35"/>
      <c r="Z3351" s="40"/>
      <c r="AA3351" s="34"/>
      <c r="AB3351" s="41"/>
      <c r="AC3351" s="42" t="b">
        <v>0</v>
      </c>
      <c r="AD3351" s="66"/>
      <c r="AE3351" s="42"/>
      <c r="AF3351" s="42"/>
      <c r="AG3351" s="43"/>
    </row>
    <row r="3352">
      <c r="A3352" s="23"/>
      <c r="B3352" s="101"/>
      <c r="C3352" s="115"/>
      <c r="D3352" s="115"/>
      <c r="E3352" s="85"/>
      <c r="F3352" s="138"/>
      <c r="G3352" s="101"/>
      <c r="H3352" s="105"/>
      <c r="I3352" s="105"/>
      <c r="J3352" s="44"/>
      <c r="K3352" s="116"/>
      <c r="L3352" s="117"/>
      <c r="M3352" s="67"/>
      <c r="N3352" s="33"/>
      <c r="O3352" s="70"/>
      <c r="P3352" s="34"/>
      <c r="Q3352" s="60"/>
      <c r="R3352" s="36"/>
      <c r="S3352" s="71"/>
      <c r="T3352" s="37"/>
      <c r="U3352" s="118"/>
      <c r="V3352" s="74"/>
      <c r="W3352" s="74"/>
      <c r="X3352" s="35"/>
      <c r="Y3352" s="35"/>
      <c r="Z3352" s="40"/>
      <c r="AA3352" s="34"/>
      <c r="AB3352" s="41"/>
      <c r="AC3352" s="42" t="b">
        <v>0</v>
      </c>
      <c r="AD3352" s="66"/>
      <c r="AE3352" s="42"/>
      <c r="AF3352" s="42"/>
      <c r="AG3352" s="43"/>
    </row>
    <row r="3353">
      <c r="A3353" s="23"/>
      <c r="B3353" s="101"/>
      <c r="C3353" s="115"/>
      <c r="D3353" s="115"/>
      <c r="E3353" s="85"/>
      <c r="F3353" s="138"/>
      <c r="G3353" s="101"/>
      <c r="H3353" s="105"/>
      <c r="I3353" s="105"/>
      <c r="J3353" s="44"/>
      <c r="K3353" s="116"/>
      <c r="L3353" s="117"/>
      <c r="M3353" s="67"/>
      <c r="N3353" s="33"/>
      <c r="O3353" s="70"/>
      <c r="P3353" s="34"/>
      <c r="Q3353" s="60"/>
      <c r="R3353" s="36"/>
      <c r="S3353" s="71"/>
      <c r="T3353" s="37"/>
      <c r="U3353" s="118"/>
      <c r="V3353" s="74"/>
      <c r="W3353" s="74"/>
      <c r="X3353" s="35"/>
      <c r="Y3353" s="35"/>
      <c r="Z3353" s="40"/>
      <c r="AA3353" s="34"/>
      <c r="AB3353" s="41"/>
      <c r="AC3353" s="42" t="b">
        <v>0</v>
      </c>
      <c r="AD3353" s="66"/>
      <c r="AE3353" s="42"/>
      <c r="AF3353" s="42"/>
      <c r="AG3353" s="43"/>
    </row>
    <row r="3354">
      <c r="A3354" s="23"/>
      <c r="B3354" s="101"/>
      <c r="C3354" s="115"/>
      <c r="D3354" s="115"/>
      <c r="E3354" s="85"/>
      <c r="F3354" s="138"/>
      <c r="G3354" s="101"/>
      <c r="H3354" s="105"/>
      <c r="I3354" s="105"/>
      <c r="J3354" s="44"/>
      <c r="K3354" s="116"/>
      <c r="L3354" s="117"/>
      <c r="M3354" s="67"/>
      <c r="N3354" s="33"/>
      <c r="O3354" s="70"/>
      <c r="P3354" s="34"/>
      <c r="Q3354" s="60"/>
      <c r="R3354" s="36"/>
      <c r="S3354" s="71"/>
      <c r="T3354" s="37"/>
      <c r="U3354" s="118"/>
      <c r="V3354" s="74"/>
      <c r="W3354" s="74"/>
      <c r="X3354" s="35"/>
      <c r="Y3354" s="35"/>
      <c r="Z3354" s="40"/>
      <c r="AA3354" s="34"/>
      <c r="AB3354" s="41"/>
      <c r="AC3354" s="42" t="b">
        <v>0</v>
      </c>
      <c r="AD3354" s="66"/>
      <c r="AE3354" s="42"/>
      <c r="AF3354" s="42"/>
      <c r="AG3354" s="43"/>
    </row>
    <row r="3355">
      <c r="A3355" s="23"/>
      <c r="B3355" s="101"/>
      <c r="C3355" s="115"/>
      <c r="D3355" s="115"/>
      <c r="E3355" s="85"/>
      <c r="F3355" s="138"/>
      <c r="G3355" s="101"/>
      <c r="H3355" s="105"/>
      <c r="I3355" s="105"/>
      <c r="J3355" s="44"/>
      <c r="K3355" s="116"/>
      <c r="L3355" s="117"/>
      <c r="M3355" s="67"/>
      <c r="N3355" s="33"/>
      <c r="O3355" s="70"/>
      <c r="P3355" s="34"/>
      <c r="Q3355" s="60"/>
      <c r="R3355" s="36"/>
      <c r="S3355" s="71"/>
      <c r="T3355" s="37"/>
      <c r="U3355" s="118"/>
      <c r="V3355" s="74"/>
      <c r="W3355" s="74"/>
      <c r="X3355" s="35"/>
      <c r="Y3355" s="35"/>
      <c r="Z3355" s="40"/>
      <c r="AA3355" s="34"/>
      <c r="AB3355" s="41"/>
      <c r="AC3355" s="42" t="b">
        <v>0</v>
      </c>
      <c r="AD3355" s="66"/>
      <c r="AE3355" s="42"/>
      <c r="AF3355" s="42"/>
      <c r="AG3355" s="43"/>
    </row>
    <row r="3356">
      <c r="A3356" s="23"/>
      <c r="B3356" s="101"/>
      <c r="C3356" s="115"/>
      <c r="D3356" s="115"/>
      <c r="E3356" s="85"/>
      <c r="F3356" s="138"/>
      <c r="G3356" s="101"/>
      <c r="H3356" s="105"/>
      <c r="I3356" s="105"/>
      <c r="J3356" s="44"/>
      <c r="K3356" s="116"/>
      <c r="L3356" s="117"/>
      <c r="M3356" s="67"/>
      <c r="N3356" s="33"/>
      <c r="O3356" s="70"/>
      <c r="P3356" s="34"/>
      <c r="Q3356" s="60"/>
      <c r="R3356" s="36"/>
      <c r="S3356" s="71"/>
      <c r="T3356" s="37"/>
      <c r="U3356" s="118"/>
      <c r="V3356" s="74"/>
      <c r="W3356" s="74"/>
      <c r="X3356" s="35"/>
      <c r="Y3356" s="35"/>
      <c r="Z3356" s="40"/>
      <c r="AA3356" s="34"/>
      <c r="AB3356" s="41"/>
      <c r="AC3356" s="42" t="b">
        <v>0</v>
      </c>
      <c r="AD3356" s="66"/>
      <c r="AE3356" s="42"/>
      <c r="AF3356" s="42"/>
      <c r="AG3356" s="43"/>
    </row>
    <row r="3357">
      <c r="A3357" s="23"/>
      <c r="B3357" s="101"/>
      <c r="C3357" s="115"/>
      <c r="D3357" s="115"/>
      <c r="E3357" s="85"/>
      <c r="F3357" s="138"/>
      <c r="G3357" s="101"/>
      <c r="H3357" s="105"/>
      <c r="I3357" s="105"/>
      <c r="J3357" s="44"/>
      <c r="K3357" s="116"/>
      <c r="L3357" s="117"/>
      <c r="M3357" s="67"/>
      <c r="N3357" s="33"/>
      <c r="O3357" s="70"/>
      <c r="P3357" s="34"/>
      <c r="Q3357" s="60"/>
      <c r="R3357" s="36"/>
      <c r="S3357" s="71"/>
      <c r="T3357" s="37"/>
      <c r="U3357" s="118"/>
      <c r="V3357" s="74"/>
      <c r="W3357" s="74"/>
      <c r="X3357" s="35"/>
      <c r="Y3357" s="35"/>
      <c r="Z3357" s="40"/>
      <c r="AA3357" s="34"/>
      <c r="AB3357" s="41"/>
      <c r="AC3357" s="42" t="b">
        <v>0</v>
      </c>
      <c r="AD3357" s="66"/>
      <c r="AE3357" s="42"/>
      <c r="AF3357" s="42"/>
      <c r="AG3357" s="43"/>
    </row>
    <row r="3358">
      <c r="A3358" s="23"/>
      <c r="B3358" s="101"/>
      <c r="C3358" s="115"/>
      <c r="D3358" s="115"/>
      <c r="E3358" s="85"/>
      <c r="F3358" s="138"/>
      <c r="G3358" s="101"/>
      <c r="H3358" s="105"/>
      <c r="I3358" s="105"/>
      <c r="J3358" s="44"/>
      <c r="K3358" s="116"/>
      <c r="L3358" s="117"/>
      <c r="M3358" s="67"/>
      <c r="N3358" s="33"/>
      <c r="O3358" s="70"/>
      <c r="P3358" s="34"/>
      <c r="Q3358" s="60"/>
      <c r="R3358" s="36"/>
      <c r="S3358" s="71"/>
      <c r="T3358" s="37"/>
      <c r="U3358" s="118"/>
      <c r="V3358" s="74"/>
      <c r="W3358" s="74"/>
      <c r="X3358" s="35"/>
      <c r="Y3358" s="35"/>
      <c r="Z3358" s="40"/>
      <c r="AA3358" s="34"/>
      <c r="AB3358" s="41"/>
      <c r="AC3358" s="42" t="b">
        <v>0</v>
      </c>
      <c r="AD3358" s="66"/>
      <c r="AE3358" s="42"/>
      <c r="AF3358" s="42"/>
      <c r="AG3358" s="43"/>
    </row>
    <row r="3359">
      <c r="A3359" s="23"/>
      <c r="B3359" s="101"/>
      <c r="C3359" s="115"/>
      <c r="D3359" s="115"/>
      <c r="E3359" s="85"/>
      <c r="F3359" s="138"/>
      <c r="G3359" s="101"/>
      <c r="H3359" s="105"/>
      <c r="I3359" s="105"/>
      <c r="J3359" s="44"/>
      <c r="K3359" s="116"/>
      <c r="L3359" s="117"/>
      <c r="M3359" s="67"/>
      <c r="N3359" s="33"/>
      <c r="O3359" s="70"/>
      <c r="P3359" s="34"/>
      <c r="Q3359" s="60"/>
      <c r="R3359" s="36"/>
      <c r="S3359" s="71"/>
      <c r="T3359" s="37"/>
      <c r="U3359" s="118"/>
      <c r="V3359" s="74"/>
      <c r="W3359" s="74"/>
      <c r="X3359" s="35"/>
      <c r="Y3359" s="35"/>
      <c r="Z3359" s="40"/>
      <c r="AA3359" s="34"/>
      <c r="AB3359" s="41"/>
      <c r="AC3359" s="42" t="b">
        <v>0</v>
      </c>
      <c r="AD3359" s="66"/>
      <c r="AE3359" s="42"/>
      <c r="AF3359" s="42"/>
      <c r="AG3359" s="43"/>
    </row>
    <row r="3360">
      <c r="A3360" s="23"/>
      <c r="B3360" s="101"/>
      <c r="C3360" s="115"/>
      <c r="D3360" s="115"/>
      <c r="E3360" s="85"/>
      <c r="F3360" s="138"/>
      <c r="G3360" s="101"/>
      <c r="H3360" s="105"/>
      <c r="I3360" s="105"/>
      <c r="J3360" s="44"/>
      <c r="K3360" s="116"/>
      <c r="L3360" s="117"/>
      <c r="M3360" s="67"/>
      <c r="N3360" s="33"/>
      <c r="O3360" s="70"/>
      <c r="P3360" s="34"/>
      <c r="Q3360" s="60"/>
      <c r="R3360" s="36"/>
      <c r="S3360" s="71"/>
      <c r="T3360" s="37"/>
      <c r="U3360" s="118"/>
      <c r="V3360" s="74"/>
      <c r="W3360" s="74"/>
      <c r="X3360" s="35"/>
      <c r="Y3360" s="35"/>
      <c r="Z3360" s="40"/>
      <c r="AA3360" s="34"/>
      <c r="AB3360" s="41"/>
      <c r="AC3360" s="42" t="b">
        <v>0</v>
      </c>
      <c r="AD3360" s="66"/>
      <c r="AE3360" s="42"/>
      <c r="AF3360" s="42"/>
      <c r="AG3360" s="43"/>
    </row>
    <row r="3361">
      <c r="A3361" s="23"/>
      <c r="B3361" s="101"/>
      <c r="C3361" s="115"/>
      <c r="D3361" s="115"/>
      <c r="E3361" s="85"/>
      <c r="F3361" s="138"/>
      <c r="G3361" s="101"/>
      <c r="H3361" s="105"/>
      <c r="I3361" s="105"/>
      <c r="J3361" s="44"/>
      <c r="K3361" s="116"/>
      <c r="L3361" s="117"/>
      <c r="M3361" s="67"/>
      <c r="N3361" s="33"/>
      <c r="O3361" s="70"/>
      <c r="P3361" s="34"/>
      <c r="Q3361" s="60"/>
      <c r="R3361" s="36"/>
      <c r="S3361" s="71"/>
      <c r="T3361" s="37"/>
      <c r="U3361" s="118"/>
      <c r="V3361" s="74"/>
      <c r="W3361" s="74"/>
      <c r="X3361" s="35"/>
      <c r="Y3361" s="35"/>
      <c r="Z3361" s="40"/>
      <c r="AA3361" s="34"/>
      <c r="AB3361" s="41"/>
      <c r="AC3361" s="42" t="b">
        <v>0</v>
      </c>
      <c r="AD3361" s="66"/>
      <c r="AE3361" s="42"/>
      <c r="AF3361" s="42"/>
      <c r="AG3361" s="43"/>
    </row>
    <row r="3362">
      <c r="A3362" s="23"/>
      <c r="B3362" s="101"/>
      <c r="C3362" s="115"/>
      <c r="D3362" s="115"/>
      <c r="E3362" s="85"/>
      <c r="F3362" s="138"/>
      <c r="G3362" s="101"/>
      <c r="H3362" s="105"/>
      <c r="I3362" s="105"/>
      <c r="J3362" s="44"/>
      <c r="K3362" s="116"/>
      <c r="L3362" s="117"/>
      <c r="M3362" s="67"/>
      <c r="N3362" s="33"/>
      <c r="O3362" s="70"/>
      <c r="P3362" s="34"/>
      <c r="Q3362" s="60"/>
      <c r="R3362" s="36"/>
      <c r="S3362" s="71"/>
      <c r="T3362" s="37"/>
      <c r="U3362" s="118"/>
      <c r="V3362" s="74"/>
      <c r="W3362" s="74"/>
      <c r="X3362" s="35"/>
      <c r="Y3362" s="35"/>
      <c r="Z3362" s="40"/>
      <c r="AA3362" s="34"/>
      <c r="AB3362" s="41"/>
      <c r="AC3362" s="42" t="b">
        <v>0</v>
      </c>
      <c r="AD3362" s="66"/>
      <c r="AE3362" s="42"/>
      <c r="AF3362" s="42"/>
      <c r="AG3362" s="43"/>
    </row>
    <row r="3363">
      <c r="A3363" s="23"/>
      <c r="B3363" s="101"/>
      <c r="C3363" s="115"/>
      <c r="D3363" s="115"/>
      <c r="E3363" s="85"/>
      <c r="F3363" s="138"/>
      <c r="G3363" s="101"/>
      <c r="H3363" s="105"/>
      <c r="I3363" s="105"/>
      <c r="J3363" s="44"/>
      <c r="K3363" s="116"/>
      <c r="L3363" s="117"/>
      <c r="M3363" s="67"/>
      <c r="N3363" s="33"/>
      <c r="O3363" s="70"/>
      <c r="P3363" s="34"/>
      <c r="Q3363" s="60"/>
      <c r="R3363" s="36"/>
      <c r="S3363" s="71"/>
      <c r="T3363" s="37"/>
      <c r="U3363" s="118"/>
      <c r="V3363" s="74"/>
      <c r="W3363" s="74"/>
      <c r="X3363" s="35"/>
      <c r="Y3363" s="35"/>
      <c r="Z3363" s="40"/>
      <c r="AA3363" s="34"/>
      <c r="AB3363" s="41"/>
      <c r="AC3363" s="42" t="b">
        <v>0</v>
      </c>
      <c r="AD3363" s="66"/>
      <c r="AE3363" s="42"/>
      <c r="AF3363" s="42"/>
      <c r="AG3363" s="43"/>
    </row>
    <row r="3364">
      <c r="A3364" s="23"/>
      <c r="B3364" s="101"/>
      <c r="C3364" s="115"/>
      <c r="D3364" s="115"/>
      <c r="E3364" s="85"/>
      <c r="F3364" s="138"/>
      <c r="G3364" s="101"/>
      <c r="H3364" s="105"/>
      <c r="I3364" s="105"/>
      <c r="J3364" s="44"/>
      <c r="K3364" s="116"/>
      <c r="L3364" s="117"/>
      <c r="M3364" s="67"/>
      <c r="N3364" s="33"/>
      <c r="O3364" s="70"/>
      <c r="P3364" s="34"/>
      <c r="Q3364" s="60"/>
      <c r="R3364" s="36"/>
      <c r="S3364" s="71"/>
      <c r="T3364" s="37"/>
      <c r="U3364" s="118"/>
      <c r="V3364" s="74"/>
      <c r="W3364" s="74"/>
      <c r="X3364" s="35"/>
      <c r="Y3364" s="35"/>
      <c r="Z3364" s="40"/>
      <c r="AA3364" s="34"/>
      <c r="AB3364" s="41"/>
      <c r="AC3364" s="42" t="b">
        <v>0</v>
      </c>
      <c r="AD3364" s="66"/>
      <c r="AE3364" s="42"/>
      <c r="AF3364" s="42"/>
      <c r="AG3364" s="43"/>
    </row>
    <row r="3365">
      <c r="A3365" s="23"/>
      <c r="B3365" s="101"/>
      <c r="C3365" s="115"/>
      <c r="D3365" s="115"/>
      <c r="E3365" s="85"/>
      <c r="F3365" s="138"/>
      <c r="G3365" s="101"/>
      <c r="H3365" s="105"/>
      <c r="I3365" s="105"/>
      <c r="J3365" s="44"/>
      <c r="K3365" s="116"/>
      <c r="L3365" s="117"/>
      <c r="M3365" s="67"/>
      <c r="N3365" s="33"/>
      <c r="O3365" s="70"/>
      <c r="P3365" s="34"/>
      <c r="Q3365" s="60"/>
      <c r="R3365" s="36"/>
      <c r="S3365" s="71"/>
      <c r="T3365" s="37"/>
      <c r="U3365" s="118"/>
      <c r="V3365" s="74"/>
      <c r="W3365" s="74"/>
      <c r="X3365" s="35"/>
      <c r="Y3365" s="35"/>
      <c r="Z3365" s="40"/>
      <c r="AA3365" s="34"/>
      <c r="AB3365" s="41"/>
      <c r="AC3365" s="42" t="b">
        <v>0</v>
      </c>
      <c r="AD3365" s="66"/>
      <c r="AE3365" s="42"/>
      <c r="AF3365" s="42"/>
      <c r="AG3365" s="43"/>
    </row>
    <row r="3366">
      <c r="A3366" s="23"/>
      <c r="B3366" s="101"/>
      <c r="C3366" s="115"/>
      <c r="D3366" s="115"/>
      <c r="E3366" s="85"/>
      <c r="F3366" s="138"/>
      <c r="G3366" s="101"/>
      <c r="H3366" s="105"/>
      <c r="I3366" s="105"/>
      <c r="J3366" s="44"/>
      <c r="K3366" s="116"/>
      <c r="L3366" s="117"/>
      <c r="M3366" s="67"/>
      <c r="N3366" s="33"/>
      <c r="O3366" s="70"/>
      <c r="P3366" s="34"/>
      <c r="Q3366" s="60"/>
      <c r="R3366" s="36"/>
      <c r="S3366" s="71"/>
      <c r="T3366" s="37"/>
      <c r="U3366" s="118"/>
      <c r="V3366" s="74"/>
      <c r="W3366" s="74"/>
      <c r="X3366" s="35"/>
      <c r="Y3366" s="35"/>
      <c r="Z3366" s="40"/>
      <c r="AA3366" s="34"/>
      <c r="AB3366" s="41"/>
      <c r="AC3366" s="42" t="b">
        <v>0</v>
      </c>
      <c r="AD3366" s="66"/>
      <c r="AE3366" s="42"/>
      <c r="AF3366" s="42"/>
      <c r="AG3366" s="43"/>
    </row>
    <row r="3367">
      <c r="A3367" s="23"/>
      <c r="B3367" s="101"/>
      <c r="C3367" s="115"/>
      <c r="D3367" s="115"/>
      <c r="E3367" s="85"/>
      <c r="F3367" s="138"/>
      <c r="G3367" s="101"/>
      <c r="H3367" s="105"/>
      <c r="I3367" s="105"/>
      <c r="J3367" s="44"/>
      <c r="K3367" s="116"/>
      <c r="L3367" s="117"/>
      <c r="M3367" s="67"/>
      <c r="N3367" s="33"/>
      <c r="O3367" s="70"/>
      <c r="P3367" s="34"/>
      <c r="Q3367" s="60"/>
      <c r="R3367" s="36"/>
      <c r="S3367" s="71"/>
      <c r="T3367" s="37"/>
      <c r="U3367" s="118"/>
      <c r="V3367" s="74"/>
      <c r="W3367" s="74"/>
      <c r="X3367" s="35"/>
      <c r="Y3367" s="35"/>
      <c r="Z3367" s="40"/>
      <c r="AA3367" s="34"/>
      <c r="AB3367" s="41"/>
      <c r="AC3367" s="42" t="b">
        <v>0</v>
      </c>
      <c r="AD3367" s="66"/>
      <c r="AE3367" s="42"/>
      <c r="AF3367" s="42"/>
      <c r="AG3367" s="43"/>
    </row>
    <row r="3368">
      <c r="A3368" s="23"/>
      <c r="B3368" s="101"/>
      <c r="C3368" s="115"/>
      <c r="D3368" s="115"/>
      <c r="E3368" s="85"/>
      <c r="F3368" s="138"/>
      <c r="G3368" s="101"/>
      <c r="H3368" s="105"/>
      <c r="I3368" s="105"/>
      <c r="J3368" s="44"/>
      <c r="K3368" s="116"/>
      <c r="L3368" s="117"/>
      <c r="M3368" s="67"/>
      <c r="N3368" s="33"/>
      <c r="O3368" s="70"/>
      <c r="P3368" s="34"/>
      <c r="Q3368" s="60"/>
      <c r="R3368" s="36"/>
      <c r="S3368" s="71"/>
      <c r="T3368" s="37"/>
      <c r="U3368" s="118"/>
      <c r="V3368" s="74"/>
      <c r="W3368" s="74"/>
      <c r="X3368" s="35"/>
      <c r="Y3368" s="35"/>
      <c r="Z3368" s="40"/>
      <c r="AA3368" s="34"/>
      <c r="AB3368" s="41"/>
      <c r="AC3368" s="42" t="b">
        <v>0</v>
      </c>
      <c r="AD3368" s="66"/>
      <c r="AE3368" s="42"/>
      <c r="AF3368" s="42"/>
      <c r="AG3368" s="43"/>
    </row>
    <row r="3369">
      <c r="A3369" s="23"/>
      <c r="B3369" s="101"/>
      <c r="C3369" s="115"/>
      <c r="D3369" s="115"/>
      <c r="E3369" s="85"/>
      <c r="F3369" s="138"/>
      <c r="G3369" s="101"/>
      <c r="H3369" s="105"/>
      <c r="I3369" s="105"/>
      <c r="J3369" s="44"/>
      <c r="K3369" s="116"/>
      <c r="L3369" s="117"/>
      <c r="M3369" s="67"/>
      <c r="N3369" s="33"/>
      <c r="O3369" s="70"/>
      <c r="P3369" s="34"/>
      <c r="Q3369" s="60"/>
      <c r="R3369" s="36"/>
      <c r="S3369" s="71"/>
      <c r="T3369" s="37"/>
      <c r="U3369" s="118"/>
      <c r="V3369" s="74"/>
      <c r="W3369" s="74"/>
      <c r="X3369" s="35"/>
      <c r="Y3369" s="35"/>
      <c r="Z3369" s="40"/>
      <c r="AA3369" s="34"/>
      <c r="AB3369" s="41"/>
      <c r="AC3369" s="42" t="b">
        <v>0</v>
      </c>
      <c r="AD3369" s="66"/>
      <c r="AE3369" s="42"/>
      <c r="AF3369" s="42"/>
      <c r="AG3369" s="43"/>
    </row>
    <row r="3370">
      <c r="A3370" s="23"/>
      <c r="B3370" s="101"/>
      <c r="C3370" s="115"/>
      <c r="D3370" s="115"/>
      <c r="E3370" s="85"/>
      <c r="F3370" s="138"/>
      <c r="G3370" s="101"/>
      <c r="H3370" s="105"/>
      <c r="I3370" s="105"/>
      <c r="J3370" s="44"/>
      <c r="K3370" s="116"/>
      <c r="L3370" s="117"/>
      <c r="M3370" s="67"/>
      <c r="N3370" s="33"/>
      <c r="O3370" s="70"/>
      <c r="P3370" s="34"/>
      <c r="Q3370" s="60"/>
      <c r="R3370" s="36"/>
      <c r="S3370" s="71"/>
      <c r="T3370" s="37"/>
      <c r="U3370" s="118"/>
      <c r="V3370" s="74"/>
      <c r="W3370" s="74"/>
      <c r="X3370" s="35"/>
      <c r="Y3370" s="35"/>
      <c r="Z3370" s="40"/>
      <c r="AA3370" s="34"/>
      <c r="AB3370" s="41"/>
      <c r="AC3370" s="42" t="b">
        <v>0</v>
      </c>
      <c r="AD3370" s="66"/>
      <c r="AE3370" s="42"/>
      <c r="AF3370" s="42"/>
      <c r="AG3370" s="43"/>
    </row>
    <row r="3371">
      <c r="A3371" s="23"/>
      <c r="B3371" s="101"/>
      <c r="C3371" s="115"/>
      <c r="D3371" s="115"/>
      <c r="E3371" s="85"/>
      <c r="F3371" s="138"/>
      <c r="G3371" s="101"/>
      <c r="H3371" s="105"/>
      <c r="I3371" s="105"/>
      <c r="J3371" s="44"/>
      <c r="K3371" s="116"/>
      <c r="L3371" s="117"/>
      <c r="M3371" s="67"/>
      <c r="N3371" s="33"/>
      <c r="O3371" s="70"/>
      <c r="P3371" s="34"/>
      <c r="Q3371" s="60"/>
      <c r="R3371" s="36"/>
      <c r="S3371" s="71"/>
      <c r="T3371" s="37"/>
      <c r="U3371" s="118"/>
      <c r="V3371" s="74"/>
      <c r="W3371" s="74"/>
      <c r="X3371" s="35"/>
      <c r="Y3371" s="35"/>
      <c r="Z3371" s="40"/>
      <c r="AA3371" s="34"/>
      <c r="AB3371" s="41"/>
      <c r="AC3371" s="42" t="b">
        <v>0</v>
      </c>
      <c r="AD3371" s="66"/>
      <c r="AE3371" s="42"/>
      <c r="AF3371" s="42"/>
      <c r="AG3371" s="43"/>
    </row>
    <row r="3372">
      <c r="A3372" s="23"/>
      <c r="B3372" s="101"/>
      <c r="C3372" s="115"/>
      <c r="D3372" s="115"/>
      <c r="E3372" s="85"/>
      <c r="F3372" s="138"/>
      <c r="G3372" s="101"/>
      <c r="H3372" s="105"/>
      <c r="I3372" s="105"/>
      <c r="J3372" s="44"/>
      <c r="K3372" s="116"/>
      <c r="L3372" s="117"/>
      <c r="M3372" s="67"/>
      <c r="N3372" s="33"/>
      <c r="O3372" s="70"/>
      <c r="P3372" s="34"/>
      <c r="Q3372" s="60"/>
      <c r="R3372" s="36"/>
      <c r="S3372" s="71"/>
      <c r="T3372" s="37"/>
      <c r="U3372" s="118"/>
      <c r="V3372" s="74"/>
      <c r="W3372" s="74"/>
      <c r="X3372" s="35"/>
      <c r="Y3372" s="35"/>
      <c r="Z3372" s="40"/>
      <c r="AA3372" s="34"/>
      <c r="AB3372" s="41"/>
      <c r="AC3372" s="42" t="b">
        <v>0</v>
      </c>
      <c r="AD3372" s="66"/>
      <c r="AE3372" s="42"/>
      <c r="AF3372" s="42"/>
      <c r="AG3372" s="43"/>
    </row>
    <row r="3373">
      <c r="A3373" s="23"/>
      <c r="B3373" s="101"/>
      <c r="C3373" s="115"/>
      <c r="D3373" s="115"/>
      <c r="E3373" s="85"/>
      <c r="F3373" s="138"/>
      <c r="G3373" s="101"/>
      <c r="H3373" s="105"/>
      <c r="I3373" s="105"/>
      <c r="J3373" s="44"/>
      <c r="K3373" s="116"/>
      <c r="L3373" s="117"/>
      <c r="M3373" s="67"/>
      <c r="N3373" s="33"/>
      <c r="O3373" s="70"/>
      <c r="P3373" s="34"/>
      <c r="Q3373" s="60"/>
      <c r="R3373" s="36"/>
      <c r="S3373" s="71"/>
      <c r="T3373" s="37"/>
      <c r="U3373" s="118"/>
      <c r="V3373" s="74"/>
      <c r="W3373" s="74"/>
      <c r="X3373" s="35"/>
      <c r="Y3373" s="35"/>
      <c r="Z3373" s="40"/>
      <c r="AA3373" s="34"/>
      <c r="AB3373" s="41"/>
      <c r="AC3373" s="42" t="b">
        <v>0</v>
      </c>
      <c r="AD3373" s="66"/>
      <c r="AE3373" s="42"/>
      <c r="AF3373" s="42"/>
      <c r="AG3373" s="43"/>
    </row>
    <row r="3374">
      <c r="A3374" s="23"/>
      <c r="B3374" s="101"/>
      <c r="C3374" s="115"/>
      <c r="D3374" s="115"/>
      <c r="E3374" s="85"/>
      <c r="F3374" s="138"/>
      <c r="G3374" s="101"/>
      <c r="H3374" s="105"/>
      <c r="I3374" s="105"/>
      <c r="J3374" s="44"/>
      <c r="K3374" s="116"/>
      <c r="L3374" s="117"/>
      <c r="M3374" s="67"/>
      <c r="N3374" s="33"/>
      <c r="O3374" s="70"/>
      <c r="P3374" s="34"/>
      <c r="Q3374" s="60"/>
      <c r="R3374" s="36"/>
      <c r="S3374" s="71"/>
      <c r="T3374" s="37"/>
      <c r="U3374" s="118"/>
      <c r="V3374" s="74"/>
      <c r="W3374" s="74"/>
      <c r="X3374" s="35"/>
      <c r="Y3374" s="35"/>
      <c r="Z3374" s="40"/>
      <c r="AA3374" s="34"/>
      <c r="AB3374" s="41"/>
      <c r="AC3374" s="42" t="b">
        <v>0</v>
      </c>
      <c r="AD3374" s="66"/>
      <c r="AE3374" s="42"/>
      <c r="AF3374" s="42"/>
      <c r="AG3374" s="43"/>
    </row>
    <row r="3375">
      <c r="A3375" s="23"/>
      <c r="B3375" s="101"/>
      <c r="C3375" s="115"/>
      <c r="D3375" s="115"/>
      <c r="E3375" s="85"/>
      <c r="F3375" s="138"/>
      <c r="G3375" s="101"/>
      <c r="H3375" s="105"/>
      <c r="I3375" s="105"/>
      <c r="J3375" s="44"/>
      <c r="K3375" s="116"/>
      <c r="L3375" s="117"/>
      <c r="M3375" s="67"/>
      <c r="N3375" s="33"/>
      <c r="O3375" s="70"/>
      <c r="P3375" s="34"/>
      <c r="Q3375" s="60"/>
      <c r="R3375" s="36"/>
      <c r="S3375" s="71"/>
      <c r="T3375" s="37"/>
      <c r="U3375" s="118"/>
      <c r="V3375" s="74"/>
      <c r="W3375" s="74"/>
      <c r="X3375" s="35"/>
      <c r="Y3375" s="35"/>
      <c r="Z3375" s="40"/>
      <c r="AA3375" s="34"/>
      <c r="AB3375" s="41"/>
      <c r="AC3375" s="42" t="b">
        <v>0</v>
      </c>
      <c r="AD3375" s="66"/>
      <c r="AE3375" s="42"/>
      <c r="AF3375" s="42"/>
      <c r="AG3375" s="43"/>
    </row>
    <row r="3376">
      <c r="A3376" s="23"/>
      <c r="B3376" s="101"/>
      <c r="C3376" s="115"/>
      <c r="D3376" s="115"/>
      <c r="E3376" s="85"/>
      <c r="F3376" s="138"/>
      <c r="G3376" s="101"/>
      <c r="H3376" s="105"/>
      <c r="I3376" s="105"/>
      <c r="J3376" s="44"/>
      <c r="K3376" s="116"/>
      <c r="L3376" s="117"/>
      <c r="M3376" s="67"/>
      <c r="N3376" s="33"/>
      <c r="O3376" s="70"/>
      <c r="P3376" s="34"/>
      <c r="Q3376" s="60"/>
      <c r="R3376" s="36"/>
      <c r="S3376" s="71"/>
      <c r="T3376" s="37"/>
      <c r="U3376" s="118"/>
      <c r="V3376" s="74"/>
      <c r="W3376" s="74"/>
      <c r="X3376" s="35"/>
      <c r="Y3376" s="35"/>
      <c r="Z3376" s="40"/>
      <c r="AA3376" s="34"/>
      <c r="AB3376" s="41"/>
      <c r="AC3376" s="42" t="b">
        <v>0</v>
      </c>
      <c r="AD3376" s="66"/>
      <c r="AE3376" s="42"/>
      <c r="AF3376" s="42"/>
      <c r="AG3376" s="43"/>
    </row>
    <row r="3377">
      <c r="A3377" s="23"/>
      <c r="B3377" s="101"/>
      <c r="C3377" s="115"/>
      <c r="D3377" s="115"/>
      <c r="E3377" s="85"/>
      <c r="F3377" s="138"/>
      <c r="G3377" s="101"/>
      <c r="H3377" s="105"/>
      <c r="I3377" s="105"/>
      <c r="J3377" s="44"/>
      <c r="K3377" s="116"/>
      <c r="L3377" s="117"/>
      <c r="M3377" s="67"/>
      <c r="N3377" s="33"/>
      <c r="O3377" s="70"/>
      <c r="P3377" s="34"/>
      <c r="Q3377" s="60"/>
      <c r="R3377" s="36"/>
      <c r="S3377" s="71"/>
      <c r="T3377" s="37"/>
      <c r="U3377" s="118"/>
      <c r="V3377" s="74"/>
      <c r="W3377" s="74"/>
      <c r="X3377" s="35"/>
      <c r="Y3377" s="35"/>
      <c r="Z3377" s="40"/>
      <c r="AA3377" s="34"/>
      <c r="AB3377" s="41"/>
      <c r="AC3377" s="42" t="b">
        <v>0</v>
      </c>
      <c r="AD3377" s="66"/>
      <c r="AE3377" s="42"/>
      <c r="AF3377" s="42"/>
      <c r="AG3377" s="43"/>
    </row>
    <row r="3378">
      <c r="A3378" s="23"/>
      <c r="B3378" s="101"/>
      <c r="C3378" s="115"/>
      <c r="D3378" s="115"/>
      <c r="E3378" s="85"/>
      <c r="F3378" s="138"/>
      <c r="G3378" s="101"/>
      <c r="H3378" s="105"/>
      <c r="I3378" s="105"/>
      <c r="J3378" s="44"/>
      <c r="K3378" s="116"/>
      <c r="L3378" s="117"/>
      <c r="M3378" s="67"/>
      <c r="N3378" s="33"/>
      <c r="O3378" s="70"/>
      <c r="P3378" s="34"/>
      <c r="Q3378" s="60"/>
      <c r="R3378" s="36"/>
      <c r="S3378" s="71"/>
      <c r="T3378" s="37"/>
      <c r="U3378" s="118"/>
      <c r="V3378" s="74"/>
      <c r="W3378" s="74"/>
      <c r="X3378" s="35"/>
      <c r="Y3378" s="35"/>
      <c r="Z3378" s="40"/>
      <c r="AA3378" s="34"/>
      <c r="AB3378" s="41"/>
      <c r="AC3378" s="42" t="b">
        <v>0</v>
      </c>
      <c r="AD3378" s="66"/>
      <c r="AE3378" s="42"/>
      <c r="AF3378" s="42"/>
      <c r="AG3378" s="43"/>
    </row>
    <row r="3379">
      <c r="A3379" s="23"/>
      <c r="B3379" s="101"/>
      <c r="C3379" s="115"/>
      <c r="D3379" s="115"/>
      <c r="E3379" s="85"/>
      <c r="F3379" s="138"/>
      <c r="G3379" s="101"/>
      <c r="H3379" s="105"/>
      <c r="I3379" s="105"/>
      <c r="J3379" s="44"/>
      <c r="K3379" s="116"/>
      <c r="L3379" s="117"/>
      <c r="M3379" s="67"/>
      <c r="N3379" s="33"/>
      <c r="O3379" s="70"/>
      <c r="P3379" s="34"/>
      <c r="Q3379" s="60"/>
      <c r="R3379" s="36"/>
      <c r="S3379" s="71"/>
      <c r="T3379" s="37"/>
      <c r="U3379" s="118"/>
      <c r="V3379" s="74"/>
      <c r="W3379" s="74"/>
      <c r="X3379" s="35"/>
      <c r="Y3379" s="35"/>
      <c r="Z3379" s="40"/>
      <c r="AA3379" s="34"/>
      <c r="AB3379" s="41"/>
      <c r="AC3379" s="42" t="b">
        <v>0</v>
      </c>
      <c r="AD3379" s="66"/>
      <c r="AE3379" s="42"/>
      <c r="AF3379" s="42"/>
      <c r="AG3379" s="43"/>
    </row>
    <row r="3380">
      <c r="A3380" s="23"/>
      <c r="B3380" s="101"/>
      <c r="C3380" s="115"/>
      <c r="D3380" s="115"/>
      <c r="E3380" s="85"/>
      <c r="F3380" s="138"/>
      <c r="G3380" s="101"/>
      <c r="H3380" s="105"/>
      <c r="I3380" s="105"/>
      <c r="J3380" s="44"/>
      <c r="K3380" s="116"/>
      <c r="L3380" s="117"/>
      <c r="M3380" s="67"/>
      <c r="N3380" s="33"/>
      <c r="O3380" s="70"/>
      <c r="P3380" s="34"/>
      <c r="Q3380" s="60"/>
      <c r="R3380" s="36"/>
      <c r="S3380" s="71"/>
      <c r="T3380" s="37"/>
      <c r="U3380" s="118"/>
      <c r="V3380" s="74"/>
      <c r="W3380" s="74"/>
      <c r="X3380" s="35"/>
      <c r="Y3380" s="35"/>
      <c r="Z3380" s="40"/>
      <c r="AA3380" s="34"/>
      <c r="AB3380" s="41"/>
      <c r="AC3380" s="42" t="b">
        <v>0</v>
      </c>
      <c r="AD3380" s="66"/>
      <c r="AE3380" s="42"/>
      <c r="AF3380" s="42"/>
      <c r="AG3380" s="43"/>
    </row>
    <row r="3381">
      <c r="A3381" s="23"/>
      <c r="B3381" s="101"/>
      <c r="C3381" s="115"/>
      <c r="D3381" s="115"/>
      <c r="E3381" s="85"/>
      <c r="F3381" s="138"/>
      <c r="G3381" s="101"/>
      <c r="H3381" s="105"/>
      <c r="I3381" s="105"/>
      <c r="J3381" s="44"/>
      <c r="K3381" s="116"/>
      <c r="L3381" s="117"/>
      <c r="M3381" s="67"/>
      <c r="N3381" s="33"/>
      <c r="O3381" s="70"/>
      <c r="P3381" s="34"/>
      <c r="Q3381" s="60"/>
      <c r="R3381" s="36"/>
      <c r="S3381" s="71"/>
      <c r="T3381" s="37"/>
      <c r="U3381" s="118"/>
      <c r="V3381" s="74"/>
      <c r="W3381" s="74"/>
      <c r="X3381" s="35"/>
      <c r="Y3381" s="35"/>
      <c r="Z3381" s="40"/>
      <c r="AA3381" s="34"/>
      <c r="AB3381" s="41"/>
      <c r="AC3381" s="42" t="b">
        <v>0</v>
      </c>
      <c r="AD3381" s="66"/>
      <c r="AE3381" s="42"/>
      <c r="AF3381" s="42"/>
      <c r="AG3381" s="43"/>
    </row>
    <row r="3382">
      <c r="A3382" s="23"/>
      <c r="B3382" s="101"/>
      <c r="C3382" s="115"/>
      <c r="D3382" s="115"/>
      <c r="E3382" s="85"/>
      <c r="F3382" s="138"/>
      <c r="G3382" s="101"/>
      <c r="H3382" s="105"/>
      <c r="I3382" s="105"/>
      <c r="J3382" s="44"/>
      <c r="K3382" s="116"/>
      <c r="L3382" s="117"/>
      <c r="M3382" s="67"/>
      <c r="N3382" s="33"/>
      <c r="O3382" s="70"/>
      <c r="P3382" s="34"/>
      <c r="Q3382" s="60"/>
      <c r="R3382" s="36"/>
      <c r="S3382" s="71"/>
      <c r="T3382" s="37"/>
      <c r="U3382" s="118"/>
      <c r="V3382" s="74"/>
      <c r="W3382" s="74"/>
      <c r="X3382" s="35"/>
      <c r="Y3382" s="35"/>
      <c r="Z3382" s="40"/>
      <c r="AA3382" s="34"/>
      <c r="AB3382" s="41"/>
      <c r="AC3382" s="42" t="b">
        <v>0</v>
      </c>
      <c r="AD3382" s="66"/>
      <c r="AE3382" s="42"/>
      <c r="AF3382" s="42"/>
      <c r="AG3382" s="43"/>
    </row>
    <row r="3383">
      <c r="A3383" s="23"/>
      <c r="B3383" s="101"/>
      <c r="C3383" s="115"/>
      <c r="D3383" s="115"/>
      <c r="E3383" s="85"/>
      <c r="F3383" s="138"/>
      <c r="G3383" s="101"/>
      <c r="H3383" s="105"/>
      <c r="I3383" s="105"/>
      <c r="J3383" s="44"/>
      <c r="K3383" s="116"/>
      <c r="L3383" s="117"/>
      <c r="M3383" s="67"/>
      <c r="N3383" s="33"/>
      <c r="O3383" s="70"/>
      <c r="P3383" s="34"/>
      <c r="Q3383" s="60"/>
      <c r="R3383" s="36"/>
      <c r="S3383" s="71"/>
      <c r="T3383" s="37"/>
      <c r="U3383" s="118"/>
      <c r="V3383" s="74"/>
      <c r="W3383" s="74"/>
      <c r="X3383" s="35"/>
      <c r="Y3383" s="35"/>
      <c r="Z3383" s="40"/>
      <c r="AA3383" s="34"/>
      <c r="AB3383" s="41"/>
      <c r="AC3383" s="42" t="b">
        <v>0</v>
      </c>
      <c r="AD3383" s="66"/>
      <c r="AE3383" s="42"/>
      <c r="AF3383" s="42"/>
      <c r="AG3383" s="43"/>
    </row>
    <row r="3384">
      <c r="A3384" s="23"/>
      <c r="B3384" s="101"/>
      <c r="C3384" s="115"/>
      <c r="D3384" s="115"/>
      <c r="E3384" s="85"/>
      <c r="F3384" s="138"/>
      <c r="G3384" s="101"/>
      <c r="H3384" s="105"/>
      <c r="I3384" s="105"/>
      <c r="J3384" s="44"/>
      <c r="K3384" s="116"/>
      <c r="L3384" s="117"/>
      <c r="M3384" s="67"/>
      <c r="N3384" s="33"/>
      <c r="O3384" s="70"/>
      <c r="P3384" s="34"/>
      <c r="Q3384" s="60"/>
      <c r="R3384" s="36"/>
      <c r="S3384" s="71"/>
      <c r="T3384" s="37"/>
      <c r="U3384" s="118"/>
      <c r="V3384" s="74"/>
      <c r="W3384" s="74"/>
      <c r="X3384" s="35"/>
      <c r="Y3384" s="35"/>
      <c r="Z3384" s="40"/>
      <c r="AA3384" s="34"/>
      <c r="AB3384" s="41"/>
      <c r="AC3384" s="42" t="b">
        <v>0</v>
      </c>
      <c r="AD3384" s="66"/>
      <c r="AE3384" s="42"/>
      <c r="AF3384" s="42"/>
      <c r="AG3384" s="43"/>
    </row>
    <row r="3385">
      <c r="A3385" s="23"/>
      <c r="B3385" s="101"/>
      <c r="C3385" s="115"/>
      <c r="D3385" s="115"/>
      <c r="E3385" s="85"/>
      <c r="F3385" s="138"/>
      <c r="G3385" s="101"/>
      <c r="H3385" s="105"/>
      <c r="I3385" s="105"/>
      <c r="J3385" s="44"/>
      <c r="K3385" s="116"/>
      <c r="L3385" s="117"/>
      <c r="M3385" s="67"/>
      <c r="N3385" s="33"/>
      <c r="O3385" s="70"/>
      <c r="P3385" s="34"/>
      <c r="Q3385" s="60"/>
      <c r="R3385" s="36"/>
      <c r="S3385" s="71"/>
      <c r="T3385" s="37"/>
      <c r="U3385" s="118"/>
      <c r="V3385" s="74"/>
      <c r="W3385" s="74"/>
      <c r="X3385" s="35"/>
      <c r="Y3385" s="35"/>
      <c r="Z3385" s="40"/>
      <c r="AA3385" s="34"/>
      <c r="AB3385" s="41"/>
      <c r="AC3385" s="42" t="b">
        <v>0</v>
      </c>
      <c r="AD3385" s="66"/>
      <c r="AE3385" s="42"/>
      <c r="AF3385" s="42"/>
      <c r="AG3385" s="43"/>
    </row>
    <row r="3386">
      <c r="A3386" s="23"/>
      <c r="B3386" s="101"/>
      <c r="C3386" s="115"/>
      <c r="D3386" s="115"/>
      <c r="E3386" s="85"/>
      <c r="F3386" s="138"/>
      <c r="G3386" s="101"/>
      <c r="H3386" s="105"/>
      <c r="I3386" s="105"/>
      <c r="J3386" s="44"/>
      <c r="K3386" s="116"/>
      <c r="L3386" s="117"/>
      <c r="M3386" s="67"/>
      <c r="N3386" s="33"/>
      <c r="O3386" s="70"/>
      <c r="P3386" s="34"/>
      <c r="Q3386" s="60"/>
      <c r="R3386" s="36"/>
      <c r="S3386" s="71"/>
      <c r="T3386" s="37"/>
      <c r="U3386" s="118"/>
      <c r="V3386" s="74"/>
      <c r="W3386" s="74"/>
      <c r="X3386" s="35"/>
      <c r="Y3386" s="35"/>
      <c r="Z3386" s="40"/>
      <c r="AA3386" s="34"/>
      <c r="AB3386" s="41"/>
      <c r="AC3386" s="42" t="b">
        <v>0</v>
      </c>
      <c r="AD3386" s="66"/>
      <c r="AE3386" s="42"/>
      <c r="AF3386" s="42"/>
      <c r="AG3386" s="43"/>
    </row>
    <row r="3387">
      <c r="A3387" s="23"/>
      <c r="B3387" s="101"/>
      <c r="C3387" s="115"/>
      <c r="D3387" s="115"/>
      <c r="E3387" s="85"/>
      <c r="F3387" s="138"/>
      <c r="G3387" s="101"/>
      <c r="H3387" s="105"/>
      <c r="I3387" s="105"/>
      <c r="J3387" s="44"/>
      <c r="K3387" s="116"/>
      <c r="L3387" s="117"/>
      <c r="M3387" s="67"/>
      <c r="N3387" s="33"/>
      <c r="O3387" s="70"/>
      <c r="P3387" s="34"/>
      <c r="Q3387" s="60"/>
      <c r="R3387" s="36"/>
      <c r="S3387" s="71"/>
      <c r="T3387" s="37"/>
      <c r="U3387" s="118"/>
      <c r="V3387" s="74"/>
      <c r="W3387" s="74"/>
      <c r="X3387" s="35"/>
      <c r="Y3387" s="35"/>
      <c r="Z3387" s="40"/>
      <c r="AA3387" s="34"/>
      <c r="AB3387" s="41"/>
      <c r="AC3387" s="42" t="b">
        <v>0</v>
      </c>
      <c r="AD3387" s="66"/>
      <c r="AE3387" s="42"/>
      <c r="AF3387" s="42"/>
      <c r="AG3387" s="43"/>
    </row>
    <row r="3388">
      <c r="A3388" s="23"/>
      <c r="B3388" s="101"/>
      <c r="C3388" s="115"/>
      <c r="D3388" s="115"/>
      <c r="E3388" s="85"/>
      <c r="F3388" s="138"/>
      <c r="G3388" s="101"/>
      <c r="H3388" s="105"/>
      <c r="I3388" s="105"/>
      <c r="J3388" s="44"/>
      <c r="K3388" s="116"/>
      <c r="L3388" s="117"/>
      <c r="M3388" s="67"/>
      <c r="N3388" s="33"/>
      <c r="O3388" s="70"/>
      <c r="P3388" s="34"/>
      <c r="Q3388" s="60"/>
      <c r="R3388" s="36"/>
      <c r="S3388" s="71"/>
      <c r="T3388" s="37"/>
      <c r="U3388" s="118"/>
      <c r="V3388" s="74"/>
      <c r="W3388" s="74"/>
      <c r="X3388" s="35"/>
      <c r="Y3388" s="35"/>
      <c r="Z3388" s="40"/>
      <c r="AA3388" s="34"/>
      <c r="AB3388" s="41"/>
      <c r="AC3388" s="42" t="b">
        <v>0</v>
      </c>
      <c r="AD3388" s="66"/>
      <c r="AE3388" s="42"/>
      <c r="AF3388" s="42"/>
      <c r="AG3388" s="43"/>
    </row>
    <row r="3389">
      <c r="A3389" s="23"/>
      <c r="B3389" s="101"/>
      <c r="C3389" s="115"/>
      <c r="D3389" s="115"/>
      <c r="E3389" s="85"/>
      <c r="F3389" s="138"/>
      <c r="G3389" s="101"/>
      <c r="H3389" s="105"/>
      <c r="I3389" s="105"/>
      <c r="J3389" s="44"/>
      <c r="K3389" s="116"/>
      <c r="L3389" s="117"/>
      <c r="M3389" s="67"/>
      <c r="N3389" s="33"/>
      <c r="O3389" s="70"/>
      <c r="P3389" s="34"/>
      <c r="Q3389" s="60"/>
      <c r="R3389" s="36"/>
      <c r="S3389" s="71"/>
      <c r="T3389" s="37"/>
      <c r="U3389" s="118"/>
      <c r="V3389" s="74"/>
      <c r="W3389" s="74"/>
      <c r="X3389" s="35"/>
      <c r="Y3389" s="35"/>
      <c r="Z3389" s="40"/>
      <c r="AA3389" s="34"/>
      <c r="AB3389" s="41"/>
      <c r="AC3389" s="42" t="b">
        <v>0</v>
      </c>
      <c r="AD3389" s="66"/>
      <c r="AE3389" s="42"/>
      <c r="AF3389" s="42"/>
      <c r="AG3389" s="43"/>
    </row>
    <row r="3390">
      <c r="A3390" s="23"/>
      <c r="B3390" s="101"/>
      <c r="C3390" s="115"/>
      <c r="D3390" s="115"/>
      <c r="E3390" s="85"/>
      <c r="F3390" s="138"/>
      <c r="G3390" s="101"/>
      <c r="H3390" s="105"/>
      <c r="I3390" s="105"/>
      <c r="J3390" s="44"/>
      <c r="K3390" s="116"/>
      <c r="L3390" s="117"/>
      <c r="M3390" s="67"/>
      <c r="N3390" s="33"/>
      <c r="O3390" s="70"/>
      <c r="P3390" s="34"/>
      <c r="Q3390" s="60"/>
      <c r="R3390" s="36"/>
      <c r="S3390" s="71"/>
      <c r="T3390" s="37"/>
      <c r="U3390" s="118"/>
      <c r="V3390" s="74"/>
      <c r="W3390" s="74"/>
      <c r="X3390" s="35"/>
      <c r="Y3390" s="35"/>
      <c r="Z3390" s="40"/>
      <c r="AA3390" s="34"/>
      <c r="AB3390" s="41"/>
      <c r="AC3390" s="42" t="b">
        <v>0</v>
      </c>
      <c r="AD3390" s="66"/>
      <c r="AE3390" s="42"/>
      <c r="AF3390" s="42"/>
      <c r="AG3390" s="43"/>
    </row>
    <row r="3391">
      <c r="A3391" s="23"/>
      <c r="B3391" s="101"/>
      <c r="C3391" s="115"/>
      <c r="D3391" s="115"/>
      <c r="E3391" s="85"/>
      <c r="F3391" s="138"/>
      <c r="G3391" s="101"/>
      <c r="H3391" s="105"/>
      <c r="I3391" s="105"/>
      <c r="J3391" s="44"/>
      <c r="K3391" s="116"/>
      <c r="L3391" s="117"/>
      <c r="M3391" s="67"/>
      <c r="N3391" s="33"/>
      <c r="O3391" s="70"/>
      <c r="P3391" s="34"/>
      <c r="Q3391" s="60"/>
      <c r="R3391" s="36"/>
      <c r="S3391" s="71"/>
      <c r="T3391" s="37"/>
      <c r="U3391" s="118"/>
      <c r="V3391" s="74"/>
      <c r="W3391" s="74"/>
      <c r="X3391" s="35"/>
      <c r="Y3391" s="35"/>
      <c r="Z3391" s="40"/>
      <c r="AA3391" s="34"/>
      <c r="AB3391" s="41"/>
      <c r="AC3391" s="42" t="b">
        <v>0</v>
      </c>
      <c r="AD3391" s="66"/>
      <c r="AE3391" s="42"/>
      <c r="AF3391" s="42"/>
      <c r="AG3391" s="43"/>
    </row>
    <row r="3392">
      <c r="A3392" s="23"/>
      <c r="B3392" s="101"/>
      <c r="C3392" s="115"/>
      <c r="D3392" s="115"/>
      <c r="E3392" s="85"/>
      <c r="F3392" s="138"/>
      <c r="G3392" s="101"/>
      <c r="H3392" s="105"/>
      <c r="I3392" s="105"/>
      <c r="J3392" s="44"/>
      <c r="K3392" s="116"/>
      <c r="L3392" s="117"/>
      <c r="M3392" s="67"/>
      <c r="N3392" s="33"/>
      <c r="O3392" s="70"/>
      <c r="P3392" s="34"/>
      <c r="Q3392" s="60"/>
      <c r="R3392" s="36"/>
      <c r="S3392" s="71"/>
      <c r="T3392" s="37"/>
      <c r="U3392" s="118"/>
      <c r="V3392" s="74"/>
      <c r="W3392" s="74"/>
      <c r="X3392" s="35"/>
      <c r="Y3392" s="35"/>
      <c r="Z3392" s="40"/>
      <c r="AA3392" s="34"/>
      <c r="AB3392" s="41"/>
      <c r="AC3392" s="42" t="b">
        <v>0</v>
      </c>
      <c r="AD3392" s="66"/>
      <c r="AE3392" s="42"/>
      <c r="AF3392" s="42"/>
      <c r="AG3392" s="43"/>
    </row>
    <row r="3393">
      <c r="A3393" s="23"/>
      <c r="B3393" s="101"/>
      <c r="C3393" s="115"/>
      <c r="D3393" s="115"/>
      <c r="E3393" s="85"/>
      <c r="F3393" s="138"/>
      <c r="G3393" s="101"/>
      <c r="H3393" s="105"/>
      <c r="I3393" s="105"/>
      <c r="J3393" s="44"/>
      <c r="K3393" s="116"/>
      <c r="L3393" s="117"/>
      <c r="M3393" s="67"/>
      <c r="N3393" s="33"/>
      <c r="O3393" s="70"/>
      <c r="P3393" s="34"/>
      <c r="Q3393" s="60"/>
      <c r="R3393" s="36"/>
      <c r="S3393" s="71"/>
      <c r="T3393" s="37"/>
      <c r="U3393" s="118"/>
      <c r="V3393" s="74"/>
      <c r="W3393" s="74"/>
      <c r="X3393" s="35"/>
      <c r="Y3393" s="35"/>
      <c r="Z3393" s="40"/>
      <c r="AA3393" s="34"/>
      <c r="AB3393" s="41"/>
      <c r="AC3393" s="42" t="b">
        <v>0</v>
      </c>
      <c r="AD3393" s="66"/>
      <c r="AE3393" s="42"/>
      <c r="AF3393" s="42"/>
      <c r="AG3393" s="43"/>
    </row>
    <row r="3394">
      <c r="A3394" s="23"/>
      <c r="B3394" s="101"/>
      <c r="C3394" s="115"/>
      <c r="D3394" s="115"/>
      <c r="E3394" s="85"/>
      <c r="F3394" s="138"/>
      <c r="G3394" s="101"/>
      <c r="H3394" s="105"/>
      <c r="I3394" s="105"/>
      <c r="J3394" s="44"/>
      <c r="K3394" s="116"/>
      <c r="L3394" s="117"/>
      <c r="M3394" s="67"/>
      <c r="N3394" s="33"/>
      <c r="O3394" s="70"/>
      <c r="P3394" s="34"/>
      <c r="Q3394" s="60"/>
      <c r="R3394" s="36"/>
      <c r="S3394" s="71"/>
      <c r="T3394" s="37"/>
      <c r="U3394" s="118"/>
      <c r="V3394" s="74"/>
      <c r="W3394" s="74"/>
      <c r="X3394" s="35"/>
      <c r="Y3394" s="35"/>
      <c r="Z3394" s="40"/>
      <c r="AA3394" s="34"/>
      <c r="AB3394" s="41"/>
      <c r="AC3394" s="42" t="b">
        <v>0</v>
      </c>
      <c r="AD3394" s="66"/>
      <c r="AE3394" s="42"/>
      <c r="AF3394" s="42"/>
      <c r="AG3394" s="43"/>
    </row>
    <row r="3395">
      <c r="A3395" s="23"/>
      <c r="B3395" s="101"/>
      <c r="C3395" s="115"/>
      <c r="D3395" s="115"/>
      <c r="E3395" s="85"/>
      <c r="F3395" s="138"/>
      <c r="G3395" s="101"/>
      <c r="H3395" s="105"/>
      <c r="I3395" s="105"/>
      <c r="J3395" s="44"/>
      <c r="K3395" s="116"/>
      <c r="L3395" s="117"/>
      <c r="M3395" s="67"/>
      <c r="N3395" s="33"/>
      <c r="O3395" s="70"/>
      <c r="P3395" s="34"/>
      <c r="Q3395" s="60"/>
      <c r="R3395" s="36"/>
      <c r="S3395" s="71"/>
      <c r="T3395" s="37"/>
      <c r="U3395" s="118"/>
      <c r="V3395" s="74"/>
      <c r="W3395" s="74"/>
      <c r="X3395" s="35"/>
      <c r="Y3395" s="35"/>
      <c r="Z3395" s="40"/>
      <c r="AA3395" s="34"/>
      <c r="AB3395" s="41"/>
      <c r="AC3395" s="42" t="b">
        <v>0</v>
      </c>
      <c r="AD3395" s="66"/>
      <c r="AE3395" s="42"/>
      <c r="AF3395" s="42"/>
      <c r="AG3395" s="43"/>
    </row>
    <row r="3396">
      <c r="A3396" s="23"/>
      <c r="B3396" s="101"/>
      <c r="C3396" s="115"/>
      <c r="D3396" s="115"/>
      <c r="E3396" s="85"/>
      <c r="F3396" s="138"/>
      <c r="G3396" s="101"/>
      <c r="H3396" s="105"/>
      <c r="I3396" s="105"/>
      <c r="J3396" s="44"/>
      <c r="K3396" s="116"/>
      <c r="L3396" s="117"/>
      <c r="M3396" s="67"/>
      <c r="N3396" s="33"/>
      <c r="O3396" s="70"/>
      <c r="P3396" s="34"/>
      <c r="Q3396" s="60"/>
      <c r="R3396" s="36"/>
      <c r="S3396" s="71"/>
      <c r="T3396" s="37"/>
      <c r="U3396" s="118"/>
      <c r="V3396" s="74"/>
      <c r="W3396" s="74"/>
      <c r="X3396" s="35"/>
      <c r="Y3396" s="35"/>
      <c r="Z3396" s="40"/>
      <c r="AA3396" s="34"/>
      <c r="AB3396" s="41"/>
      <c r="AC3396" s="42" t="b">
        <v>0</v>
      </c>
      <c r="AD3396" s="66"/>
      <c r="AE3396" s="42"/>
      <c r="AF3396" s="42"/>
      <c r="AG3396" s="43"/>
    </row>
    <row r="3397">
      <c r="A3397" s="23"/>
      <c r="B3397" s="101"/>
      <c r="C3397" s="115"/>
      <c r="D3397" s="115"/>
      <c r="E3397" s="85"/>
      <c r="F3397" s="138"/>
      <c r="G3397" s="101"/>
      <c r="H3397" s="105"/>
      <c r="I3397" s="105"/>
      <c r="J3397" s="44"/>
      <c r="K3397" s="116"/>
      <c r="L3397" s="117"/>
      <c r="M3397" s="67"/>
      <c r="N3397" s="33"/>
      <c r="O3397" s="70"/>
      <c r="P3397" s="34"/>
      <c r="Q3397" s="60"/>
      <c r="R3397" s="36"/>
      <c r="S3397" s="71"/>
      <c r="T3397" s="37"/>
      <c r="U3397" s="118"/>
      <c r="V3397" s="74"/>
      <c r="W3397" s="74"/>
      <c r="X3397" s="35"/>
      <c r="Y3397" s="35"/>
      <c r="Z3397" s="40"/>
      <c r="AA3397" s="34"/>
      <c r="AB3397" s="41"/>
      <c r="AC3397" s="42" t="b">
        <v>0</v>
      </c>
      <c r="AD3397" s="66"/>
      <c r="AE3397" s="42"/>
      <c r="AF3397" s="42"/>
      <c r="AG3397" s="43"/>
    </row>
    <row r="3398">
      <c r="A3398" s="23"/>
      <c r="B3398" s="101"/>
      <c r="C3398" s="115"/>
      <c r="D3398" s="115"/>
      <c r="E3398" s="85"/>
      <c r="F3398" s="138"/>
      <c r="G3398" s="101"/>
      <c r="H3398" s="105"/>
      <c r="I3398" s="105"/>
      <c r="J3398" s="44"/>
      <c r="K3398" s="116"/>
      <c r="L3398" s="117"/>
      <c r="M3398" s="67"/>
      <c r="N3398" s="33"/>
      <c r="O3398" s="70"/>
      <c r="P3398" s="34"/>
      <c r="Q3398" s="60"/>
      <c r="R3398" s="36"/>
      <c r="S3398" s="71"/>
      <c r="T3398" s="37"/>
      <c r="U3398" s="118"/>
      <c r="V3398" s="74"/>
      <c r="W3398" s="74"/>
      <c r="X3398" s="35"/>
      <c r="Y3398" s="35"/>
      <c r="Z3398" s="40"/>
      <c r="AA3398" s="34"/>
      <c r="AB3398" s="41"/>
      <c r="AC3398" s="42" t="b">
        <v>0</v>
      </c>
      <c r="AD3398" s="66"/>
      <c r="AE3398" s="42"/>
      <c r="AF3398" s="42"/>
      <c r="AG3398" s="43"/>
    </row>
    <row r="3399">
      <c r="A3399" s="23"/>
      <c r="B3399" s="101"/>
      <c r="C3399" s="115"/>
      <c r="D3399" s="115"/>
      <c r="E3399" s="85"/>
      <c r="F3399" s="138"/>
      <c r="G3399" s="101"/>
      <c r="H3399" s="105"/>
      <c r="I3399" s="105"/>
      <c r="J3399" s="44"/>
      <c r="K3399" s="116"/>
      <c r="L3399" s="117"/>
      <c r="M3399" s="67"/>
      <c r="N3399" s="33"/>
      <c r="O3399" s="70"/>
      <c r="P3399" s="34"/>
      <c r="Q3399" s="60"/>
      <c r="R3399" s="36"/>
      <c r="S3399" s="71"/>
      <c r="T3399" s="37"/>
      <c r="U3399" s="118"/>
      <c r="V3399" s="74"/>
      <c r="W3399" s="74"/>
      <c r="X3399" s="35"/>
      <c r="Y3399" s="35"/>
      <c r="Z3399" s="40"/>
      <c r="AA3399" s="34"/>
      <c r="AB3399" s="41"/>
      <c r="AC3399" s="42" t="b">
        <v>0</v>
      </c>
      <c r="AD3399" s="66"/>
      <c r="AE3399" s="42"/>
      <c r="AF3399" s="42"/>
      <c r="AG3399" s="43"/>
    </row>
    <row r="3400">
      <c r="A3400" s="23"/>
      <c r="B3400" s="101"/>
      <c r="C3400" s="115"/>
      <c r="D3400" s="115"/>
      <c r="E3400" s="85"/>
      <c r="F3400" s="138"/>
      <c r="G3400" s="101"/>
      <c r="H3400" s="105"/>
      <c r="I3400" s="105"/>
      <c r="J3400" s="44"/>
      <c r="K3400" s="116"/>
      <c r="L3400" s="117"/>
      <c r="M3400" s="67"/>
      <c r="N3400" s="33"/>
      <c r="O3400" s="70"/>
      <c r="P3400" s="34"/>
      <c r="Q3400" s="60"/>
      <c r="R3400" s="36"/>
      <c r="S3400" s="71"/>
      <c r="T3400" s="37"/>
      <c r="U3400" s="118"/>
      <c r="V3400" s="74"/>
      <c r="W3400" s="74"/>
      <c r="X3400" s="35"/>
      <c r="Y3400" s="35"/>
      <c r="Z3400" s="40"/>
      <c r="AA3400" s="34"/>
      <c r="AB3400" s="41"/>
      <c r="AC3400" s="42" t="b">
        <v>0</v>
      </c>
      <c r="AD3400" s="66"/>
      <c r="AE3400" s="42"/>
      <c r="AF3400" s="42"/>
      <c r="AG3400" s="43"/>
    </row>
    <row r="3401">
      <c r="A3401" s="23"/>
      <c r="B3401" s="101"/>
      <c r="C3401" s="115"/>
      <c r="D3401" s="115"/>
      <c r="E3401" s="85"/>
      <c r="F3401" s="138"/>
      <c r="G3401" s="101"/>
      <c r="H3401" s="105"/>
      <c r="I3401" s="105"/>
      <c r="J3401" s="44"/>
      <c r="K3401" s="116"/>
      <c r="L3401" s="117"/>
      <c r="M3401" s="67"/>
      <c r="N3401" s="33"/>
      <c r="O3401" s="70"/>
      <c r="P3401" s="34"/>
      <c r="Q3401" s="60"/>
      <c r="R3401" s="36"/>
      <c r="S3401" s="71"/>
      <c r="T3401" s="37"/>
      <c r="U3401" s="118"/>
      <c r="V3401" s="74"/>
      <c r="W3401" s="74"/>
      <c r="X3401" s="35"/>
      <c r="Y3401" s="35"/>
      <c r="Z3401" s="40"/>
      <c r="AA3401" s="34"/>
      <c r="AB3401" s="41"/>
      <c r="AC3401" s="42" t="b">
        <v>0</v>
      </c>
      <c r="AD3401" s="66"/>
      <c r="AE3401" s="42"/>
      <c r="AF3401" s="42"/>
      <c r="AG3401" s="43"/>
    </row>
    <row r="3402">
      <c r="A3402" s="23"/>
      <c r="B3402" s="101"/>
      <c r="C3402" s="115"/>
      <c r="D3402" s="115"/>
      <c r="E3402" s="85"/>
      <c r="F3402" s="138"/>
      <c r="G3402" s="101"/>
      <c r="H3402" s="105"/>
      <c r="I3402" s="105"/>
      <c r="J3402" s="44"/>
      <c r="K3402" s="116"/>
      <c r="L3402" s="117"/>
      <c r="M3402" s="67"/>
      <c r="N3402" s="33"/>
      <c r="O3402" s="70"/>
      <c r="P3402" s="34"/>
      <c r="Q3402" s="60"/>
      <c r="R3402" s="36"/>
      <c r="S3402" s="71"/>
      <c r="T3402" s="37"/>
      <c r="U3402" s="118"/>
      <c r="V3402" s="74"/>
      <c r="W3402" s="74"/>
      <c r="X3402" s="35"/>
      <c r="Y3402" s="35"/>
      <c r="Z3402" s="40"/>
      <c r="AA3402" s="34"/>
      <c r="AB3402" s="41"/>
      <c r="AC3402" s="42" t="b">
        <v>0</v>
      </c>
      <c r="AD3402" s="66"/>
      <c r="AE3402" s="42"/>
      <c r="AF3402" s="42"/>
      <c r="AG3402" s="43"/>
    </row>
    <row r="3403">
      <c r="A3403" s="23"/>
      <c r="B3403" s="101"/>
      <c r="C3403" s="115"/>
      <c r="D3403" s="115"/>
      <c r="E3403" s="85"/>
      <c r="F3403" s="138"/>
      <c r="G3403" s="101"/>
      <c r="H3403" s="105"/>
      <c r="I3403" s="105"/>
      <c r="J3403" s="44"/>
      <c r="K3403" s="116"/>
      <c r="L3403" s="117"/>
      <c r="M3403" s="67"/>
      <c r="N3403" s="33"/>
      <c r="O3403" s="70"/>
      <c r="P3403" s="34"/>
      <c r="Q3403" s="60"/>
      <c r="R3403" s="36"/>
      <c r="S3403" s="71"/>
      <c r="T3403" s="37"/>
      <c r="U3403" s="118"/>
      <c r="V3403" s="74"/>
      <c r="W3403" s="74"/>
      <c r="X3403" s="35"/>
      <c r="Y3403" s="35"/>
      <c r="Z3403" s="40"/>
      <c r="AA3403" s="34"/>
      <c r="AB3403" s="41"/>
      <c r="AC3403" s="42" t="b">
        <v>0</v>
      </c>
      <c r="AD3403" s="66"/>
      <c r="AE3403" s="42"/>
      <c r="AF3403" s="42"/>
      <c r="AG3403" s="43"/>
    </row>
    <row r="3404">
      <c r="A3404" s="23"/>
      <c r="B3404" s="101"/>
      <c r="C3404" s="115"/>
      <c r="D3404" s="115"/>
      <c r="E3404" s="85"/>
      <c r="F3404" s="138"/>
      <c r="G3404" s="101"/>
      <c r="H3404" s="105"/>
      <c r="I3404" s="105"/>
      <c r="J3404" s="44"/>
      <c r="K3404" s="116"/>
      <c r="L3404" s="117"/>
      <c r="M3404" s="67"/>
      <c r="N3404" s="33"/>
      <c r="O3404" s="70"/>
      <c r="P3404" s="34"/>
      <c r="Q3404" s="60"/>
      <c r="R3404" s="36"/>
      <c r="S3404" s="71"/>
      <c r="T3404" s="37"/>
      <c r="U3404" s="118"/>
      <c r="V3404" s="74"/>
      <c r="W3404" s="74"/>
      <c r="X3404" s="35"/>
      <c r="Y3404" s="35"/>
      <c r="Z3404" s="40"/>
      <c r="AA3404" s="34"/>
      <c r="AB3404" s="41"/>
      <c r="AC3404" s="42" t="b">
        <v>0</v>
      </c>
      <c r="AD3404" s="66"/>
      <c r="AE3404" s="42"/>
      <c r="AF3404" s="42"/>
      <c r="AG3404" s="43"/>
    </row>
    <row r="3405">
      <c r="A3405" s="23"/>
      <c r="B3405" s="101"/>
      <c r="C3405" s="115"/>
      <c r="D3405" s="115"/>
      <c r="E3405" s="85"/>
      <c r="F3405" s="138"/>
      <c r="G3405" s="101"/>
      <c r="H3405" s="105"/>
      <c r="I3405" s="105"/>
      <c r="J3405" s="44"/>
      <c r="K3405" s="116"/>
      <c r="L3405" s="117"/>
      <c r="M3405" s="67"/>
      <c r="N3405" s="33"/>
      <c r="O3405" s="70"/>
      <c r="P3405" s="34"/>
      <c r="Q3405" s="60"/>
      <c r="R3405" s="36"/>
      <c r="S3405" s="71"/>
      <c r="T3405" s="37"/>
      <c r="U3405" s="118"/>
      <c r="V3405" s="74"/>
      <c r="W3405" s="74"/>
      <c r="X3405" s="35"/>
      <c r="Y3405" s="35"/>
      <c r="Z3405" s="40"/>
      <c r="AA3405" s="34"/>
      <c r="AB3405" s="41"/>
      <c r="AC3405" s="42" t="b">
        <v>0</v>
      </c>
      <c r="AD3405" s="66"/>
      <c r="AE3405" s="42"/>
      <c r="AF3405" s="42"/>
      <c r="AG3405" s="43"/>
    </row>
    <row r="3406">
      <c r="A3406" s="23"/>
      <c r="B3406" s="101"/>
      <c r="C3406" s="115"/>
      <c r="D3406" s="115"/>
      <c r="E3406" s="85"/>
      <c r="F3406" s="138"/>
      <c r="G3406" s="101"/>
      <c r="H3406" s="105"/>
      <c r="I3406" s="105"/>
      <c r="J3406" s="44"/>
      <c r="K3406" s="116"/>
      <c r="L3406" s="117"/>
      <c r="M3406" s="67"/>
      <c r="N3406" s="33"/>
      <c r="O3406" s="70"/>
      <c r="P3406" s="34"/>
      <c r="Q3406" s="60"/>
      <c r="R3406" s="36"/>
      <c r="S3406" s="71"/>
      <c r="T3406" s="37"/>
      <c r="U3406" s="118"/>
      <c r="V3406" s="74"/>
      <c r="W3406" s="74"/>
      <c r="X3406" s="35"/>
      <c r="Y3406" s="35"/>
      <c r="Z3406" s="40"/>
      <c r="AA3406" s="34"/>
      <c r="AB3406" s="41"/>
      <c r="AC3406" s="42" t="b">
        <v>0</v>
      </c>
      <c r="AD3406" s="66"/>
      <c r="AE3406" s="42"/>
      <c r="AF3406" s="42"/>
      <c r="AG3406" s="43"/>
    </row>
    <row r="3407">
      <c r="A3407" s="23"/>
      <c r="B3407" s="101"/>
      <c r="C3407" s="115"/>
      <c r="D3407" s="115"/>
      <c r="E3407" s="85"/>
      <c r="F3407" s="138"/>
      <c r="G3407" s="101"/>
      <c r="H3407" s="105"/>
      <c r="I3407" s="105"/>
      <c r="J3407" s="44"/>
      <c r="K3407" s="116"/>
      <c r="L3407" s="117"/>
      <c r="M3407" s="67"/>
      <c r="N3407" s="33"/>
      <c r="O3407" s="70"/>
      <c r="P3407" s="34"/>
      <c r="Q3407" s="60"/>
      <c r="R3407" s="36"/>
      <c r="S3407" s="71"/>
      <c r="T3407" s="37"/>
      <c r="U3407" s="118"/>
      <c r="V3407" s="74"/>
      <c r="W3407" s="74"/>
      <c r="X3407" s="35"/>
      <c r="Y3407" s="35"/>
      <c r="Z3407" s="40"/>
      <c r="AA3407" s="34"/>
      <c r="AB3407" s="41"/>
      <c r="AC3407" s="42" t="b">
        <v>0</v>
      </c>
      <c r="AD3407" s="66"/>
      <c r="AE3407" s="42"/>
      <c r="AF3407" s="42"/>
      <c r="AG3407" s="43"/>
    </row>
    <row r="3408">
      <c r="A3408" s="23"/>
      <c r="B3408" s="101"/>
      <c r="C3408" s="115"/>
      <c r="D3408" s="115"/>
      <c r="E3408" s="85"/>
      <c r="F3408" s="138"/>
      <c r="G3408" s="101"/>
      <c r="H3408" s="105"/>
      <c r="I3408" s="105"/>
      <c r="J3408" s="44"/>
      <c r="K3408" s="116"/>
      <c r="L3408" s="117"/>
      <c r="M3408" s="67"/>
      <c r="N3408" s="33"/>
      <c r="O3408" s="70"/>
      <c r="P3408" s="34"/>
      <c r="Q3408" s="60"/>
      <c r="R3408" s="36"/>
      <c r="S3408" s="71"/>
      <c r="T3408" s="37"/>
      <c r="U3408" s="118"/>
      <c r="V3408" s="74"/>
      <c r="W3408" s="74"/>
      <c r="X3408" s="35"/>
      <c r="Y3408" s="35"/>
      <c r="Z3408" s="40"/>
      <c r="AA3408" s="34"/>
      <c r="AB3408" s="41"/>
      <c r="AC3408" s="42" t="b">
        <v>0</v>
      </c>
      <c r="AD3408" s="66"/>
      <c r="AE3408" s="42"/>
      <c r="AF3408" s="42"/>
      <c r="AG3408" s="43"/>
    </row>
    <row r="3409">
      <c r="A3409" s="23"/>
      <c r="B3409" s="101"/>
      <c r="C3409" s="115"/>
      <c r="D3409" s="115"/>
      <c r="E3409" s="85"/>
      <c r="F3409" s="138"/>
      <c r="G3409" s="101"/>
      <c r="H3409" s="105"/>
      <c r="I3409" s="105"/>
      <c r="J3409" s="44"/>
      <c r="K3409" s="116"/>
      <c r="L3409" s="117"/>
      <c r="M3409" s="67"/>
      <c r="N3409" s="33"/>
      <c r="O3409" s="70"/>
      <c r="P3409" s="34"/>
      <c r="Q3409" s="60"/>
      <c r="R3409" s="36"/>
      <c r="S3409" s="71"/>
      <c r="T3409" s="37"/>
      <c r="U3409" s="118"/>
      <c r="V3409" s="74"/>
      <c r="W3409" s="74"/>
      <c r="X3409" s="35"/>
      <c r="Y3409" s="35"/>
      <c r="Z3409" s="40"/>
      <c r="AA3409" s="34"/>
      <c r="AB3409" s="41"/>
      <c r="AC3409" s="42" t="b">
        <v>0</v>
      </c>
      <c r="AD3409" s="66"/>
      <c r="AE3409" s="42"/>
      <c r="AF3409" s="42"/>
      <c r="AG3409" s="43"/>
    </row>
    <row r="3410">
      <c r="A3410" s="23"/>
      <c r="B3410" s="101"/>
      <c r="C3410" s="115"/>
      <c r="D3410" s="115"/>
      <c r="E3410" s="85"/>
      <c r="F3410" s="138"/>
      <c r="G3410" s="101"/>
      <c r="H3410" s="105"/>
      <c r="I3410" s="105"/>
      <c r="J3410" s="44"/>
      <c r="K3410" s="116"/>
      <c r="L3410" s="117"/>
      <c r="M3410" s="67"/>
      <c r="N3410" s="33"/>
      <c r="O3410" s="70"/>
      <c r="P3410" s="34"/>
      <c r="Q3410" s="60"/>
      <c r="R3410" s="36"/>
      <c r="S3410" s="71"/>
      <c r="T3410" s="37"/>
      <c r="U3410" s="118"/>
      <c r="V3410" s="74"/>
      <c r="W3410" s="74"/>
      <c r="X3410" s="35"/>
      <c r="Y3410" s="35"/>
      <c r="Z3410" s="40"/>
      <c r="AA3410" s="34"/>
      <c r="AB3410" s="41"/>
      <c r="AC3410" s="42" t="b">
        <v>0</v>
      </c>
      <c r="AD3410" s="66"/>
      <c r="AE3410" s="42"/>
      <c r="AF3410" s="42"/>
      <c r="AG3410" s="43"/>
    </row>
    <row r="3411">
      <c r="A3411" s="23"/>
      <c r="B3411" s="101"/>
      <c r="C3411" s="115"/>
      <c r="D3411" s="115"/>
      <c r="E3411" s="85"/>
      <c r="F3411" s="138"/>
      <c r="G3411" s="101"/>
      <c r="H3411" s="105"/>
      <c r="I3411" s="105"/>
      <c r="J3411" s="44"/>
      <c r="K3411" s="116"/>
      <c r="L3411" s="117"/>
      <c r="M3411" s="67"/>
      <c r="N3411" s="33"/>
      <c r="O3411" s="70"/>
      <c r="P3411" s="34"/>
      <c r="Q3411" s="60"/>
      <c r="R3411" s="36"/>
      <c r="S3411" s="71"/>
      <c r="T3411" s="37"/>
      <c r="U3411" s="118"/>
      <c r="V3411" s="74"/>
      <c r="W3411" s="74"/>
      <c r="X3411" s="35"/>
      <c r="Y3411" s="35"/>
      <c r="Z3411" s="40"/>
      <c r="AA3411" s="34"/>
      <c r="AB3411" s="41"/>
      <c r="AC3411" s="42" t="b">
        <v>0</v>
      </c>
      <c r="AD3411" s="66"/>
      <c r="AE3411" s="42"/>
      <c r="AF3411" s="42"/>
      <c r="AG3411" s="43"/>
    </row>
    <row r="3412">
      <c r="A3412" s="23"/>
      <c r="B3412" s="101"/>
      <c r="C3412" s="115"/>
      <c r="D3412" s="115"/>
      <c r="E3412" s="85"/>
      <c r="F3412" s="138"/>
      <c r="G3412" s="101"/>
      <c r="H3412" s="105"/>
      <c r="I3412" s="105"/>
      <c r="J3412" s="44"/>
      <c r="K3412" s="116"/>
      <c r="L3412" s="117"/>
      <c r="M3412" s="67"/>
      <c r="N3412" s="33"/>
      <c r="O3412" s="70"/>
      <c r="P3412" s="34"/>
      <c r="Q3412" s="60"/>
      <c r="R3412" s="36"/>
      <c r="S3412" s="71"/>
      <c r="T3412" s="37"/>
      <c r="U3412" s="118"/>
      <c r="V3412" s="74"/>
      <c r="W3412" s="74"/>
      <c r="X3412" s="35"/>
      <c r="Y3412" s="35"/>
      <c r="Z3412" s="40"/>
      <c r="AA3412" s="34"/>
      <c r="AB3412" s="41"/>
      <c r="AC3412" s="42" t="b">
        <v>0</v>
      </c>
      <c r="AD3412" s="66"/>
      <c r="AE3412" s="42"/>
      <c r="AF3412" s="42"/>
      <c r="AG3412" s="43"/>
    </row>
    <row r="3413">
      <c r="A3413" s="23"/>
      <c r="B3413" s="101"/>
      <c r="C3413" s="115"/>
      <c r="D3413" s="115"/>
      <c r="E3413" s="85"/>
      <c r="F3413" s="138"/>
      <c r="G3413" s="101"/>
      <c r="H3413" s="105"/>
      <c r="I3413" s="105"/>
      <c r="J3413" s="44"/>
      <c r="K3413" s="116"/>
      <c r="L3413" s="117"/>
      <c r="M3413" s="67"/>
      <c r="N3413" s="33"/>
      <c r="O3413" s="70"/>
      <c r="P3413" s="34"/>
      <c r="Q3413" s="60"/>
      <c r="R3413" s="36"/>
      <c r="S3413" s="71"/>
      <c r="T3413" s="37"/>
      <c r="U3413" s="118"/>
      <c r="V3413" s="74"/>
      <c r="W3413" s="74"/>
      <c r="X3413" s="35"/>
      <c r="Y3413" s="35"/>
      <c r="Z3413" s="40"/>
      <c r="AA3413" s="34"/>
      <c r="AB3413" s="41"/>
      <c r="AC3413" s="42" t="b">
        <v>0</v>
      </c>
      <c r="AD3413" s="66"/>
      <c r="AE3413" s="42"/>
      <c r="AF3413" s="42"/>
      <c r="AG3413" s="43"/>
    </row>
    <row r="3414">
      <c r="A3414" s="23"/>
      <c r="B3414" s="101"/>
      <c r="C3414" s="115"/>
      <c r="D3414" s="115"/>
      <c r="E3414" s="85"/>
      <c r="F3414" s="138"/>
      <c r="G3414" s="101"/>
      <c r="H3414" s="105"/>
      <c r="I3414" s="105"/>
      <c r="J3414" s="44"/>
      <c r="K3414" s="116"/>
      <c r="L3414" s="117"/>
      <c r="M3414" s="67"/>
      <c r="N3414" s="33"/>
      <c r="O3414" s="70"/>
      <c r="P3414" s="34"/>
      <c r="Q3414" s="60"/>
      <c r="R3414" s="36"/>
      <c r="S3414" s="71"/>
      <c r="T3414" s="37"/>
      <c r="U3414" s="118"/>
      <c r="V3414" s="74"/>
      <c r="W3414" s="74"/>
      <c r="X3414" s="35"/>
      <c r="Y3414" s="35"/>
      <c r="Z3414" s="40"/>
      <c r="AA3414" s="34"/>
      <c r="AB3414" s="41"/>
      <c r="AC3414" s="42" t="b">
        <v>0</v>
      </c>
      <c r="AD3414" s="66"/>
      <c r="AE3414" s="42"/>
      <c r="AF3414" s="42"/>
      <c r="AG3414" s="43"/>
    </row>
    <row r="3415">
      <c r="A3415" s="23"/>
      <c r="B3415" s="101"/>
      <c r="C3415" s="115"/>
      <c r="D3415" s="115"/>
      <c r="E3415" s="85"/>
      <c r="F3415" s="138"/>
      <c r="G3415" s="101"/>
      <c r="H3415" s="105"/>
      <c r="I3415" s="105"/>
      <c r="J3415" s="44"/>
      <c r="K3415" s="116"/>
      <c r="L3415" s="117"/>
      <c r="M3415" s="67"/>
      <c r="N3415" s="33"/>
      <c r="O3415" s="70"/>
      <c r="P3415" s="34"/>
      <c r="Q3415" s="60"/>
      <c r="R3415" s="36"/>
      <c r="S3415" s="71"/>
      <c r="T3415" s="37"/>
      <c r="U3415" s="118"/>
      <c r="V3415" s="74"/>
      <c r="W3415" s="74"/>
      <c r="X3415" s="35"/>
      <c r="Y3415" s="35"/>
      <c r="Z3415" s="40"/>
      <c r="AA3415" s="34"/>
      <c r="AB3415" s="41"/>
      <c r="AC3415" s="42" t="b">
        <v>0</v>
      </c>
      <c r="AD3415" s="66"/>
      <c r="AE3415" s="42"/>
      <c r="AF3415" s="42"/>
      <c r="AG3415" s="43"/>
    </row>
    <row r="3416">
      <c r="A3416" s="23"/>
      <c r="B3416" s="101"/>
      <c r="C3416" s="115"/>
      <c r="D3416" s="115"/>
      <c r="E3416" s="85"/>
      <c r="F3416" s="138"/>
      <c r="G3416" s="101"/>
      <c r="H3416" s="105"/>
      <c r="I3416" s="105"/>
      <c r="J3416" s="44"/>
      <c r="K3416" s="116"/>
      <c r="L3416" s="117"/>
      <c r="M3416" s="67"/>
      <c r="N3416" s="33"/>
      <c r="O3416" s="70"/>
      <c r="P3416" s="34"/>
      <c r="Q3416" s="60"/>
      <c r="R3416" s="36"/>
      <c r="S3416" s="71"/>
      <c r="T3416" s="37"/>
      <c r="U3416" s="118"/>
      <c r="V3416" s="74"/>
      <c r="W3416" s="74"/>
      <c r="X3416" s="35"/>
      <c r="Y3416" s="35"/>
      <c r="Z3416" s="40"/>
      <c r="AA3416" s="34"/>
      <c r="AB3416" s="41"/>
      <c r="AC3416" s="42" t="b">
        <v>0</v>
      </c>
      <c r="AD3416" s="66"/>
      <c r="AE3416" s="42"/>
      <c r="AF3416" s="42"/>
      <c r="AG3416" s="43"/>
    </row>
    <row r="3417">
      <c r="A3417" s="23"/>
      <c r="B3417" s="101"/>
      <c r="C3417" s="115"/>
      <c r="D3417" s="115"/>
      <c r="E3417" s="85"/>
      <c r="F3417" s="138"/>
      <c r="G3417" s="101"/>
      <c r="H3417" s="105"/>
      <c r="I3417" s="105"/>
      <c r="J3417" s="44"/>
      <c r="K3417" s="116"/>
      <c r="L3417" s="117"/>
      <c r="M3417" s="67"/>
      <c r="N3417" s="33"/>
      <c r="O3417" s="70"/>
      <c r="P3417" s="34"/>
      <c r="Q3417" s="60"/>
      <c r="R3417" s="36"/>
      <c r="S3417" s="71"/>
      <c r="T3417" s="37"/>
      <c r="U3417" s="118"/>
      <c r="V3417" s="74"/>
      <c r="W3417" s="74"/>
      <c r="X3417" s="35"/>
      <c r="Y3417" s="35"/>
      <c r="Z3417" s="40"/>
      <c r="AA3417" s="34"/>
      <c r="AB3417" s="41"/>
      <c r="AC3417" s="42" t="b">
        <v>0</v>
      </c>
      <c r="AD3417" s="66"/>
      <c r="AE3417" s="42"/>
      <c r="AF3417" s="42"/>
      <c r="AG3417" s="43"/>
    </row>
    <row r="3418">
      <c r="A3418" s="23"/>
      <c r="B3418" s="101"/>
      <c r="C3418" s="115"/>
      <c r="D3418" s="115"/>
      <c r="E3418" s="85"/>
      <c r="F3418" s="138"/>
      <c r="G3418" s="101"/>
      <c r="H3418" s="105"/>
      <c r="I3418" s="105"/>
      <c r="J3418" s="44"/>
      <c r="K3418" s="116"/>
      <c r="L3418" s="117"/>
      <c r="M3418" s="67"/>
      <c r="N3418" s="33"/>
      <c r="O3418" s="70"/>
      <c r="P3418" s="34"/>
      <c r="Q3418" s="60"/>
      <c r="R3418" s="36"/>
      <c r="S3418" s="71"/>
      <c r="T3418" s="37"/>
      <c r="U3418" s="118"/>
      <c r="V3418" s="74"/>
      <c r="W3418" s="74"/>
      <c r="X3418" s="35"/>
      <c r="Y3418" s="35"/>
      <c r="Z3418" s="40"/>
      <c r="AA3418" s="34"/>
      <c r="AB3418" s="41"/>
      <c r="AC3418" s="42" t="b">
        <v>0</v>
      </c>
      <c r="AD3418" s="66"/>
      <c r="AE3418" s="42"/>
      <c r="AF3418" s="42"/>
      <c r="AG3418" s="43"/>
    </row>
    <row r="3419">
      <c r="A3419" s="23"/>
      <c r="B3419" s="101"/>
      <c r="C3419" s="115"/>
      <c r="D3419" s="115"/>
      <c r="E3419" s="85"/>
      <c r="F3419" s="138"/>
      <c r="G3419" s="101"/>
      <c r="H3419" s="105"/>
      <c r="I3419" s="105"/>
      <c r="J3419" s="44"/>
      <c r="K3419" s="116"/>
      <c r="L3419" s="117"/>
      <c r="M3419" s="67"/>
      <c r="N3419" s="33"/>
      <c r="O3419" s="70"/>
      <c r="P3419" s="34"/>
      <c r="Q3419" s="60"/>
      <c r="R3419" s="36"/>
      <c r="S3419" s="71"/>
      <c r="T3419" s="37"/>
      <c r="U3419" s="118"/>
      <c r="V3419" s="74"/>
      <c r="W3419" s="74"/>
      <c r="X3419" s="35"/>
      <c r="Y3419" s="35"/>
      <c r="Z3419" s="40"/>
      <c r="AA3419" s="34"/>
      <c r="AB3419" s="41"/>
      <c r="AC3419" s="42" t="b">
        <v>0</v>
      </c>
      <c r="AD3419" s="66"/>
      <c r="AE3419" s="42"/>
      <c r="AF3419" s="42"/>
      <c r="AG3419" s="43"/>
    </row>
    <row r="3420">
      <c r="A3420" s="23"/>
      <c r="B3420" s="101"/>
      <c r="C3420" s="115"/>
      <c r="D3420" s="115"/>
      <c r="E3420" s="85"/>
      <c r="F3420" s="138"/>
      <c r="G3420" s="101"/>
      <c r="H3420" s="105"/>
      <c r="I3420" s="105"/>
      <c r="J3420" s="44"/>
      <c r="K3420" s="116"/>
      <c r="L3420" s="117"/>
      <c r="M3420" s="67"/>
      <c r="N3420" s="33"/>
      <c r="O3420" s="70"/>
      <c r="P3420" s="34"/>
      <c r="Q3420" s="60"/>
      <c r="R3420" s="36"/>
      <c r="S3420" s="71"/>
      <c r="T3420" s="37"/>
      <c r="U3420" s="118"/>
      <c r="V3420" s="74"/>
      <c r="W3420" s="74"/>
      <c r="X3420" s="35"/>
      <c r="Y3420" s="35"/>
      <c r="Z3420" s="40"/>
      <c r="AA3420" s="34"/>
      <c r="AB3420" s="41"/>
      <c r="AC3420" s="42" t="b">
        <v>0</v>
      </c>
      <c r="AD3420" s="66"/>
      <c r="AE3420" s="42"/>
      <c r="AF3420" s="42"/>
      <c r="AG3420" s="43"/>
    </row>
    <row r="3421">
      <c r="A3421" s="23"/>
      <c r="B3421" s="101"/>
      <c r="C3421" s="115"/>
      <c r="D3421" s="115"/>
      <c r="E3421" s="85"/>
      <c r="F3421" s="138"/>
      <c r="G3421" s="101"/>
      <c r="H3421" s="105"/>
      <c r="I3421" s="105"/>
      <c r="J3421" s="44"/>
      <c r="K3421" s="116"/>
      <c r="L3421" s="117"/>
      <c r="M3421" s="67"/>
      <c r="N3421" s="33"/>
      <c r="O3421" s="70"/>
      <c r="P3421" s="34"/>
      <c r="Q3421" s="60"/>
      <c r="R3421" s="36"/>
      <c r="S3421" s="71"/>
      <c r="T3421" s="37"/>
      <c r="U3421" s="118"/>
      <c r="V3421" s="74"/>
      <c r="W3421" s="74"/>
      <c r="X3421" s="35"/>
      <c r="Y3421" s="35"/>
      <c r="Z3421" s="40"/>
      <c r="AA3421" s="34"/>
      <c r="AB3421" s="41"/>
      <c r="AC3421" s="42" t="b">
        <v>0</v>
      </c>
      <c r="AD3421" s="66"/>
      <c r="AE3421" s="42"/>
      <c r="AF3421" s="42"/>
      <c r="AG3421" s="43"/>
    </row>
    <row r="3422">
      <c r="A3422" s="23"/>
      <c r="B3422" s="101"/>
      <c r="C3422" s="115"/>
      <c r="D3422" s="115"/>
      <c r="E3422" s="85"/>
      <c r="F3422" s="138"/>
      <c r="G3422" s="101"/>
      <c r="H3422" s="105"/>
      <c r="I3422" s="105"/>
      <c r="J3422" s="44"/>
      <c r="K3422" s="116"/>
      <c r="L3422" s="117"/>
      <c r="M3422" s="67"/>
      <c r="N3422" s="33"/>
      <c r="O3422" s="70"/>
      <c r="P3422" s="34"/>
      <c r="Q3422" s="60"/>
      <c r="R3422" s="36"/>
      <c r="S3422" s="71"/>
      <c r="T3422" s="37"/>
      <c r="U3422" s="118"/>
      <c r="V3422" s="74"/>
      <c r="W3422" s="74"/>
      <c r="X3422" s="35"/>
      <c r="Y3422" s="35"/>
      <c r="Z3422" s="40"/>
      <c r="AA3422" s="34"/>
      <c r="AB3422" s="41"/>
      <c r="AC3422" s="42" t="b">
        <v>0</v>
      </c>
      <c r="AD3422" s="66"/>
      <c r="AE3422" s="42"/>
      <c r="AF3422" s="42"/>
      <c r="AG3422" s="43"/>
    </row>
    <row r="3423">
      <c r="A3423" s="23"/>
      <c r="B3423" s="101"/>
      <c r="C3423" s="115"/>
      <c r="D3423" s="115"/>
      <c r="E3423" s="85"/>
      <c r="F3423" s="138"/>
      <c r="G3423" s="101"/>
      <c r="H3423" s="105"/>
      <c r="I3423" s="105"/>
      <c r="J3423" s="44"/>
      <c r="K3423" s="116"/>
      <c r="L3423" s="117"/>
      <c r="M3423" s="67"/>
      <c r="N3423" s="33"/>
      <c r="O3423" s="70"/>
      <c r="P3423" s="34"/>
      <c r="Q3423" s="60"/>
      <c r="R3423" s="36"/>
      <c r="S3423" s="71"/>
      <c r="T3423" s="37"/>
      <c r="U3423" s="118"/>
      <c r="V3423" s="74"/>
      <c r="W3423" s="74"/>
      <c r="X3423" s="35"/>
      <c r="Y3423" s="35"/>
      <c r="Z3423" s="40"/>
      <c r="AA3423" s="34"/>
      <c r="AB3423" s="41"/>
      <c r="AC3423" s="42" t="b">
        <v>0</v>
      </c>
      <c r="AD3423" s="66"/>
      <c r="AE3423" s="42"/>
      <c r="AF3423" s="42"/>
      <c r="AG3423" s="43"/>
    </row>
    <row r="3424">
      <c r="A3424" s="23"/>
      <c r="B3424" s="101"/>
      <c r="C3424" s="115"/>
      <c r="D3424" s="115"/>
      <c r="E3424" s="85"/>
      <c r="F3424" s="138"/>
      <c r="G3424" s="101"/>
      <c r="H3424" s="105"/>
      <c r="I3424" s="105"/>
      <c r="J3424" s="44"/>
      <c r="K3424" s="116"/>
      <c r="L3424" s="117"/>
      <c r="M3424" s="67"/>
      <c r="N3424" s="33"/>
      <c r="O3424" s="70"/>
      <c r="P3424" s="34"/>
      <c r="Q3424" s="60"/>
      <c r="R3424" s="36"/>
      <c r="S3424" s="71"/>
      <c r="T3424" s="37"/>
      <c r="U3424" s="118"/>
      <c r="V3424" s="74"/>
      <c r="W3424" s="74"/>
      <c r="X3424" s="35"/>
      <c r="Y3424" s="35"/>
      <c r="Z3424" s="40"/>
      <c r="AA3424" s="34"/>
      <c r="AB3424" s="41"/>
      <c r="AC3424" s="42" t="b">
        <v>0</v>
      </c>
      <c r="AD3424" s="66"/>
      <c r="AE3424" s="42"/>
      <c r="AF3424" s="42"/>
      <c r="AG3424" s="43"/>
    </row>
    <row r="3425">
      <c r="A3425" s="23"/>
      <c r="B3425" s="101"/>
      <c r="C3425" s="115"/>
      <c r="D3425" s="115"/>
      <c r="E3425" s="85"/>
      <c r="F3425" s="138"/>
      <c r="G3425" s="101"/>
      <c r="H3425" s="105"/>
      <c r="I3425" s="105"/>
      <c r="J3425" s="44"/>
      <c r="K3425" s="116"/>
      <c r="L3425" s="117"/>
      <c r="M3425" s="67"/>
      <c r="N3425" s="33"/>
      <c r="O3425" s="70"/>
      <c r="P3425" s="34"/>
      <c r="Q3425" s="60"/>
      <c r="R3425" s="36"/>
      <c r="S3425" s="71"/>
      <c r="T3425" s="37"/>
      <c r="U3425" s="118"/>
      <c r="V3425" s="74"/>
      <c r="W3425" s="74"/>
      <c r="X3425" s="35"/>
      <c r="Y3425" s="35"/>
      <c r="Z3425" s="40"/>
      <c r="AA3425" s="34"/>
      <c r="AB3425" s="41"/>
      <c r="AC3425" s="42" t="b">
        <v>0</v>
      </c>
      <c r="AD3425" s="66"/>
      <c r="AE3425" s="42"/>
      <c r="AF3425" s="42"/>
      <c r="AG3425" s="43"/>
    </row>
    <row r="3426">
      <c r="A3426" s="23"/>
      <c r="B3426" s="101"/>
      <c r="C3426" s="115"/>
      <c r="D3426" s="115"/>
      <c r="E3426" s="85"/>
      <c r="F3426" s="138"/>
      <c r="G3426" s="101"/>
      <c r="H3426" s="105"/>
      <c r="I3426" s="105"/>
      <c r="J3426" s="44"/>
      <c r="K3426" s="116"/>
      <c r="L3426" s="117"/>
      <c r="M3426" s="67"/>
      <c r="N3426" s="33"/>
      <c r="O3426" s="70"/>
      <c r="P3426" s="34"/>
      <c r="Q3426" s="60"/>
      <c r="R3426" s="36"/>
      <c r="S3426" s="71"/>
      <c r="T3426" s="37"/>
      <c r="U3426" s="118"/>
      <c r="V3426" s="74"/>
      <c r="W3426" s="74"/>
      <c r="X3426" s="35"/>
      <c r="Y3426" s="35"/>
      <c r="Z3426" s="40"/>
      <c r="AA3426" s="34"/>
      <c r="AB3426" s="41"/>
      <c r="AC3426" s="42" t="b">
        <v>0</v>
      </c>
      <c r="AD3426" s="66"/>
      <c r="AE3426" s="42"/>
      <c r="AF3426" s="42"/>
      <c r="AG3426" s="43"/>
    </row>
    <row r="3427">
      <c r="A3427" s="23"/>
      <c r="B3427" s="101"/>
      <c r="C3427" s="115"/>
      <c r="D3427" s="115"/>
      <c r="E3427" s="85"/>
      <c r="F3427" s="138"/>
      <c r="G3427" s="101"/>
      <c r="H3427" s="105"/>
      <c r="I3427" s="105"/>
      <c r="J3427" s="44"/>
      <c r="K3427" s="116"/>
      <c r="L3427" s="117"/>
      <c r="M3427" s="67"/>
      <c r="N3427" s="33"/>
      <c r="O3427" s="70"/>
      <c r="P3427" s="34"/>
      <c r="Q3427" s="60"/>
      <c r="R3427" s="36"/>
      <c r="S3427" s="71"/>
      <c r="T3427" s="37"/>
      <c r="U3427" s="118"/>
      <c r="V3427" s="74"/>
      <c r="W3427" s="74"/>
      <c r="X3427" s="35"/>
      <c r="Y3427" s="35"/>
      <c r="Z3427" s="40"/>
      <c r="AA3427" s="34"/>
      <c r="AB3427" s="41"/>
      <c r="AC3427" s="42" t="b">
        <v>0</v>
      </c>
      <c r="AD3427" s="66"/>
      <c r="AE3427" s="42"/>
      <c r="AF3427" s="42"/>
      <c r="AG3427" s="43"/>
    </row>
    <row r="3428">
      <c r="A3428" s="23"/>
      <c r="B3428" s="101"/>
      <c r="C3428" s="115"/>
      <c r="D3428" s="115"/>
      <c r="E3428" s="85"/>
      <c r="F3428" s="138"/>
      <c r="G3428" s="101"/>
      <c r="H3428" s="105"/>
      <c r="I3428" s="105"/>
      <c r="J3428" s="44"/>
      <c r="K3428" s="116"/>
      <c r="L3428" s="117"/>
      <c r="M3428" s="67"/>
      <c r="N3428" s="33"/>
      <c r="O3428" s="70"/>
      <c r="P3428" s="34"/>
      <c r="Q3428" s="60"/>
      <c r="R3428" s="36"/>
      <c r="S3428" s="71"/>
      <c r="T3428" s="37"/>
      <c r="U3428" s="118"/>
      <c r="V3428" s="74"/>
      <c r="W3428" s="74"/>
      <c r="X3428" s="35"/>
      <c r="Y3428" s="35"/>
      <c r="Z3428" s="40"/>
      <c r="AA3428" s="34"/>
      <c r="AB3428" s="41"/>
      <c r="AC3428" s="42" t="b">
        <v>0</v>
      </c>
      <c r="AD3428" s="66"/>
      <c r="AE3428" s="42"/>
      <c r="AF3428" s="42"/>
      <c r="AG3428" s="43"/>
    </row>
    <row r="3429">
      <c r="A3429" s="23"/>
      <c r="B3429" s="101"/>
      <c r="C3429" s="115"/>
      <c r="D3429" s="115"/>
      <c r="E3429" s="85"/>
      <c r="F3429" s="138"/>
      <c r="G3429" s="101"/>
      <c r="H3429" s="105"/>
      <c r="I3429" s="105"/>
      <c r="J3429" s="44"/>
      <c r="K3429" s="116"/>
      <c r="L3429" s="117"/>
      <c r="M3429" s="67"/>
      <c r="N3429" s="33"/>
      <c r="O3429" s="70"/>
      <c r="P3429" s="34"/>
      <c r="Q3429" s="60"/>
      <c r="R3429" s="36"/>
      <c r="S3429" s="71"/>
      <c r="T3429" s="37"/>
      <c r="U3429" s="118"/>
      <c r="V3429" s="74"/>
      <c r="W3429" s="74"/>
      <c r="X3429" s="35"/>
      <c r="Y3429" s="35"/>
      <c r="Z3429" s="40"/>
      <c r="AA3429" s="34"/>
      <c r="AB3429" s="41"/>
      <c r="AC3429" s="42" t="b">
        <v>0</v>
      </c>
      <c r="AD3429" s="66"/>
      <c r="AE3429" s="42"/>
      <c r="AF3429" s="42"/>
      <c r="AG3429" s="43"/>
    </row>
    <row r="3430">
      <c r="A3430" s="23"/>
      <c r="B3430" s="101"/>
      <c r="C3430" s="115"/>
      <c r="D3430" s="115"/>
      <c r="E3430" s="85"/>
      <c r="F3430" s="138"/>
      <c r="G3430" s="101"/>
      <c r="H3430" s="105"/>
      <c r="I3430" s="105"/>
      <c r="J3430" s="44"/>
      <c r="K3430" s="116"/>
      <c r="L3430" s="117"/>
      <c r="M3430" s="67"/>
      <c r="N3430" s="33"/>
      <c r="O3430" s="70"/>
      <c r="P3430" s="34"/>
      <c r="Q3430" s="60"/>
      <c r="R3430" s="36"/>
      <c r="S3430" s="71"/>
      <c r="T3430" s="37"/>
      <c r="U3430" s="118"/>
      <c r="V3430" s="74"/>
      <c r="W3430" s="74"/>
      <c r="X3430" s="35"/>
      <c r="Y3430" s="35"/>
      <c r="Z3430" s="40"/>
      <c r="AA3430" s="34"/>
      <c r="AB3430" s="41"/>
      <c r="AC3430" s="42" t="b">
        <v>0</v>
      </c>
      <c r="AD3430" s="66"/>
      <c r="AE3430" s="42"/>
      <c r="AF3430" s="42"/>
      <c r="AG3430" s="43"/>
    </row>
    <row r="3431">
      <c r="A3431" s="23"/>
      <c r="B3431" s="101"/>
      <c r="C3431" s="115"/>
      <c r="D3431" s="115"/>
      <c r="E3431" s="85"/>
      <c r="F3431" s="138"/>
      <c r="G3431" s="101"/>
      <c r="H3431" s="105"/>
      <c r="I3431" s="105"/>
      <c r="J3431" s="44"/>
      <c r="K3431" s="116"/>
      <c r="L3431" s="117"/>
      <c r="M3431" s="67"/>
      <c r="N3431" s="33"/>
      <c r="O3431" s="70"/>
      <c r="P3431" s="34"/>
      <c r="Q3431" s="60"/>
      <c r="R3431" s="36"/>
      <c r="S3431" s="71"/>
      <c r="T3431" s="37"/>
      <c r="U3431" s="118"/>
      <c r="V3431" s="74"/>
      <c r="W3431" s="74"/>
      <c r="X3431" s="35"/>
      <c r="Y3431" s="35"/>
      <c r="Z3431" s="40"/>
      <c r="AA3431" s="34"/>
      <c r="AB3431" s="41"/>
      <c r="AC3431" s="42" t="b">
        <v>0</v>
      </c>
      <c r="AD3431" s="66"/>
      <c r="AE3431" s="42"/>
      <c r="AF3431" s="42"/>
      <c r="AG3431" s="43"/>
    </row>
    <row r="3432">
      <c r="A3432" s="23"/>
      <c r="B3432" s="101"/>
      <c r="C3432" s="115"/>
      <c r="D3432" s="115"/>
      <c r="E3432" s="85"/>
      <c r="F3432" s="138"/>
      <c r="G3432" s="101"/>
      <c r="H3432" s="105"/>
      <c r="I3432" s="105"/>
      <c r="J3432" s="44"/>
      <c r="K3432" s="116"/>
      <c r="L3432" s="117"/>
      <c r="M3432" s="67"/>
      <c r="N3432" s="33"/>
      <c r="O3432" s="70"/>
      <c r="P3432" s="34"/>
      <c r="Q3432" s="60"/>
      <c r="R3432" s="36"/>
      <c r="S3432" s="71"/>
      <c r="T3432" s="37"/>
      <c r="U3432" s="118"/>
      <c r="V3432" s="74"/>
      <c r="W3432" s="74"/>
      <c r="X3432" s="35"/>
      <c r="Y3432" s="35"/>
      <c r="Z3432" s="40"/>
      <c r="AA3432" s="34"/>
      <c r="AB3432" s="41"/>
      <c r="AC3432" s="42" t="b">
        <v>0</v>
      </c>
      <c r="AD3432" s="66"/>
      <c r="AE3432" s="42"/>
      <c r="AF3432" s="42"/>
      <c r="AG3432" s="43"/>
    </row>
    <row r="3433">
      <c r="A3433" s="23"/>
      <c r="B3433" s="101"/>
      <c r="C3433" s="115"/>
      <c r="D3433" s="115"/>
      <c r="E3433" s="85"/>
      <c r="F3433" s="138"/>
      <c r="G3433" s="101"/>
      <c r="H3433" s="105"/>
      <c r="I3433" s="105"/>
      <c r="J3433" s="44"/>
      <c r="K3433" s="116"/>
      <c r="L3433" s="117"/>
      <c r="M3433" s="67"/>
      <c r="N3433" s="33"/>
      <c r="O3433" s="70"/>
      <c r="P3433" s="34"/>
      <c r="Q3433" s="60"/>
      <c r="R3433" s="36"/>
      <c r="S3433" s="71"/>
      <c r="T3433" s="37"/>
      <c r="U3433" s="118"/>
      <c r="V3433" s="74"/>
      <c r="W3433" s="74"/>
      <c r="X3433" s="35"/>
      <c r="Y3433" s="35"/>
      <c r="Z3433" s="40"/>
      <c r="AA3433" s="34"/>
      <c r="AB3433" s="41"/>
      <c r="AC3433" s="42" t="b">
        <v>0</v>
      </c>
      <c r="AD3433" s="66"/>
      <c r="AE3433" s="42"/>
      <c r="AF3433" s="42"/>
      <c r="AG3433" s="43"/>
    </row>
    <row r="3434">
      <c r="A3434" s="23"/>
      <c r="B3434" s="101"/>
      <c r="C3434" s="115"/>
      <c r="D3434" s="115"/>
      <c r="E3434" s="85"/>
      <c r="F3434" s="138"/>
      <c r="G3434" s="101"/>
      <c r="H3434" s="105"/>
      <c r="I3434" s="105"/>
      <c r="J3434" s="44"/>
      <c r="K3434" s="116"/>
      <c r="L3434" s="117"/>
      <c r="M3434" s="67"/>
      <c r="N3434" s="33"/>
      <c r="O3434" s="70"/>
      <c r="P3434" s="34"/>
      <c r="Q3434" s="60"/>
      <c r="R3434" s="36"/>
      <c r="S3434" s="71"/>
      <c r="T3434" s="37"/>
      <c r="U3434" s="118"/>
      <c r="V3434" s="74"/>
      <c r="W3434" s="74"/>
      <c r="X3434" s="35"/>
      <c r="Y3434" s="35"/>
      <c r="Z3434" s="40"/>
      <c r="AA3434" s="34"/>
      <c r="AB3434" s="41"/>
      <c r="AC3434" s="42" t="b">
        <v>0</v>
      </c>
      <c r="AD3434" s="66"/>
      <c r="AE3434" s="42"/>
      <c r="AF3434" s="42"/>
      <c r="AG3434" s="43"/>
    </row>
    <row r="3435">
      <c r="A3435" s="23"/>
      <c r="B3435" s="101"/>
      <c r="C3435" s="115"/>
      <c r="D3435" s="115"/>
      <c r="E3435" s="85"/>
      <c r="F3435" s="138"/>
      <c r="G3435" s="101"/>
      <c r="H3435" s="105"/>
      <c r="I3435" s="105"/>
      <c r="J3435" s="44"/>
      <c r="K3435" s="116"/>
      <c r="L3435" s="117"/>
      <c r="M3435" s="67"/>
      <c r="N3435" s="33"/>
      <c r="O3435" s="70"/>
      <c r="P3435" s="34"/>
      <c r="Q3435" s="60"/>
      <c r="R3435" s="36"/>
      <c r="S3435" s="71"/>
      <c r="T3435" s="37"/>
      <c r="U3435" s="118"/>
      <c r="V3435" s="74"/>
      <c r="W3435" s="74"/>
      <c r="X3435" s="35"/>
      <c r="Y3435" s="35"/>
      <c r="Z3435" s="40"/>
      <c r="AA3435" s="34"/>
      <c r="AB3435" s="41"/>
      <c r="AC3435" s="42" t="b">
        <v>0</v>
      </c>
      <c r="AD3435" s="66"/>
      <c r="AE3435" s="42"/>
      <c r="AF3435" s="42"/>
      <c r="AG3435" s="43"/>
    </row>
    <row r="3436">
      <c r="A3436" s="23"/>
      <c r="B3436" s="101"/>
      <c r="C3436" s="115"/>
      <c r="D3436" s="115"/>
      <c r="E3436" s="85"/>
      <c r="F3436" s="138"/>
      <c r="G3436" s="101"/>
      <c r="H3436" s="105"/>
      <c r="I3436" s="105"/>
      <c r="J3436" s="44"/>
      <c r="K3436" s="116"/>
      <c r="L3436" s="117"/>
      <c r="M3436" s="67"/>
      <c r="N3436" s="33"/>
      <c r="O3436" s="70"/>
      <c r="P3436" s="34"/>
      <c r="Q3436" s="60"/>
      <c r="R3436" s="36"/>
      <c r="S3436" s="71"/>
      <c r="T3436" s="37"/>
      <c r="U3436" s="118"/>
      <c r="V3436" s="74"/>
      <c r="W3436" s="74"/>
      <c r="X3436" s="35"/>
      <c r="Y3436" s="35"/>
      <c r="Z3436" s="40"/>
      <c r="AA3436" s="34"/>
      <c r="AB3436" s="41"/>
      <c r="AC3436" s="42" t="b">
        <v>0</v>
      </c>
      <c r="AD3436" s="66"/>
      <c r="AE3436" s="42"/>
      <c r="AF3436" s="42"/>
      <c r="AG3436" s="43"/>
    </row>
    <row r="3437">
      <c r="A3437" s="23"/>
      <c r="B3437" s="101"/>
      <c r="C3437" s="115"/>
      <c r="D3437" s="115"/>
      <c r="E3437" s="85"/>
      <c r="F3437" s="138"/>
      <c r="G3437" s="101"/>
      <c r="H3437" s="105"/>
      <c r="I3437" s="105"/>
      <c r="J3437" s="44"/>
      <c r="K3437" s="116"/>
      <c r="L3437" s="117"/>
      <c r="M3437" s="67"/>
      <c r="N3437" s="33"/>
      <c r="O3437" s="70"/>
      <c r="P3437" s="34"/>
      <c r="Q3437" s="60"/>
      <c r="R3437" s="36"/>
      <c r="S3437" s="71"/>
      <c r="T3437" s="37"/>
      <c r="U3437" s="118"/>
      <c r="V3437" s="74"/>
      <c r="W3437" s="74"/>
      <c r="X3437" s="35"/>
      <c r="Y3437" s="35"/>
      <c r="Z3437" s="40"/>
      <c r="AA3437" s="34"/>
      <c r="AB3437" s="41"/>
      <c r="AC3437" s="42" t="b">
        <v>0</v>
      </c>
      <c r="AD3437" s="66"/>
      <c r="AE3437" s="42"/>
      <c r="AF3437" s="42"/>
      <c r="AG3437" s="43"/>
    </row>
    <row r="3438">
      <c r="A3438" s="23"/>
      <c r="B3438" s="101"/>
      <c r="C3438" s="115"/>
      <c r="D3438" s="115"/>
      <c r="E3438" s="85"/>
      <c r="F3438" s="138"/>
      <c r="G3438" s="101"/>
      <c r="H3438" s="105"/>
      <c r="I3438" s="105"/>
      <c r="J3438" s="44"/>
      <c r="K3438" s="116"/>
      <c r="L3438" s="117"/>
      <c r="M3438" s="67"/>
      <c r="N3438" s="33"/>
      <c r="O3438" s="70"/>
      <c r="P3438" s="34"/>
      <c r="Q3438" s="60"/>
      <c r="R3438" s="36"/>
      <c r="S3438" s="71"/>
      <c r="T3438" s="37"/>
      <c r="U3438" s="118"/>
      <c r="V3438" s="74"/>
      <c r="W3438" s="74"/>
      <c r="X3438" s="35"/>
      <c r="Y3438" s="35"/>
      <c r="Z3438" s="40"/>
      <c r="AA3438" s="34"/>
      <c r="AB3438" s="41"/>
      <c r="AC3438" s="42" t="b">
        <v>0</v>
      </c>
      <c r="AD3438" s="66"/>
      <c r="AE3438" s="42"/>
      <c r="AF3438" s="42"/>
      <c r="AG3438" s="43"/>
    </row>
    <row r="3439">
      <c r="A3439" s="23"/>
      <c r="B3439" s="101"/>
      <c r="C3439" s="115"/>
      <c r="D3439" s="115"/>
      <c r="E3439" s="85"/>
      <c r="F3439" s="138"/>
      <c r="G3439" s="101"/>
      <c r="H3439" s="105"/>
      <c r="I3439" s="105"/>
      <c r="J3439" s="44"/>
      <c r="K3439" s="116"/>
      <c r="L3439" s="117"/>
      <c r="M3439" s="67"/>
      <c r="N3439" s="33"/>
      <c r="O3439" s="70"/>
      <c r="P3439" s="34"/>
      <c r="Q3439" s="60"/>
      <c r="R3439" s="36"/>
      <c r="S3439" s="71"/>
      <c r="T3439" s="37"/>
      <c r="U3439" s="118"/>
      <c r="V3439" s="74"/>
      <c r="W3439" s="74"/>
      <c r="X3439" s="35"/>
      <c r="Y3439" s="35"/>
      <c r="Z3439" s="40"/>
      <c r="AA3439" s="34"/>
      <c r="AB3439" s="41"/>
      <c r="AC3439" s="42" t="b">
        <v>0</v>
      </c>
      <c r="AD3439" s="66"/>
      <c r="AE3439" s="42"/>
      <c r="AF3439" s="42"/>
      <c r="AG3439" s="43"/>
    </row>
    <row r="3440">
      <c r="A3440" s="23"/>
      <c r="B3440" s="101"/>
      <c r="C3440" s="115"/>
      <c r="D3440" s="115"/>
      <c r="E3440" s="85"/>
      <c r="F3440" s="138"/>
      <c r="G3440" s="101"/>
      <c r="H3440" s="105"/>
      <c r="I3440" s="105"/>
      <c r="J3440" s="44"/>
      <c r="K3440" s="116"/>
      <c r="L3440" s="117"/>
      <c r="M3440" s="67"/>
      <c r="N3440" s="33"/>
      <c r="O3440" s="70"/>
      <c r="P3440" s="34"/>
      <c r="Q3440" s="60"/>
      <c r="R3440" s="36"/>
      <c r="S3440" s="71"/>
      <c r="T3440" s="37"/>
      <c r="U3440" s="118"/>
      <c r="V3440" s="74"/>
      <c r="W3440" s="74"/>
      <c r="X3440" s="35"/>
      <c r="Y3440" s="35"/>
      <c r="Z3440" s="40"/>
      <c r="AA3440" s="34"/>
      <c r="AB3440" s="41"/>
      <c r="AC3440" s="42" t="b">
        <v>0</v>
      </c>
      <c r="AD3440" s="66"/>
      <c r="AE3440" s="42"/>
      <c r="AF3440" s="42"/>
      <c r="AG3440" s="43"/>
    </row>
    <row r="3441">
      <c r="A3441" s="23"/>
      <c r="B3441" s="101"/>
      <c r="C3441" s="115"/>
      <c r="D3441" s="115"/>
      <c r="E3441" s="85"/>
      <c r="F3441" s="138"/>
      <c r="G3441" s="101"/>
      <c r="H3441" s="105"/>
      <c r="I3441" s="105"/>
      <c r="J3441" s="44"/>
      <c r="K3441" s="116"/>
      <c r="L3441" s="117"/>
      <c r="M3441" s="67"/>
      <c r="N3441" s="33"/>
      <c r="O3441" s="70"/>
      <c r="P3441" s="34"/>
      <c r="Q3441" s="60"/>
      <c r="R3441" s="36"/>
      <c r="S3441" s="71"/>
      <c r="T3441" s="37"/>
      <c r="U3441" s="118"/>
      <c r="V3441" s="74"/>
      <c r="W3441" s="74"/>
      <c r="X3441" s="35"/>
      <c r="Y3441" s="35"/>
      <c r="Z3441" s="40"/>
      <c r="AA3441" s="34"/>
      <c r="AB3441" s="41"/>
      <c r="AC3441" s="42" t="b">
        <v>0</v>
      </c>
      <c r="AD3441" s="66"/>
      <c r="AE3441" s="42"/>
      <c r="AF3441" s="42"/>
      <c r="AG3441" s="43"/>
    </row>
    <row r="3442">
      <c r="A3442" s="23"/>
      <c r="B3442" s="101"/>
      <c r="C3442" s="115"/>
      <c r="D3442" s="115"/>
      <c r="E3442" s="85"/>
      <c r="F3442" s="138"/>
      <c r="G3442" s="101"/>
      <c r="H3442" s="105"/>
      <c r="I3442" s="105"/>
      <c r="J3442" s="44"/>
      <c r="K3442" s="116"/>
      <c r="L3442" s="117"/>
      <c r="M3442" s="67"/>
      <c r="N3442" s="33"/>
      <c r="O3442" s="70"/>
      <c r="P3442" s="34"/>
      <c r="Q3442" s="60"/>
      <c r="R3442" s="36"/>
      <c r="S3442" s="71"/>
      <c r="T3442" s="37"/>
      <c r="U3442" s="118"/>
      <c r="V3442" s="74"/>
      <c r="W3442" s="74"/>
      <c r="X3442" s="35"/>
      <c r="Y3442" s="35"/>
      <c r="Z3442" s="40"/>
      <c r="AA3442" s="34"/>
      <c r="AB3442" s="41"/>
      <c r="AC3442" s="42" t="b">
        <v>0</v>
      </c>
      <c r="AD3442" s="66"/>
      <c r="AE3442" s="42"/>
      <c r="AF3442" s="42"/>
      <c r="AG3442" s="43"/>
    </row>
    <row r="3443">
      <c r="A3443" s="23"/>
      <c r="B3443" s="101"/>
      <c r="C3443" s="115"/>
      <c r="D3443" s="115"/>
      <c r="E3443" s="85"/>
      <c r="F3443" s="138"/>
      <c r="G3443" s="101"/>
      <c r="H3443" s="105"/>
      <c r="I3443" s="105"/>
      <c r="J3443" s="44"/>
      <c r="K3443" s="116"/>
      <c r="L3443" s="117"/>
      <c r="M3443" s="67"/>
      <c r="N3443" s="33"/>
      <c r="O3443" s="70"/>
      <c r="P3443" s="34"/>
      <c r="Q3443" s="60"/>
      <c r="R3443" s="36"/>
      <c r="S3443" s="71"/>
      <c r="T3443" s="37"/>
      <c r="U3443" s="118"/>
      <c r="V3443" s="74"/>
      <c r="W3443" s="74"/>
      <c r="X3443" s="35"/>
      <c r="Y3443" s="35"/>
      <c r="Z3443" s="40"/>
      <c r="AA3443" s="34"/>
      <c r="AB3443" s="41"/>
      <c r="AC3443" s="42" t="b">
        <v>0</v>
      </c>
      <c r="AD3443" s="66"/>
      <c r="AE3443" s="42"/>
      <c r="AF3443" s="42"/>
      <c r="AG3443" s="43"/>
    </row>
    <row r="3444">
      <c r="A3444" s="23"/>
      <c r="B3444" s="101"/>
      <c r="C3444" s="115"/>
      <c r="D3444" s="115"/>
      <c r="E3444" s="85"/>
      <c r="F3444" s="138"/>
      <c r="G3444" s="101"/>
      <c r="H3444" s="105"/>
      <c r="I3444" s="105"/>
      <c r="J3444" s="44"/>
      <c r="K3444" s="116"/>
      <c r="L3444" s="117"/>
      <c r="M3444" s="67"/>
      <c r="N3444" s="33"/>
      <c r="O3444" s="70"/>
      <c r="P3444" s="34"/>
      <c r="Q3444" s="60"/>
      <c r="R3444" s="36"/>
      <c r="S3444" s="71"/>
      <c r="T3444" s="37"/>
      <c r="U3444" s="118"/>
      <c r="V3444" s="74"/>
      <c r="W3444" s="74"/>
      <c r="X3444" s="35"/>
      <c r="Y3444" s="35"/>
      <c r="Z3444" s="40"/>
      <c r="AA3444" s="34"/>
      <c r="AB3444" s="41"/>
      <c r="AC3444" s="42" t="b">
        <v>0</v>
      </c>
      <c r="AD3444" s="66"/>
      <c r="AE3444" s="42"/>
      <c r="AF3444" s="42"/>
      <c r="AG3444" s="43"/>
    </row>
    <row r="3445">
      <c r="A3445" s="23"/>
      <c r="B3445" s="101"/>
      <c r="C3445" s="115"/>
      <c r="D3445" s="115"/>
      <c r="E3445" s="85"/>
      <c r="F3445" s="138"/>
      <c r="G3445" s="101"/>
      <c r="H3445" s="105"/>
      <c r="I3445" s="105"/>
      <c r="J3445" s="44"/>
      <c r="K3445" s="116"/>
      <c r="L3445" s="117"/>
      <c r="M3445" s="67"/>
      <c r="N3445" s="33"/>
      <c r="O3445" s="70"/>
      <c r="P3445" s="34"/>
      <c r="Q3445" s="60"/>
      <c r="R3445" s="36"/>
      <c r="S3445" s="71"/>
      <c r="T3445" s="37"/>
      <c r="U3445" s="118"/>
      <c r="V3445" s="74"/>
      <c r="W3445" s="74"/>
      <c r="X3445" s="35"/>
      <c r="Y3445" s="35"/>
      <c r="Z3445" s="40"/>
      <c r="AA3445" s="34"/>
      <c r="AB3445" s="41"/>
      <c r="AC3445" s="42" t="b">
        <v>0</v>
      </c>
      <c r="AD3445" s="66"/>
      <c r="AE3445" s="42"/>
      <c r="AF3445" s="42"/>
      <c r="AG3445" s="43"/>
    </row>
    <row r="3446">
      <c r="A3446" s="23"/>
      <c r="B3446" s="101"/>
      <c r="C3446" s="115"/>
      <c r="D3446" s="115"/>
      <c r="E3446" s="85"/>
      <c r="F3446" s="138"/>
      <c r="G3446" s="101"/>
      <c r="H3446" s="105"/>
      <c r="I3446" s="105"/>
      <c r="J3446" s="44"/>
      <c r="K3446" s="116"/>
      <c r="L3446" s="117"/>
      <c r="M3446" s="67"/>
      <c r="N3446" s="33"/>
      <c r="O3446" s="70"/>
      <c r="P3446" s="34"/>
      <c r="Q3446" s="60"/>
      <c r="R3446" s="36"/>
      <c r="S3446" s="71"/>
      <c r="T3446" s="37"/>
      <c r="U3446" s="118"/>
      <c r="V3446" s="74"/>
      <c r="W3446" s="74"/>
      <c r="X3446" s="35"/>
      <c r="Y3446" s="35"/>
      <c r="Z3446" s="40"/>
      <c r="AA3446" s="34"/>
      <c r="AB3446" s="41"/>
      <c r="AC3446" s="42" t="b">
        <v>0</v>
      </c>
      <c r="AD3446" s="66"/>
      <c r="AE3446" s="42"/>
      <c r="AF3446" s="42"/>
      <c r="AG3446" s="43"/>
    </row>
  </sheetData>
  <autoFilter ref="$A$1:$AG$2446">
    <filterColumn colId="0">
      <filters>
        <filter val="Lo4io"/>
        <filter val="FALSE"/>
      </filters>
    </filterColumn>
    <filterColumn colId="2">
      <filters blank="1">
        <filter val="06/04/2022"/>
        <filter val="01/10/2021"/>
        <filter val="08/12/2022"/>
        <filter val="21/04/2021"/>
        <filter val="03/02/2023"/>
        <filter val="01/08/2022"/>
        <filter val="10/11/2022"/>
        <filter val="19/05/2022"/>
        <filter val="29/03/2022"/>
        <filter val="01/07/2022"/>
        <filter val="21/03/2021"/>
        <filter val="21/03/2022"/>
        <filter val="27/12/2022"/>
        <filter val="18/11/2022"/>
        <filter val="05/11/2022"/>
        <filter val="11/04/2022"/>
        <filter val="21/2/2022"/>
        <filter val="15/10/2022"/>
        <filter val="23/07/2022"/>
        <filter val="01/10/2022"/>
        <filter val="12/03/2022"/>
        <filter val="21/01/2022"/>
        <filter val="21/01/2023"/>
        <filter val="25/06/2022"/>
        <filter val="21/01/2021"/>
        <filter val="21/07/2021"/>
        <filter val="21/06/2021"/>
        <filter val="06/02/2023"/>
        <filter val="01/12/2022"/>
        <filter val="01/12/2021"/>
        <filter val="21/3/2022"/>
        <filter val="23/05/2022"/>
        <filter val="23/02/2023"/>
        <filter val="01/09/2022"/>
        <filter val="01/09/2021"/>
        <filter val="01/03/2022"/>
        <filter val="06/05/2022"/>
        <filter val="01/06/2021"/>
        <filter val="21/10/2020"/>
        <filter val="01/06/2022"/>
        <filter val="21/10/2021"/>
        <filter val="01/03/2021"/>
        <filter val="29/09/2022"/>
        <filter val="08/03/2022"/>
        <filter val="21/12/2020"/>
        <filter val="21/12/2021"/>
        <filter val="26/06/2022"/>
        <filter val="21/6/2021"/>
        <filter val="29/08/2022"/>
        <filter val="18/02/2023"/>
        <filter val="31/07/2022"/>
        <filter val="01/01/2021"/>
        <filter val="01/01/2022"/>
        <filter val="21/09/2021"/>
        <filter val="21/09/2020"/>
        <filter val="21/11/2021"/>
        <filter val="03/11/2021"/>
        <filter val="21/11/2020"/>
        <filter val="25/10/2022"/>
        <filter val="21/5/2022"/>
        <filter val="03/05/2022"/>
        <filter val="26/11/2022"/>
        <filter val="01/02/2021"/>
        <filter val="17/05/2022"/>
        <filter val="21/5/2021"/>
        <filter val="01/02/2022"/>
        <filter val="01/02/2023"/>
        <filter val="01/05/2022"/>
        <filter val="01/05/2021"/>
        <filter val="23/06/2021"/>
        <filter val="01/04/2021"/>
        <filter val="01/04/2022"/>
        <filter val="28/12/2022"/>
        <filter val="21/08/2020"/>
        <filter val="21/08/2021"/>
        <filter val="21/05/2021"/>
        <filter val="03/06/2022"/>
        <filter val="21/02/2022"/>
        <filter val="21/02/2021"/>
        <filter val="21/1/2022"/>
        <filter val="1/3/2022"/>
        <filter val="21/4/2022"/>
        <filter val="01/11/2021"/>
        <filter val="01/11/2022"/>
        <filter val="21/4/2021"/>
        <filter val="28/02/2022"/>
        <filter val="04/05/2022"/>
        <filter val="08/11/2022"/>
      </filters>
    </filterColumn>
    <sortState ref="A1:AG2446">
      <sortCondition ref="C1:C2446"/>
    </sortState>
  </autoFilter>
  <customSheetViews>
    <customSheetView guid="{A480E312-D411-43A3-9923-38A88340C605}" filter="1" showAutoFilter="1">
      <autoFilter ref="$A$1:$AG$2445"/>
    </customSheetView>
    <customSheetView guid="{6DA9D4CC-3B6B-4C2E-8C79-F556DB56FF5A}" filter="1" showAutoFilter="1">
      <autoFilter ref="$A$1:$AG$2446">
        <filterColumn colId="6">
          <filters>
            <filter val="RedStar"/>
            <filter val="Redstar"/>
          </filters>
        </filterColumn>
        <filterColumn colId="2">
          <filters blank="1">
            <filter val="06/04/2022"/>
            <filter val="01/10/2021"/>
            <filter val="08/12/2022"/>
            <filter val="21/04/2022"/>
            <filter val="21/04/2021"/>
            <filter val="03/02/2023"/>
            <filter val="10/11/2022"/>
            <filter val="19/05/2022"/>
            <filter val="29/03/2022"/>
            <filter val="21/03/2021"/>
            <filter val="21/03/2022"/>
            <filter val="27/12/2022"/>
            <filter val="18/11/2022"/>
            <filter val="05/11/2022"/>
            <filter val="11/04/2022"/>
            <filter val="21/2/2022"/>
            <filter val="15/10/2022"/>
            <filter val="23/07/2022"/>
            <filter val="01/10/2022"/>
            <filter val="12/03/2022"/>
            <filter val="21/01/2022"/>
            <filter val="21/01/2023"/>
            <filter val="25/06/2022"/>
            <filter val="21/01/2021"/>
            <filter val="21/07/2021"/>
            <filter val="21/07/2022"/>
            <filter val="21/06/2022"/>
            <filter val="21/06/2021"/>
            <filter val="06/02/2023"/>
            <filter val="01/12/2022"/>
            <filter val="01/12/2021"/>
            <filter val="21/3/2022"/>
            <filter val="23/05/2022"/>
            <filter val="23/02/2023"/>
            <filter val="01/09/2022"/>
            <filter val="01/09/2021"/>
            <filter val="01/03/2022"/>
            <filter val="06/05/2022"/>
            <filter val="01/06/2021"/>
            <filter val="21/10/2020"/>
            <filter val="21/10/2021"/>
            <filter val="21/10/2022"/>
            <filter val="01/03/2021"/>
            <filter val="29/09/2022"/>
            <filter val="08/03/2022"/>
            <filter val="21/12/2020"/>
            <filter val="21/12/2021"/>
            <filter val="26/06/2022"/>
            <filter val="21/12/2022"/>
            <filter val="21/6/2021"/>
            <filter val="29/08/2022"/>
            <filter val="18/02/2023"/>
            <filter val="31/07/2022"/>
            <filter val="21/09/2022"/>
            <filter val="01/01/2021"/>
            <filter val="01/01/2022"/>
            <filter val="01/01/2023"/>
            <filter val="21/09/2021"/>
            <filter val="21/09/2020"/>
            <filter val="21/11/2022"/>
            <filter val="21/11/2021"/>
            <filter val="03/11/2021"/>
            <filter val="21/11/2020"/>
            <filter val="25/10/2022"/>
            <filter val="21/5/2022"/>
            <filter val="26/11/2022"/>
            <filter val="01/02/2021"/>
            <filter val="17/05/2022"/>
            <filter val="21/5/2021"/>
            <filter val="01/02/2022"/>
            <filter val="01/02/2023"/>
            <filter val="01/05/2021"/>
            <filter val="23/06/2021"/>
            <filter val="01/04/2021"/>
            <filter val="01/04/2022"/>
            <filter val="28/12/2022"/>
            <filter val="21/08/2020"/>
            <filter val="21/08/2021"/>
            <filter val="21/08/2022"/>
            <filter val="21/05/2021"/>
            <filter val="21/02/2022"/>
            <filter val="21/02/2021"/>
            <filter val="21/05/2022"/>
            <filter val="21/1/2022"/>
            <filter val="1/3/2022"/>
            <filter val="21/4/2022"/>
            <filter val="01/11/2021"/>
            <filter val="01/11/2022"/>
            <filter val="21/4/2021"/>
            <filter val="21/02/2023"/>
            <filter val="28/02/2022"/>
            <filter val="08/11/2022"/>
          </filters>
        </filterColumn>
      </autoFilter>
    </customSheetView>
    <customSheetView guid="{CE7D0615-8868-46DE-AFB7-63D9999A6F12}" filter="1" showAutoFilter="1">
      <autoFilter ref="$A$1:$AD$2445"/>
    </customSheetView>
  </customSheetViews>
  <dataValidations>
    <dataValidation type="list" allowBlank="1" showErrorMessage="1" sqref="G2:G3446">
      <formula1>'Dropdown lists'!$B$2:$B$9</formula1>
    </dataValidation>
    <dataValidation type="list" allowBlank="1" showErrorMessage="1" sqref="I2:I3446">
      <formula1>'Dropdown lists'!$D$2:$D$8</formula1>
    </dataValidation>
    <dataValidation type="list" allowBlank="1" showErrorMessage="1" sqref="F2:F3446">
      <formula1>'Dropdown lists'!$A$2:$A$4</formula1>
    </dataValidation>
    <dataValidation type="list" allowBlank="1" showErrorMessage="1" sqref="H2:H3446">
      <formula1>'Dropdown lists'!$C$2:$C$92</formula1>
    </dataValidation>
  </dataValidation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5.38"/>
  </cols>
  <sheetData>
    <row r="1">
      <c r="A1" s="145" t="s">
        <v>2</v>
      </c>
      <c r="B1" s="145" t="s">
        <v>3</v>
      </c>
      <c r="C1" s="146" t="s">
        <v>113</v>
      </c>
      <c r="D1" s="147" t="s">
        <v>114</v>
      </c>
      <c r="E1" s="18" t="s">
        <v>122</v>
      </c>
      <c r="F1" s="148"/>
      <c r="G1" s="149"/>
      <c r="H1" s="150" t="s">
        <v>240</v>
      </c>
      <c r="I1" s="151" t="s">
        <v>241</v>
      </c>
      <c r="J1" s="149"/>
      <c r="K1" s="149"/>
      <c r="L1" s="152" t="s">
        <v>242</v>
      </c>
      <c r="M1" s="153">
        <f>28260-316</f>
        <v>27944</v>
      </c>
    </row>
    <row r="2">
      <c r="A2" s="28" t="s">
        <v>85</v>
      </c>
      <c r="B2" s="154" t="s">
        <v>7</v>
      </c>
      <c r="C2" s="155">
        <f t="shared" ref="C2:C12" si="1">iferror(if(A2="$0.25",0.25, 
if(A2="$0.25 Flash",0.25, 
if(A2 = "$1", 1, 
if(A2 = "$1 Flash", 1, 
if(A2 = "$2", 2, 
if( A2 = "$2 Flash" , 2, 
if( A2= "$3", 3, 
if( A2= "$3 Ultra", 3, 
if( A2= "$5", 5, 
if( A2= "$5 (1M)", 5, 
if( A2= "$5 (1M) Flash", 5, 
if( A2= "$5 Flash", 5, 
if( A2= "$5 Flash (1M)", 5,
if( A2= "$10", 10,
if( A2= "$10 (1M)", 10,
if( A2= "$10 (1M) (old)", 10,
if( A2= "$10 Flash", 10,
if( A2= "$10 Ultra", 10,
if( A2= "$20", 20,
if( A2= "$20 Ultra", 20,
if( A2= "$25", 25,
if( A2= "$25 Flash", 25,
if( A2= "$50", 50,
if( A2= "$50 Flash", 50,
if( A2= "$50 Ultra", 50,
if( A2= "$100", 100,
if( A2= "$100 Flash", 100,
if( A2= "$100 HUHT", 100,
if( A2= "$100 Ultra", 100,
if( A2= "$200", 200,
if( A2= "$200 HUHT", 200,
if( A2= "$250", 250,
if( A2= "$250 Flash", 250,
if( A2= "$300 HUHT", 300,
if( A2= "$500", 500,
if( A2= "$500 Flash", 500,
if( A2 = "$500 HUHT",500,
if( A2= "$1000", 1000,
if( A2= "$1000 HUHT", 1000,
if( A2= "€0.25 Flash", 0.25,
if( A2="€0.25(nitro) new",0.25,
if( A2= "€1", 1,
if( A2= "€2", 2,
if( A2= "€5", 5,
if( A2= "€5 (1M)", 5,
if( A2= "€5 (bf 01.08)", 5,
if( A2= "€5 (bf 05.05)", 5,
if( A2= "€5 Nitro", 5,
if( A2= "€5(wx) new", 5,
if( A2= "€10", 10,
if( A2= "€10 (1M)", 10,
if( A2= "€10 (bf 01.08)", 10,
if( A2= "€10 (bf 05.05)", 10,
if( A2= "€10 (MP)", 10,
if( A2= "€10 (old)", 10,
if( A2= "€10 Nitro (bf 05.05)", 10,
if( A2= "€10 Nitro (old)", 10,
if( A2= "€10(wx) new", 10,
if( A2= "€20", 20,
if( A2= "€25", 25, 
if( A2= "€25 (bf 01.08)", 25, 
if( A2= "€25 (bf 05.05)", 25, 
if( A2= "€25 (MP)", 25, 
if( A2= "€25 (old)", 25,
if( A2= "€25 Nitro", 25,
if( A2= "€25 Nitro (bf 01.08)", 25,
if( A2= "€25 Nitro (bf 05.05)", 25,
if( A2= "€25(nitro) new", 25,
if( A2= "€25(wx) new", 25,
if( A2= "€50", 50,
if( A2= "€50 (bf 01.08)", 50,
if( A2= "€50 (bf 05.05)", 50,
if( A2= "€50 (old)", 50,
if( A2= "€50 Nitro", 50,
if( A2= "€50 Nitro (bf 01.08)", 50,
if( A2= "€50 Nitro (bf 05.05)", 50,
if( A2= "€50(wx) new", 50,
if( A2= "€100", 100,
if( A2= "€100 (old)", 100,
if( A2= "€100 Nitro", 100,
if( A2= "€100 Nitro (old)", 100,
if( A2= "€200", 200,
if( A2= "€250", 250,
if( A2= "€250 Nitro", 250,
if( A2= "€500", 500,
if( A2= "€500 Nitro", 500,
if( A2= "1000 rub", 1000,
if( A2= "2500 rub", 2500,
if( A2= "5000 rub", 5000,""))))))))))))))))))))))))))))))))))))))))))))))))))))))))))))))))))))))))))))))))))))))))))</f>
        <v>100</v>
      </c>
      <c r="D2" s="30">
        <v>5.0</v>
      </c>
      <c r="E2" s="61">
        <v>144.0</v>
      </c>
      <c r="F2" s="149"/>
      <c r="G2" s="149"/>
      <c r="H2" s="156">
        <f t="shared" ref="H2:H12" si="2">if(B2="Normal",C2*0.05*D2, if(B2="Flash",C2*0.05*D2, if(and(B2="HT",C2 = 100),D2*1.88, if(and(B2="HT",C2 = 200),D2*3.34, if(and(B2="HT",C2 = 300),D2*4.49, if(and(B2="HT",C2 = 500),D2*6.66, if(and(B2="HT",C2 = 1000),D2*11.17)))))))</f>
        <v>25</v>
      </c>
      <c r="I2" s="157">
        <f t="shared" ref="I2:I12" si="3">H2*$M$3</f>
        <v>17.37784144</v>
      </c>
      <c r="J2" s="149"/>
      <c r="K2" s="149"/>
      <c r="L2" s="152" t="s">
        <v>243</v>
      </c>
      <c r="M2" s="158">
        <f>sum($H:$H)</f>
        <v>40200.62</v>
      </c>
    </row>
    <row r="3">
      <c r="A3" s="28" t="s">
        <v>87</v>
      </c>
      <c r="B3" s="154" t="s">
        <v>15</v>
      </c>
      <c r="C3" s="155">
        <f t="shared" si="1"/>
        <v>100</v>
      </c>
      <c r="D3" s="30">
        <v>11.0</v>
      </c>
      <c r="E3" s="61">
        <v>-45.0</v>
      </c>
      <c r="F3" s="149"/>
      <c r="G3" s="149"/>
      <c r="H3" s="156">
        <f t="shared" si="2"/>
        <v>20.68</v>
      </c>
      <c r="I3" s="157">
        <f t="shared" si="3"/>
        <v>14.37495044</v>
      </c>
      <c r="J3" s="149"/>
      <c r="K3" s="149"/>
      <c r="L3" s="152" t="s">
        <v>244</v>
      </c>
      <c r="M3" s="159">
        <f>M1/M2</f>
        <v>0.6951136575</v>
      </c>
    </row>
    <row r="4">
      <c r="A4" s="23" t="s">
        <v>86</v>
      </c>
      <c r="B4" s="154" t="s">
        <v>11</v>
      </c>
      <c r="C4" s="155">
        <f t="shared" si="1"/>
        <v>100</v>
      </c>
      <c r="D4" s="30">
        <v>35.0</v>
      </c>
      <c r="E4" s="61">
        <v>-458.0</v>
      </c>
      <c r="F4" s="149"/>
      <c r="G4" s="149"/>
      <c r="H4" s="156">
        <f t="shared" si="2"/>
        <v>175</v>
      </c>
      <c r="I4" s="157">
        <f t="shared" si="3"/>
        <v>121.6448901</v>
      </c>
      <c r="J4" s="149"/>
      <c r="K4" s="149"/>
      <c r="L4" s="152"/>
      <c r="M4" s="153"/>
    </row>
    <row r="5">
      <c r="A5" s="28" t="s">
        <v>94</v>
      </c>
      <c r="B5" s="154" t="s">
        <v>15</v>
      </c>
      <c r="C5" s="155">
        <f t="shared" si="1"/>
        <v>200</v>
      </c>
      <c r="D5" s="30">
        <v>46.0</v>
      </c>
      <c r="E5" s="61">
        <v>-8.0</v>
      </c>
      <c r="F5" s="149"/>
      <c r="G5" s="149"/>
      <c r="H5" s="156">
        <f t="shared" si="2"/>
        <v>153.64</v>
      </c>
      <c r="I5" s="157">
        <f t="shared" si="3"/>
        <v>106.7972623</v>
      </c>
      <c r="J5" s="149"/>
      <c r="K5" s="149"/>
      <c r="L5" s="160" t="s">
        <v>245</v>
      </c>
      <c r="M5" s="161">
        <f>SUMIFS(E:E, B:B, "normal")+SUMIFS(E:E, B:B, "flash")+SUMIFS(I:I, B:B, "normal")+SUMIFS(I:I, B:B, "flash")
</f>
        <v>11578.25776</v>
      </c>
    </row>
    <row r="6">
      <c r="A6" s="23" t="s">
        <v>96</v>
      </c>
      <c r="B6" s="154" t="s">
        <v>7</v>
      </c>
      <c r="C6" s="155">
        <f t="shared" si="1"/>
        <v>250</v>
      </c>
      <c r="D6" s="30">
        <v>760.0</v>
      </c>
      <c r="E6" s="61">
        <v>-10150.0</v>
      </c>
      <c r="F6" s="149"/>
      <c r="G6" s="149"/>
      <c r="H6" s="156">
        <f t="shared" si="2"/>
        <v>9500</v>
      </c>
      <c r="I6" s="157">
        <f t="shared" si="3"/>
        <v>6603.579746</v>
      </c>
      <c r="J6" s="149"/>
      <c r="K6" s="149"/>
      <c r="L6" s="160" t="s">
        <v>246</v>
      </c>
      <c r="M6" s="161">
        <f>SUMIFS(E:E, B:B, "HT")+SUMIFS(I:I, B:B, "HT")</f>
        <v>-12510.25776</v>
      </c>
    </row>
    <row r="7">
      <c r="A7" s="23" t="s">
        <v>97</v>
      </c>
      <c r="B7" s="154" t="s">
        <v>11</v>
      </c>
      <c r="C7" s="155">
        <f t="shared" si="1"/>
        <v>250</v>
      </c>
      <c r="D7" s="30">
        <v>333.0</v>
      </c>
      <c r="E7" s="61">
        <v>-5726.0</v>
      </c>
      <c r="F7" s="149"/>
      <c r="G7" s="149"/>
      <c r="H7" s="156">
        <f t="shared" si="2"/>
        <v>4162.5</v>
      </c>
      <c r="I7" s="157">
        <f t="shared" si="3"/>
        <v>2893.410599</v>
      </c>
      <c r="J7" s="149"/>
      <c r="K7" s="149"/>
      <c r="L7" s="160" t="s">
        <v>247</v>
      </c>
      <c r="M7" s="161">
        <f>sum(M5:M6)</f>
        <v>-932</v>
      </c>
    </row>
    <row r="8">
      <c r="A8" s="28" t="s">
        <v>100</v>
      </c>
      <c r="B8" s="154" t="s">
        <v>15</v>
      </c>
      <c r="C8" s="155">
        <f t="shared" si="1"/>
        <v>300</v>
      </c>
      <c r="D8" s="30">
        <v>1845.0</v>
      </c>
      <c r="E8" s="61">
        <v>-17851.0</v>
      </c>
      <c r="F8" s="149"/>
      <c r="G8" s="149"/>
      <c r="H8" s="156">
        <f t="shared" si="2"/>
        <v>8284.05</v>
      </c>
      <c r="I8" s="157">
        <f t="shared" si="3"/>
        <v>5758.356294</v>
      </c>
      <c r="J8" s="149"/>
      <c r="K8" s="149"/>
      <c r="L8" s="149"/>
      <c r="M8" s="162"/>
    </row>
    <row r="9">
      <c r="A9" s="154" t="s">
        <v>101</v>
      </c>
      <c r="B9" s="154" t="s">
        <v>7</v>
      </c>
      <c r="C9" s="155">
        <f t="shared" si="1"/>
        <v>500</v>
      </c>
      <c r="D9" s="30">
        <v>372.0</v>
      </c>
      <c r="E9" s="61">
        <v>-4575.0</v>
      </c>
      <c r="F9" s="149"/>
      <c r="G9" s="149"/>
      <c r="H9" s="156">
        <f t="shared" si="2"/>
        <v>9300</v>
      </c>
      <c r="I9" s="157">
        <f t="shared" si="3"/>
        <v>6464.557014</v>
      </c>
      <c r="J9" s="149"/>
      <c r="K9" s="149"/>
      <c r="L9" s="149"/>
      <c r="M9" s="162"/>
    </row>
    <row r="10">
      <c r="A10" s="28" t="s">
        <v>103</v>
      </c>
      <c r="B10" s="154" t="s">
        <v>15</v>
      </c>
      <c r="C10" s="155">
        <f t="shared" si="1"/>
        <v>500</v>
      </c>
      <c r="D10" s="30">
        <v>21.0</v>
      </c>
      <c r="E10" s="61">
        <v>-526.0</v>
      </c>
      <c r="F10" s="149"/>
      <c r="G10" s="149"/>
      <c r="H10" s="156">
        <f t="shared" si="2"/>
        <v>139.86</v>
      </c>
      <c r="I10" s="157">
        <f t="shared" si="3"/>
        <v>97.21859613</v>
      </c>
      <c r="J10" s="149"/>
      <c r="K10" s="149"/>
      <c r="L10" s="149"/>
      <c r="M10" s="162"/>
    </row>
    <row r="11">
      <c r="A11" s="28" t="s">
        <v>107</v>
      </c>
      <c r="B11" s="154" t="s">
        <v>15</v>
      </c>
      <c r="C11" s="155">
        <f t="shared" si="1"/>
        <v>1000</v>
      </c>
      <c r="D11" s="30">
        <v>17.0</v>
      </c>
      <c r="E11" s="61">
        <v>-189.0</v>
      </c>
      <c r="F11" s="149"/>
      <c r="G11" s="149"/>
      <c r="H11" s="156">
        <f t="shared" si="2"/>
        <v>189.89</v>
      </c>
      <c r="I11" s="157">
        <f t="shared" si="3"/>
        <v>131.9951324</v>
      </c>
      <c r="J11" s="149"/>
      <c r="K11" s="149"/>
      <c r="L11" s="149"/>
      <c r="M11" s="162"/>
    </row>
    <row r="12">
      <c r="A12" s="23" t="s">
        <v>106</v>
      </c>
      <c r="B12" s="154" t="s">
        <v>7</v>
      </c>
      <c r="C12" s="155">
        <f t="shared" si="1"/>
        <v>1000</v>
      </c>
      <c r="D12" s="30">
        <v>165.0</v>
      </c>
      <c r="E12" s="61">
        <v>10508.0</v>
      </c>
      <c r="F12" s="149"/>
      <c r="G12" s="149"/>
      <c r="H12" s="156">
        <f t="shared" si="2"/>
        <v>8250</v>
      </c>
      <c r="I12" s="157">
        <f t="shared" si="3"/>
        <v>5734.687674</v>
      </c>
      <c r="J12" s="149"/>
      <c r="K12" s="149"/>
      <c r="L12" s="149"/>
      <c r="M12" s="162"/>
    </row>
    <row r="13">
      <c r="M13" s="163"/>
    </row>
    <row r="14">
      <c r="M14" s="163"/>
    </row>
    <row r="15">
      <c r="M15" s="163"/>
    </row>
    <row r="16">
      <c r="M16" s="163"/>
    </row>
    <row r="17">
      <c r="M17" s="163"/>
    </row>
    <row r="18">
      <c r="M18" s="163"/>
    </row>
    <row r="19">
      <c r="M19" s="163"/>
    </row>
    <row r="20">
      <c r="M20" s="163"/>
    </row>
    <row r="21">
      <c r="M21" s="163"/>
    </row>
    <row r="22">
      <c r="M22" s="163"/>
    </row>
    <row r="23">
      <c r="M23" s="163"/>
    </row>
    <row r="24">
      <c r="M24" s="163"/>
    </row>
    <row r="25">
      <c r="M25" s="163"/>
    </row>
    <row r="26">
      <c r="M26" s="163"/>
    </row>
    <row r="27">
      <c r="M27" s="163"/>
    </row>
    <row r="28">
      <c r="M28" s="163"/>
    </row>
    <row r="29">
      <c r="M29" s="163"/>
    </row>
    <row r="30">
      <c r="M30" s="163"/>
    </row>
    <row r="31">
      <c r="M31" s="163"/>
    </row>
    <row r="32">
      <c r="M32" s="163"/>
    </row>
    <row r="33">
      <c r="M33" s="163"/>
    </row>
    <row r="34">
      <c r="M34" s="163"/>
    </row>
    <row r="35">
      <c r="M35" s="163"/>
    </row>
    <row r="36">
      <c r="M36" s="163"/>
    </row>
    <row r="37">
      <c r="M37" s="163"/>
    </row>
    <row r="38">
      <c r="M38" s="163"/>
    </row>
    <row r="39">
      <c r="M39" s="163"/>
    </row>
    <row r="40">
      <c r="M40" s="163"/>
    </row>
    <row r="41">
      <c r="M41" s="163"/>
    </row>
    <row r="42">
      <c r="M42" s="163"/>
    </row>
    <row r="43">
      <c r="M43" s="163"/>
    </row>
    <row r="44">
      <c r="M44" s="163"/>
    </row>
    <row r="45">
      <c r="M45" s="163"/>
    </row>
    <row r="46">
      <c r="M46" s="163"/>
    </row>
    <row r="47">
      <c r="M47" s="163"/>
    </row>
    <row r="48">
      <c r="M48" s="163"/>
    </row>
    <row r="49">
      <c r="M49" s="163"/>
    </row>
    <row r="50">
      <c r="M50" s="163"/>
    </row>
    <row r="51">
      <c r="M51" s="163"/>
    </row>
    <row r="52">
      <c r="M52" s="163"/>
    </row>
    <row r="53">
      <c r="M53" s="163"/>
    </row>
    <row r="54">
      <c r="M54" s="163"/>
    </row>
    <row r="55">
      <c r="M55" s="163"/>
    </row>
    <row r="56">
      <c r="M56" s="163"/>
    </row>
    <row r="57">
      <c r="M57" s="163"/>
    </row>
    <row r="58">
      <c r="M58" s="163"/>
    </row>
    <row r="59">
      <c r="M59" s="163"/>
    </row>
    <row r="60">
      <c r="M60" s="163"/>
    </row>
    <row r="61">
      <c r="M61" s="163"/>
    </row>
    <row r="62">
      <c r="M62" s="163"/>
    </row>
    <row r="63">
      <c r="M63" s="163"/>
    </row>
    <row r="64">
      <c r="M64" s="163"/>
    </row>
    <row r="65">
      <c r="M65" s="163"/>
    </row>
    <row r="66">
      <c r="M66" s="163"/>
    </row>
    <row r="67">
      <c r="M67" s="163"/>
    </row>
    <row r="68">
      <c r="M68" s="163"/>
    </row>
    <row r="69">
      <c r="M69" s="163"/>
    </row>
    <row r="70">
      <c r="M70" s="163"/>
    </row>
    <row r="71">
      <c r="M71" s="163"/>
    </row>
    <row r="72">
      <c r="M72" s="163"/>
    </row>
    <row r="73">
      <c r="M73" s="163"/>
    </row>
    <row r="74">
      <c r="M74" s="163"/>
    </row>
    <row r="75">
      <c r="M75" s="163"/>
    </row>
    <row r="76">
      <c r="M76" s="163"/>
    </row>
    <row r="77">
      <c r="M77" s="163"/>
    </row>
    <row r="78">
      <c r="M78" s="163"/>
    </row>
    <row r="79">
      <c r="M79" s="163"/>
    </row>
    <row r="80">
      <c r="M80" s="163"/>
    </row>
    <row r="81">
      <c r="M81" s="163"/>
    </row>
    <row r="82">
      <c r="M82" s="163"/>
    </row>
    <row r="83">
      <c r="M83" s="163"/>
    </row>
    <row r="84">
      <c r="M84" s="163"/>
    </row>
    <row r="85">
      <c r="M85" s="163"/>
    </row>
    <row r="86">
      <c r="M86" s="163"/>
    </row>
    <row r="87">
      <c r="M87" s="163"/>
    </row>
    <row r="88">
      <c r="M88" s="163"/>
    </row>
    <row r="89">
      <c r="M89" s="163"/>
    </row>
    <row r="90">
      <c r="M90" s="163"/>
    </row>
    <row r="91">
      <c r="M91" s="163"/>
    </row>
    <row r="92">
      <c r="M92" s="163"/>
    </row>
    <row r="93">
      <c r="M93" s="163"/>
    </row>
    <row r="94">
      <c r="M94" s="163"/>
    </row>
    <row r="95">
      <c r="M95" s="163"/>
    </row>
    <row r="96">
      <c r="M96" s="163"/>
    </row>
    <row r="97">
      <c r="M97" s="163"/>
    </row>
    <row r="98">
      <c r="M98" s="163"/>
    </row>
    <row r="99">
      <c r="M99" s="163"/>
    </row>
    <row r="100">
      <c r="M100" s="163"/>
    </row>
    <row r="101">
      <c r="M101" s="163"/>
    </row>
    <row r="102">
      <c r="M102" s="163"/>
    </row>
    <row r="103">
      <c r="M103" s="163"/>
    </row>
    <row r="104">
      <c r="M104" s="163"/>
    </row>
    <row r="105">
      <c r="M105" s="163"/>
    </row>
    <row r="106">
      <c r="M106" s="163"/>
    </row>
    <row r="107">
      <c r="M107" s="163"/>
    </row>
    <row r="108">
      <c r="M108" s="163"/>
    </row>
    <row r="109">
      <c r="M109" s="163"/>
    </row>
    <row r="110">
      <c r="M110" s="163"/>
    </row>
    <row r="111">
      <c r="M111" s="163"/>
    </row>
    <row r="112">
      <c r="M112" s="163"/>
    </row>
    <row r="113">
      <c r="M113" s="163"/>
    </row>
    <row r="114">
      <c r="M114" s="163"/>
    </row>
    <row r="115">
      <c r="M115" s="163"/>
    </row>
    <row r="116">
      <c r="M116" s="163"/>
    </row>
    <row r="117">
      <c r="M117" s="163"/>
    </row>
    <row r="118">
      <c r="M118" s="163"/>
    </row>
    <row r="119">
      <c r="M119" s="163"/>
    </row>
    <row r="120">
      <c r="M120" s="163"/>
    </row>
    <row r="121">
      <c r="M121" s="163"/>
    </row>
    <row r="122">
      <c r="M122" s="163"/>
    </row>
    <row r="123">
      <c r="M123" s="163"/>
    </row>
    <row r="124">
      <c r="M124" s="163"/>
    </row>
    <row r="125">
      <c r="M125" s="163"/>
    </row>
    <row r="126">
      <c r="M126" s="163"/>
    </row>
    <row r="127">
      <c r="M127" s="163"/>
    </row>
    <row r="128">
      <c r="M128" s="163"/>
    </row>
    <row r="129">
      <c r="M129" s="163"/>
    </row>
    <row r="130">
      <c r="M130" s="163"/>
    </row>
    <row r="131">
      <c r="M131" s="163"/>
    </row>
    <row r="132">
      <c r="M132" s="163"/>
    </row>
    <row r="133">
      <c r="M133" s="163"/>
    </row>
    <row r="134">
      <c r="M134" s="163"/>
    </row>
    <row r="135">
      <c r="M135" s="163"/>
    </row>
    <row r="136">
      <c r="M136" s="163"/>
    </row>
    <row r="137">
      <c r="M137" s="163"/>
    </row>
    <row r="138">
      <c r="M138" s="163"/>
    </row>
    <row r="139">
      <c r="M139" s="163"/>
    </row>
    <row r="140">
      <c r="M140" s="163"/>
    </row>
    <row r="141">
      <c r="M141" s="163"/>
    </row>
    <row r="142">
      <c r="M142" s="163"/>
    </row>
    <row r="143">
      <c r="M143" s="163"/>
    </row>
    <row r="144">
      <c r="M144" s="163"/>
    </row>
    <row r="145">
      <c r="M145" s="163"/>
    </row>
    <row r="146">
      <c r="M146" s="163"/>
    </row>
    <row r="147">
      <c r="M147" s="163"/>
    </row>
    <row r="148">
      <c r="M148" s="163"/>
    </row>
    <row r="149">
      <c r="M149" s="163"/>
    </row>
    <row r="150">
      <c r="M150" s="163"/>
    </row>
    <row r="151">
      <c r="M151" s="163"/>
    </row>
    <row r="152">
      <c r="M152" s="163"/>
    </row>
    <row r="153">
      <c r="M153" s="163"/>
    </row>
    <row r="154">
      <c r="M154" s="163"/>
    </row>
    <row r="155">
      <c r="M155" s="163"/>
    </row>
    <row r="156">
      <c r="M156" s="163"/>
    </row>
    <row r="157">
      <c r="M157" s="163"/>
    </row>
    <row r="158">
      <c r="M158" s="163"/>
    </row>
    <row r="159">
      <c r="M159" s="163"/>
    </row>
    <row r="160">
      <c r="M160" s="163"/>
    </row>
    <row r="161">
      <c r="M161" s="163"/>
    </row>
    <row r="162">
      <c r="M162" s="163"/>
    </row>
    <row r="163">
      <c r="M163" s="163"/>
    </row>
    <row r="164">
      <c r="M164" s="163"/>
    </row>
    <row r="165">
      <c r="M165" s="163"/>
    </row>
    <row r="166">
      <c r="M166" s="163"/>
    </row>
    <row r="167">
      <c r="M167" s="163"/>
    </row>
    <row r="168">
      <c r="M168" s="163"/>
    </row>
    <row r="169">
      <c r="M169" s="163"/>
    </row>
    <row r="170">
      <c r="M170" s="163"/>
    </row>
    <row r="171">
      <c r="M171" s="163"/>
    </row>
    <row r="172">
      <c r="M172" s="163"/>
    </row>
    <row r="173">
      <c r="M173" s="163"/>
    </row>
    <row r="174">
      <c r="M174" s="163"/>
    </row>
    <row r="175">
      <c r="M175" s="163"/>
    </row>
    <row r="176">
      <c r="M176" s="163"/>
    </row>
    <row r="177">
      <c r="M177" s="163"/>
    </row>
    <row r="178">
      <c r="M178" s="163"/>
    </row>
    <row r="179">
      <c r="M179" s="163"/>
    </row>
    <row r="180">
      <c r="M180" s="163"/>
    </row>
    <row r="181">
      <c r="M181" s="163"/>
    </row>
    <row r="182">
      <c r="M182" s="163"/>
    </row>
    <row r="183">
      <c r="M183" s="163"/>
    </row>
    <row r="184">
      <c r="M184" s="163"/>
    </row>
    <row r="185">
      <c r="M185" s="163"/>
    </row>
    <row r="186">
      <c r="M186" s="163"/>
    </row>
    <row r="187">
      <c r="M187" s="163"/>
    </row>
    <row r="188">
      <c r="M188" s="163"/>
    </row>
    <row r="189">
      <c r="M189" s="163"/>
    </row>
    <row r="190">
      <c r="M190" s="163"/>
    </row>
    <row r="191">
      <c r="M191" s="163"/>
    </row>
    <row r="192">
      <c r="M192" s="163"/>
    </row>
    <row r="193">
      <c r="M193" s="163"/>
    </row>
    <row r="194">
      <c r="M194" s="163"/>
    </row>
    <row r="195">
      <c r="M195" s="163"/>
    </row>
    <row r="196">
      <c r="M196" s="163"/>
    </row>
    <row r="197">
      <c r="M197" s="163"/>
    </row>
    <row r="198">
      <c r="M198" s="163"/>
    </row>
    <row r="199">
      <c r="M199" s="163"/>
    </row>
    <row r="200">
      <c r="M200" s="163"/>
    </row>
    <row r="201">
      <c r="M201" s="163"/>
    </row>
    <row r="202">
      <c r="M202" s="163"/>
    </row>
    <row r="203">
      <c r="M203" s="163"/>
    </row>
    <row r="204">
      <c r="M204" s="163"/>
    </row>
    <row r="205">
      <c r="M205" s="163"/>
    </row>
    <row r="206">
      <c r="M206" s="163"/>
    </row>
    <row r="207">
      <c r="M207" s="163"/>
    </row>
    <row r="208">
      <c r="M208" s="163"/>
    </row>
    <row r="209">
      <c r="M209" s="163"/>
    </row>
    <row r="210">
      <c r="M210" s="163"/>
    </row>
    <row r="211">
      <c r="M211" s="163"/>
    </row>
    <row r="212">
      <c r="M212" s="163"/>
    </row>
    <row r="213">
      <c r="M213" s="163"/>
    </row>
    <row r="214">
      <c r="M214" s="163"/>
    </row>
    <row r="215">
      <c r="M215" s="163"/>
    </row>
    <row r="216">
      <c r="M216" s="163"/>
    </row>
    <row r="217">
      <c r="M217" s="163"/>
    </row>
    <row r="218">
      <c r="M218" s="163"/>
    </row>
    <row r="219">
      <c r="M219" s="163"/>
    </row>
    <row r="220">
      <c r="M220" s="163"/>
    </row>
    <row r="221">
      <c r="M221" s="163"/>
    </row>
    <row r="222">
      <c r="M222" s="163"/>
    </row>
    <row r="223">
      <c r="M223" s="163"/>
    </row>
    <row r="224">
      <c r="M224" s="163"/>
    </row>
    <row r="225">
      <c r="M225" s="163"/>
    </row>
    <row r="226">
      <c r="M226" s="163"/>
    </row>
    <row r="227">
      <c r="M227" s="163"/>
    </row>
    <row r="228">
      <c r="M228" s="163"/>
    </row>
    <row r="229">
      <c r="M229" s="163"/>
    </row>
    <row r="230">
      <c r="M230" s="163"/>
    </row>
    <row r="231">
      <c r="M231" s="163"/>
    </row>
    <row r="232">
      <c r="M232" s="163"/>
    </row>
    <row r="233">
      <c r="M233" s="163"/>
    </row>
    <row r="234">
      <c r="M234" s="163"/>
    </row>
    <row r="235">
      <c r="M235" s="163"/>
    </row>
    <row r="236">
      <c r="M236" s="163"/>
    </row>
    <row r="237">
      <c r="M237" s="163"/>
    </row>
    <row r="238">
      <c r="M238" s="163"/>
    </row>
    <row r="239">
      <c r="M239" s="163"/>
    </row>
    <row r="240">
      <c r="M240" s="163"/>
    </row>
    <row r="241">
      <c r="M241" s="163"/>
    </row>
    <row r="242">
      <c r="M242" s="163"/>
    </row>
    <row r="243">
      <c r="M243" s="163"/>
    </row>
    <row r="244">
      <c r="M244" s="163"/>
    </row>
    <row r="245">
      <c r="M245" s="163"/>
    </row>
    <row r="246">
      <c r="M246" s="163"/>
    </row>
    <row r="247">
      <c r="M247" s="163"/>
    </row>
    <row r="248">
      <c r="M248" s="163"/>
    </row>
    <row r="249">
      <c r="M249" s="163"/>
    </row>
    <row r="250">
      <c r="M250" s="163"/>
    </row>
    <row r="251">
      <c r="M251" s="163"/>
    </row>
    <row r="252">
      <c r="M252" s="163"/>
    </row>
    <row r="253">
      <c r="M253" s="163"/>
    </row>
    <row r="254">
      <c r="M254" s="163"/>
    </row>
    <row r="255">
      <c r="M255" s="163"/>
    </row>
    <row r="256">
      <c r="M256" s="163"/>
    </row>
    <row r="257">
      <c r="M257" s="163"/>
    </row>
    <row r="258">
      <c r="M258" s="163"/>
    </row>
    <row r="259">
      <c r="M259" s="163"/>
    </row>
    <row r="260">
      <c r="M260" s="163"/>
    </row>
    <row r="261">
      <c r="M261" s="163"/>
    </row>
    <row r="262">
      <c r="M262" s="163"/>
    </row>
    <row r="263">
      <c r="M263" s="163"/>
    </row>
    <row r="264">
      <c r="M264" s="163"/>
    </row>
    <row r="265">
      <c r="M265" s="163"/>
    </row>
    <row r="266">
      <c r="M266" s="163"/>
    </row>
    <row r="267">
      <c r="M267" s="163"/>
    </row>
    <row r="268">
      <c r="M268" s="163"/>
    </row>
    <row r="269">
      <c r="M269" s="163"/>
    </row>
    <row r="270">
      <c r="M270" s="163"/>
    </row>
    <row r="271">
      <c r="M271" s="163"/>
    </row>
    <row r="272">
      <c r="M272" s="163"/>
    </row>
    <row r="273">
      <c r="M273" s="163"/>
    </row>
    <row r="274">
      <c r="M274" s="163"/>
    </row>
    <row r="275">
      <c r="M275" s="163"/>
    </row>
    <row r="276">
      <c r="M276" s="163"/>
    </row>
    <row r="277">
      <c r="M277" s="163"/>
    </row>
    <row r="278">
      <c r="M278" s="163"/>
    </row>
    <row r="279">
      <c r="M279" s="163"/>
    </row>
    <row r="280">
      <c r="M280" s="163"/>
    </row>
    <row r="281">
      <c r="M281" s="163"/>
    </row>
    <row r="282">
      <c r="M282" s="163"/>
    </row>
    <row r="283">
      <c r="M283" s="163"/>
    </row>
    <row r="284">
      <c r="M284" s="163"/>
    </row>
    <row r="285">
      <c r="M285" s="163"/>
    </row>
    <row r="286">
      <c r="M286" s="163"/>
    </row>
    <row r="287">
      <c r="M287" s="163"/>
    </row>
    <row r="288">
      <c r="M288" s="163"/>
    </row>
    <row r="289">
      <c r="M289" s="163"/>
    </row>
    <row r="290">
      <c r="M290" s="163"/>
    </row>
    <row r="291">
      <c r="M291" s="163"/>
    </row>
    <row r="292">
      <c r="M292" s="163"/>
    </row>
    <row r="293">
      <c r="M293" s="163"/>
    </row>
    <row r="294">
      <c r="M294" s="163"/>
    </row>
    <row r="295">
      <c r="M295" s="163"/>
    </row>
    <row r="296">
      <c r="M296" s="163"/>
    </row>
    <row r="297">
      <c r="M297" s="163"/>
    </row>
    <row r="298">
      <c r="M298" s="163"/>
    </row>
    <row r="299">
      <c r="M299" s="163"/>
    </row>
    <row r="300">
      <c r="M300" s="163"/>
    </row>
    <row r="301">
      <c r="M301" s="163"/>
    </row>
    <row r="302">
      <c r="M302" s="163"/>
    </row>
    <row r="303">
      <c r="M303" s="163"/>
    </row>
    <row r="304">
      <c r="M304" s="163"/>
    </row>
    <row r="305">
      <c r="M305" s="163"/>
    </row>
    <row r="306">
      <c r="M306" s="163"/>
    </row>
    <row r="307">
      <c r="M307" s="163"/>
    </row>
    <row r="308">
      <c r="M308" s="163"/>
    </row>
    <row r="309">
      <c r="M309" s="163"/>
    </row>
    <row r="310">
      <c r="M310" s="163"/>
    </row>
    <row r="311">
      <c r="M311" s="163"/>
    </row>
    <row r="312">
      <c r="M312" s="163"/>
    </row>
    <row r="313">
      <c r="M313" s="163"/>
    </row>
    <row r="314">
      <c r="M314" s="163"/>
    </row>
    <row r="315">
      <c r="M315" s="163"/>
    </row>
    <row r="316">
      <c r="M316" s="163"/>
    </row>
    <row r="317">
      <c r="M317" s="163"/>
    </row>
    <row r="318">
      <c r="M318" s="163"/>
    </row>
    <row r="319">
      <c r="M319" s="163"/>
    </row>
    <row r="320">
      <c r="M320" s="163"/>
    </row>
    <row r="321">
      <c r="M321" s="163"/>
    </row>
    <row r="322">
      <c r="M322" s="163"/>
    </row>
    <row r="323">
      <c r="M323" s="163"/>
    </row>
    <row r="324">
      <c r="M324" s="163"/>
    </row>
    <row r="325">
      <c r="M325" s="163"/>
    </row>
    <row r="326">
      <c r="M326" s="163"/>
    </row>
    <row r="327">
      <c r="M327" s="163"/>
    </row>
    <row r="328">
      <c r="M328" s="163"/>
    </row>
    <row r="329">
      <c r="M329" s="163"/>
    </row>
    <row r="330">
      <c r="M330" s="163"/>
    </row>
    <row r="331">
      <c r="M331" s="163"/>
    </row>
    <row r="332">
      <c r="M332" s="163"/>
    </row>
    <row r="333">
      <c r="M333" s="163"/>
    </row>
    <row r="334">
      <c r="M334" s="163"/>
    </row>
    <row r="335">
      <c r="M335" s="163"/>
    </row>
    <row r="336">
      <c r="M336" s="163"/>
    </row>
    <row r="337">
      <c r="M337" s="163"/>
    </row>
    <row r="338">
      <c r="M338" s="163"/>
    </row>
    <row r="339">
      <c r="M339" s="163"/>
    </row>
    <row r="340">
      <c r="M340" s="163"/>
    </row>
    <row r="341">
      <c r="M341" s="163"/>
    </row>
    <row r="342">
      <c r="M342" s="163"/>
    </row>
    <row r="343">
      <c r="M343" s="163"/>
    </row>
    <row r="344">
      <c r="M344" s="163"/>
    </row>
    <row r="345">
      <c r="M345" s="163"/>
    </row>
    <row r="346">
      <c r="M346" s="163"/>
    </row>
    <row r="347">
      <c r="M347" s="163"/>
    </row>
    <row r="348">
      <c r="M348" s="163"/>
    </row>
    <row r="349">
      <c r="M349" s="163"/>
    </row>
    <row r="350">
      <c r="M350" s="163"/>
    </row>
    <row r="351">
      <c r="M351" s="163"/>
    </row>
    <row r="352">
      <c r="M352" s="163"/>
    </row>
    <row r="353">
      <c r="M353" s="163"/>
    </row>
    <row r="354">
      <c r="M354" s="163"/>
    </row>
    <row r="355">
      <c r="M355" s="163"/>
    </row>
    <row r="356">
      <c r="M356" s="163"/>
    </row>
    <row r="357">
      <c r="M357" s="163"/>
    </row>
    <row r="358">
      <c r="M358" s="163"/>
    </row>
    <row r="359">
      <c r="M359" s="163"/>
    </row>
    <row r="360">
      <c r="M360" s="163"/>
    </row>
    <row r="361">
      <c r="M361" s="163"/>
    </row>
    <row r="362">
      <c r="M362" s="163"/>
    </row>
    <row r="363">
      <c r="M363" s="163"/>
    </row>
    <row r="364">
      <c r="M364" s="163"/>
    </row>
    <row r="365">
      <c r="M365" s="163"/>
    </row>
    <row r="366">
      <c r="M366" s="163"/>
    </row>
    <row r="367">
      <c r="M367" s="163"/>
    </row>
    <row r="368">
      <c r="M368" s="163"/>
    </row>
    <row r="369">
      <c r="M369" s="163"/>
    </row>
    <row r="370">
      <c r="M370" s="163"/>
    </row>
    <row r="371">
      <c r="M371" s="163"/>
    </row>
    <row r="372">
      <c r="M372" s="163"/>
    </row>
    <row r="373">
      <c r="M373" s="163"/>
    </row>
    <row r="374">
      <c r="M374" s="163"/>
    </row>
    <row r="375">
      <c r="M375" s="163"/>
    </row>
    <row r="376">
      <c r="M376" s="163"/>
    </row>
    <row r="377">
      <c r="M377" s="163"/>
    </row>
    <row r="378">
      <c r="M378" s="163"/>
    </row>
    <row r="379">
      <c r="M379" s="163"/>
    </row>
    <row r="380">
      <c r="M380" s="163"/>
    </row>
    <row r="381">
      <c r="M381" s="163"/>
    </row>
    <row r="382">
      <c r="M382" s="163"/>
    </row>
    <row r="383">
      <c r="M383" s="163"/>
    </row>
    <row r="384">
      <c r="M384" s="163"/>
    </row>
    <row r="385">
      <c r="M385" s="163"/>
    </row>
    <row r="386">
      <c r="M386" s="163"/>
    </row>
    <row r="387">
      <c r="M387" s="163"/>
    </row>
    <row r="388">
      <c r="M388" s="163"/>
    </row>
    <row r="389">
      <c r="M389" s="163"/>
    </row>
    <row r="390">
      <c r="M390" s="163"/>
    </row>
    <row r="391">
      <c r="M391" s="163"/>
    </row>
    <row r="392">
      <c r="M392" s="163"/>
    </row>
    <row r="393">
      <c r="M393" s="163"/>
    </row>
    <row r="394">
      <c r="M394" s="163"/>
    </row>
    <row r="395">
      <c r="M395" s="163"/>
    </row>
    <row r="396">
      <c r="M396" s="163"/>
    </row>
    <row r="397">
      <c r="M397" s="163"/>
    </row>
    <row r="398">
      <c r="M398" s="163"/>
    </row>
    <row r="399">
      <c r="M399" s="163"/>
    </row>
    <row r="400">
      <c r="M400" s="163"/>
    </row>
    <row r="401">
      <c r="M401" s="163"/>
    </row>
    <row r="402">
      <c r="M402" s="163"/>
    </row>
    <row r="403">
      <c r="M403" s="163"/>
    </row>
    <row r="404">
      <c r="M404" s="163"/>
    </row>
    <row r="405">
      <c r="M405" s="163"/>
    </row>
    <row r="406">
      <c r="M406" s="163"/>
    </row>
    <row r="407">
      <c r="M407" s="163"/>
    </row>
    <row r="408">
      <c r="M408" s="163"/>
    </row>
    <row r="409">
      <c r="M409" s="163"/>
    </row>
    <row r="410">
      <c r="M410" s="163"/>
    </row>
    <row r="411">
      <c r="M411" s="163"/>
    </row>
    <row r="412">
      <c r="M412" s="163"/>
    </row>
    <row r="413">
      <c r="M413" s="163"/>
    </row>
    <row r="414">
      <c r="M414" s="163"/>
    </row>
    <row r="415">
      <c r="M415" s="163"/>
    </row>
    <row r="416">
      <c r="M416" s="163"/>
    </row>
    <row r="417">
      <c r="M417" s="163"/>
    </row>
    <row r="418">
      <c r="M418" s="163"/>
    </row>
    <row r="419">
      <c r="M419" s="163"/>
    </row>
    <row r="420">
      <c r="M420" s="163"/>
    </row>
    <row r="421">
      <c r="M421" s="163"/>
    </row>
    <row r="422">
      <c r="M422" s="163"/>
    </row>
    <row r="423">
      <c r="M423" s="163"/>
    </row>
    <row r="424">
      <c r="M424" s="163"/>
    </row>
    <row r="425">
      <c r="M425" s="163"/>
    </row>
    <row r="426">
      <c r="M426" s="163"/>
    </row>
    <row r="427">
      <c r="M427" s="163"/>
    </row>
    <row r="428">
      <c r="M428" s="163"/>
    </row>
    <row r="429">
      <c r="M429" s="163"/>
    </row>
    <row r="430">
      <c r="M430" s="163"/>
    </row>
    <row r="431">
      <c r="M431" s="163"/>
    </row>
    <row r="432">
      <c r="M432" s="163"/>
    </row>
    <row r="433">
      <c r="M433" s="163"/>
    </row>
    <row r="434">
      <c r="M434" s="163"/>
    </row>
    <row r="435">
      <c r="M435" s="163"/>
    </row>
    <row r="436">
      <c r="M436" s="163"/>
    </row>
    <row r="437">
      <c r="M437" s="163"/>
    </row>
    <row r="438">
      <c r="M438" s="163"/>
    </row>
    <row r="439">
      <c r="M439" s="163"/>
    </row>
    <row r="440">
      <c r="M440" s="163"/>
    </row>
    <row r="441">
      <c r="M441" s="163"/>
    </row>
    <row r="442">
      <c r="M442" s="163"/>
    </row>
    <row r="443">
      <c r="M443" s="163"/>
    </row>
    <row r="444">
      <c r="M444" s="163"/>
    </row>
    <row r="445">
      <c r="M445" s="163"/>
    </row>
    <row r="446">
      <c r="M446" s="163"/>
    </row>
    <row r="447">
      <c r="M447" s="163"/>
    </row>
    <row r="448">
      <c r="M448" s="163"/>
    </row>
    <row r="449">
      <c r="M449" s="163"/>
    </row>
    <row r="450">
      <c r="M450" s="163"/>
    </row>
    <row r="451">
      <c r="M451" s="163"/>
    </row>
    <row r="452">
      <c r="M452" s="163"/>
    </row>
    <row r="453">
      <c r="M453" s="163"/>
    </row>
    <row r="454">
      <c r="M454" s="163"/>
    </row>
    <row r="455">
      <c r="M455" s="163"/>
    </row>
    <row r="456">
      <c r="M456" s="163"/>
    </row>
    <row r="457">
      <c r="M457" s="163"/>
    </row>
    <row r="458">
      <c r="M458" s="163"/>
    </row>
    <row r="459">
      <c r="M459" s="163"/>
    </row>
    <row r="460">
      <c r="M460" s="163"/>
    </row>
    <row r="461">
      <c r="M461" s="163"/>
    </row>
    <row r="462">
      <c r="M462" s="163"/>
    </row>
    <row r="463">
      <c r="M463" s="163"/>
    </row>
    <row r="464">
      <c r="M464" s="163"/>
    </row>
    <row r="465">
      <c r="M465" s="163"/>
    </row>
    <row r="466">
      <c r="M466" s="163"/>
    </row>
    <row r="467">
      <c r="M467" s="163"/>
    </row>
    <row r="468">
      <c r="M468" s="163"/>
    </row>
    <row r="469">
      <c r="M469" s="163"/>
    </row>
    <row r="470">
      <c r="M470" s="163"/>
    </row>
    <row r="471">
      <c r="M471" s="163"/>
    </row>
    <row r="472">
      <c r="M472" s="163"/>
    </row>
    <row r="473">
      <c r="M473" s="163"/>
    </row>
    <row r="474">
      <c r="M474" s="163"/>
    </row>
    <row r="475">
      <c r="M475" s="163"/>
    </row>
    <row r="476">
      <c r="M476" s="163"/>
    </row>
    <row r="477">
      <c r="M477" s="163"/>
    </row>
    <row r="478">
      <c r="M478" s="163"/>
    </row>
    <row r="479">
      <c r="M479" s="163"/>
    </row>
    <row r="480">
      <c r="M480" s="163"/>
    </row>
    <row r="481">
      <c r="M481" s="163"/>
    </row>
    <row r="482">
      <c r="M482" s="163"/>
    </row>
    <row r="483">
      <c r="M483" s="163"/>
    </row>
    <row r="484">
      <c r="M484" s="163"/>
    </row>
    <row r="485">
      <c r="M485" s="163"/>
    </row>
    <row r="486">
      <c r="M486" s="163"/>
    </row>
    <row r="487">
      <c r="M487" s="163"/>
    </row>
    <row r="488">
      <c r="M488" s="163"/>
    </row>
    <row r="489">
      <c r="M489" s="163"/>
    </row>
    <row r="490">
      <c r="M490" s="163"/>
    </row>
    <row r="491">
      <c r="M491" s="163"/>
    </row>
    <row r="492">
      <c r="M492" s="163"/>
    </row>
    <row r="493">
      <c r="M493" s="163"/>
    </row>
    <row r="494">
      <c r="M494" s="163"/>
    </row>
    <row r="495">
      <c r="M495" s="163"/>
    </row>
    <row r="496">
      <c r="M496" s="163"/>
    </row>
    <row r="497">
      <c r="M497" s="163"/>
    </row>
    <row r="498">
      <c r="M498" s="163"/>
    </row>
    <row r="499">
      <c r="M499" s="163"/>
    </row>
    <row r="500">
      <c r="M500" s="163"/>
    </row>
    <row r="501">
      <c r="M501" s="163"/>
    </row>
    <row r="502">
      <c r="M502" s="163"/>
    </row>
    <row r="503">
      <c r="M503" s="163"/>
    </row>
    <row r="504">
      <c r="M504" s="163"/>
    </row>
    <row r="505">
      <c r="M505" s="163"/>
    </row>
    <row r="506">
      <c r="M506" s="163"/>
    </row>
    <row r="507">
      <c r="M507" s="163"/>
    </row>
    <row r="508">
      <c r="M508" s="163"/>
    </row>
    <row r="509">
      <c r="M509" s="163"/>
    </row>
    <row r="510">
      <c r="M510" s="163"/>
    </row>
    <row r="511">
      <c r="M511" s="163"/>
    </row>
    <row r="512">
      <c r="M512" s="163"/>
    </row>
    <row r="513">
      <c r="M513" s="163"/>
    </row>
    <row r="514">
      <c r="M514" s="163"/>
    </row>
    <row r="515">
      <c r="M515" s="163"/>
    </row>
    <row r="516">
      <c r="M516" s="163"/>
    </row>
    <row r="517">
      <c r="M517" s="163"/>
    </row>
    <row r="518">
      <c r="M518" s="163"/>
    </row>
    <row r="519">
      <c r="M519" s="163"/>
    </row>
    <row r="520">
      <c r="M520" s="163"/>
    </row>
    <row r="521">
      <c r="M521" s="163"/>
    </row>
    <row r="522">
      <c r="M522" s="163"/>
    </row>
    <row r="523">
      <c r="M523" s="163"/>
    </row>
    <row r="524">
      <c r="M524" s="163"/>
    </row>
    <row r="525">
      <c r="M525" s="163"/>
    </row>
    <row r="526">
      <c r="M526" s="163"/>
    </row>
    <row r="527">
      <c r="M527" s="163"/>
    </row>
    <row r="528">
      <c r="M528" s="163"/>
    </row>
    <row r="529">
      <c r="M529" s="163"/>
    </row>
    <row r="530">
      <c r="M530" s="163"/>
    </row>
    <row r="531">
      <c r="M531" s="163"/>
    </row>
    <row r="532">
      <c r="M532" s="163"/>
    </row>
    <row r="533">
      <c r="M533" s="163"/>
    </row>
    <row r="534">
      <c r="M534" s="163"/>
    </row>
    <row r="535">
      <c r="M535" s="163"/>
    </row>
    <row r="536">
      <c r="M536" s="163"/>
    </row>
    <row r="537">
      <c r="M537" s="163"/>
    </row>
    <row r="538">
      <c r="M538" s="163"/>
    </row>
    <row r="539">
      <c r="M539" s="163"/>
    </row>
    <row r="540">
      <c r="M540" s="163"/>
    </row>
    <row r="541">
      <c r="M541" s="163"/>
    </row>
    <row r="542">
      <c r="M542" s="163"/>
    </row>
    <row r="543">
      <c r="M543" s="163"/>
    </row>
    <row r="544">
      <c r="M544" s="163"/>
    </row>
    <row r="545">
      <c r="M545" s="163"/>
    </row>
    <row r="546">
      <c r="M546" s="163"/>
    </row>
    <row r="547">
      <c r="M547" s="163"/>
    </row>
    <row r="548">
      <c r="M548" s="163"/>
    </row>
    <row r="549">
      <c r="M549" s="163"/>
    </row>
    <row r="550">
      <c r="M550" s="163"/>
    </row>
    <row r="551">
      <c r="M551" s="163"/>
    </row>
    <row r="552">
      <c r="M552" s="163"/>
    </row>
    <row r="553">
      <c r="M553" s="163"/>
    </row>
    <row r="554">
      <c r="M554" s="163"/>
    </row>
    <row r="555">
      <c r="M555" s="163"/>
    </row>
    <row r="556">
      <c r="M556" s="163"/>
    </row>
    <row r="557">
      <c r="M557" s="163"/>
    </row>
    <row r="558">
      <c r="M558" s="163"/>
    </row>
    <row r="559">
      <c r="M559" s="163"/>
    </row>
    <row r="560">
      <c r="M560" s="163"/>
    </row>
    <row r="561">
      <c r="M561" s="163"/>
    </row>
    <row r="562">
      <c r="M562" s="163"/>
    </row>
    <row r="563">
      <c r="M563" s="163"/>
    </row>
    <row r="564">
      <c r="M564" s="163"/>
    </row>
    <row r="565">
      <c r="M565" s="163"/>
    </row>
    <row r="566">
      <c r="M566" s="163"/>
    </row>
    <row r="567">
      <c r="M567" s="163"/>
    </row>
    <row r="568">
      <c r="M568" s="163"/>
    </row>
    <row r="569">
      <c r="M569" s="163"/>
    </row>
    <row r="570">
      <c r="M570" s="163"/>
    </row>
    <row r="571">
      <c r="M571" s="163"/>
    </row>
    <row r="572">
      <c r="M572" s="163"/>
    </row>
    <row r="573">
      <c r="M573" s="163"/>
    </row>
    <row r="574">
      <c r="M574" s="163"/>
    </row>
    <row r="575">
      <c r="M575" s="163"/>
    </row>
    <row r="576">
      <c r="M576" s="163"/>
    </row>
    <row r="577">
      <c r="M577" s="163"/>
    </row>
    <row r="578">
      <c r="M578" s="163"/>
    </row>
    <row r="579">
      <c r="M579" s="163"/>
    </row>
    <row r="580">
      <c r="M580" s="163"/>
    </row>
    <row r="581">
      <c r="M581" s="163"/>
    </row>
    <row r="582">
      <c r="M582" s="163"/>
    </row>
    <row r="583">
      <c r="M583" s="163"/>
    </row>
    <row r="584">
      <c r="M584" s="163"/>
    </row>
    <row r="585">
      <c r="M585" s="163"/>
    </row>
    <row r="586">
      <c r="M586" s="163"/>
    </row>
    <row r="587">
      <c r="M587" s="163"/>
    </row>
    <row r="588">
      <c r="M588" s="163"/>
    </row>
    <row r="589">
      <c r="M589" s="163"/>
    </row>
    <row r="590">
      <c r="M590" s="163"/>
    </row>
    <row r="591">
      <c r="M591" s="163"/>
    </row>
    <row r="592">
      <c r="M592" s="163"/>
    </row>
    <row r="593">
      <c r="M593" s="163"/>
    </row>
    <row r="594">
      <c r="M594" s="163"/>
    </row>
    <row r="595">
      <c r="M595" s="163"/>
    </row>
    <row r="596">
      <c r="M596" s="163"/>
    </row>
    <row r="597">
      <c r="M597" s="163"/>
    </row>
    <row r="598">
      <c r="M598" s="163"/>
    </row>
    <row r="599">
      <c r="M599" s="163"/>
    </row>
    <row r="600">
      <c r="M600" s="163"/>
    </row>
    <row r="601">
      <c r="M601" s="163"/>
    </row>
    <row r="602">
      <c r="M602" s="163"/>
    </row>
    <row r="603">
      <c r="M603" s="163"/>
    </row>
    <row r="604">
      <c r="M604" s="163"/>
    </row>
    <row r="605">
      <c r="M605" s="163"/>
    </row>
    <row r="606">
      <c r="M606" s="163"/>
    </row>
    <row r="607">
      <c r="M607" s="163"/>
    </row>
    <row r="608">
      <c r="M608" s="163"/>
    </row>
    <row r="609">
      <c r="M609" s="163"/>
    </row>
    <row r="610">
      <c r="M610" s="163"/>
    </row>
    <row r="611">
      <c r="M611" s="163"/>
    </row>
    <row r="612">
      <c r="M612" s="163"/>
    </row>
    <row r="613">
      <c r="M613" s="163"/>
    </row>
    <row r="614">
      <c r="M614" s="163"/>
    </row>
    <row r="615">
      <c r="M615" s="163"/>
    </row>
    <row r="616">
      <c r="M616" s="163"/>
    </row>
    <row r="617">
      <c r="M617" s="163"/>
    </row>
    <row r="618">
      <c r="M618" s="163"/>
    </row>
    <row r="619">
      <c r="M619" s="163"/>
    </row>
    <row r="620">
      <c r="M620" s="163"/>
    </row>
    <row r="621">
      <c r="M621" s="163"/>
    </row>
    <row r="622">
      <c r="M622" s="163"/>
    </row>
    <row r="623">
      <c r="M623" s="163"/>
    </row>
    <row r="624">
      <c r="M624" s="163"/>
    </row>
    <row r="625">
      <c r="M625" s="163"/>
    </row>
    <row r="626">
      <c r="M626" s="163"/>
    </row>
    <row r="627">
      <c r="M627" s="163"/>
    </row>
    <row r="628">
      <c r="M628" s="163"/>
    </row>
    <row r="629">
      <c r="M629" s="163"/>
    </row>
    <row r="630">
      <c r="M630" s="163"/>
    </row>
    <row r="631">
      <c r="M631" s="163"/>
    </row>
    <row r="632">
      <c r="M632" s="163"/>
    </row>
    <row r="633">
      <c r="M633" s="163"/>
    </row>
    <row r="634">
      <c r="M634" s="163"/>
    </row>
    <row r="635">
      <c r="M635" s="163"/>
    </row>
    <row r="636">
      <c r="M636" s="163"/>
    </row>
    <row r="637">
      <c r="M637" s="163"/>
    </row>
    <row r="638">
      <c r="M638" s="163"/>
    </row>
    <row r="639">
      <c r="M639" s="163"/>
    </row>
    <row r="640">
      <c r="M640" s="163"/>
    </row>
    <row r="641">
      <c r="M641" s="163"/>
    </row>
    <row r="642">
      <c r="M642" s="163"/>
    </row>
    <row r="643">
      <c r="M643" s="163"/>
    </row>
    <row r="644">
      <c r="M644" s="163"/>
    </row>
    <row r="645">
      <c r="M645" s="163"/>
    </row>
    <row r="646">
      <c r="M646" s="163"/>
    </row>
    <row r="647">
      <c r="M647" s="163"/>
    </row>
    <row r="648">
      <c r="M648" s="163"/>
    </row>
    <row r="649">
      <c r="M649" s="163"/>
    </row>
    <row r="650">
      <c r="M650" s="163"/>
    </row>
    <row r="651">
      <c r="M651" s="163"/>
    </row>
    <row r="652">
      <c r="M652" s="163"/>
    </row>
    <row r="653">
      <c r="M653" s="163"/>
    </row>
    <row r="654">
      <c r="M654" s="163"/>
    </row>
    <row r="655">
      <c r="M655" s="163"/>
    </row>
    <row r="656">
      <c r="M656" s="163"/>
    </row>
    <row r="657">
      <c r="M657" s="163"/>
    </row>
    <row r="658">
      <c r="M658" s="163"/>
    </row>
    <row r="659">
      <c r="M659" s="163"/>
    </row>
    <row r="660">
      <c r="M660" s="163"/>
    </row>
    <row r="661">
      <c r="M661" s="163"/>
    </row>
    <row r="662">
      <c r="M662" s="163"/>
    </row>
    <row r="663">
      <c r="M663" s="163"/>
    </row>
    <row r="664">
      <c r="M664" s="163"/>
    </row>
    <row r="665">
      <c r="M665" s="163"/>
    </row>
    <row r="666">
      <c r="M666" s="163"/>
    </row>
    <row r="667">
      <c r="M667" s="163"/>
    </row>
    <row r="668">
      <c r="M668" s="163"/>
    </row>
    <row r="669">
      <c r="M669" s="163"/>
    </row>
    <row r="670">
      <c r="M670" s="163"/>
    </row>
    <row r="671">
      <c r="M671" s="163"/>
    </row>
    <row r="672">
      <c r="M672" s="163"/>
    </row>
    <row r="673">
      <c r="M673" s="163"/>
    </row>
    <row r="674">
      <c r="M674" s="163"/>
    </row>
    <row r="675">
      <c r="M675" s="163"/>
    </row>
    <row r="676">
      <c r="M676" s="163"/>
    </row>
    <row r="677">
      <c r="M677" s="163"/>
    </row>
    <row r="678">
      <c r="M678" s="163"/>
    </row>
    <row r="679">
      <c r="M679" s="163"/>
    </row>
    <row r="680">
      <c r="M680" s="163"/>
    </row>
    <row r="681">
      <c r="M681" s="163"/>
    </row>
    <row r="682">
      <c r="M682" s="163"/>
    </row>
    <row r="683">
      <c r="M683" s="163"/>
    </row>
    <row r="684">
      <c r="M684" s="163"/>
    </row>
    <row r="685">
      <c r="M685" s="163"/>
    </row>
    <row r="686">
      <c r="M686" s="163"/>
    </row>
    <row r="687">
      <c r="M687" s="163"/>
    </row>
    <row r="688">
      <c r="M688" s="163"/>
    </row>
    <row r="689">
      <c r="M689" s="163"/>
    </row>
    <row r="690">
      <c r="M690" s="163"/>
    </row>
    <row r="691">
      <c r="M691" s="163"/>
    </row>
    <row r="692">
      <c r="M692" s="163"/>
    </row>
    <row r="693">
      <c r="M693" s="163"/>
    </row>
    <row r="694">
      <c r="M694" s="163"/>
    </row>
    <row r="695">
      <c r="M695" s="163"/>
    </row>
    <row r="696">
      <c r="M696" s="163"/>
    </row>
    <row r="697">
      <c r="M697" s="163"/>
    </row>
    <row r="698">
      <c r="M698" s="163"/>
    </row>
    <row r="699">
      <c r="M699" s="163"/>
    </row>
    <row r="700">
      <c r="M700" s="163"/>
    </row>
    <row r="701">
      <c r="M701" s="163"/>
    </row>
    <row r="702">
      <c r="M702" s="163"/>
    </row>
    <row r="703">
      <c r="M703" s="163"/>
    </row>
    <row r="704">
      <c r="M704" s="163"/>
    </row>
    <row r="705">
      <c r="M705" s="163"/>
    </row>
    <row r="706">
      <c r="M706" s="163"/>
    </row>
    <row r="707">
      <c r="M707" s="163"/>
    </row>
    <row r="708">
      <c r="M708" s="163"/>
    </row>
    <row r="709">
      <c r="M709" s="163"/>
    </row>
    <row r="710">
      <c r="M710" s="163"/>
    </row>
    <row r="711">
      <c r="M711" s="163"/>
    </row>
    <row r="712">
      <c r="M712" s="163"/>
    </row>
    <row r="713">
      <c r="M713" s="163"/>
    </row>
    <row r="714">
      <c r="M714" s="163"/>
    </row>
    <row r="715">
      <c r="M715" s="163"/>
    </row>
    <row r="716">
      <c r="M716" s="163"/>
    </row>
    <row r="717">
      <c r="M717" s="163"/>
    </row>
    <row r="718">
      <c r="M718" s="163"/>
    </row>
    <row r="719">
      <c r="M719" s="163"/>
    </row>
    <row r="720">
      <c r="M720" s="163"/>
    </row>
    <row r="721">
      <c r="M721" s="163"/>
    </row>
    <row r="722">
      <c r="M722" s="163"/>
    </row>
    <row r="723">
      <c r="M723" s="163"/>
    </row>
    <row r="724">
      <c r="M724" s="163"/>
    </row>
    <row r="725">
      <c r="M725" s="163"/>
    </row>
    <row r="726">
      <c r="M726" s="163"/>
    </row>
    <row r="727">
      <c r="M727" s="163"/>
    </row>
    <row r="728">
      <c r="M728" s="163"/>
    </row>
    <row r="729">
      <c r="M729" s="163"/>
    </row>
    <row r="730">
      <c r="M730" s="163"/>
    </row>
    <row r="731">
      <c r="M731" s="163"/>
    </row>
    <row r="732">
      <c r="M732" s="163"/>
    </row>
    <row r="733">
      <c r="M733" s="163"/>
    </row>
    <row r="734">
      <c r="M734" s="163"/>
    </row>
    <row r="735">
      <c r="M735" s="163"/>
    </row>
    <row r="736">
      <c r="M736" s="163"/>
    </row>
    <row r="737">
      <c r="M737" s="163"/>
    </row>
    <row r="738">
      <c r="M738" s="163"/>
    </row>
    <row r="739">
      <c r="M739" s="163"/>
    </row>
    <row r="740">
      <c r="M740" s="163"/>
    </row>
    <row r="741">
      <c r="M741" s="163"/>
    </row>
    <row r="742">
      <c r="M742" s="163"/>
    </row>
    <row r="743">
      <c r="M743" s="163"/>
    </row>
    <row r="744">
      <c r="M744" s="163"/>
    </row>
    <row r="745">
      <c r="M745" s="163"/>
    </row>
    <row r="746">
      <c r="M746" s="163"/>
    </row>
    <row r="747">
      <c r="M747" s="163"/>
    </row>
    <row r="748">
      <c r="M748" s="163"/>
    </row>
    <row r="749">
      <c r="M749" s="163"/>
    </row>
    <row r="750">
      <c r="M750" s="163"/>
    </row>
    <row r="751">
      <c r="M751" s="163"/>
    </row>
    <row r="752">
      <c r="M752" s="163"/>
    </row>
    <row r="753">
      <c r="M753" s="163"/>
    </row>
    <row r="754">
      <c r="M754" s="163"/>
    </row>
    <row r="755">
      <c r="M755" s="163"/>
    </row>
    <row r="756">
      <c r="M756" s="163"/>
    </row>
    <row r="757">
      <c r="M757" s="163"/>
    </row>
    <row r="758">
      <c r="M758" s="163"/>
    </row>
    <row r="759">
      <c r="M759" s="163"/>
    </row>
    <row r="760">
      <c r="M760" s="163"/>
    </row>
    <row r="761">
      <c r="M761" s="163"/>
    </row>
    <row r="762">
      <c r="M762" s="163"/>
    </row>
    <row r="763">
      <c r="M763" s="163"/>
    </row>
    <row r="764">
      <c r="M764" s="163"/>
    </row>
    <row r="765">
      <c r="M765" s="163"/>
    </row>
    <row r="766">
      <c r="M766" s="163"/>
    </row>
    <row r="767">
      <c r="M767" s="163"/>
    </row>
    <row r="768">
      <c r="M768" s="163"/>
    </row>
    <row r="769">
      <c r="M769" s="163"/>
    </row>
    <row r="770">
      <c r="M770" s="163"/>
    </row>
    <row r="771">
      <c r="M771" s="163"/>
    </row>
    <row r="772">
      <c r="M772" s="163"/>
    </row>
    <row r="773">
      <c r="M773" s="163"/>
    </row>
    <row r="774">
      <c r="M774" s="163"/>
    </row>
    <row r="775">
      <c r="M775" s="163"/>
    </row>
    <row r="776">
      <c r="M776" s="163"/>
    </row>
    <row r="777">
      <c r="M777" s="163"/>
    </row>
    <row r="778">
      <c r="M778" s="163"/>
    </row>
    <row r="779">
      <c r="M779" s="163"/>
    </row>
    <row r="780">
      <c r="M780" s="163"/>
    </row>
    <row r="781">
      <c r="M781" s="163"/>
    </row>
    <row r="782">
      <c r="M782" s="163"/>
    </row>
    <row r="783">
      <c r="M783" s="163"/>
    </row>
    <row r="784">
      <c r="M784" s="163"/>
    </row>
    <row r="785">
      <c r="M785" s="163"/>
    </row>
    <row r="786">
      <c r="M786" s="163"/>
    </row>
    <row r="787">
      <c r="M787" s="163"/>
    </row>
    <row r="788">
      <c r="M788" s="163"/>
    </row>
    <row r="789">
      <c r="M789" s="163"/>
    </row>
    <row r="790">
      <c r="M790" s="163"/>
    </row>
    <row r="791">
      <c r="M791" s="163"/>
    </row>
    <row r="792">
      <c r="M792" s="163"/>
    </row>
    <row r="793">
      <c r="M793" s="163"/>
    </row>
    <row r="794">
      <c r="M794" s="163"/>
    </row>
    <row r="795">
      <c r="M795" s="163"/>
    </row>
    <row r="796">
      <c r="M796" s="163"/>
    </row>
    <row r="797">
      <c r="M797" s="163"/>
    </row>
    <row r="798">
      <c r="M798" s="163"/>
    </row>
    <row r="799">
      <c r="M799" s="163"/>
    </row>
    <row r="800">
      <c r="M800" s="163"/>
    </row>
    <row r="801">
      <c r="M801" s="163"/>
    </row>
    <row r="802">
      <c r="M802" s="163"/>
    </row>
    <row r="803">
      <c r="M803" s="163"/>
    </row>
    <row r="804">
      <c r="M804" s="163"/>
    </row>
    <row r="805">
      <c r="M805" s="163"/>
    </row>
    <row r="806">
      <c r="M806" s="163"/>
    </row>
    <row r="807">
      <c r="M807" s="163"/>
    </row>
    <row r="808">
      <c r="M808" s="163"/>
    </row>
    <row r="809">
      <c r="M809" s="163"/>
    </row>
    <row r="810">
      <c r="M810" s="163"/>
    </row>
    <row r="811">
      <c r="M811" s="163"/>
    </row>
    <row r="812">
      <c r="M812" s="163"/>
    </row>
    <row r="813">
      <c r="M813" s="163"/>
    </row>
    <row r="814">
      <c r="M814" s="163"/>
    </row>
    <row r="815">
      <c r="M815" s="163"/>
    </row>
    <row r="816">
      <c r="M816" s="163"/>
    </row>
    <row r="817">
      <c r="M817" s="163"/>
    </row>
    <row r="818">
      <c r="M818" s="163"/>
    </row>
    <row r="819">
      <c r="M819" s="163"/>
    </row>
    <row r="820">
      <c r="M820" s="163"/>
    </row>
    <row r="821">
      <c r="M821" s="163"/>
    </row>
    <row r="822">
      <c r="M822" s="163"/>
    </row>
    <row r="823">
      <c r="M823" s="163"/>
    </row>
    <row r="824">
      <c r="M824" s="163"/>
    </row>
    <row r="825">
      <c r="M825" s="163"/>
    </row>
    <row r="826">
      <c r="M826" s="163"/>
    </row>
    <row r="827">
      <c r="M827" s="163"/>
    </row>
    <row r="828">
      <c r="M828" s="163"/>
    </row>
    <row r="829">
      <c r="M829" s="163"/>
    </row>
    <row r="830">
      <c r="M830" s="163"/>
    </row>
    <row r="831">
      <c r="M831" s="163"/>
    </row>
    <row r="832">
      <c r="M832" s="163"/>
    </row>
    <row r="833">
      <c r="M833" s="163"/>
    </row>
    <row r="834">
      <c r="M834" s="163"/>
    </row>
    <row r="835">
      <c r="M835" s="163"/>
    </row>
    <row r="836">
      <c r="M836" s="163"/>
    </row>
    <row r="837">
      <c r="M837" s="163"/>
    </row>
    <row r="838">
      <c r="M838" s="163"/>
    </row>
    <row r="839">
      <c r="M839" s="163"/>
    </row>
    <row r="840">
      <c r="M840" s="163"/>
    </row>
    <row r="841">
      <c r="M841" s="163"/>
    </row>
    <row r="842">
      <c r="M842" s="163"/>
    </row>
    <row r="843">
      <c r="M843" s="163"/>
    </row>
    <row r="844">
      <c r="M844" s="163"/>
    </row>
    <row r="845">
      <c r="M845" s="163"/>
    </row>
    <row r="846">
      <c r="M846" s="163"/>
    </row>
    <row r="847">
      <c r="M847" s="163"/>
    </row>
    <row r="848">
      <c r="M848" s="163"/>
    </row>
    <row r="849">
      <c r="M849" s="163"/>
    </row>
    <row r="850">
      <c r="M850" s="163"/>
    </row>
    <row r="851">
      <c r="M851" s="163"/>
    </row>
    <row r="852">
      <c r="M852" s="163"/>
    </row>
    <row r="853">
      <c r="M853" s="163"/>
    </row>
    <row r="854">
      <c r="M854" s="163"/>
    </row>
    <row r="855">
      <c r="M855" s="163"/>
    </row>
    <row r="856">
      <c r="M856" s="163"/>
    </row>
    <row r="857">
      <c r="M857" s="163"/>
    </row>
    <row r="858">
      <c r="M858" s="163"/>
    </row>
    <row r="859">
      <c r="M859" s="163"/>
    </row>
    <row r="860">
      <c r="M860" s="163"/>
    </row>
    <row r="861">
      <c r="M861" s="163"/>
    </row>
    <row r="862">
      <c r="M862" s="163"/>
    </row>
    <row r="863">
      <c r="M863" s="163"/>
    </row>
    <row r="864">
      <c r="M864" s="163"/>
    </row>
    <row r="865">
      <c r="M865" s="163"/>
    </row>
    <row r="866">
      <c r="M866" s="163"/>
    </row>
    <row r="867">
      <c r="M867" s="163"/>
    </row>
    <row r="868">
      <c r="M868" s="163"/>
    </row>
    <row r="869">
      <c r="M869" s="163"/>
    </row>
    <row r="870">
      <c r="M870" s="163"/>
    </row>
    <row r="871">
      <c r="M871" s="163"/>
    </row>
    <row r="872">
      <c r="M872" s="163"/>
    </row>
    <row r="873">
      <c r="M873" s="163"/>
    </row>
    <row r="874">
      <c r="M874" s="163"/>
    </row>
    <row r="875">
      <c r="M875" s="163"/>
    </row>
    <row r="876">
      <c r="M876" s="163"/>
    </row>
    <row r="877">
      <c r="M877" s="163"/>
    </row>
    <row r="878">
      <c r="M878" s="163"/>
    </row>
    <row r="879">
      <c r="M879" s="163"/>
    </row>
    <row r="880">
      <c r="M880" s="163"/>
    </row>
    <row r="881">
      <c r="M881" s="163"/>
    </row>
    <row r="882">
      <c r="M882" s="163"/>
    </row>
    <row r="883">
      <c r="M883" s="163"/>
    </row>
    <row r="884">
      <c r="M884" s="163"/>
    </row>
    <row r="885">
      <c r="M885" s="163"/>
    </row>
    <row r="886">
      <c r="M886" s="163"/>
    </row>
    <row r="887">
      <c r="M887" s="163"/>
    </row>
    <row r="888">
      <c r="M888" s="163"/>
    </row>
    <row r="889">
      <c r="M889" s="163"/>
    </row>
    <row r="890">
      <c r="M890" s="163"/>
    </row>
    <row r="891">
      <c r="M891" s="163"/>
    </row>
    <row r="892">
      <c r="M892" s="163"/>
    </row>
    <row r="893">
      <c r="M893" s="163"/>
    </row>
    <row r="894">
      <c r="M894" s="163"/>
    </row>
    <row r="895">
      <c r="M895" s="163"/>
    </row>
    <row r="896">
      <c r="M896" s="163"/>
    </row>
    <row r="897">
      <c r="M897" s="163"/>
    </row>
    <row r="898">
      <c r="M898" s="163"/>
    </row>
    <row r="899">
      <c r="M899" s="163"/>
    </row>
    <row r="900">
      <c r="M900" s="163"/>
    </row>
    <row r="901">
      <c r="M901" s="163"/>
    </row>
    <row r="902">
      <c r="M902" s="163"/>
    </row>
    <row r="903">
      <c r="M903" s="163"/>
    </row>
    <row r="904">
      <c r="M904" s="163"/>
    </row>
    <row r="905">
      <c r="M905" s="163"/>
    </row>
    <row r="906">
      <c r="M906" s="163"/>
    </row>
    <row r="907">
      <c r="M907" s="163"/>
    </row>
    <row r="908">
      <c r="M908" s="163"/>
    </row>
    <row r="909">
      <c r="M909" s="163"/>
    </row>
    <row r="910">
      <c r="M910" s="163"/>
    </row>
    <row r="911">
      <c r="M911" s="163"/>
    </row>
    <row r="912">
      <c r="M912" s="163"/>
    </row>
    <row r="913">
      <c r="M913" s="163"/>
    </row>
    <row r="914">
      <c r="M914" s="163"/>
    </row>
    <row r="915">
      <c r="M915" s="163"/>
    </row>
    <row r="916">
      <c r="M916" s="163"/>
    </row>
    <row r="917">
      <c r="M917" s="163"/>
    </row>
    <row r="918">
      <c r="M918" s="163"/>
    </row>
    <row r="919">
      <c r="M919" s="163"/>
    </row>
    <row r="920">
      <c r="M920" s="163"/>
    </row>
    <row r="921">
      <c r="M921" s="163"/>
    </row>
    <row r="922">
      <c r="M922" s="163"/>
    </row>
    <row r="923">
      <c r="M923" s="163"/>
    </row>
    <row r="924">
      <c r="M924" s="163"/>
    </row>
    <row r="925">
      <c r="M925" s="163"/>
    </row>
    <row r="926">
      <c r="M926" s="163"/>
    </row>
    <row r="927">
      <c r="M927" s="163"/>
    </row>
    <row r="928">
      <c r="M928" s="163"/>
    </row>
    <row r="929">
      <c r="M929" s="163"/>
    </row>
    <row r="930">
      <c r="M930" s="163"/>
    </row>
    <row r="931">
      <c r="M931" s="163"/>
    </row>
    <row r="932">
      <c r="M932" s="163"/>
    </row>
    <row r="933">
      <c r="M933" s="163"/>
    </row>
    <row r="934">
      <c r="M934" s="163"/>
    </row>
    <row r="935">
      <c r="M935" s="163"/>
    </row>
    <row r="936">
      <c r="M936" s="163"/>
    </row>
    <row r="937">
      <c r="M937" s="163"/>
    </row>
    <row r="938">
      <c r="M938" s="163"/>
    </row>
    <row r="939">
      <c r="M939" s="163"/>
    </row>
    <row r="940">
      <c r="M940" s="163"/>
    </row>
    <row r="941">
      <c r="M941" s="163"/>
    </row>
    <row r="942">
      <c r="M942" s="163"/>
    </row>
    <row r="943">
      <c r="M943" s="163"/>
    </row>
    <row r="944">
      <c r="M944" s="163"/>
    </row>
    <row r="945">
      <c r="M945" s="163"/>
    </row>
    <row r="946">
      <c r="M946" s="163"/>
    </row>
    <row r="947">
      <c r="M947" s="163"/>
    </row>
    <row r="948">
      <c r="M948" s="163"/>
    </row>
    <row r="949">
      <c r="M949" s="163"/>
    </row>
    <row r="950">
      <c r="M950" s="163"/>
    </row>
    <row r="951">
      <c r="M951" s="163"/>
    </row>
    <row r="952">
      <c r="M952" s="163"/>
    </row>
    <row r="953">
      <c r="M953" s="163"/>
    </row>
    <row r="954">
      <c r="M954" s="163"/>
    </row>
    <row r="955">
      <c r="M955" s="163"/>
    </row>
    <row r="956">
      <c r="M956" s="163"/>
    </row>
    <row r="957">
      <c r="M957" s="163"/>
    </row>
    <row r="958">
      <c r="M958" s="163"/>
    </row>
    <row r="959">
      <c r="M959" s="163"/>
    </row>
    <row r="960">
      <c r="M960" s="163"/>
    </row>
    <row r="961">
      <c r="M961" s="163"/>
    </row>
    <row r="962">
      <c r="M962" s="163"/>
    </row>
    <row r="963">
      <c r="M963" s="163"/>
    </row>
    <row r="964">
      <c r="M964" s="163"/>
    </row>
    <row r="965">
      <c r="M965" s="163"/>
    </row>
    <row r="966">
      <c r="M966" s="163"/>
    </row>
    <row r="967">
      <c r="M967" s="163"/>
    </row>
    <row r="968">
      <c r="M968" s="163"/>
    </row>
    <row r="969">
      <c r="M969" s="163"/>
    </row>
    <row r="970">
      <c r="M970" s="163"/>
    </row>
    <row r="971">
      <c r="M971" s="163"/>
    </row>
    <row r="972">
      <c r="M972" s="163"/>
    </row>
    <row r="973">
      <c r="M973" s="163"/>
    </row>
    <row r="974">
      <c r="M974" s="163"/>
    </row>
    <row r="975">
      <c r="M975" s="163"/>
    </row>
    <row r="976">
      <c r="M976" s="163"/>
    </row>
    <row r="977">
      <c r="M977" s="163"/>
    </row>
    <row r="978">
      <c r="M978" s="163"/>
    </row>
    <row r="979">
      <c r="M979" s="163"/>
    </row>
    <row r="980">
      <c r="M980" s="163"/>
    </row>
    <row r="981">
      <c r="M981" s="163"/>
    </row>
    <row r="982">
      <c r="M982" s="163"/>
    </row>
    <row r="983">
      <c r="M983" s="163"/>
    </row>
    <row r="984">
      <c r="M984" s="163"/>
    </row>
    <row r="985">
      <c r="M985" s="163"/>
    </row>
    <row r="986">
      <c r="M986" s="163"/>
    </row>
    <row r="987">
      <c r="M987" s="163"/>
    </row>
    <row r="988">
      <c r="M988" s="163"/>
    </row>
    <row r="989">
      <c r="M989" s="163"/>
    </row>
    <row r="990">
      <c r="M990" s="163"/>
    </row>
    <row r="991">
      <c r="M991" s="163"/>
    </row>
    <row r="992">
      <c r="M992" s="163"/>
    </row>
    <row r="993">
      <c r="M993" s="163"/>
    </row>
    <row r="994">
      <c r="M994" s="163"/>
    </row>
    <row r="995">
      <c r="M995" s="163"/>
    </row>
    <row r="996">
      <c r="M996" s="163"/>
    </row>
    <row r="997">
      <c r="M997" s="163"/>
    </row>
    <row r="998">
      <c r="M998" s="163"/>
    </row>
    <row r="999">
      <c r="M999" s="163"/>
    </row>
    <row r="1000">
      <c r="M1000" s="163"/>
    </row>
  </sheetData>
  <dataValidations>
    <dataValidation type="list" allowBlank="1" showErrorMessage="1" sqref="B2:B12">
      <formula1>'Dropdown lists'!$D$2:$D$8</formula1>
    </dataValidation>
    <dataValidation type="list" allowBlank="1" showErrorMessage="1" sqref="A2:A12">
      <formula1>'Dropdown lists'!$C$2:$C$92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6.88"/>
  </cols>
  <sheetData>
    <row r="1">
      <c r="A1" s="164" t="s">
        <v>108</v>
      </c>
      <c r="B1" s="164" t="s">
        <v>248</v>
      </c>
      <c r="C1" s="164" t="s">
        <v>249</v>
      </c>
      <c r="D1" s="165" t="s">
        <v>250</v>
      </c>
      <c r="E1" s="165" t="s">
        <v>251</v>
      </c>
      <c r="F1" s="164" t="s">
        <v>252</v>
      </c>
      <c r="G1" s="164" t="s">
        <v>253</v>
      </c>
      <c r="H1" s="164" t="s">
        <v>254</v>
      </c>
      <c r="I1" s="164" t="s">
        <v>255</v>
      </c>
      <c r="J1" s="164" t="s">
        <v>256</v>
      </c>
      <c r="K1" s="164" t="s">
        <v>257</v>
      </c>
      <c r="L1" s="164" t="s">
        <v>258</v>
      </c>
      <c r="M1" s="164" t="s">
        <v>259</v>
      </c>
      <c r="N1" s="164" t="s">
        <v>260</v>
      </c>
      <c r="O1" s="164" t="s">
        <v>261</v>
      </c>
      <c r="P1" s="164" t="s">
        <v>262</v>
      </c>
      <c r="Q1" s="164" t="s">
        <v>263</v>
      </c>
      <c r="R1" s="164" t="s">
        <v>264</v>
      </c>
      <c r="S1" s="166" t="s">
        <v>265</v>
      </c>
      <c r="T1" s="166" t="s">
        <v>266</v>
      </c>
      <c r="U1" s="166"/>
      <c r="V1" s="166"/>
    </row>
    <row r="2">
      <c r="A2" s="167" t="s">
        <v>267</v>
      </c>
      <c r="B2" s="167" t="s">
        <v>268</v>
      </c>
      <c r="C2" s="167" t="s">
        <v>269</v>
      </c>
      <c r="D2" s="168" t="s">
        <v>270</v>
      </c>
      <c r="E2" s="168">
        <v>32674.0</v>
      </c>
      <c r="F2" s="167" t="s">
        <v>271</v>
      </c>
      <c r="G2" s="167">
        <v>46.0</v>
      </c>
      <c r="H2" s="167" t="s">
        <v>272</v>
      </c>
      <c r="I2" s="167">
        <f>+380634022970</f>
        <v>380634022970</v>
      </c>
      <c r="J2" s="167" t="s">
        <v>273</v>
      </c>
      <c r="K2" s="167" t="s">
        <v>273</v>
      </c>
      <c r="L2" s="167" t="s">
        <v>274</v>
      </c>
      <c r="M2" s="167" t="s">
        <v>271</v>
      </c>
      <c r="N2" s="167"/>
      <c r="O2" s="167"/>
      <c r="P2" s="167"/>
      <c r="Q2" s="167"/>
      <c r="R2" s="167"/>
      <c r="S2" s="167"/>
      <c r="T2" s="167"/>
      <c r="U2" s="167"/>
      <c r="V2" s="167"/>
    </row>
    <row r="3">
      <c r="A3" s="167" t="s">
        <v>144</v>
      </c>
      <c r="B3" s="167" t="s">
        <v>268</v>
      </c>
      <c r="C3" s="167" t="s">
        <v>275</v>
      </c>
      <c r="D3" s="168" t="s">
        <v>276</v>
      </c>
      <c r="E3" s="168">
        <v>32073.0</v>
      </c>
      <c r="F3" s="167" t="s">
        <v>277</v>
      </c>
      <c r="G3" s="167" t="s">
        <v>144</v>
      </c>
      <c r="H3" s="167" t="s">
        <v>278</v>
      </c>
      <c r="I3" s="169" t="s">
        <v>279</v>
      </c>
      <c r="J3" s="167" t="s">
        <v>273</v>
      </c>
      <c r="K3" s="167"/>
      <c r="L3" s="167" t="s">
        <v>280</v>
      </c>
      <c r="M3" s="167"/>
      <c r="N3" s="167" t="s">
        <v>277</v>
      </c>
      <c r="O3" s="167"/>
      <c r="P3" s="167"/>
      <c r="Q3" s="170" t="s">
        <v>281</v>
      </c>
      <c r="R3" s="171" t="s">
        <v>282</v>
      </c>
      <c r="S3" s="171"/>
      <c r="T3" s="171"/>
      <c r="U3" s="171"/>
      <c r="V3" s="171"/>
    </row>
    <row r="4">
      <c r="A4" s="167" t="s">
        <v>283</v>
      </c>
      <c r="B4" s="167" t="s">
        <v>268</v>
      </c>
      <c r="C4" s="167" t="s">
        <v>284</v>
      </c>
      <c r="D4" s="168" t="s">
        <v>285</v>
      </c>
      <c r="E4" s="168">
        <v>34302.0</v>
      </c>
      <c r="F4" s="167" t="s">
        <v>286</v>
      </c>
      <c r="G4" s="167" t="s">
        <v>287</v>
      </c>
      <c r="H4" s="167" t="s">
        <v>288</v>
      </c>
      <c r="I4" s="167">
        <f>+375336569497</f>
        <v>375336569497</v>
      </c>
      <c r="J4" s="172" t="s">
        <v>289</v>
      </c>
      <c r="K4" s="172" t="s">
        <v>289</v>
      </c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</row>
    <row r="5">
      <c r="A5" s="167" t="s">
        <v>290</v>
      </c>
      <c r="B5" s="167" t="s">
        <v>268</v>
      </c>
      <c r="C5" s="167" t="s">
        <v>291</v>
      </c>
      <c r="D5" s="168" t="s">
        <v>292</v>
      </c>
      <c r="E5" s="168">
        <v>36754.0</v>
      </c>
      <c r="F5" s="167" t="s">
        <v>293</v>
      </c>
      <c r="G5" s="167" t="s">
        <v>294</v>
      </c>
      <c r="H5" s="167" t="s">
        <v>294</v>
      </c>
      <c r="I5" s="169" t="s">
        <v>295</v>
      </c>
      <c r="J5" s="167"/>
      <c r="K5" s="172" t="s">
        <v>289</v>
      </c>
      <c r="L5" s="167" t="s">
        <v>296</v>
      </c>
      <c r="M5" s="167"/>
      <c r="N5" s="167"/>
      <c r="O5" s="167"/>
      <c r="P5" s="167"/>
      <c r="Q5" s="171" t="str">
        <f>HYPERLINK("https://api.typeform.com/responses/files/f62d4b3c5cbd764f6a3cfc34b569034b366532e74be4a02a296b99832a1b3ebd/Паспорт_Антон.PNG")</f>
        <v>https://api.typeform.com/responses/files/f62d4b3c5cbd764f6a3cfc34b569034b366532e74be4a02a296b99832a1b3ebd/Паспорт_Антон.PNG</v>
      </c>
      <c r="R5" s="171" t="str">
        <f>HYPERLINK("https://api.typeform.com/responses/files/fb1d4b553f4b9e16b79539c850118d6184acbcc84af4a927d036d27cfd2b2adb/photo_2022_10_09_16_50_00.jpg")</f>
        <v>https://api.typeform.com/responses/files/fb1d4b553f4b9e16b79539c850118d6184acbcc84af4a927d036d27cfd2b2adb/photo_2022_10_09_16_50_00.jpg</v>
      </c>
      <c r="S5" s="171"/>
      <c r="T5" s="171"/>
      <c r="U5" s="171"/>
      <c r="V5" s="171"/>
    </row>
    <row r="6">
      <c r="A6" s="167" t="s">
        <v>233</v>
      </c>
      <c r="B6" s="167" t="s">
        <v>268</v>
      </c>
      <c r="C6" s="167" t="s">
        <v>297</v>
      </c>
      <c r="D6" s="168" t="s">
        <v>298</v>
      </c>
      <c r="E6" s="168">
        <v>32219.0</v>
      </c>
      <c r="F6" s="167" t="s">
        <v>299</v>
      </c>
      <c r="G6" s="167" t="s">
        <v>300</v>
      </c>
      <c r="H6" s="167" t="s">
        <v>301</v>
      </c>
      <c r="I6" s="169" t="s">
        <v>302</v>
      </c>
      <c r="J6" s="167" t="s">
        <v>303</v>
      </c>
      <c r="K6" s="167" t="s">
        <v>303</v>
      </c>
      <c r="L6" s="167" t="s">
        <v>304</v>
      </c>
      <c r="M6" s="167" t="s">
        <v>305</v>
      </c>
      <c r="N6" s="167" t="s">
        <v>305</v>
      </c>
      <c r="O6" s="167" t="s">
        <v>305</v>
      </c>
      <c r="P6" s="167"/>
      <c r="Q6" s="171" t="str">
        <f>HYPERLINK("https://api.typeform.com/responses/files/ef93a8423375833697b20ab8d43b653575b347fbf7d7112f4366437244e592ec/изображение_viber_2022_05_01_11_54_04_344.jpg")</f>
        <v>https://api.typeform.com/responses/files/ef93a8423375833697b20ab8d43b653575b347fbf7d7112f4366437244e592ec/изображение_viber_2022_05_01_11_54_04_344.jpg</v>
      </c>
      <c r="R6" s="171" t="str">
        <f>HYPERLINK("https://api.typeform.com/responses/files/89883268340a3912afad1a0704792b630bddae3c16d7c1a254a2001ec284517d/изображение_viber_2022_05_01_11_55_53_429.jpg")</f>
        <v>https://api.typeform.com/responses/files/89883268340a3912afad1a0704792b630bddae3c16d7c1a254a2001ec284517d/изображение_viber_2022_05_01_11_55_53_429.jpg</v>
      </c>
      <c r="S6" s="171"/>
      <c r="T6" s="171"/>
      <c r="U6" s="171"/>
      <c r="V6" s="171"/>
    </row>
    <row r="7">
      <c r="A7" s="167" t="s">
        <v>182</v>
      </c>
      <c r="B7" s="167" t="s">
        <v>268</v>
      </c>
      <c r="C7" s="167" t="s">
        <v>306</v>
      </c>
      <c r="D7" s="168" t="s">
        <v>307</v>
      </c>
      <c r="E7" s="168">
        <v>32231.0</v>
      </c>
      <c r="F7" s="167" t="s">
        <v>308</v>
      </c>
      <c r="G7" s="167" t="s">
        <v>309</v>
      </c>
      <c r="H7" s="167" t="s">
        <v>310</v>
      </c>
      <c r="I7" s="169" t="s">
        <v>311</v>
      </c>
      <c r="J7" s="167" t="s">
        <v>273</v>
      </c>
      <c r="K7" s="167" t="s">
        <v>273</v>
      </c>
      <c r="L7" s="167" t="s">
        <v>312</v>
      </c>
      <c r="M7" s="167" t="s">
        <v>313</v>
      </c>
      <c r="N7" s="167"/>
      <c r="O7" s="167"/>
      <c r="P7" s="167"/>
      <c r="Q7" s="171" t="s">
        <v>314</v>
      </c>
      <c r="R7" s="171" t="s">
        <v>315</v>
      </c>
      <c r="S7" s="171"/>
      <c r="T7" s="171"/>
      <c r="U7" s="171"/>
      <c r="V7" s="171"/>
    </row>
    <row r="8">
      <c r="A8" s="167" t="s">
        <v>149</v>
      </c>
      <c r="B8" s="167" t="s">
        <v>268</v>
      </c>
      <c r="C8" s="167" t="s">
        <v>316</v>
      </c>
      <c r="D8" s="168" t="s">
        <v>317</v>
      </c>
      <c r="E8" s="168">
        <v>32062.0</v>
      </c>
      <c r="F8" s="167" t="s">
        <v>318</v>
      </c>
      <c r="G8" s="167" t="s">
        <v>319</v>
      </c>
      <c r="H8" s="167" t="s">
        <v>320</v>
      </c>
      <c r="I8" s="169" t="s">
        <v>321</v>
      </c>
      <c r="J8" s="167" t="s">
        <v>303</v>
      </c>
      <c r="K8" s="167" t="s">
        <v>303</v>
      </c>
      <c r="L8" s="167" t="s">
        <v>322</v>
      </c>
      <c r="M8" s="167" t="s">
        <v>323</v>
      </c>
      <c r="N8" s="167" t="s">
        <v>323</v>
      </c>
      <c r="O8" s="167" t="s">
        <v>323</v>
      </c>
      <c r="P8" s="167" t="s">
        <v>323</v>
      </c>
      <c r="Q8" s="171" t="str">
        <f>HYPERLINK("https://api.typeform.com/responses/files/2bfe85b8368f89d0fef3feb659a84d9bde24a2105f719984427aa60ce240006a/Рисунок__7_.jpg")</f>
        <v>https://api.typeform.com/responses/files/2bfe85b8368f89d0fef3feb659a84d9bde24a2105f719984427aa60ce240006a/Рисунок__7_.jpg</v>
      </c>
      <c r="R8" s="171" t="str">
        <f>HYPERLINK("https://api.typeform.com/responses/files/a17cea86fd47b2182b2bce3f704d0cb313a58065acddb82d3e5a4c9d5ffc6d94/1634055155968.jpg")</f>
        <v>https://api.typeform.com/responses/files/a17cea86fd47b2182b2bce3f704d0cb313a58065acddb82d3e5a4c9d5ffc6d94/1634055155968.jpg</v>
      </c>
      <c r="S8" s="171"/>
      <c r="T8" s="171"/>
      <c r="U8" s="171"/>
      <c r="V8" s="171"/>
    </row>
    <row r="9">
      <c r="A9" s="167" t="s">
        <v>154</v>
      </c>
      <c r="B9" s="167" t="s">
        <v>268</v>
      </c>
      <c r="C9" s="167" t="s">
        <v>306</v>
      </c>
      <c r="D9" s="168" t="s">
        <v>324</v>
      </c>
      <c r="E9" s="168">
        <v>36620.0</v>
      </c>
      <c r="F9" s="167" t="s">
        <v>325</v>
      </c>
      <c r="G9" s="167" t="s">
        <v>326</v>
      </c>
      <c r="H9" s="167" t="s">
        <v>327</v>
      </c>
      <c r="I9" s="169" t="s">
        <v>328</v>
      </c>
      <c r="J9" s="167" t="s">
        <v>303</v>
      </c>
      <c r="K9" s="167" t="s">
        <v>303</v>
      </c>
      <c r="L9" s="167" t="s">
        <v>329</v>
      </c>
      <c r="M9" s="167" t="s">
        <v>330</v>
      </c>
      <c r="N9" s="167"/>
      <c r="O9" s="167"/>
      <c r="P9" s="167"/>
      <c r="Q9" s="171" t="str">
        <f>HYPERLINK("https://api.typeform.com/responses/files/7ce6eff3ce14580f52fa51b42aed34ff12d5bb0b5fed6b47435d87043b797556/photo_2021_11_02_00_13_04.jpg")</f>
        <v>https://api.typeform.com/responses/files/7ce6eff3ce14580f52fa51b42aed34ff12d5bb0b5fed6b47435d87043b797556/photo_2021_11_02_00_13_04.jpg</v>
      </c>
      <c r="R9" s="171" t="str">
        <f>HYPERLINK("https://api.typeform.com/responses/files/17ee10a0d24ddaadc66b37e52986a4121f0b405cbedfbc1c2dc44d8970a1b0d4/photo_2021_11_02_00_15_36.jpg")</f>
        <v>https://api.typeform.com/responses/files/17ee10a0d24ddaadc66b37e52986a4121f0b405cbedfbc1c2dc44d8970a1b0d4/photo_2021_11_02_00_15_36.jpg</v>
      </c>
      <c r="S9" s="171"/>
      <c r="T9" s="171"/>
      <c r="U9" s="171"/>
      <c r="V9" s="171"/>
    </row>
    <row r="10">
      <c r="A10" s="167" t="s">
        <v>177</v>
      </c>
      <c r="B10" s="167" t="s">
        <v>331</v>
      </c>
      <c r="C10" s="167" t="s">
        <v>306</v>
      </c>
      <c r="D10" s="168" t="s">
        <v>332</v>
      </c>
      <c r="E10" s="168">
        <v>32324.0</v>
      </c>
      <c r="F10" s="167" t="s">
        <v>333</v>
      </c>
      <c r="G10" s="167" t="s">
        <v>177</v>
      </c>
      <c r="H10" s="167" t="s">
        <v>177</v>
      </c>
      <c r="I10" s="167">
        <f>+79119370650</f>
        <v>79119370650</v>
      </c>
      <c r="J10" s="167" t="s">
        <v>334</v>
      </c>
      <c r="K10" s="167" t="s">
        <v>303</v>
      </c>
      <c r="L10" s="167" t="s">
        <v>335</v>
      </c>
      <c r="M10" s="167"/>
      <c r="N10" s="167" t="s">
        <v>336</v>
      </c>
      <c r="O10" s="167" t="s">
        <v>333</v>
      </c>
      <c r="P10" s="167"/>
      <c r="Q10" s="171" t="s">
        <v>337</v>
      </c>
      <c r="R10" s="171" t="s">
        <v>338</v>
      </c>
      <c r="S10" s="171"/>
      <c r="T10" s="171"/>
      <c r="U10" s="171"/>
      <c r="V10" s="171"/>
    </row>
    <row r="11">
      <c r="A11" s="173" t="s">
        <v>184</v>
      </c>
      <c r="B11" s="167" t="s">
        <v>268</v>
      </c>
      <c r="C11" s="167" t="s">
        <v>339</v>
      </c>
      <c r="D11" s="168" t="s">
        <v>340</v>
      </c>
      <c r="E11" s="168">
        <v>30522.0</v>
      </c>
      <c r="F11" s="167" t="s">
        <v>341</v>
      </c>
      <c r="G11" s="167" t="s">
        <v>184</v>
      </c>
      <c r="H11" s="167" t="s">
        <v>342</v>
      </c>
      <c r="I11" s="169" t="s">
        <v>343</v>
      </c>
      <c r="J11" s="167" t="s">
        <v>273</v>
      </c>
      <c r="K11" s="167" t="s">
        <v>273</v>
      </c>
      <c r="L11" s="167" t="s">
        <v>344</v>
      </c>
      <c r="M11" s="167" t="s">
        <v>341</v>
      </c>
      <c r="N11" s="167"/>
      <c r="O11" s="167"/>
      <c r="P11" s="167"/>
      <c r="Q11" s="171" t="str">
        <f>HYPERLINK("https://api.typeform.com/responses/files/ddfbbcce6fbf40a8e2337ee1a8e520fde0bc2aedc16dd5ca240a1ce46060ac2a/Rakytskyi_Foreign_1st_page.pdf")</f>
        <v>https://api.typeform.com/responses/files/ddfbbcce6fbf40a8e2337ee1a8e520fde0bc2aedc16dd5ca240a1ce46060ac2a/Rakytskyi_Foreign_1st_page.pdf</v>
      </c>
      <c r="R11" s="171" t="str">
        <f>HYPERLINK("https://api.typeform.com/responses/files/79e4d4ff8ed1225587fdbb612c7504c8f0a7e7627f5cb629aadd73b6d5a287c1/IMG_9899.jpg")</f>
        <v>https://api.typeform.com/responses/files/79e4d4ff8ed1225587fdbb612c7504c8f0a7e7627f5cb629aadd73b6d5a287c1/IMG_9899.jpg</v>
      </c>
      <c r="S11" s="171"/>
      <c r="T11" s="171"/>
      <c r="U11" s="171"/>
      <c r="V11" s="171"/>
    </row>
    <row r="12">
      <c r="A12" s="167" t="s">
        <v>345</v>
      </c>
      <c r="B12" s="167" t="s">
        <v>268</v>
      </c>
      <c r="C12" s="167" t="s">
        <v>346</v>
      </c>
      <c r="D12" s="168" t="s">
        <v>347</v>
      </c>
      <c r="E12" s="168">
        <v>34499.0</v>
      </c>
      <c r="F12" s="167" t="s">
        <v>348</v>
      </c>
      <c r="G12" s="167" t="s">
        <v>345</v>
      </c>
      <c r="H12" s="167" t="s">
        <v>349</v>
      </c>
      <c r="I12" s="169" t="s">
        <v>350</v>
      </c>
      <c r="J12" s="167" t="s">
        <v>303</v>
      </c>
      <c r="K12" s="167" t="s">
        <v>303</v>
      </c>
      <c r="L12" s="167" t="s">
        <v>351</v>
      </c>
      <c r="M12" s="167" t="s">
        <v>352</v>
      </c>
      <c r="N12" s="167" t="s">
        <v>353</v>
      </c>
      <c r="O12" s="167"/>
      <c r="P12" s="167"/>
      <c r="Q12" s="171" t="s">
        <v>354</v>
      </c>
      <c r="R12" s="171" t="s">
        <v>355</v>
      </c>
      <c r="S12" s="171"/>
      <c r="T12" s="171"/>
      <c r="U12" s="171"/>
      <c r="V12" s="171"/>
    </row>
    <row r="13">
      <c r="A13" s="167" t="s">
        <v>193</v>
      </c>
      <c r="B13" s="167" t="s">
        <v>268</v>
      </c>
      <c r="C13" s="167" t="s">
        <v>316</v>
      </c>
      <c r="D13" s="168" t="s">
        <v>356</v>
      </c>
      <c r="E13" s="168">
        <v>35549.0</v>
      </c>
      <c r="F13" s="167" t="s">
        <v>357</v>
      </c>
      <c r="G13" s="167" t="s">
        <v>358</v>
      </c>
      <c r="H13" s="167" t="s">
        <v>359</v>
      </c>
      <c r="I13" s="169" t="s">
        <v>360</v>
      </c>
      <c r="J13" s="167" t="s">
        <v>303</v>
      </c>
      <c r="K13" s="172" t="s">
        <v>289</v>
      </c>
      <c r="L13" s="167" t="s">
        <v>361</v>
      </c>
      <c r="M13" s="167" t="s">
        <v>357</v>
      </c>
      <c r="N13" s="167" t="s">
        <v>357</v>
      </c>
      <c r="O13" s="167"/>
      <c r="P13" s="167"/>
      <c r="Q13" s="171" t="str">
        <f>HYPERLINK("https://api.typeform.com/responses/files/20b91db902f3a893407b672f2cf332dd1f33669b9e7abfddbc630312e240e156/D3B07F5E_1DEC_4A36_85A4_64B201C3CF2C.jpeg")</f>
        <v>https://api.typeform.com/responses/files/20b91db902f3a893407b672f2cf332dd1f33669b9e7abfddbc630312e240e156/D3B07F5E_1DEC_4A36_85A4_64B201C3CF2C.jpeg</v>
      </c>
      <c r="R13" s="171" t="str">
        <f>HYPERLINK("https://api.typeform.com/responses/files/634c78a490b7fbdc150a4cf8174cc2597b4e88864dc676aadddfc34b34347b3c/image.jpg")</f>
        <v>https://api.typeform.com/responses/files/634c78a490b7fbdc150a4cf8174cc2597b4e88864dc676aadddfc34b34347b3c/image.jpg</v>
      </c>
      <c r="S13" s="171"/>
      <c r="T13" s="171"/>
      <c r="U13" s="171"/>
      <c r="V13" s="171"/>
    </row>
    <row r="14">
      <c r="A14" s="167" t="s">
        <v>362</v>
      </c>
      <c r="B14" s="167" t="s">
        <v>268</v>
      </c>
      <c r="C14" s="167" t="s">
        <v>306</v>
      </c>
      <c r="D14" s="168" t="s">
        <v>363</v>
      </c>
      <c r="E14" s="168">
        <v>35926.0</v>
      </c>
      <c r="F14" s="167" t="s">
        <v>364</v>
      </c>
      <c r="G14" s="167" t="s">
        <v>365</v>
      </c>
      <c r="H14" s="167" t="s">
        <v>366</v>
      </c>
      <c r="I14" s="169" t="s">
        <v>367</v>
      </c>
      <c r="J14" s="167" t="s">
        <v>273</v>
      </c>
      <c r="K14" s="167" t="s">
        <v>273</v>
      </c>
      <c r="L14" s="167" t="s">
        <v>368</v>
      </c>
      <c r="M14" s="167" t="s">
        <v>364</v>
      </c>
      <c r="N14" s="167" t="s">
        <v>364</v>
      </c>
      <c r="O14" s="167" t="s">
        <v>323</v>
      </c>
      <c r="P14" s="167" t="s">
        <v>323</v>
      </c>
      <c r="Q14" s="171" t="str">
        <f>HYPERLINK("https://api.typeform.com/responses/files/c91482ddcded40b54832ffac23fb3ff58845ea15a4ad4c6e0d10676e3352e915/16317054736972565909804040629829.jpg")</f>
        <v>https://api.typeform.com/responses/files/c91482ddcded40b54832ffac23fb3ff58845ea15a4ad4c6e0d10676e3352e915/16317054736972565909804040629829.jpg</v>
      </c>
      <c r="R14" s="171" t="str">
        <f>HYPERLINK("https://api.typeform.com/responses/files/d7600683ef204cbfa96ba0ff941a2433d3ec4487be4615defe48db4e85810c6a/16317056289634517689447400238340.jpg")</f>
        <v>https://api.typeform.com/responses/files/d7600683ef204cbfa96ba0ff941a2433d3ec4487be4615defe48db4e85810c6a/16317056289634517689447400238340.jpg</v>
      </c>
      <c r="S14" s="171"/>
      <c r="T14" s="171"/>
      <c r="U14" s="171"/>
      <c r="V14" s="171"/>
    </row>
    <row r="15">
      <c r="A15" s="174" t="s">
        <v>228</v>
      </c>
      <c r="B15" s="167" t="s">
        <v>268</v>
      </c>
      <c r="C15" s="172" t="s">
        <v>316</v>
      </c>
      <c r="D15" s="172" t="s">
        <v>369</v>
      </c>
      <c r="E15" s="172" t="s">
        <v>370</v>
      </c>
      <c r="F15" s="172" t="s">
        <v>371</v>
      </c>
      <c r="G15" s="172" t="s">
        <v>372</v>
      </c>
      <c r="H15" s="167"/>
      <c r="I15" s="172">
        <v>6.28913431E8</v>
      </c>
      <c r="J15" s="167"/>
      <c r="K15" s="172" t="s">
        <v>373</v>
      </c>
      <c r="L15" s="172" t="s">
        <v>374</v>
      </c>
      <c r="M15" s="172" t="s">
        <v>375</v>
      </c>
      <c r="N15" s="172" t="s">
        <v>375</v>
      </c>
      <c r="O15" s="167"/>
      <c r="P15" s="167"/>
      <c r="Q15" s="175" t="s">
        <v>376</v>
      </c>
      <c r="R15" s="175" t="s">
        <v>377</v>
      </c>
      <c r="S15" s="175" t="s">
        <v>378</v>
      </c>
      <c r="T15" s="175"/>
      <c r="U15" s="175"/>
      <c r="V15" s="175"/>
    </row>
    <row r="16">
      <c r="A16" s="176" t="s">
        <v>379</v>
      </c>
      <c r="B16" s="167" t="s">
        <v>268</v>
      </c>
      <c r="C16" s="167" t="s">
        <v>297</v>
      </c>
      <c r="D16" s="168" t="s">
        <v>380</v>
      </c>
      <c r="E16" s="168">
        <v>36213.0</v>
      </c>
      <c r="F16" s="167" t="s">
        <v>381</v>
      </c>
      <c r="G16" s="167" t="s">
        <v>382</v>
      </c>
      <c r="H16" s="167" t="s">
        <v>383</v>
      </c>
      <c r="I16" s="169" t="s">
        <v>384</v>
      </c>
      <c r="J16" s="167" t="s">
        <v>273</v>
      </c>
      <c r="K16" s="167" t="s">
        <v>273</v>
      </c>
      <c r="L16" s="167" t="s">
        <v>385</v>
      </c>
      <c r="M16" s="167"/>
      <c r="N16" s="167"/>
      <c r="O16" s="167"/>
      <c r="P16" s="167"/>
      <c r="Q16" s="171" t="str">
        <f>HYPERLINK("https://api.typeform.com/responses/files/3d9b74f13fab09f8402cca725d59d0cbd82e0971d327a1ff0d8f54ec01c9506a/Пас.jpg")</f>
        <v>https://api.typeform.com/responses/files/3d9b74f13fab09f8402cca725d59d0cbd82e0971d327a1ff0d8f54ec01c9506a/Пас.jpg</v>
      </c>
      <c r="R16" s="171" t="str">
        <f>HYPERLINK("https://api.typeform.com/responses/files/3f89735e14a26bd24a3d235e02baa3b33b4a6844e35375090a24ccd56a71511f/я_пас.jpg")</f>
        <v>https://api.typeform.com/responses/files/3f89735e14a26bd24a3d235e02baa3b33b4a6844e35375090a24ccd56a71511f/я_пас.jpg</v>
      </c>
      <c r="S16" s="171"/>
      <c r="T16" s="171"/>
      <c r="U16" s="171"/>
      <c r="V16" s="171"/>
    </row>
    <row r="17">
      <c r="A17" s="167" t="s">
        <v>143</v>
      </c>
      <c r="B17" s="167" t="s">
        <v>268</v>
      </c>
      <c r="C17" s="167" t="s">
        <v>346</v>
      </c>
      <c r="D17" s="168" t="s">
        <v>386</v>
      </c>
      <c r="E17" s="168">
        <v>32668.0</v>
      </c>
      <c r="F17" s="167" t="s">
        <v>387</v>
      </c>
      <c r="G17" s="167" t="s">
        <v>388</v>
      </c>
      <c r="H17" s="167" t="s">
        <v>389</v>
      </c>
      <c r="I17" s="169" t="s">
        <v>390</v>
      </c>
      <c r="J17" s="167" t="s">
        <v>273</v>
      </c>
      <c r="K17" s="167" t="s">
        <v>273</v>
      </c>
      <c r="L17" s="167" t="s">
        <v>391</v>
      </c>
      <c r="M17" s="167" t="s">
        <v>392</v>
      </c>
      <c r="N17" s="167" t="s">
        <v>392</v>
      </c>
      <c r="O17" s="167"/>
      <c r="P17" s="167"/>
      <c r="Q17" s="171" t="str">
        <f>HYPERLINK("https://api.typeform.com/responses/files/e6f33107d6f05996a6a7c65969ebd8950c223e595f851f11c6bcd7144a0deca6/20171216_211920.jpg")</f>
        <v>https://api.typeform.com/responses/files/e6f33107d6f05996a6a7c65969ebd8950c223e595f851f11c6bcd7144a0deca6/20171216_211920.jpg</v>
      </c>
      <c r="R17" s="171" t="str">
        <f>HYPERLINK("https://api.typeform.com/responses/files/2bd52097ae4b441cb296f911806a394f6728c7b635de2c97734a22408c3d5c94/IMG_20220328_125824949.jpg")</f>
        <v>https://api.typeform.com/responses/files/2bd52097ae4b441cb296f911806a394f6728c7b635de2c97734a22408c3d5c94/IMG_20220328_125824949.jpg</v>
      </c>
      <c r="S17" s="171"/>
      <c r="T17" s="171"/>
      <c r="U17" s="171"/>
      <c r="V17" s="171"/>
    </row>
    <row r="18">
      <c r="A18" s="167" t="s">
        <v>180</v>
      </c>
      <c r="B18" s="167" t="s">
        <v>268</v>
      </c>
      <c r="C18" s="167" t="s">
        <v>346</v>
      </c>
      <c r="D18" s="168" t="s">
        <v>393</v>
      </c>
      <c r="E18" s="168">
        <v>30903.0</v>
      </c>
      <c r="F18" s="167" t="s">
        <v>394</v>
      </c>
      <c r="G18" s="167" t="s">
        <v>395</v>
      </c>
      <c r="H18" s="167" t="s">
        <v>395</v>
      </c>
      <c r="I18" s="169" t="s">
        <v>396</v>
      </c>
      <c r="J18" s="167" t="s">
        <v>303</v>
      </c>
      <c r="K18" s="167" t="s">
        <v>303</v>
      </c>
      <c r="L18" s="167" t="s">
        <v>397</v>
      </c>
      <c r="M18" s="167"/>
      <c r="N18" s="167"/>
      <c r="O18" s="167" t="s">
        <v>398</v>
      </c>
      <c r="P18" s="167"/>
      <c r="Q18" s="171" t="str">
        <f>HYPERLINK("https://api.typeform.com/responses/files/e8d198c0b3ea18bfe53778a2b95c0e4343ef73ca9989de191e0a872983725331/1654095512042..jpg")</f>
        <v>https://api.typeform.com/responses/files/e8d198c0b3ea18bfe53778a2b95c0e4343ef73ca9989de191e0a872983725331/1654095512042..jpg</v>
      </c>
      <c r="R18" s="171" t="str">
        <f>HYPERLINK("https://api.typeform.com/responses/files/ee71d5d87325732fb40c8178f78f9af167a8264b9232ab476474189720f27da3/1654095599856..jpg")</f>
        <v>https://api.typeform.com/responses/files/ee71d5d87325732fb40c8178f78f9af167a8264b9232ab476474189720f27da3/1654095599856..jpg</v>
      </c>
      <c r="S18" s="171"/>
      <c r="T18" s="171"/>
      <c r="U18" s="171"/>
      <c r="V18" s="171"/>
    </row>
    <row r="19">
      <c r="A19" s="174" t="s">
        <v>399</v>
      </c>
      <c r="B19" s="167" t="s">
        <v>268</v>
      </c>
      <c r="C19" s="172" t="s">
        <v>306</v>
      </c>
      <c r="D19" s="172" t="s">
        <v>400</v>
      </c>
      <c r="E19" s="172" t="s">
        <v>401</v>
      </c>
      <c r="F19" s="172" t="s">
        <v>402</v>
      </c>
      <c r="G19" s="172" t="s">
        <v>403</v>
      </c>
      <c r="H19" s="172" t="s">
        <v>404</v>
      </c>
      <c r="I19" s="172">
        <v>8.9505725546E10</v>
      </c>
      <c r="J19" s="167"/>
      <c r="K19" s="172" t="s">
        <v>303</v>
      </c>
      <c r="L19" s="172" t="s">
        <v>405</v>
      </c>
      <c r="M19" s="167"/>
      <c r="N19" s="167"/>
      <c r="O19" s="167"/>
      <c r="P19" s="167"/>
      <c r="Q19" s="175" t="s">
        <v>406</v>
      </c>
      <c r="R19" s="175" t="s">
        <v>407</v>
      </c>
      <c r="S19" s="175" t="s">
        <v>408</v>
      </c>
      <c r="T19" s="175"/>
      <c r="U19" s="175"/>
      <c r="V19" s="175"/>
    </row>
    <row r="20">
      <c r="A20" s="167" t="s">
        <v>215</v>
      </c>
      <c r="B20" s="167" t="s">
        <v>268</v>
      </c>
      <c r="C20" s="167" t="s">
        <v>409</v>
      </c>
      <c r="D20" s="168" t="s">
        <v>410</v>
      </c>
      <c r="E20" s="168">
        <v>34130.0</v>
      </c>
      <c r="F20" s="167" t="s">
        <v>411</v>
      </c>
      <c r="G20" s="172" t="s">
        <v>412</v>
      </c>
      <c r="H20" s="167" t="s">
        <v>413</v>
      </c>
      <c r="I20" s="169" t="s">
        <v>414</v>
      </c>
      <c r="J20" s="167" t="s">
        <v>303</v>
      </c>
      <c r="K20" s="167" t="s">
        <v>334</v>
      </c>
      <c r="L20" s="167" t="s">
        <v>415</v>
      </c>
      <c r="M20" s="167" t="s">
        <v>411</v>
      </c>
      <c r="N20" s="167"/>
      <c r="O20" s="167"/>
      <c r="P20" s="167"/>
      <c r="Q20" s="171" t="str">
        <f>HYPERLINK("https://api.typeform.com/responses/files/0533758af7e00c37a4e4ad1467ad7c5fbd73bbe4ec187d52681e248426f40f19/photo_2022_10_25_22_49_29.jpg")</f>
        <v>https://api.typeform.com/responses/files/0533758af7e00c37a4e4ad1467ad7c5fbd73bbe4ec187d52681e248426f40f19/photo_2022_10_25_22_49_29.jpg</v>
      </c>
      <c r="R20" s="171" t="str">
        <f>HYPERLINK("https://api.typeform.com/responses/files/67fafb74bd5171f642cfc1f623c7edeb859b02ebc319fc98777843f4e6082db6/photo_2022_10_25_22_52_55.jpg")</f>
        <v>https://api.typeform.com/responses/files/67fafb74bd5171f642cfc1f623c7edeb859b02ebc319fc98777843f4e6082db6/photo_2022_10_25_22_52_55.jpg</v>
      </c>
      <c r="S20" s="171"/>
      <c r="T20" s="171"/>
      <c r="U20" s="171"/>
      <c r="V20" s="171"/>
    </row>
    <row r="21">
      <c r="A21" s="167" t="s">
        <v>416</v>
      </c>
      <c r="B21" s="167" t="s">
        <v>268</v>
      </c>
      <c r="C21" s="167" t="s">
        <v>417</v>
      </c>
      <c r="D21" s="168" t="s">
        <v>418</v>
      </c>
      <c r="E21" s="168">
        <v>35977.0</v>
      </c>
      <c r="F21" s="167" t="s">
        <v>419</v>
      </c>
      <c r="G21" s="167" t="s">
        <v>416</v>
      </c>
      <c r="H21" s="167" t="s">
        <v>420</v>
      </c>
      <c r="I21" s="169" t="s">
        <v>421</v>
      </c>
      <c r="J21" s="167" t="s">
        <v>303</v>
      </c>
      <c r="K21" s="167" t="s">
        <v>303</v>
      </c>
      <c r="L21" s="167" t="s">
        <v>422</v>
      </c>
      <c r="M21" s="167" t="s">
        <v>423</v>
      </c>
      <c r="N21" s="167"/>
      <c r="O21" s="167"/>
      <c r="P21" s="167"/>
      <c r="Q21" s="171" t="s">
        <v>424</v>
      </c>
      <c r="R21" s="171" t="s">
        <v>425</v>
      </c>
      <c r="S21" s="171"/>
      <c r="T21" s="171"/>
      <c r="U21" s="171"/>
      <c r="V21" s="171"/>
    </row>
    <row r="22">
      <c r="A22" s="167" t="s">
        <v>192</v>
      </c>
      <c r="B22" s="167" t="s">
        <v>268</v>
      </c>
      <c r="C22" s="167" t="s">
        <v>426</v>
      </c>
      <c r="D22" s="168" t="s">
        <v>427</v>
      </c>
      <c r="E22" s="168">
        <v>33100.0</v>
      </c>
      <c r="F22" s="167" t="s">
        <v>428</v>
      </c>
      <c r="G22" s="167" t="s">
        <v>192</v>
      </c>
      <c r="H22" s="167" t="s">
        <v>429</v>
      </c>
      <c r="I22" s="169" t="s">
        <v>430</v>
      </c>
      <c r="J22" s="167" t="s">
        <v>303</v>
      </c>
      <c r="K22" s="167" t="s">
        <v>373</v>
      </c>
      <c r="L22" s="167" t="s">
        <v>431</v>
      </c>
      <c r="M22" s="167" t="s">
        <v>428</v>
      </c>
      <c r="N22" s="167"/>
      <c r="O22" s="167"/>
      <c r="P22" s="167"/>
      <c r="Q22" s="171" t="str">
        <f>HYPERLINK("https://api.typeform.com/responses/files/06dec3c5c33f51c4aa16e858a1a2476106b7d4bfd25fe7b7065a6dd2d52e2320/тайпасс_загран_паша.png")</f>
        <v>https://api.typeform.com/responses/files/06dec3c5c33f51c4aa16e858a1a2476106b7d4bfd25fe7b7065a6dd2d52e2320/тайпасс_загран_паша.png</v>
      </c>
      <c r="R22" s="167"/>
      <c r="S22" s="167"/>
      <c r="T22" s="167"/>
      <c r="U22" s="167"/>
      <c r="V22" s="167"/>
    </row>
    <row r="23">
      <c r="A23" s="167" t="s">
        <v>200</v>
      </c>
      <c r="B23" s="167" t="s">
        <v>268</v>
      </c>
      <c r="C23" s="167" t="s">
        <v>432</v>
      </c>
      <c r="D23" s="168" t="s">
        <v>433</v>
      </c>
      <c r="E23" s="168">
        <v>36237.0</v>
      </c>
      <c r="F23" s="167" t="s">
        <v>434</v>
      </c>
      <c r="G23" s="167" t="s">
        <v>200</v>
      </c>
      <c r="H23" s="167" t="s">
        <v>435</v>
      </c>
      <c r="I23" s="169" t="s">
        <v>436</v>
      </c>
      <c r="J23" s="172" t="s">
        <v>289</v>
      </c>
      <c r="K23" s="167" t="s">
        <v>437</v>
      </c>
      <c r="L23" s="167" t="s">
        <v>438</v>
      </c>
      <c r="M23" s="167"/>
      <c r="N23" s="167" t="s">
        <v>434</v>
      </c>
      <c r="O23" s="167" t="s">
        <v>439</v>
      </c>
      <c r="P23" s="167"/>
      <c r="Q23" s="171" t="str">
        <f>HYPERLINK("https://api.typeform.com/responses/files/aada530752009b1bb370106d899a94a45a1bdc35c017c73d45f44e08c4c082cb/photo_2022_04_11_07_51_30.jpg")</f>
        <v>https://api.typeform.com/responses/files/aada530752009b1bb370106d899a94a45a1bdc35c017c73d45f44e08c4c082cb/photo_2022_04_11_07_51_30.jpg</v>
      </c>
      <c r="R23" s="171" t="str">
        <f>HYPERLINK("https://api.typeform.com/responses/files/4ac3e22d8e5ec8782adc98cca61eb82f66ce94732b56415ef2e866cbc4407a0d/photo_2022_10_23_20_26_15.jpg")</f>
        <v>https://api.typeform.com/responses/files/4ac3e22d8e5ec8782adc98cca61eb82f66ce94732b56415ef2e866cbc4407a0d/photo_2022_10_23_20_26_15.jpg</v>
      </c>
      <c r="S23" s="171"/>
      <c r="T23" s="171"/>
      <c r="U23" s="171"/>
      <c r="V23" s="171"/>
    </row>
    <row r="24">
      <c r="A24" s="177" t="s">
        <v>440</v>
      </c>
      <c r="B24" s="167" t="s">
        <v>331</v>
      </c>
      <c r="C24" s="177" t="s">
        <v>409</v>
      </c>
      <c r="D24" s="177" t="s">
        <v>441</v>
      </c>
      <c r="E24" s="178">
        <v>32740.0</v>
      </c>
      <c r="F24" s="177" t="s">
        <v>442</v>
      </c>
      <c r="G24" s="177" t="s">
        <v>443</v>
      </c>
      <c r="H24" s="177" t="s">
        <v>440</v>
      </c>
      <c r="I24" s="177">
        <v>3.80979248848E11</v>
      </c>
      <c r="J24" s="6" t="s">
        <v>273</v>
      </c>
      <c r="K24" s="172" t="s">
        <v>273</v>
      </c>
      <c r="L24" s="172" t="s">
        <v>444</v>
      </c>
      <c r="M24" s="149"/>
      <c r="N24" s="179" t="s">
        <v>445</v>
      </c>
      <c r="O24" s="149"/>
      <c r="P24" s="149"/>
      <c r="Q24" s="180" t="s">
        <v>446</v>
      </c>
      <c r="R24" s="180" t="s">
        <v>447</v>
      </c>
      <c r="S24" s="181">
        <v>43701.0</v>
      </c>
      <c r="T24" s="175" t="s">
        <v>448</v>
      </c>
      <c r="U24" s="175" t="s">
        <v>449</v>
      </c>
      <c r="V24" s="175" t="b">
        <v>1</v>
      </c>
    </row>
    <row r="25">
      <c r="A25" s="173" t="s">
        <v>195</v>
      </c>
      <c r="B25" s="167" t="s">
        <v>331</v>
      </c>
      <c r="C25" s="167" t="s">
        <v>450</v>
      </c>
      <c r="D25" s="168" t="s">
        <v>451</v>
      </c>
      <c r="E25" s="168">
        <v>34535.0</v>
      </c>
      <c r="F25" s="167" t="s">
        <v>452</v>
      </c>
      <c r="G25" s="167" t="s">
        <v>195</v>
      </c>
      <c r="H25" s="167" t="s">
        <v>453</v>
      </c>
      <c r="I25" s="169" t="s">
        <v>454</v>
      </c>
      <c r="J25" s="167" t="s">
        <v>303</v>
      </c>
      <c r="K25" s="167" t="s">
        <v>303</v>
      </c>
      <c r="L25" s="167" t="s">
        <v>455</v>
      </c>
      <c r="M25" s="167" t="s">
        <v>456</v>
      </c>
      <c r="N25" s="167" t="s">
        <v>457</v>
      </c>
      <c r="O25" s="167" t="s">
        <v>456</v>
      </c>
      <c r="P25" s="170" t="s">
        <v>456</v>
      </c>
      <c r="Q25" s="171" t="s">
        <v>458</v>
      </c>
      <c r="R25" s="171" t="str">
        <f>HYPERLINK("https://api.typeform.com/responses/files/bf6e0bd4effcb6614132a31e324bcbebc60fd560930da7931a229b43befd8d96/9A9E0B94_8836_4BC7_9253_FB310F2D0706.jpeg")</f>
        <v>https://api.typeform.com/responses/files/bf6e0bd4effcb6614132a31e324bcbebc60fd560930da7931a229b43befd8d96/9A9E0B94_8836_4BC7_9253_FB310F2D0706.jpeg</v>
      </c>
      <c r="S25" s="171"/>
      <c r="T25" s="171"/>
      <c r="U25" s="171"/>
      <c r="V25" s="171"/>
    </row>
    <row r="26">
      <c r="A26" s="167" t="s">
        <v>459</v>
      </c>
      <c r="B26" s="167" t="s">
        <v>331</v>
      </c>
      <c r="C26" s="167" t="s">
        <v>297</v>
      </c>
      <c r="D26" s="168" t="s">
        <v>460</v>
      </c>
      <c r="E26" s="168">
        <v>33348.0</v>
      </c>
      <c r="F26" s="167" t="s">
        <v>461</v>
      </c>
      <c r="G26" s="167" t="s">
        <v>462</v>
      </c>
      <c r="H26" s="167" t="s">
        <v>463</v>
      </c>
      <c r="I26" s="167">
        <f>+380967029266</f>
        <v>380967029266</v>
      </c>
      <c r="J26" s="167" t="s">
        <v>273</v>
      </c>
      <c r="K26" s="167" t="s">
        <v>273</v>
      </c>
      <c r="L26" s="167" t="s">
        <v>464</v>
      </c>
      <c r="M26" s="167"/>
      <c r="N26" s="167" t="s">
        <v>465</v>
      </c>
      <c r="O26" s="167"/>
      <c r="P26" s="167"/>
      <c r="Q26" s="171" t="s">
        <v>466</v>
      </c>
      <c r="R26" s="171" t="s">
        <v>467</v>
      </c>
      <c r="S26" s="171"/>
      <c r="T26" s="171"/>
      <c r="U26" s="171"/>
      <c r="V26" s="171"/>
    </row>
    <row r="27">
      <c r="A27" s="167" t="s">
        <v>148</v>
      </c>
      <c r="B27" s="167" t="s">
        <v>331</v>
      </c>
      <c r="C27" s="167" t="s">
        <v>468</v>
      </c>
      <c r="D27" s="168" t="s">
        <v>469</v>
      </c>
      <c r="E27" s="168">
        <v>32072.0</v>
      </c>
      <c r="F27" s="167" t="s">
        <v>470</v>
      </c>
      <c r="G27" s="167" t="s">
        <v>471</v>
      </c>
      <c r="H27" s="167" t="s">
        <v>472</v>
      </c>
      <c r="I27" s="167">
        <f>+79898356973</f>
        <v>79898356973</v>
      </c>
      <c r="J27" s="167" t="s">
        <v>303</v>
      </c>
      <c r="K27" s="167" t="s">
        <v>303</v>
      </c>
      <c r="L27" s="167" t="s">
        <v>473</v>
      </c>
      <c r="M27" s="167"/>
      <c r="N27" s="167"/>
      <c r="O27" s="167" t="s">
        <v>474</v>
      </c>
      <c r="P27" s="167"/>
      <c r="Q27" s="170" t="s">
        <v>475</v>
      </c>
      <c r="R27" s="171" t="s">
        <v>476</v>
      </c>
      <c r="S27" s="171"/>
      <c r="T27" s="171"/>
      <c r="U27" s="171"/>
      <c r="V27" s="171"/>
    </row>
    <row r="28">
      <c r="A28" s="167" t="s">
        <v>477</v>
      </c>
      <c r="B28" s="167" t="s">
        <v>331</v>
      </c>
      <c r="C28" s="167" t="s">
        <v>426</v>
      </c>
      <c r="D28" s="168" t="s">
        <v>478</v>
      </c>
      <c r="E28" s="168">
        <v>33860.0</v>
      </c>
      <c r="F28" s="167" t="s">
        <v>479</v>
      </c>
      <c r="G28" s="167" t="s">
        <v>480</v>
      </c>
      <c r="H28" s="167" t="s">
        <v>477</v>
      </c>
      <c r="I28" s="169" t="s">
        <v>481</v>
      </c>
      <c r="J28" s="167" t="s">
        <v>303</v>
      </c>
      <c r="K28" s="167" t="s">
        <v>303</v>
      </c>
      <c r="L28" s="167" t="s">
        <v>482</v>
      </c>
      <c r="M28" s="167"/>
      <c r="N28" s="167" t="s">
        <v>483</v>
      </c>
      <c r="O28" s="167" t="s">
        <v>479</v>
      </c>
      <c r="P28" s="167"/>
      <c r="Q28" s="171" t="str">
        <f>HYPERLINK("https://api.typeform.com/responses/files/3f8718a85f04218eaa7ba5e9903d764d961b714cfef3561211c4ae1618e6364d/002.jpg")</f>
        <v>https://api.typeform.com/responses/files/3f8718a85f04218eaa7ba5e9903d764d961b714cfef3561211c4ae1618e6364d/002.jpg</v>
      </c>
      <c r="R28" s="171" t="str">
        <f>HYPERLINK("https://api.typeform.com/responses/files/abd9f73fcdcbda99b6b5bf2d2def0233a89b9ffc07903034ad766719b2354286/image0.jpeg")</f>
        <v>https://api.typeform.com/responses/files/abd9f73fcdcbda99b6b5bf2d2def0233a89b9ffc07903034ad766719b2354286/image0.jpeg</v>
      </c>
      <c r="S28" s="171"/>
      <c r="T28" s="171"/>
      <c r="U28" s="171"/>
      <c r="V28" s="171"/>
    </row>
    <row r="29">
      <c r="A29" s="149" t="s">
        <v>484</v>
      </c>
      <c r="B29" s="167" t="s">
        <v>268</v>
      </c>
      <c r="C29" s="182" t="s">
        <v>485</v>
      </c>
      <c r="D29" s="182" t="s">
        <v>486</v>
      </c>
      <c r="E29" s="183">
        <v>35679.0</v>
      </c>
      <c r="F29" s="182" t="s">
        <v>487</v>
      </c>
      <c r="G29" s="182" t="s">
        <v>488</v>
      </c>
      <c r="H29" s="182" t="s">
        <v>489</v>
      </c>
      <c r="I29" s="182" t="s">
        <v>490</v>
      </c>
      <c r="J29" s="6" t="s">
        <v>303</v>
      </c>
      <c r="K29" s="6" t="s">
        <v>303</v>
      </c>
      <c r="L29" s="6" t="s">
        <v>491</v>
      </c>
      <c r="M29" s="149"/>
      <c r="N29" s="149"/>
      <c r="O29" s="149" t="s">
        <v>492</v>
      </c>
      <c r="P29" s="149" t="s">
        <v>492</v>
      </c>
      <c r="Q29" s="182" t="s">
        <v>493</v>
      </c>
      <c r="R29" s="184" t="s">
        <v>494</v>
      </c>
      <c r="S29" s="185" t="s">
        <v>495</v>
      </c>
      <c r="T29" s="175"/>
      <c r="U29" s="175"/>
      <c r="V29" s="175"/>
    </row>
    <row r="30">
      <c r="A30" s="149" t="s">
        <v>496</v>
      </c>
      <c r="B30" s="167" t="s">
        <v>268</v>
      </c>
      <c r="C30" s="182" t="s">
        <v>468</v>
      </c>
      <c r="D30" s="182" t="s">
        <v>497</v>
      </c>
      <c r="E30" s="183">
        <v>35136.0</v>
      </c>
      <c r="F30" s="182" t="s">
        <v>498</v>
      </c>
      <c r="G30" s="182" t="s">
        <v>499</v>
      </c>
      <c r="H30" s="177" t="s">
        <v>500</v>
      </c>
      <c r="I30" s="182" t="s">
        <v>501</v>
      </c>
      <c r="J30" s="6" t="s">
        <v>303</v>
      </c>
      <c r="K30" s="172" t="s">
        <v>437</v>
      </c>
      <c r="L30" s="172"/>
      <c r="M30" s="149" t="s">
        <v>498</v>
      </c>
      <c r="N30" s="186" t="s">
        <v>498</v>
      </c>
      <c r="O30" s="149"/>
      <c r="P30" s="149"/>
      <c r="Q30" s="184" t="s">
        <v>502</v>
      </c>
      <c r="R30" s="184" t="s">
        <v>503</v>
      </c>
      <c r="S30" s="185" t="s">
        <v>504</v>
      </c>
      <c r="T30" s="175"/>
      <c r="U30" s="175"/>
      <c r="V30" s="175"/>
    </row>
    <row r="31">
      <c r="A31" s="167" t="s">
        <v>505</v>
      </c>
      <c r="B31" s="167" t="s">
        <v>268</v>
      </c>
      <c r="C31" s="167" t="s">
        <v>284</v>
      </c>
      <c r="D31" s="168" t="s">
        <v>506</v>
      </c>
      <c r="E31" s="168">
        <v>32102.0</v>
      </c>
      <c r="F31" s="167" t="s">
        <v>507</v>
      </c>
      <c r="G31" s="167" t="s">
        <v>508</v>
      </c>
      <c r="H31" s="167" t="s">
        <v>509</v>
      </c>
      <c r="I31" s="169" t="s">
        <v>510</v>
      </c>
      <c r="J31" s="167"/>
      <c r="K31" s="167"/>
      <c r="L31" s="167" t="s">
        <v>511</v>
      </c>
      <c r="M31" s="167" t="s">
        <v>512</v>
      </c>
      <c r="N31" s="167"/>
      <c r="O31" s="167"/>
      <c r="P31" s="167"/>
      <c r="Q31" s="171" t="s">
        <v>513</v>
      </c>
      <c r="R31" s="171" t="s">
        <v>514</v>
      </c>
      <c r="S31" s="171"/>
      <c r="T31" s="171"/>
      <c r="U31" s="171"/>
      <c r="V31" s="171"/>
    </row>
    <row r="32">
      <c r="A32" s="167" t="s">
        <v>197</v>
      </c>
      <c r="B32" s="167" t="s">
        <v>268</v>
      </c>
      <c r="C32" s="167" t="s">
        <v>284</v>
      </c>
      <c r="D32" s="168" t="s">
        <v>515</v>
      </c>
      <c r="E32" s="168">
        <v>33796.0</v>
      </c>
      <c r="F32" s="167" t="s">
        <v>516</v>
      </c>
      <c r="G32" s="167" t="s">
        <v>197</v>
      </c>
      <c r="H32" s="167" t="s">
        <v>517</v>
      </c>
      <c r="I32" s="169" t="s">
        <v>518</v>
      </c>
      <c r="J32" s="167" t="s">
        <v>273</v>
      </c>
      <c r="K32" s="167" t="s">
        <v>273</v>
      </c>
      <c r="L32" s="167" t="s">
        <v>519</v>
      </c>
      <c r="M32" s="167" t="s">
        <v>323</v>
      </c>
      <c r="N32" s="167" t="s">
        <v>516</v>
      </c>
      <c r="O32" s="167" t="s">
        <v>516</v>
      </c>
      <c r="P32" s="167" t="s">
        <v>520</v>
      </c>
      <c r="Q32" s="171" t="str">
        <f>HYPERLINK("https://api.typeform.com/responses/files/9a5de028f7a5260644aa8ce95bc177f226081ad6b5e1e9836452459d09aafde7/photo_2021_03_13_20_50_11.jpg")</f>
        <v>https://api.typeform.com/responses/files/9a5de028f7a5260644aa8ce95bc177f226081ad6b5e1e9836452459d09aafde7/photo_2021_03_13_20_50_11.jpg</v>
      </c>
      <c r="R32" s="171" t="str">
        <f>HYPERLINK("https://api.typeform.com/responses/files/7dc449bfe2d508b83d05b18f7e63b6ccf9e44a3fb9ec224eff6f688ee70db91b/photo_2019_11_10_17_32_07__2_.jpg")</f>
        <v>https://api.typeform.com/responses/files/7dc449bfe2d508b83d05b18f7e63b6ccf9e44a3fb9ec224eff6f688ee70db91b/photo_2019_11_10_17_32_07__2_.jpg</v>
      </c>
      <c r="S32" s="171"/>
      <c r="T32" s="171"/>
      <c r="U32" s="171"/>
      <c r="V32" s="171"/>
    </row>
    <row r="33">
      <c r="A33" s="167" t="s">
        <v>199</v>
      </c>
      <c r="B33" s="167" t="s">
        <v>331</v>
      </c>
      <c r="C33" s="167" t="s">
        <v>521</v>
      </c>
      <c r="D33" s="168" t="s">
        <v>522</v>
      </c>
      <c r="E33" s="168">
        <v>31569.0</v>
      </c>
      <c r="F33" s="167" t="s">
        <v>523</v>
      </c>
      <c r="G33" s="167" t="s">
        <v>524</v>
      </c>
      <c r="H33" s="167" t="s">
        <v>525</v>
      </c>
      <c r="I33" s="167">
        <f>+375291943722</f>
        <v>375291943722</v>
      </c>
      <c r="J33" s="167" t="s">
        <v>303</v>
      </c>
      <c r="K33" s="172" t="s">
        <v>289</v>
      </c>
      <c r="L33" s="167" t="s">
        <v>526</v>
      </c>
      <c r="M33" s="167"/>
      <c r="N33" s="167"/>
      <c r="O33" s="167"/>
      <c r="P33" s="167"/>
      <c r="Q33" s="171" t="s">
        <v>527</v>
      </c>
      <c r="R33" s="171" t="s">
        <v>528</v>
      </c>
      <c r="S33" s="171"/>
      <c r="T33" s="171"/>
      <c r="U33" s="171"/>
      <c r="V33" s="171"/>
    </row>
    <row r="34">
      <c r="A34" s="167" t="s">
        <v>529</v>
      </c>
      <c r="B34" s="167" t="s">
        <v>268</v>
      </c>
      <c r="C34" s="167" t="s">
        <v>530</v>
      </c>
      <c r="D34" s="168" t="s">
        <v>418</v>
      </c>
      <c r="E34" s="168">
        <v>32651.0</v>
      </c>
      <c r="F34" s="167" t="s">
        <v>531</v>
      </c>
      <c r="G34" s="167" t="s">
        <v>147</v>
      </c>
      <c r="H34" s="167" t="s">
        <v>532</v>
      </c>
      <c r="I34" s="169" t="s">
        <v>533</v>
      </c>
      <c r="J34" s="167" t="s">
        <v>303</v>
      </c>
      <c r="K34" s="167" t="s">
        <v>303</v>
      </c>
      <c r="L34" s="167" t="s">
        <v>534</v>
      </c>
      <c r="M34" s="167" t="s">
        <v>531</v>
      </c>
      <c r="N34" s="167" t="s">
        <v>531</v>
      </c>
      <c r="O34" s="167"/>
      <c r="P34" s="167"/>
      <c r="Q34" s="171" t="str">
        <f>HYPERLINK("https://api.typeform.com/responses/files/d68c446b097878f8c2638cc13734b32655c70c68bed7a5c55184753bc42302d9/1c1qH_Dac74.jpg")</f>
        <v>https://api.typeform.com/responses/files/d68c446b097878f8c2638cc13734b32655c70c68bed7a5c55184753bc42302d9/1c1qH_Dac74.jpg</v>
      </c>
      <c r="R34" s="171" t="str">
        <f>HYPERLINK("https://api.typeform.com/responses/files/703298cc8051e9de68eac3056b3f5da7ab3d4716c5ca03ad8c123dba745c51cb/jQubgIAOQ34.jpg")</f>
        <v>https://api.typeform.com/responses/files/703298cc8051e9de68eac3056b3f5da7ab3d4716c5ca03ad8c123dba745c51cb/jQubgIAOQ34.jpg</v>
      </c>
      <c r="S34" s="171"/>
      <c r="T34" s="171"/>
      <c r="U34" s="171"/>
      <c r="V34" s="171"/>
    </row>
    <row r="35">
      <c r="A35" s="167" t="s">
        <v>156</v>
      </c>
      <c r="B35" s="167" t="s">
        <v>268</v>
      </c>
      <c r="C35" s="167" t="s">
        <v>468</v>
      </c>
      <c r="D35" s="168" t="s">
        <v>535</v>
      </c>
      <c r="E35" s="168">
        <v>33172.0</v>
      </c>
      <c r="F35" s="167" t="s">
        <v>536</v>
      </c>
      <c r="G35" s="167" t="s">
        <v>156</v>
      </c>
      <c r="H35" s="167" t="s">
        <v>537</v>
      </c>
      <c r="I35" s="169" t="s">
        <v>538</v>
      </c>
      <c r="J35" s="172" t="s">
        <v>289</v>
      </c>
      <c r="K35" s="172" t="s">
        <v>289</v>
      </c>
      <c r="L35" s="167" t="s">
        <v>539</v>
      </c>
      <c r="M35" s="167" t="s">
        <v>536</v>
      </c>
      <c r="N35" s="167" t="s">
        <v>536</v>
      </c>
      <c r="O35" s="167"/>
      <c r="P35" s="167"/>
      <c r="Q35" s="171" t="str">
        <f>HYPERLINK("https://api.typeform.com/responses/files/4cfd0547ed4473ce9c7d3a817eaa68571c775770b6a7dbc62d2c35786d681543/photo_2022_04_20_15_41_28.jpg")</f>
        <v>https://api.typeform.com/responses/files/4cfd0547ed4473ce9c7d3a817eaa68571c775770b6a7dbc62d2c35786d681543/photo_2022_04_20_15_41_28.jpg</v>
      </c>
      <c r="R35" s="171" t="str">
        <f>HYPERLINK("https://api.typeform.com/responses/files/a08757e9af724d7c085c0b1880d214bcfe0a0a73e5d4c653bfcd0045652b3fad/photo_2022_04_20_15_43_00.jpg")</f>
        <v>https://api.typeform.com/responses/files/a08757e9af724d7c085c0b1880d214bcfe0a0a73e5d4c653bfcd0045652b3fad/photo_2022_04_20_15_43_00.jpg</v>
      </c>
      <c r="S35" s="171"/>
      <c r="T35" s="171"/>
      <c r="U35" s="171"/>
      <c r="V35" s="171"/>
    </row>
    <row r="36">
      <c r="A36" s="187" t="s">
        <v>171</v>
      </c>
      <c r="B36" s="167" t="s">
        <v>268</v>
      </c>
      <c r="C36" s="167" t="s">
        <v>409</v>
      </c>
      <c r="D36" s="168" t="s">
        <v>540</v>
      </c>
      <c r="E36" s="168">
        <v>35972.0</v>
      </c>
      <c r="F36" s="167" t="s">
        <v>541</v>
      </c>
      <c r="G36" s="167" t="s">
        <v>171</v>
      </c>
      <c r="H36" s="167" t="s">
        <v>542</v>
      </c>
      <c r="I36" s="169" t="s">
        <v>543</v>
      </c>
      <c r="J36" s="167" t="s">
        <v>303</v>
      </c>
      <c r="K36" s="167" t="s">
        <v>303</v>
      </c>
      <c r="L36" s="167" t="s">
        <v>544</v>
      </c>
      <c r="M36" s="167" t="s">
        <v>545</v>
      </c>
      <c r="N36" s="167" t="s">
        <v>545</v>
      </c>
      <c r="O36" s="167"/>
      <c r="P36" s="167"/>
      <c r="Q36" s="171" t="str">
        <f>HYPERLINK("https://api.typeform.com/responses/files/33482b04b1a0ce9f2bb4aff69d579af5416719e98628a8103cc5da12435b18d0/photo_2022_08_25_11_29_27.jpg")</f>
        <v>https://api.typeform.com/responses/files/33482b04b1a0ce9f2bb4aff69d579af5416719e98628a8103cc5da12435b18d0/photo_2022_08_25_11_29_27.jpg</v>
      </c>
      <c r="R36" s="171" t="str">
        <f>HYPERLINK("https://api.typeform.com/responses/files/a2a6bc30e9b649fc503e9f2647431320a7823c457357cf55c74422163406546e/photo_2022_08_25_11_31_51.jpg")</f>
        <v>https://api.typeform.com/responses/files/a2a6bc30e9b649fc503e9f2647431320a7823c457357cf55c74422163406546e/photo_2022_08_25_11_31_51.jpg</v>
      </c>
      <c r="S36" s="171"/>
      <c r="T36" s="171"/>
      <c r="U36" s="171"/>
      <c r="V36" s="171"/>
    </row>
    <row r="37">
      <c r="A37" s="167" t="s">
        <v>546</v>
      </c>
      <c r="B37" s="167" t="s">
        <v>331</v>
      </c>
      <c r="C37" s="167" t="s">
        <v>547</v>
      </c>
      <c r="D37" s="168" t="s">
        <v>548</v>
      </c>
      <c r="E37" s="168">
        <v>32986.0</v>
      </c>
      <c r="F37" s="167" t="s">
        <v>549</v>
      </c>
      <c r="G37" s="167" t="s">
        <v>546</v>
      </c>
      <c r="H37" s="167" t="s">
        <v>550</v>
      </c>
      <c r="I37" s="167">
        <f>+79108888523</f>
        <v>79108888523</v>
      </c>
      <c r="J37" s="167" t="s">
        <v>303</v>
      </c>
      <c r="K37" s="167" t="s">
        <v>303</v>
      </c>
      <c r="L37" s="167" t="s">
        <v>551</v>
      </c>
      <c r="M37" s="167" t="s">
        <v>549</v>
      </c>
      <c r="N37" s="167"/>
      <c r="O37" s="167"/>
      <c r="P37" s="167"/>
      <c r="Q37" s="167"/>
      <c r="R37" s="167"/>
      <c r="S37" s="167"/>
      <c r="T37" s="167"/>
      <c r="U37" s="167"/>
      <c r="V37" s="167"/>
    </row>
    <row r="38">
      <c r="A38" s="167" t="s">
        <v>232</v>
      </c>
      <c r="B38" s="167" t="s">
        <v>268</v>
      </c>
      <c r="C38" s="167" t="s">
        <v>409</v>
      </c>
      <c r="D38" s="168" t="s">
        <v>552</v>
      </c>
      <c r="E38" s="168">
        <v>32143.0</v>
      </c>
      <c r="F38" s="167" t="s">
        <v>553</v>
      </c>
      <c r="G38" s="167" t="s">
        <v>232</v>
      </c>
      <c r="H38" s="167" t="s">
        <v>554</v>
      </c>
      <c r="I38" s="169" t="s">
        <v>555</v>
      </c>
      <c r="J38" s="172" t="s">
        <v>289</v>
      </c>
      <c r="K38" s="172" t="s">
        <v>289</v>
      </c>
      <c r="L38" s="167" t="s">
        <v>556</v>
      </c>
      <c r="M38" s="167" t="s">
        <v>557</v>
      </c>
      <c r="N38" s="167"/>
      <c r="O38" s="167"/>
      <c r="P38" s="167"/>
      <c r="Q38" s="167"/>
      <c r="R38" s="167"/>
      <c r="S38" s="167"/>
      <c r="T38" s="167"/>
      <c r="U38" s="167"/>
      <c r="V38" s="167"/>
    </row>
    <row r="39">
      <c r="A39" s="167" t="s">
        <v>206</v>
      </c>
      <c r="B39" s="167" t="s">
        <v>268</v>
      </c>
      <c r="C39" s="167" t="s">
        <v>547</v>
      </c>
      <c r="D39" s="168" t="s">
        <v>558</v>
      </c>
      <c r="E39" s="168">
        <v>36545.0</v>
      </c>
      <c r="F39" s="167" t="s">
        <v>559</v>
      </c>
      <c r="G39" s="167" t="s">
        <v>560</v>
      </c>
      <c r="H39" s="167" t="s">
        <v>561</v>
      </c>
      <c r="I39" s="169" t="s">
        <v>562</v>
      </c>
      <c r="J39" s="167" t="s">
        <v>303</v>
      </c>
      <c r="K39" s="167" t="s">
        <v>303</v>
      </c>
      <c r="L39" s="167" t="s">
        <v>563</v>
      </c>
      <c r="M39" s="167" t="s">
        <v>564</v>
      </c>
      <c r="N39" s="167"/>
      <c r="O39" s="167"/>
      <c r="P39" s="167"/>
      <c r="Q39" s="171" t="str">
        <f>HYPERLINK("https://api.typeform.com/responses/files/e2ed128d5e7cf175cbcfe9a0d9add30544132fdb343f0ad037246ce21198993c/1.jpg")</f>
        <v>https://api.typeform.com/responses/files/e2ed128d5e7cf175cbcfe9a0d9add30544132fdb343f0ad037246ce21198993c/1.jpg</v>
      </c>
      <c r="R39" s="171" t="str">
        <f>HYPERLINK("https://api.typeform.com/responses/files/9a0d0e840a55ed9c48db988f7c366d143331b22e3fb56747b6f658f1ca6735b1/2.jpg")</f>
        <v>https://api.typeform.com/responses/files/9a0d0e840a55ed9c48db988f7c366d143331b22e3fb56747b6f658f1ca6735b1/2.jpg</v>
      </c>
      <c r="S39" s="171"/>
      <c r="T39" s="171"/>
      <c r="U39" s="171"/>
      <c r="V39" s="171"/>
    </row>
    <row r="40">
      <c r="A40" s="167" t="s">
        <v>183</v>
      </c>
      <c r="B40" s="167" t="s">
        <v>268</v>
      </c>
      <c r="C40" s="167" t="s">
        <v>485</v>
      </c>
      <c r="D40" s="168" t="s">
        <v>565</v>
      </c>
      <c r="E40" s="168">
        <v>32919.0</v>
      </c>
      <c r="F40" s="167" t="s">
        <v>566</v>
      </c>
      <c r="G40" s="167" t="s">
        <v>567</v>
      </c>
      <c r="H40" s="167" t="s">
        <v>568</v>
      </c>
      <c r="I40" s="169" t="s">
        <v>569</v>
      </c>
      <c r="J40" s="167" t="s">
        <v>273</v>
      </c>
      <c r="K40" s="167" t="s">
        <v>273</v>
      </c>
      <c r="L40" s="167" t="s">
        <v>570</v>
      </c>
      <c r="M40" s="167"/>
      <c r="N40" s="167"/>
      <c r="O40" s="167"/>
      <c r="P40" s="167"/>
      <c r="Q40" s="171" t="str">
        <f>HYPERLINK("https://api.typeform.com/responses/files/e9f35358c9655dd466b2ccbac7d397ba69c8f681dcc7a0acc508a83d6b37012c/image.jpg")</f>
        <v>https://api.typeform.com/responses/files/e9f35358c9655dd466b2ccbac7d397ba69c8f681dcc7a0acc508a83d6b37012c/image.jpg</v>
      </c>
      <c r="R40" s="171" t="str">
        <f>HYPERLINK("https://api.typeform.com/responses/files/3547d8142535bdd7912448bf5e95e0fcf61aa3d43bff3cfb168c895ae35ff0c0/image.jpg")</f>
        <v>https://api.typeform.com/responses/files/3547d8142535bdd7912448bf5e95e0fcf61aa3d43bff3cfb168c895ae35ff0c0/image.jpg</v>
      </c>
      <c r="S40" s="171"/>
      <c r="T40" s="171"/>
      <c r="U40" s="171"/>
      <c r="V40" s="171"/>
    </row>
    <row r="41">
      <c r="A41" s="173" t="s">
        <v>205</v>
      </c>
      <c r="B41" s="167" t="s">
        <v>268</v>
      </c>
      <c r="C41" s="167" t="s">
        <v>291</v>
      </c>
      <c r="D41" s="168" t="s">
        <v>571</v>
      </c>
      <c r="E41" s="168">
        <v>33866.0</v>
      </c>
      <c r="F41" s="167" t="s">
        <v>572</v>
      </c>
      <c r="G41" s="167" t="s">
        <v>205</v>
      </c>
      <c r="H41" s="167" t="s">
        <v>573</v>
      </c>
      <c r="I41" s="169" t="s">
        <v>574</v>
      </c>
      <c r="J41" s="167" t="s">
        <v>303</v>
      </c>
      <c r="K41" s="172" t="s">
        <v>289</v>
      </c>
      <c r="L41" s="167" t="s">
        <v>575</v>
      </c>
      <c r="M41" s="167" t="s">
        <v>572</v>
      </c>
      <c r="N41" s="167"/>
      <c r="O41" s="167"/>
      <c r="P41" s="167"/>
      <c r="Q41" s="171" t="str">
        <f>HYPERLINK("https://api.typeform.com/responses/files/c1ae3eeb6e15d2d1532599dfbdb91e8a564fef9fec112bb53f49cee8f31b4847/photo_2022_12_08_18_15_14.jpg")</f>
        <v>https://api.typeform.com/responses/files/c1ae3eeb6e15d2d1532599dfbdb91e8a564fef9fec112bb53f49cee8f31b4847/photo_2022_12_08_18_15_14.jpg</v>
      </c>
      <c r="R41" s="171" t="str">
        <f>HYPERLINK("https://api.typeform.com/responses/files/f065608697b8d1680170f5238b334e9766c0b0aa1f615350ab9fe850d7c77e36/photo_2022_12_08_18_18_32.jpg")</f>
        <v>https://api.typeform.com/responses/files/f065608697b8d1680170f5238b334e9766c0b0aa1f615350ab9fe850d7c77e36/photo_2022_12_08_18_18_32.jpg</v>
      </c>
      <c r="S41" s="171"/>
      <c r="T41" s="171"/>
      <c r="U41" s="171"/>
      <c r="V41" s="171"/>
    </row>
    <row r="42">
      <c r="A42" s="173" t="s">
        <v>576</v>
      </c>
      <c r="B42" s="167" t="s">
        <v>268</v>
      </c>
      <c r="C42" s="167" t="s">
        <v>577</v>
      </c>
      <c r="D42" s="168" t="s">
        <v>577</v>
      </c>
      <c r="E42" s="168">
        <v>30989.0</v>
      </c>
      <c r="F42" s="167" t="s">
        <v>578</v>
      </c>
      <c r="G42" s="167" t="s">
        <v>579</v>
      </c>
      <c r="H42" s="167" t="s">
        <v>580</v>
      </c>
      <c r="I42" s="169" t="s">
        <v>581</v>
      </c>
      <c r="J42" s="167" t="s">
        <v>303</v>
      </c>
      <c r="K42" s="167" t="s">
        <v>373</v>
      </c>
      <c r="L42" s="167" t="s">
        <v>582</v>
      </c>
      <c r="M42" s="167" t="s">
        <v>578</v>
      </c>
      <c r="N42" s="167" t="s">
        <v>578</v>
      </c>
      <c r="O42" s="167"/>
      <c r="P42" s="167"/>
      <c r="Q42" s="171" t="str">
        <f>HYPERLINK("https://api.typeform.com/responses/files/7393ad8f5f944e472d85bd9d4cf76b709e5c2a51a19514c9df6e023895ebcccb/Passport.jpg")</f>
        <v>https://api.typeform.com/responses/files/7393ad8f5f944e472d85bd9d4cf76b709e5c2a51a19514c9df6e023895ebcccb/Passport.jpg</v>
      </c>
      <c r="R42" s="167"/>
      <c r="S42" s="167"/>
      <c r="T42" s="167"/>
      <c r="U42" s="167"/>
      <c r="V42" s="167"/>
    </row>
    <row r="43">
      <c r="A43" s="174" t="s">
        <v>583</v>
      </c>
      <c r="B43" s="167" t="s">
        <v>268</v>
      </c>
      <c r="C43" s="172" t="s">
        <v>275</v>
      </c>
      <c r="D43" s="172" t="s">
        <v>584</v>
      </c>
      <c r="E43" s="172" t="s">
        <v>585</v>
      </c>
      <c r="F43" s="172" t="s">
        <v>586</v>
      </c>
      <c r="G43" s="172" t="s">
        <v>587</v>
      </c>
      <c r="H43" s="172" t="s">
        <v>588</v>
      </c>
      <c r="I43" s="6" t="s">
        <v>589</v>
      </c>
      <c r="J43" s="167"/>
      <c r="K43" s="172" t="s">
        <v>303</v>
      </c>
      <c r="L43" s="172" t="s">
        <v>590</v>
      </c>
      <c r="M43" s="172" t="s">
        <v>591</v>
      </c>
      <c r="N43" s="172" t="s">
        <v>592</v>
      </c>
      <c r="O43" s="167"/>
      <c r="P43" s="167"/>
      <c r="Q43" s="175" t="s">
        <v>593</v>
      </c>
      <c r="R43" s="175" t="s">
        <v>594</v>
      </c>
      <c r="S43" s="175" t="s">
        <v>595</v>
      </c>
      <c r="T43" s="175" t="s">
        <v>596</v>
      </c>
      <c r="U43" s="175"/>
      <c r="V43" s="175"/>
    </row>
    <row r="44">
      <c r="A44" s="167" t="s">
        <v>207</v>
      </c>
      <c r="B44" s="167" t="s">
        <v>268</v>
      </c>
      <c r="C44" s="167" t="s">
        <v>275</v>
      </c>
      <c r="D44" s="168" t="s">
        <v>597</v>
      </c>
      <c r="E44" s="168">
        <v>34935.0</v>
      </c>
      <c r="F44" s="167" t="s">
        <v>598</v>
      </c>
      <c r="G44" s="167" t="s">
        <v>207</v>
      </c>
      <c r="H44" s="167" t="s">
        <v>599</v>
      </c>
      <c r="I44" s="169" t="s">
        <v>600</v>
      </c>
      <c r="J44" s="167" t="s">
        <v>303</v>
      </c>
      <c r="K44" s="167" t="s">
        <v>303</v>
      </c>
      <c r="L44" s="167" t="s">
        <v>601</v>
      </c>
      <c r="M44" s="167" t="s">
        <v>602</v>
      </c>
      <c r="N44" s="167"/>
      <c r="O44" s="167"/>
      <c r="P44" s="167"/>
      <c r="Q44" s="171" t="s">
        <v>603</v>
      </c>
      <c r="R44" s="171" t="s">
        <v>604</v>
      </c>
      <c r="S44" s="171"/>
      <c r="T44" s="171"/>
      <c r="U44" s="171"/>
      <c r="V44" s="171"/>
    </row>
    <row r="45">
      <c r="A45" s="167" t="s">
        <v>210</v>
      </c>
      <c r="B45" s="167" t="s">
        <v>268</v>
      </c>
      <c r="C45" s="167" t="s">
        <v>291</v>
      </c>
      <c r="D45" s="168" t="s">
        <v>605</v>
      </c>
      <c r="E45" s="168">
        <v>36492.0</v>
      </c>
      <c r="F45" s="167" t="s">
        <v>606</v>
      </c>
      <c r="G45" s="167" t="s">
        <v>210</v>
      </c>
      <c r="H45" s="167" t="s">
        <v>607</v>
      </c>
      <c r="I45" s="169" t="s">
        <v>608</v>
      </c>
      <c r="J45" s="167" t="s">
        <v>273</v>
      </c>
      <c r="K45" s="167" t="s">
        <v>273</v>
      </c>
      <c r="L45" s="167" t="s">
        <v>609</v>
      </c>
      <c r="M45" s="167" t="s">
        <v>610</v>
      </c>
      <c r="N45" s="167" t="s">
        <v>610</v>
      </c>
      <c r="O45" s="167"/>
      <c r="P45" s="167"/>
      <c r="Q45" s="171" t="str">
        <f>HYPERLINK("https://api.typeform.com/responses/files/3bd09956b0b17add47accba44b0800d5fb719a0671a6074a4284d92842a2e2a5/photo_2021_01_19_17_18_00.jpg")</f>
        <v>https://api.typeform.com/responses/files/3bd09956b0b17add47accba44b0800d5fb719a0671a6074a4284d92842a2e2a5/photo_2021_01_19_17_18_00.jpg</v>
      </c>
      <c r="R45" s="171" t="str">
        <f>HYPERLINK("https://api.typeform.com/responses/files/167fde72239bed666dc063a84f2e7baf00def625cdda0bc5e61b1625baae9d32/photo_2022_03_09_14_53_07.jpg")</f>
        <v>https://api.typeform.com/responses/files/167fde72239bed666dc063a84f2e7baf00def625cdda0bc5e61b1625baae9d32/photo_2022_03_09_14_53_07.jpg</v>
      </c>
      <c r="S45" s="171"/>
      <c r="T45" s="171"/>
      <c r="U45" s="171"/>
      <c r="V45" s="171"/>
    </row>
    <row r="46">
      <c r="A46" s="167" t="s">
        <v>160</v>
      </c>
      <c r="B46" s="167" t="s">
        <v>268</v>
      </c>
      <c r="C46" s="167" t="s">
        <v>611</v>
      </c>
      <c r="D46" s="168" t="s">
        <v>612</v>
      </c>
      <c r="E46" s="168">
        <v>32553.0</v>
      </c>
      <c r="F46" s="167" t="s">
        <v>613</v>
      </c>
      <c r="G46" s="167" t="s">
        <v>614</v>
      </c>
      <c r="H46" s="167" t="s">
        <v>615</v>
      </c>
      <c r="I46" s="169" t="s">
        <v>616</v>
      </c>
      <c r="J46" s="167"/>
      <c r="K46" s="167"/>
      <c r="L46" s="167" t="s">
        <v>617</v>
      </c>
      <c r="M46" s="167"/>
      <c r="N46" s="167"/>
      <c r="O46" s="167"/>
      <c r="P46" s="167"/>
      <c r="Q46" s="171" t="str">
        <f>HYPERLINK("https://api.typeform.com/responses/files/e6fa399e897602e440280ab74a7a03506f0e0fbc8f5d394492a4327c6628ee59/2224.PNG")</f>
        <v>https://api.typeform.com/responses/files/e6fa399e897602e440280ab74a7a03506f0e0fbc8f5d394492a4327c6628ee59/2224.PNG</v>
      </c>
      <c r="R46" s="171" t="str">
        <f>HYPERLINK("https://api.typeform.com/responses/files/b492c72b2ebf4080b5194a44666d127ebca5566b5ee0648bf08fe8567adf836b/IMG_20210520_153647.jpg")</f>
        <v>https://api.typeform.com/responses/files/b492c72b2ebf4080b5194a44666d127ebca5566b5ee0648bf08fe8567adf836b/IMG_20210520_153647.jpg</v>
      </c>
      <c r="S46" s="171"/>
      <c r="T46" s="171"/>
      <c r="U46" s="171"/>
      <c r="V46" s="171"/>
    </row>
    <row r="47">
      <c r="A47" s="167" t="s">
        <v>169</v>
      </c>
      <c r="B47" s="167" t="s">
        <v>268</v>
      </c>
      <c r="C47" s="167" t="s">
        <v>618</v>
      </c>
      <c r="D47" s="168" t="s">
        <v>619</v>
      </c>
      <c r="E47" s="168">
        <v>32986.0</v>
      </c>
      <c r="F47" s="167" t="s">
        <v>620</v>
      </c>
      <c r="G47" s="167" t="s">
        <v>621</v>
      </c>
      <c r="H47" s="167" t="s">
        <v>622</v>
      </c>
      <c r="I47" s="169" t="s">
        <v>623</v>
      </c>
      <c r="J47" s="167" t="s">
        <v>303</v>
      </c>
      <c r="K47" s="167" t="s">
        <v>373</v>
      </c>
      <c r="L47" s="167" t="s">
        <v>624</v>
      </c>
      <c r="M47" s="167" t="s">
        <v>620</v>
      </c>
      <c r="N47" s="167" t="s">
        <v>620</v>
      </c>
      <c r="O47" s="167"/>
      <c r="P47" s="167"/>
      <c r="Q47" s="171" t="str">
        <f>HYPERLINK("https://api.typeform.com/responses/files/f4d725f4e8f31ea497778608a1c4ef881b23ad0f66d6272987a0795e74be0a4c/001.jpg")</f>
        <v>https://api.typeform.com/responses/files/f4d725f4e8f31ea497778608a1c4ef881b23ad0f66d6272987a0795e74be0a4c/001.jpg</v>
      </c>
      <c r="R47" s="171" t="str">
        <f>HYPERLINK("https://api.typeform.com/responses/files/bac81174a9df55155917c7b602d989075b59fcea6e818860619c21404d67148c/IMG_20220625_175451.jpg")</f>
        <v>https://api.typeform.com/responses/files/bac81174a9df55155917c7b602d989075b59fcea6e818860619c21404d67148c/IMG_20220625_175451.jpg</v>
      </c>
      <c r="S47" s="171"/>
      <c r="T47" s="171"/>
      <c r="U47" s="171"/>
      <c r="V47" s="171"/>
    </row>
    <row r="48">
      <c r="A48" s="167" t="s">
        <v>161</v>
      </c>
      <c r="B48" s="167" t="s">
        <v>268</v>
      </c>
      <c r="C48" s="167" t="s">
        <v>346</v>
      </c>
      <c r="D48" s="168" t="s">
        <v>625</v>
      </c>
      <c r="E48" s="168">
        <v>33529.0</v>
      </c>
      <c r="F48" s="167" t="s">
        <v>626</v>
      </c>
      <c r="G48" s="167" t="s">
        <v>627</v>
      </c>
      <c r="H48" s="167" t="s">
        <v>627</v>
      </c>
      <c r="I48" s="169" t="s">
        <v>628</v>
      </c>
      <c r="J48" s="167" t="s">
        <v>629</v>
      </c>
      <c r="K48" s="167" t="s">
        <v>629</v>
      </c>
      <c r="L48" s="167" t="s">
        <v>630</v>
      </c>
      <c r="M48" s="167"/>
      <c r="N48" s="167"/>
      <c r="O48" s="167"/>
      <c r="P48" s="167"/>
      <c r="Q48" s="171" t="str">
        <f>HYPERLINK("https://api.typeform.com/responses/files/e528054222fe8fabaa9ed8b9b1ec3e062d7d520f980da56e4bc1e12f9bc2106e/IMG_20200507_211956.jpg")</f>
        <v>https://api.typeform.com/responses/files/e528054222fe8fabaa9ed8b9b1ec3e062d7d520f980da56e4bc1e12f9bc2106e/IMG_20200507_211956.jpg</v>
      </c>
      <c r="R48" s="171" t="str">
        <f>HYPERLINK("https://api.typeform.com/responses/files/dbb8cad493810159d3fe6d4776e4c072bf9dc916098b631407ad0d32276f7c31/IMG_20220826_234430.jpg")</f>
        <v>https://api.typeform.com/responses/files/dbb8cad493810159d3fe6d4776e4c072bf9dc916098b631407ad0d32276f7c31/IMG_20220826_234430.jpg</v>
      </c>
      <c r="S48" s="171"/>
      <c r="T48" s="171"/>
      <c r="U48" s="171"/>
      <c r="V48" s="171"/>
    </row>
    <row r="49">
      <c r="A49" s="173" t="s">
        <v>137</v>
      </c>
      <c r="B49" s="167" t="s">
        <v>268</v>
      </c>
      <c r="C49" s="167" t="s">
        <v>450</v>
      </c>
      <c r="D49" s="168" t="s">
        <v>631</v>
      </c>
      <c r="E49" s="168">
        <v>31807.0</v>
      </c>
      <c r="F49" s="167" t="s">
        <v>632</v>
      </c>
      <c r="G49" s="167" t="s">
        <v>633</v>
      </c>
      <c r="H49" s="167" t="s">
        <v>634</v>
      </c>
      <c r="I49" s="169" t="s">
        <v>635</v>
      </c>
      <c r="J49" s="172" t="s">
        <v>289</v>
      </c>
      <c r="K49" s="172" t="s">
        <v>289</v>
      </c>
      <c r="L49" s="167" t="s">
        <v>636</v>
      </c>
      <c r="M49" s="167" t="s">
        <v>637</v>
      </c>
      <c r="N49" s="167" t="s">
        <v>637</v>
      </c>
      <c r="O49" s="167"/>
      <c r="P49" s="167"/>
      <c r="Q49" s="171" t="str">
        <f>HYPERLINK("https://api.typeform.com/responses/files/e525a394d016d9e45eb0d1dbff4af17bae6c5e8767ae273af2ddc6a934f5d67a/26_06_2022.jpg")</f>
        <v>https://api.typeform.com/responses/files/e525a394d016d9e45eb0d1dbff4af17bae6c5e8767ae273af2ddc6a934f5d67a/26_06_2022.jpg</v>
      </c>
      <c r="R49" s="171" t="str">
        <f>HYPERLINK("https://api.typeform.com/responses/files/bc2f92cdc94eff9836c5d4235596a6350a4a21717b7d8ec9f4e6a07b9a70fa1b/photo_2022_11_16_17_09_05.jpg")</f>
        <v>https://api.typeform.com/responses/files/bc2f92cdc94eff9836c5d4235596a6350a4a21717b7d8ec9f4e6a07b9a70fa1b/photo_2022_11_16_17_09_05.jpg</v>
      </c>
      <c r="S49" s="171"/>
      <c r="T49" s="171"/>
      <c r="U49" s="171"/>
      <c r="V49" s="171"/>
    </row>
    <row r="50">
      <c r="A50" s="167" t="s">
        <v>638</v>
      </c>
      <c r="B50" s="167" t="s">
        <v>268</v>
      </c>
      <c r="C50" s="167" t="s">
        <v>547</v>
      </c>
      <c r="D50" s="168" t="s">
        <v>639</v>
      </c>
      <c r="E50" s="168">
        <v>31972.0</v>
      </c>
      <c r="F50" s="167" t="s">
        <v>640</v>
      </c>
      <c r="G50" s="167" t="s">
        <v>641</v>
      </c>
      <c r="H50" s="167" t="s">
        <v>640</v>
      </c>
      <c r="I50" s="169" t="s">
        <v>642</v>
      </c>
      <c r="J50" s="167" t="s">
        <v>303</v>
      </c>
      <c r="K50" s="167" t="s">
        <v>334</v>
      </c>
      <c r="L50" s="167" t="s">
        <v>643</v>
      </c>
      <c r="M50" s="167" t="s">
        <v>640</v>
      </c>
      <c r="N50" s="167" t="s">
        <v>640</v>
      </c>
      <c r="O50" s="167"/>
      <c r="P50" s="167"/>
      <c r="Q50" s="171" t="str">
        <f>HYPERLINK("https://api.typeform.com/responses/files/fbc22bb5e853b22a31523deaa117002a179baa1146e7c4a26362cf2a4e9a2d46/photo_2022_03_19_12_38_19.jpg")</f>
        <v>https://api.typeform.com/responses/files/fbc22bb5e853b22a31523deaa117002a179baa1146e7c4a26362cf2a4e9a2d46/photo_2022_03_19_12_38_19.jpg</v>
      </c>
      <c r="R50" s="171" t="str">
        <f>HYPERLINK("https://api.typeform.com/responses/files/6caf9512c2b962a3cb6300044c41233f12bf72e0b32d126825c053c7bc89cb73/photo_2022_07_21_21_29_43.jpg")</f>
        <v>https://api.typeform.com/responses/files/6caf9512c2b962a3cb6300044c41233f12bf72e0b32d126825c053c7bc89cb73/photo_2022_07_21_21_29_43.jpg</v>
      </c>
      <c r="S50" s="171"/>
      <c r="T50" s="171"/>
      <c r="U50" s="171"/>
      <c r="V50" s="171"/>
    </row>
    <row r="51">
      <c r="A51" s="167" t="s">
        <v>227</v>
      </c>
      <c r="B51" s="167" t="s">
        <v>331</v>
      </c>
      <c r="C51" s="167" t="s">
        <v>284</v>
      </c>
      <c r="D51" s="168" t="s">
        <v>644</v>
      </c>
      <c r="E51" s="168">
        <v>36737.0</v>
      </c>
      <c r="F51" s="167" t="s">
        <v>645</v>
      </c>
      <c r="G51" s="167" t="s">
        <v>646</v>
      </c>
      <c r="H51" s="167" t="s">
        <v>647</v>
      </c>
      <c r="I51" s="169" t="s">
        <v>648</v>
      </c>
      <c r="J51" s="167" t="s">
        <v>303</v>
      </c>
      <c r="K51" s="167" t="s">
        <v>649</v>
      </c>
      <c r="L51" s="167" t="s">
        <v>650</v>
      </c>
      <c r="M51" s="167" t="s">
        <v>651</v>
      </c>
      <c r="N51" s="167" t="s">
        <v>651</v>
      </c>
      <c r="O51" s="167" t="s">
        <v>651</v>
      </c>
      <c r="P51" s="167"/>
      <c r="Q51" s="171" t="str">
        <f>HYPERLINK("https://api.typeform.com/responses/files/4f49e0967d68ce79bf4ebf0d2d5b1ec380d0f6033899b73c5c889fef7fb51df1/pas.jpg")</f>
        <v>https://api.typeform.com/responses/files/4f49e0967d68ce79bf4ebf0d2d5b1ec380d0f6033899b73c5c889fef7fb51df1/pas.jpg</v>
      </c>
      <c r="R51" s="171" t="str">
        <f>HYPERLINK("https://api.typeform.com/responses/files/9271bced9fbd58c20cea968917aabe87c2d2ff7475e5ac8aceada8954bd3f9e8/pas2.jpg")</f>
        <v>https://api.typeform.com/responses/files/9271bced9fbd58c20cea968917aabe87c2d2ff7475e5ac8aceada8954bd3f9e8/pas2.jpg</v>
      </c>
      <c r="S51" s="171"/>
      <c r="T51" s="171"/>
      <c r="U51" s="171"/>
      <c r="V51" s="171"/>
    </row>
    <row r="52">
      <c r="A52" s="167" t="s">
        <v>652</v>
      </c>
      <c r="B52" s="167" t="s">
        <v>268</v>
      </c>
      <c r="C52" s="167" t="s">
        <v>653</v>
      </c>
      <c r="D52" s="168" t="s">
        <v>654</v>
      </c>
      <c r="E52" s="168">
        <v>34433.0</v>
      </c>
      <c r="F52" s="167" t="s">
        <v>655</v>
      </c>
      <c r="G52" s="167" t="s">
        <v>652</v>
      </c>
      <c r="H52" s="167" t="s">
        <v>656</v>
      </c>
      <c r="I52" s="169" t="s">
        <v>657</v>
      </c>
      <c r="J52" s="167" t="s">
        <v>303</v>
      </c>
      <c r="K52" s="167" t="s">
        <v>303</v>
      </c>
      <c r="L52" s="167" t="s">
        <v>658</v>
      </c>
      <c r="M52" s="167" t="s">
        <v>655</v>
      </c>
      <c r="N52" s="167" t="s">
        <v>659</v>
      </c>
      <c r="O52" s="167"/>
      <c r="P52" s="167"/>
      <c r="Q52" s="171" t="str">
        <f>HYPERLINK("https://api.typeform.com/responses/files/fa4e3150dd9783c4545e9175dd1cbd1ce19dd2a50b68daf7f27206e1b0cea72e/1.jpg")</f>
        <v>https://api.typeform.com/responses/files/fa4e3150dd9783c4545e9175dd1cbd1ce19dd2a50b68daf7f27206e1b0cea72e/1.jpg</v>
      </c>
      <c r="R52" s="171" t="str">
        <f>HYPERLINK("https://api.typeform.com/responses/files/c64887e01d61eba3acc535e71f0dd5c97a5125f5b7691e1e87b720467c9b1fa7/3.jpg")</f>
        <v>https://api.typeform.com/responses/files/c64887e01d61eba3acc535e71f0dd5c97a5125f5b7691e1e87b720467c9b1fa7/3.jpg</v>
      </c>
      <c r="S52" s="171"/>
      <c r="T52" s="171"/>
      <c r="U52" s="171"/>
      <c r="V52" s="171"/>
    </row>
    <row r="53">
      <c r="A53" s="167" t="s">
        <v>176</v>
      </c>
      <c r="B53" s="167" t="s">
        <v>268</v>
      </c>
      <c r="C53" s="167" t="s">
        <v>269</v>
      </c>
      <c r="D53" s="168" t="s">
        <v>660</v>
      </c>
      <c r="E53" s="168">
        <v>32804.0</v>
      </c>
      <c r="F53" s="167" t="s">
        <v>661</v>
      </c>
      <c r="G53" s="167" t="s">
        <v>662</v>
      </c>
      <c r="H53" s="167" t="s">
        <v>663</v>
      </c>
      <c r="I53" s="169" t="s">
        <v>664</v>
      </c>
      <c r="J53" s="167" t="s">
        <v>303</v>
      </c>
      <c r="K53" s="167" t="s">
        <v>303</v>
      </c>
      <c r="L53" s="167" t="s">
        <v>665</v>
      </c>
      <c r="M53" s="167" t="s">
        <v>661</v>
      </c>
      <c r="N53" s="167"/>
      <c r="O53" s="167"/>
      <c r="P53" s="167"/>
      <c r="Q53" s="167"/>
      <c r="R53" s="167"/>
      <c r="S53" s="167"/>
      <c r="T53" s="167"/>
      <c r="U53" s="167"/>
      <c r="V53" s="167"/>
    </row>
    <row r="54">
      <c r="A54" s="167" t="s">
        <v>150</v>
      </c>
      <c r="B54" s="167" t="s">
        <v>268</v>
      </c>
      <c r="C54" s="167" t="s">
        <v>275</v>
      </c>
      <c r="D54" s="168" t="s">
        <v>666</v>
      </c>
      <c r="E54" s="168">
        <v>32375.0</v>
      </c>
      <c r="F54" s="167" t="s">
        <v>667</v>
      </c>
      <c r="G54" s="167" t="s">
        <v>668</v>
      </c>
      <c r="H54" s="167" t="s">
        <v>669</v>
      </c>
      <c r="I54" s="169" t="s">
        <v>670</v>
      </c>
      <c r="J54" s="167" t="s">
        <v>273</v>
      </c>
      <c r="K54" s="167" t="s">
        <v>273</v>
      </c>
      <c r="L54" s="167" t="s">
        <v>671</v>
      </c>
      <c r="M54" s="167" t="s">
        <v>667</v>
      </c>
      <c r="N54" s="167" t="s">
        <v>667</v>
      </c>
      <c r="O54" s="167"/>
      <c r="P54" s="167"/>
      <c r="Q54" s="171" t="str">
        <f>HYPERLINK("https://api.typeform.com/responses/files/9c00a8a2289d20c5c18d7ea8e23e3f192f74e17c01fd80eb0bb901548aea7172/IMG_0178.jpeg")</f>
        <v>https://api.typeform.com/responses/files/9c00a8a2289d20c5c18d7ea8e23e3f192f74e17c01fd80eb0bb901548aea7172/IMG_0178.jpeg</v>
      </c>
      <c r="R54" s="171" t="str">
        <f>HYPERLINK("https://api.typeform.com/responses/files/dc8863a60db64001533d5608e2862a003beb531d6137e0e53efab337abcaf998/IMG_0179.jpeg")</f>
        <v>https://api.typeform.com/responses/files/dc8863a60db64001533d5608e2862a003beb531d6137e0e53efab337abcaf998/IMG_0179.jpeg</v>
      </c>
      <c r="S54" s="171"/>
      <c r="T54" s="171"/>
      <c r="U54" s="171"/>
      <c r="V54" s="171"/>
    </row>
    <row r="55">
      <c r="A55" s="167" t="s">
        <v>170</v>
      </c>
      <c r="B55" s="167" t="s">
        <v>268</v>
      </c>
      <c r="C55" s="167" t="s">
        <v>521</v>
      </c>
      <c r="D55" s="168" t="s">
        <v>672</v>
      </c>
      <c r="E55" s="168">
        <v>29701.0</v>
      </c>
      <c r="F55" s="167" t="s">
        <v>673</v>
      </c>
      <c r="G55" s="167" t="s">
        <v>674</v>
      </c>
      <c r="H55" s="167" t="s">
        <v>675</v>
      </c>
      <c r="I55" s="169" t="s">
        <v>676</v>
      </c>
      <c r="J55" s="167" t="s">
        <v>677</v>
      </c>
      <c r="K55" s="172" t="s">
        <v>289</v>
      </c>
      <c r="L55" s="167" t="s">
        <v>678</v>
      </c>
      <c r="M55" s="167"/>
      <c r="N55" s="167" t="s">
        <v>679</v>
      </c>
      <c r="O55" s="167"/>
      <c r="P55" s="167"/>
      <c r="Q55" s="171" t="str">
        <f>HYPERLINK("https://api.typeform.com/responses/files/65632fd9f513fc0f019b9b30fc8e8d2177b93236cef2c57541930e2c503a33d3/Passport.jpg")</f>
        <v>https://api.typeform.com/responses/files/65632fd9f513fc0f019b9b30fc8e8d2177b93236cef2c57541930e2c503a33d3/Passport.jpg</v>
      </c>
      <c r="R55" s="167"/>
      <c r="S55" s="167"/>
      <c r="T55" s="167"/>
      <c r="U55" s="167"/>
      <c r="V55" s="167"/>
    </row>
    <row r="56">
      <c r="A56" s="167" t="s">
        <v>216</v>
      </c>
      <c r="B56" s="167" t="s">
        <v>268</v>
      </c>
      <c r="C56" s="167" t="s">
        <v>291</v>
      </c>
      <c r="D56" s="168" t="s">
        <v>680</v>
      </c>
      <c r="E56" s="168">
        <v>30248.0</v>
      </c>
      <c r="F56" s="167" t="s">
        <v>681</v>
      </c>
      <c r="G56" s="167" t="s">
        <v>216</v>
      </c>
      <c r="H56" s="167" t="s">
        <v>682</v>
      </c>
      <c r="I56" s="167">
        <f>+79081885004</f>
        <v>79081885004</v>
      </c>
      <c r="J56" s="167" t="s">
        <v>629</v>
      </c>
      <c r="K56" s="167" t="s">
        <v>303</v>
      </c>
      <c r="L56" s="167" t="s">
        <v>683</v>
      </c>
      <c r="M56" s="167"/>
      <c r="N56" s="167"/>
      <c r="O56" s="167" t="s">
        <v>681</v>
      </c>
      <c r="P56" s="167"/>
      <c r="Q56" s="171" t="s">
        <v>684</v>
      </c>
      <c r="R56" s="171" t="s">
        <v>685</v>
      </c>
      <c r="S56" s="171"/>
      <c r="T56" s="171"/>
      <c r="U56" s="171"/>
      <c r="V56" s="171"/>
    </row>
    <row r="57">
      <c r="A57" s="167" t="s">
        <v>185</v>
      </c>
      <c r="B57" s="167" t="s">
        <v>268</v>
      </c>
      <c r="C57" s="167" t="s">
        <v>468</v>
      </c>
      <c r="D57" s="168" t="s">
        <v>686</v>
      </c>
      <c r="E57" s="168">
        <v>30637.0</v>
      </c>
      <c r="F57" s="167" t="s">
        <v>687</v>
      </c>
      <c r="G57" s="167" t="s">
        <v>688</v>
      </c>
      <c r="H57" s="167" t="s">
        <v>689</v>
      </c>
      <c r="I57" s="169" t="s">
        <v>690</v>
      </c>
      <c r="J57" s="167" t="s">
        <v>303</v>
      </c>
      <c r="K57" s="167" t="s">
        <v>303</v>
      </c>
      <c r="L57" s="167" t="s">
        <v>691</v>
      </c>
      <c r="M57" s="167" t="s">
        <v>692</v>
      </c>
      <c r="N57" s="167"/>
      <c r="O57" s="167" t="s">
        <v>692</v>
      </c>
      <c r="P57" s="167"/>
      <c r="Q57" s="171" t="str">
        <f>HYPERLINK("https://api.typeform.com/responses/files/4dbda5a65a3add45910fb29ff2916f54ea3f545d8e20892555044926c54ed582/photo_2022_04_17_23_01_08.jpg")</f>
        <v>https://api.typeform.com/responses/files/4dbda5a65a3add45910fb29ff2916f54ea3f545d8e20892555044926c54ed582/photo_2022_04_17_23_01_08.jpg</v>
      </c>
      <c r="R57" s="171" t="str">
        <f>HYPERLINK("https://api.typeform.com/responses/files/0ffc8317e4e17d81963703f9d7c5a4cd3f93f4fbc88aee7d56bd5c5747612e6a/photo_2022_05_02_20_53_14.jpg")</f>
        <v>https://api.typeform.com/responses/files/0ffc8317e4e17d81963703f9d7c5a4cd3f93f4fbc88aee7d56bd5c5747612e6a/photo_2022_05_02_20_53_14.jpg</v>
      </c>
      <c r="S57" s="171"/>
      <c r="T57" s="171"/>
      <c r="U57" s="171"/>
      <c r="V57" s="171"/>
    </row>
    <row r="58">
      <c r="A58" s="188" t="s">
        <v>693</v>
      </c>
      <c r="B58" s="167" t="s">
        <v>268</v>
      </c>
      <c r="C58" s="167" t="s">
        <v>306</v>
      </c>
      <c r="D58" s="168" t="s">
        <v>694</v>
      </c>
      <c r="E58" s="168">
        <v>32458.0</v>
      </c>
      <c r="F58" s="167" t="s">
        <v>695</v>
      </c>
      <c r="G58" s="172" t="s">
        <v>696</v>
      </c>
      <c r="H58" s="167" t="s">
        <v>697</v>
      </c>
      <c r="I58" s="169" t="s">
        <v>698</v>
      </c>
      <c r="J58" s="167" t="s">
        <v>303</v>
      </c>
      <c r="K58" s="167" t="s">
        <v>273</v>
      </c>
      <c r="L58" s="167" t="s">
        <v>699</v>
      </c>
      <c r="M58" s="167" t="s">
        <v>695</v>
      </c>
      <c r="N58" s="167" t="s">
        <v>700</v>
      </c>
      <c r="O58" s="167" t="s">
        <v>701</v>
      </c>
      <c r="P58" s="167" t="s">
        <v>702</v>
      </c>
      <c r="Q58" s="171" t="str">
        <f>HYPERLINK("https://api.typeform.com/responses/files/274c8d8ab5edf35bfb4bdd85088173724ec8ee10aad69e09ca6c2486260ca3b7/IMG_20140922_180443.jpg")</f>
        <v>https://api.typeform.com/responses/files/274c8d8ab5edf35bfb4bdd85088173724ec8ee10aad69e09ca6c2486260ca3b7/IMG_20140922_180443.jpg</v>
      </c>
      <c r="R58" s="171" t="str">
        <f>HYPERLINK("https://api.typeform.com/responses/files/1c1066ae6eac92017632d2b5589684212d33cd573e1bbad5cfa53319d9d0318d/DSC02295.JPG")</f>
        <v>https://api.typeform.com/responses/files/1c1066ae6eac92017632d2b5589684212d33cd573e1bbad5cfa53319d9d0318d/DSC02295.JPG</v>
      </c>
      <c r="S58" s="171"/>
      <c r="T58" s="171"/>
      <c r="U58" s="171"/>
      <c r="V58" s="171"/>
    </row>
    <row r="59">
      <c r="A59" s="167" t="s">
        <v>174</v>
      </c>
      <c r="B59" s="167" t="s">
        <v>268</v>
      </c>
      <c r="C59" s="167" t="s">
        <v>703</v>
      </c>
      <c r="D59" s="168" t="s">
        <v>704</v>
      </c>
      <c r="E59" s="168">
        <v>31070.0</v>
      </c>
      <c r="F59" s="167" t="s">
        <v>705</v>
      </c>
      <c r="G59" s="167" t="s">
        <v>706</v>
      </c>
      <c r="H59" s="167" t="s">
        <v>707</v>
      </c>
      <c r="I59" s="169" t="s">
        <v>708</v>
      </c>
      <c r="J59" s="167" t="s">
        <v>273</v>
      </c>
      <c r="K59" s="167" t="s">
        <v>273</v>
      </c>
      <c r="L59" s="167" t="s">
        <v>709</v>
      </c>
      <c r="M59" s="167"/>
      <c r="N59" s="167" t="s">
        <v>710</v>
      </c>
      <c r="O59" s="167"/>
      <c r="P59" s="167"/>
      <c r="Q59" s="171" t="str">
        <f>HYPERLINK("https://api.typeform.com/responses/files/637c8b7b728c35160ef0c588bfb066f64fbf627eea9171153b603525bce183bc/photo_2022_06_19_15_05_38.jpg")</f>
        <v>https://api.typeform.com/responses/files/637c8b7b728c35160ef0c588bfb066f64fbf627eea9171153b603525bce183bc/photo_2022_06_19_15_05_38.jpg</v>
      </c>
      <c r="R59" s="171" t="str">
        <f>HYPERLINK("https://api.typeform.com/responses/files/a0c1f99a55bbafe15707ffd402085db912fbbb9af340f16dd471f22fdbe34496/photo_2022_06_19_15_20_58.jpg")</f>
        <v>https://api.typeform.com/responses/files/a0c1f99a55bbafe15707ffd402085db912fbbb9af340f16dd471f22fdbe34496/photo_2022_06_19_15_20_58.jpg</v>
      </c>
      <c r="S59" s="171"/>
      <c r="T59" s="171"/>
      <c r="U59" s="171"/>
      <c r="V59" s="171"/>
    </row>
    <row r="60">
      <c r="A60" s="167" t="s">
        <v>181</v>
      </c>
      <c r="B60" s="167" t="s">
        <v>268</v>
      </c>
      <c r="C60" s="167"/>
      <c r="D60" s="168"/>
      <c r="E60" s="168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</row>
  </sheetData>
  <hyperlinks>
    <hyperlink r:id="rId2" ref="Q3"/>
    <hyperlink r:id="rId3" ref="R3"/>
    <hyperlink r:id="rId4" ref="Q7"/>
    <hyperlink r:id="rId5" ref="R7"/>
    <hyperlink r:id="rId6" ref="Q10"/>
    <hyperlink r:id="rId7" ref="R10"/>
    <hyperlink r:id="rId8" ref="Q12"/>
    <hyperlink r:id="rId9" ref="R12"/>
    <hyperlink r:id="rId10" ref="Q15"/>
    <hyperlink r:id="rId11" ref="R15"/>
    <hyperlink r:id="rId12" ref="S15"/>
    <hyperlink r:id="rId13" ref="Q19"/>
    <hyperlink r:id="rId14" ref="R19"/>
    <hyperlink r:id="rId15" ref="S19"/>
    <hyperlink r:id="rId16" ref="Q21"/>
    <hyperlink r:id="rId17" ref="R21"/>
    <hyperlink r:id="rId18" ref="Q24"/>
    <hyperlink r:id="rId19" ref="R24"/>
    <hyperlink r:id="rId20" ref="P25"/>
    <hyperlink r:id="rId21" ref="Q25"/>
    <hyperlink r:id="rId22" ref="Q26"/>
    <hyperlink r:id="rId23" ref="R26"/>
    <hyperlink r:id="rId24" ref="Q27"/>
    <hyperlink r:id="rId25" ref="R27"/>
    <hyperlink r:id="rId26" ref="R29"/>
    <hyperlink r:id="rId27" ref="S29"/>
    <hyperlink r:id="rId28" ref="Q30"/>
    <hyperlink r:id="rId29" ref="R30"/>
    <hyperlink r:id="rId30" ref="S30"/>
    <hyperlink r:id="rId31" ref="Q31"/>
    <hyperlink r:id="rId32" ref="R31"/>
    <hyperlink r:id="rId33" ref="Q33"/>
    <hyperlink r:id="rId34" ref="R33"/>
    <hyperlink r:id="rId35" ref="R43"/>
    <hyperlink r:id="rId36" ref="S43"/>
    <hyperlink r:id="rId37" ref="T43"/>
    <hyperlink r:id="rId38" ref="Q44"/>
    <hyperlink r:id="rId39" ref="R44"/>
    <hyperlink r:id="rId40" ref="Q56"/>
    <hyperlink r:id="rId41" ref="R56"/>
  </hyperlinks>
  <drawing r:id="rId42"/>
  <legacyDrawing r:id="rId4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4.63"/>
    <col customWidth="1" min="2" max="2" width="16.13"/>
    <col customWidth="1" min="4" max="4" width="12.63"/>
    <col customWidth="1" min="5" max="5" width="23.63"/>
    <col customWidth="1" min="9" max="9" width="42.25"/>
    <col customWidth="1" min="10" max="11" width="37.25"/>
  </cols>
  <sheetData>
    <row r="1">
      <c r="A1" s="189" t="s">
        <v>108</v>
      </c>
      <c r="B1" s="190" t="s">
        <v>711</v>
      </c>
      <c r="C1" s="190" t="s">
        <v>712</v>
      </c>
      <c r="D1" s="190" t="s">
        <v>135</v>
      </c>
      <c r="E1" s="190" t="s">
        <v>713</v>
      </c>
      <c r="F1" s="190" t="s">
        <v>714</v>
      </c>
      <c r="G1" s="191" t="s">
        <v>715</v>
      </c>
      <c r="H1" s="190" t="s">
        <v>716</v>
      </c>
      <c r="I1" s="190" t="s">
        <v>717</v>
      </c>
      <c r="J1" s="190" t="s">
        <v>718</v>
      </c>
      <c r="K1" s="192" t="s">
        <v>719</v>
      </c>
    </row>
    <row r="2">
      <c r="A2" s="173" t="s">
        <v>137</v>
      </c>
      <c r="B2" s="167" t="s">
        <v>268</v>
      </c>
      <c r="C2" s="193">
        <v>44886.0</v>
      </c>
      <c r="D2" s="194" t="s">
        <v>720</v>
      </c>
      <c r="E2" s="195" t="s">
        <v>721</v>
      </c>
      <c r="F2" s="193"/>
      <c r="G2" s="196" t="s">
        <v>722</v>
      </c>
      <c r="H2" s="167"/>
      <c r="I2" s="197" t="s">
        <v>723</v>
      </c>
      <c r="J2" s="198"/>
      <c r="K2" s="199" t="s">
        <v>724</v>
      </c>
    </row>
    <row r="3">
      <c r="A3" s="167" t="s">
        <v>143</v>
      </c>
      <c r="B3" s="167" t="s">
        <v>268</v>
      </c>
      <c r="C3" s="193">
        <v>44652.0</v>
      </c>
      <c r="D3" s="194" t="s">
        <v>720</v>
      </c>
      <c r="E3" s="200" t="s">
        <v>725</v>
      </c>
      <c r="F3" s="193"/>
      <c r="G3" s="196" t="s">
        <v>722</v>
      </c>
      <c r="H3" s="167"/>
      <c r="I3" s="201" t="s">
        <v>726</v>
      </c>
      <c r="J3" s="202" t="s">
        <v>727</v>
      </c>
      <c r="K3" s="199" t="s">
        <v>728</v>
      </c>
    </row>
    <row r="4">
      <c r="A4" s="187" t="s">
        <v>267</v>
      </c>
      <c r="B4" s="167" t="s">
        <v>268</v>
      </c>
      <c r="C4" s="193">
        <v>43302.0</v>
      </c>
      <c r="D4" s="203" t="s">
        <v>729</v>
      </c>
      <c r="E4" s="200" t="s">
        <v>730</v>
      </c>
      <c r="F4" s="193"/>
      <c r="G4" s="196" t="s">
        <v>722</v>
      </c>
      <c r="H4" s="167"/>
      <c r="I4" s="201" t="s">
        <v>731</v>
      </c>
      <c r="J4" s="199" t="s">
        <v>732</v>
      </c>
      <c r="K4" s="199" t="s">
        <v>733</v>
      </c>
    </row>
    <row r="5">
      <c r="A5" s="187" t="s">
        <v>144</v>
      </c>
      <c r="B5" s="167" t="s">
        <v>268</v>
      </c>
      <c r="C5" s="193">
        <v>44095.0</v>
      </c>
      <c r="D5" s="204" t="s">
        <v>734</v>
      </c>
      <c r="E5" s="200" t="s">
        <v>735</v>
      </c>
      <c r="F5" s="193"/>
      <c r="G5" s="196" t="s">
        <v>722</v>
      </c>
      <c r="H5" s="167"/>
      <c r="I5" s="201" t="s">
        <v>736</v>
      </c>
      <c r="J5" s="199" t="s">
        <v>737</v>
      </c>
      <c r="K5" s="199" t="s">
        <v>738</v>
      </c>
    </row>
    <row r="6">
      <c r="A6" s="167" t="s">
        <v>148</v>
      </c>
      <c r="B6" s="167" t="s">
        <v>331</v>
      </c>
      <c r="C6" s="193">
        <v>44217.0</v>
      </c>
      <c r="D6" s="204" t="s">
        <v>739</v>
      </c>
      <c r="E6" s="205" t="s">
        <v>740</v>
      </c>
      <c r="F6" s="193">
        <v>44217.0</v>
      </c>
      <c r="G6" s="206" t="s">
        <v>741</v>
      </c>
      <c r="H6" s="205" t="s">
        <v>740</v>
      </c>
      <c r="I6" s="201" t="s">
        <v>742</v>
      </c>
      <c r="J6" s="198"/>
      <c r="K6" s="199" t="s">
        <v>738</v>
      </c>
    </row>
    <row r="7">
      <c r="A7" s="167" t="s">
        <v>283</v>
      </c>
      <c r="B7" s="167" t="s">
        <v>268</v>
      </c>
      <c r="C7" s="193"/>
      <c r="D7" s="194" t="s">
        <v>743</v>
      </c>
      <c r="E7" s="207" t="s">
        <v>744</v>
      </c>
      <c r="F7" s="193"/>
      <c r="G7" s="196" t="s">
        <v>722</v>
      </c>
      <c r="H7" s="167"/>
      <c r="I7" s="201" t="s">
        <v>745</v>
      </c>
      <c r="J7" s="198"/>
      <c r="K7" s="199" t="s">
        <v>746</v>
      </c>
    </row>
    <row r="8">
      <c r="A8" s="167" t="s">
        <v>182</v>
      </c>
      <c r="B8" s="167" t="s">
        <v>268</v>
      </c>
      <c r="C8" s="193">
        <v>44794.0</v>
      </c>
      <c r="D8" s="204" t="s">
        <v>747</v>
      </c>
      <c r="E8" s="171" t="s">
        <v>748</v>
      </c>
      <c r="F8" s="193"/>
      <c r="G8" s="196" t="s">
        <v>722</v>
      </c>
      <c r="H8" s="167"/>
      <c r="I8" s="201" t="s">
        <v>749</v>
      </c>
      <c r="J8" s="198"/>
      <c r="K8" s="199" t="s">
        <v>750</v>
      </c>
    </row>
    <row r="9">
      <c r="A9" s="167" t="s">
        <v>149</v>
      </c>
      <c r="B9" s="167" t="s">
        <v>268</v>
      </c>
      <c r="C9" s="193">
        <v>44490.0</v>
      </c>
      <c r="D9" s="204" t="s">
        <v>751</v>
      </c>
      <c r="E9" s="171" t="s">
        <v>752</v>
      </c>
      <c r="F9" s="193"/>
      <c r="G9" s="196" t="s">
        <v>722</v>
      </c>
      <c r="H9" s="167"/>
      <c r="I9" s="201" t="s">
        <v>753</v>
      </c>
      <c r="J9" s="198"/>
      <c r="K9" s="199" t="s">
        <v>754</v>
      </c>
    </row>
    <row r="10">
      <c r="A10" s="167" t="s">
        <v>177</v>
      </c>
      <c r="B10" s="167" t="s">
        <v>331</v>
      </c>
      <c r="C10" s="193">
        <v>44700.0</v>
      </c>
      <c r="D10" s="204" t="s">
        <v>755</v>
      </c>
      <c r="E10" s="207" t="s">
        <v>756</v>
      </c>
      <c r="F10" s="193"/>
      <c r="G10" s="196" t="s">
        <v>722</v>
      </c>
      <c r="H10" s="205"/>
      <c r="I10" s="201" t="s">
        <v>757</v>
      </c>
      <c r="J10" s="198"/>
      <c r="K10" s="199" t="s">
        <v>738</v>
      </c>
    </row>
    <row r="11">
      <c r="A11" s="167" t="s">
        <v>183</v>
      </c>
      <c r="B11" s="167" t="s">
        <v>268</v>
      </c>
      <c r="C11" s="193">
        <v>44662.0</v>
      </c>
      <c r="D11" s="194" t="s">
        <v>720</v>
      </c>
      <c r="E11" s="171" t="s">
        <v>758</v>
      </c>
      <c r="F11" s="193"/>
      <c r="G11" s="196" t="s">
        <v>722</v>
      </c>
      <c r="H11" s="167"/>
      <c r="I11" s="201" t="s">
        <v>759</v>
      </c>
      <c r="J11" s="198"/>
      <c r="K11" s="199" t="s">
        <v>724</v>
      </c>
    </row>
    <row r="12">
      <c r="A12" s="173" t="s">
        <v>184</v>
      </c>
      <c r="B12" s="167" t="s">
        <v>268</v>
      </c>
      <c r="C12" s="193">
        <v>44886.0</v>
      </c>
      <c r="D12" s="194" t="s">
        <v>720</v>
      </c>
      <c r="E12" s="195" t="s">
        <v>760</v>
      </c>
      <c r="F12" s="193"/>
      <c r="G12" s="196" t="s">
        <v>722</v>
      </c>
      <c r="H12" s="167"/>
      <c r="I12" s="197" t="s">
        <v>761</v>
      </c>
      <c r="J12" s="198"/>
      <c r="K12" s="199" t="s">
        <v>724</v>
      </c>
    </row>
    <row r="13">
      <c r="A13" s="167" t="s">
        <v>170</v>
      </c>
      <c r="B13" s="167" t="s">
        <v>268</v>
      </c>
      <c r="C13" s="193">
        <v>44628.0</v>
      </c>
      <c r="D13" s="194" t="s">
        <v>720</v>
      </c>
      <c r="E13" s="171" t="s">
        <v>762</v>
      </c>
      <c r="F13" s="193"/>
      <c r="G13" s="196" t="s">
        <v>722</v>
      </c>
      <c r="H13" s="167"/>
      <c r="I13" s="201" t="s">
        <v>763</v>
      </c>
      <c r="J13" s="198"/>
      <c r="K13" s="199" t="s">
        <v>728</v>
      </c>
    </row>
    <row r="14">
      <c r="A14" s="167" t="s">
        <v>185</v>
      </c>
      <c r="B14" s="167" t="s">
        <v>268</v>
      </c>
      <c r="C14" s="193">
        <v>44684.0</v>
      </c>
      <c r="D14" s="194" t="s">
        <v>720</v>
      </c>
      <c r="E14" s="171" t="s">
        <v>764</v>
      </c>
      <c r="F14" s="193"/>
      <c r="G14" s="196" t="s">
        <v>722</v>
      </c>
      <c r="H14" s="167"/>
      <c r="I14" s="201" t="s">
        <v>765</v>
      </c>
      <c r="J14" s="198"/>
      <c r="K14" s="199" t="s">
        <v>724</v>
      </c>
    </row>
    <row r="15">
      <c r="A15" s="176" t="s">
        <v>379</v>
      </c>
      <c r="B15" s="167" t="s">
        <v>268</v>
      </c>
      <c r="C15" s="193">
        <v>44903.0</v>
      </c>
      <c r="D15" s="194" t="s">
        <v>720</v>
      </c>
      <c r="E15" s="195" t="s">
        <v>766</v>
      </c>
      <c r="F15" s="193"/>
      <c r="G15" s="196" t="s">
        <v>722</v>
      </c>
      <c r="H15" s="167"/>
      <c r="I15" s="197" t="s">
        <v>767</v>
      </c>
      <c r="J15" s="198"/>
      <c r="K15" s="199" t="s">
        <v>724</v>
      </c>
    </row>
    <row r="16">
      <c r="A16" s="167" t="s">
        <v>180</v>
      </c>
      <c r="B16" s="167" t="s">
        <v>268</v>
      </c>
      <c r="C16" s="193">
        <v>44715.0</v>
      </c>
      <c r="D16" s="194" t="s">
        <v>720</v>
      </c>
      <c r="E16" s="171" t="s">
        <v>768</v>
      </c>
      <c r="F16" s="193"/>
      <c r="G16" s="196" t="s">
        <v>722</v>
      </c>
      <c r="H16" s="167"/>
      <c r="I16" s="201" t="s">
        <v>769</v>
      </c>
      <c r="J16" s="198"/>
      <c r="K16" s="199" t="s">
        <v>724</v>
      </c>
    </row>
    <row r="17">
      <c r="A17" s="167" t="s">
        <v>362</v>
      </c>
      <c r="B17" s="167" t="s">
        <v>268</v>
      </c>
      <c r="C17" s="193">
        <v>44460.0</v>
      </c>
      <c r="D17" s="204" t="s">
        <v>770</v>
      </c>
      <c r="E17" s="171" t="s">
        <v>771</v>
      </c>
      <c r="F17" s="193"/>
      <c r="G17" s="196" t="s">
        <v>722</v>
      </c>
      <c r="H17" s="167"/>
      <c r="I17" s="201" t="s">
        <v>772</v>
      </c>
      <c r="J17" s="199" t="s">
        <v>773</v>
      </c>
      <c r="K17" s="199" t="s">
        <v>738</v>
      </c>
    </row>
    <row r="18">
      <c r="A18" s="167" t="s">
        <v>416</v>
      </c>
      <c r="B18" s="167" t="s">
        <v>268</v>
      </c>
      <c r="C18" s="193">
        <v>44248.0</v>
      </c>
      <c r="D18" s="204" t="s">
        <v>751</v>
      </c>
      <c r="E18" s="171" t="s">
        <v>774</v>
      </c>
      <c r="F18" s="193"/>
      <c r="G18" s="196" t="s">
        <v>722</v>
      </c>
      <c r="H18" s="167"/>
      <c r="I18" s="201" t="s">
        <v>775</v>
      </c>
      <c r="J18" s="202"/>
      <c r="K18" s="199" t="s">
        <v>754</v>
      </c>
    </row>
    <row r="19">
      <c r="A19" s="167" t="s">
        <v>192</v>
      </c>
      <c r="B19" s="167" t="s">
        <v>268</v>
      </c>
      <c r="C19" s="193">
        <v>44833.0</v>
      </c>
      <c r="D19" s="194" t="s">
        <v>720</v>
      </c>
      <c r="E19" s="171" t="s">
        <v>776</v>
      </c>
      <c r="F19" s="193"/>
      <c r="G19" s="196" t="s">
        <v>722</v>
      </c>
      <c r="H19" s="167"/>
      <c r="I19" s="197" t="s">
        <v>777</v>
      </c>
      <c r="J19" s="198"/>
      <c r="K19" s="199" t="s">
        <v>724</v>
      </c>
    </row>
    <row r="20">
      <c r="A20" s="167" t="s">
        <v>200</v>
      </c>
      <c r="B20" s="208" t="s">
        <v>268</v>
      </c>
      <c r="C20" s="193">
        <v>44859.0</v>
      </c>
      <c r="D20" s="194" t="s">
        <v>720</v>
      </c>
      <c r="E20" s="195" t="s">
        <v>778</v>
      </c>
      <c r="F20" s="193"/>
      <c r="G20" s="196" t="s">
        <v>722</v>
      </c>
      <c r="H20" s="167"/>
      <c r="I20" s="197" t="s">
        <v>779</v>
      </c>
      <c r="J20" s="198"/>
      <c r="K20" s="199" t="s">
        <v>724</v>
      </c>
    </row>
    <row r="21">
      <c r="A21" s="167" t="s">
        <v>193</v>
      </c>
      <c r="B21" s="167" t="s">
        <v>268</v>
      </c>
      <c r="C21" s="193">
        <v>44825.0</v>
      </c>
      <c r="D21" s="194" t="s">
        <v>720</v>
      </c>
      <c r="E21" s="171" t="s">
        <v>780</v>
      </c>
      <c r="F21" s="193"/>
      <c r="G21" s="196" t="s">
        <v>722</v>
      </c>
      <c r="H21" s="167"/>
      <c r="I21" s="197" t="s">
        <v>781</v>
      </c>
      <c r="J21" s="198"/>
      <c r="K21" s="199" t="s">
        <v>724</v>
      </c>
    </row>
    <row r="22">
      <c r="A22" s="167" t="s">
        <v>150</v>
      </c>
      <c r="B22" s="167" t="s">
        <v>268</v>
      </c>
      <c r="C22" s="193">
        <v>44368.0</v>
      </c>
      <c r="D22" s="204" t="s">
        <v>751</v>
      </c>
      <c r="E22" s="200" t="s">
        <v>782</v>
      </c>
      <c r="F22" s="193"/>
      <c r="G22" s="196" t="s">
        <v>722</v>
      </c>
      <c r="H22" s="167"/>
      <c r="I22" s="201" t="s">
        <v>783</v>
      </c>
      <c r="J22" s="202"/>
      <c r="K22" s="199" t="s">
        <v>754</v>
      </c>
    </row>
    <row r="23">
      <c r="A23" s="173" t="s">
        <v>195</v>
      </c>
      <c r="B23" s="167" t="s">
        <v>331</v>
      </c>
      <c r="C23" s="193">
        <v>44621.0</v>
      </c>
      <c r="D23" s="204" t="s">
        <v>784</v>
      </c>
      <c r="E23" s="171" t="s">
        <v>785</v>
      </c>
      <c r="F23" s="193">
        <v>44621.0</v>
      </c>
      <c r="G23" s="204" t="s">
        <v>786</v>
      </c>
      <c r="H23" s="171" t="s">
        <v>785</v>
      </c>
      <c r="I23" s="201" t="s">
        <v>787</v>
      </c>
      <c r="J23" s="198"/>
      <c r="K23" s="199" t="s">
        <v>788</v>
      </c>
    </row>
    <row r="24">
      <c r="A24" s="187" t="s">
        <v>459</v>
      </c>
      <c r="B24" s="167" t="s">
        <v>331</v>
      </c>
      <c r="C24" s="193">
        <v>44713.0</v>
      </c>
      <c r="D24" s="204" t="s">
        <v>739</v>
      </c>
      <c r="E24" s="171" t="s">
        <v>789</v>
      </c>
      <c r="F24" s="193">
        <v>44713.0</v>
      </c>
      <c r="G24" s="204" t="s">
        <v>741</v>
      </c>
      <c r="H24" s="171" t="s">
        <v>789</v>
      </c>
      <c r="I24" s="201" t="s">
        <v>790</v>
      </c>
      <c r="J24" s="198"/>
      <c r="K24" s="199" t="s">
        <v>791</v>
      </c>
    </row>
    <row r="25">
      <c r="A25" s="187" t="s">
        <v>181</v>
      </c>
      <c r="B25" s="167" t="s">
        <v>268</v>
      </c>
      <c r="C25" s="193">
        <v>44348.0</v>
      </c>
      <c r="D25" s="204" t="s">
        <v>739</v>
      </c>
      <c r="E25" s="167" t="s">
        <v>792</v>
      </c>
      <c r="F25" s="193"/>
      <c r="G25" s="196" t="s">
        <v>722</v>
      </c>
      <c r="H25" s="167"/>
      <c r="I25" s="209" t="s">
        <v>793</v>
      </c>
      <c r="J25" s="198"/>
      <c r="K25" s="199" t="s">
        <v>794</v>
      </c>
    </row>
    <row r="26">
      <c r="A26" s="188" t="s">
        <v>693</v>
      </c>
      <c r="B26" s="167" t="s">
        <v>268</v>
      </c>
      <c r="C26" s="193">
        <v>44470.0</v>
      </c>
      <c r="D26" s="204" t="s">
        <v>795</v>
      </c>
      <c r="E26" s="171" t="s">
        <v>796</v>
      </c>
      <c r="F26" s="193"/>
      <c r="G26" s="196" t="s">
        <v>722</v>
      </c>
      <c r="H26" s="167"/>
      <c r="I26" s="201" t="s">
        <v>797</v>
      </c>
      <c r="J26" s="198"/>
      <c r="K26" s="199" t="s">
        <v>728</v>
      </c>
    </row>
    <row r="27">
      <c r="A27" s="167" t="s">
        <v>477</v>
      </c>
      <c r="B27" s="167" t="s">
        <v>331</v>
      </c>
      <c r="C27" s="193">
        <v>44672.0</v>
      </c>
      <c r="D27" s="204" t="s">
        <v>739</v>
      </c>
      <c r="E27" s="171" t="s">
        <v>798</v>
      </c>
      <c r="F27" s="193">
        <v>44672.0</v>
      </c>
      <c r="G27" s="204" t="s">
        <v>741</v>
      </c>
      <c r="H27" s="171" t="s">
        <v>798</v>
      </c>
      <c r="I27" s="201" t="s">
        <v>799</v>
      </c>
      <c r="J27" s="198"/>
      <c r="K27" s="199" t="s">
        <v>800</v>
      </c>
    </row>
    <row r="28">
      <c r="A28" s="167" t="s">
        <v>505</v>
      </c>
      <c r="B28" s="167" t="s">
        <v>268</v>
      </c>
      <c r="C28" s="193">
        <v>44248.0</v>
      </c>
      <c r="D28" s="204" t="s">
        <v>751</v>
      </c>
      <c r="E28" s="200" t="s">
        <v>801</v>
      </c>
      <c r="F28" s="193"/>
      <c r="G28" s="196" t="s">
        <v>722</v>
      </c>
      <c r="H28" s="167"/>
      <c r="I28" s="201" t="s">
        <v>802</v>
      </c>
      <c r="J28" s="202" t="s">
        <v>803</v>
      </c>
      <c r="K28" s="199" t="s">
        <v>754</v>
      </c>
    </row>
    <row r="29">
      <c r="A29" s="187" t="s">
        <v>197</v>
      </c>
      <c r="B29" s="167" t="s">
        <v>268</v>
      </c>
      <c r="C29" s="193">
        <v>44440.0</v>
      </c>
      <c r="D29" s="204" t="s">
        <v>795</v>
      </c>
      <c r="E29" s="171" t="s">
        <v>804</v>
      </c>
      <c r="F29" s="193"/>
      <c r="G29" s="196" t="s">
        <v>722</v>
      </c>
      <c r="H29" s="167"/>
      <c r="I29" s="201" t="s">
        <v>805</v>
      </c>
      <c r="J29" s="198"/>
      <c r="K29" s="199" t="s">
        <v>728</v>
      </c>
    </row>
    <row r="30">
      <c r="A30" s="187" t="s">
        <v>199</v>
      </c>
      <c r="B30" s="167" t="s">
        <v>331</v>
      </c>
      <c r="C30" s="193">
        <v>44763.0</v>
      </c>
      <c r="D30" s="204" t="s">
        <v>806</v>
      </c>
      <c r="E30" s="171" t="s">
        <v>807</v>
      </c>
      <c r="F30" s="193">
        <v>44870.0</v>
      </c>
      <c r="G30" s="206" t="s">
        <v>808</v>
      </c>
      <c r="H30" s="167" t="s">
        <v>809</v>
      </c>
      <c r="I30" s="201" t="s">
        <v>810</v>
      </c>
      <c r="J30" s="198"/>
      <c r="K30" s="199" t="s">
        <v>811</v>
      </c>
    </row>
    <row r="31">
      <c r="A31" s="167" t="s">
        <v>156</v>
      </c>
      <c r="B31" s="167" t="s">
        <v>268</v>
      </c>
      <c r="C31" s="193">
        <v>44672.0</v>
      </c>
      <c r="D31" s="204" t="s">
        <v>812</v>
      </c>
      <c r="E31" s="171" t="s">
        <v>813</v>
      </c>
      <c r="F31" s="193"/>
      <c r="G31" s="196" t="s">
        <v>722</v>
      </c>
      <c r="H31" s="167"/>
      <c r="I31" s="201" t="s">
        <v>814</v>
      </c>
      <c r="J31" s="198"/>
      <c r="K31" s="199" t="s">
        <v>800</v>
      </c>
    </row>
    <row r="32">
      <c r="A32" s="187" t="s">
        <v>171</v>
      </c>
      <c r="B32" s="167" t="s">
        <v>268</v>
      </c>
      <c r="C32" s="193">
        <v>44805.0</v>
      </c>
      <c r="D32" s="194" t="s">
        <v>720</v>
      </c>
      <c r="E32" s="171" t="s">
        <v>815</v>
      </c>
      <c r="F32" s="193"/>
      <c r="G32" s="206" t="s">
        <v>808</v>
      </c>
      <c r="H32" s="210" t="s">
        <v>816</v>
      </c>
      <c r="I32" s="197" t="s">
        <v>817</v>
      </c>
      <c r="J32" s="198"/>
      <c r="K32" s="199" t="s">
        <v>724</v>
      </c>
    </row>
    <row r="33">
      <c r="A33" s="187" t="s">
        <v>546</v>
      </c>
      <c r="B33" s="167" t="s">
        <v>331</v>
      </c>
      <c r="C33" s="193">
        <v>44613.0</v>
      </c>
      <c r="D33" s="206" t="s">
        <v>818</v>
      </c>
      <c r="E33" s="205" t="s">
        <v>819</v>
      </c>
      <c r="F33" s="193">
        <v>44613.0</v>
      </c>
      <c r="G33" s="206" t="s">
        <v>820</v>
      </c>
      <c r="H33" s="205" t="s">
        <v>819</v>
      </c>
      <c r="I33" s="201" t="s">
        <v>821</v>
      </c>
      <c r="J33" s="198"/>
      <c r="K33" s="199" t="s">
        <v>738</v>
      </c>
    </row>
    <row r="34">
      <c r="A34" s="211" t="s">
        <v>232</v>
      </c>
      <c r="B34" s="167" t="s">
        <v>268</v>
      </c>
      <c r="C34" s="193">
        <v>44958.0</v>
      </c>
      <c r="D34" s="194" t="s">
        <v>720</v>
      </c>
      <c r="E34" s="195" t="s">
        <v>822</v>
      </c>
      <c r="F34" s="193"/>
      <c r="G34" s="196" t="s">
        <v>722</v>
      </c>
      <c r="H34" s="167"/>
      <c r="I34" s="197" t="s">
        <v>823</v>
      </c>
      <c r="J34" s="198"/>
      <c r="K34" s="199" t="s">
        <v>800</v>
      </c>
    </row>
    <row r="35">
      <c r="A35" s="167" t="s">
        <v>160</v>
      </c>
      <c r="B35" s="167" t="s">
        <v>268</v>
      </c>
      <c r="C35" s="193">
        <v>44337.0</v>
      </c>
      <c r="D35" s="204" t="s">
        <v>751</v>
      </c>
      <c r="E35" s="171" t="s">
        <v>824</v>
      </c>
      <c r="F35" s="193"/>
      <c r="G35" s="196" t="s">
        <v>722</v>
      </c>
      <c r="H35" s="167"/>
      <c r="I35" s="201" t="s">
        <v>825</v>
      </c>
      <c r="J35" s="202"/>
      <c r="K35" s="199" t="s">
        <v>754</v>
      </c>
    </row>
    <row r="36">
      <c r="A36" s="212" t="s">
        <v>176</v>
      </c>
      <c r="B36" s="167" t="s">
        <v>268</v>
      </c>
      <c r="C36" s="193">
        <v>44604.0</v>
      </c>
      <c r="D36" s="204" t="s">
        <v>826</v>
      </c>
      <c r="E36" s="171" t="s">
        <v>827</v>
      </c>
      <c r="F36" s="193"/>
      <c r="G36" s="196" t="s">
        <v>722</v>
      </c>
      <c r="H36" s="167"/>
      <c r="I36" s="201" t="s">
        <v>828</v>
      </c>
      <c r="J36" s="198"/>
      <c r="K36" s="199" t="s">
        <v>728</v>
      </c>
    </row>
    <row r="37">
      <c r="A37" s="173" t="s">
        <v>205</v>
      </c>
      <c r="B37" s="167" t="s">
        <v>268</v>
      </c>
      <c r="C37" s="193">
        <v>44886.0</v>
      </c>
      <c r="D37" s="204" t="s">
        <v>829</v>
      </c>
      <c r="E37" s="195" t="s">
        <v>830</v>
      </c>
      <c r="F37" s="193"/>
      <c r="G37" s="196" t="s">
        <v>722</v>
      </c>
      <c r="H37" s="167"/>
      <c r="I37" s="197" t="s">
        <v>831</v>
      </c>
      <c r="J37" s="198"/>
      <c r="K37" s="199" t="s">
        <v>750</v>
      </c>
    </row>
    <row r="38">
      <c r="A38" s="167" t="s">
        <v>206</v>
      </c>
      <c r="B38" s="167" t="s">
        <v>268</v>
      </c>
      <c r="C38" s="193">
        <v>44685.0</v>
      </c>
      <c r="D38" s="194" t="s">
        <v>720</v>
      </c>
      <c r="E38" s="171" t="s">
        <v>832</v>
      </c>
      <c r="F38" s="193"/>
      <c r="G38" s="196" t="s">
        <v>722</v>
      </c>
      <c r="H38" s="167"/>
      <c r="I38" s="201" t="s">
        <v>833</v>
      </c>
      <c r="J38" s="198"/>
      <c r="K38" s="199" t="s">
        <v>724</v>
      </c>
    </row>
    <row r="39">
      <c r="A39" s="187" t="s">
        <v>207</v>
      </c>
      <c r="B39" s="167" t="s">
        <v>268</v>
      </c>
      <c r="C39" s="193">
        <v>44064.0</v>
      </c>
      <c r="D39" s="204" t="s">
        <v>751</v>
      </c>
      <c r="E39" s="171" t="s">
        <v>834</v>
      </c>
      <c r="F39" s="193"/>
      <c r="G39" s="196" t="s">
        <v>722</v>
      </c>
      <c r="H39" s="167"/>
      <c r="I39" s="201" t="s">
        <v>835</v>
      </c>
      <c r="J39" s="202"/>
      <c r="K39" s="199" t="s">
        <v>754</v>
      </c>
    </row>
    <row r="40">
      <c r="A40" s="167" t="s">
        <v>529</v>
      </c>
      <c r="B40" s="167" t="s">
        <v>268</v>
      </c>
      <c r="C40" s="193">
        <v>44657.0</v>
      </c>
      <c r="D40" s="194" t="s">
        <v>720</v>
      </c>
      <c r="E40" s="171" t="s">
        <v>836</v>
      </c>
      <c r="F40" s="193"/>
      <c r="G40" s="196" t="s">
        <v>722</v>
      </c>
      <c r="H40" s="167"/>
      <c r="I40" s="201" t="s">
        <v>837</v>
      </c>
      <c r="J40" s="198"/>
      <c r="K40" s="199" t="s">
        <v>724</v>
      </c>
    </row>
    <row r="41">
      <c r="A41" s="167" t="s">
        <v>210</v>
      </c>
      <c r="B41" s="167" t="s">
        <v>268</v>
      </c>
      <c r="C41" s="193">
        <v>44632.0</v>
      </c>
      <c r="D41" s="194" t="s">
        <v>720</v>
      </c>
      <c r="E41" s="171" t="s">
        <v>838</v>
      </c>
      <c r="F41" s="193"/>
      <c r="G41" s="196" t="s">
        <v>722</v>
      </c>
      <c r="H41" s="167"/>
      <c r="I41" s="201" t="s">
        <v>839</v>
      </c>
      <c r="J41" s="198"/>
      <c r="K41" s="199" t="s">
        <v>728</v>
      </c>
    </row>
    <row r="42">
      <c r="A42" s="167" t="s">
        <v>233</v>
      </c>
      <c r="B42" s="167" t="s">
        <v>268</v>
      </c>
      <c r="C42" s="193">
        <v>44682.0</v>
      </c>
      <c r="D42" s="194" t="s">
        <v>720</v>
      </c>
      <c r="E42" s="171" t="s">
        <v>840</v>
      </c>
      <c r="F42" s="193"/>
      <c r="G42" s="196" t="s">
        <v>722</v>
      </c>
      <c r="H42" s="167"/>
      <c r="I42" s="201" t="s">
        <v>841</v>
      </c>
      <c r="J42" s="198"/>
      <c r="K42" s="199" t="s">
        <v>724</v>
      </c>
    </row>
    <row r="43">
      <c r="A43" s="167" t="s">
        <v>169</v>
      </c>
      <c r="B43" s="167" t="s">
        <v>268</v>
      </c>
      <c r="C43" s="193">
        <v>44738.0</v>
      </c>
      <c r="D43" s="204" t="s">
        <v>842</v>
      </c>
      <c r="E43" s="171" t="s">
        <v>843</v>
      </c>
      <c r="F43" s="193"/>
      <c r="G43" s="196" t="s">
        <v>722</v>
      </c>
      <c r="H43" s="167"/>
      <c r="I43" s="201" t="s">
        <v>844</v>
      </c>
      <c r="J43" s="198"/>
      <c r="K43" s="199" t="s">
        <v>724</v>
      </c>
    </row>
    <row r="44">
      <c r="A44" s="167" t="s">
        <v>161</v>
      </c>
      <c r="B44" s="167" t="s">
        <v>268</v>
      </c>
      <c r="C44" s="193">
        <v>44802.0</v>
      </c>
      <c r="D44" s="194" t="s">
        <v>720</v>
      </c>
      <c r="E44" s="171" t="s">
        <v>845</v>
      </c>
      <c r="F44" s="193"/>
      <c r="G44" s="196" t="s">
        <v>722</v>
      </c>
      <c r="H44" s="167"/>
      <c r="I44" s="197" t="s">
        <v>846</v>
      </c>
      <c r="J44" s="198"/>
      <c r="K44" s="199" t="s">
        <v>724</v>
      </c>
    </row>
    <row r="45">
      <c r="A45" s="167" t="s">
        <v>154</v>
      </c>
      <c r="B45" s="167" t="s">
        <v>268</v>
      </c>
      <c r="C45" s="193">
        <v>44503.0</v>
      </c>
      <c r="D45" s="204" t="s">
        <v>795</v>
      </c>
      <c r="E45" s="171" t="s">
        <v>847</v>
      </c>
      <c r="F45" s="193"/>
      <c r="G45" s="196" t="s">
        <v>722</v>
      </c>
      <c r="H45" s="167"/>
      <c r="I45" s="201" t="s">
        <v>848</v>
      </c>
      <c r="J45" s="198"/>
      <c r="K45" s="199" t="s">
        <v>728</v>
      </c>
    </row>
    <row r="46">
      <c r="A46" s="167" t="s">
        <v>638</v>
      </c>
      <c r="B46" s="167" t="s">
        <v>268</v>
      </c>
      <c r="C46" s="193">
        <v>44765.0</v>
      </c>
      <c r="D46" s="204" t="s">
        <v>849</v>
      </c>
      <c r="E46" s="171" t="s">
        <v>850</v>
      </c>
      <c r="F46" s="193"/>
      <c r="G46" s="196" t="s">
        <v>722</v>
      </c>
      <c r="H46" s="167"/>
      <c r="I46" s="201" t="s">
        <v>851</v>
      </c>
      <c r="J46" s="198"/>
      <c r="K46" s="199" t="s">
        <v>724</v>
      </c>
    </row>
    <row r="47">
      <c r="A47" s="173" t="s">
        <v>652</v>
      </c>
      <c r="B47" s="167" t="s">
        <v>268</v>
      </c>
      <c r="C47" s="193">
        <v>44896.0</v>
      </c>
      <c r="D47" s="194" t="s">
        <v>720</v>
      </c>
      <c r="E47" s="195" t="s">
        <v>852</v>
      </c>
      <c r="F47" s="193"/>
      <c r="G47" s="196" t="s">
        <v>722</v>
      </c>
      <c r="H47" s="167"/>
      <c r="I47" s="197" t="s">
        <v>853</v>
      </c>
      <c r="J47" s="198"/>
      <c r="K47" s="199" t="s">
        <v>724</v>
      </c>
    </row>
    <row r="48">
      <c r="A48" s="173" t="s">
        <v>227</v>
      </c>
      <c r="B48" s="167" t="s">
        <v>331</v>
      </c>
      <c r="C48" s="193">
        <v>44805.0</v>
      </c>
      <c r="D48" s="194" t="s">
        <v>720</v>
      </c>
      <c r="E48" s="171" t="s">
        <v>854</v>
      </c>
      <c r="F48" s="193">
        <v>44896.0</v>
      </c>
      <c r="G48" s="206" t="s">
        <v>808</v>
      </c>
      <c r="H48" s="171" t="s">
        <v>855</v>
      </c>
      <c r="I48" s="201" t="s">
        <v>856</v>
      </c>
      <c r="J48" s="199" t="s">
        <v>857</v>
      </c>
      <c r="K48" s="199" t="s">
        <v>724</v>
      </c>
    </row>
    <row r="49">
      <c r="A49" s="167" t="s">
        <v>215</v>
      </c>
      <c r="B49" s="167" t="s">
        <v>268</v>
      </c>
      <c r="C49" s="193">
        <v>44861.0</v>
      </c>
      <c r="D49" s="194" t="s">
        <v>720</v>
      </c>
      <c r="E49" s="195" t="s">
        <v>858</v>
      </c>
      <c r="F49" s="193"/>
      <c r="G49" s="196" t="s">
        <v>722</v>
      </c>
      <c r="H49" s="167"/>
      <c r="I49" s="197" t="s">
        <v>859</v>
      </c>
      <c r="J49" s="198"/>
      <c r="K49" s="199" t="s">
        <v>724</v>
      </c>
    </row>
    <row r="50">
      <c r="A50" s="167" t="s">
        <v>290</v>
      </c>
      <c r="B50" s="167" t="s">
        <v>268</v>
      </c>
      <c r="C50" s="193">
        <v>44958.0</v>
      </c>
      <c r="D50" s="194" t="s">
        <v>720</v>
      </c>
      <c r="E50" s="195" t="s">
        <v>860</v>
      </c>
      <c r="F50" s="193"/>
      <c r="G50" s="196" t="s">
        <v>722</v>
      </c>
      <c r="H50" s="167"/>
      <c r="I50" s="197" t="s">
        <v>861</v>
      </c>
      <c r="J50" s="198"/>
      <c r="K50" s="199" t="s">
        <v>724</v>
      </c>
    </row>
    <row r="51">
      <c r="A51" s="167" t="s">
        <v>174</v>
      </c>
      <c r="B51" s="167" t="s">
        <v>268</v>
      </c>
      <c r="C51" s="193">
        <v>44743.0</v>
      </c>
      <c r="D51" s="194" t="s">
        <v>720</v>
      </c>
      <c r="E51" s="171" t="s">
        <v>862</v>
      </c>
      <c r="F51" s="193"/>
      <c r="G51" s="196" t="s">
        <v>722</v>
      </c>
      <c r="H51" s="167"/>
      <c r="I51" s="201" t="s">
        <v>863</v>
      </c>
      <c r="J51" s="198"/>
      <c r="K51" s="199" t="s">
        <v>724</v>
      </c>
    </row>
    <row r="52">
      <c r="A52" s="187" t="s">
        <v>216</v>
      </c>
      <c r="B52" s="167" t="s">
        <v>268</v>
      </c>
      <c r="C52" s="193">
        <v>44521.0</v>
      </c>
      <c r="D52" s="204" t="s">
        <v>808</v>
      </c>
      <c r="E52" s="167" t="s">
        <v>864</v>
      </c>
      <c r="F52" s="193"/>
      <c r="G52" s="196" t="s">
        <v>722</v>
      </c>
      <c r="H52" s="167"/>
      <c r="I52" s="201" t="s">
        <v>865</v>
      </c>
      <c r="J52" s="198"/>
      <c r="K52" s="199" t="s">
        <v>738</v>
      </c>
    </row>
    <row r="53">
      <c r="A53" s="213" t="s">
        <v>228</v>
      </c>
      <c r="B53" s="167" t="s">
        <v>268</v>
      </c>
      <c r="C53" s="214">
        <v>44972.0</v>
      </c>
      <c r="D53" s="194" t="s">
        <v>720</v>
      </c>
      <c r="E53" s="210" t="s">
        <v>866</v>
      </c>
      <c r="F53" s="193"/>
      <c r="G53" s="196" t="s">
        <v>722</v>
      </c>
      <c r="H53" s="167"/>
      <c r="I53" s="209" t="s">
        <v>867</v>
      </c>
      <c r="J53" s="198"/>
      <c r="K53" s="199" t="s">
        <v>724</v>
      </c>
    </row>
    <row r="54">
      <c r="A54" s="213" t="s">
        <v>583</v>
      </c>
      <c r="B54" s="167" t="s">
        <v>268</v>
      </c>
      <c r="C54" s="214">
        <v>44975.0</v>
      </c>
      <c r="D54" s="194" t="s">
        <v>720</v>
      </c>
      <c r="E54" s="210" t="s">
        <v>868</v>
      </c>
      <c r="F54" s="193"/>
      <c r="G54" s="196" t="s">
        <v>722</v>
      </c>
      <c r="H54" s="167"/>
      <c r="I54" s="209" t="s">
        <v>869</v>
      </c>
      <c r="J54" s="198"/>
      <c r="K54" s="199" t="s">
        <v>724</v>
      </c>
    </row>
    <row r="55">
      <c r="A55" s="213" t="s">
        <v>399</v>
      </c>
      <c r="B55" s="167" t="s">
        <v>268</v>
      </c>
      <c r="C55" s="214">
        <v>44982.0</v>
      </c>
      <c r="D55" s="194" t="s">
        <v>720</v>
      </c>
      <c r="E55" s="210" t="s">
        <v>870</v>
      </c>
      <c r="F55" s="193"/>
      <c r="G55" s="196" t="s">
        <v>722</v>
      </c>
      <c r="H55" s="167"/>
      <c r="I55" s="209" t="s">
        <v>871</v>
      </c>
      <c r="J55" s="198"/>
      <c r="K55" s="199" t="s">
        <v>724</v>
      </c>
    </row>
    <row r="56">
      <c r="A56" s="149" t="s">
        <v>484</v>
      </c>
      <c r="B56" s="167" t="s">
        <v>268</v>
      </c>
      <c r="C56" s="214">
        <v>44985.0</v>
      </c>
      <c r="D56" s="204" t="s">
        <v>720</v>
      </c>
      <c r="E56" s="210" t="s">
        <v>872</v>
      </c>
      <c r="F56" s="193"/>
      <c r="G56" s="196" t="s">
        <v>722</v>
      </c>
      <c r="H56" s="167"/>
      <c r="I56" s="182" t="s">
        <v>873</v>
      </c>
      <c r="J56" s="198"/>
      <c r="K56" s="199" t="s">
        <v>724</v>
      </c>
    </row>
    <row r="57">
      <c r="A57" s="149" t="s">
        <v>496</v>
      </c>
      <c r="B57" s="167" t="s">
        <v>268</v>
      </c>
      <c r="C57" s="214">
        <v>44990.0</v>
      </c>
      <c r="D57" s="204" t="s">
        <v>720</v>
      </c>
      <c r="E57" s="210" t="s">
        <v>874</v>
      </c>
      <c r="F57" s="193"/>
      <c r="G57" s="196" t="s">
        <v>722</v>
      </c>
      <c r="H57" s="167"/>
      <c r="I57" s="182" t="s">
        <v>875</v>
      </c>
      <c r="J57" s="198"/>
      <c r="K57" s="199" t="s">
        <v>724</v>
      </c>
    </row>
    <row r="58">
      <c r="A58" s="215" t="s">
        <v>440</v>
      </c>
      <c r="B58" s="167" t="s">
        <v>268</v>
      </c>
      <c r="C58" s="214">
        <v>45006.0</v>
      </c>
      <c r="D58" s="204" t="s">
        <v>741</v>
      </c>
      <c r="E58" s="172" t="s">
        <v>876</v>
      </c>
      <c r="F58" s="193"/>
      <c r="G58" s="206" t="s">
        <v>877</v>
      </c>
      <c r="H58" s="172" t="s">
        <v>878</v>
      </c>
      <c r="I58" s="177" t="s">
        <v>879</v>
      </c>
      <c r="J58" s="199"/>
      <c r="K58" s="199" t="s">
        <v>880</v>
      </c>
    </row>
    <row r="59">
      <c r="A59" s="177" t="s">
        <v>218</v>
      </c>
      <c r="B59" s="172" t="s">
        <v>881</v>
      </c>
      <c r="C59" s="214"/>
      <c r="D59" s="204" t="s">
        <v>722</v>
      </c>
      <c r="E59" s="172"/>
      <c r="F59" s="193"/>
      <c r="G59" s="206" t="s">
        <v>218</v>
      </c>
      <c r="H59" s="172" t="s">
        <v>882</v>
      </c>
      <c r="I59" s="177"/>
      <c r="J59" s="199"/>
      <c r="K59" s="199"/>
    </row>
  </sheetData>
  <hyperlinks>
    <hyperlink r:id="rId2" ref="E2"/>
    <hyperlink r:id="rId3" location="heading=h.25ed5ykm7zul" ref="E3"/>
    <hyperlink r:id="rId4" ref="E4"/>
    <hyperlink r:id="rId5" ref="E5"/>
    <hyperlink r:id="rId6" ref="E8"/>
    <hyperlink r:id="rId7" ref="E9"/>
    <hyperlink r:id="rId8" ref="E11"/>
    <hyperlink r:id="rId9" location="heading=h.25ed5ykm7zul" ref="E12"/>
    <hyperlink r:id="rId10" location="heading=h.25ed5ykm7zul" ref="E13"/>
    <hyperlink r:id="rId11" location="heading=h.25ed5ykm7zul" ref="E14"/>
    <hyperlink r:id="rId12" ref="E15"/>
    <hyperlink r:id="rId13" location="heading=h.25ed5ykm7zul" ref="E16"/>
    <hyperlink r:id="rId14" ref="E17"/>
    <hyperlink r:id="rId15" location="bookmark=id.1fob9te" ref="E18"/>
    <hyperlink r:id="rId16" ref="E19"/>
    <hyperlink r:id="rId17" ref="E20"/>
    <hyperlink r:id="rId18" ref="E21"/>
    <hyperlink r:id="rId19" ref="E22"/>
    <hyperlink r:id="rId20" location="heading=h.25ed5ykm7zul" ref="E23"/>
    <hyperlink r:id="rId21" location="heading=h.25ed5ykm7zul" ref="H23"/>
    <hyperlink r:id="rId22" ref="E24"/>
    <hyperlink r:id="rId23" ref="H24"/>
    <hyperlink r:id="rId24" ref="E26"/>
    <hyperlink r:id="rId25" location="heading=h.25ed5ykm7zul" ref="E27"/>
    <hyperlink r:id="rId26" location="heading=h.25ed5ykm7zul" ref="H27"/>
    <hyperlink r:id="rId27" ref="E28"/>
    <hyperlink r:id="rId28" ref="E29"/>
    <hyperlink r:id="rId29" location="heading=h.l069679f231p" ref="E30"/>
    <hyperlink r:id="rId30" location="heading=h.25ed5ykm7zul" ref="E31"/>
    <hyperlink r:id="rId31" ref="E32"/>
    <hyperlink r:id="rId32" ref="H32"/>
    <hyperlink r:id="rId33" location="heading=h.j7kaqer2dh5p" ref="E34"/>
    <hyperlink r:id="rId34" ref="E35"/>
    <hyperlink r:id="rId35" location="heading=h.eb6fjlvy605" ref="E36"/>
    <hyperlink r:id="rId36" ref="E37"/>
    <hyperlink r:id="rId37" ref="E38"/>
    <hyperlink r:id="rId38" ref="E39"/>
    <hyperlink r:id="rId39" ref="E40"/>
    <hyperlink r:id="rId40" location="heading=h.25ed5ykm7zul" ref="E41"/>
    <hyperlink r:id="rId41" location="heading=h.25ed5ykm7zul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H48"/>
    <hyperlink r:id="rId49" ref="E49"/>
    <hyperlink r:id="rId50" location="heading=h.25ed5ykm7zul" ref="E50"/>
    <hyperlink r:id="rId51" location="heading=h.25ed5ykm7zul" ref="E51"/>
    <hyperlink r:id="rId52" ref="E53"/>
    <hyperlink r:id="rId53" ref="E54"/>
    <hyperlink r:id="rId54" ref="E55"/>
    <hyperlink r:id="rId55" ref="E56"/>
    <hyperlink r:id="rId56" ref="E57"/>
  </hyperlinks>
  <drawing r:id="rId57"/>
  <legacyDrawing r:id="rId58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" width="14.38"/>
  </cols>
  <sheetData>
    <row r="1">
      <c r="A1" s="216" t="s">
        <v>108</v>
      </c>
      <c r="B1" s="217" t="s">
        <v>5</v>
      </c>
      <c r="C1" s="217" t="s">
        <v>22</v>
      </c>
      <c r="D1" s="217" t="s">
        <v>9</v>
      </c>
      <c r="E1" s="218" t="s">
        <v>16</v>
      </c>
      <c r="F1" s="217" t="s">
        <v>13</v>
      </c>
      <c r="G1" s="218" t="s">
        <v>25</v>
      </c>
      <c r="H1" s="219" t="s">
        <v>883</v>
      </c>
      <c r="I1" s="220" t="s">
        <v>884</v>
      </c>
      <c r="J1" s="220" t="s">
        <v>885</v>
      </c>
      <c r="K1" s="220" t="s">
        <v>886</v>
      </c>
      <c r="L1" s="220" t="s">
        <v>887</v>
      </c>
      <c r="M1" s="220" t="s">
        <v>888</v>
      </c>
      <c r="N1" s="221" t="s">
        <v>883</v>
      </c>
      <c r="O1" s="222" t="s">
        <v>889</v>
      </c>
      <c r="P1" s="222" t="s">
        <v>890</v>
      </c>
      <c r="Q1" s="222" t="s">
        <v>891</v>
      </c>
      <c r="R1" s="222" t="s">
        <v>892</v>
      </c>
      <c r="S1" s="222" t="s">
        <v>893</v>
      </c>
      <c r="T1" s="223" t="s">
        <v>883</v>
      </c>
    </row>
    <row r="2">
      <c r="A2" s="224" t="s">
        <v>137</v>
      </c>
      <c r="B2" s="225" t="s">
        <v>137</v>
      </c>
      <c r="C2" s="194"/>
      <c r="D2" s="225" t="s">
        <v>894</v>
      </c>
      <c r="E2" s="225" t="s">
        <v>895</v>
      </c>
      <c r="F2" s="194"/>
      <c r="G2" s="194"/>
      <c r="H2" s="226"/>
      <c r="I2" s="227" t="s">
        <v>896</v>
      </c>
      <c r="J2" s="194"/>
      <c r="K2" s="228" t="s">
        <v>897</v>
      </c>
      <c r="L2" s="228" t="s">
        <v>897</v>
      </c>
      <c r="M2" s="194"/>
      <c r="N2" s="226"/>
      <c r="O2" s="229" t="s">
        <v>898</v>
      </c>
      <c r="P2" s="194"/>
      <c r="Q2" s="228" t="s">
        <v>897</v>
      </c>
      <c r="R2" s="228" t="s">
        <v>897</v>
      </c>
      <c r="S2" s="194"/>
      <c r="T2" s="226"/>
    </row>
    <row r="3">
      <c r="A3" s="224" t="s">
        <v>143</v>
      </c>
      <c r="B3" s="225" t="s">
        <v>139</v>
      </c>
      <c r="C3" s="194"/>
      <c r="D3" s="194"/>
      <c r="E3" s="194"/>
      <c r="F3" s="194"/>
      <c r="G3" s="194"/>
      <c r="H3" s="230" t="s">
        <v>143</v>
      </c>
      <c r="I3" s="227" t="s">
        <v>896</v>
      </c>
      <c r="J3" s="194"/>
      <c r="K3" s="194"/>
      <c r="L3" s="194"/>
      <c r="M3" s="194"/>
      <c r="N3" s="231" t="s">
        <v>896</v>
      </c>
      <c r="O3" s="232" t="s">
        <v>899</v>
      </c>
      <c r="P3" s="194"/>
      <c r="Q3" s="194"/>
      <c r="R3" s="194"/>
      <c r="S3" s="194"/>
      <c r="T3" s="233" t="s">
        <v>900</v>
      </c>
    </row>
    <row r="4">
      <c r="A4" s="224" t="s">
        <v>143</v>
      </c>
      <c r="B4" s="225"/>
      <c r="C4" s="194"/>
      <c r="D4" s="194"/>
      <c r="E4" s="194"/>
      <c r="F4" s="194"/>
      <c r="G4" s="194"/>
      <c r="H4" s="234" t="s">
        <v>141</v>
      </c>
      <c r="I4" s="227"/>
      <c r="J4" s="194"/>
      <c r="K4" s="194"/>
      <c r="L4" s="194"/>
      <c r="M4" s="194"/>
      <c r="N4" s="231"/>
      <c r="O4" s="232"/>
      <c r="P4" s="194"/>
      <c r="Q4" s="194"/>
      <c r="R4" s="194"/>
      <c r="S4" s="194"/>
      <c r="T4" s="233"/>
    </row>
    <row r="5">
      <c r="A5" s="224" t="s">
        <v>267</v>
      </c>
      <c r="B5" s="235" t="s">
        <v>267</v>
      </c>
      <c r="C5" s="194"/>
      <c r="D5" s="194"/>
      <c r="E5" s="235" t="s">
        <v>901</v>
      </c>
      <c r="F5" s="194"/>
      <c r="G5" s="194"/>
      <c r="H5" s="226"/>
      <c r="I5" s="227" t="s">
        <v>896</v>
      </c>
      <c r="J5" s="194"/>
      <c r="K5" s="194"/>
      <c r="L5" s="228" t="s">
        <v>897</v>
      </c>
      <c r="M5" s="194"/>
      <c r="N5" s="226"/>
      <c r="O5" s="229" t="s">
        <v>898</v>
      </c>
      <c r="P5" s="194"/>
      <c r="Q5" s="194"/>
      <c r="R5" s="228" t="s">
        <v>897</v>
      </c>
      <c r="S5" s="236"/>
      <c r="T5" s="226"/>
    </row>
    <row r="6">
      <c r="A6" s="224" t="s">
        <v>144</v>
      </c>
      <c r="B6" s="194"/>
      <c r="C6" s="194"/>
      <c r="D6" s="225" t="s">
        <v>144</v>
      </c>
      <c r="E6" s="225" t="s">
        <v>144</v>
      </c>
      <c r="F6" s="194"/>
      <c r="G6" s="194"/>
      <c r="H6" s="237" t="s">
        <v>144</v>
      </c>
      <c r="I6" s="194"/>
      <c r="J6" s="194"/>
      <c r="K6" s="228" t="s">
        <v>897</v>
      </c>
      <c r="L6" s="228" t="s">
        <v>897</v>
      </c>
      <c r="M6" s="194"/>
      <c r="N6" s="231" t="s">
        <v>896</v>
      </c>
      <c r="O6" s="194"/>
      <c r="P6" s="194"/>
      <c r="Q6" s="228" t="s">
        <v>897</v>
      </c>
      <c r="R6" s="228" t="s">
        <v>897</v>
      </c>
      <c r="S6" s="236"/>
      <c r="T6" s="233" t="s">
        <v>900</v>
      </c>
    </row>
    <row r="7">
      <c r="A7" s="224" t="s">
        <v>144</v>
      </c>
      <c r="B7" s="194"/>
      <c r="C7" s="194"/>
      <c r="D7" s="225"/>
      <c r="E7" s="225"/>
      <c r="F7" s="194"/>
      <c r="G7" s="194"/>
      <c r="H7" s="238" t="s">
        <v>146</v>
      </c>
      <c r="I7" s="194"/>
      <c r="J7" s="194"/>
      <c r="K7" s="228"/>
      <c r="L7" s="228"/>
      <c r="M7" s="194"/>
      <c r="N7" s="231"/>
      <c r="O7" s="194"/>
      <c r="P7" s="194"/>
      <c r="Q7" s="228"/>
      <c r="R7" s="228"/>
      <c r="S7" s="236"/>
      <c r="T7" s="233"/>
    </row>
    <row r="8">
      <c r="A8" s="239" t="s">
        <v>148</v>
      </c>
      <c r="B8" s="235" t="s">
        <v>148</v>
      </c>
      <c r="C8" s="194"/>
      <c r="D8" s="194"/>
      <c r="E8" s="235" t="s">
        <v>471</v>
      </c>
      <c r="F8" s="194"/>
      <c r="G8" s="194"/>
      <c r="H8" s="226"/>
      <c r="I8" s="227" t="s">
        <v>896</v>
      </c>
      <c r="J8" s="194"/>
      <c r="K8" s="194"/>
      <c r="L8" s="228" t="s">
        <v>897</v>
      </c>
      <c r="M8" s="194"/>
      <c r="N8" s="226"/>
      <c r="O8" s="229" t="s">
        <v>898</v>
      </c>
      <c r="P8" s="194"/>
      <c r="Q8" s="194"/>
      <c r="R8" s="228" t="s">
        <v>897</v>
      </c>
      <c r="S8" s="236"/>
      <c r="T8" s="226"/>
    </row>
    <row r="9">
      <c r="A9" s="239" t="s">
        <v>283</v>
      </c>
      <c r="B9" s="235" t="s">
        <v>283</v>
      </c>
      <c r="C9" s="194"/>
      <c r="D9" s="194"/>
      <c r="E9" s="194"/>
      <c r="F9" s="194"/>
      <c r="G9" s="194"/>
      <c r="H9" s="226"/>
      <c r="I9" s="227" t="s">
        <v>896</v>
      </c>
      <c r="J9" s="194"/>
      <c r="K9" s="194"/>
      <c r="L9" s="194"/>
      <c r="M9" s="194"/>
      <c r="N9" s="226"/>
      <c r="O9" s="240" t="s">
        <v>900</v>
      </c>
      <c r="P9" s="194"/>
      <c r="Q9" s="194"/>
      <c r="R9" s="194"/>
      <c r="S9" s="236"/>
      <c r="T9" s="226"/>
    </row>
    <row r="10">
      <c r="A10" s="224" t="s">
        <v>182</v>
      </c>
      <c r="B10" s="235" t="s">
        <v>182</v>
      </c>
      <c r="C10" s="194"/>
      <c r="D10" s="225">
        <v>66.5622</v>
      </c>
      <c r="E10" s="225" t="s">
        <v>902</v>
      </c>
      <c r="F10" s="194"/>
      <c r="G10" s="194"/>
      <c r="H10" s="226"/>
      <c r="I10" s="227" t="s">
        <v>896</v>
      </c>
      <c r="J10" s="194"/>
      <c r="K10" s="227" t="s">
        <v>896</v>
      </c>
      <c r="L10" s="228" t="s">
        <v>897</v>
      </c>
      <c r="M10" s="194"/>
      <c r="N10" s="226"/>
      <c r="O10" s="229" t="s">
        <v>898</v>
      </c>
      <c r="P10" s="194"/>
      <c r="Q10" s="228" t="s">
        <v>897</v>
      </c>
      <c r="R10" s="228" t="s">
        <v>897</v>
      </c>
      <c r="S10" s="236"/>
      <c r="T10" s="226"/>
    </row>
    <row r="11">
      <c r="A11" s="224" t="s">
        <v>149</v>
      </c>
      <c r="B11" s="225" t="s">
        <v>149</v>
      </c>
      <c r="C11" s="194"/>
      <c r="D11" s="225" t="s">
        <v>213</v>
      </c>
      <c r="E11" s="194"/>
      <c r="F11" s="194"/>
      <c r="G11" s="194"/>
      <c r="H11" s="226"/>
      <c r="I11" s="227" t="s">
        <v>896</v>
      </c>
      <c r="J11" s="194"/>
      <c r="K11" s="194"/>
      <c r="L11" s="194"/>
      <c r="M11" s="194"/>
      <c r="N11" s="226"/>
      <c r="O11" s="229" t="s">
        <v>898</v>
      </c>
      <c r="P11" s="194"/>
      <c r="Q11" s="194"/>
      <c r="R11" s="194"/>
      <c r="S11" s="194"/>
      <c r="T11" s="226"/>
    </row>
    <row r="12">
      <c r="A12" s="224" t="s">
        <v>177</v>
      </c>
      <c r="B12" s="235" t="s">
        <v>177</v>
      </c>
      <c r="C12" s="194"/>
      <c r="D12" s="194"/>
      <c r="E12" s="235" t="s">
        <v>903</v>
      </c>
      <c r="F12" s="194"/>
      <c r="G12" s="194"/>
      <c r="H12" s="226"/>
      <c r="I12" s="227" t="s">
        <v>896</v>
      </c>
      <c r="J12" s="194"/>
      <c r="K12" s="194"/>
      <c r="L12" s="227" t="s">
        <v>896</v>
      </c>
      <c r="M12" s="194"/>
      <c r="N12" s="226"/>
      <c r="O12" s="232" t="s">
        <v>899</v>
      </c>
      <c r="P12" s="194"/>
      <c r="Q12" s="194"/>
      <c r="R12" s="232" t="s">
        <v>899</v>
      </c>
      <c r="S12" s="232" t="s">
        <v>899</v>
      </c>
      <c r="T12" s="226"/>
    </row>
    <row r="13">
      <c r="A13" s="224" t="s">
        <v>177</v>
      </c>
      <c r="B13" s="235"/>
      <c r="C13" s="194"/>
      <c r="D13" s="194"/>
      <c r="E13" s="241" t="s">
        <v>177</v>
      </c>
      <c r="F13" s="241" t="s">
        <v>177</v>
      </c>
      <c r="G13" s="194"/>
      <c r="H13" s="226"/>
      <c r="I13" s="227"/>
      <c r="J13" s="194"/>
      <c r="K13" s="194"/>
      <c r="L13" s="227"/>
      <c r="M13" s="194"/>
      <c r="N13" s="226"/>
      <c r="O13" s="232"/>
      <c r="P13" s="194"/>
      <c r="Q13" s="194"/>
      <c r="R13" s="232"/>
      <c r="S13" s="236"/>
      <c r="T13" s="194"/>
    </row>
    <row r="14">
      <c r="A14" s="224" t="s">
        <v>183</v>
      </c>
      <c r="B14" s="225" t="s">
        <v>229</v>
      </c>
      <c r="C14" s="194"/>
      <c r="D14" s="194"/>
      <c r="E14" s="225" t="s">
        <v>183</v>
      </c>
      <c r="F14" s="194"/>
      <c r="G14" s="194"/>
      <c r="H14" s="237" t="s">
        <v>230</v>
      </c>
      <c r="I14" s="227" t="s">
        <v>896</v>
      </c>
      <c r="J14" s="194"/>
      <c r="K14" s="194"/>
      <c r="L14" s="227" t="s">
        <v>896</v>
      </c>
      <c r="M14" s="194"/>
      <c r="N14" s="226"/>
      <c r="O14" s="232" t="s">
        <v>899</v>
      </c>
      <c r="P14" s="194"/>
      <c r="Q14" s="194"/>
      <c r="R14" s="232" t="s">
        <v>899</v>
      </c>
      <c r="S14" s="194"/>
      <c r="T14" s="232" t="s">
        <v>899</v>
      </c>
    </row>
    <row r="15">
      <c r="A15" s="224" t="s">
        <v>183</v>
      </c>
      <c r="B15" s="242" t="s">
        <v>183</v>
      </c>
      <c r="C15" s="194"/>
      <c r="D15" s="194"/>
      <c r="E15" s="225"/>
      <c r="F15" s="194"/>
      <c r="G15" s="194"/>
      <c r="H15" s="237"/>
      <c r="I15" s="227"/>
      <c r="J15" s="194"/>
      <c r="K15" s="194"/>
      <c r="L15" s="227"/>
      <c r="M15" s="194"/>
      <c r="N15" s="226"/>
      <c r="O15" s="232"/>
      <c r="P15" s="194"/>
      <c r="Q15" s="194"/>
      <c r="R15" s="232"/>
      <c r="S15" s="194"/>
      <c r="T15" s="232"/>
    </row>
    <row r="16">
      <c r="A16" s="224" t="s">
        <v>184</v>
      </c>
      <c r="B16" s="225" t="s">
        <v>184</v>
      </c>
      <c r="C16" s="194"/>
      <c r="D16" s="194"/>
      <c r="E16" s="194"/>
      <c r="F16" s="194"/>
      <c r="G16" s="194"/>
      <c r="H16" s="237" t="s">
        <v>184</v>
      </c>
      <c r="I16" s="227" t="s">
        <v>896</v>
      </c>
      <c r="J16" s="194"/>
      <c r="K16" s="194"/>
      <c r="L16" s="194"/>
      <c r="M16" s="194"/>
      <c r="N16" s="243" t="s">
        <v>897</v>
      </c>
      <c r="O16" s="229" t="s">
        <v>898</v>
      </c>
      <c r="P16" s="194"/>
      <c r="Q16" s="194"/>
      <c r="R16" s="194"/>
      <c r="S16" s="194"/>
      <c r="T16" s="243" t="s">
        <v>897</v>
      </c>
    </row>
    <row r="17">
      <c r="A17" s="224" t="s">
        <v>345</v>
      </c>
      <c r="B17" s="244"/>
      <c r="C17" s="194"/>
      <c r="D17" s="245" t="s">
        <v>904</v>
      </c>
      <c r="E17" s="194"/>
      <c r="F17" s="245" t="s">
        <v>905</v>
      </c>
      <c r="G17" s="245"/>
      <c r="H17" s="226"/>
      <c r="I17" s="194"/>
      <c r="J17" s="194"/>
      <c r="K17" s="227" t="s">
        <v>896</v>
      </c>
      <c r="L17" s="194"/>
      <c r="M17" s="227" t="s">
        <v>896</v>
      </c>
      <c r="N17" s="226"/>
      <c r="O17" s="194"/>
      <c r="P17" s="194"/>
      <c r="Q17" s="229" t="s">
        <v>898</v>
      </c>
      <c r="R17" s="194"/>
      <c r="S17" s="229" t="s">
        <v>898</v>
      </c>
      <c r="T17" s="226"/>
    </row>
    <row r="18">
      <c r="A18" s="224" t="s">
        <v>170</v>
      </c>
      <c r="B18" s="225" t="s">
        <v>170</v>
      </c>
      <c r="C18" s="194"/>
      <c r="D18" s="194"/>
      <c r="E18" s="194"/>
      <c r="F18" s="194"/>
      <c r="G18" s="194"/>
      <c r="H18" s="226"/>
      <c r="I18" s="227" t="s">
        <v>896</v>
      </c>
      <c r="J18" s="194"/>
      <c r="K18" s="194"/>
      <c r="L18" s="194"/>
      <c r="M18" s="194"/>
      <c r="N18" s="226"/>
      <c r="O18" s="229" t="s">
        <v>898</v>
      </c>
      <c r="P18" s="194"/>
      <c r="Q18" s="194"/>
      <c r="R18" s="194"/>
      <c r="S18" s="194"/>
      <c r="T18" s="226"/>
    </row>
    <row r="19">
      <c r="A19" s="224" t="s">
        <v>185</v>
      </c>
      <c r="B19" s="225" t="s">
        <v>906</v>
      </c>
      <c r="C19" s="194"/>
      <c r="D19" s="194"/>
      <c r="E19" s="194"/>
      <c r="F19" s="194"/>
      <c r="G19" s="245" t="s">
        <v>185</v>
      </c>
      <c r="H19" s="230" t="s">
        <v>185</v>
      </c>
      <c r="I19" s="228" t="s">
        <v>897</v>
      </c>
      <c r="J19" s="194"/>
      <c r="K19" s="194"/>
      <c r="L19" s="194"/>
      <c r="M19" s="194"/>
      <c r="N19" s="231" t="s">
        <v>896</v>
      </c>
      <c r="O19" s="228" t="s">
        <v>897</v>
      </c>
      <c r="P19" s="194"/>
      <c r="Q19" s="194"/>
      <c r="R19" s="194"/>
      <c r="S19" s="194"/>
      <c r="T19" s="233" t="s">
        <v>900</v>
      </c>
    </row>
    <row r="20">
      <c r="A20" s="224" t="s">
        <v>185</v>
      </c>
      <c r="B20" s="242" t="s">
        <v>185</v>
      </c>
      <c r="C20" s="194"/>
      <c r="D20" s="194"/>
      <c r="E20" s="194"/>
      <c r="F20" s="194"/>
      <c r="G20" s="245"/>
      <c r="H20" s="230"/>
      <c r="I20" s="228"/>
      <c r="J20" s="194"/>
      <c r="K20" s="194"/>
      <c r="L20" s="194"/>
      <c r="M20" s="194"/>
      <c r="N20" s="231"/>
      <c r="O20" s="228"/>
      <c r="P20" s="194"/>
      <c r="Q20" s="194"/>
      <c r="R20" s="194"/>
      <c r="S20" s="194"/>
      <c r="T20" s="233"/>
    </row>
    <row r="21">
      <c r="A21" s="224" t="s">
        <v>379</v>
      </c>
      <c r="B21" s="194"/>
      <c r="C21" s="194"/>
      <c r="D21" s="194"/>
      <c r="E21" s="225" t="s">
        <v>221</v>
      </c>
      <c r="F21" s="230" t="s">
        <v>235</v>
      </c>
      <c r="G21" s="194"/>
      <c r="H21" s="230" t="s">
        <v>235</v>
      </c>
      <c r="I21" s="194"/>
      <c r="J21" s="194"/>
      <c r="K21" s="194"/>
      <c r="L21" s="227" t="s">
        <v>896</v>
      </c>
      <c r="M21" s="194"/>
      <c r="N21" s="226"/>
      <c r="O21" s="194"/>
      <c r="P21" s="194"/>
      <c r="Q21" s="194"/>
      <c r="R21" s="229" t="s">
        <v>898</v>
      </c>
      <c r="S21" s="229" t="s">
        <v>898</v>
      </c>
      <c r="T21" s="226"/>
    </row>
    <row r="22">
      <c r="A22" s="224" t="s">
        <v>180</v>
      </c>
      <c r="B22" s="225" t="s">
        <v>907</v>
      </c>
      <c r="C22" s="194"/>
      <c r="D22" s="194"/>
      <c r="E22" s="225" t="s">
        <v>908</v>
      </c>
      <c r="F22" s="194"/>
      <c r="G22" s="194"/>
      <c r="H22" s="237" t="s">
        <v>180</v>
      </c>
      <c r="I22" s="228" t="s">
        <v>897</v>
      </c>
      <c r="J22" s="194"/>
      <c r="K22" s="194"/>
      <c r="L22" s="228" t="s">
        <v>897</v>
      </c>
      <c r="M22" s="194"/>
      <c r="N22" s="231" t="s">
        <v>896</v>
      </c>
      <c r="O22" s="228" t="s">
        <v>897</v>
      </c>
      <c r="P22" s="194"/>
      <c r="Q22" s="194"/>
      <c r="R22" s="228" t="s">
        <v>897</v>
      </c>
      <c r="S22" s="194"/>
      <c r="T22" s="240" t="s">
        <v>900</v>
      </c>
    </row>
    <row r="23">
      <c r="A23" s="224" t="s">
        <v>362</v>
      </c>
      <c r="B23" s="235" t="s">
        <v>189</v>
      </c>
      <c r="C23" s="194"/>
      <c r="D23" s="235" t="s">
        <v>362</v>
      </c>
      <c r="E23" s="225" t="s">
        <v>362</v>
      </c>
      <c r="F23" s="194"/>
      <c r="G23" s="194"/>
      <c r="H23" s="226"/>
      <c r="I23" s="228" t="s">
        <v>897</v>
      </c>
      <c r="J23" s="194"/>
      <c r="K23" s="227" t="s">
        <v>896</v>
      </c>
      <c r="L23" s="228" t="s">
        <v>897</v>
      </c>
      <c r="M23" s="194"/>
      <c r="N23" s="226"/>
      <c r="O23" s="240" t="s">
        <v>900</v>
      </c>
      <c r="P23" s="194"/>
      <c r="Q23" s="240" t="s">
        <v>900</v>
      </c>
      <c r="R23" s="228" t="s">
        <v>897</v>
      </c>
      <c r="S23" s="194"/>
      <c r="T23" s="194"/>
    </row>
    <row r="24">
      <c r="A24" s="224" t="s">
        <v>416</v>
      </c>
      <c r="B24" s="235" t="s">
        <v>190</v>
      </c>
      <c r="C24" s="225" t="s">
        <v>416</v>
      </c>
      <c r="D24" s="194"/>
      <c r="E24" s="244"/>
      <c r="F24" s="194"/>
      <c r="G24" s="194"/>
      <c r="H24" s="226"/>
      <c r="I24" s="227" t="s">
        <v>896</v>
      </c>
      <c r="J24" s="227" t="s">
        <v>896</v>
      </c>
      <c r="K24" s="194"/>
      <c r="L24" s="194"/>
      <c r="M24" s="194"/>
      <c r="N24" s="226"/>
      <c r="O24" s="229" t="s">
        <v>898</v>
      </c>
      <c r="P24" s="229" t="s">
        <v>898</v>
      </c>
      <c r="Q24" s="194"/>
      <c r="R24" s="194"/>
      <c r="S24" s="236"/>
      <c r="T24" s="194"/>
    </row>
    <row r="25">
      <c r="A25" s="224" t="s">
        <v>192</v>
      </c>
      <c r="B25" s="225" t="s">
        <v>192</v>
      </c>
      <c r="C25" s="246" t="s">
        <v>191</v>
      </c>
      <c r="D25" s="194"/>
      <c r="E25" s="246" t="s">
        <v>909</v>
      </c>
      <c r="F25" s="225" t="s">
        <v>910</v>
      </c>
      <c r="G25" s="225"/>
      <c r="H25" s="237" t="s">
        <v>910</v>
      </c>
      <c r="I25" s="227" t="s">
        <v>896</v>
      </c>
      <c r="J25" s="227" t="s">
        <v>896</v>
      </c>
      <c r="K25" s="194"/>
      <c r="L25" s="227" t="s">
        <v>896</v>
      </c>
      <c r="M25" s="227" t="s">
        <v>896</v>
      </c>
      <c r="N25" s="231" t="s">
        <v>896</v>
      </c>
      <c r="O25" s="229" t="s">
        <v>898</v>
      </c>
      <c r="P25" s="229" t="s">
        <v>898</v>
      </c>
      <c r="Q25" s="194"/>
      <c r="R25" s="229" t="s">
        <v>898</v>
      </c>
      <c r="S25" s="228" t="s">
        <v>897</v>
      </c>
      <c r="T25" s="240" t="s">
        <v>900</v>
      </c>
    </row>
    <row r="26">
      <c r="A26" s="224" t="s">
        <v>200</v>
      </c>
      <c r="B26" s="225" t="s">
        <v>200</v>
      </c>
      <c r="C26" s="194"/>
      <c r="D26" s="225" t="s">
        <v>200</v>
      </c>
      <c r="E26" s="194"/>
      <c r="F26" s="194"/>
      <c r="G26" s="194"/>
      <c r="H26" s="226"/>
      <c r="I26" s="227" t="s">
        <v>896</v>
      </c>
      <c r="J26" s="194"/>
      <c r="K26" s="227" t="s">
        <v>896</v>
      </c>
      <c r="L26" s="194"/>
      <c r="M26" s="194"/>
      <c r="N26" s="226"/>
      <c r="O26" s="229" t="s">
        <v>898</v>
      </c>
      <c r="P26" s="194"/>
      <c r="Q26" s="229" t="s">
        <v>898</v>
      </c>
      <c r="R26" s="194"/>
      <c r="S26" s="194"/>
      <c r="T26" s="194"/>
    </row>
    <row r="27">
      <c r="A27" s="224" t="s">
        <v>193</v>
      </c>
      <c r="B27" s="225" t="s">
        <v>193</v>
      </c>
      <c r="C27" s="225" t="s">
        <v>194</v>
      </c>
      <c r="D27" s="194"/>
      <c r="E27" s="194"/>
      <c r="F27" s="194"/>
      <c r="G27" s="194"/>
      <c r="H27" s="226"/>
      <c r="I27" s="227" t="s">
        <v>896</v>
      </c>
      <c r="J27" s="227" t="s">
        <v>896</v>
      </c>
      <c r="K27" s="194"/>
      <c r="L27" s="194"/>
      <c r="M27" s="194"/>
      <c r="N27" s="226"/>
      <c r="O27" s="229" t="s">
        <v>898</v>
      </c>
      <c r="P27" s="229" t="s">
        <v>898</v>
      </c>
      <c r="Q27" s="194"/>
      <c r="R27" s="194"/>
      <c r="S27" s="194"/>
      <c r="T27" s="194"/>
    </row>
    <row r="28">
      <c r="A28" s="224" t="s">
        <v>150</v>
      </c>
      <c r="B28" s="225" t="s">
        <v>152</v>
      </c>
      <c r="C28" s="194"/>
      <c r="D28" s="225" t="s">
        <v>150</v>
      </c>
      <c r="E28" s="194"/>
      <c r="F28" s="194"/>
      <c r="G28" s="194"/>
      <c r="H28" s="226"/>
      <c r="I28" s="227" t="s">
        <v>896</v>
      </c>
      <c r="J28" s="194"/>
      <c r="K28" s="228" t="s">
        <v>897</v>
      </c>
      <c r="L28" s="194"/>
      <c r="M28" s="194"/>
      <c r="N28" s="226"/>
      <c r="O28" s="229" t="s">
        <v>898</v>
      </c>
      <c r="P28" s="194"/>
      <c r="Q28" s="228" t="s">
        <v>897</v>
      </c>
      <c r="R28" s="194"/>
      <c r="S28" s="236"/>
      <c r="T28" s="194"/>
    </row>
    <row r="29">
      <c r="A29" s="224" t="s">
        <v>195</v>
      </c>
      <c r="B29" s="225" t="s">
        <v>195</v>
      </c>
      <c r="C29" s="225" t="s">
        <v>911</v>
      </c>
      <c r="D29" s="194"/>
      <c r="E29" s="194"/>
      <c r="F29" s="194"/>
      <c r="G29" s="194"/>
      <c r="H29" s="226"/>
      <c r="I29" s="227" t="s">
        <v>896</v>
      </c>
      <c r="J29" s="194"/>
      <c r="K29" s="194"/>
      <c r="L29" s="194"/>
      <c r="M29" s="194"/>
      <c r="N29" s="226"/>
      <c r="O29" s="229" t="s">
        <v>898</v>
      </c>
      <c r="P29" s="229" t="s">
        <v>898</v>
      </c>
      <c r="Q29" s="194"/>
      <c r="R29" s="194"/>
      <c r="S29" s="194"/>
      <c r="T29" s="194"/>
    </row>
    <row r="30">
      <c r="A30" s="239" t="s">
        <v>459</v>
      </c>
      <c r="B30" s="235" t="s">
        <v>459</v>
      </c>
      <c r="C30" s="194"/>
      <c r="D30" s="235" t="s">
        <v>912</v>
      </c>
      <c r="E30" s="235" t="s">
        <v>913</v>
      </c>
      <c r="F30" s="194"/>
      <c r="G30" s="194"/>
      <c r="H30" s="226"/>
      <c r="I30" s="228" t="s">
        <v>897</v>
      </c>
      <c r="J30" s="194"/>
      <c r="K30" s="227" t="s">
        <v>896</v>
      </c>
      <c r="L30" s="228" t="s">
        <v>897</v>
      </c>
      <c r="M30" s="194"/>
      <c r="N30" s="226"/>
      <c r="O30" s="228" t="s">
        <v>897</v>
      </c>
      <c r="P30" s="194"/>
      <c r="Q30" s="232" t="s">
        <v>899</v>
      </c>
      <c r="R30" s="228" t="s">
        <v>897</v>
      </c>
      <c r="S30" s="236"/>
      <c r="T30" s="194"/>
    </row>
    <row r="31">
      <c r="A31" s="239" t="s">
        <v>459</v>
      </c>
      <c r="B31" s="241" t="s">
        <v>145</v>
      </c>
      <c r="C31" s="194"/>
      <c r="D31" s="241" t="s">
        <v>145</v>
      </c>
      <c r="E31" s="235"/>
      <c r="F31" s="194"/>
      <c r="G31" s="194"/>
      <c r="H31" s="226"/>
      <c r="I31" s="228"/>
      <c r="J31" s="194"/>
      <c r="K31" s="227"/>
      <c r="L31" s="228"/>
      <c r="M31" s="194"/>
      <c r="N31" s="226"/>
      <c r="O31" s="228"/>
      <c r="P31" s="194"/>
      <c r="Q31" s="232" t="s">
        <v>899</v>
      </c>
      <c r="R31" s="228"/>
      <c r="S31" s="236"/>
      <c r="T31" s="194"/>
    </row>
    <row r="32">
      <c r="A32" s="239" t="s">
        <v>459</v>
      </c>
      <c r="B32" s="235"/>
      <c r="C32" s="194"/>
      <c r="D32" s="247" t="s">
        <v>151</v>
      </c>
      <c r="E32" s="235"/>
      <c r="F32" s="194"/>
      <c r="G32" s="194"/>
      <c r="H32" s="226"/>
      <c r="I32" s="228"/>
      <c r="J32" s="194"/>
      <c r="K32" s="227"/>
      <c r="L32" s="228"/>
      <c r="M32" s="194"/>
      <c r="N32" s="226"/>
      <c r="O32" s="228"/>
      <c r="P32" s="194"/>
      <c r="Q32" s="232" t="s">
        <v>899</v>
      </c>
      <c r="R32" s="228"/>
      <c r="S32" s="236"/>
      <c r="T32" s="194"/>
    </row>
    <row r="33">
      <c r="A33" s="224" t="s">
        <v>181</v>
      </c>
      <c r="B33" s="235" t="s">
        <v>181</v>
      </c>
      <c r="C33" s="194"/>
      <c r="D33" s="194"/>
      <c r="E33" s="194"/>
      <c r="F33" s="225" t="s">
        <v>181</v>
      </c>
      <c r="G33" s="225"/>
      <c r="H33" s="226"/>
      <c r="I33" s="227" t="s">
        <v>896</v>
      </c>
      <c r="J33" s="194"/>
      <c r="K33" s="194"/>
      <c r="L33" s="194"/>
      <c r="M33" s="194"/>
      <c r="N33" s="226"/>
      <c r="O33" s="248" t="s">
        <v>914</v>
      </c>
      <c r="P33" s="194"/>
      <c r="Q33" s="194"/>
      <c r="R33" s="194"/>
      <c r="S33" s="236"/>
      <c r="T33" s="194"/>
    </row>
    <row r="34">
      <c r="A34" s="239" t="s">
        <v>693</v>
      </c>
      <c r="B34" s="225" t="s">
        <v>225</v>
      </c>
      <c r="C34" s="225" t="s">
        <v>915</v>
      </c>
      <c r="D34" s="225" t="s">
        <v>159</v>
      </c>
      <c r="E34" s="225" t="s">
        <v>916</v>
      </c>
      <c r="F34" s="225" t="s">
        <v>917</v>
      </c>
      <c r="G34" s="225"/>
      <c r="H34" s="226"/>
      <c r="I34" s="228" t="s">
        <v>897</v>
      </c>
      <c r="J34" s="228" t="s">
        <v>897</v>
      </c>
      <c r="K34" s="227" t="s">
        <v>896</v>
      </c>
      <c r="L34" s="228" t="s">
        <v>897</v>
      </c>
      <c r="M34" s="228" t="s">
        <v>897</v>
      </c>
      <c r="N34" s="226"/>
      <c r="O34" s="228" t="s">
        <v>897</v>
      </c>
      <c r="P34" s="228" t="s">
        <v>897</v>
      </c>
      <c r="Q34" s="240" t="s">
        <v>900</v>
      </c>
      <c r="R34" s="228" t="s">
        <v>897</v>
      </c>
      <c r="S34" s="228" t="s">
        <v>897</v>
      </c>
      <c r="T34" s="194"/>
    </row>
    <row r="35">
      <c r="A35" s="239" t="s">
        <v>693</v>
      </c>
      <c r="B35" s="225"/>
      <c r="C35" s="225"/>
      <c r="D35" s="242" t="s">
        <v>224</v>
      </c>
      <c r="E35" s="225"/>
      <c r="F35" s="225"/>
      <c r="G35" s="225"/>
      <c r="H35" s="226"/>
      <c r="I35" s="228"/>
      <c r="J35" s="228"/>
      <c r="K35" s="227"/>
      <c r="L35" s="228"/>
      <c r="M35" s="228"/>
      <c r="N35" s="226"/>
      <c r="O35" s="228"/>
      <c r="P35" s="228"/>
      <c r="Q35" s="240"/>
      <c r="R35" s="228"/>
      <c r="S35" s="228"/>
      <c r="T35" s="194"/>
    </row>
    <row r="36">
      <c r="A36" s="224" t="s">
        <v>477</v>
      </c>
      <c r="B36" s="225" t="s">
        <v>477</v>
      </c>
      <c r="C36" s="225" t="s">
        <v>918</v>
      </c>
      <c r="D36" s="194"/>
      <c r="E36" s="225" t="s">
        <v>919</v>
      </c>
      <c r="F36" s="225" t="s">
        <v>164</v>
      </c>
      <c r="G36" s="225"/>
      <c r="H36" s="226"/>
      <c r="I36" s="227" t="s">
        <v>896</v>
      </c>
      <c r="J36" s="227" t="s">
        <v>896</v>
      </c>
      <c r="K36" s="194"/>
      <c r="L36" s="227" t="s">
        <v>896</v>
      </c>
      <c r="M36" s="227" t="s">
        <v>896</v>
      </c>
      <c r="N36" s="226"/>
      <c r="O36" s="229" t="s">
        <v>898</v>
      </c>
      <c r="P36" s="228" t="s">
        <v>897</v>
      </c>
      <c r="Q36" s="194"/>
      <c r="R36" s="229" t="s">
        <v>898</v>
      </c>
      <c r="S36" s="229" t="s">
        <v>898</v>
      </c>
      <c r="T36" s="194"/>
    </row>
    <row r="37">
      <c r="A37" s="224" t="s">
        <v>505</v>
      </c>
      <c r="B37" s="225" t="s">
        <v>920</v>
      </c>
      <c r="C37" s="194"/>
      <c r="D37" s="194"/>
      <c r="E37" s="225" t="s">
        <v>921</v>
      </c>
      <c r="F37" s="194"/>
      <c r="G37" s="194"/>
      <c r="H37" s="226"/>
      <c r="I37" s="227" t="s">
        <v>896</v>
      </c>
      <c r="J37" s="194"/>
      <c r="K37" s="194"/>
      <c r="L37" s="228" t="s">
        <v>897</v>
      </c>
      <c r="M37" s="194"/>
      <c r="N37" s="226"/>
      <c r="O37" s="229" t="s">
        <v>898</v>
      </c>
      <c r="P37" s="194"/>
      <c r="Q37" s="194"/>
      <c r="R37" s="228" t="s">
        <v>897</v>
      </c>
      <c r="S37" s="236"/>
      <c r="T37" s="194"/>
    </row>
    <row r="38">
      <c r="A38" s="224" t="s">
        <v>505</v>
      </c>
      <c r="B38" s="225"/>
      <c r="C38" s="194"/>
      <c r="D38" s="194"/>
      <c r="E38" s="249" t="s">
        <v>167</v>
      </c>
      <c r="F38" s="194"/>
      <c r="G38" s="194"/>
      <c r="H38" s="226"/>
      <c r="I38" s="227"/>
      <c r="J38" s="194"/>
      <c r="K38" s="194"/>
      <c r="L38" s="228"/>
      <c r="M38" s="194"/>
      <c r="N38" s="226"/>
      <c r="O38" s="229"/>
      <c r="P38" s="194"/>
      <c r="Q38" s="194"/>
      <c r="R38" s="228"/>
      <c r="S38" s="236"/>
      <c r="T38" s="194"/>
    </row>
    <row r="39">
      <c r="A39" s="224" t="s">
        <v>505</v>
      </c>
      <c r="B39" s="225"/>
      <c r="C39" s="194"/>
      <c r="D39" s="194"/>
      <c r="E39" s="249" t="s">
        <v>165</v>
      </c>
      <c r="F39" s="194"/>
      <c r="G39" s="194"/>
      <c r="H39" s="226"/>
      <c r="I39" s="227"/>
      <c r="J39" s="194"/>
      <c r="K39" s="194"/>
      <c r="L39" s="228"/>
      <c r="M39" s="194"/>
      <c r="N39" s="226"/>
      <c r="O39" s="229"/>
      <c r="P39" s="194"/>
      <c r="Q39" s="194"/>
      <c r="R39" s="228"/>
      <c r="S39" s="236"/>
      <c r="T39" s="194"/>
    </row>
    <row r="40">
      <c r="A40" s="224" t="s">
        <v>197</v>
      </c>
      <c r="B40" s="235" t="s">
        <v>197</v>
      </c>
      <c r="C40" s="225" t="s">
        <v>198</v>
      </c>
      <c r="D40" s="235" t="s">
        <v>197</v>
      </c>
      <c r="E40" s="225" t="s">
        <v>922</v>
      </c>
      <c r="F40" s="235" t="s">
        <v>923</v>
      </c>
      <c r="G40" s="235"/>
      <c r="H40" s="226"/>
      <c r="I40" s="227" t="s">
        <v>896</v>
      </c>
      <c r="J40" s="228" t="s">
        <v>897</v>
      </c>
      <c r="K40" s="228" t="s">
        <v>897</v>
      </c>
      <c r="L40" s="228" t="s">
        <v>897</v>
      </c>
      <c r="M40" s="228" t="s">
        <v>897</v>
      </c>
      <c r="N40" s="226"/>
      <c r="O40" s="232" t="s">
        <v>899</v>
      </c>
      <c r="P40" s="194"/>
      <c r="Q40" s="194"/>
      <c r="R40" s="194"/>
      <c r="S40" s="236"/>
      <c r="T40" s="194"/>
    </row>
    <row r="41">
      <c r="A41" s="224" t="s">
        <v>199</v>
      </c>
      <c r="B41" s="235" t="s">
        <v>199</v>
      </c>
      <c r="C41" s="194"/>
      <c r="D41" s="235" t="s">
        <v>924</v>
      </c>
      <c r="E41" s="235" t="s">
        <v>199</v>
      </c>
      <c r="F41" s="194"/>
      <c r="G41" s="194"/>
      <c r="H41" s="226"/>
      <c r="I41" s="227" t="s">
        <v>896</v>
      </c>
      <c r="J41" s="194"/>
      <c r="K41" s="228" t="s">
        <v>897</v>
      </c>
      <c r="L41" s="228" t="s">
        <v>897</v>
      </c>
      <c r="M41" s="194"/>
      <c r="N41" s="226"/>
      <c r="O41" s="229" t="s">
        <v>898</v>
      </c>
      <c r="P41" s="194"/>
      <c r="Q41" s="228" t="s">
        <v>897</v>
      </c>
      <c r="R41" s="228" t="s">
        <v>897</v>
      </c>
      <c r="S41" s="236"/>
      <c r="T41" s="194"/>
    </row>
    <row r="42">
      <c r="A42" s="224" t="s">
        <v>156</v>
      </c>
      <c r="B42" s="225" t="s">
        <v>156</v>
      </c>
      <c r="C42" s="194"/>
      <c r="D42" s="225" t="s">
        <v>153</v>
      </c>
      <c r="E42" s="235" t="s">
        <v>222</v>
      </c>
      <c r="F42" s="225" t="s">
        <v>153</v>
      </c>
      <c r="G42" s="225"/>
      <c r="H42" s="226"/>
      <c r="I42" s="227" t="s">
        <v>896</v>
      </c>
      <c r="J42" s="194"/>
      <c r="K42" s="227" t="s">
        <v>896</v>
      </c>
      <c r="L42" s="194"/>
      <c r="M42" s="227" t="s">
        <v>896</v>
      </c>
      <c r="N42" s="226"/>
      <c r="O42" s="229" t="s">
        <v>898</v>
      </c>
      <c r="P42" s="194"/>
      <c r="Q42" s="229" t="s">
        <v>898</v>
      </c>
      <c r="R42" s="229" t="s">
        <v>898</v>
      </c>
      <c r="S42" s="229" t="s">
        <v>898</v>
      </c>
      <c r="T42" s="194"/>
    </row>
    <row r="43">
      <c r="A43" s="224" t="s">
        <v>156</v>
      </c>
      <c r="B43" s="225"/>
      <c r="C43" s="194"/>
      <c r="D43" s="249" t="s">
        <v>158</v>
      </c>
      <c r="E43" s="235"/>
      <c r="F43" s="225" t="s">
        <v>156</v>
      </c>
      <c r="G43" s="225"/>
      <c r="H43" s="226"/>
      <c r="I43" s="227"/>
      <c r="J43" s="194"/>
      <c r="K43" s="227"/>
      <c r="L43" s="194"/>
      <c r="M43" s="227"/>
      <c r="N43" s="226"/>
      <c r="O43" s="229"/>
      <c r="P43" s="194"/>
      <c r="Q43" s="229"/>
      <c r="R43" s="229"/>
      <c r="S43" s="229"/>
      <c r="T43" s="194"/>
    </row>
    <row r="44">
      <c r="A44" s="224" t="s">
        <v>156</v>
      </c>
      <c r="B44" s="225"/>
      <c r="C44" s="194"/>
      <c r="D44" s="249" t="s">
        <v>157</v>
      </c>
      <c r="E44" s="235"/>
      <c r="F44" s="225"/>
      <c r="G44" s="225"/>
      <c r="H44" s="226"/>
      <c r="I44" s="227"/>
      <c r="J44" s="194"/>
      <c r="K44" s="227"/>
      <c r="L44" s="194"/>
      <c r="M44" s="227"/>
      <c r="N44" s="226"/>
      <c r="O44" s="229"/>
      <c r="P44" s="194"/>
      <c r="Q44" s="229" t="s">
        <v>898</v>
      </c>
      <c r="R44" s="229"/>
      <c r="S44" s="229"/>
      <c r="T44" s="194"/>
    </row>
    <row r="45">
      <c r="A45" s="224" t="s">
        <v>171</v>
      </c>
      <c r="B45" s="194"/>
      <c r="C45" s="194"/>
      <c r="D45" s="225" t="s">
        <v>172</v>
      </c>
      <c r="E45" s="194"/>
      <c r="F45" s="194"/>
      <c r="G45" s="194"/>
      <c r="H45" s="226" t="s">
        <v>171</v>
      </c>
      <c r="I45" s="194"/>
      <c r="J45" s="194"/>
      <c r="K45" s="227" t="s">
        <v>896</v>
      </c>
      <c r="L45" s="194"/>
      <c r="M45" s="194"/>
      <c r="N45" s="226"/>
      <c r="O45" s="194"/>
      <c r="P45" s="194"/>
      <c r="Q45" s="232" t="s">
        <v>899</v>
      </c>
      <c r="R45" s="194"/>
      <c r="S45" s="194"/>
      <c r="T45" s="194"/>
    </row>
    <row r="46">
      <c r="A46" s="224" t="s">
        <v>171</v>
      </c>
      <c r="B46" s="194"/>
      <c r="C46" s="194"/>
      <c r="D46" s="242" t="s">
        <v>171</v>
      </c>
      <c r="E46" s="194"/>
      <c r="F46" s="194"/>
      <c r="G46" s="194"/>
      <c r="H46" s="226"/>
      <c r="I46" s="194"/>
      <c r="J46" s="194"/>
      <c r="K46" s="227"/>
      <c r="L46" s="194"/>
      <c r="M46" s="194"/>
      <c r="N46" s="226"/>
      <c r="O46" s="194"/>
      <c r="P46" s="194"/>
      <c r="Q46" s="232"/>
      <c r="R46" s="194"/>
      <c r="S46" s="194"/>
      <c r="T46" s="194"/>
    </row>
    <row r="47">
      <c r="A47" s="224" t="s">
        <v>546</v>
      </c>
      <c r="B47" s="235" t="s">
        <v>546</v>
      </c>
      <c r="C47" s="194"/>
      <c r="D47" s="194"/>
      <c r="E47" s="235" t="s">
        <v>546</v>
      </c>
      <c r="F47" s="225" t="s">
        <v>203</v>
      </c>
      <c r="G47" s="225"/>
      <c r="H47" s="226"/>
      <c r="I47" s="227" t="s">
        <v>896</v>
      </c>
      <c r="J47" s="194"/>
      <c r="K47" s="194"/>
      <c r="L47" s="228" t="s">
        <v>897</v>
      </c>
      <c r="M47" s="228" t="s">
        <v>897</v>
      </c>
      <c r="N47" s="226"/>
      <c r="O47" s="229" t="s">
        <v>898</v>
      </c>
      <c r="P47" s="194"/>
      <c r="Q47" s="194"/>
      <c r="R47" s="228" t="s">
        <v>897</v>
      </c>
      <c r="S47" s="229" t="s">
        <v>898</v>
      </c>
      <c r="T47" s="194"/>
    </row>
    <row r="48">
      <c r="A48" s="224" t="s">
        <v>546</v>
      </c>
      <c r="B48" s="235"/>
      <c r="C48" s="194"/>
      <c r="D48" s="194"/>
      <c r="E48" s="235"/>
      <c r="F48" s="242" t="s">
        <v>202</v>
      </c>
      <c r="G48" s="225"/>
      <c r="H48" s="226"/>
      <c r="I48" s="227"/>
      <c r="J48" s="194"/>
      <c r="K48" s="194"/>
      <c r="L48" s="228"/>
      <c r="M48" s="228"/>
      <c r="N48" s="226"/>
      <c r="O48" s="229"/>
      <c r="P48" s="194"/>
      <c r="Q48" s="194"/>
      <c r="R48" s="228"/>
      <c r="S48" s="229"/>
      <c r="T48" s="194"/>
    </row>
    <row r="49">
      <c r="A49" s="224" t="s">
        <v>546</v>
      </c>
      <c r="B49" s="235"/>
      <c r="C49" s="194"/>
      <c r="D49" s="194"/>
      <c r="E49" s="235"/>
      <c r="F49" s="242" t="s">
        <v>204</v>
      </c>
      <c r="G49" s="242"/>
      <c r="H49" s="226"/>
      <c r="I49" s="250"/>
      <c r="J49" s="194"/>
      <c r="K49" s="194"/>
      <c r="L49" s="250"/>
      <c r="M49" s="227" t="s">
        <v>896</v>
      </c>
      <c r="N49" s="226"/>
      <c r="O49" s="251"/>
      <c r="P49" s="194"/>
      <c r="Q49" s="194"/>
      <c r="R49" s="250"/>
      <c r="S49" s="229" t="s">
        <v>898</v>
      </c>
      <c r="T49" s="194"/>
    </row>
    <row r="50">
      <c r="A50" s="224" t="s">
        <v>232</v>
      </c>
      <c r="B50" s="194"/>
      <c r="C50" s="194"/>
      <c r="D50" s="194"/>
      <c r="E50" s="194"/>
      <c r="F50" s="252" t="s">
        <v>232</v>
      </c>
      <c r="G50" s="252"/>
      <c r="H50" s="253" t="s">
        <v>925</v>
      </c>
      <c r="I50" s="194"/>
      <c r="J50" s="194"/>
      <c r="K50" s="194"/>
      <c r="L50" s="194"/>
      <c r="M50" s="227" t="s">
        <v>896</v>
      </c>
      <c r="N50" s="227" t="s">
        <v>896</v>
      </c>
      <c r="O50" s="194"/>
      <c r="P50" s="194"/>
      <c r="Q50" s="194"/>
      <c r="R50" s="194"/>
      <c r="S50" s="232" t="s">
        <v>899</v>
      </c>
      <c r="T50" s="232" t="s">
        <v>899</v>
      </c>
    </row>
    <row r="51">
      <c r="A51" s="224" t="s">
        <v>232</v>
      </c>
      <c r="B51" s="194"/>
      <c r="C51" s="194"/>
      <c r="D51" s="194"/>
      <c r="E51" s="194"/>
      <c r="F51" s="254" t="s">
        <v>926</v>
      </c>
      <c r="G51" s="252"/>
      <c r="H51" s="226"/>
      <c r="I51" s="194"/>
      <c r="J51" s="194"/>
      <c r="K51" s="194"/>
      <c r="L51" s="194"/>
      <c r="M51" s="227"/>
      <c r="N51" s="226"/>
      <c r="O51" s="194"/>
      <c r="P51" s="194"/>
      <c r="Q51" s="194"/>
      <c r="R51" s="194"/>
      <c r="S51" s="232"/>
      <c r="T51" s="194"/>
    </row>
    <row r="52">
      <c r="A52" s="224" t="s">
        <v>160</v>
      </c>
      <c r="B52" s="225" t="s">
        <v>160</v>
      </c>
      <c r="C52" s="194"/>
      <c r="D52" s="194"/>
      <c r="E52" s="194"/>
      <c r="F52" s="194"/>
      <c r="G52" s="194"/>
      <c r="H52" s="226"/>
      <c r="I52" s="227" t="s">
        <v>896</v>
      </c>
      <c r="J52" s="194"/>
      <c r="K52" s="194"/>
      <c r="L52" s="194"/>
      <c r="M52" s="194"/>
      <c r="N52" s="226"/>
      <c r="O52" s="229" t="s">
        <v>898</v>
      </c>
      <c r="P52" s="194"/>
      <c r="Q52" s="194"/>
      <c r="R52" s="194"/>
      <c r="S52" s="236"/>
      <c r="T52" s="194"/>
    </row>
    <row r="53">
      <c r="A53" s="224" t="s">
        <v>176</v>
      </c>
      <c r="B53" s="225" t="s">
        <v>176</v>
      </c>
      <c r="C53" s="194"/>
      <c r="D53" s="194"/>
      <c r="E53" s="194"/>
      <c r="F53" s="194"/>
      <c r="G53" s="194"/>
      <c r="H53" s="230" t="s">
        <v>176</v>
      </c>
      <c r="I53" s="227" t="s">
        <v>896</v>
      </c>
      <c r="J53" s="194"/>
      <c r="K53" s="194"/>
      <c r="L53" s="194"/>
      <c r="M53" s="194"/>
      <c r="N53" s="243" t="s">
        <v>897</v>
      </c>
      <c r="O53" s="232" t="s">
        <v>899</v>
      </c>
      <c r="P53" s="194"/>
      <c r="Q53" s="194"/>
      <c r="R53" s="194"/>
      <c r="S53" s="194"/>
      <c r="T53" s="228" t="s">
        <v>897</v>
      </c>
    </row>
    <row r="54">
      <c r="A54" s="224" t="s">
        <v>205</v>
      </c>
      <c r="B54" s="255" t="s">
        <v>205</v>
      </c>
      <c r="C54" s="194"/>
      <c r="D54" s="194"/>
      <c r="E54" s="194"/>
      <c r="F54" s="225" t="s">
        <v>927</v>
      </c>
      <c r="G54" s="225"/>
      <c r="H54" s="226"/>
      <c r="I54" s="227" t="s">
        <v>896</v>
      </c>
      <c r="J54" s="194"/>
      <c r="K54" s="194"/>
      <c r="L54" s="194"/>
      <c r="M54" s="228" t="s">
        <v>897</v>
      </c>
      <c r="N54" s="226"/>
      <c r="O54" s="229" t="s">
        <v>898</v>
      </c>
      <c r="P54" s="194"/>
      <c r="Q54" s="194"/>
      <c r="R54" s="194"/>
      <c r="S54" s="229" t="s">
        <v>898</v>
      </c>
      <c r="T54" s="194"/>
    </row>
    <row r="55">
      <c r="A55" s="224" t="s">
        <v>206</v>
      </c>
      <c r="B55" s="225" t="s">
        <v>206</v>
      </c>
      <c r="C55" s="194"/>
      <c r="D55" s="194"/>
      <c r="E55" s="194"/>
      <c r="F55" s="225" t="s">
        <v>206</v>
      </c>
      <c r="G55" s="225"/>
      <c r="H55" s="237" t="s">
        <v>206</v>
      </c>
      <c r="I55" s="228" t="s">
        <v>897</v>
      </c>
      <c r="J55" s="194"/>
      <c r="K55" s="194"/>
      <c r="L55" s="194"/>
      <c r="M55" s="227" t="s">
        <v>896</v>
      </c>
      <c r="N55" s="231" t="s">
        <v>896</v>
      </c>
      <c r="O55" s="228" t="s">
        <v>897</v>
      </c>
      <c r="P55" s="194"/>
      <c r="Q55" s="194"/>
      <c r="R55" s="194"/>
      <c r="S55" s="232" t="s">
        <v>899</v>
      </c>
      <c r="T55" s="240" t="s">
        <v>900</v>
      </c>
    </row>
    <row r="56">
      <c r="A56" s="224" t="s">
        <v>207</v>
      </c>
      <c r="B56" s="235" t="s">
        <v>207</v>
      </c>
      <c r="C56" s="194"/>
      <c r="D56" s="194"/>
      <c r="E56" s="244"/>
      <c r="F56" s="256" t="s">
        <v>208</v>
      </c>
      <c r="G56" s="256"/>
      <c r="H56" s="226"/>
      <c r="I56" s="228" t="s">
        <v>897</v>
      </c>
      <c r="J56" s="194"/>
      <c r="K56" s="194"/>
      <c r="L56" s="194"/>
      <c r="M56" s="227" t="s">
        <v>896</v>
      </c>
      <c r="N56" s="226"/>
      <c r="O56" s="228" t="s">
        <v>897</v>
      </c>
      <c r="P56" s="194"/>
      <c r="Q56" s="194"/>
      <c r="R56" s="194"/>
      <c r="S56" s="229" t="s">
        <v>898</v>
      </c>
      <c r="T56" s="194"/>
    </row>
    <row r="57">
      <c r="A57" s="224" t="s">
        <v>207</v>
      </c>
      <c r="B57" s="235"/>
      <c r="C57" s="194"/>
      <c r="D57" s="194"/>
      <c r="E57" s="244"/>
      <c r="F57" s="257" t="s">
        <v>209</v>
      </c>
      <c r="G57" s="256"/>
      <c r="H57" s="226"/>
      <c r="I57" s="228"/>
      <c r="J57" s="194"/>
      <c r="K57" s="194"/>
      <c r="L57" s="194"/>
      <c r="M57" s="227"/>
      <c r="N57" s="226"/>
      <c r="O57" s="228"/>
      <c r="P57" s="194"/>
      <c r="Q57" s="194"/>
      <c r="R57" s="194"/>
      <c r="S57" s="229"/>
      <c r="T57" s="194"/>
    </row>
    <row r="58">
      <c r="A58" s="224" t="s">
        <v>529</v>
      </c>
      <c r="B58" s="225" t="s">
        <v>147</v>
      </c>
      <c r="C58" s="225" t="s">
        <v>928</v>
      </c>
      <c r="D58" s="225" t="s">
        <v>929</v>
      </c>
      <c r="E58" s="225" t="s">
        <v>930</v>
      </c>
      <c r="F58" s="225" t="s">
        <v>147</v>
      </c>
      <c r="G58" s="225"/>
      <c r="H58" s="226"/>
      <c r="I58" s="228" t="s">
        <v>897</v>
      </c>
      <c r="J58" s="228" t="s">
        <v>897</v>
      </c>
      <c r="K58" s="228" t="s">
        <v>897</v>
      </c>
      <c r="L58" s="228" t="s">
        <v>897</v>
      </c>
      <c r="M58" s="227" t="s">
        <v>896</v>
      </c>
      <c r="N58" s="226"/>
      <c r="O58" s="228" t="s">
        <v>897</v>
      </c>
      <c r="P58" s="228" t="s">
        <v>897</v>
      </c>
      <c r="Q58" s="228" t="s">
        <v>897</v>
      </c>
      <c r="R58" s="228" t="s">
        <v>897</v>
      </c>
      <c r="S58" s="240" t="s">
        <v>900</v>
      </c>
      <c r="T58" s="194"/>
    </row>
    <row r="59">
      <c r="A59" s="224" t="s">
        <v>210</v>
      </c>
      <c r="B59" s="225" t="s">
        <v>210</v>
      </c>
      <c r="C59" s="225" t="s">
        <v>931</v>
      </c>
      <c r="D59" s="225" t="s">
        <v>932</v>
      </c>
      <c r="E59" s="225" t="s">
        <v>211</v>
      </c>
      <c r="F59" s="194"/>
      <c r="G59" s="194"/>
      <c r="H59" s="226"/>
      <c r="I59" s="227" t="s">
        <v>896</v>
      </c>
      <c r="J59" s="227" t="s">
        <v>896</v>
      </c>
      <c r="K59" s="228" t="s">
        <v>897</v>
      </c>
      <c r="L59" s="228" t="s">
        <v>897</v>
      </c>
      <c r="M59" s="194"/>
      <c r="N59" s="226"/>
      <c r="O59" s="229" t="s">
        <v>898</v>
      </c>
      <c r="P59" s="229" t="s">
        <v>898</v>
      </c>
      <c r="Q59" s="228" t="s">
        <v>897</v>
      </c>
      <c r="R59" s="228" t="s">
        <v>897</v>
      </c>
      <c r="S59" s="194"/>
      <c r="T59" s="194"/>
    </row>
    <row r="60">
      <c r="A60" s="224" t="s">
        <v>233</v>
      </c>
      <c r="B60" s="225" t="s">
        <v>233</v>
      </c>
      <c r="C60" s="194"/>
      <c r="D60" s="194"/>
      <c r="E60" s="225" t="s">
        <v>233</v>
      </c>
      <c r="F60" s="194"/>
      <c r="G60" s="194"/>
      <c r="H60" s="234" t="s">
        <v>212</v>
      </c>
      <c r="I60" s="227" t="s">
        <v>896</v>
      </c>
      <c r="J60" s="194"/>
      <c r="K60" s="194"/>
      <c r="L60" s="228" t="s">
        <v>897</v>
      </c>
      <c r="M60" s="194"/>
      <c r="N60" s="231" t="s">
        <v>896</v>
      </c>
      <c r="O60" s="240" t="s">
        <v>900</v>
      </c>
      <c r="P60" s="194"/>
      <c r="Q60" s="194"/>
      <c r="R60" s="228" t="s">
        <v>897</v>
      </c>
      <c r="S60" s="194"/>
      <c r="T60" s="232" t="s">
        <v>899</v>
      </c>
    </row>
    <row r="61">
      <c r="A61" s="224" t="s">
        <v>233</v>
      </c>
      <c r="B61" s="242" t="s">
        <v>212</v>
      </c>
      <c r="C61" s="194"/>
      <c r="D61" s="194"/>
      <c r="E61" s="225"/>
      <c r="F61" s="194"/>
      <c r="G61" s="194"/>
      <c r="H61" s="234"/>
      <c r="I61" s="227"/>
      <c r="J61" s="194"/>
      <c r="K61" s="194"/>
      <c r="L61" s="228"/>
      <c r="M61" s="194"/>
      <c r="N61" s="231"/>
      <c r="O61" s="240"/>
      <c r="P61" s="194"/>
      <c r="Q61" s="194"/>
      <c r="R61" s="228"/>
      <c r="S61" s="194"/>
      <c r="T61" s="232"/>
    </row>
    <row r="62">
      <c r="A62" s="224" t="s">
        <v>169</v>
      </c>
      <c r="B62" s="225" t="s">
        <v>169</v>
      </c>
      <c r="C62" s="225" t="s">
        <v>933</v>
      </c>
      <c r="D62" s="194"/>
      <c r="E62" s="194"/>
      <c r="F62" s="225" t="s">
        <v>239</v>
      </c>
      <c r="G62" s="225"/>
      <c r="H62" s="226"/>
      <c r="I62" s="227" t="s">
        <v>896</v>
      </c>
      <c r="J62" s="228" t="s">
        <v>897</v>
      </c>
      <c r="K62" s="194"/>
      <c r="L62" s="194"/>
      <c r="M62" s="228" t="s">
        <v>897</v>
      </c>
      <c r="N62" s="226"/>
      <c r="O62" s="229" t="s">
        <v>898</v>
      </c>
      <c r="P62" s="228" t="s">
        <v>897</v>
      </c>
      <c r="Q62" s="194"/>
      <c r="R62" s="194"/>
      <c r="S62" s="229" t="s">
        <v>898</v>
      </c>
      <c r="T62" s="194"/>
    </row>
    <row r="63">
      <c r="A63" s="224" t="s">
        <v>161</v>
      </c>
      <c r="B63" s="225" t="s">
        <v>161</v>
      </c>
      <c r="C63" s="225" t="s">
        <v>934</v>
      </c>
      <c r="D63" s="194"/>
      <c r="E63" s="194"/>
      <c r="F63" s="194"/>
      <c r="G63" s="194"/>
      <c r="H63" s="226"/>
      <c r="I63" s="227" t="s">
        <v>896</v>
      </c>
      <c r="J63" s="228" t="s">
        <v>897</v>
      </c>
      <c r="K63" s="194"/>
      <c r="L63" s="194"/>
      <c r="M63" s="194"/>
      <c r="N63" s="226"/>
      <c r="O63" s="229" t="s">
        <v>898</v>
      </c>
      <c r="P63" s="228" t="s">
        <v>897</v>
      </c>
      <c r="Q63" s="194"/>
      <c r="R63" s="194"/>
      <c r="S63" s="194"/>
      <c r="T63" s="194"/>
    </row>
    <row r="64">
      <c r="A64" s="224" t="s">
        <v>154</v>
      </c>
      <c r="B64" s="225" t="s">
        <v>154</v>
      </c>
      <c r="C64" s="194"/>
      <c r="D64" s="225" t="s">
        <v>154</v>
      </c>
      <c r="E64" s="194"/>
      <c r="F64" s="258" t="s">
        <v>935</v>
      </c>
      <c r="G64" s="258"/>
      <c r="H64" s="226"/>
      <c r="I64" s="227" t="s">
        <v>896</v>
      </c>
      <c r="J64" s="194"/>
      <c r="K64" s="227" t="s">
        <v>896</v>
      </c>
      <c r="L64" s="194"/>
      <c r="M64" s="228" t="s">
        <v>897</v>
      </c>
      <c r="N64" s="226"/>
      <c r="O64" s="232" t="s">
        <v>899</v>
      </c>
      <c r="P64" s="194"/>
      <c r="Q64" s="240" t="s">
        <v>900</v>
      </c>
      <c r="R64" s="194"/>
      <c r="S64" s="228" t="s">
        <v>897</v>
      </c>
      <c r="T64" s="194"/>
    </row>
    <row r="65">
      <c r="A65" s="224" t="s">
        <v>638</v>
      </c>
      <c r="B65" s="242" t="s">
        <v>223</v>
      </c>
      <c r="C65" s="194"/>
      <c r="D65" s="194"/>
      <c r="E65" s="225" t="s">
        <v>163</v>
      </c>
      <c r="F65" s="225" t="s">
        <v>936</v>
      </c>
      <c r="G65" s="225"/>
      <c r="H65" s="226"/>
      <c r="I65" s="228" t="s">
        <v>897</v>
      </c>
      <c r="J65" s="194"/>
      <c r="K65" s="194"/>
      <c r="L65" s="227" t="s">
        <v>896</v>
      </c>
      <c r="M65" s="228" t="s">
        <v>897</v>
      </c>
      <c r="N65" s="226"/>
      <c r="O65" s="229" t="s">
        <v>898</v>
      </c>
      <c r="P65" s="194"/>
      <c r="Q65" s="194"/>
      <c r="R65" s="229" t="s">
        <v>898</v>
      </c>
      <c r="S65" s="229" t="s">
        <v>898</v>
      </c>
      <c r="T65" s="194"/>
    </row>
    <row r="66">
      <c r="A66" s="224" t="s">
        <v>638</v>
      </c>
      <c r="B66" s="242"/>
      <c r="C66" s="194"/>
      <c r="D66" s="194"/>
      <c r="E66" s="225"/>
      <c r="F66" s="249" t="s">
        <v>162</v>
      </c>
      <c r="G66" s="249"/>
      <c r="H66" s="226"/>
      <c r="I66" s="228"/>
      <c r="J66" s="194"/>
      <c r="K66" s="194"/>
      <c r="L66" s="227"/>
      <c r="M66" s="228"/>
      <c r="N66" s="226"/>
      <c r="O66" s="229"/>
      <c r="P66" s="194"/>
      <c r="Q66" s="194"/>
      <c r="R66" s="229"/>
      <c r="S66" s="229"/>
      <c r="T66" s="194"/>
    </row>
    <row r="67">
      <c r="A67" s="224" t="s">
        <v>652</v>
      </c>
      <c r="B67" s="194"/>
      <c r="C67" s="194"/>
      <c r="D67" s="225" t="s">
        <v>201</v>
      </c>
      <c r="E67" s="194"/>
      <c r="F67" s="259" t="s">
        <v>937</v>
      </c>
      <c r="G67" s="259"/>
      <c r="H67" s="237" t="s">
        <v>938</v>
      </c>
      <c r="I67" s="194"/>
      <c r="J67" s="194"/>
      <c r="K67" s="227" t="s">
        <v>896</v>
      </c>
      <c r="L67" s="194"/>
      <c r="M67" s="227" t="s">
        <v>896</v>
      </c>
      <c r="N67" s="243" t="s">
        <v>897</v>
      </c>
      <c r="O67" s="194"/>
      <c r="P67" s="194"/>
      <c r="Q67" s="232" t="s">
        <v>899</v>
      </c>
      <c r="R67" s="194"/>
      <c r="S67" s="232" t="s">
        <v>899</v>
      </c>
      <c r="T67" s="228" t="s">
        <v>897</v>
      </c>
    </row>
    <row r="68">
      <c r="A68" s="224" t="s">
        <v>652</v>
      </c>
      <c r="B68" s="194"/>
      <c r="C68" s="194"/>
      <c r="D68" s="249" t="s">
        <v>236</v>
      </c>
      <c r="E68" s="194"/>
      <c r="F68" s="259"/>
      <c r="G68" s="259"/>
      <c r="H68" s="237"/>
      <c r="I68" s="194"/>
      <c r="J68" s="194"/>
      <c r="K68" s="227"/>
      <c r="L68" s="194"/>
      <c r="M68" s="227"/>
      <c r="N68" s="243"/>
      <c r="O68" s="194"/>
      <c r="P68" s="194"/>
      <c r="Q68" s="232"/>
      <c r="R68" s="194"/>
      <c r="S68" s="232"/>
      <c r="T68" s="228"/>
    </row>
    <row r="69">
      <c r="A69" s="224" t="s">
        <v>227</v>
      </c>
      <c r="B69" s="225" t="s">
        <v>227</v>
      </c>
      <c r="C69" s="194"/>
      <c r="D69" s="225" t="s">
        <v>227</v>
      </c>
      <c r="E69" s="194"/>
      <c r="F69" s="194"/>
      <c r="G69" s="194"/>
      <c r="H69" s="226"/>
      <c r="I69" s="227" t="s">
        <v>896</v>
      </c>
      <c r="J69" s="194"/>
      <c r="K69" s="228" t="s">
        <v>897</v>
      </c>
      <c r="L69" s="194"/>
      <c r="M69" s="194"/>
      <c r="N69" s="226"/>
      <c r="O69" s="232" t="s">
        <v>899</v>
      </c>
      <c r="P69" s="194"/>
      <c r="Q69" s="194"/>
      <c r="R69" s="194"/>
      <c r="S69" s="194"/>
      <c r="T69" s="194"/>
    </row>
    <row r="70">
      <c r="A70" s="224" t="s">
        <v>227</v>
      </c>
      <c r="B70" s="242" t="s">
        <v>214</v>
      </c>
      <c r="C70" s="194"/>
      <c r="D70" s="225"/>
      <c r="E70" s="194"/>
      <c r="F70" s="194"/>
      <c r="G70" s="194"/>
      <c r="H70" s="226"/>
      <c r="I70" s="227"/>
      <c r="J70" s="194"/>
      <c r="K70" s="228"/>
      <c r="L70" s="194"/>
      <c r="M70" s="194"/>
      <c r="N70" s="226"/>
      <c r="O70" s="232"/>
      <c r="P70" s="194"/>
      <c r="Q70" s="194"/>
      <c r="R70" s="194"/>
      <c r="S70" s="194"/>
      <c r="T70" s="194"/>
    </row>
    <row r="71">
      <c r="A71" s="224" t="s">
        <v>215</v>
      </c>
      <c r="B71" s="225" t="s">
        <v>215</v>
      </c>
      <c r="C71" s="194"/>
      <c r="D71" s="194"/>
      <c r="E71" s="194"/>
      <c r="F71" s="225" t="s">
        <v>939</v>
      </c>
      <c r="G71" s="225"/>
      <c r="H71" s="226"/>
      <c r="I71" s="227" t="s">
        <v>896</v>
      </c>
      <c r="J71" s="194"/>
      <c r="K71" s="194"/>
      <c r="L71" s="194"/>
      <c r="M71" s="228" t="s">
        <v>897</v>
      </c>
      <c r="N71" s="226"/>
      <c r="O71" s="240" t="s">
        <v>900</v>
      </c>
      <c r="P71" s="194"/>
      <c r="Q71" s="194"/>
      <c r="R71" s="194"/>
      <c r="S71" s="240" t="s">
        <v>900</v>
      </c>
      <c r="T71" s="194"/>
    </row>
    <row r="72">
      <c r="A72" s="224" t="s">
        <v>290</v>
      </c>
      <c r="B72" s="249" t="s">
        <v>231</v>
      </c>
      <c r="C72" s="194"/>
      <c r="D72" s="204" t="s">
        <v>294</v>
      </c>
      <c r="E72" s="194"/>
      <c r="F72" s="259" t="s">
        <v>290</v>
      </c>
      <c r="G72" s="259"/>
      <c r="H72" s="237" t="s">
        <v>940</v>
      </c>
      <c r="I72" s="227" t="s">
        <v>896</v>
      </c>
      <c r="J72" s="194"/>
      <c r="K72" s="227" t="s">
        <v>896</v>
      </c>
      <c r="L72" s="194"/>
      <c r="M72" s="228" t="s">
        <v>897</v>
      </c>
      <c r="N72" s="243" t="s">
        <v>897</v>
      </c>
      <c r="O72" s="232" t="s">
        <v>899</v>
      </c>
      <c r="P72" s="194"/>
      <c r="Q72" s="232" t="s">
        <v>899</v>
      </c>
      <c r="R72" s="194"/>
      <c r="S72" s="228" t="s">
        <v>897</v>
      </c>
      <c r="T72" s="228" t="s">
        <v>897</v>
      </c>
    </row>
    <row r="73">
      <c r="A73" s="224" t="s">
        <v>174</v>
      </c>
      <c r="B73" s="225" t="s">
        <v>174</v>
      </c>
      <c r="C73" s="194"/>
      <c r="D73" s="225" t="s">
        <v>941</v>
      </c>
      <c r="E73" s="194"/>
      <c r="F73" s="194"/>
      <c r="G73" s="194"/>
      <c r="H73" s="226"/>
      <c r="I73" s="228" t="s">
        <v>897</v>
      </c>
      <c r="J73" s="194"/>
      <c r="K73" s="227" t="s">
        <v>896</v>
      </c>
      <c r="L73" s="194"/>
      <c r="M73" s="194"/>
      <c r="N73" s="226"/>
      <c r="O73" s="228" t="s">
        <v>897</v>
      </c>
      <c r="P73" s="194"/>
      <c r="Q73" s="240" t="s">
        <v>900</v>
      </c>
      <c r="R73" s="194"/>
      <c r="S73" s="194"/>
      <c r="T73" s="194"/>
    </row>
    <row r="74">
      <c r="A74" s="224" t="s">
        <v>174</v>
      </c>
      <c r="B74" s="225"/>
      <c r="C74" s="194"/>
      <c r="D74" s="242" t="s">
        <v>174</v>
      </c>
      <c r="E74" s="194"/>
      <c r="F74" s="194"/>
      <c r="G74" s="194"/>
      <c r="H74" s="226"/>
      <c r="I74" s="228"/>
      <c r="J74" s="194"/>
      <c r="K74" s="227"/>
      <c r="L74" s="194"/>
      <c r="M74" s="194"/>
      <c r="N74" s="226"/>
      <c r="O74" s="228"/>
      <c r="P74" s="194"/>
      <c r="Q74" s="240"/>
      <c r="R74" s="194"/>
      <c r="S74" s="194"/>
      <c r="T74" s="194"/>
    </row>
    <row r="75">
      <c r="A75" s="224" t="s">
        <v>216</v>
      </c>
      <c r="B75" s="235" t="s">
        <v>216</v>
      </c>
      <c r="C75" s="235" t="s">
        <v>942</v>
      </c>
      <c r="D75" s="194"/>
      <c r="E75" s="225" t="s">
        <v>943</v>
      </c>
      <c r="F75" s="235" t="s">
        <v>217</v>
      </c>
      <c r="G75" s="235"/>
      <c r="H75" s="226"/>
      <c r="I75" s="227" t="s">
        <v>896</v>
      </c>
      <c r="J75" s="228" t="s">
        <v>897</v>
      </c>
      <c r="K75" s="194"/>
      <c r="L75" s="228" t="s">
        <v>897</v>
      </c>
      <c r="M75" s="194"/>
      <c r="N75" s="226"/>
      <c r="O75" s="229" t="s">
        <v>898</v>
      </c>
      <c r="P75" s="228" t="s">
        <v>897</v>
      </c>
      <c r="Q75" s="194"/>
      <c r="R75" s="228" t="s">
        <v>897</v>
      </c>
      <c r="S75" s="236"/>
      <c r="T75" s="194"/>
    </row>
    <row r="76">
      <c r="A76" s="260" t="s">
        <v>228</v>
      </c>
      <c r="B76" s="235" t="s">
        <v>228</v>
      </c>
      <c r="C76" s="250"/>
      <c r="D76" s="235" t="s">
        <v>228</v>
      </c>
      <c r="E76" s="194"/>
      <c r="F76" s="261"/>
      <c r="G76" s="261"/>
      <c r="H76" s="226"/>
      <c r="I76" s="250"/>
      <c r="J76" s="250"/>
      <c r="K76" s="194"/>
      <c r="L76" s="250"/>
      <c r="M76" s="194"/>
      <c r="N76" s="226"/>
      <c r="O76" s="232" t="s">
        <v>899</v>
      </c>
      <c r="P76" s="250"/>
      <c r="Q76" s="232" t="s">
        <v>899</v>
      </c>
      <c r="R76" s="250"/>
      <c r="S76" s="236"/>
      <c r="T76" s="194"/>
    </row>
    <row r="77">
      <c r="A77" s="260" t="s">
        <v>583</v>
      </c>
      <c r="B77" s="250"/>
      <c r="C77" s="250"/>
      <c r="D77" s="194"/>
      <c r="E77" s="194"/>
      <c r="F77" s="235" t="s">
        <v>234</v>
      </c>
      <c r="G77" s="235"/>
      <c r="H77" s="237" t="s">
        <v>234</v>
      </c>
      <c r="I77" s="250"/>
      <c r="J77" s="250"/>
      <c r="K77" s="194"/>
      <c r="L77" s="250"/>
      <c r="M77" s="194"/>
      <c r="N77" s="226"/>
      <c r="O77" s="251"/>
      <c r="P77" s="250"/>
      <c r="Q77" s="194"/>
      <c r="R77" s="250"/>
      <c r="S77" s="232" t="s">
        <v>899</v>
      </c>
      <c r="T77" s="232" t="s">
        <v>899</v>
      </c>
    </row>
    <row r="78">
      <c r="A78" s="260" t="s">
        <v>399</v>
      </c>
      <c r="B78" s="235" t="s">
        <v>399</v>
      </c>
      <c r="C78" s="250"/>
      <c r="D78" s="194"/>
      <c r="E78" s="194"/>
      <c r="F78" s="235" t="s">
        <v>237</v>
      </c>
      <c r="G78" s="235"/>
      <c r="H78" s="253" t="s">
        <v>238</v>
      </c>
      <c r="I78" s="250"/>
      <c r="J78" s="250"/>
      <c r="K78" s="194"/>
      <c r="L78" s="250"/>
      <c r="M78" s="194"/>
      <c r="N78" s="231" t="s">
        <v>896</v>
      </c>
      <c r="O78" s="229" t="s">
        <v>898</v>
      </c>
      <c r="P78" s="250"/>
      <c r="Q78" s="194"/>
      <c r="R78" s="250"/>
      <c r="S78" s="236"/>
      <c r="T78" s="229" t="s">
        <v>898</v>
      </c>
    </row>
    <row r="79">
      <c r="A79" s="260" t="s">
        <v>484</v>
      </c>
      <c r="B79" s="250"/>
      <c r="C79" s="250"/>
      <c r="D79" s="194"/>
      <c r="E79" s="194"/>
      <c r="F79" s="250"/>
      <c r="G79" s="250"/>
      <c r="H79" s="204"/>
      <c r="I79" s="250"/>
      <c r="J79" s="250"/>
      <c r="K79" s="194"/>
      <c r="L79" s="250"/>
      <c r="M79" s="194"/>
      <c r="N79" s="250"/>
      <c r="O79" s="251"/>
      <c r="P79" s="250"/>
      <c r="Q79" s="194"/>
      <c r="R79" s="250"/>
      <c r="S79" s="236"/>
      <c r="T79" s="240" t="s">
        <v>900</v>
      </c>
    </row>
    <row r="80">
      <c r="A80" s="262" t="s">
        <v>496</v>
      </c>
      <c r="B80" s="250"/>
      <c r="C80" s="250"/>
      <c r="D80" s="204" t="s">
        <v>175</v>
      </c>
      <c r="E80" s="194"/>
      <c r="F80" s="250"/>
      <c r="G80" s="250"/>
      <c r="H80" s="204"/>
      <c r="I80" s="250"/>
      <c r="J80" s="250"/>
      <c r="K80" s="194"/>
      <c r="L80" s="250"/>
      <c r="M80" s="194"/>
      <c r="N80" s="250"/>
      <c r="O80" s="251"/>
      <c r="P80" s="250"/>
      <c r="Q80" s="229" t="s">
        <v>898</v>
      </c>
      <c r="R80" s="250"/>
      <c r="S80" s="236"/>
      <c r="T80" s="250"/>
    </row>
    <row r="81">
      <c r="A81" s="260" t="s">
        <v>440</v>
      </c>
      <c r="B81" s="250"/>
      <c r="C81" s="250"/>
      <c r="D81" s="204" t="s">
        <v>944</v>
      </c>
      <c r="E81" s="194"/>
      <c r="F81" s="250"/>
      <c r="G81" s="250"/>
      <c r="H81" s="204"/>
      <c r="I81" s="250"/>
      <c r="J81" s="250"/>
      <c r="K81" s="227" t="s">
        <v>896</v>
      </c>
      <c r="L81" s="250"/>
      <c r="M81" s="194"/>
      <c r="N81" s="250"/>
      <c r="O81" s="251"/>
      <c r="P81" s="250"/>
      <c r="Q81" s="229" t="s">
        <v>898</v>
      </c>
      <c r="R81" s="250"/>
      <c r="S81" s="236"/>
      <c r="T81" s="250"/>
    </row>
    <row r="82">
      <c r="A82" s="260" t="s">
        <v>218</v>
      </c>
      <c r="B82" s="263" t="s">
        <v>218</v>
      </c>
      <c r="C82" s="250"/>
      <c r="D82" s="204"/>
      <c r="E82" s="194"/>
      <c r="F82" s="250"/>
      <c r="G82" s="250"/>
      <c r="H82" s="204"/>
      <c r="I82" s="227" t="s">
        <v>896</v>
      </c>
      <c r="J82" s="250"/>
      <c r="K82" s="194"/>
      <c r="L82" s="250"/>
      <c r="M82" s="194"/>
      <c r="N82" s="250"/>
      <c r="O82" s="251"/>
      <c r="P82" s="250"/>
      <c r="Q82" s="229"/>
      <c r="R82" s="250"/>
      <c r="S82" s="236"/>
      <c r="T82" s="250"/>
    </row>
  </sheetData>
  <autoFilter ref="$A$1:$T$82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3.25"/>
    <col customWidth="1" min="2" max="2" width="14.88"/>
    <col customWidth="1" min="3" max="4" width="11.38"/>
    <col customWidth="1" min="5" max="5" width="17.0"/>
    <col customWidth="1" min="6" max="6" width="14.13"/>
    <col customWidth="1" min="7" max="7" width="17.88"/>
    <col customWidth="1" min="8" max="8" width="16.75"/>
    <col customWidth="1" min="9" max="11" width="9.75"/>
    <col customWidth="1" min="12" max="13" width="11.75"/>
    <col customWidth="1" min="14" max="14" width="12.63"/>
    <col customWidth="1" min="15" max="15" width="12.38"/>
    <col customWidth="1" min="16" max="16" width="8.75"/>
    <col customWidth="1" min="17" max="17" width="7.25"/>
    <col customWidth="1" min="18" max="18" width="9.38"/>
    <col customWidth="1" min="19" max="19" width="10.75"/>
    <col customWidth="1" min="20" max="20" width="7.75"/>
    <col customWidth="1" min="21" max="21" width="8.88"/>
    <col customWidth="1" min="22" max="22" width="11.88"/>
    <col customWidth="1" min="23" max="23" width="11.13"/>
    <col customWidth="1" min="24" max="24" width="10.75"/>
    <col customWidth="1" min="25" max="25" width="7.75"/>
    <col customWidth="1" min="26" max="26" width="9.88"/>
    <col customWidth="1" min="27" max="28" width="11.75"/>
  </cols>
  <sheetData>
    <row r="1">
      <c r="A1" s="264" t="s">
        <v>108</v>
      </c>
      <c r="B1" s="265" t="s">
        <v>109</v>
      </c>
      <c r="C1" s="265" t="s">
        <v>110</v>
      </c>
      <c r="D1" s="265" t="s">
        <v>111</v>
      </c>
      <c r="E1" s="265" t="s">
        <v>711</v>
      </c>
      <c r="F1" s="266" t="s">
        <v>0</v>
      </c>
      <c r="G1" s="265" t="s">
        <v>1</v>
      </c>
      <c r="H1" s="265" t="s">
        <v>2</v>
      </c>
      <c r="I1" s="267" t="s">
        <v>113</v>
      </c>
      <c r="J1" s="265" t="s">
        <v>114</v>
      </c>
      <c r="K1" s="267" t="s">
        <v>117</v>
      </c>
      <c r="L1" s="268" t="s">
        <v>118</v>
      </c>
      <c r="M1" s="268" t="s">
        <v>115</v>
      </c>
      <c r="N1" s="269" t="s">
        <v>116</v>
      </c>
      <c r="O1" s="2" t="s">
        <v>120</v>
      </c>
      <c r="P1" s="4" t="s">
        <v>121</v>
      </c>
      <c r="Q1" s="268" t="s">
        <v>945</v>
      </c>
      <c r="R1" s="270" t="s">
        <v>946</v>
      </c>
      <c r="S1" s="268" t="s">
        <v>122</v>
      </c>
      <c r="T1" s="268" t="s">
        <v>947</v>
      </c>
      <c r="U1" s="20" t="s">
        <v>124</v>
      </c>
      <c r="V1" s="22" t="s">
        <v>127</v>
      </c>
      <c r="W1" s="22" t="s">
        <v>128</v>
      </c>
      <c r="X1" s="268" t="s">
        <v>129</v>
      </c>
      <c r="Y1" s="268" t="s">
        <v>948</v>
      </c>
      <c r="Z1" s="4" t="s">
        <v>132</v>
      </c>
      <c r="AA1" s="4" t="s">
        <v>949</v>
      </c>
      <c r="AB1" s="4" t="s">
        <v>950</v>
      </c>
    </row>
    <row r="2">
      <c r="A2" s="271" t="s">
        <v>267</v>
      </c>
      <c r="B2" s="271" t="s">
        <v>267</v>
      </c>
      <c r="C2" s="272">
        <v>43302.0</v>
      </c>
      <c r="D2" s="272">
        <v>43332.0</v>
      </c>
      <c r="E2" s="271" t="s">
        <v>268</v>
      </c>
      <c r="F2" s="138" t="s">
        <v>12</v>
      </c>
      <c r="G2" s="271" t="s">
        <v>5</v>
      </c>
      <c r="H2" s="273" t="s">
        <v>951</v>
      </c>
      <c r="I2" s="274">
        <v>60.0</v>
      </c>
      <c r="J2" s="271"/>
      <c r="K2" s="271">
        <f t="shared" ref="K2:K2449" si="1">I2*J2</f>
        <v>0</v>
      </c>
      <c r="L2" s="271"/>
      <c r="M2" s="271">
        <v>3600.0</v>
      </c>
      <c r="N2" s="275">
        <v>0.0</v>
      </c>
      <c r="O2" s="60"/>
      <c r="P2" s="50">
        <v>0.0</v>
      </c>
      <c r="Q2" s="271"/>
      <c r="R2" s="276">
        <v>0.0</v>
      </c>
      <c r="S2" s="271"/>
      <c r="T2" s="271">
        <v>3600.0</v>
      </c>
      <c r="U2" s="62">
        <v>1.0</v>
      </c>
      <c r="V2" s="277">
        <v>0.1</v>
      </c>
      <c r="W2" s="277">
        <v>0.0</v>
      </c>
      <c r="X2" s="271">
        <v>3240.0</v>
      </c>
      <c r="Y2" s="271">
        <v>360.0</v>
      </c>
      <c r="Z2" s="50" t="b">
        <v>1</v>
      </c>
      <c r="AA2" s="50" t="s">
        <v>138</v>
      </c>
      <c r="AB2" s="50" t="s">
        <v>138</v>
      </c>
    </row>
    <row r="3">
      <c r="A3" s="271" t="s">
        <v>267</v>
      </c>
      <c r="B3" s="271" t="s">
        <v>267</v>
      </c>
      <c r="C3" s="272">
        <v>43302.0</v>
      </c>
      <c r="D3" s="272">
        <v>43332.0</v>
      </c>
      <c r="E3" s="271" t="s">
        <v>268</v>
      </c>
      <c r="F3" s="138" t="s">
        <v>4</v>
      </c>
      <c r="G3" s="271" t="s">
        <v>5</v>
      </c>
      <c r="H3" s="273" t="s">
        <v>952</v>
      </c>
      <c r="I3" s="274">
        <v>15.0</v>
      </c>
      <c r="J3" s="271">
        <v>207.0</v>
      </c>
      <c r="K3" s="271">
        <f t="shared" si="1"/>
        <v>3105</v>
      </c>
      <c r="L3" s="271">
        <v>15784.0</v>
      </c>
      <c r="M3" s="271">
        <v>225.0</v>
      </c>
      <c r="N3" s="275">
        <v>4.0</v>
      </c>
      <c r="O3" s="60"/>
      <c r="P3" s="50">
        <v>4.0</v>
      </c>
      <c r="Q3" s="271">
        <v>239.0</v>
      </c>
      <c r="R3" s="276">
        <v>-0.005571</v>
      </c>
      <c r="S3" s="271">
        <v>222.0</v>
      </c>
      <c r="T3" s="271">
        <v>226.0</v>
      </c>
      <c r="U3" s="62">
        <v>1.0</v>
      </c>
      <c r="V3" s="277">
        <v>0.1</v>
      </c>
      <c r="W3" s="277">
        <v>0.0</v>
      </c>
      <c r="X3" s="271">
        <v>203.0</v>
      </c>
      <c r="Y3" s="271">
        <v>23.0</v>
      </c>
      <c r="Z3" s="50" t="b">
        <v>1</v>
      </c>
      <c r="AA3" s="50" t="s">
        <v>138</v>
      </c>
      <c r="AB3" s="50" t="s">
        <v>138</v>
      </c>
    </row>
    <row r="4">
      <c r="A4" s="271" t="s">
        <v>267</v>
      </c>
      <c r="B4" s="271" t="s">
        <v>267</v>
      </c>
      <c r="C4" s="272">
        <v>43302.0</v>
      </c>
      <c r="D4" s="272">
        <v>43332.0</v>
      </c>
      <c r="E4" s="271" t="s">
        <v>268</v>
      </c>
      <c r="F4" s="138" t="s">
        <v>4</v>
      </c>
      <c r="G4" s="271" t="s">
        <v>5</v>
      </c>
      <c r="H4" s="273" t="s">
        <v>953</v>
      </c>
      <c r="I4" s="274">
        <v>30.0</v>
      </c>
      <c r="J4" s="271">
        <v>436.0</v>
      </c>
      <c r="K4" s="271">
        <f t="shared" si="1"/>
        <v>13080</v>
      </c>
      <c r="L4" s="271">
        <v>36613.0</v>
      </c>
      <c r="M4" s="271">
        <v>720.0</v>
      </c>
      <c r="N4" s="275">
        <v>16.0</v>
      </c>
      <c r="O4" s="60"/>
      <c r="P4" s="50">
        <v>16.0</v>
      </c>
      <c r="Q4" s="271">
        <v>1197.0</v>
      </c>
      <c r="R4" s="276">
        <v>-0.005571</v>
      </c>
      <c r="S4" s="271">
        <v>1124.0</v>
      </c>
      <c r="T4" s="271">
        <v>1140.0</v>
      </c>
      <c r="U4" s="62">
        <v>1.0</v>
      </c>
      <c r="V4" s="277">
        <v>0.1</v>
      </c>
      <c r="W4" s="277">
        <v>0.0</v>
      </c>
      <c r="X4" s="271">
        <v>1026.0</v>
      </c>
      <c r="Y4" s="271">
        <v>114.0</v>
      </c>
      <c r="Z4" s="50" t="b">
        <v>1</v>
      </c>
      <c r="AA4" s="50" t="s">
        <v>138</v>
      </c>
      <c r="AB4" s="50" t="s">
        <v>138</v>
      </c>
    </row>
    <row r="5">
      <c r="A5" s="271" t="s">
        <v>267</v>
      </c>
      <c r="B5" s="271" t="s">
        <v>267</v>
      </c>
      <c r="C5" s="272">
        <v>43302.0</v>
      </c>
      <c r="D5" s="272">
        <v>43332.0</v>
      </c>
      <c r="E5" s="271" t="s">
        <v>268</v>
      </c>
      <c r="F5" s="138" t="s">
        <v>4</v>
      </c>
      <c r="G5" s="271" t="s">
        <v>5</v>
      </c>
      <c r="H5" s="273" t="s">
        <v>951</v>
      </c>
      <c r="I5" s="274">
        <v>60.0</v>
      </c>
      <c r="J5" s="271">
        <v>1191.0</v>
      </c>
      <c r="K5" s="271">
        <f t="shared" si="1"/>
        <v>71460</v>
      </c>
      <c r="L5" s="271">
        <v>80075.0</v>
      </c>
      <c r="M5" s="271">
        <v>6660.0</v>
      </c>
      <c r="N5" s="275">
        <v>71.0</v>
      </c>
      <c r="O5" s="60"/>
      <c r="P5" s="50">
        <v>71.0</v>
      </c>
      <c r="Q5" s="271">
        <v>5114.0</v>
      </c>
      <c r="R5" s="276">
        <v>-0.005571</v>
      </c>
      <c r="S5" s="271">
        <v>4716.0</v>
      </c>
      <c r="T5" s="271">
        <v>4787.0</v>
      </c>
      <c r="U5" s="62">
        <v>1.0</v>
      </c>
      <c r="V5" s="277">
        <v>0.1</v>
      </c>
      <c r="W5" s="277">
        <v>0.0</v>
      </c>
      <c r="X5" s="271">
        <v>4309.0</v>
      </c>
      <c r="Y5" s="271">
        <v>479.0</v>
      </c>
      <c r="Z5" s="50" t="b">
        <v>1</v>
      </c>
      <c r="AA5" s="50" t="s">
        <v>138</v>
      </c>
      <c r="AB5" s="50" t="s">
        <v>138</v>
      </c>
    </row>
    <row r="6">
      <c r="A6" s="271" t="s">
        <v>177</v>
      </c>
      <c r="B6" s="271" t="s">
        <v>177</v>
      </c>
      <c r="C6" s="278">
        <v>43308.0</v>
      </c>
      <c r="D6" s="278">
        <v>43338.0</v>
      </c>
      <c r="E6" s="271" t="s">
        <v>268</v>
      </c>
      <c r="F6" s="101" t="s">
        <v>8</v>
      </c>
      <c r="G6" s="271" t="s">
        <v>5</v>
      </c>
      <c r="H6" s="273" t="s">
        <v>952</v>
      </c>
      <c r="I6" s="274">
        <v>15.0</v>
      </c>
      <c r="J6" s="271">
        <v>731.0</v>
      </c>
      <c r="K6" s="271">
        <f t="shared" si="1"/>
        <v>10965</v>
      </c>
      <c r="L6" s="271">
        <v>34515.0</v>
      </c>
      <c r="M6" s="271">
        <v>645.0</v>
      </c>
      <c r="N6" s="275">
        <v>13.0</v>
      </c>
      <c r="O6" s="60"/>
      <c r="P6" s="50">
        <v>13.0</v>
      </c>
      <c r="Q6" s="271">
        <v>266.0</v>
      </c>
      <c r="R6" s="276">
        <v>8.9E-5</v>
      </c>
      <c r="S6" s="271">
        <v>267.0</v>
      </c>
      <c r="T6" s="271">
        <v>280.0</v>
      </c>
      <c r="U6" s="62">
        <v>1.0</v>
      </c>
      <c r="V6" s="277">
        <v>0.35</v>
      </c>
      <c r="W6" s="277">
        <v>0.0</v>
      </c>
      <c r="X6" s="271">
        <v>182.0</v>
      </c>
      <c r="Y6" s="271">
        <v>98.0</v>
      </c>
      <c r="Z6" s="50" t="b">
        <v>1</v>
      </c>
      <c r="AA6" s="50" t="s">
        <v>138</v>
      </c>
      <c r="AB6" s="50" t="s">
        <v>138</v>
      </c>
    </row>
    <row r="7">
      <c r="A7" s="271" t="s">
        <v>267</v>
      </c>
      <c r="B7" s="271" t="s">
        <v>267</v>
      </c>
      <c r="C7" s="272">
        <v>43333.0</v>
      </c>
      <c r="D7" s="272">
        <v>43363.0</v>
      </c>
      <c r="E7" s="271" t="s">
        <v>268</v>
      </c>
      <c r="F7" s="138" t="s">
        <v>4</v>
      </c>
      <c r="G7" s="271" t="s">
        <v>5</v>
      </c>
      <c r="H7" s="273" t="s">
        <v>954</v>
      </c>
      <c r="I7" s="274">
        <v>100.0</v>
      </c>
      <c r="J7" s="271">
        <v>1857.0</v>
      </c>
      <c r="K7" s="271">
        <f t="shared" si="1"/>
        <v>185700</v>
      </c>
      <c r="L7" s="271">
        <v>85550.0</v>
      </c>
      <c r="M7" s="271">
        <v>12100.0</v>
      </c>
      <c r="N7" s="275">
        <v>186.0</v>
      </c>
      <c r="O7" s="60"/>
      <c r="P7" s="50">
        <v>186.0</v>
      </c>
      <c r="Q7" s="271">
        <v>5873.0</v>
      </c>
      <c r="R7" s="276">
        <v>-0.002956</v>
      </c>
      <c r="S7" s="271">
        <v>5324.0</v>
      </c>
      <c r="T7" s="271">
        <v>5510.0</v>
      </c>
      <c r="U7" s="62">
        <v>1.0</v>
      </c>
      <c r="V7" s="277">
        <v>0.17</v>
      </c>
      <c r="W7" s="277">
        <v>0.0</v>
      </c>
      <c r="X7" s="271">
        <v>4573.0</v>
      </c>
      <c r="Y7" s="271">
        <v>937.0</v>
      </c>
      <c r="Z7" s="50" t="b">
        <v>1</v>
      </c>
      <c r="AA7" s="50" t="s">
        <v>138</v>
      </c>
      <c r="AB7" s="50" t="s">
        <v>138</v>
      </c>
    </row>
    <row r="8">
      <c r="A8" s="271" t="s">
        <v>267</v>
      </c>
      <c r="B8" s="271" t="s">
        <v>267</v>
      </c>
      <c r="C8" s="272">
        <v>43333.0</v>
      </c>
      <c r="D8" s="272">
        <v>43363.0</v>
      </c>
      <c r="E8" s="271" t="s">
        <v>268</v>
      </c>
      <c r="F8" s="138" t="s">
        <v>4</v>
      </c>
      <c r="G8" s="271" t="s">
        <v>5</v>
      </c>
      <c r="H8" s="273" t="s">
        <v>953</v>
      </c>
      <c r="I8" s="274">
        <v>30.0</v>
      </c>
      <c r="J8" s="271">
        <v>128.0</v>
      </c>
      <c r="K8" s="271">
        <f t="shared" si="1"/>
        <v>3840</v>
      </c>
      <c r="L8" s="271">
        <v>6107.0</v>
      </c>
      <c r="M8" s="271">
        <v>60.0</v>
      </c>
      <c r="N8" s="275">
        <v>5.0</v>
      </c>
      <c r="O8" s="60"/>
      <c r="P8" s="50">
        <v>5.0</v>
      </c>
      <c r="Q8" s="271">
        <v>91.0</v>
      </c>
      <c r="R8" s="276">
        <v>-0.002956</v>
      </c>
      <c r="S8" s="271">
        <v>80.0</v>
      </c>
      <c r="T8" s="271">
        <v>85.0</v>
      </c>
      <c r="U8" s="62">
        <v>1.0</v>
      </c>
      <c r="V8" s="277">
        <v>0.17</v>
      </c>
      <c r="W8" s="277">
        <v>0.0</v>
      </c>
      <c r="X8" s="271">
        <v>70.0</v>
      </c>
      <c r="Y8" s="271">
        <v>14.0</v>
      </c>
      <c r="Z8" s="50" t="b">
        <v>1</v>
      </c>
      <c r="AA8" s="50" t="s">
        <v>138</v>
      </c>
      <c r="AB8" s="50" t="s">
        <v>138</v>
      </c>
    </row>
    <row r="9">
      <c r="A9" s="271" t="s">
        <v>267</v>
      </c>
      <c r="B9" s="271" t="s">
        <v>267</v>
      </c>
      <c r="C9" s="272">
        <v>43333.0</v>
      </c>
      <c r="D9" s="272">
        <v>43363.0</v>
      </c>
      <c r="E9" s="271" t="s">
        <v>268</v>
      </c>
      <c r="F9" s="138" t="s">
        <v>4</v>
      </c>
      <c r="G9" s="271" t="s">
        <v>5</v>
      </c>
      <c r="H9" s="273" t="s">
        <v>951</v>
      </c>
      <c r="I9" s="274">
        <v>60.0</v>
      </c>
      <c r="J9" s="271">
        <v>202.0</v>
      </c>
      <c r="K9" s="271">
        <f t="shared" si="1"/>
        <v>12120</v>
      </c>
      <c r="L9" s="271">
        <v>15780.0</v>
      </c>
      <c r="M9" s="271">
        <v>3120.0</v>
      </c>
      <c r="N9" s="275">
        <v>12.0</v>
      </c>
      <c r="O9" s="60"/>
      <c r="P9" s="50">
        <v>12.0</v>
      </c>
      <c r="Q9" s="271">
        <v>1116.0</v>
      </c>
      <c r="R9" s="276">
        <v>-0.002956</v>
      </c>
      <c r="S9" s="271">
        <v>1081.0</v>
      </c>
      <c r="T9" s="271">
        <v>1093.0</v>
      </c>
      <c r="U9" s="62">
        <v>1.0</v>
      </c>
      <c r="V9" s="277">
        <v>0.17</v>
      </c>
      <c r="W9" s="277">
        <v>0.0</v>
      </c>
      <c r="X9" s="271">
        <v>907.0</v>
      </c>
      <c r="Y9" s="271">
        <v>186.0</v>
      </c>
      <c r="Z9" s="50" t="b">
        <v>1</v>
      </c>
      <c r="AA9" s="50" t="s">
        <v>138</v>
      </c>
      <c r="AB9" s="50" t="s">
        <v>138</v>
      </c>
    </row>
    <row r="10">
      <c r="A10" s="271" t="s">
        <v>177</v>
      </c>
      <c r="B10" s="271" t="s">
        <v>177</v>
      </c>
      <c r="C10" s="278">
        <v>43339.0</v>
      </c>
      <c r="D10" s="278">
        <v>43369.0</v>
      </c>
      <c r="E10" s="271" t="s">
        <v>268</v>
      </c>
      <c r="F10" s="101" t="s">
        <v>8</v>
      </c>
      <c r="G10" s="271" t="s">
        <v>5</v>
      </c>
      <c r="H10" s="273" t="s">
        <v>952</v>
      </c>
      <c r="I10" s="274">
        <v>15.0</v>
      </c>
      <c r="J10" s="271">
        <v>1679.0</v>
      </c>
      <c r="K10" s="271">
        <f t="shared" si="1"/>
        <v>25185</v>
      </c>
      <c r="L10" s="271">
        <v>94005.0</v>
      </c>
      <c r="M10" s="271">
        <v>480.0</v>
      </c>
      <c r="N10" s="275">
        <v>30.0</v>
      </c>
      <c r="O10" s="60"/>
      <c r="P10" s="50">
        <v>30.0</v>
      </c>
      <c r="Q10" s="271">
        <v>1024.0</v>
      </c>
      <c r="R10" s="276">
        <v>-0.002184</v>
      </c>
      <c r="S10" s="271">
        <v>969.0</v>
      </c>
      <c r="T10" s="271">
        <v>999.0</v>
      </c>
      <c r="U10" s="62">
        <v>1.0</v>
      </c>
      <c r="V10" s="277">
        <v>0.25</v>
      </c>
      <c r="W10" s="277">
        <v>0.0</v>
      </c>
      <c r="X10" s="271">
        <v>749.0</v>
      </c>
      <c r="Y10" s="271">
        <v>250.0</v>
      </c>
      <c r="Z10" s="50" t="b">
        <v>1</v>
      </c>
      <c r="AA10" s="50" t="s">
        <v>138</v>
      </c>
      <c r="AB10" s="50" t="s">
        <v>138</v>
      </c>
    </row>
    <row r="11">
      <c r="A11" s="271" t="s">
        <v>267</v>
      </c>
      <c r="B11" s="271" t="s">
        <v>267</v>
      </c>
      <c r="C11" s="272">
        <v>43364.0</v>
      </c>
      <c r="D11" s="272">
        <v>43393.0</v>
      </c>
      <c r="E11" s="271" t="s">
        <v>268</v>
      </c>
      <c r="F11" s="138" t="s">
        <v>4</v>
      </c>
      <c r="G11" s="271" t="s">
        <v>5</v>
      </c>
      <c r="H11" s="273" t="s">
        <v>954</v>
      </c>
      <c r="I11" s="274">
        <v>100.0</v>
      </c>
      <c r="J11" s="271">
        <v>1274.0</v>
      </c>
      <c r="K11" s="271">
        <f t="shared" si="1"/>
        <v>127400</v>
      </c>
      <c r="L11" s="271">
        <v>58651.0</v>
      </c>
      <c r="M11" s="271">
        <v>3600.0</v>
      </c>
      <c r="N11" s="275">
        <v>127.0</v>
      </c>
      <c r="O11" s="60"/>
      <c r="P11" s="50">
        <v>127.0</v>
      </c>
      <c r="Q11" s="271">
        <v>4022.0</v>
      </c>
      <c r="R11" s="276">
        <v>-0.002677</v>
      </c>
      <c r="S11" s="271">
        <v>3681.0</v>
      </c>
      <c r="T11" s="271">
        <v>3808.0</v>
      </c>
      <c r="U11" s="62">
        <v>1.0</v>
      </c>
      <c r="V11" s="277">
        <v>0.25</v>
      </c>
      <c r="W11" s="277">
        <v>0.0</v>
      </c>
      <c r="X11" s="271">
        <v>2856.0</v>
      </c>
      <c r="Y11" s="271">
        <v>952.0</v>
      </c>
      <c r="Z11" s="50" t="b">
        <v>1</v>
      </c>
      <c r="AA11" s="50" t="s">
        <v>138</v>
      </c>
      <c r="AB11" s="50" t="s">
        <v>138</v>
      </c>
    </row>
    <row r="12">
      <c r="A12" s="271" t="s">
        <v>267</v>
      </c>
      <c r="B12" s="271" t="s">
        <v>267</v>
      </c>
      <c r="C12" s="272">
        <v>43364.0</v>
      </c>
      <c r="D12" s="272">
        <v>43393.0</v>
      </c>
      <c r="E12" s="271" t="s">
        <v>268</v>
      </c>
      <c r="F12" s="138" t="s">
        <v>4</v>
      </c>
      <c r="G12" s="271" t="s">
        <v>5</v>
      </c>
      <c r="H12" s="273" t="s">
        <v>951</v>
      </c>
      <c r="I12" s="274">
        <v>60.0</v>
      </c>
      <c r="J12" s="271">
        <v>238.0</v>
      </c>
      <c r="K12" s="271">
        <f t="shared" si="1"/>
        <v>14280</v>
      </c>
      <c r="L12" s="271">
        <v>7511.0</v>
      </c>
      <c r="M12" s="271">
        <v>240.0</v>
      </c>
      <c r="N12" s="275">
        <v>14.0</v>
      </c>
      <c r="O12" s="60"/>
      <c r="P12" s="50">
        <v>14.0</v>
      </c>
      <c r="Q12" s="271">
        <v>61.0</v>
      </c>
      <c r="R12" s="276">
        <v>-0.002677</v>
      </c>
      <c r="S12" s="271">
        <v>22.0</v>
      </c>
      <c r="T12" s="271">
        <v>36.0</v>
      </c>
      <c r="U12" s="62">
        <v>1.0</v>
      </c>
      <c r="V12" s="277">
        <v>0.25</v>
      </c>
      <c r="W12" s="277">
        <v>0.0</v>
      </c>
      <c r="X12" s="271">
        <v>27.0</v>
      </c>
      <c r="Y12" s="271">
        <v>9.0</v>
      </c>
      <c r="Z12" s="50" t="b">
        <v>1</v>
      </c>
      <c r="AA12" s="50" t="s">
        <v>138</v>
      </c>
      <c r="AB12" s="50" t="s">
        <v>138</v>
      </c>
    </row>
    <row r="13">
      <c r="A13" s="271" t="s">
        <v>267</v>
      </c>
      <c r="B13" s="271" t="s">
        <v>267</v>
      </c>
      <c r="C13" s="272">
        <v>43364.0</v>
      </c>
      <c r="D13" s="272">
        <v>43393.0</v>
      </c>
      <c r="E13" s="271" t="s">
        <v>268</v>
      </c>
      <c r="F13" s="138" t="s">
        <v>4</v>
      </c>
      <c r="G13" s="271" t="s">
        <v>5</v>
      </c>
      <c r="H13" s="273" t="s">
        <v>953</v>
      </c>
      <c r="I13" s="274">
        <v>30.0</v>
      </c>
      <c r="J13" s="271">
        <v>163.0</v>
      </c>
      <c r="K13" s="271">
        <f t="shared" si="1"/>
        <v>4890</v>
      </c>
      <c r="L13" s="271">
        <v>19156.0</v>
      </c>
      <c r="M13" s="271">
        <v>990.0</v>
      </c>
      <c r="N13" s="275">
        <v>6.0</v>
      </c>
      <c r="O13" s="60"/>
      <c r="P13" s="50">
        <v>6.0</v>
      </c>
      <c r="Q13" s="271">
        <v>754.0</v>
      </c>
      <c r="R13" s="276">
        <v>-0.002677</v>
      </c>
      <c r="S13" s="271">
        <v>741.0</v>
      </c>
      <c r="T13" s="271">
        <v>747.0</v>
      </c>
      <c r="U13" s="62">
        <v>1.0</v>
      </c>
      <c r="V13" s="277">
        <v>0.25</v>
      </c>
      <c r="W13" s="277">
        <v>0.0</v>
      </c>
      <c r="X13" s="271">
        <v>560.0</v>
      </c>
      <c r="Y13" s="271">
        <v>187.0</v>
      </c>
      <c r="Z13" s="50" t="b">
        <v>1</v>
      </c>
      <c r="AA13" s="50" t="s">
        <v>138</v>
      </c>
      <c r="AB13" s="50" t="s">
        <v>138</v>
      </c>
    </row>
    <row r="14">
      <c r="A14" s="271" t="s">
        <v>156</v>
      </c>
      <c r="B14" s="271" t="s">
        <v>156</v>
      </c>
      <c r="C14" s="278">
        <v>43364.0</v>
      </c>
      <c r="D14" s="279">
        <v>43393.0</v>
      </c>
      <c r="E14" s="271" t="s">
        <v>268</v>
      </c>
      <c r="F14" s="101" t="s">
        <v>4</v>
      </c>
      <c r="G14" s="271" t="s">
        <v>5</v>
      </c>
      <c r="H14" s="273" t="s">
        <v>952</v>
      </c>
      <c r="I14" s="274">
        <v>15.0</v>
      </c>
      <c r="J14" s="271">
        <v>1164.0</v>
      </c>
      <c r="K14" s="271">
        <f t="shared" si="1"/>
        <v>17460</v>
      </c>
      <c r="L14" s="271">
        <v>86156.0</v>
      </c>
      <c r="M14" s="271">
        <v>1425.0</v>
      </c>
      <c r="N14" s="275">
        <v>21.0</v>
      </c>
      <c r="O14" s="60"/>
      <c r="P14" s="50">
        <v>21.0</v>
      </c>
      <c r="Q14" s="271">
        <v>1273.0</v>
      </c>
      <c r="R14" s="276">
        <v>-0.002677</v>
      </c>
      <c r="S14" s="271">
        <v>1226.0</v>
      </c>
      <c r="T14" s="271">
        <v>1247.0</v>
      </c>
      <c r="U14" s="62">
        <v>1.0</v>
      </c>
      <c r="V14" s="277">
        <v>0.17</v>
      </c>
      <c r="W14" s="277">
        <v>0.0</v>
      </c>
      <c r="X14" s="271">
        <v>1035.0</v>
      </c>
      <c r="Y14" s="271">
        <v>212.0</v>
      </c>
      <c r="Z14" s="50" t="b">
        <v>1</v>
      </c>
      <c r="AA14" s="50" t="s">
        <v>138</v>
      </c>
      <c r="AB14" s="50" t="s">
        <v>138</v>
      </c>
    </row>
    <row r="15">
      <c r="A15" s="271" t="s">
        <v>156</v>
      </c>
      <c r="B15" s="271" t="s">
        <v>156</v>
      </c>
      <c r="C15" s="278">
        <v>43364.0</v>
      </c>
      <c r="D15" s="279">
        <v>43393.0</v>
      </c>
      <c r="E15" s="271" t="s">
        <v>268</v>
      </c>
      <c r="F15" s="101" t="s">
        <v>4</v>
      </c>
      <c r="G15" s="271" t="s">
        <v>5</v>
      </c>
      <c r="H15" s="273" t="s">
        <v>953</v>
      </c>
      <c r="I15" s="274">
        <v>30.0</v>
      </c>
      <c r="J15" s="271">
        <v>1385.0</v>
      </c>
      <c r="K15" s="271">
        <f t="shared" si="1"/>
        <v>41550</v>
      </c>
      <c r="L15" s="271">
        <v>62620.0</v>
      </c>
      <c r="M15" s="271">
        <v>270.0</v>
      </c>
      <c r="N15" s="275">
        <v>50.0</v>
      </c>
      <c r="O15" s="60"/>
      <c r="P15" s="50">
        <v>50.0</v>
      </c>
      <c r="Q15" s="271">
        <v>794.0</v>
      </c>
      <c r="R15" s="276">
        <v>-0.002677</v>
      </c>
      <c r="S15" s="271">
        <v>683.0</v>
      </c>
      <c r="T15" s="271">
        <v>733.0</v>
      </c>
      <c r="U15" s="62">
        <v>1.0</v>
      </c>
      <c r="V15" s="277">
        <v>0.17</v>
      </c>
      <c r="W15" s="277">
        <v>0.0</v>
      </c>
      <c r="X15" s="271">
        <v>608.0</v>
      </c>
      <c r="Y15" s="271">
        <v>125.0</v>
      </c>
      <c r="Z15" s="50" t="b">
        <v>1</v>
      </c>
      <c r="AA15" s="50" t="s">
        <v>138</v>
      </c>
      <c r="AB15" s="50" t="s">
        <v>138</v>
      </c>
    </row>
    <row r="16">
      <c r="A16" s="271" t="s">
        <v>177</v>
      </c>
      <c r="B16" s="271" t="s">
        <v>177</v>
      </c>
      <c r="C16" s="278">
        <v>43370.0</v>
      </c>
      <c r="D16" s="279">
        <v>43401.0</v>
      </c>
      <c r="E16" s="271" t="s">
        <v>268</v>
      </c>
      <c r="F16" s="101" t="s">
        <v>8</v>
      </c>
      <c r="G16" s="271" t="s">
        <v>5</v>
      </c>
      <c r="H16" s="273" t="s">
        <v>952</v>
      </c>
      <c r="I16" s="274">
        <v>15.0</v>
      </c>
      <c r="J16" s="271">
        <v>947.0</v>
      </c>
      <c r="K16" s="271">
        <f t="shared" si="1"/>
        <v>14205</v>
      </c>
      <c r="L16" s="271">
        <v>60519.0</v>
      </c>
      <c r="M16" s="271">
        <v>885.0</v>
      </c>
      <c r="N16" s="275">
        <v>17.0</v>
      </c>
      <c r="O16" s="60"/>
      <c r="P16" s="50">
        <v>17.0</v>
      </c>
      <c r="Q16" s="271">
        <v>788.0</v>
      </c>
      <c r="R16" s="276">
        <v>-0.001887</v>
      </c>
      <c r="S16" s="271">
        <v>761.0</v>
      </c>
      <c r="T16" s="271">
        <v>778.0</v>
      </c>
      <c r="U16" s="62">
        <v>1.0</v>
      </c>
      <c r="V16" s="277">
        <v>0.17</v>
      </c>
      <c r="W16" s="277">
        <v>0.0</v>
      </c>
      <c r="X16" s="271">
        <v>646.0</v>
      </c>
      <c r="Y16" s="271">
        <v>132.0</v>
      </c>
      <c r="Z16" s="50" t="b">
        <v>1</v>
      </c>
      <c r="AA16" s="50" t="s">
        <v>138</v>
      </c>
      <c r="AB16" s="50" t="s">
        <v>138</v>
      </c>
    </row>
    <row r="17">
      <c r="A17" s="271" t="s">
        <v>177</v>
      </c>
      <c r="B17" s="271" t="s">
        <v>177</v>
      </c>
      <c r="C17" s="278">
        <v>43370.0</v>
      </c>
      <c r="D17" s="279">
        <v>43401.0</v>
      </c>
      <c r="E17" s="271" t="s">
        <v>268</v>
      </c>
      <c r="F17" s="101" t="s">
        <v>8</v>
      </c>
      <c r="G17" s="271" t="s">
        <v>5</v>
      </c>
      <c r="H17" s="273" t="s">
        <v>953</v>
      </c>
      <c r="I17" s="274">
        <v>30.0</v>
      </c>
      <c r="J17" s="271">
        <v>994.0</v>
      </c>
      <c r="K17" s="271">
        <f t="shared" si="1"/>
        <v>29820</v>
      </c>
      <c r="L17" s="271">
        <v>68985.0</v>
      </c>
      <c r="M17" s="271">
        <v>1830.0</v>
      </c>
      <c r="N17" s="275">
        <v>36.0</v>
      </c>
      <c r="O17" s="60"/>
      <c r="P17" s="50">
        <v>36.0</v>
      </c>
      <c r="Q17" s="271">
        <v>1960.0</v>
      </c>
      <c r="R17" s="276">
        <v>-0.001882</v>
      </c>
      <c r="S17" s="271">
        <v>1904.0</v>
      </c>
      <c r="T17" s="271">
        <v>1940.0</v>
      </c>
      <c r="U17" s="62">
        <v>1.0</v>
      </c>
      <c r="V17" s="277">
        <v>0.17</v>
      </c>
      <c r="W17" s="277">
        <v>0.0</v>
      </c>
      <c r="X17" s="271">
        <v>1610.0</v>
      </c>
      <c r="Y17" s="271">
        <v>330.0</v>
      </c>
      <c r="Z17" s="50" t="b">
        <v>1</v>
      </c>
      <c r="AA17" s="50" t="s">
        <v>138</v>
      </c>
      <c r="AB17" s="50" t="s">
        <v>138</v>
      </c>
    </row>
    <row r="18">
      <c r="A18" s="271" t="s">
        <v>267</v>
      </c>
      <c r="B18" s="271" t="s">
        <v>267</v>
      </c>
      <c r="C18" s="272">
        <v>43394.0</v>
      </c>
      <c r="D18" s="272">
        <v>43424.0</v>
      </c>
      <c r="E18" s="271" t="s">
        <v>268</v>
      </c>
      <c r="F18" s="138" t="s">
        <v>4</v>
      </c>
      <c r="G18" s="271" t="s">
        <v>5</v>
      </c>
      <c r="H18" s="273" t="s">
        <v>953</v>
      </c>
      <c r="I18" s="274">
        <v>30.0</v>
      </c>
      <c r="J18" s="271">
        <v>422.0</v>
      </c>
      <c r="K18" s="271">
        <f t="shared" si="1"/>
        <v>12660</v>
      </c>
      <c r="L18" s="271">
        <v>39733.0</v>
      </c>
      <c r="M18" s="271">
        <v>660.0</v>
      </c>
      <c r="N18" s="275">
        <v>15.0</v>
      </c>
      <c r="O18" s="60"/>
      <c r="P18" s="50">
        <v>15.0</v>
      </c>
      <c r="Q18" s="271">
        <v>1399.0</v>
      </c>
      <c r="R18" s="276">
        <v>0.001608</v>
      </c>
      <c r="S18" s="271">
        <v>1419.0</v>
      </c>
      <c r="T18" s="271">
        <v>1434.0</v>
      </c>
      <c r="U18" s="62">
        <v>1.0</v>
      </c>
      <c r="V18" s="277">
        <v>0.25</v>
      </c>
      <c r="W18" s="277">
        <v>0.0</v>
      </c>
      <c r="X18" s="271">
        <v>1076.0</v>
      </c>
      <c r="Y18" s="271">
        <v>359.0</v>
      </c>
      <c r="Z18" s="50" t="b">
        <v>1</v>
      </c>
      <c r="AA18" s="50" t="s">
        <v>138</v>
      </c>
      <c r="AB18" s="50" t="s">
        <v>138</v>
      </c>
    </row>
    <row r="19">
      <c r="A19" s="271" t="s">
        <v>267</v>
      </c>
      <c r="B19" s="271" t="s">
        <v>267</v>
      </c>
      <c r="C19" s="272">
        <v>43394.0</v>
      </c>
      <c r="D19" s="272">
        <v>43424.0</v>
      </c>
      <c r="E19" s="271" t="s">
        <v>268</v>
      </c>
      <c r="F19" s="138" t="s">
        <v>4</v>
      </c>
      <c r="G19" s="271" t="s">
        <v>5</v>
      </c>
      <c r="H19" s="273" t="s">
        <v>951</v>
      </c>
      <c r="I19" s="274">
        <v>60.0</v>
      </c>
      <c r="J19" s="271">
        <v>472.0</v>
      </c>
      <c r="K19" s="271">
        <f t="shared" si="1"/>
        <v>28320</v>
      </c>
      <c r="L19" s="271">
        <v>27242.0</v>
      </c>
      <c r="M19" s="271">
        <v>2280.0</v>
      </c>
      <c r="N19" s="275">
        <v>28.0</v>
      </c>
      <c r="O19" s="60"/>
      <c r="P19" s="50">
        <v>28.0</v>
      </c>
      <c r="Q19" s="271">
        <v>1518.0</v>
      </c>
      <c r="R19" s="276">
        <v>0.001608</v>
      </c>
      <c r="S19" s="271">
        <v>1564.0</v>
      </c>
      <c r="T19" s="271">
        <v>1592.0</v>
      </c>
      <c r="U19" s="62">
        <v>1.0</v>
      </c>
      <c r="V19" s="277">
        <v>0.25</v>
      </c>
      <c r="W19" s="277">
        <v>0.0</v>
      </c>
      <c r="X19" s="271">
        <v>1194.0</v>
      </c>
      <c r="Y19" s="271">
        <v>398.0</v>
      </c>
      <c r="Z19" s="50" t="b">
        <v>1</v>
      </c>
      <c r="AA19" s="50" t="s">
        <v>138</v>
      </c>
      <c r="AB19" s="50" t="s">
        <v>138</v>
      </c>
    </row>
    <row r="20">
      <c r="A20" s="271" t="s">
        <v>267</v>
      </c>
      <c r="B20" s="271" t="s">
        <v>267</v>
      </c>
      <c r="C20" s="272">
        <v>43394.0</v>
      </c>
      <c r="D20" s="272">
        <v>43424.0</v>
      </c>
      <c r="E20" s="271" t="s">
        <v>268</v>
      </c>
      <c r="F20" s="138" t="s">
        <v>4</v>
      </c>
      <c r="G20" s="271" t="s">
        <v>5</v>
      </c>
      <c r="H20" s="273" t="s">
        <v>954</v>
      </c>
      <c r="I20" s="274">
        <v>100.0</v>
      </c>
      <c r="J20" s="271">
        <v>657.0</v>
      </c>
      <c r="K20" s="271">
        <f t="shared" si="1"/>
        <v>65700</v>
      </c>
      <c r="L20" s="271">
        <v>25656.0</v>
      </c>
      <c r="M20" s="271">
        <v>-2900.0</v>
      </c>
      <c r="N20" s="275">
        <v>66.0</v>
      </c>
      <c r="O20" s="60"/>
      <c r="P20" s="50">
        <v>66.0</v>
      </c>
      <c r="Q20" s="271">
        <v>1208.0</v>
      </c>
      <c r="R20" s="276">
        <v>0.001608</v>
      </c>
      <c r="S20" s="271">
        <v>1313.0</v>
      </c>
      <c r="T20" s="271">
        <v>1379.0</v>
      </c>
      <c r="U20" s="62">
        <v>1.0</v>
      </c>
      <c r="V20" s="277">
        <v>0.25</v>
      </c>
      <c r="W20" s="277">
        <v>0.0</v>
      </c>
      <c r="X20" s="271">
        <v>1034.0</v>
      </c>
      <c r="Y20" s="271">
        <v>345.0</v>
      </c>
      <c r="Z20" s="50" t="b">
        <v>1</v>
      </c>
      <c r="AA20" s="50" t="s">
        <v>138</v>
      </c>
      <c r="AB20" s="50" t="s">
        <v>138</v>
      </c>
    </row>
    <row r="21">
      <c r="A21" s="271" t="s">
        <v>156</v>
      </c>
      <c r="B21" s="271" t="s">
        <v>156</v>
      </c>
      <c r="C21" s="279">
        <v>43394.0</v>
      </c>
      <c r="D21" s="279">
        <v>43424.0</v>
      </c>
      <c r="E21" s="271" t="s">
        <v>268</v>
      </c>
      <c r="F21" s="101" t="s">
        <v>4</v>
      </c>
      <c r="G21" s="271" t="s">
        <v>5</v>
      </c>
      <c r="H21" s="273" t="s">
        <v>952</v>
      </c>
      <c r="I21" s="274">
        <v>15.0</v>
      </c>
      <c r="J21" s="271">
        <v>170.0</v>
      </c>
      <c r="K21" s="271">
        <f t="shared" si="1"/>
        <v>2550</v>
      </c>
      <c r="L21" s="271">
        <v>10969.0</v>
      </c>
      <c r="M21" s="271">
        <v>630.0</v>
      </c>
      <c r="N21" s="275">
        <v>3.0</v>
      </c>
      <c r="O21" s="60"/>
      <c r="P21" s="50">
        <v>3.0</v>
      </c>
      <c r="Q21" s="271">
        <v>141.0</v>
      </c>
      <c r="R21" s="276">
        <v>0.001608</v>
      </c>
      <c r="S21" s="271">
        <v>145.0</v>
      </c>
      <c r="T21" s="271">
        <v>148.0</v>
      </c>
      <c r="U21" s="62">
        <v>1.0</v>
      </c>
      <c r="V21" s="277">
        <v>0.17</v>
      </c>
      <c r="W21" s="277">
        <v>0.0</v>
      </c>
      <c r="X21" s="271">
        <v>123.0</v>
      </c>
      <c r="Y21" s="271">
        <v>25.0</v>
      </c>
      <c r="Z21" s="50" t="b">
        <v>1</v>
      </c>
      <c r="AA21" s="50" t="s">
        <v>138</v>
      </c>
      <c r="AB21" s="50" t="s">
        <v>138</v>
      </c>
    </row>
    <row r="22">
      <c r="A22" s="271" t="s">
        <v>156</v>
      </c>
      <c r="B22" s="271" t="s">
        <v>156</v>
      </c>
      <c r="C22" s="279">
        <v>43394.0</v>
      </c>
      <c r="D22" s="279">
        <v>43424.0</v>
      </c>
      <c r="E22" s="271" t="s">
        <v>268</v>
      </c>
      <c r="F22" s="101" t="s">
        <v>4</v>
      </c>
      <c r="G22" s="271" t="s">
        <v>5</v>
      </c>
      <c r="H22" s="273" t="s">
        <v>953</v>
      </c>
      <c r="I22" s="274">
        <v>30.0</v>
      </c>
      <c r="J22" s="271">
        <v>1969.0</v>
      </c>
      <c r="K22" s="271">
        <f t="shared" si="1"/>
        <v>59070</v>
      </c>
      <c r="L22" s="271">
        <v>119425.0</v>
      </c>
      <c r="M22" s="271">
        <v>2970.0</v>
      </c>
      <c r="N22" s="275">
        <v>71.0</v>
      </c>
      <c r="O22" s="60"/>
      <c r="P22" s="50">
        <v>71.0</v>
      </c>
      <c r="Q22" s="271">
        <v>2832.0</v>
      </c>
      <c r="R22" s="276">
        <v>0.001608</v>
      </c>
      <c r="S22" s="271">
        <v>2927.0</v>
      </c>
      <c r="T22" s="271">
        <v>2998.0</v>
      </c>
      <c r="U22" s="62">
        <v>1.0</v>
      </c>
      <c r="V22" s="277">
        <v>0.17</v>
      </c>
      <c r="W22" s="277">
        <v>0.0</v>
      </c>
      <c r="X22" s="271">
        <v>2488.0</v>
      </c>
      <c r="Y22" s="271">
        <v>510.0</v>
      </c>
      <c r="Z22" s="50" t="b">
        <v>1</v>
      </c>
      <c r="AA22" s="50" t="s">
        <v>138</v>
      </c>
      <c r="AB22" s="50" t="s">
        <v>138</v>
      </c>
    </row>
    <row r="23">
      <c r="A23" s="271" t="s">
        <v>177</v>
      </c>
      <c r="B23" s="271" t="s">
        <v>177</v>
      </c>
      <c r="C23" s="279">
        <v>43402.0</v>
      </c>
      <c r="D23" s="279">
        <v>43429.0</v>
      </c>
      <c r="E23" s="271" t="s">
        <v>268</v>
      </c>
      <c r="F23" s="101" t="s">
        <v>8</v>
      </c>
      <c r="G23" s="271" t="s">
        <v>5</v>
      </c>
      <c r="H23" s="273" t="s">
        <v>952</v>
      </c>
      <c r="I23" s="274">
        <v>15.0</v>
      </c>
      <c r="J23" s="271">
        <v>1297.0</v>
      </c>
      <c r="K23" s="271">
        <f t="shared" si="1"/>
        <v>19455</v>
      </c>
      <c r="L23" s="271">
        <v>56833.0</v>
      </c>
      <c r="M23" s="271">
        <v>1170.0</v>
      </c>
      <c r="N23" s="275">
        <v>23.0</v>
      </c>
      <c r="O23" s="60"/>
      <c r="P23" s="50">
        <v>23.0</v>
      </c>
      <c r="Q23" s="271">
        <v>348.0</v>
      </c>
      <c r="R23" s="276">
        <v>-0.001</v>
      </c>
      <c r="S23" s="271">
        <v>329.0</v>
      </c>
      <c r="T23" s="271">
        <v>352.0</v>
      </c>
      <c r="U23" s="62">
        <v>1.0</v>
      </c>
      <c r="V23" s="277">
        <v>0.25</v>
      </c>
      <c r="W23" s="277">
        <v>0.0</v>
      </c>
      <c r="X23" s="271">
        <v>264.0</v>
      </c>
      <c r="Y23" s="271">
        <v>88.0</v>
      </c>
      <c r="Z23" s="50" t="b">
        <v>1</v>
      </c>
      <c r="AA23" s="50" t="s">
        <v>138</v>
      </c>
      <c r="AB23" s="50" t="s">
        <v>138</v>
      </c>
    </row>
    <row r="24">
      <c r="A24" s="271" t="s">
        <v>177</v>
      </c>
      <c r="B24" s="271" t="s">
        <v>177</v>
      </c>
      <c r="C24" s="279">
        <v>43402.0</v>
      </c>
      <c r="D24" s="279">
        <v>43429.0</v>
      </c>
      <c r="E24" s="271" t="s">
        <v>268</v>
      </c>
      <c r="F24" s="101" t="s">
        <v>8</v>
      </c>
      <c r="G24" s="271" t="s">
        <v>5</v>
      </c>
      <c r="H24" s="273" t="s">
        <v>953</v>
      </c>
      <c r="I24" s="274">
        <v>30.0</v>
      </c>
      <c r="J24" s="271">
        <v>675.0</v>
      </c>
      <c r="K24" s="271">
        <f t="shared" si="1"/>
        <v>20250</v>
      </c>
      <c r="L24" s="271">
        <v>39318.0</v>
      </c>
      <c r="M24" s="271">
        <v>780.0</v>
      </c>
      <c r="N24" s="275">
        <v>24.0</v>
      </c>
      <c r="O24" s="60"/>
      <c r="P24" s="50">
        <v>24.0</v>
      </c>
      <c r="Q24" s="271">
        <v>909.0</v>
      </c>
      <c r="R24" s="276">
        <v>-9.83E-4</v>
      </c>
      <c r="S24" s="271">
        <v>889.0</v>
      </c>
      <c r="T24" s="271">
        <v>913.0</v>
      </c>
      <c r="U24" s="62">
        <v>1.0</v>
      </c>
      <c r="V24" s="277">
        <v>0.25</v>
      </c>
      <c r="W24" s="277">
        <v>0.0</v>
      </c>
      <c r="X24" s="271">
        <v>685.0</v>
      </c>
      <c r="Y24" s="271">
        <v>228.0</v>
      </c>
      <c r="Z24" s="50" t="b">
        <v>1</v>
      </c>
      <c r="AA24" s="50" t="s">
        <v>138</v>
      </c>
      <c r="AB24" s="50" t="s">
        <v>138</v>
      </c>
    </row>
    <row r="25">
      <c r="A25" s="271" t="s">
        <v>177</v>
      </c>
      <c r="B25" s="271" t="s">
        <v>177</v>
      </c>
      <c r="C25" s="279">
        <v>43430.0</v>
      </c>
      <c r="D25" s="279">
        <v>43450.0</v>
      </c>
      <c r="E25" s="271" t="s">
        <v>268</v>
      </c>
      <c r="F25" s="101" t="s">
        <v>8</v>
      </c>
      <c r="G25" s="271" t="s">
        <v>5</v>
      </c>
      <c r="H25" s="273" t="s">
        <v>952</v>
      </c>
      <c r="I25" s="274">
        <v>15.0</v>
      </c>
      <c r="J25" s="271">
        <v>914.0</v>
      </c>
      <c r="K25" s="271">
        <f t="shared" si="1"/>
        <v>13710</v>
      </c>
      <c r="L25" s="271">
        <v>67336.0</v>
      </c>
      <c r="M25" s="271">
        <v>570.0</v>
      </c>
      <c r="N25" s="275">
        <v>16.0</v>
      </c>
      <c r="O25" s="60"/>
      <c r="P25" s="50">
        <v>16.0</v>
      </c>
      <c r="Q25" s="271">
        <v>1011.0</v>
      </c>
      <c r="R25" s="276">
        <v>0.007175</v>
      </c>
      <c r="S25" s="271">
        <v>1109.0</v>
      </c>
      <c r="T25" s="271">
        <v>1125.0</v>
      </c>
      <c r="U25" s="62">
        <v>1.0</v>
      </c>
      <c r="V25" s="277">
        <v>0.17</v>
      </c>
      <c r="W25" s="277">
        <v>0.0</v>
      </c>
      <c r="X25" s="271">
        <v>934.0</v>
      </c>
      <c r="Y25" s="271">
        <v>191.0</v>
      </c>
      <c r="Z25" s="50" t="b">
        <v>1</v>
      </c>
      <c r="AA25" s="50" t="s">
        <v>138</v>
      </c>
      <c r="AB25" s="50" t="s">
        <v>138</v>
      </c>
    </row>
    <row r="26">
      <c r="A26" s="271" t="s">
        <v>177</v>
      </c>
      <c r="B26" s="271" t="s">
        <v>177</v>
      </c>
      <c r="C26" s="279">
        <v>43430.0</v>
      </c>
      <c r="D26" s="279">
        <v>43450.0</v>
      </c>
      <c r="E26" s="271" t="s">
        <v>268</v>
      </c>
      <c r="F26" s="101" t="s">
        <v>8</v>
      </c>
      <c r="G26" s="271" t="s">
        <v>5</v>
      </c>
      <c r="H26" s="273" t="s">
        <v>953</v>
      </c>
      <c r="I26" s="274">
        <v>30.0</v>
      </c>
      <c r="J26" s="271">
        <v>686.0</v>
      </c>
      <c r="K26" s="271">
        <f t="shared" si="1"/>
        <v>20580</v>
      </c>
      <c r="L26" s="271">
        <v>43943.0</v>
      </c>
      <c r="M26" s="271">
        <v>300.0</v>
      </c>
      <c r="N26" s="275">
        <v>25.0</v>
      </c>
      <c r="O26" s="60"/>
      <c r="P26" s="50">
        <v>25.0</v>
      </c>
      <c r="Q26" s="271">
        <v>1147.0</v>
      </c>
      <c r="R26" s="276">
        <v>0.006989</v>
      </c>
      <c r="S26" s="271">
        <v>1291.0</v>
      </c>
      <c r="T26" s="271">
        <v>1316.0</v>
      </c>
      <c r="U26" s="62">
        <v>1.0</v>
      </c>
      <c r="V26" s="277">
        <v>0.17</v>
      </c>
      <c r="W26" s="277">
        <v>0.0</v>
      </c>
      <c r="X26" s="271">
        <v>1092.0</v>
      </c>
      <c r="Y26" s="271">
        <v>224.0</v>
      </c>
      <c r="Z26" s="50" t="b">
        <v>1</v>
      </c>
      <c r="AA26" s="50" t="s">
        <v>138</v>
      </c>
      <c r="AB26" s="50" t="s">
        <v>138</v>
      </c>
    </row>
    <row r="27">
      <c r="A27" s="271" t="s">
        <v>267</v>
      </c>
      <c r="B27" s="271" t="s">
        <v>267</v>
      </c>
      <c r="C27" s="272">
        <v>43425.0</v>
      </c>
      <c r="D27" s="272">
        <v>43454.0</v>
      </c>
      <c r="E27" s="271" t="s">
        <v>268</v>
      </c>
      <c r="F27" s="138" t="s">
        <v>4</v>
      </c>
      <c r="G27" s="271" t="s">
        <v>5</v>
      </c>
      <c r="H27" s="273" t="s">
        <v>954</v>
      </c>
      <c r="I27" s="274">
        <v>100.0</v>
      </c>
      <c r="J27" s="271">
        <v>755.0</v>
      </c>
      <c r="K27" s="271">
        <f t="shared" si="1"/>
        <v>75500</v>
      </c>
      <c r="L27" s="271">
        <v>24877.0</v>
      </c>
      <c r="M27" s="271">
        <v>7400.0</v>
      </c>
      <c r="N27" s="275">
        <v>76.0</v>
      </c>
      <c r="O27" s="60"/>
      <c r="P27" s="50">
        <v>76.0</v>
      </c>
      <c r="Q27" s="271">
        <v>518.0</v>
      </c>
      <c r="R27" s="276">
        <v>-0.003</v>
      </c>
      <c r="S27" s="271">
        <v>292.0</v>
      </c>
      <c r="T27" s="271">
        <v>368.0</v>
      </c>
      <c r="U27" s="62">
        <v>1.0</v>
      </c>
      <c r="V27" s="277">
        <v>0.35</v>
      </c>
      <c r="W27" s="277">
        <v>0.0</v>
      </c>
      <c r="X27" s="271">
        <v>239.0</v>
      </c>
      <c r="Y27" s="271">
        <v>129.0</v>
      </c>
      <c r="Z27" s="50" t="b">
        <v>1</v>
      </c>
      <c r="AA27" s="50" t="s">
        <v>138</v>
      </c>
      <c r="AB27" s="50" t="s">
        <v>138</v>
      </c>
    </row>
    <row r="28">
      <c r="A28" s="271" t="s">
        <v>267</v>
      </c>
      <c r="B28" s="271" t="s">
        <v>267</v>
      </c>
      <c r="C28" s="272">
        <v>43425.0</v>
      </c>
      <c r="D28" s="272">
        <v>43454.0</v>
      </c>
      <c r="E28" s="271" t="s">
        <v>268</v>
      </c>
      <c r="F28" s="138" t="s">
        <v>4</v>
      </c>
      <c r="G28" s="271" t="s">
        <v>5</v>
      </c>
      <c r="H28" s="273" t="s">
        <v>951</v>
      </c>
      <c r="I28" s="274">
        <v>60.0</v>
      </c>
      <c r="J28" s="271">
        <v>315.0</v>
      </c>
      <c r="K28" s="271">
        <f t="shared" si="1"/>
        <v>18900</v>
      </c>
      <c r="L28" s="271">
        <v>9624.0</v>
      </c>
      <c r="M28" s="271">
        <v>780.0</v>
      </c>
      <c r="N28" s="275">
        <v>19.0</v>
      </c>
      <c r="O28" s="60"/>
      <c r="P28" s="50">
        <v>19.0</v>
      </c>
      <c r="Q28" s="271">
        <v>44.0</v>
      </c>
      <c r="R28" s="276">
        <v>-0.003</v>
      </c>
      <c r="S28" s="271">
        <v>-12.0</v>
      </c>
      <c r="T28" s="271">
        <v>7.0</v>
      </c>
      <c r="U28" s="62">
        <v>1.0</v>
      </c>
      <c r="V28" s="277">
        <v>0.35</v>
      </c>
      <c r="W28" s="277">
        <v>0.0</v>
      </c>
      <c r="X28" s="271">
        <v>4.0</v>
      </c>
      <c r="Y28" s="271">
        <v>2.0</v>
      </c>
      <c r="Z28" s="50" t="b">
        <v>1</v>
      </c>
      <c r="AA28" s="50" t="s">
        <v>138</v>
      </c>
      <c r="AB28" s="50" t="s">
        <v>138</v>
      </c>
    </row>
    <row r="29">
      <c r="A29" s="271" t="s">
        <v>267</v>
      </c>
      <c r="B29" s="271" t="s">
        <v>267</v>
      </c>
      <c r="C29" s="272">
        <v>43425.0</v>
      </c>
      <c r="D29" s="272">
        <v>43454.0</v>
      </c>
      <c r="E29" s="271" t="s">
        <v>268</v>
      </c>
      <c r="F29" s="138" t="s">
        <v>4</v>
      </c>
      <c r="G29" s="271" t="s">
        <v>5</v>
      </c>
      <c r="H29" s="273" t="s">
        <v>953</v>
      </c>
      <c r="I29" s="274">
        <v>30.0</v>
      </c>
      <c r="J29" s="271">
        <v>303.0</v>
      </c>
      <c r="K29" s="271">
        <f t="shared" si="1"/>
        <v>9090</v>
      </c>
      <c r="L29" s="271">
        <v>12969.0</v>
      </c>
      <c r="M29" s="271">
        <v>4530.0</v>
      </c>
      <c r="N29" s="275">
        <v>11.0</v>
      </c>
      <c r="O29" s="60"/>
      <c r="P29" s="50">
        <v>11.0</v>
      </c>
      <c r="Q29" s="271">
        <v>133.0</v>
      </c>
      <c r="R29" s="276">
        <v>-0.003</v>
      </c>
      <c r="S29" s="271">
        <v>105.0</v>
      </c>
      <c r="T29" s="271">
        <v>116.0</v>
      </c>
      <c r="U29" s="62">
        <v>1.0</v>
      </c>
      <c r="V29" s="277">
        <v>0.35</v>
      </c>
      <c r="W29" s="277">
        <v>0.0</v>
      </c>
      <c r="X29" s="271">
        <v>76.0</v>
      </c>
      <c r="Y29" s="271">
        <v>41.0</v>
      </c>
      <c r="Z29" s="50" t="b">
        <v>1</v>
      </c>
      <c r="AA29" s="50" t="s">
        <v>138</v>
      </c>
      <c r="AB29" s="50" t="s">
        <v>138</v>
      </c>
    </row>
    <row r="30">
      <c r="A30" s="271" t="s">
        <v>156</v>
      </c>
      <c r="B30" s="271" t="s">
        <v>156</v>
      </c>
      <c r="C30" s="279">
        <v>43425.0</v>
      </c>
      <c r="D30" s="279">
        <v>43454.0</v>
      </c>
      <c r="E30" s="271" t="s">
        <v>268</v>
      </c>
      <c r="F30" s="101" t="s">
        <v>4</v>
      </c>
      <c r="G30" s="271" t="s">
        <v>5</v>
      </c>
      <c r="H30" s="273" t="s">
        <v>952</v>
      </c>
      <c r="I30" s="274">
        <v>15.0</v>
      </c>
      <c r="J30" s="271">
        <v>104.0</v>
      </c>
      <c r="K30" s="271">
        <f t="shared" si="1"/>
        <v>1560</v>
      </c>
      <c r="L30" s="271">
        <v>8045.0</v>
      </c>
      <c r="M30" s="271">
        <v>585.0</v>
      </c>
      <c r="N30" s="275">
        <v>2.0</v>
      </c>
      <c r="O30" s="60"/>
      <c r="P30" s="50">
        <v>2.0</v>
      </c>
      <c r="Q30" s="271">
        <v>123.0</v>
      </c>
      <c r="R30" s="276">
        <v>0.001735</v>
      </c>
      <c r="S30" s="271">
        <v>126.0</v>
      </c>
      <c r="T30" s="271">
        <v>128.0</v>
      </c>
      <c r="U30" s="62">
        <v>1.0</v>
      </c>
      <c r="V30" s="277">
        <v>0.25</v>
      </c>
      <c r="W30" s="277">
        <v>0.0</v>
      </c>
      <c r="X30" s="271">
        <v>96.0</v>
      </c>
      <c r="Y30" s="271">
        <v>32.0</v>
      </c>
      <c r="Z30" s="50" t="b">
        <v>1</v>
      </c>
      <c r="AA30" s="50" t="s">
        <v>138</v>
      </c>
      <c r="AB30" s="50" t="s">
        <v>138</v>
      </c>
    </row>
    <row r="31">
      <c r="A31" s="271" t="s">
        <v>156</v>
      </c>
      <c r="B31" s="271" t="s">
        <v>156</v>
      </c>
      <c r="C31" s="279">
        <v>43425.0</v>
      </c>
      <c r="D31" s="279">
        <v>43454.0</v>
      </c>
      <c r="E31" s="271" t="s">
        <v>268</v>
      </c>
      <c r="F31" s="101" t="s">
        <v>4</v>
      </c>
      <c r="G31" s="271" t="s">
        <v>5</v>
      </c>
      <c r="H31" s="273" t="s">
        <v>953</v>
      </c>
      <c r="I31" s="274">
        <v>30.0</v>
      </c>
      <c r="J31" s="271">
        <v>787.0</v>
      </c>
      <c r="K31" s="271">
        <f t="shared" si="1"/>
        <v>23610</v>
      </c>
      <c r="L31" s="271">
        <v>44254.0</v>
      </c>
      <c r="M31" s="271">
        <v>1410.0</v>
      </c>
      <c r="N31" s="275">
        <v>28.0</v>
      </c>
      <c r="O31" s="60"/>
      <c r="P31" s="50">
        <v>28.0</v>
      </c>
      <c r="Q31" s="271">
        <v>937.0</v>
      </c>
      <c r="R31" s="276">
        <v>0.001735</v>
      </c>
      <c r="S31" s="271">
        <v>978.0</v>
      </c>
      <c r="T31" s="271">
        <v>1006.0</v>
      </c>
      <c r="U31" s="62">
        <v>1.0</v>
      </c>
      <c r="V31" s="277">
        <v>0.25</v>
      </c>
      <c r="W31" s="277">
        <v>0.0</v>
      </c>
      <c r="X31" s="271">
        <v>754.0</v>
      </c>
      <c r="Y31" s="271">
        <v>251.0</v>
      </c>
      <c r="Z31" s="50" t="b">
        <v>1</v>
      </c>
      <c r="AA31" s="50" t="s">
        <v>138</v>
      </c>
      <c r="AB31" s="50" t="s">
        <v>138</v>
      </c>
    </row>
    <row r="32">
      <c r="A32" s="271" t="s">
        <v>156</v>
      </c>
      <c r="B32" s="271" t="s">
        <v>156</v>
      </c>
      <c r="C32" s="279">
        <v>43425.0</v>
      </c>
      <c r="D32" s="279">
        <v>43454.0</v>
      </c>
      <c r="E32" s="271" t="s">
        <v>268</v>
      </c>
      <c r="F32" s="101" t="s">
        <v>4</v>
      </c>
      <c r="G32" s="271" t="s">
        <v>5</v>
      </c>
      <c r="H32" s="273" t="s">
        <v>951</v>
      </c>
      <c r="I32" s="274">
        <v>60.0</v>
      </c>
      <c r="J32" s="271">
        <v>1789.0</v>
      </c>
      <c r="K32" s="271">
        <f t="shared" si="1"/>
        <v>107340</v>
      </c>
      <c r="L32" s="271">
        <v>75619.0</v>
      </c>
      <c r="M32" s="271">
        <v>-540.0</v>
      </c>
      <c r="N32" s="275">
        <v>107.0</v>
      </c>
      <c r="O32" s="60"/>
      <c r="P32" s="50">
        <v>107.0</v>
      </c>
      <c r="Q32" s="271">
        <v>2625.0</v>
      </c>
      <c r="R32" s="276">
        <v>0.001735</v>
      </c>
      <c r="S32" s="271">
        <v>2811.0</v>
      </c>
      <c r="T32" s="271">
        <v>2918.0</v>
      </c>
      <c r="U32" s="62">
        <v>1.0</v>
      </c>
      <c r="V32" s="277">
        <v>0.25</v>
      </c>
      <c r="W32" s="277">
        <v>0.0</v>
      </c>
      <c r="X32" s="271">
        <v>2189.0</v>
      </c>
      <c r="Y32" s="271">
        <v>730.0</v>
      </c>
      <c r="Z32" s="50" t="b">
        <v>1</v>
      </c>
      <c r="AA32" s="50" t="s">
        <v>138</v>
      </c>
      <c r="AB32" s="50" t="s">
        <v>138</v>
      </c>
    </row>
    <row r="33">
      <c r="A33" s="271" t="s">
        <v>267</v>
      </c>
      <c r="B33" s="271" t="s">
        <v>267</v>
      </c>
      <c r="C33" s="272">
        <v>43455.0</v>
      </c>
      <c r="D33" s="272">
        <v>43485.0</v>
      </c>
      <c r="E33" s="271" t="s">
        <v>268</v>
      </c>
      <c r="F33" s="138" t="s">
        <v>4</v>
      </c>
      <c r="G33" s="271" t="s">
        <v>5</v>
      </c>
      <c r="H33" s="273" t="s">
        <v>955</v>
      </c>
      <c r="I33" s="274">
        <v>25.0</v>
      </c>
      <c r="J33" s="271">
        <v>374.0</v>
      </c>
      <c r="K33" s="271">
        <f t="shared" si="1"/>
        <v>9350</v>
      </c>
      <c r="L33" s="271">
        <v>19636.0</v>
      </c>
      <c r="M33" s="271">
        <v>550.0</v>
      </c>
      <c r="N33" s="275">
        <v>13.0</v>
      </c>
      <c r="O33" s="60"/>
      <c r="P33" s="50">
        <v>13.0</v>
      </c>
      <c r="Q33" s="271">
        <v>232.0</v>
      </c>
      <c r="R33" s="276">
        <v>-0.003</v>
      </c>
      <c r="S33" s="271">
        <v>204.0</v>
      </c>
      <c r="T33" s="271">
        <v>217.0</v>
      </c>
      <c r="U33" s="62">
        <v>1.0</v>
      </c>
      <c r="V33" s="277">
        <v>0.17</v>
      </c>
      <c r="W33" s="277">
        <v>0.0</v>
      </c>
      <c r="X33" s="271">
        <v>180.0</v>
      </c>
      <c r="Y33" s="271">
        <v>37.0</v>
      </c>
      <c r="Z33" s="50" t="b">
        <v>1</v>
      </c>
      <c r="AA33" s="50" t="s">
        <v>138</v>
      </c>
      <c r="AB33" s="50" t="s">
        <v>138</v>
      </c>
    </row>
    <row r="34">
      <c r="A34" s="271" t="s">
        <v>267</v>
      </c>
      <c r="B34" s="271" t="s">
        <v>267</v>
      </c>
      <c r="C34" s="272">
        <v>43455.0</v>
      </c>
      <c r="D34" s="272">
        <v>43485.0</v>
      </c>
      <c r="E34" s="271" t="s">
        <v>268</v>
      </c>
      <c r="F34" s="138" t="s">
        <v>4</v>
      </c>
      <c r="G34" s="271" t="s">
        <v>5</v>
      </c>
      <c r="H34" s="273" t="s">
        <v>953</v>
      </c>
      <c r="I34" s="274">
        <v>30.0</v>
      </c>
      <c r="J34" s="271">
        <v>278.0</v>
      </c>
      <c r="K34" s="271">
        <f t="shared" si="1"/>
        <v>8340</v>
      </c>
      <c r="L34" s="271">
        <v>23294.0</v>
      </c>
      <c r="M34" s="271">
        <v>60.0</v>
      </c>
      <c r="N34" s="275">
        <v>10.0</v>
      </c>
      <c r="O34" s="60"/>
      <c r="P34" s="50">
        <v>10.0</v>
      </c>
      <c r="Q34" s="271">
        <v>760.0</v>
      </c>
      <c r="R34" s="276">
        <v>-0.003</v>
      </c>
      <c r="S34" s="271">
        <v>735.0</v>
      </c>
      <c r="T34" s="271">
        <v>745.0</v>
      </c>
      <c r="U34" s="62">
        <v>1.0</v>
      </c>
      <c r="V34" s="277">
        <v>0.17</v>
      </c>
      <c r="W34" s="277">
        <v>0.0</v>
      </c>
      <c r="X34" s="271">
        <v>618.0</v>
      </c>
      <c r="Y34" s="271">
        <v>127.0</v>
      </c>
      <c r="Z34" s="50" t="b">
        <v>1</v>
      </c>
      <c r="AA34" s="50" t="s">
        <v>138</v>
      </c>
      <c r="AB34" s="50" t="s">
        <v>138</v>
      </c>
    </row>
    <row r="35">
      <c r="A35" s="271" t="s">
        <v>267</v>
      </c>
      <c r="B35" s="271" t="s">
        <v>267</v>
      </c>
      <c r="C35" s="272">
        <v>43455.0</v>
      </c>
      <c r="D35" s="272">
        <v>43485.0</v>
      </c>
      <c r="E35" s="271" t="s">
        <v>268</v>
      </c>
      <c r="F35" s="138" t="s">
        <v>4</v>
      </c>
      <c r="G35" s="271" t="s">
        <v>5</v>
      </c>
      <c r="H35" s="273" t="s">
        <v>951</v>
      </c>
      <c r="I35" s="274">
        <v>60.0</v>
      </c>
      <c r="J35" s="271">
        <v>487.0</v>
      </c>
      <c r="K35" s="271">
        <f t="shared" si="1"/>
        <v>29220</v>
      </c>
      <c r="L35" s="271">
        <v>24001.0</v>
      </c>
      <c r="M35" s="271">
        <v>2820.0</v>
      </c>
      <c r="N35" s="275">
        <v>29.0</v>
      </c>
      <c r="O35" s="60"/>
      <c r="P35" s="50">
        <v>29.0</v>
      </c>
      <c r="Q35" s="271">
        <v>1101.0</v>
      </c>
      <c r="R35" s="276">
        <v>-0.003</v>
      </c>
      <c r="S35" s="271">
        <v>1014.0</v>
      </c>
      <c r="T35" s="271">
        <v>1043.0</v>
      </c>
      <c r="U35" s="62">
        <v>1.0</v>
      </c>
      <c r="V35" s="277">
        <v>0.17</v>
      </c>
      <c r="W35" s="277">
        <v>0.0</v>
      </c>
      <c r="X35" s="271">
        <v>865.0</v>
      </c>
      <c r="Y35" s="271">
        <v>177.0</v>
      </c>
      <c r="Z35" s="50" t="b">
        <v>1</v>
      </c>
      <c r="AA35" s="50" t="s">
        <v>138</v>
      </c>
      <c r="AB35" s="50" t="s">
        <v>138</v>
      </c>
    </row>
    <row r="36">
      <c r="A36" s="271" t="s">
        <v>267</v>
      </c>
      <c r="B36" s="271" t="s">
        <v>267</v>
      </c>
      <c r="C36" s="272">
        <v>43455.0</v>
      </c>
      <c r="D36" s="272">
        <v>43485.0</v>
      </c>
      <c r="E36" s="271" t="s">
        <v>268</v>
      </c>
      <c r="F36" s="138" t="s">
        <v>4</v>
      </c>
      <c r="G36" s="271" t="s">
        <v>5</v>
      </c>
      <c r="H36" s="273" t="s">
        <v>954</v>
      </c>
      <c r="I36" s="274">
        <v>100.0</v>
      </c>
      <c r="J36" s="271">
        <v>982.0</v>
      </c>
      <c r="K36" s="271">
        <f t="shared" si="1"/>
        <v>98200</v>
      </c>
      <c r="L36" s="271">
        <v>46156.0</v>
      </c>
      <c r="M36" s="271">
        <v>2800.0</v>
      </c>
      <c r="N36" s="275">
        <v>98.0</v>
      </c>
      <c r="O36" s="60"/>
      <c r="P36" s="50">
        <v>98.0</v>
      </c>
      <c r="Q36" s="271">
        <v>3279.0</v>
      </c>
      <c r="R36" s="276">
        <v>-0.003</v>
      </c>
      <c r="S36" s="271">
        <v>2984.0</v>
      </c>
      <c r="T36" s="271">
        <v>3082.0</v>
      </c>
      <c r="U36" s="62">
        <v>1.0</v>
      </c>
      <c r="V36" s="277">
        <v>0.17</v>
      </c>
      <c r="W36" s="277">
        <v>0.0</v>
      </c>
      <c r="X36" s="271">
        <v>2558.0</v>
      </c>
      <c r="Y36" s="271">
        <v>524.0</v>
      </c>
      <c r="Z36" s="50" t="b">
        <v>1</v>
      </c>
      <c r="AA36" s="50" t="s">
        <v>138</v>
      </c>
      <c r="AB36" s="50" t="s">
        <v>138</v>
      </c>
    </row>
    <row r="37">
      <c r="A37" s="271" t="s">
        <v>156</v>
      </c>
      <c r="B37" s="271" t="s">
        <v>156</v>
      </c>
      <c r="C37" s="279">
        <v>43455.0</v>
      </c>
      <c r="D37" s="278">
        <v>43485.0</v>
      </c>
      <c r="E37" s="271" t="s">
        <v>268</v>
      </c>
      <c r="F37" s="101" t="s">
        <v>4</v>
      </c>
      <c r="G37" s="271" t="s">
        <v>5</v>
      </c>
      <c r="H37" s="273" t="s">
        <v>952</v>
      </c>
      <c r="I37" s="274">
        <v>15.0</v>
      </c>
      <c r="J37" s="271">
        <v>2.0</v>
      </c>
      <c r="K37" s="271">
        <f t="shared" si="1"/>
        <v>30</v>
      </c>
      <c r="L37" s="271">
        <v>904.0</v>
      </c>
      <c r="M37" s="271">
        <v>0.0</v>
      </c>
      <c r="N37" s="275">
        <v>0.0</v>
      </c>
      <c r="O37" s="60"/>
      <c r="P37" s="50">
        <v>0.0</v>
      </c>
      <c r="Q37" s="271">
        <v>23.0</v>
      </c>
      <c r="R37" s="276">
        <v>0.002419</v>
      </c>
      <c r="S37" s="271">
        <v>23.0</v>
      </c>
      <c r="T37" s="271">
        <v>23.0</v>
      </c>
      <c r="U37" s="62">
        <v>1.0</v>
      </c>
      <c r="V37" s="277">
        <v>0.17</v>
      </c>
      <c r="W37" s="277">
        <v>0.0</v>
      </c>
      <c r="X37" s="271">
        <v>19.0</v>
      </c>
      <c r="Y37" s="271">
        <v>4.0</v>
      </c>
      <c r="Z37" s="50" t="b">
        <v>1</v>
      </c>
      <c r="AA37" s="50" t="s">
        <v>138</v>
      </c>
      <c r="AB37" s="50" t="s">
        <v>138</v>
      </c>
    </row>
    <row r="38">
      <c r="A38" s="271" t="s">
        <v>156</v>
      </c>
      <c r="B38" s="271" t="s">
        <v>156</v>
      </c>
      <c r="C38" s="279">
        <v>43455.0</v>
      </c>
      <c r="D38" s="278">
        <v>43485.0</v>
      </c>
      <c r="E38" s="271" t="s">
        <v>268</v>
      </c>
      <c r="F38" s="101" t="s">
        <v>4</v>
      </c>
      <c r="G38" s="271" t="s">
        <v>5</v>
      </c>
      <c r="H38" s="273" t="s">
        <v>951</v>
      </c>
      <c r="I38" s="274">
        <v>60.0</v>
      </c>
      <c r="J38" s="271">
        <v>1616.0</v>
      </c>
      <c r="K38" s="271">
        <f t="shared" si="1"/>
        <v>96960</v>
      </c>
      <c r="L38" s="271">
        <v>88401.0</v>
      </c>
      <c r="M38" s="271">
        <v>4020.0</v>
      </c>
      <c r="N38" s="275">
        <v>97.0</v>
      </c>
      <c r="O38" s="60"/>
      <c r="P38" s="50">
        <v>97.0</v>
      </c>
      <c r="Q38" s="271">
        <v>4647.0</v>
      </c>
      <c r="R38" s="276">
        <v>0.002419</v>
      </c>
      <c r="S38" s="271">
        <v>4881.0</v>
      </c>
      <c r="T38" s="271">
        <v>4978.0</v>
      </c>
      <c r="U38" s="62">
        <v>1.0</v>
      </c>
      <c r="V38" s="277">
        <v>0.17</v>
      </c>
      <c r="W38" s="277">
        <v>0.0</v>
      </c>
      <c r="X38" s="271">
        <v>4132.0</v>
      </c>
      <c r="Y38" s="271">
        <v>846.0</v>
      </c>
      <c r="Z38" s="50" t="b">
        <v>1</v>
      </c>
      <c r="AA38" s="50" t="s">
        <v>138</v>
      </c>
      <c r="AB38" s="50" t="s">
        <v>138</v>
      </c>
    </row>
    <row r="39">
      <c r="A39" s="271" t="s">
        <v>177</v>
      </c>
      <c r="B39" s="271" t="s">
        <v>177</v>
      </c>
      <c r="C39" s="279">
        <v>43451.0</v>
      </c>
      <c r="D39" s="278">
        <v>43492.0</v>
      </c>
      <c r="E39" s="271" t="s">
        <v>268</v>
      </c>
      <c r="F39" s="101" t="s">
        <v>8</v>
      </c>
      <c r="G39" s="271" t="s">
        <v>5</v>
      </c>
      <c r="H39" s="273" t="s">
        <v>952</v>
      </c>
      <c r="I39" s="274">
        <v>15.0</v>
      </c>
      <c r="J39" s="271">
        <v>750.0</v>
      </c>
      <c r="K39" s="271">
        <f t="shared" si="1"/>
        <v>11250</v>
      </c>
      <c r="L39" s="271">
        <v>18527.0</v>
      </c>
      <c r="M39" s="271">
        <v>-570.0</v>
      </c>
      <c r="N39" s="275">
        <v>14.0</v>
      </c>
      <c r="O39" s="60"/>
      <c r="P39" s="50">
        <v>14.0</v>
      </c>
      <c r="Q39" s="271">
        <v>-201.0</v>
      </c>
      <c r="R39" s="276">
        <v>8.46E-4</v>
      </c>
      <c r="S39" s="271">
        <v>-191.0</v>
      </c>
      <c r="T39" s="271">
        <v>-177.0</v>
      </c>
      <c r="U39" s="62">
        <v>1.0</v>
      </c>
      <c r="V39" s="277">
        <v>0.17</v>
      </c>
      <c r="W39" s="277">
        <v>0.0</v>
      </c>
      <c r="X39" s="271">
        <v>-147.0</v>
      </c>
      <c r="Y39" s="271">
        <v>-30.0</v>
      </c>
      <c r="Z39" s="50" t="b">
        <v>1</v>
      </c>
      <c r="AA39" s="50" t="s">
        <v>138</v>
      </c>
      <c r="AB39" s="50" t="s">
        <v>138</v>
      </c>
    </row>
    <row r="40">
      <c r="A40" s="271" t="s">
        <v>177</v>
      </c>
      <c r="B40" s="271" t="s">
        <v>177</v>
      </c>
      <c r="C40" s="279">
        <v>43451.0</v>
      </c>
      <c r="D40" s="278">
        <v>43492.0</v>
      </c>
      <c r="E40" s="271" t="s">
        <v>268</v>
      </c>
      <c r="F40" s="101" t="s">
        <v>8</v>
      </c>
      <c r="G40" s="271" t="s">
        <v>5</v>
      </c>
      <c r="H40" s="273" t="s">
        <v>953</v>
      </c>
      <c r="I40" s="274">
        <v>30.0</v>
      </c>
      <c r="J40" s="271">
        <v>2543.0</v>
      </c>
      <c r="K40" s="271">
        <f t="shared" si="1"/>
        <v>76290</v>
      </c>
      <c r="L40" s="271">
        <v>146857.0</v>
      </c>
      <c r="M40" s="271">
        <v>1920.0</v>
      </c>
      <c r="N40" s="275">
        <v>92.0</v>
      </c>
      <c r="O40" s="60"/>
      <c r="P40" s="50">
        <v>92.0</v>
      </c>
      <c r="Q40" s="271">
        <v>3353.0</v>
      </c>
      <c r="R40" s="276">
        <v>9.04E-4</v>
      </c>
      <c r="S40" s="271">
        <v>3422.0</v>
      </c>
      <c r="T40" s="271">
        <v>3514.0</v>
      </c>
      <c r="U40" s="62">
        <v>1.0</v>
      </c>
      <c r="V40" s="277">
        <v>0.17</v>
      </c>
      <c r="W40" s="277">
        <v>0.0</v>
      </c>
      <c r="X40" s="271">
        <v>2917.0</v>
      </c>
      <c r="Y40" s="271">
        <v>597.0</v>
      </c>
      <c r="Z40" s="50" t="b">
        <v>1</v>
      </c>
      <c r="AA40" s="50" t="s">
        <v>138</v>
      </c>
      <c r="AB40" s="50" t="s">
        <v>138</v>
      </c>
    </row>
    <row r="41">
      <c r="A41" s="271" t="s">
        <v>267</v>
      </c>
      <c r="B41" s="271" t="s">
        <v>267</v>
      </c>
      <c r="C41" s="272">
        <v>43486.0</v>
      </c>
      <c r="D41" s="272">
        <v>43516.0</v>
      </c>
      <c r="E41" s="271" t="s">
        <v>268</v>
      </c>
      <c r="F41" s="138" t="s">
        <v>4</v>
      </c>
      <c r="G41" s="271" t="s">
        <v>5</v>
      </c>
      <c r="H41" s="273" t="s">
        <v>955</v>
      </c>
      <c r="I41" s="274">
        <v>25.0</v>
      </c>
      <c r="J41" s="271">
        <v>364.0</v>
      </c>
      <c r="K41" s="271">
        <f t="shared" si="1"/>
        <v>9100</v>
      </c>
      <c r="L41" s="271">
        <v>10621.0</v>
      </c>
      <c r="M41" s="271">
        <v>850.0</v>
      </c>
      <c r="N41" s="275">
        <v>13.0</v>
      </c>
      <c r="O41" s="60"/>
      <c r="P41" s="50">
        <v>13.0</v>
      </c>
      <c r="Q41" s="271">
        <v>-159.0</v>
      </c>
      <c r="R41" s="276">
        <v>-0.0025</v>
      </c>
      <c r="S41" s="271">
        <v>-182.0</v>
      </c>
      <c r="T41" s="271">
        <v>-169.0</v>
      </c>
      <c r="U41" s="62">
        <v>1.0</v>
      </c>
      <c r="V41" s="277">
        <v>0.25</v>
      </c>
      <c r="W41" s="277">
        <v>0.0</v>
      </c>
      <c r="X41" s="271">
        <v>-127.0</v>
      </c>
      <c r="Y41" s="271">
        <v>-42.0</v>
      </c>
      <c r="Z41" s="50" t="b">
        <v>1</v>
      </c>
      <c r="AA41" s="50" t="s">
        <v>138</v>
      </c>
      <c r="AB41" s="50" t="s">
        <v>138</v>
      </c>
    </row>
    <row r="42">
      <c r="A42" s="271" t="s">
        <v>267</v>
      </c>
      <c r="B42" s="271" t="s">
        <v>267</v>
      </c>
      <c r="C42" s="272">
        <v>43486.0</v>
      </c>
      <c r="D42" s="272">
        <v>43516.0</v>
      </c>
      <c r="E42" s="271" t="s">
        <v>268</v>
      </c>
      <c r="F42" s="138" t="s">
        <v>4</v>
      </c>
      <c r="G42" s="271" t="s">
        <v>5</v>
      </c>
      <c r="H42" s="273" t="s">
        <v>953</v>
      </c>
      <c r="I42" s="274">
        <v>30.0</v>
      </c>
      <c r="J42" s="271">
        <v>572.0</v>
      </c>
      <c r="K42" s="271">
        <f t="shared" si="1"/>
        <v>17160</v>
      </c>
      <c r="L42" s="271">
        <v>47534.0</v>
      </c>
      <c r="M42" s="271">
        <v>1860.0</v>
      </c>
      <c r="N42" s="275">
        <v>21.0</v>
      </c>
      <c r="O42" s="60"/>
      <c r="P42" s="50">
        <v>21.0</v>
      </c>
      <c r="Q42" s="271">
        <v>1567.0</v>
      </c>
      <c r="R42" s="276">
        <v>-0.0025</v>
      </c>
      <c r="S42" s="271">
        <v>1525.0</v>
      </c>
      <c r="T42" s="271">
        <v>1546.0</v>
      </c>
      <c r="U42" s="62">
        <v>1.0</v>
      </c>
      <c r="V42" s="277">
        <v>0.25</v>
      </c>
      <c r="W42" s="277">
        <v>0.0</v>
      </c>
      <c r="X42" s="271">
        <v>1159.0</v>
      </c>
      <c r="Y42" s="271">
        <v>386.0</v>
      </c>
      <c r="Z42" s="50" t="b">
        <v>1</v>
      </c>
      <c r="AA42" s="50" t="s">
        <v>138</v>
      </c>
      <c r="AB42" s="50" t="s">
        <v>138</v>
      </c>
    </row>
    <row r="43">
      <c r="A43" s="271" t="s">
        <v>267</v>
      </c>
      <c r="B43" s="271" t="s">
        <v>267</v>
      </c>
      <c r="C43" s="272">
        <v>43486.0</v>
      </c>
      <c r="D43" s="272">
        <v>43516.0</v>
      </c>
      <c r="E43" s="271" t="s">
        <v>268</v>
      </c>
      <c r="F43" s="138" t="s">
        <v>4</v>
      </c>
      <c r="G43" s="271" t="s">
        <v>5</v>
      </c>
      <c r="H43" s="273" t="s">
        <v>951</v>
      </c>
      <c r="I43" s="274">
        <v>60.0</v>
      </c>
      <c r="J43" s="271">
        <v>836.0</v>
      </c>
      <c r="K43" s="271">
        <f t="shared" si="1"/>
        <v>50160</v>
      </c>
      <c r="L43" s="271">
        <v>27494.0</v>
      </c>
      <c r="M43" s="271">
        <v>-2460.0</v>
      </c>
      <c r="N43" s="275">
        <v>50.0</v>
      </c>
      <c r="O43" s="60"/>
      <c r="P43" s="50">
        <v>50.0</v>
      </c>
      <c r="Q43" s="271">
        <v>408.0</v>
      </c>
      <c r="R43" s="276">
        <v>-0.0025</v>
      </c>
      <c r="S43" s="271">
        <v>283.0</v>
      </c>
      <c r="T43" s="271">
        <v>333.0</v>
      </c>
      <c r="U43" s="62">
        <v>1.0</v>
      </c>
      <c r="V43" s="277">
        <v>0.25</v>
      </c>
      <c r="W43" s="277">
        <v>0.0</v>
      </c>
      <c r="X43" s="271">
        <v>249.0</v>
      </c>
      <c r="Y43" s="271">
        <v>83.0</v>
      </c>
      <c r="Z43" s="50" t="b">
        <v>1</v>
      </c>
      <c r="AA43" s="50" t="s">
        <v>138</v>
      </c>
      <c r="AB43" s="50" t="s">
        <v>138</v>
      </c>
    </row>
    <row r="44">
      <c r="A44" s="271" t="s">
        <v>267</v>
      </c>
      <c r="B44" s="271" t="s">
        <v>267</v>
      </c>
      <c r="C44" s="272">
        <v>43486.0</v>
      </c>
      <c r="D44" s="272">
        <v>43516.0</v>
      </c>
      <c r="E44" s="271" t="s">
        <v>268</v>
      </c>
      <c r="F44" s="138" t="s">
        <v>4</v>
      </c>
      <c r="G44" s="271" t="s">
        <v>5</v>
      </c>
      <c r="H44" s="273" t="s">
        <v>954</v>
      </c>
      <c r="I44" s="274">
        <v>100.0</v>
      </c>
      <c r="J44" s="271">
        <v>1327.0</v>
      </c>
      <c r="K44" s="271">
        <f t="shared" si="1"/>
        <v>132700</v>
      </c>
      <c r="L44" s="271">
        <v>35969.0</v>
      </c>
      <c r="M44" s="271">
        <v>2000.0</v>
      </c>
      <c r="N44" s="275">
        <v>133.0</v>
      </c>
      <c r="O44" s="60"/>
      <c r="P44" s="50">
        <v>133.0</v>
      </c>
      <c r="Q44" s="271">
        <v>-370.0</v>
      </c>
      <c r="R44" s="276">
        <v>-0.0025</v>
      </c>
      <c r="S44" s="271">
        <v>-702.0</v>
      </c>
      <c r="T44" s="271">
        <v>-569.0</v>
      </c>
      <c r="U44" s="62">
        <v>1.0</v>
      </c>
      <c r="V44" s="277">
        <v>0.25</v>
      </c>
      <c r="W44" s="277">
        <v>0.0</v>
      </c>
      <c r="X44" s="271">
        <v>-427.0</v>
      </c>
      <c r="Y44" s="271">
        <v>-142.0</v>
      </c>
      <c r="Z44" s="50" t="b">
        <v>1</v>
      </c>
      <c r="AA44" s="50" t="s">
        <v>138</v>
      </c>
      <c r="AB44" s="50" t="s">
        <v>138</v>
      </c>
    </row>
    <row r="45">
      <c r="A45" s="271" t="s">
        <v>156</v>
      </c>
      <c r="B45" s="271" t="s">
        <v>156</v>
      </c>
      <c r="C45" s="278">
        <v>43486.0</v>
      </c>
      <c r="D45" s="278">
        <v>43516.0</v>
      </c>
      <c r="E45" s="271" t="s">
        <v>268</v>
      </c>
      <c r="F45" s="101" t="s">
        <v>4</v>
      </c>
      <c r="G45" s="271" t="s">
        <v>5</v>
      </c>
      <c r="H45" s="273" t="s">
        <v>953</v>
      </c>
      <c r="I45" s="274">
        <v>30.0</v>
      </c>
      <c r="J45" s="271">
        <v>160.0</v>
      </c>
      <c r="K45" s="271">
        <f t="shared" si="1"/>
        <v>4800</v>
      </c>
      <c r="L45" s="271">
        <v>7376.0</v>
      </c>
      <c r="M45" s="271">
        <v>60.0</v>
      </c>
      <c r="N45" s="275">
        <v>6.0</v>
      </c>
      <c r="O45" s="60"/>
      <c r="P45" s="50">
        <v>6.0</v>
      </c>
      <c r="Q45" s="271">
        <v>106.0</v>
      </c>
      <c r="R45" s="276">
        <v>-7.27E-4</v>
      </c>
      <c r="S45" s="271">
        <v>103.0</v>
      </c>
      <c r="T45" s="271">
        <v>109.0</v>
      </c>
      <c r="U45" s="62">
        <v>1.0</v>
      </c>
      <c r="V45" s="277">
        <v>0.1</v>
      </c>
      <c r="W45" s="277">
        <v>0.0</v>
      </c>
      <c r="X45" s="271">
        <v>98.0</v>
      </c>
      <c r="Y45" s="271">
        <v>11.0</v>
      </c>
      <c r="Z45" s="50" t="b">
        <v>1</v>
      </c>
      <c r="AA45" s="50" t="s">
        <v>138</v>
      </c>
      <c r="AB45" s="50" t="s">
        <v>138</v>
      </c>
    </row>
    <row r="46">
      <c r="A46" s="271" t="s">
        <v>156</v>
      </c>
      <c r="B46" s="271" t="s">
        <v>156</v>
      </c>
      <c r="C46" s="278">
        <v>43486.0</v>
      </c>
      <c r="D46" s="278">
        <v>43516.0</v>
      </c>
      <c r="E46" s="271" t="s">
        <v>268</v>
      </c>
      <c r="F46" s="101" t="s">
        <v>4</v>
      </c>
      <c r="G46" s="271" t="s">
        <v>5</v>
      </c>
      <c r="H46" s="273" t="s">
        <v>951</v>
      </c>
      <c r="I46" s="274">
        <v>60.0</v>
      </c>
      <c r="J46" s="271">
        <v>2142.0</v>
      </c>
      <c r="K46" s="271">
        <f t="shared" si="1"/>
        <v>128520</v>
      </c>
      <c r="L46" s="271">
        <v>116355.0</v>
      </c>
      <c r="M46" s="271">
        <v>8400.0</v>
      </c>
      <c r="N46" s="275">
        <v>129.0</v>
      </c>
      <c r="O46" s="60"/>
      <c r="P46" s="50">
        <v>129.0</v>
      </c>
      <c r="Q46" s="271">
        <v>6250.0</v>
      </c>
      <c r="R46" s="276">
        <v>-7.27E-4</v>
      </c>
      <c r="S46" s="271">
        <v>6156.0</v>
      </c>
      <c r="T46" s="271">
        <v>6285.0</v>
      </c>
      <c r="U46" s="62">
        <v>1.0</v>
      </c>
      <c r="V46" s="277">
        <v>0.1</v>
      </c>
      <c r="W46" s="277">
        <v>0.0</v>
      </c>
      <c r="X46" s="271">
        <v>5657.0</v>
      </c>
      <c r="Y46" s="271">
        <v>629.0</v>
      </c>
      <c r="Z46" s="50" t="b">
        <v>1</v>
      </c>
      <c r="AA46" s="50" t="s">
        <v>138</v>
      </c>
      <c r="AB46" s="50" t="s">
        <v>138</v>
      </c>
    </row>
    <row r="47">
      <c r="A47" s="271" t="s">
        <v>156</v>
      </c>
      <c r="B47" s="271" t="s">
        <v>156</v>
      </c>
      <c r="C47" s="278">
        <v>43486.0</v>
      </c>
      <c r="D47" s="278">
        <v>43516.0</v>
      </c>
      <c r="E47" s="271" t="s">
        <v>268</v>
      </c>
      <c r="F47" s="101" t="s">
        <v>4</v>
      </c>
      <c r="G47" s="271" t="s">
        <v>5</v>
      </c>
      <c r="H47" s="273" t="s">
        <v>954</v>
      </c>
      <c r="I47" s="274">
        <v>100.0</v>
      </c>
      <c r="J47" s="271">
        <v>235.0</v>
      </c>
      <c r="K47" s="271">
        <f t="shared" si="1"/>
        <v>23500</v>
      </c>
      <c r="L47" s="271">
        <v>14748.0</v>
      </c>
      <c r="M47" s="271">
        <v>2300.0</v>
      </c>
      <c r="N47" s="275">
        <v>24.0</v>
      </c>
      <c r="O47" s="60"/>
      <c r="P47" s="50">
        <v>24.0</v>
      </c>
      <c r="Q47" s="271">
        <v>1517.0</v>
      </c>
      <c r="R47" s="276">
        <v>-7.27E-4</v>
      </c>
      <c r="S47" s="271">
        <v>1500.0</v>
      </c>
      <c r="T47" s="271">
        <v>1524.0</v>
      </c>
      <c r="U47" s="62">
        <v>1.0</v>
      </c>
      <c r="V47" s="277">
        <v>0.1</v>
      </c>
      <c r="W47" s="277">
        <v>0.0</v>
      </c>
      <c r="X47" s="271">
        <v>1372.0</v>
      </c>
      <c r="Y47" s="271">
        <v>152.0</v>
      </c>
      <c r="Z47" s="50" t="b">
        <v>1</v>
      </c>
      <c r="AA47" s="50" t="s">
        <v>138</v>
      </c>
      <c r="AB47" s="50" t="s">
        <v>138</v>
      </c>
    </row>
    <row r="48">
      <c r="A48" s="271" t="s">
        <v>177</v>
      </c>
      <c r="B48" s="271" t="s">
        <v>177</v>
      </c>
      <c r="C48" s="278">
        <v>43493.0</v>
      </c>
      <c r="D48" s="278">
        <v>43520.0</v>
      </c>
      <c r="E48" s="271" t="s">
        <v>268</v>
      </c>
      <c r="F48" s="101" t="s">
        <v>8</v>
      </c>
      <c r="G48" s="271" t="s">
        <v>5</v>
      </c>
      <c r="H48" s="273" t="s">
        <v>953</v>
      </c>
      <c r="I48" s="274">
        <v>30.0</v>
      </c>
      <c r="J48" s="271">
        <v>1775.0</v>
      </c>
      <c r="K48" s="271">
        <f t="shared" si="1"/>
        <v>53250</v>
      </c>
      <c r="L48" s="271">
        <v>64777.0</v>
      </c>
      <c r="M48" s="271">
        <v>1590.0</v>
      </c>
      <c r="N48" s="275">
        <v>64.0</v>
      </c>
      <c r="O48" s="60"/>
      <c r="P48" s="50">
        <v>64.0</v>
      </c>
      <c r="Q48" s="271">
        <v>225.0</v>
      </c>
      <c r="R48" s="276">
        <v>-0.001401</v>
      </c>
      <c r="S48" s="271">
        <v>150.0</v>
      </c>
      <c r="T48" s="271">
        <v>214.0</v>
      </c>
      <c r="U48" s="62">
        <v>1.0</v>
      </c>
      <c r="V48" s="277">
        <v>0.25</v>
      </c>
      <c r="W48" s="277">
        <v>0.0</v>
      </c>
      <c r="X48" s="271">
        <v>161.0</v>
      </c>
      <c r="Y48" s="271">
        <v>54.0</v>
      </c>
      <c r="Z48" s="50" t="b">
        <v>1</v>
      </c>
      <c r="AA48" s="50" t="s">
        <v>138</v>
      </c>
      <c r="AB48" s="50" t="s">
        <v>138</v>
      </c>
    </row>
    <row r="49">
      <c r="A49" s="271" t="s">
        <v>177</v>
      </c>
      <c r="B49" s="271" t="s">
        <v>177</v>
      </c>
      <c r="C49" s="278">
        <v>43493.0</v>
      </c>
      <c r="D49" s="278">
        <v>43520.0</v>
      </c>
      <c r="E49" s="271" t="s">
        <v>268</v>
      </c>
      <c r="F49" s="101" t="s">
        <v>8</v>
      </c>
      <c r="G49" s="271" t="s">
        <v>5</v>
      </c>
      <c r="H49" s="273" t="s">
        <v>951</v>
      </c>
      <c r="I49" s="274">
        <v>60.0</v>
      </c>
      <c r="J49" s="271">
        <v>632.0</v>
      </c>
      <c r="K49" s="271">
        <f t="shared" si="1"/>
        <v>37920</v>
      </c>
      <c r="L49" s="271">
        <v>6286.0</v>
      </c>
      <c r="M49" s="271">
        <v>2100.0</v>
      </c>
      <c r="N49" s="275">
        <v>38.0</v>
      </c>
      <c r="O49" s="60"/>
      <c r="P49" s="50">
        <v>38.0</v>
      </c>
      <c r="Q49" s="271">
        <v>-1335.0</v>
      </c>
      <c r="R49" s="276">
        <v>-0.001342</v>
      </c>
      <c r="S49" s="271">
        <v>-1386.0</v>
      </c>
      <c r="T49" s="271">
        <v>-1348.0</v>
      </c>
      <c r="U49" s="62">
        <v>1.0</v>
      </c>
      <c r="V49" s="277">
        <v>0.25</v>
      </c>
      <c r="W49" s="277">
        <v>0.0</v>
      </c>
      <c r="X49" s="271">
        <v>-1011.0</v>
      </c>
      <c r="Y49" s="271">
        <v>-337.0</v>
      </c>
      <c r="Z49" s="50" t="b">
        <v>1</v>
      </c>
      <c r="AA49" s="50" t="s">
        <v>138</v>
      </c>
      <c r="AB49" s="50" t="s">
        <v>138</v>
      </c>
    </row>
    <row r="50">
      <c r="A50" s="271" t="s">
        <v>267</v>
      </c>
      <c r="B50" s="271" t="s">
        <v>267</v>
      </c>
      <c r="C50" s="272">
        <v>43517.0</v>
      </c>
      <c r="D50" s="272">
        <v>43544.0</v>
      </c>
      <c r="E50" s="271" t="s">
        <v>268</v>
      </c>
      <c r="F50" s="138" t="s">
        <v>4</v>
      </c>
      <c r="G50" s="271" t="s">
        <v>5</v>
      </c>
      <c r="H50" s="273" t="s">
        <v>952</v>
      </c>
      <c r="I50" s="274">
        <v>15.0</v>
      </c>
      <c r="J50" s="271">
        <v>22.0</v>
      </c>
      <c r="K50" s="271">
        <f t="shared" si="1"/>
        <v>330</v>
      </c>
      <c r="L50" s="271">
        <v>1518.0</v>
      </c>
      <c r="M50" s="271">
        <v>90.0</v>
      </c>
      <c r="N50" s="275">
        <v>0.0</v>
      </c>
      <c r="O50" s="60"/>
      <c r="P50" s="50">
        <v>0.0</v>
      </c>
      <c r="Q50" s="271">
        <v>21.0</v>
      </c>
      <c r="R50" s="276">
        <v>-0.0025</v>
      </c>
      <c r="S50" s="271">
        <v>21.0</v>
      </c>
      <c r="T50" s="271">
        <v>21.0</v>
      </c>
      <c r="U50" s="62">
        <v>1.0</v>
      </c>
      <c r="V50" s="277">
        <v>0.1</v>
      </c>
      <c r="W50" s="277">
        <v>0.0</v>
      </c>
      <c r="X50" s="271">
        <v>19.0</v>
      </c>
      <c r="Y50" s="271">
        <v>2.0</v>
      </c>
      <c r="Z50" s="50" t="b">
        <v>1</v>
      </c>
      <c r="AA50" s="50" t="s">
        <v>138</v>
      </c>
      <c r="AB50" s="50" t="s">
        <v>138</v>
      </c>
    </row>
    <row r="51">
      <c r="A51" s="271" t="s">
        <v>267</v>
      </c>
      <c r="B51" s="271" t="s">
        <v>267</v>
      </c>
      <c r="C51" s="272">
        <v>43517.0</v>
      </c>
      <c r="D51" s="272">
        <v>43544.0</v>
      </c>
      <c r="E51" s="271" t="s">
        <v>268</v>
      </c>
      <c r="F51" s="138" t="s">
        <v>4</v>
      </c>
      <c r="G51" s="271" t="s">
        <v>5</v>
      </c>
      <c r="H51" s="273" t="s">
        <v>955</v>
      </c>
      <c r="I51" s="274">
        <v>25.0</v>
      </c>
      <c r="J51" s="271">
        <v>313.0</v>
      </c>
      <c r="K51" s="271">
        <f t="shared" si="1"/>
        <v>7825</v>
      </c>
      <c r="L51" s="271">
        <v>30156.0</v>
      </c>
      <c r="M51" s="271">
        <v>675.0</v>
      </c>
      <c r="N51" s="275">
        <v>11.0</v>
      </c>
      <c r="O51" s="60"/>
      <c r="P51" s="50">
        <v>11.0</v>
      </c>
      <c r="Q51" s="271">
        <v>838.0</v>
      </c>
      <c r="R51" s="276">
        <v>-0.0025</v>
      </c>
      <c r="S51" s="271">
        <v>819.0</v>
      </c>
      <c r="T51" s="271">
        <v>830.0</v>
      </c>
      <c r="U51" s="62">
        <v>1.0</v>
      </c>
      <c r="V51" s="277">
        <v>0.1</v>
      </c>
      <c r="W51" s="277">
        <v>0.0</v>
      </c>
      <c r="X51" s="271">
        <v>747.0</v>
      </c>
      <c r="Y51" s="271">
        <v>83.0</v>
      </c>
      <c r="Z51" s="50" t="b">
        <v>1</v>
      </c>
      <c r="AA51" s="50" t="s">
        <v>138</v>
      </c>
      <c r="AB51" s="50" t="s">
        <v>138</v>
      </c>
    </row>
    <row r="52">
      <c r="A52" s="271" t="s">
        <v>267</v>
      </c>
      <c r="B52" s="271" t="s">
        <v>267</v>
      </c>
      <c r="C52" s="272">
        <v>43517.0</v>
      </c>
      <c r="D52" s="272">
        <v>43544.0</v>
      </c>
      <c r="E52" s="271" t="s">
        <v>268</v>
      </c>
      <c r="F52" s="138" t="s">
        <v>4</v>
      </c>
      <c r="G52" s="271" t="s">
        <v>5</v>
      </c>
      <c r="H52" s="273" t="s">
        <v>953</v>
      </c>
      <c r="I52" s="274">
        <v>30.0</v>
      </c>
      <c r="J52" s="271">
        <v>628.0</v>
      </c>
      <c r="K52" s="271">
        <f t="shared" si="1"/>
        <v>18840</v>
      </c>
      <c r="L52" s="271">
        <v>19305.0</v>
      </c>
      <c r="M52" s="271">
        <v>-180.0</v>
      </c>
      <c r="N52" s="275">
        <v>23.0</v>
      </c>
      <c r="O52" s="60"/>
      <c r="P52" s="50">
        <v>23.0</v>
      </c>
      <c r="Q52" s="271">
        <v>-123.0</v>
      </c>
      <c r="R52" s="276">
        <v>-0.0025</v>
      </c>
      <c r="S52" s="271">
        <v>-170.0</v>
      </c>
      <c r="T52" s="271">
        <v>-147.0</v>
      </c>
      <c r="U52" s="62">
        <v>1.0</v>
      </c>
      <c r="V52" s="277">
        <v>0.1</v>
      </c>
      <c r="W52" s="277">
        <v>0.0</v>
      </c>
      <c r="X52" s="271">
        <v>-133.0</v>
      </c>
      <c r="Y52" s="271">
        <v>-15.0</v>
      </c>
      <c r="Z52" s="50" t="b">
        <v>1</v>
      </c>
      <c r="AA52" s="50" t="s">
        <v>138</v>
      </c>
      <c r="AB52" s="50" t="s">
        <v>138</v>
      </c>
    </row>
    <row r="53">
      <c r="A53" s="271" t="s">
        <v>267</v>
      </c>
      <c r="B53" s="271" t="s">
        <v>267</v>
      </c>
      <c r="C53" s="272">
        <v>43517.0</v>
      </c>
      <c r="D53" s="272">
        <v>43544.0</v>
      </c>
      <c r="E53" s="271" t="s">
        <v>268</v>
      </c>
      <c r="F53" s="138" t="s">
        <v>4</v>
      </c>
      <c r="G53" s="271" t="s">
        <v>5</v>
      </c>
      <c r="H53" s="273" t="s">
        <v>956</v>
      </c>
      <c r="I53" s="274">
        <v>40.0</v>
      </c>
      <c r="J53" s="271">
        <v>338.0</v>
      </c>
      <c r="K53" s="271">
        <f t="shared" si="1"/>
        <v>13520</v>
      </c>
      <c r="L53" s="271">
        <v>25946.0</v>
      </c>
      <c r="M53" s="271">
        <v>1600.0</v>
      </c>
      <c r="N53" s="275">
        <v>19.0</v>
      </c>
      <c r="O53" s="60"/>
      <c r="P53" s="50">
        <v>19.0</v>
      </c>
      <c r="Q53" s="271">
        <v>961.0</v>
      </c>
      <c r="R53" s="276">
        <v>-0.0025</v>
      </c>
      <c r="S53" s="271">
        <v>927.0</v>
      </c>
      <c r="T53" s="271">
        <v>946.0</v>
      </c>
      <c r="U53" s="62">
        <v>1.0</v>
      </c>
      <c r="V53" s="277">
        <v>0.1</v>
      </c>
      <c r="W53" s="277">
        <v>0.0</v>
      </c>
      <c r="X53" s="271">
        <v>851.0</v>
      </c>
      <c r="Y53" s="271">
        <v>95.0</v>
      </c>
      <c r="Z53" s="50" t="b">
        <v>1</v>
      </c>
      <c r="AA53" s="50" t="s">
        <v>138</v>
      </c>
      <c r="AB53" s="50" t="s">
        <v>138</v>
      </c>
    </row>
    <row r="54">
      <c r="A54" s="271" t="s">
        <v>267</v>
      </c>
      <c r="B54" s="271" t="s">
        <v>267</v>
      </c>
      <c r="C54" s="272">
        <v>43517.0</v>
      </c>
      <c r="D54" s="272">
        <v>43544.0</v>
      </c>
      <c r="E54" s="271" t="s">
        <v>268</v>
      </c>
      <c r="F54" s="138" t="s">
        <v>4</v>
      </c>
      <c r="G54" s="271" t="s">
        <v>5</v>
      </c>
      <c r="H54" s="273" t="s">
        <v>951</v>
      </c>
      <c r="I54" s="274">
        <v>60.0</v>
      </c>
      <c r="J54" s="271">
        <v>606.0</v>
      </c>
      <c r="K54" s="271">
        <f t="shared" si="1"/>
        <v>36360</v>
      </c>
      <c r="L54" s="271">
        <v>35898.0</v>
      </c>
      <c r="M54" s="271">
        <v>2880.0</v>
      </c>
      <c r="N54" s="275">
        <v>36.0</v>
      </c>
      <c r="O54" s="60"/>
      <c r="P54" s="50">
        <v>36.0</v>
      </c>
      <c r="Q54" s="271">
        <v>2106.0</v>
      </c>
      <c r="R54" s="276">
        <v>-0.0025</v>
      </c>
      <c r="S54" s="271">
        <v>2015.0</v>
      </c>
      <c r="T54" s="271">
        <v>2051.0</v>
      </c>
      <c r="U54" s="62">
        <v>1.0</v>
      </c>
      <c r="V54" s="277">
        <v>0.1</v>
      </c>
      <c r="W54" s="277">
        <v>0.0</v>
      </c>
      <c r="X54" s="271">
        <v>1846.0</v>
      </c>
      <c r="Y54" s="271">
        <v>205.0</v>
      </c>
      <c r="Z54" s="50" t="b">
        <v>1</v>
      </c>
      <c r="AA54" s="50" t="s">
        <v>138</v>
      </c>
      <c r="AB54" s="50" t="s">
        <v>138</v>
      </c>
    </row>
    <row r="55">
      <c r="A55" s="271" t="s">
        <v>267</v>
      </c>
      <c r="B55" s="271" t="s">
        <v>267</v>
      </c>
      <c r="C55" s="272">
        <v>43517.0</v>
      </c>
      <c r="D55" s="272">
        <v>43544.0</v>
      </c>
      <c r="E55" s="271" t="s">
        <v>268</v>
      </c>
      <c r="F55" s="138" t="s">
        <v>4</v>
      </c>
      <c r="G55" s="271" t="s">
        <v>5</v>
      </c>
      <c r="H55" s="273" t="s">
        <v>954</v>
      </c>
      <c r="I55" s="274">
        <v>100.0</v>
      </c>
      <c r="J55" s="271">
        <v>698.0</v>
      </c>
      <c r="K55" s="271">
        <f t="shared" si="1"/>
        <v>69800</v>
      </c>
      <c r="L55" s="271">
        <v>40608.0</v>
      </c>
      <c r="M55" s="271">
        <v>22400.0</v>
      </c>
      <c r="N55" s="275">
        <v>70.0</v>
      </c>
      <c r="O55" s="60"/>
      <c r="P55" s="50">
        <v>70.0</v>
      </c>
      <c r="Q55" s="271">
        <v>3903.0</v>
      </c>
      <c r="R55" s="276">
        <v>-0.0025</v>
      </c>
      <c r="S55" s="271">
        <v>3728.0</v>
      </c>
      <c r="T55" s="271">
        <v>3798.0</v>
      </c>
      <c r="U55" s="62">
        <v>1.0</v>
      </c>
      <c r="V55" s="277">
        <v>0.1</v>
      </c>
      <c r="W55" s="277">
        <v>0.0</v>
      </c>
      <c r="X55" s="271">
        <v>3419.0</v>
      </c>
      <c r="Y55" s="271">
        <v>380.0</v>
      </c>
      <c r="Z55" s="50" t="b">
        <v>1</v>
      </c>
      <c r="AA55" s="50" t="s">
        <v>138</v>
      </c>
      <c r="AB55" s="50" t="s">
        <v>138</v>
      </c>
    </row>
    <row r="56">
      <c r="A56" s="271" t="s">
        <v>156</v>
      </c>
      <c r="B56" s="271" t="s">
        <v>156</v>
      </c>
      <c r="C56" s="278">
        <v>43517.0</v>
      </c>
      <c r="D56" s="278">
        <v>43544.0</v>
      </c>
      <c r="E56" s="271" t="s">
        <v>268</v>
      </c>
      <c r="F56" s="101" t="s">
        <v>4</v>
      </c>
      <c r="G56" s="271" t="s">
        <v>5</v>
      </c>
      <c r="H56" s="273" t="s">
        <v>952</v>
      </c>
      <c r="I56" s="274">
        <v>15.0</v>
      </c>
      <c r="J56" s="271">
        <v>1.0</v>
      </c>
      <c r="K56" s="271">
        <f t="shared" si="1"/>
        <v>15</v>
      </c>
      <c r="L56" s="271">
        <v>-196.0</v>
      </c>
      <c r="M56" s="271">
        <v>-15.0</v>
      </c>
      <c r="N56" s="275">
        <v>0.0</v>
      </c>
      <c r="O56" s="60"/>
      <c r="P56" s="50">
        <v>0.0</v>
      </c>
      <c r="Q56" s="271">
        <v>-6.0</v>
      </c>
      <c r="R56" s="276">
        <v>0.00178</v>
      </c>
      <c r="S56" s="271">
        <v>-6.0</v>
      </c>
      <c r="T56" s="271">
        <v>-6.0</v>
      </c>
      <c r="U56" s="62">
        <v>1.0</v>
      </c>
      <c r="V56" s="277">
        <v>0.17</v>
      </c>
      <c r="W56" s="277">
        <v>0.0</v>
      </c>
      <c r="X56" s="271">
        <v>-5.0</v>
      </c>
      <c r="Y56" s="271">
        <v>-1.0</v>
      </c>
      <c r="Z56" s="50" t="b">
        <v>1</v>
      </c>
      <c r="AA56" s="50" t="s">
        <v>138</v>
      </c>
      <c r="AB56" s="50" t="s">
        <v>138</v>
      </c>
    </row>
    <row r="57">
      <c r="A57" s="271" t="s">
        <v>156</v>
      </c>
      <c r="B57" s="271" t="s">
        <v>156</v>
      </c>
      <c r="C57" s="278">
        <v>43517.0</v>
      </c>
      <c r="D57" s="278">
        <v>43544.0</v>
      </c>
      <c r="E57" s="271" t="s">
        <v>268</v>
      </c>
      <c r="F57" s="101" t="s">
        <v>4</v>
      </c>
      <c r="G57" s="271" t="s">
        <v>5</v>
      </c>
      <c r="H57" s="273" t="s">
        <v>953</v>
      </c>
      <c r="I57" s="274">
        <v>30.0</v>
      </c>
      <c r="J57" s="271">
        <v>139.0</v>
      </c>
      <c r="K57" s="271">
        <f t="shared" si="1"/>
        <v>4170</v>
      </c>
      <c r="L57" s="271">
        <v>10362.0</v>
      </c>
      <c r="M57" s="271">
        <v>690.0</v>
      </c>
      <c r="N57" s="275">
        <v>5.0</v>
      </c>
      <c r="O57" s="60"/>
      <c r="P57" s="50">
        <v>5.0</v>
      </c>
      <c r="Q57" s="271">
        <v>314.0</v>
      </c>
      <c r="R57" s="276">
        <v>0.00178</v>
      </c>
      <c r="S57" s="271">
        <v>322.0</v>
      </c>
      <c r="T57" s="271">
        <v>327.0</v>
      </c>
      <c r="U57" s="62">
        <v>1.0</v>
      </c>
      <c r="V57" s="277">
        <v>0.17</v>
      </c>
      <c r="W57" s="277">
        <v>0.0</v>
      </c>
      <c r="X57" s="271">
        <v>271.0</v>
      </c>
      <c r="Y57" s="271">
        <v>56.0</v>
      </c>
      <c r="Z57" s="50" t="b">
        <v>1</v>
      </c>
      <c r="AA57" s="50" t="s">
        <v>138</v>
      </c>
      <c r="AB57" s="50" t="s">
        <v>138</v>
      </c>
    </row>
    <row r="58">
      <c r="A58" s="271" t="s">
        <v>156</v>
      </c>
      <c r="B58" s="271" t="s">
        <v>156</v>
      </c>
      <c r="C58" s="278">
        <v>43517.0</v>
      </c>
      <c r="D58" s="278">
        <v>43544.0</v>
      </c>
      <c r="E58" s="271" t="s">
        <v>268</v>
      </c>
      <c r="F58" s="101" t="s">
        <v>4</v>
      </c>
      <c r="G58" s="271" t="s">
        <v>5</v>
      </c>
      <c r="H58" s="273" t="s">
        <v>951</v>
      </c>
      <c r="I58" s="274">
        <v>60.0</v>
      </c>
      <c r="J58" s="271">
        <v>248.0</v>
      </c>
      <c r="K58" s="271">
        <f t="shared" si="1"/>
        <v>14880</v>
      </c>
      <c r="L58" s="271">
        <v>18988.0</v>
      </c>
      <c r="M58" s="271">
        <v>120.0</v>
      </c>
      <c r="N58" s="275">
        <v>15.0</v>
      </c>
      <c r="O58" s="60"/>
      <c r="P58" s="50">
        <v>15.0</v>
      </c>
      <c r="Q58" s="271">
        <v>1349.0</v>
      </c>
      <c r="R58" s="276">
        <v>0.00178</v>
      </c>
      <c r="S58" s="271">
        <v>1375.0</v>
      </c>
      <c r="T58" s="271">
        <v>1390.0</v>
      </c>
      <c r="U58" s="62">
        <v>1.0</v>
      </c>
      <c r="V58" s="277">
        <v>0.17</v>
      </c>
      <c r="W58" s="277">
        <v>0.0</v>
      </c>
      <c r="X58" s="271">
        <v>1154.0</v>
      </c>
      <c r="Y58" s="271">
        <v>236.0</v>
      </c>
      <c r="Z58" s="50" t="b">
        <v>1</v>
      </c>
      <c r="AA58" s="50" t="s">
        <v>138</v>
      </c>
      <c r="AB58" s="50" t="s">
        <v>138</v>
      </c>
    </row>
    <row r="59">
      <c r="A59" s="271" t="s">
        <v>156</v>
      </c>
      <c r="B59" s="271" t="s">
        <v>156</v>
      </c>
      <c r="C59" s="278">
        <v>43517.0</v>
      </c>
      <c r="D59" s="278">
        <v>43544.0</v>
      </c>
      <c r="E59" s="271" t="s">
        <v>268</v>
      </c>
      <c r="F59" s="101" t="s">
        <v>4</v>
      </c>
      <c r="G59" s="271" t="s">
        <v>5</v>
      </c>
      <c r="H59" s="273" t="s">
        <v>954</v>
      </c>
      <c r="I59" s="274">
        <v>100.0</v>
      </c>
      <c r="J59" s="271">
        <v>1630.0</v>
      </c>
      <c r="K59" s="271">
        <f t="shared" si="1"/>
        <v>163000</v>
      </c>
      <c r="L59" s="271">
        <v>74192.0</v>
      </c>
      <c r="M59" s="271">
        <v>24200.0</v>
      </c>
      <c r="N59" s="275">
        <v>163.0</v>
      </c>
      <c r="O59" s="60"/>
      <c r="P59" s="50">
        <v>163.0</v>
      </c>
      <c r="Q59" s="271">
        <v>5215.0</v>
      </c>
      <c r="R59" s="276">
        <v>0.00178</v>
      </c>
      <c r="S59" s="271">
        <v>5505.0</v>
      </c>
      <c r="T59" s="271">
        <v>5668.0</v>
      </c>
      <c r="U59" s="62">
        <v>1.0</v>
      </c>
      <c r="V59" s="277">
        <v>0.17</v>
      </c>
      <c r="W59" s="277">
        <v>0.0</v>
      </c>
      <c r="X59" s="271">
        <v>4705.0</v>
      </c>
      <c r="Y59" s="271">
        <v>964.0</v>
      </c>
      <c r="Z59" s="50" t="b">
        <v>1</v>
      </c>
      <c r="AA59" s="50" t="s">
        <v>138</v>
      </c>
      <c r="AB59" s="50" t="s">
        <v>138</v>
      </c>
    </row>
    <row r="60">
      <c r="A60" s="271" t="s">
        <v>177</v>
      </c>
      <c r="B60" s="271" t="s">
        <v>177</v>
      </c>
      <c r="C60" s="278">
        <v>43521.0</v>
      </c>
      <c r="D60" s="278">
        <v>43548.0</v>
      </c>
      <c r="E60" s="271" t="s">
        <v>268</v>
      </c>
      <c r="F60" s="101" t="s">
        <v>8</v>
      </c>
      <c r="G60" s="271" t="s">
        <v>5</v>
      </c>
      <c r="H60" s="273" t="s">
        <v>953</v>
      </c>
      <c r="I60" s="274">
        <v>30.0</v>
      </c>
      <c r="J60" s="271">
        <v>2297.0</v>
      </c>
      <c r="K60" s="271">
        <f t="shared" si="1"/>
        <v>68910</v>
      </c>
      <c r="L60" s="271">
        <v>129201.0</v>
      </c>
      <c r="M60" s="271">
        <v>-630.0</v>
      </c>
      <c r="N60" s="275">
        <v>83.0</v>
      </c>
      <c r="O60" s="60"/>
      <c r="P60" s="50">
        <v>83.0</v>
      </c>
      <c r="Q60" s="271">
        <v>2835.0</v>
      </c>
      <c r="R60" s="276">
        <v>0.001477</v>
      </c>
      <c r="S60" s="271">
        <v>2937.0</v>
      </c>
      <c r="T60" s="271">
        <v>3020.0</v>
      </c>
      <c r="U60" s="62">
        <v>1.0</v>
      </c>
      <c r="V60" s="277">
        <v>0.25</v>
      </c>
      <c r="W60" s="277">
        <v>0.0</v>
      </c>
      <c r="X60" s="271">
        <v>2265.0</v>
      </c>
      <c r="Y60" s="271">
        <v>755.0</v>
      </c>
      <c r="Z60" s="50" t="b">
        <v>1</v>
      </c>
      <c r="AA60" s="50" t="s">
        <v>138</v>
      </c>
      <c r="AB60" s="50" t="s">
        <v>138</v>
      </c>
    </row>
    <row r="61">
      <c r="A61" s="271" t="s">
        <v>267</v>
      </c>
      <c r="B61" s="271" t="s">
        <v>267</v>
      </c>
      <c r="C61" s="272">
        <v>43545.0</v>
      </c>
      <c r="D61" s="272">
        <v>43575.0</v>
      </c>
      <c r="E61" s="271" t="s">
        <v>268</v>
      </c>
      <c r="F61" s="138" t="s">
        <v>4</v>
      </c>
      <c r="G61" s="271" t="s">
        <v>5</v>
      </c>
      <c r="H61" s="273" t="s">
        <v>954</v>
      </c>
      <c r="I61" s="274">
        <v>100.0</v>
      </c>
      <c r="J61" s="271">
        <v>449.0</v>
      </c>
      <c r="K61" s="271">
        <f t="shared" si="1"/>
        <v>44900</v>
      </c>
      <c r="L61" s="271">
        <v>13456.0</v>
      </c>
      <c r="M61" s="271">
        <v>1600.0</v>
      </c>
      <c r="N61" s="275">
        <v>45.0</v>
      </c>
      <c r="O61" s="60"/>
      <c r="P61" s="50">
        <v>45.0</v>
      </c>
      <c r="Q61" s="271">
        <v>118.0</v>
      </c>
      <c r="R61" s="276">
        <v>-0.0025</v>
      </c>
      <c r="S61" s="271">
        <v>5.0</v>
      </c>
      <c r="T61" s="271">
        <v>50.0</v>
      </c>
      <c r="U61" s="62">
        <v>1.0</v>
      </c>
      <c r="V61" s="277">
        <v>0.17</v>
      </c>
      <c r="W61" s="277">
        <v>0.0</v>
      </c>
      <c r="X61" s="271">
        <v>42.0</v>
      </c>
      <c r="Y61" s="271">
        <v>9.0</v>
      </c>
      <c r="Z61" s="50" t="b">
        <v>1</v>
      </c>
      <c r="AA61" s="50" t="s">
        <v>138</v>
      </c>
      <c r="AB61" s="50" t="s">
        <v>138</v>
      </c>
    </row>
    <row r="62">
      <c r="A62" s="271" t="s">
        <v>267</v>
      </c>
      <c r="B62" s="271" t="s">
        <v>267</v>
      </c>
      <c r="C62" s="272">
        <v>43545.0</v>
      </c>
      <c r="D62" s="272">
        <v>43575.0</v>
      </c>
      <c r="E62" s="271" t="s">
        <v>268</v>
      </c>
      <c r="F62" s="138" t="s">
        <v>4</v>
      </c>
      <c r="G62" s="271" t="s">
        <v>5</v>
      </c>
      <c r="H62" s="273" t="s">
        <v>951</v>
      </c>
      <c r="I62" s="274">
        <v>60.0</v>
      </c>
      <c r="J62" s="271">
        <v>402.0</v>
      </c>
      <c r="K62" s="271">
        <f t="shared" si="1"/>
        <v>24120</v>
      </c>
      <c r="L62" s="271">
        <v>4241.0</v>
      </c>
      <c r="M62" s="271">
        <v>2580.0</v>
      </c>
      <c r="N62" s="275">
        <v>24.0</v>
      </c>
      <c r="O62" s="60"/>
      <c r="P62" s="50">
        <v>24.0</v>
      </c>
      <c r="Q62" s="271">
        <v>-822.0</v>
      </c>
      <c r="R62" s="276">
        <v>-0.0025</v>
      </c>
      <c r="S62" s="271">
        <v>-882.0</v>
      </c>
      <c r="T62" s="271">
        <v>-858.0</v>
      </c>
      <c r="U62" s="62">
        <v>1.0</v>
      </c>
      <c r="V62" s="277">
        <v>0.17</v>
      </c>
      <c r="W62" s="277">
        <v>0.0</v>
      </c>
      <c r="X62" s="271">
        <v>-712.0</v>
      </c>
      <c r="Y62" s="271">
        <v>-146.0</v>
      </c>
      <c r="Z62" s="50" t="b">
        <v>1</v>
      </c>
      <c r="AA62" s="50" t="s">
        <v>138</v>
      </c>
      <c r="AB62" s="50" t="s">
        <v>138</v>
      </c>
    </row>
    <row r="63">
      <c r="A63" s="271" t="s">
        <v>267</v>
      </c>
      <c r="B63" s="271" t="s">
        <v>267</v>
      </c>
      <c r="C63" s="272">
        <v>43545.0</v>
      </c>
      <c r="D63" s="272">
        <v>43575.0</v>
      </c>
      <c r="E63" s="271" t="s">
        <v>268</v>
      </c>
      <c r="F63" s="138" t="s">
        <v>4</v>
      </c>
      <c r="G63" s="271" t="s">
        <v>5</v>
      </c>
      <c r="H63" s="273" t="s">
        <v>956</v>
      </c>
      <c r="I63" s="274">
        <v>40.0</v>
      </c>
      <c r="J63" s="271">
        <v>508.0</v>
      </c>
      <c r="K63" s="271">
        <f t="shared" si="1"/>
        <v>20320</v>
      </c>
      <c r="L63" s="271">
        <v>22750.0</v>
      </c>
      <c r="M63" s="271">
        <v>-1200.0</v>
      </c>
      <c r="N63" s="275">
        <v>28.0</v>
      </c>
      <c r="O63" s="60"/>
      <c r="P63" s="50">
        <v>28.0</v>
      </c>
      <c r="Q63" s="271">
        <v>239.0</v>
      </c>
      <c r="R63" s="276">
        <v>-0.0025</v>
      </c>
      <c r="S63" s="271">
        <v>188.0</v>
      </c>
      <c r="T63" s="271">
        <v>216.0</v>
      </c>
      <c r="U63" s="62">
        <v>1.0</v>
      </c>
      <c r="V63" s="277">
        <v>0.17</v>
      </c>
      <c r="W63" s="277">
        <v>0.0</v>
      </c>
      <c r="X63" s="271">
        <v>179.0</v>
      </c>
      <c r="Y63" s="271">
        <v>37.0</v>
      </c>
      <c r="Z63" s="50" t="b">
        <v>1</v>
      </c>
      <c r="AA63" s="50" t="s">
        <v>138</v>
      </c>
      <c r="AB63" s="50" t="s">
        <v>138</v>
      </c>
    </row>
    <row r="64">
      <c r="A64" s="271" t="s">
        <v>267</v>
      </c>
      <c r="B64" s="271" t="s">
        <v>267</v>
      </c>
      <c r="C64" s="272">
        <v>43545.0</v>
      </c>
      <c r="D64" s="272">
        <v>43575.0</v>
      </c>
      <c r="E64" s="271" t="s">
        <v>268</v>
      </c>
      <c r="F64" s="138" t="s">
        <v>4</v>
      </c>
      <c r="G64" s="271" t="s">
        <v>5</v>
      </c>
      <c r="H64" s="273" t="s">
        <v>953</v>
      </c>
      <c r="I64" s="274">
        <v>30.0</v>
      </c>
      <c r="J64" s="271">
        <v>322.0</v>
      </c>
      <c r="K64" s="271">
        <f t="shared" si="1"/>
        <v>9660</v>
      </c>
      <c r="L64" s="271">
        <v>23763.0</v>
      </c>
      <c r="M64" s="271">
        <v>240.0</v>
      </c>
      <c r="N64" s="275">
        <v>12.0</v>
      </c>
      <c r="O64" s="60"/>
      <c r="P64" s="50">
        <v>12.0</v>
      </c>
      <c r="Q64" s="271">
        <v>714.0</v>
      </c>
      <c r="R64" s="276">
        <v>-0.0025</v>
      </c>
      <c r="S64" s="271">
        <v>690.0</v>
      </c>
      <c r="T64" s="271">
        <v>702.0</v>
      </c>
      <c r="U64" s="62">
        <v>1.0</v>
      </c>
      <c r="V64" s="277">
        <v>0.17</v>
      </c>
      <c r="W64" s="277">
        <v>0.0</v>
      </c>
      <c r="X64" s="271">
        <v>583.0</v>
      </c>
      <c r="Y64" s="271">
        <v>119.0</v>
      </c>
      <c r="Z64" s="50" t="b">
        <v>1</v>
      </c>
      <c r="AA64" s="50" t="s">
        <v>138</v>
      </c>
      <c r="AB64" s="50" t="s">
        <v>138</v>
      </c>
    </row>
    <row r="65">
      <c r="A65" s="271" t="s">
        <v>267</v>
      </c>
      <c r="B65" s="271" t="s">
        <v>267</v>
      </c>
      <c r="C65" s="272">
        <v>43545.0</v>
      </c>
      <c r="D65" s="272">
        <v>43575.0</v>
      </c>
      <c r="E65" s="271" t="s">
        <v>268</v>
      </c>
      <c r="F65" s="138" t="s">
        <v>4</v>
      </c>
      <c r="G65" s="271" t="s">
        <v>5</v>
      </c>
      <c r="H65" s="273" t="s">
        <v>952</v>
      </c>
      <c r="I65" s="274">
        <v>15.0</v>
      </c>
      <c r="J65" s="271">
        <v>6.0</v>
      </c>
      <c r="K65" s="271">
        <f t="shared" si="1"/>
        <v>90</v>
      </c>
      <c r="L65" s="271">
        <v>629.0</v>
      </c>
      <c r="M65" s="271">
        <v>-30.0</v>
      </c>
      <c r="N65" s="275">
        <v>0.0</v>
      </c>
      <c r="O65" s="60"/>
      <c r="P65" s="50">
        <v>0.0</v>
      </c>
      <c r="Q65" s="271">
        <v>12.0</v>
      </c>
      <c r="R65" s="276">
        <v>-0.0025</v>
      </c>
      <c r="S65" s="271">
        <v>12.0</v>
      </c>
      <c r="T65" s="271">
        <v>12.0</v>
      </c>
      <c r="U65" s="62">
        <v>1.0</v>
      </c>
      <c r="V65" s="277">
        <v>0.17</v>
      </c>
      <c r="W65" s="277">
        <v>0.0</v>
      </c>
      <c r="X65" s="271">
        <v>10.0</v>
      </c>
      <c r="Y65" s="271">
        <v>2.0</v>
      </c>
      <c r="Z65" s="50" t="b">
        <v>1</v>
      </c>
      <c r="AA65" s="50" t="s">
        <v>138</v>
      </c>
      <c r="AB65" s="50" t="s">
        <v>138</v>
      </c>
    </row>
    <row r="66">
      <c r="A66" s="271" t="s">
        <v>156</v>
      </c>
      <c r="B66" s="271" t="s">
        <v>156</v>
      </c>
      <c r="C66" s="278">
        <v>43545.0</v>
      </c>
      <c r="D66" s="278">
        <v>43575.0</v>
      </c>
      <c r="E66" s="271" t="s">
        <v>268</v>
      </c>
      <c r="F66" s="101" t="s">
        <v>4</v>
      </c>
      <c r="G66" s="271" t="s">
        <v>5</v>
      </c>
      <c r="H66" s="273" t="s">
        <v>952</v>
      </c>
      <c r="I66" s="274">
        <v>15.0</v>
      </c>
      <c r="J66" s="271">
        <v>213.0</v>
      </c>
      <c r="K66" s="271">
        <f t="shared" si="1"/>
        <v>3195</v>
      </c>
      <c r="L66" s="271">
        <v>9343.0</v>
      </c>
      <c r="M66" s="271">
        <v>-225.0</v>
      </c>
      <c r="N66" s="275">
        <v>4.0</v>
      </c>
      <c r="O66" s="60"/>
      <c r="P66" s="50">
        <v>4.0</v>
      </c>
      <c r="Q66" s="271">
        <v>57.0</v>
      </c>
      <c r="R66" s="276">
        <v>0.00726</v>
      </c>
      <c r="S66" s="271">
        <v>81.0</v>
      </c>
      <c r="T66" s="271">
        <v>85.0</v>
      </c>
      <c r="U66" s="62">
        <v>1.0</v>
      </c>
      <c r="V66" s="277">
        <v>0.17</v>
      </c>
      <c r="W66" s="277">
        <v>0.0</v>
      </c>
      <c r="X66" s="271">
        <v>70.0</v>
      </c>
      <c r="Y66" s="271">
        <v>14.0</v>
      </c>
      <c r="Z66" s="50" t="b">
        <v>1</v>
      </c>
      <c r="AA66" s="50" t="s">
        <v>138</v>
      </c>
      <c r="AB66" s="50" t="s">
        <v>138</v>
      </c>
    </row>
    <row r="67">
      <c r="A67" s="271" t="s">
        <v>156</v>
      </c>
      <c r="B67" s="271" t="s">
        <v>156</v>
      </c>
      <c r="C67" s="278">
        <v>43545.0</v>
      </c>
      <c r="D67" s="278">
        <v>43575.0</v>
      </c>
      <c r="E67" s="271" t="s">
        <v>268</v>
      </c>
      <c r="F67" s="101" t="s">
        <v>4</v>
      </c>
      <c r="G67" s="271" t="s">
        <v>5</v>
      </c>
      <c r="H67" s="273" t="s">
        <v>954</v>
      </c>
      <c r="I67" s="274">
        <v>100.0</v>
      </c>
      <c r="J67" s="271">
        <v>2315.0</v>
      </c>
      <c r="K67" s="271">
        <f t="shared" si="1"/>
        <v>231500</v>
      </c>
      <c r="L67" s="271">
        <v>110641.0</v>
      </c>
      <c r="M67" s="271">
        <v>16100.0</v>
      </c>
      <c r="N67" s="275">
        <v>232.0</v>
      </c>
      <c r="O67" s="60"/>
      <c r="P67" s="50">
        <v>232.0</v>
      </c>
      <c r="Q67" s="271">
        <v>8402.0</v>
      </c>
      <c r="R67" s="276">
        <v>0.00726</v>
      </c>
      <c r="S67" s="271">
        <v>10083.0</v>
      </c>
      <c r="T67" s="271">
        <v>10315.0</v>
      </c>
      <c r="U67" s="62">
        <v>1.0</v>
      </c>
      <c r="V67" s="277">
        <v>0.17</v>
      </c>
      <c r="W67" s="277">
        <v>0.0</v>
      </c>
      <c r="X67" s="271">
        <v>8562.0</v>
      </c>
      <c r="Y67" s="271">
        <v>1754.0</v>
      </c>
      <c r="Z67" s="50" t="b">
        <v>1</v>
      </c>
      <c r="AA67" s="50" t="s">
        <v>138</v>
      </c>
      <c r="AB67" s="50" t="s">
        <v>138</v>
      </c>
    </row>
    <row r="68">
      <c r="A68" s="271" t="s">
        <v>177</v>
      </c>
      <c r="B68" s="271" t="s">
        <v>177</v>
      </c>
      <c r="C68" s="278">
        <v>43549.0</v>
      </c>
      <c r="D68" s="278">
        <v>43576.0</v>
      </c>
      <c r="E68" s="271" t="s">
        <v>331</v>
      </c>
      <c r="F68" s="101" t="s">
        <v>8</v>
      </c>
      <c r="G68" s="271" t="s">
        <v>5</v>
      </c>
      <c r="H68" s="273" t="s">
        <v>951</v>
      </c>
      <c r="I68" s="274">
        <v>60.0</v>
      </c>
      <c r="J68" s="271">
        <v>2423.0</v>
      </c>
      <c r="K68" s="271">
        <f t="shared" si="1"/>
        <v>145380</v>
      </c>
      <c r="L68" s="271">
        <v>122035.0</v>
      </c>
      <c r="M68" s="271">
        <v>14940.0</v>
      </c>
      <c r="N68" s="275">
        <v>145.0</v>
      </c>
      <c r="O68" s="60"/>
      <c r="P68" s="50">
        <v>145.0</v>
      </c>
      <c r="Q68" s="271">
        <v>5983.0</v>
      </c>
      <c r="R68" s="276">
        <v>-0.003878</v>
      </c>
      <c r="S68" s="271">
        <v>5419.0</v>
      </c>
      <c r="T68" s="271">
        <v>5564.0</v>
      </c>
      <c r="U68" s="62">
        <v>1.0</v>
      </c>
      <c r="V68" s="277">
        <v>0.225</v>
      </c>
      <c r="W68" s="277">
        <v>0.05</v>
      </c>
      <c r="X68" s="271">
        <v>4034.0</v>
      </c>
      <c r="Y68" s="271">
        <v>1530.0</v>
      </c>
      <c r="Z68" s="50" t="b">
        <v>1</v>
      </c>
      <c r="AA68" s="50" t="s">
        <v>138</v>
      </c>
      <c r="AB68" s="50" t="s">
        <v>138</v>
      </c>
    </row>
    <row r="69">
      <c r="A69" s="271" t="s">
        <v>267</v>
      </c>
      <c r="B69" s="271" t="s">
        <v>267</v>
      </c>
      <c r="C69" s="272">
        <v>43576.0</v>
      </c>
      <c r="D69" s="272">
        <v>43605.0</v>
      </c>
      <c r="E69" s="271" t="s">
        <v>268</v>
      </c>
      <c r="F69" s="138" t="s">
        <v>4</v>
      </c>
      <c r="G69" s="271" t="s">
        <v>5</v>
      </c>
      <c r="H69" s="273" t="s">
        <v>952</v>
      </c>
      <c r="I69" s="274">
        <v>15.0</v>
      </c>
      <c r="J69" s="271">
        <v>37.0</v>
      </c>
      <c r="K69" s="271">
        <f t="shared" si="1"/>
        <v>555</v>
      </c>
      <c r="L69" s="271">
        <v>1078.0</v>
      </c>
      <c r="M69" s="271">
        <v>-75.0</v>
      </c>
      <c r="N69" s="275">
        <v>1.0</v>
      </c>
      <c r="O69" s="60"/>
      <c r="P69" s="50">
        <v>1.0</v>
      </c>
      <c r="Q69" s="271">
        <v>-5.0</v>
      </c>
      <c r="R69" s="276">
        <v>-0.0025</v>
      </c>
      <c r="S69" s="271">
        <v>-7.0</v>
      </c>
      <c r="T69" s="271">
        <v>-6.0</v>
      </c>
      <c r="U69" s="62">
        <v>1.0</v>
      </c>
      <c r="V69" s="277">
        <v>0.25</v>
      </c>
      <c r="W69" s="277">
        <v>0.0</v>
      </c>
      <c r="X69" s="271">
        <v>-4.0</v>
      </c>
      <c r="Y69" s="271">
        <v>-1.0</v>
      </c>
      <c r="Z69" s="50" t="b">
        <v>1</v>
      </c>
      <c r="AA69" s="50" t="s">
        <v>138</v>
      </c>
      <c r="AB69" s="50" t="s">
        <v>138</v>
      </c>
    </row>
    <row r="70">
      <c r="A70" s="271" t="s">
        <v>267</v>
      </c>
      <c r="B70" s="271" t="s">
        <v>267</v>
      </c>
      <c r="C70" s="272">
        <v>43576.0</v>
      </c>
      <c r="D70" s="272">
        <v>43605.0</v>
      </c>
      <c r="E70" s="271" t="s">
        <v>268</v>
      </c>
      <c r="F70" s="138" t="s">
        <v>4</v>
      </c>
      <c r="G70" s="271" t="s">
        <v>5</v>
      </c>
      <c r="H70" s="273" t="s">
        <v>953</v>
      </c>
      <c r="I70" s="274">
        <v>30.0</v>
      </c>
      <c r="J70" s="271">
        <v>320.0</v>
      </c>
      <c r="K70" s="271">
        <f t="shared" si="1"/>
        <v>9600</v>
      </c>
      <c r="L70" s="271">
        <v>24832.0</v>
      </c>
      <c r="M70" s="271">
        <v>1380.0</v>
      </c>
      <c r="N70" s="275">
        <v>12.0</v>
      </c>
      <c r="O70" s="60"/>
      <c r="P70" s="50">
        <v>12.0</v>
      </c>
      <c r="Q70" s="271">
        <v>778.0</v>
      </c>
      <c r="R70" s="276">
        <v>-0.0025</v>
      </c>
      <c r="S70" s="271">
        <v>754.0</v>
      </c>
      <c r="T70" s="271">
        <v>766.0</v>
      </c>
      <c r="U70" s="62">
        <v>1.0</v>
      </c>
      <c r="V70" s="277">
        <v>0.25</v>
      </c>
      <c r="W70" s="277">
        <v>0.0</v>
      </c>
      <c r="X70" s="271">
        <v>575.0</v>
      </c>
      <c r="Y70" s="271">
        <v>192.0</v>
      </c>
      <c r="Z70" s="50" t="b">
        <v>1</v>
      </c>
      <c r="AA70" s="50" t="s">
        <v>138</v>
      </c>
      <c r="AB70" s="50" t="s">
        <v>138</v>
      </c>
    </row>
    <row r="71">
      <c r="A71" s="271" t="s">
        <v>267</v>
      </c>
      <c r="B71" s="271" t="s">
        <v>267</v>
      </c>
      <c r="C71" s="272">
        <v>43576.0</v>
      </c>
      <c r="D71" s="272">
        <v>43605.0</v>
      </c>
      <c r="E71" s="271" t="s">
        <v>268</v>
      </c>
      <c r="F71" s="138" t="s">
        <v>4</v>
      </c>
      <c r="G71" s="271" t="s">
        <v>5</v>
      </c>
      <c r="H71" s="273" t="s">
        <v>956</v>
      </c>
      <c r="I71" s="274">
        <v>40.0</v>
      </c>
      <c r="J71" s="271">
        <v>446.0</v>
      </c>
      <c r="K71" s="271">
        <f t="shared" si="1"/>
        <v>17840</v>
      </c>
      <c r="L71" s="271">
        <v>31143.0</v>
      </c>
      <c r="M71" s="271">
        <v>-80.0</v>
      </c>
      <c r="N71" s="275">
        <v>25.0</v>
      </c>
      <c r="O71" s="60"/>
      <c r="P71" s="50">
        <v>25.0</v>
      </c>
      <c r="Q71" s="271">
        <v>1038.0</v>
      </c>
      <c r="R71" s="276">
        <v>-0.0025</v>
      </c>
      <c r="S71" s="271">
        <v>994.0</v>
      </c>
      <c r="T71" s="271">
        <v>1019.0</v>
      </c>
      <c r="U71" s="62">
        <v>1.0</v>
      </c>
      <c r="V71" s="277">
        <v>0.25</v>
      </c>
      <c r="W71" s="277">
        <v>0.0</v>
      </c>
      <c r="X71" s="271">
        <v>764.0</v>
      </c>
      <c r="Y71" s="271">
        <v>255.0</v>
      </c>
      <c r="Z71" s="50" t="b">
        <v>1</v>
      </c>
      <c r="AA71" s="50" t="s">
        <v>138</v>
      </c>
      <c r="AB71" s="50" t="s">
        <v>138</v>
      </c>
    </row>
    <row r="72">
      <c r="A72" s="271" t="s">
        <v>267</v>
      </c>
      <c r="B72" s="271" t="s">
        <v>267</v>
      </c>
      <c r="C72" s="272">
        <v>43576.0</v>
      </c>
      <c r="D72" s="272">
        <v>43605.0</v>
      </c>
      <c r="E72" s="271" t="s">
        <v>268</v>
      </c>
      <c r="F72" s="138" t="s">
        <v>4</v>
      </c>
      <c r="G72" s="271" t="s">
        <v>5</v>
      </c>
      <c r="H72" s="273" t="s">
        <v>951</v>
      </c>
      <c r="I72" s="274">
        <v>60.0</v>
      </c>
      <c r="J72" s="271">
        <v>269.0</v>
      </c>
      <c r="K72" s="271">
        <f t="shared" si="1"/>
        <v>16140</v>
      </c>
      <c r="L72" s="271">
        <v>6701.0</v>
      </c>
      <c r="M72" s="271">
        <v>60.0</v>
      </c>
      <c r="N72" s="275">
        <v>16.0</v>
      </c>
      <c r="O72" s="60"/>
      <c r="P72" s="50">
        <v>16.0</v>
      </c>
      <c r="Q72" s="271">
        <v>-112.0</v>
      </c>
      <c r="R72" s="276">
        <v>-0.0025</v>
      </c>
      <c r="S72" s="271">
        <v>-152.0</v>
      </c>
      <c r="T72" s="271">
        <v>-136.0</v>
      </c>
      <c r="U72" s="62">
        <v>1.0</v>
      </c>
      <c r="V72" s="277">
        <v>0.25</v>
      </c>
      <c r="W72" s="277">
        <v>0.0</v>
      </c>
      <c r="X72" s="271">
        <v>-102.0</v>
      </c>
      <c r="Y72" s="271">
        <v>-34.0</v>
      </c>
      <c r="Z72" s="50" t="b">
        <v>1</v>
      </c>
      <c r="AA72" s="50" t="s">
        <v>138</v>
      </c>
      <c r="AB72" s="50" t="s">
        <v>138</v>
      </c>
    </row>
    <row r="73">
      <c r="A73" s="271" t="s">
        <v>267</v>
      </c>
      <c r="B73" s="271" t="s">
        <v>267</v>
      </c>
      <c r="C73" s="272">
        <v>43576.0</v>
      </c>
      <c r="D73" s="272">
        <v>43605.0</v>
      </c>
      <c r="E73" s="271" t="s">
        <v>268</v>
      </c>
      <c r="F73" s="138" t="s">
        <v>4</v>
      </c>
      <c r="G73" s="271" t="s">
        <v>5</v>
      </c>
      <c r="H73" s="273" t="s">
        <v>954</v>
      </c>
      <c r="I73" s="274">
        <v>100.0</v>
      </c>
      <c r="J73" s="271">
        <v>2.0</v>
      </c>
      <c r="K73" s="271">
        <f t="shared" si="1"/>
        <v>200</v>
      </c>
      <c r="L73" s="271">
        <v>-404.0</v>
      </c>
      <c r="M73" s="271">
        <v>0.0</v>
      </c>
      <c r="N73" s="275">
        <v>0.0</v>
      </c>
      <c r="O73" s="60"/>
      <c r="P73" s="50">
        <v>0.0</v>
      </c>
      <c r="Q73" s="271">
        <v>-87.0</v>
      </c>
      <c r="R73" s="276">
        <v>-0.0025</v>
      </c>
      <c r="S73" s="271">
        <v>-88.0</v>
      </c>
      <c r="T73" s="271">
        <v>-88.0</v>
      </c>
      <c r="U73" s="62">
        <v>1.0</v>
      </c>
      <c r="V73" s="277">
        <v>0.25</v>
      </c>
      <c r="W73" s="277">
        <v>0.0</v>
      </c>
      <c r="X73" s="271">
        <v>-66.0</v>
      </c>
      <c r="Y73" s="271">
        <v>-22.0</v>
      </c>
      <c r="Z73" s="50" t="b">
        <v>1</v>
      </c>
      <c r="AA73" s="50" t="s">
        <v>138</v>
      </c>
      <c r="AB73" s="50" t="s">
        <v>138</v>
      </c>
    </row>
    <row r="74">
      <c r="A74" s="271" t="s">
        <v>156</v>
      </c>
      <c r="B74" s="271" t="s">
        <v>156</v>
      </c>
      <c r="C74" s="278">
        <v>43576.0</v>
      </c>
      <c r="D74" s="278">
        <v>43605.0</v>
      </c>
      <c r="E74" s="271" t="s">
        <v>268</v>
      </c>
      <c r="F74" s="101" t="s">
        <v>4</v>
      </c>
      <c r="G74" s="271" t="s">
        <v>5</v>
      </c>
      <c r="H74" s="273" t="s">
        <v>954</v>
      </c>
      <c r="I74" s="274">
        <v>100.0</v>
      </c>
      <c r="J74" s="271">
        <v>2053.0</v>
      </c>
      <c r="K74" s="271">
        <f t="shared" si="1"/>
        <v>205300</v>
      </c>
      <c r="L74" s="271">
        <v>68337.0</v>
      </c>
      <c r="M74" s="271">
        <v>-6700.0</v>
      </c>
      <c r="N74" s="275">
        <v>205.0</v>
      </c>
      <c r="O74" s="60"/>
      <c r="P74" s="50">
        <v>205.0</v>
      </c>
      <c r="Q74" s="271">
        <v>1825.0</v>
      </c>
      <c r="R74" s="276">
        <v>-0.00359</v>
      </c>
      <c r="S74" s="271">
        <v>1088.0</v>
      </c>
      <c r="T74" s="271">
        <v>1293.0</v>
      </c>
      <c r="U74" s="62">
        <v>1.0</v>
      </c>
      <c r="V74" s="277">
        <v>0.25</v>
      </c>
      <c r="W74" s="277">
        <v>0.0</v>
      </c>
      <c r="X74" s="271">
        <v>970.0</v>
      </c>
      <c r="Y74" s="271">
        <v>323.0</v>
      </c>
      <c r="Z74" s="50" t="b">
        <v>1</v>
      </c>
      <c r="AA74" s="50" t="s">
        <v>138</v>
      </c>
      <c r="AB74" s="50" t="s">
        <v>138</v>
      </c>
    </row>
    <row r="75">
      <c r="A75" s="271" t="s">
        <v>177</v>
      </c>
      <c r="B75" s="271" t="s">
        <v>177</v>
      </c>
      <c r="C75" s="278">
        <v>43577.0</v>
      </c>
      <c r="D75" s="278">
        <v>43611.0</v>
      </c>
      <c r="E75" s="271" t="s">
        <v>331</v>
      </c>
      <c r="F75" s="101" t="s">
        <v>8</v>
      </c>
      <c r="G75" s="271" t="s">
        <v>5</v>
      </c>
      <c r="H75" s="273" t="s">
        <v>951</v>
      </c>
      <c r="I75" s="274">
        <v>60.0</v>
      </c>
      <c r="J75" s="271">
        <v>3988.0</v>
      </c>
      <c r="K75" s="271">
        <f t="shared" si="1"/>
        <v>239280</v>
      </c>
      <c r="L75" s="271">
        <v>183368.0</v>
      </c>
      <c r="M75" s="271">
        <v>4800.0</v>
      </c>
      <c r="N75" s="275">
        <v>239.0</v>
      </c>
      <c r="O75" s="60"/>
      <c r="P75" s="50">
        <v>239.0</v>
      </c>
      <c r="Q75" s="271">
        <v>7865.0</v>
      </c>
      <c r="R75" s="276">
        <v>-0.00527</v>
      </c>
      <c r="S75" s="271">
        <v>6604.0</v>
      </c>
      <c r="T75" s="271">
        <v>6843.0</v>
      </c>
      <c r="U75" s="62">
        <v>1.0</v>
      </c>
      <c r="V75" s="277">
        <v>0.225</v>
      </c>
      <c r="W75" s="277">
        <v>0.05</v>
      </c>
      <c r="X75" s="271">
        <v>4961.0</v>
      </c>
      <c r="Y75" s="271">
        <v>1882.0</v>
      </c>
      <c r="Z75" s="50" t="b">
        <v>1</v>
      </c>
      <c r="AA75" s="50" t="s">
        <v>138</v>
      </c>
      <c r="AB75" s="50" t="s">
        <v>138</v>
      </c>
    </row>
    <row r="76">
      <c r="A76" s="271" t="s">
        <v>267</v>
      </c>
      <c r="B76" s="271" t="s">
        <v>267</v>
      </c>
      <c r="C76" s="272">
        <v>43606.0</v>
      </c>
      <c r="D76" s="272">
        <v>43636.0</v>
      </c>
      <c r="E76" s="271" t="s">
        <v>268</v>
      </c>
      <c r="F76" s="138" t="s">
        <v>4</v>
      </c>
      <c r="G76" s="271" t="s">
        <v>5</v>
      </c>
      <c r="H76" s="273" t="s">
        <v>957</v>
      </c>
      <c r="I76" s="274">
        <v>7.0</v>
      </c>
      <c r="J76" s="271">
        <v>42.0</v>
      </c>
      <c r="K76" s="271">
        <f t="shared" si="1"/>
        <v>294</v>
      </c>
      <c r="L76" s="271">
        <v>2687.0</v>
      </c>
      <c r="M76" s="271">
        <v>-28.0</v>
      </c>
      <c r="N76" s="275">
        <v>0.0</v>
      </c>
      <c r="O76" s="60"/>
      <c r="P76" s="50">
        <v>0.0</v>
      </c>
      <c r="Q76" s="271">
        <v>13.0</v>
      </c>
      <c r="R76" s="276">
        <v>-0.00203</v>
      </c>
      <c r="S76" s="271">
        <v>12.0</v>
      </c>
      <c r="T76" s="271">
        <v>12.0</v>
      </c>
      <c r="U76" s="62">
        <v>1.0</v>
      </c>
      <c r="V76" s="277">
        <v>0.25</v>
      </c>
      <c r="W76" s="277">
        <v>0.0</v>
      </c>
      <c r="X76" s="271">
        <v>9.0</v>
      </c>
      <c r="Y76" s="271">
        <v>3.0</v>
      </c>
      <c r="Z76" s="50" t="b">
        <v>1</v>
      </c>
      <c r="AA76" s="50" t="s">
        <v>138</v>
      </c>
      <c r="AB76" s="50" t="s">
        <v>138</v>
      </c>
    </row>
    <row r="77">
      <c r="A77" s="271" t="s">
        <v>267</v>
      </c>
      <c r="B77" s="271" t="s">
        <v>267</v>
      </c>
      <c r="C77" s="272">
        <v>43606.0</v>
      </c>
      <c r="D77" s="272">
        <v>43636.0</v>
      </c>
      <c r="E77" s="271" t="s">
        <v>268</v>
      </c>
      <c r="F77" s="138" t="s">
        <v>4</v>
      </c>
      <c r="G77" s="271" t="s">
        <v>5</v>
      </c>
      <c r="H77" s="273" t="s">
        <v>952</v>
      </c>
      <c r="I77" s="274">
        <v>15.0</v>
      </c>
      <c r="J77" s="271">
        <v>345.0</v>
      </c>
      <c r="K77" s="271">
        <f t="shared" si="1"/>
        <v>5175</v>
      </c>
      <c r="L77" s="271">
        <v>26368.0</v>
      </c>
      <c r="M77" s="271">
        <v>675.0</v>
      </c>
      <c r="N77" s="275">
        <v>6.0</v>
      </c>
      <c r="O77" s="60"/>
      <c r="P77" s="50">
        <v>6.0</v>
      </c>
      <c r="Q77" s="271">
        <v>408.0</v>
      </c>
      <c r="R77" s="276">
        <v>-0.00203</v>
      </c>
      <c r="S77" s="271">
        <v>398.0</v>
      </c>
      <c r="T77" s="271">
        <v>404.0</v>
      </c>
      <c r="U77" s="62">
        <v>1.0</v>
      </c>
      <c r="V77" s="277">
        <v>0.25</v>
      </c>
      <c r="W77" s="277">
        <v>0.0</v>
      </c>
      <c r="X77" s="271">
        <v>303.0</v>
      </c>
      <c r="Y77" s="271">
        <v>101.0</v>
      </c>
      <c r="Z77" s="50" t="b">
        <v>1</v>
      </c>
      <c r="AA77" s="50" t="s">
        <v>138</v>
      </c>
      <c r="AB77" s="50" t="s">
        <v>138</v>
      </c>
    </row>
    <row r="78">
      <c r="A78" s="271" t="s">
        <v>267</v>
      </c>
      <c r="B78" s="271" t="s">
        <v>267</v>
      </c>
      <c r="C78" s="272">
        <v>43606.0</v>
      </c>
      <c r="D78" s="272">
        <v>43636.0</v>
      </c>
      <c r="E78" s="271" t="s">
        <v>268</v>
      </c>
      <c r="F78" s="138" t="s">
        <v>4</v>
      </c>
      <c r="G78" s="271" t="s">
        <v>5</v>
      </c>
      <c r="H78" s="273" t="s">
        <v>953</v>
      </c>
      <c r="I78" s="274">
        <v>30.0</v>
      </c>
      <c r="J78" s="271">
        <v>364.0</v>
      </c>
      <c r="K78" s="271">
        <f t="shared" si="1"/>
        <v>10920</v>
      </c>
      <c r="L78" s="271">
        <v>18468.0</v>
      </c>
      <c r="M78" s="271">
        <v>-240.0</v>
      </c>
      <c r="N78" s="275">
        <v>13.0</v>
      </c>
      <c r="O78" s="60"/>
      <c r="P78" s="50">
        <v>13.0</v>
      </c>
      <c r="Q78" s="271">
        <v>337.0</v>
      </c>
      <c r="R78" s="276">
        <v>-0.00203</v>
      </c>
      <c r="S78" s="271">
        <v>315.0</v>
      </c>
      <c r="T78" s="271">
        <v>328.0</v>
      </c>
      <c r="U78" s="62">
        <v>1.0</v>
      </c>
      <c r="V78" s="277">
        <v>0.25</v>
      </c>
      <c r="W78" s="277">
        <v>0.0</v>
      </c>
      <c r="X78" s="271">
        <v>246.0</v>
      </c>
      <c r="Y78" s="271">
        <v>82.0</v>
      </c>
      <c r="Z78" s="50" t="b">
        <v>1</v>
      </c>
      <c r="AA78" s="50" t="s">
        <v>138</v>
      </c>
      <c r="AB78" s="50" t="s">
        <v>138</v>
      </c>
    </row>
    <row r="79">
      <c r="A79" s="271" t="s">
        <v>267</v>
      </c>
      <c r="B79" s="271" t="s">
        <v>267</v>
      </c>
      <c r="C79" s="272">
        <v>43606.0</v>
      </c>
      <c r="D79" s="272">
        <v>43636.0</v>
      </c>
      <c r="E79" s="271" t="s">
        <v>268</v>
      </c>
      <c r="F79" s="138" t="s">
        <v>4</v>
      </c>
      <c r="G79" s="271" t="s">
        <v>5</v>
      </c>
      <c r="H79" s="273" t="s">
        <v>956</v>
      </c>
      <c r="I79" s="274">
        <v>40.0</v>
      </c>
      <c r="J79" s="271">
        <v>449.0</v>
      </c>
      <c r="K79" s="271">
        <f t="shared" si="1"/>
        <v>17960</v>
      </c>
      <c r="L79" s="271">
        <v>31857.0</v>
      </c>
      <c r="M79" s="271">
        <v>1720.0</v>
      </c>
      <c r="N79" s="275">
        <v>25.0</v>
      </c>
      <c r="O79" s="60"/>
      <c r="P79" s="50">
        <v>25.0</v>
      </c>
      <c r="Q79" s="271">
        <v>1083.0</v>
      </c>
      <c r="R79" s="276">
        <v>-0.00203</v>
      </c>
      <c r="S79" s="271">
        <v>1046.0</v>
      </c>
      <c r="T79" s="271">
        <v>1071.0</v>
      </c>
      <c r="U79" s="62">
        <v>1.0</v>
      </c>
      <c r="V79" s="277">
        <v>0.25</v>
      </c>
      <c r="W79" s="277">
        <v>0.0</v>
      </c>
      <c r="X79" s="271">
        <v>803.0</v>
      </c>
      <c r="Y79" s="271">
        <v>268.0</v>
      </c>
      <c r="Z79" s="50" t="b">
        <v>1</v>
      </c>
      <c r="AA79" s="50" t="s">
        <v>138</v>
      </c>
      <c r="AB79" s="50" t="s">
        <v>138</v>
      </c>
    </row>
    <row r="80">
      <c r="A80" s="271" t="s">
        <v>267</v>
      </c>
      <c r="B80" s="271" t="s">
        <v>267</v>
      </c>
      <c r="C80" s="272">
        <v>43606.0</v>
      </c>
      <c r="D80" s="272">
        <v>43636.0</v>
      </c>
      <c r="E80" s="271" t="s">
        <v>268</v>
      </c>
      <c r="F80" s="138" t="s">
        <v>4</v>
      </c>
      <c r="G80" s="271" t="s">
        <v>5</v>
      </c>
      <c r="H80" s="273" t="s">
        <v>951</v>
      </c>
      <c r="I80" s="274">
        <v>60.0</v>
      </c>
      <c r="J80" s="271">
        <v>335.0</v>
      </c>
      <c r="K80" s="271">
        <f t="shared" si="1"/>
        <v>20100</v>
      </c>
      <c r="L80" s="271">
        <v>19191.0</v>
      </c>
      <c r="M80" s="271">
        <v>-180.0</v>
      </c>
      <c r="N80" s="275">
        <v>20.0</v>
      </c>
      <c r="O80" s="60"/>
      <c r="P80" s="50">
        <v>20.0</v>
      </c>
      <c r="Q80" s="271">
        <v>1090.0</v>
      </c>
      <c r="R80" s="276">
        <v>-0.00203</v>
      </c>
      <c r="S80" s="271">
        <v>1049.0</v>
      </c>
      <c r="T80" s="271">
        <v>1069.0</v>
      </c>
      <c r="U80" s="62">
        <v>1.0</v>
      </c>
      <c r="V80" s="277">
        <v>0.25</v>
      </c>
      <c r="W80" s="277">
        <v>0.0</v>
      </c>
      <c r="X80" s="271">
        <v>802.0</v>
      </c>
      <c r="Y80" s="271">
        <v>267.0</v>
      </c>
      <c r="Z80" s="50" t="b">
        <v>1</v>
      </c>
      <c r="AA80" s="50" t="s">
        <v>138</v>
      </c>
      <c r="AB80" s="50" t="s">
        <v>138</v>
      </c>
    </row>
    <row r="81">
      <c r="A81" s="271" t="s">
        <v>267</v>
      </c>
      <c r="B81" s="271" t="s">
        <v>267</v>
      </c>
      <c r="C81" s="272">
        <v>43606.0</v>
      </c>
      <c r="D81" s="272">
        <v>43636.0</v>
      </c>
      <c r="E81" s="271" t="s">
        <v>268</v>
      </c>
      <c r="F81" s="138" t="s">
        <v>4</v>
      </c>
      <c r="G81" s="271" t="s">
        <v>5</v>
      </c>
      <c r="H81" s="273" t="s">
        <v>954</v>
      </c>
      <c r="I81" s="274">
        <v>100.0</v>
      </c>
      <c r="J81" s="271">
        <v>428.0</v>
      </c>
      <c r="K81" s="271">
        <f t="shared" si="1"/>
        <v>42800</v>
      </c>
      <c r="L81" s="271">
        <v>22826.0</v>
      </c>
      <c r="M81" s="271">
        <v>-600.0</v>
      </c>
      <c r="N81" s="275">
        <v>43.0</v>
      </c>
      <c r="O81" s="60"/>
      <c r="P81" s="50">
        <v>43.0</v>
      </c>
      <c r="Q81" s="271">
        <v>2001.0</v>
      </c>
      <c r="R81" s="276">
        <v>-0.00203</v>
      </c>
      <c r="S81" s="271">
        <v>1914.0</v>
      </c>
      <c r="T81" s="271">
        <v>1957.0</v>
      </c>
      <c r="U81" s="62">
        <v>1.0</v>
      </c>
      <c r="V81" s="277">
        <v>0.25</v>
      </c>
      <c r="W81" s="277">
        <v>0.0</v>
      </c>
      <c r="X81" s="271">
        <v>1468.0</v>
      </c>
      <c r="Y81" s="271">
        <v>489.0</v>
      </c>
      <c r="Z81" s="50" t="b">
        <v>1</v>
      </c>
      <c r="AA81" s="50" t="s">
        <v>138</v>
      </c>
      <c r="AB81" s="50" t="s">
        <v>138</v>
      </c>
    </row>
    <row r="82">
      <c r="A82" s="271" t="s">
        <v>267</v>
      </c>
      <c r="B82" s="271" t="s">
        <v>267</v>
      </c>
      <c r="C82" s="272">
        <v>43606.0</v>
      </c>
      <c r="D82" s="272">
        <v>43636.0</v>
      </c>
      <c r="E82" s="271" t="s">
        <v>268</v>
      </c>
      <c r="F82" s="138" t="s">
        <v>4</v>
      </c>
      <c r="G82" s="271" t="s">
        <v>5</v>
      </c>
      <c r="H82" s="273" t="s">
        <v>32</v>
      </c>
      <c r="I82" s="274">
        <v>3.0</v>
      </c>
      <c r="J82" s="271">
        <v>20.0</v>
      </c>
      <c r="K82" s="271">
        <f t="shared" si="1"/>
        <v>60</v>
      </c>
      <c r="L82" s="271">
        <v>3236.0</v>
      </c>
      <c r="M82" s="271">
        <v>21.0</v>
      </c>
      <c r="N82" s="275">
        <v>0.0</v>
      </c>
      <c r="O82" s="60"/>
      <c r="P82" s="50">
        <v>0.0</v>
      </c>
      <c r="Q82" s="271">
        <v>13.0</v>
      </c>
      <c r="R82" s="276">
        <v>-0.00203</v>
      </c>
      <c r="S82" s="271">
        <v>13.0</v>
      </c>
      <c r="T82" s="271">
        <v>13.0</v>
      </c>
      <c r="U82" s="62">
        <v>1.0</v>
      </c>
      <c r="V82" s="277">
        <v>0.25</v>
      </c>
      <c r="W82" s="277">
        <v>0.0</v>
      </c>
      <c r="X82" s="271">
        <v>9.0</v>
      </c>
      <c r="Y82" s="271">
        <v>3.0</v>
      </c>
      <c r="Z82" s="50" t="b">
        <v>1</v>
      </c>
      <c r="AA82" s="50" t="s">
        <v>138</v>
      </c>
      <c r="AB82" s="50" t="s">
        <v>138</v>
      </c>
    </row>
    <row r="83">
      <c r="A83" s="271" t="s">
        <v>148</v>
      </c>
      <c r="B83" s="271" t="s">
        <v>148</v>
      </c>
      <c r="C83" s="278">
        <v>43612.0</v>
      </c>
      <c r="D83" s="278">
        <v>43636.0</v>
      </c>
      <c r="E83" s="271" t="s">
        <v>331</v>
      </c>
      <c r="F83" s="101" t="s">
        <v>4</v>
      </c>
      <c r="G83" s="271" t="s">
        <v>5</v>
      </c>
      <c r="H83" s="273" t="s">
        <v>953</v>
      </c>
      <c r="I83" s="274">
        <v>30.0</v>
      </c>
      <c r="J83" s="271">
        <v>1426.0</v>
      </c>
      <c r="K83" s="271">
        <f t="shared" si="1"/>
        <v>42780</v>
      </c>
      <c r="L83" s="271">
        <v>61626.0</v>
      </c>
      <c r="M83" s="271">
        <v>2910.0</v>
      </c>
      <c r="N83" s="275">
        <v>51.0</v>
      </c>
      <c r="O83" s="60"/>
      <c r="P83" s="50">
        <v>51.0</v>
      </c>
      <c r="Q83" s="271">
        <v>633.0</v>
      </c>
      <c r="R83" s="276">
        <v>-0.00203</v>
      </c>
      <c r="S83" s="271">
        <v>546.0</v>
      </c>
      <c r="T83" s="271">
        <v>597.0</v>
      </c>
      <c r="U83" s="62">
        <v>1.0</v>
      </c>
      <c r="V83" s="277">
        <v>0.3</v>
      </c>
      <c r="W83" s="277">
        <v>0.1</v>
      </c>
      <c r="X83" s="271">
        <v>358.0</v>
      </c>
      <c r="Y83" s="271">
        <v>239.0</v>
      </c>
      <c r="Z83" s="50" t="b">
        <v>1</v>
      </c>
      <c r="AA83" s="50" t="s">
        <v>138</v>
      </c>
      <c r="AB83" s="50" t="s">
        <v>138</v>
      </c>
    </row>
    <row r="84">
      <c r="A84" s="271" t="s">
        <v>148</v>
      </c>
      <c r="B84" s="271" t="s">
        <v>148</v>
      </c>
      <c r="C84" s="278">
        <v>43612.0</v>
      </c>
      <c r="D84" s="278">
        <v>43636.0</v>
      </c>
      <c r="E84" s="271" t="s">
        <v>331</v>
      </c>
      <c r="F84" s="101" t="s">
        <v>4</v>
      </c>
      <c r="G84" s="271" t="s">
        <v>5</v>
      </c>
      <c r="H84" s="273" t="s">
        <v>956</v>
      </c>
      <c r="I84" s="274">
        <v>40.0</v>
      </c>
      <c r="J84" s="271">
        <v>410.0</v>
      </c>
      <c r="K84" s="271">
        <f t="shared" si="1"/>
        <v>16400</v>
      </c>
      <c r="L84" s="271">
        <v>18201.0</v>
      </c>
      <c r="M84" s="271">
        <v>480.0</v>
      </c>
      <c r="N84" s="275">
        <v>23.0</v>
      </c>
      <c r="O84" s="60"/>
      <c r="P84" s="50">
        <v>23.0</v>
      </c>
      <c r="Q84" s="271">
        <v>154.0</v>
      </c>
      <c r="R84" s="276">
        <v>-0.00203</v>
      </c>
      <c r="S84" s="271">
        <v>120.0</v>
      </c>
      <c r="T84" s="271">
        <v>143.0</v>
      </c>
      <c r="U84" s="62">
        <v>1.0</v>
      </c>
      <c r="V84" s="277">
        <v>0.3</v>
      </c>
      <c r="W84" s="277">
        <v>0.1</v>
      </c>
      <c r="X84" s="271">
        <v>86.0</v>
      </c>
      <c r="Y84" s="271">
        <v>57.0</v>
      </c>
      <c r="Z84" s="50" t="b">
        <v>1</v>
      </c>
      <c r="AA84" s="50" t="s">
        <v>138</v>
      </c>
      <c r="AB84" s="50" t="s">
        <v>138</v>
      </c>
    </row>
    <row r="85">
      <c r="A85" s="271" t="s">
        <v>156</v>
      </c>
      <c r="B85" s="271" t="s">
        <v>156</v>
      </c>
      <c r="C85" s="278">
        <v>43606.0</v>
      </c>
      <c r="D85" s="278">
        <v>43636.0</v>
      </c>
      <c r="E85" s="271" t="s">
        <v>268</v>
      </c>
      <c r="F85" s="101" t="s">
        <v>4</v>
      </c>
      <c r="G85" s="271" t="s">
        <v>5</v>
      </c>
      <c r="H85" s="273" t="s">
        <v>952</v>
      </c>
      <c r="I85" s="274">
        <v>15.0</v>
      </c>
      <c r="J85" s="271">
        <v>21.0</v>
      </c>
      <c r="K85" s="271">
        <f t="shared" si="1"/>
        <v>315</v>
      </c>
      <c r="L85" s="271">
        <v>2920.0</v>
      </c>
      <c r="M85" s="271">
        <v>15.0</v>
      </c>
      <c r="N85" s="275">
        <v>0.0</v>
      </c>
      <c r="O85" s="60"/>
      <c r="P85" s="50">
        <v>0.0</v>
      </c>
      <c r="Q85" s="271">
        <v>62.0</v>
      </c>
      <c r="R85" s="276">
        <v>-0.00203</v>
      </c>
      <c r="S85" s="271">
        <v>61.0</v>
      </c>
      <c r="T85" s="271">
        <v>61.0</v>
      </c>
      <c r="U85" s="62">
        <v>1.0</v>
      </c>
      <c r="V85" s="277">
        <v>0.17</v>
      </c>
      <c r="W85" s="277">
        <v>0.0</v>
      </c>
      <c r="X85" s="271">
        <v>51.0</v>
      </c>
      <c r="Y85" s="271">
        <v>10.0</v>
      </c>
      <c r="Z85" s="50" t="b">
        <v>1</v>
      </c>
      <c r="AA85" s="50" t="s">
        <v>138</v>
      </c>
      <c r="AB85" s="50" t="s">
        <v>138</v>
      </c>
    </row>
    <row r="86">
      <c r="A86" s="271" t="s">
        <v>156</v>
      </c>
      <c r="B86" s="271" t="s">
        <v>156</v>
      </c>
      <c r="C86" s="278">
        <v>43606.0</v>
      </c>
      <c r="D86" s="278">
        <v>43636.0</v>
      </c>
      <c r="E86" s="271" t="s">
        <v>268</v>
      </c>
      <c r="F86" s="101" t="s">
        <v>4</v>
      </c>
      <c r="G86" s="271" t="s">
        <v>5</v>
      </c>
      <c r="H86" s="273" t="s">
        <v>953</v>
      </c>
      <c r="I86" s="274">
        <v>30.0</v>
      </c>
      <c r="J86" s="271">
        <v>90.0</v>
      </c>
      <c r="K86" s="271">
        <f t="shared" si="1"/>
        <v>2700</v>
      </c>
      <c r="L86" s="271">
        <v>2914.0</v>
      </c>
      <c r="M86" s="271">
        <v>180.0</v>
      </c>
      <c r="N86" s="275">
        <v>3.0</v>
      </c>
      <c r="O86" s="60"/>
      <c r="P86" s="50">
        <v>3.0</v>
      </c>
      <c r="Q86" s="271">
        <v>-9.0</v>
      </c>
      <c r="R86" s="276">
        <v>-0.00203</v>
      </c>
      <c r="S86" s="271">
        <v>-15.0</v>
      </c>
      <c r="T86" s="271">
        <v>-12.0</v>
      </c>
      <c r="U86" s="62">
        <v>1.0</v>
      </c>
      <c r="V86" s="277">
        <v>0.17</v>
      </c>
      <c r="W86" s="277">
        <v>0.0</v>
      </c>
      <c r="X86" s="271">
        <v>-10.0</v>
      </c>
      <c r="Y86" s="271">
        <v>-2.0</v>
      </c>
      <c r="Z86" s="50" t="b">
        <v>1</v>
      </c>
      <c r="AA86" s="50" t="s">
        <v>138</v>
      </c>
      <c r="AB86" s="50" t="s">
        <v>138</v>
      </c>
    </row>
    <row r="87">
      <c r="A87" s="271" t="s">
        <v>156</v>
      </c>
      <c r="B87" s="271" t="s">
        <v>156</v>
      </c>
      <c r="C87" s="278">
        <v>43606.0</v>
      </c>
      <c r="D87" s="278">
        <v>43636.0</v>
      </c>
      <c r="E87" s="271" t="s">
        <v>268</v>
      </c>
      <c r="F87" s="101" t="s">
        <v>4</v>
      </c>
      <c r="G87" s="271" t="s">
        <v>5</v>
      </c>
      <c r="H87" s="273" t="s">
        <v>956</v>
      </c>
      <c r="I87" s="274">
        <v>40.0</v>
      </c>
      <c r="J87" s="271">
        <v>20.0</v>
      </c>
      <c r="K87" s="271">
        <f t="shared" si="1"/>
        <v>800</v>
      </c>
      <c r="L87" s="271">
        <v>2811.0</v>
      </c>
      <c r="M87" s="271">
        <v>0.0</v>
      </c>
      <c r="N87" s="275">
        <v>1.0</v>
      </c>
      <c r="O87" s="60"/>
      <c r="P87" s="50">
        <v>1.0</v>
      </c>
      <c r="Q87" s="271">
        <v>152.0</v>
      </c>
      <c r="R87" s="276">
        <v>-0.00203</v>
      </c>
      <c r="S87" s="271">
        <v>150.0</v>
      </c>
      <c r="T87" s="271">
        <v>151.0</v>
      </c>
      <c r="U87" s="62">
        <v>1.0</v>
      </c>
      <c r="V87" s="277">
        <v>0.17</v>
      </c>
      <c r="W87" s="277">
        <v>0.0</v>
      </c>
      <c r="X87" s="271">
        <v>125.0</v>
      </c>
      <c r="Y87" s="271">
        <v>26.0</v>
      </c>
      <c r="Z87" s="50" t="b">
        <v>1</v>
      </c>
      <c r="AA87" s="50" t="s">
        <v>138</v>
      </c>
      <c r="AB87" s="50" t="s">
        <v>138</v>
      </c>
    </row>
    <row r="88">
      <c r="A88" s="271" t="s">
        <v>156</v>
      </c>
      <c r="B88" s="271" t="s">
        <v>156</v>
      </c>
      <c r="C88" s="278">
        <v>43606.0</v>
      </c>
      <c r="D88" s="278">
        <v>43636.0</v>
      </c>
      <c r="E88" s="271" t="s">
        <v>268</v>
      </c>
      <c r="F88" s="101" t="s">
        <v>4</v>
      </c>
      <c r="G88" s="271" t="s">
        <v>5</v>
      </c>
      <c r="H88" s="273" t="s">
        <v>951</v>
      </c>
      <c r="I88" s="274">
        <v>60.0</v>
      </c>
      <c r="J88" s="271">
        <v>31.0</v>
      </c>
      <c r="K88" s="271">
        <f t="shared" si="1"/>
        <v>1860</v>
      </c>
      <c r="L88" s="271">
        <v>2452.0</v>
      </c>
      <c r="M88" s="271">
        <v>-180.0</v>
      </c>
      <c r="N88" s="275">
        <v>2.0</v>
      </c>
      <c r="O88" s="60"/>
      <c r="P88" s="50">
        <v>2.0</v>
      </c>
      <c r="Q88" s="271">
        <v>178.0</v>
      </c>
      <c r="R88" s="276">
        <v>-0.00203</v>
      </c>
      <c r="S88" s="271">
        <v>174.0</v>
      </c>
      <c r="T88" s="271">
        <v>176.0</v>
      </c>
      <c r="U88" s="62">
        <v>1.0</v>
      </c>
      <c r="V88" s="277">
        <v>0.17</v>
      </c>
      <c r="W88" s="277">
        <v>0.0</v>
      </c>
      <c r="X88" s="271">
        <v>146.0</v>
      </c>
      <c r="Y88" s="271">
        <v>30.0</v>
      </c>
      <c r="Z88" s="50" t="b">
        <v>1</v>
      </c>
      <c r="AA88" s="50" t="s">
        <v>138</v>
      </c>
      <c r="AB88" s="50" t="s">
        <v>138</v>
      </c>
    </row>
    <row r="89">
      <c r="A89" s="271" t="s">
        <v>156</v>
      </c>
      <c r="B89" s="271" t="s">
        <v>156</v>
      </c>
      <c r="C89" s="278">
        <v>43606.0</v>
      </c>
      <c r="D89" s="278">
        <v>43636.0</v>
      </c>
      <c r="E89" s="271" t="s">
        <v>268</v>
      </c>
      <c r="F89" s="101" t="s">
        <v>4</v>
      </c>
      <c r="G89" s="271" t="s">
        <v>5</v>
      </c>
      <c r="H89" s="273" t="s">
        <v>954</v>
      </c>
      <c r="I89" s="274">
        <v>100.0</v>
      </c>
      <c r="J89" s="271">
        <v>2405.0</v>
      </c>
      <c r="K89" s="271">
        <f t="shared" si="1"/>
        <v>240500</v>
      </c>
      <c r="L89" s="271">
        <v>108654.0</v>
      </c>
      <c r="M89" s="271">
        <v>4500.0</v>
      </c>
      <c r="N89" s="275">
        <v>241.0</v>
      </c>
      <c r="O89" s="60"/>
      <c r="P89" s="50">
        <v>241.0</v>
      </c>
      <c r="Q89" s="271">
        <v>7541.0</v>
      </c>
      <c r="R89" s="276">
        <v>-0.00203</v>
      </c>
      <c r="S89" s="271">
        <v>7053.0</v>
      </c>
      <c r="T89" s="271">
        <v>7294.0</v>
      </c>
      <c r="U89" s="62">
        <v>1.0</v>
      </c>
      <c r="V89" s="277">
        <v>0.17</v>
      </c>
      <c r="W89" s="277">
        <v>0.0</v>
      </c>
      <c r="X89" s="271">
        <v>6054.0</v>
      </c>
      <c r="Y89" s="271">
        <v>1240.0</v>
      </c>
      <c r="Z89" s="50" t="b">
        <v>1</v>
      </c>
      <c r="AA89" s="50" t="s">
        <v>138</v>
      </c>
      <c r="AB89" s="50" t="s">
        <v>138</v>
      </c>
    </row>
    <row r="90">
      <c r="A90" s="271" t="s">
        <v>267</v>
      </c>
      <c r="B90" s="271" t="s">
        <v>267</v>
      </c>
      <c r="C90" s="272">
        <v>43637.0</v>
      </c>
      <c r="D90" s="272">
        <v>43666.0</v>
      </c>
      <c r="E90" s="271" t="s">
        <v>268</v>
      </c>
      <c r="F90" s="138" t="s">
        <v>4</v>
      </c>
      <c r="G90" s="271" t="s">
        <v>5</v>
      </c>
      <c r="H90" s="273" t="s">
        <v>957</v>
      </c>
      <c r="I90" s="274">
        <v>7.0</v>
      </c>
      <c r="J90" s="271">
        <v>2.0</v>
      </c>
      <c r="K90" s="271">
        <f t="shared" si="1"/>
        <v>14</v>
      </c>
      <c r="L90" s="271">
        <v>-473.0</v>
      </c>
      <c r="M90" s="271">
        <v>-14.0</v>
      </c>
      <c r="N90" s="275">
        <v>0.0</v>
      </c>
      <c r="O90" s="60"/>
      <c r="P90" s="50">
        <v>0.0</v>
      </c>
      <c r="Q90" s="271">
        <v>-7.0</v>
      </c>
      <c r="R90" s="276">
        <v>6.6E-4</v>
      </c>
      <c r="S90" s="271">
        <v>-7.0</v>
      </c>
      <c r="T90" s="271">
        <v>-7.0</v>
      </c>
      <c r="U90" s="62">
        <v>1.0</v>
      </c>
      <c r="V90" s="277">
        <v>0.25</v>
      </c>
      <c r="W90" s="277">
        <v>0.0</v>
      </c>
      <c r="X90" s="271">
        <v>-5.0</v>
      </c>
      <c r="Y90" s="271">
        <v>-2.0</v>
      </c>
      <c r="Z90" s="50" t="b">
        <v>1</v>
      </c>
      <c r="AA90" s="50" t="s">
        <v>138</v>
      </c>
      <c r="AB90" s="50" t="s">
        <v>138</v>
      </c>
    </row>
    <row r="91">
      <c r="A91" s="271" t="s">
        <v>267</v>
      </c>
      <c r="B91" s="271" t="s">
        <v>267</v>
      </c>
      <c r="C91" s="272">
        <v>43637.0</v>
      </c>
      <c r="D91" s="272">
        <v>43666.0</v>
      </c>
      <c r="E91" s="271" t="s">
        <v>268</v>
      </c>
      <c r="F91" s="138" t="s">
        <v>4</v>
      </c>
      <c r="G91" s="271" t="s">
        <v>5</v>
      </c>
      <c r="H91" s="273" t="s">
        <v>952</v>
      </c>
      <c r="I91" s="274">
        <v>15.0</v>
      </c>
      <c r="J91" s="271">
        <v>14.0</v>
      </c>
      <c r="K91" s="271">
        <f t="shared" si="1"/>
        <v>210</v>
      </c>
      <c r="L91" s="271">
        <v>-573.0</v>
      </c>
      <c r="M91" s="271">
        <v>-30.0</v>
      </c>
      <c r="N91" s="275">
        <v>0.0</v>
      </c>
      <c r="O91" s="60"/>
      <c r="P91" s="50">
        <v>0.0</v>
      </c>
      <c r="Q91" s="271">
        <v>-30.0</v>
      </c>
      <c r="R91" s="276">
        <v>6.6E-4</v>
      </c>
      <c r="S91" s="271">
        <v>-29.0</v>
      </c>
      <c r="T91" s="271">
        <v>-29.0</v>
      </c>
      <c r="U91" s="62">
        <v>1.0</v>
      </c>
      <c r="V91" s="277">
        <v>0.25</v>
      </c>
      <c r="W91" s="277">
        <v>0.0</v>
      </c>
      <c r="X91" s="271">
        <v>-22.0</v>
      </c>
      <c r="Y91" s="271">
        <v>-7.0</v>
      </c>
      <c r="Z91" s="50" t="b">
        <v>1</v>
      </c>
      <c r="AA91" s="50" t="s">
        <v>138</v>
      </c>
      <c r="AB91" s="50" t="s">
        <v>138</v>
      </c>
    </row>
    <row r="92">
      <c r="A92" s="271" t="s">
        <v>267</v>
      </c>
      <c r="B92" s="271" t="s">
        <v>267</v>
      </c>
      <c r="C92" s="272">
        <v>43637.0</v>
      </c>
      <c r="D92" s="272">
        <v>43666.0</v>
      </c>
      <c r="E92" s="271" t="s">
        <v>268</v>
      </c>
      <c r="F92" s="138" t="s">
        <v>4</v>
      </c>
      <c r="G92" s="271" t="s">
        <v>5</v>
      </c>
      <c r="H92" s="273" t="s">
        <v>953</v>
      </c>
      <c r="I92" s="274">
        <v>30.0</v>
      </c>
      <c r="J92" s="271">
        <v>437.0</v>
      </c>
      <c r="K92" s="271">
        <f t="shared" si="1"/>
        <v>13110</v>
      </c>
      <c r="L92" s="271">
        <v>38645.0</v>
      </c>
      <c r="M92" s="271">
        <v>1530.0</v>
      </c>
      <c r="N92" s="275">
        <v>16.0</v>
      </c>
      <c r="O92" s="60"/>
      <c r="P92" s="50">
        <v>16.0</v>
      </c>
      <c r="Q92" s="271">
        <v>1328.0</v>
      </c>
      <c r="R92" s="276">
        <v>6.6E-4</v>
      </c>
      <c r="S92" s="271">
        <v>1337.0</v>
      </c>
      <c r="T92" s="271">
        <v>1353.0</v>
      </c>
      <c r="U92" s="62">
        <v>1.0</v>
      </c>
      <c r="V92" s="277">
        <v>0.25</v>
      </c>
      <c r="W92" s="277">
        <v>0.0</v>
      </c>
      <c r="X92" s="271">
        <v>1015.0</v>
      </c>
      <c r="Y92" s="271">
        <v>338.0</v>
      </c>
      <c r="Z92" s="50" t="b">
        <v>1</v>
      </c>
      <c r="AA92" s="50" t="s">
        <v>138</v>
      </c>
      <c r="AB92" s="50" t="s">
        <v>138</v>
      </c>
    </row>
    <row r="93">
      <c r="A93" s="271" t="s">
        <v>267</v>
      </c>
      <c r="B93" s="271" t="s">
        <v>267</v>
      </c>
      <c r="C93" s="272">
        <v>43637.0</v>
      </c>
      <c r="D93" s="272">
        <v>43666.0</v>
      </c>
      <c r="E93" s="271" t="s">
        <v>268</v>
      </c>
      <c r="F93" s="138" t="s">
        <v>4</v>
      </c>
      <c r="G93" s="271" t="s">
        <v>5</v>
      </c>
      <c r="H93" s="273" t="s">
        <v>956</v>
      </c>
      <c r="I93" s="274">
        <v>40.0</v>
      </c>
      <c r="J93" s="271">
        <v>737.0</v>
      </c>
      <c r="K93" s="271">
        <f t="shared" si="1"/>
        <v>29480</v>
      </c>
      <c r="L93" s="271">
        <v>56090.0</v>
      </c>
      <c r="M93" s="271">
        <v>4880.0</v>
      </c>
      <c r="N93" s="275">
        <v>41.0</v>
      </c>
      <c r="O93" s="60"/>
      <c r="P93" s="50">
        <v>41.0</v>
      </c>
      <c r="Q93" s="271">
        <v>2059.0</v>
      </c>
      <c r="R93" s="276">
        <v>6.6E-4</v>
      </c>
      <c r="S93" s="271">
        <v>2079.0</v>
      </c>
      <c r="T93" s="271">
        <v>2120.0</v>
      </c>
      <c r="U93" s="62">
        <v>1.0</v>
      </c>
      <c r="V93" s="277">
        <v>0.25</v>
      </c>
      <c r="W93" s="277">
        <v>0.0</v>
      </c>
      <c r="X93" s="271">
        <v>1590.0</v>
      </c>
      <c r="Y93" s="271">
        <v>530.0</v>
      </c>
      <c r="Z93" s="50" t="b">
        <v>1</v>
      </c>
      <c r="AA93" s="50" t="s">
        <v>138</v>
      </c>
      <c r="AB93" s="50" t="s">
        <v>138</v>
      </c>
    </row>
    <row r="94">
      <c r="A94" s="271" t="s">
        <v>267</v>
      </c>
      <c r="B94" s="271" t="s">
        <v>267</v>
      </c>
      <c r="C94" s="272">
        <v>43637.0</v>
      </c>
      <c r="D94" s="272">
        <v>43666.0</v>
      </c>
      <c r="E94" s="271" t="s">
        <v>268</v>
      </c>
      <c r="F94" s="138" t="s">
        <v>4</v>
      </c>
      <c r="G94" s="271" t="s">
        <v>5</v>
      </c>
      <c r="H94" s="273" t="s">
        <v>951</v>
      </c>
      <c r="I94" s="274">
        <v>60.0</v>
      </c>
      <c r="J94" s="271">
        <v>655.0</v>
      </c>
      <c r="K94" s="271">
        <f t="shared" si="1"/>
        <v>39300</v>
      </c>
      <c r="L94" s="271">
        <v>24789.0</v>
      </c>
      <c r="M94" s="271">
        <v>-960.0</v>
      </c>
      <c r="N94" s="275">
        <v>39.0</v>
      </c>
      <c r="O94" s="60"/>
      <c r="P94" s="50">
        <v>39.0</v>
      </c>
      <c r="Q94" s="271">
        <v>688.0</v>
      </c>
      <c r="R94" s="276">
        <v>6.6E-4</v>
      </c>
      <c r="S94" s="271">
        <v>714.0</v>
      </c>
      <c r="T94" s="271">
        <v>753.0</v>
      </c>
      <c r="U94" s="62">
        <v>1.0</v>
      </c>
      <c r="V94" s="277">
        <v>0.25</v>
      </c>
      <c r="W94" s="277">
        <v>0.0</v>
      </c>
      <c r="X94" s="271">
        <v>565.0</v>
      </c>
      <c r="Y94" s="271">
        <v>188.0</v>
      </c>
      <c r="Z94" s="50" t="b">
        <v>1</v>
      </c>
      <c r="AA94" s="50" t="s">
        <v>138</v>
      </c>
      <c r="AB94" s="50" t="s">
        <v>138</v>
      </c>
    </row>
    <row r="95">
      <c r="A95" s="271" t="s">
        <v>267</v>
      </c>
      <c r="B95" s="271" t="s">
        <v>267</v>
      </c>
      <c r="C95" s="272">
        <v>43637.0</v>
      </c>
      <c r="D95" s="272">
        <v>43666.0</v>
      </c>
      <c r="E95" s="271" t="s">
        <v>268</v>
      </c>
      <c r="F95" s="138" t="s">
        <v>4</v>
      </c>
      <c r="G95" s="271" t="s">
        <v>5</v>
      </c>
      <c r="H95" s="273" t="s">
        <v>954</v>
      </c>
      <c r="I95" s="274">
        <v>100.0</v>
      </c>
      <c r="J95" s="271">
        <v>695.0</v>
      </c>
      <c r="K95" s="271">
        <f t="shared" si="1"/>
        <v>69500</v>
      </c>
      <c r="L95" s="271">
        <v>12954.0</v>
      </c>
      <c r="M95" s="271">
        <v>-1700.0</v>
      </c>
      <c r="N95" s="275">
        <v>70.0</v>
      </c>
      <c r="O95" s="60"/>
      <c r="P95" s="50">
        <v>70.0</v>
      </c>
      <c r="Q95" s="271">
        <v>-1306.0</v>
      </c>
      <c r="R95" s="276">
        <v>6.6E-4</v>
      </c>
      <c r="S95" s="271">
        <v>-1260.0</v>
      </c>
      <c r="T95" s="271">
        <v>-1190.0</v>
      </c>
      <c r="U95" s="62">
        <v>1.0</v>
      </c>
      <c r="V95" s="277">
        <v>0.25</v>
      </c>
      <c r="W95" s="277">
        <v>0.0</v>
      </c>
      <c r="X95" s="271">
        <v>-892.0</v>
      </c>
      <c r="Y95" s="271">
        <v>-297.0</v>
      </c>
      <c r="Z95" s="50" t="b">
        <v>1</v>
      </c>
      <c r="AA95" s="50" t="s">
        <v>138</v>
      </c>
      <c r="AB95" s="50" t="s">
        <v>138</v>
      </c>
    </row>
    <row r="96">
      <c r="A96" s="271" t="s">
        <v>148</v>
      </c>
      <c r="B96" s="271" t="s">
        <v>148</v>
      </c>
      <c r="C96" s="278">
        <v>43637.0</v>
      </c>
      <c r="D96" s="278">
        <v>43666.0</v>
      </c>
      <c r="E96" s="271" t="s">
        <v>331</v>
      </c>
      <c r="F96" s="101" t="s">
        <v>4</v>
      </c>
      <c r="G96" s="271" t="s">
        <v>5</v>
      </c>
      <c r="H96" s="273" t="s">
        <v>953</v>
      </c>
      <c r="I96" s="274">
        <v>30.0</v>
      </c>
      <c r="J96" s="271">
        <v>2510.0</v>
      </c>
      <c r="K96" s="271">
        <f t="shared" si="1"/>
        <v>75300</v>
      </c>
      <c r="L96" s="271">
        <v>116041.0</v>
      </c>
      <c r="M96" s="271">
        <v>-1980.0</v>
      </c>
      <c r="N96" s="275">
        <v>90.0</v>
      </c>
      <c r="O96" s="60"/>
      <c r="P96" s="50">
        <v>90.0</v>
      </c>
      <c r="Q96" s="271">
        <v>1688.0</v>
      </c>
      <c r="R96" s="276">
        <v>0.0</v>
      </c>
      <c r="S96" s="271">
        <v>1688.0</v>
      </c>
      <c r="T96" s="271">
        <v>1778.0</v>
      </c>
      <c r="U96" s="62">
        <v>1.0</v>
      </c>
      <c r="V96" s="277">
        <v>0.3</v>
      </c>
      <c r="W96" s="277">
        <v>0.1</v>
      </c>
      <c r="X96" s="271">
        <v>1067.0</v>
      </c>
      <c r="Y96" s="271">
        <v>711.0</v>
      </c>
      <c r="Z96" s="50" t="b">
        <v>1</v>
      </c>
      <c r="AA96" s="50" t="s">
        <v>138</v>
      </c>
      <c r="AB96" s="50" t="s">
        <v>138</v>
      </c>
    </row>
    <row r="97">
      <c r="A97" s="271" t="s">
        <v>148</v>
      </c>
      <c r="B97" s="271" t="s">
        <v>148</v>
      </c>
      <c r="C97" s="278">
        <v>43637.0</v>
      </c>
      <c r="D97" s="278">
        <v>43666.0</v>
      </c>
      <c r="E97" s="271" t="s">
        <v>331</v>
      </c>
      <c r="F97" s="101" t="s">
        <v>4</v>
      </c>
      <c r="G97" s="271" t="s">
        <v>5</v>
      </c>
      <c r="H97" s="273" t="s">
        <v>956</v>
      </c>
      <c r="I97" s="274">
        <v>40.0</v>
      </c>
      <c r="J97" s="271">
        <v>90.0</v>
      </c>
      <c r="K97" s="271">
        <f t="shared" si="1"/>
        <v>3600</v>
      </c>
      <c r="L97" s="271">
        <v>10494.0</v>
      </c>
      <c r="M97" s="271">
        <v>880.0</v>
      </c>
      <c r="N97" s="275">
        <v>5.0</v>
      </c>
      <c r="O97" s="60"/>
      <c r="P97" s="50">
        <v>5.0</v>
      </c>
      <c r="Q97" s="271">
        <v>522.0</v>
      </c>
      <c r="R97" s="276">
        <v>0.0</v>
      </c>
      <c r="S97" s="271">
        <v>522.0</v>
      </c>
      <c r="T97" s="271">
        <v>527.0</v>
      </c>
      <c r="U97" s="62">
        <v>1.0</v>
      </c>
      <c r="V97" s="277">
        <v>0.3</v>
      </c>
      <c r="W97" s="277">
        <v>0.1</v>
      </c>
      <c r="X97" s="271">
        <v>316.0</v>
      </c>
      <c r="Y97" s="271">
        <v>211.0</v>
      </c>
      <c r="Z97" s="50" t="b">
        <v>1</v>
      </c>
      <c r="AA97" s="50" t="s">
        <v>138</v>
      </c>
      <c r="AB97" s="50" t="s">
        <v>138</v>
      </c>
    </row>
    <row r="98">
      <c r="A98" s="271" t="s">
        <v>156</v>
      </c>
      <c r="B98" s="271" t="s">
        <v>156</v>
      </c>
      <c r="C98" s="278">
        <v>43637.0</v>
      </c>
      <c r="D98" s="278">
        <v>43666.0</v>
      </c>
      <c r="E98" s="271" t="s">
        <v>268</v>
      </c>
      <c r="F98" s="101" t="s">
        <v>4</v>
      </c>
      <c r="G98" s="271" t="s">
        <v>5</v>
      </c>
      <c r="H98" s="273" t="s">
        <v>952</v>
      </c>
      <c r="I98" s="274">
        <v>15.0</v>
      </c>
      <c r="J98" s="271">
        <v>42.0</v>
      </c>
      <c r="K98" s="271">
        <f t="shared" si="1"/>
        <v>630</v>
      </c>
      <c r="L98" s="271">
        <v>7018.0</v>
      </c>
      <c r="M98" s="271">
        <v>150.0</v>
      </c>
      <c r="N98" s="275">
        <v>1.0</v>
      </c>
      <c r="O98" s="60"/>
      <c r="P98" s="50">
        <v>1.0</v>
      </c>
      <c r="Q98" s="271">
        <v>156.0</v>
      </c>
      <c r="R98" s="276">
        <v>6.6E-4</v>
      </c>
      <c r="S98" s="271">
        <v>157.0</v>
      </c>
      <c r="T98" s="271">
        <v>158.0</v>
      </c>
      <c r="U98" s="62">
        <v>1.0</v>
      </c>
      <c r="V98" s="277">
        <v>0.25</v>
      </c>
      <c r="W98" s="277">
        <v>0.0</v>
      </c>
      <c r="X98" s="271">
        <v>118.0</v>
      </c>
      <c r="Y98" s="271">
        <v>39.0</v>
      </c>
      <c r="Z98" s="50" t="b">
        <v>1</v>
      </c>
      <c r="AA98" s="50" t="s">
        <v>138</v>
      </c>
      <c r="AB98" s="50" t="s">
        <v>138</v>
      </c>
    </row>
    <row r="99">
      <c r="A99" s="271" t="s">
        <v>156</v>
      </c>
      <c r="B99" s="271" t="s">
        <v>156</v>
      </c>
      <c r="C99" s="278">
        <v>43637.0</v>
      </c>
      <c r="D99" s="278">
        <v>43666.0</v>
      </c>
      <c r="E99" s="271" t="s">
        <v>268</v>
      </c>
      <c r="F99" s="101" t="s">
        <v>4</v>
      </c>
      <c r="G99" s="271" t="s">
        <v>5</v>
      </c>
      <c r="H99" s="273" t="s">
        <v>953</v>
      </c>
      <c r="I99" s="274">
        <v>30.0</v>
      </c>
      <c r="J99" s="271">
        <v>9.0</v>
      </c>
      <c r="K99" s="271">
        <f t="shared" si="1"/>
        <v>270</v>
      </c>
      <c r="L99" s="271">
        <v>1442.0</v>
      </c>
      <c r="M99" s="271">
        <v>30.0</v>
      </c>
      <c r="N99" s="275">
        <v>0.0</v>
      </c>
      <c r="O99" s="60"/>
      <c r="P99" s="50">
        <v>0.0</v>
      </c>
      <c r="Q99" s="271">
        <v>64.0</v>
      </c>
      <c r="R99" s="276">
        <v>6.6E-4</v>
      </c>
      <c r="S99" s="271">
        <v>64.0</v>
      </c>
      <c r="T99" s="271">
        <v>64.0</v>
      </c>
      <c r="U99" s="62">
        <v>1.0</v>
      </c>
      <c r="V99" s="277">
        <v>0.25</v>
      </c>
      <c r="W99" s="277">
        <v>0.0</v>
      </c>
      <c r="X99" s="271">
        <v>48.0</v>
      </c>
      <c r="Y99" s="271">
        <v>16.0</v>
      </c>
      <c r="Z99" s="50" t="b">
        <v>1</v>
      </c>
      <c r="AA99" s="50" t="s">
        <v>138</v>
      </c>
      <c r="AB99" s="50" t="s">
        <v>138</v>
      </c>
    </row>
    <row r="100">
      <c r="A100" s="271" t="s">
        <v>156</v>
      </c>
      <c r="B100" s="271" t="s">
        <v>156</v>
      </c>
      <c r="C100" s="278">
        <v>43637.0</v>
      </c>
      <c r="D100" s="278">
        <v>43666.0</v>
      </c>
      <c r="E100" s="271" t="s">
        <v>268</v>
      </c>
      <c r="F100" s="101" t="s">
        <v>4</v>
      </c>
      <c r="G100" s="271" t="s">
        <v>5</v>
      </c>
      <c r="H100" s="273" t="s">
        <v>956</v>
      </c>
      <c r="I100" s="274">
        <v>40.0</v>
      </c>
      <c r="J100" s="271">
        <v>1697.0</v>
      </c>
      <c r="K100" s="271">
        <f t="shared" si="1"/>
        <v>67880</v>
      </c>
      <c r="L100" s="271">
        <v>81443.0</v>
      </c>
      <c r="M100" s="271">
        <v>-2760.0</v>
      </c>
      <c r="N100" s="275">
        <v>95.0</v>
      </c>
      <c r="O100" s="60"/>
      <c r="P100" s="50">
        <v>95.0</v>
      </c>
      <c r="Q100" s="271">
        <v>1201.0</v>
      </c>
      <c r="R100" s="276">
        <v>6.6E-4</v>
      </c>
      <c r="S100" s="271">
        <v>1246.0</v>
      </c>
      <c r="T100" s="271">
        <v>1341.0</v>
      </c>
      <c r="U100" s="62">
        <v>1.0</v>
      </c>
      <c r="V100" s="277">
        <v>0.25</v>
      </c>
      <c r="W100" s="277">
        <v>0.0</v>
      </c>
      <c r="X100" s="271">
        <v>1006.0</v>
      </c>
      <c r="Y100" s="271">
        <v>335.0</v>
      </c>
      <c r="Z100" s="50" t="b">
        <v>1</v>
      </c>
      <c r="AA100" s="50" t="s">
        <v>138</v>
      </c>
      <c r="AB100" s="50" t="s">
        <v>138</v>
      </c>
    </row>
    <row r="101">
      <c r="A101" s="271" t="s">
        <v>156</v>
      </c>
      <c r="B101" s="271" t="s">
        <v>156</v>
      </c>
      <c r="C101" s="278">
        <v>43637.0</v>
      </c>
      <c r="D101" s="278">
        <v>43666.0</v>
      </c>
      <c r="E101" s="271" t="s">
        <v>268</v>
      </c>
      <c r="F101" s="101" t="s">
        <v>4</v>
      </c>
      <c r="G101" s="271" t="s">
        <v>5</v>
      </c>
      <c r="H101" s="273" t="s">
        <v>951</v>
      </c>
      <c r="I101" s="274">
        <v>60.0</v>
      </c>
      <c r="J101" s="271">
        <v>297.0</v>
      </c>
      <c r="K101" s="271">
        <f t="shared" si="1"/>
        <v>17820</v>
      </c>
      <c r="L101" s="271">
        <v>-4401.0</v>
      </c>
      <c r="M101" s="271">
        <v>-2940.0</v>
      </c>
      <c r="N101" s="275">
        <v>18.0</v>
      </c>
      <c r="O101" s="60"/>
      <c r="P101" s="50">
        <v>18.0</v>
      </c>
      <c r="Q101" s="271">
        <v>-1461.0</v>
      </c>
      <c r="R101" s="276">
        <v>6.6E-4</v>
      </c>
      <c r="S101" s="271">
        <v>-1449.0</v>
      </c>
      <c r="T101" s="271">
        <v>-1431.0</v>
      </c>
      <c r="U101" s="62">
        <v>1.0</v>
      </c>
      <c r="V101" s="277">
        <v>0.25</v>
      </c>
      <c r="W101" s="277">
        <v>0.0</v>
      </c>
      <c r="X101" s="271">
        <v>-1074.0</v>
      </c>
      <c r="Y101" s="271">
        <v>-358.0</v>
      </c>
      <c r="Z101" s="50" t="b">
        <v>1</v>
      </c>
      <c r="AA101" s="50" t="s">
        <v>138</v>
      </c>
      <c r="AB101" s="50" t="s">
        <v>138</v>
      </c>
    </row>
    <row r="102">
      <c r="A102" s="271" t="s">
        <v>156</v>
      </c>
      <c r="B102" s="271" t="s">
        <v>156</v>
      </c>
      <c r="C102" s="278">
        <v>43637.0</v>
      </c>
      <c r="D102" s="278">
        <v>43666.0</v>
      </c>
      <c r="E102" s="271" t="s">
        <v>268</v>
      </c>
      <c r="F102" s="101" t="s">
        <v>4</v>
      </c>
      <c r="G102" s="271" t="s">
        <v>5</v>
      </c>
      <c r="H102" s="273" t="s">
        <v>954</v>
      </c>
      <c r="I102" s="274">
        <v>100.0</v>
      </c>
      <c r="J102" s="271">
        <v>891.0</v>
      </c>
      <c r="K102" s="271">
        <f t="shared" si="1"/>
        <v>89100</v>
      </c>
      <c r="L102" s="271">
        <v>10915.0</v>
      </c>
      <c r="M102" s="271">
        <v>-7500.0</v>
      </c>
      <c r="N102" s="275">
        <v>89.0</v>
      </c>
      <c r="O102" s="60"/>
      <c r="P102" s="50">
        <v>89.0</v>
      </c>
      <c r="Q102" s="271">
        <v>-2749.0</v>
      </c>
      <c r="R102" s="276">
        <v>6.6E-4</v>
      </c>
      <c r="S102" s="271">
        <v>-2690.0</v>
      </c>
      <c r="T102" s="271">
        <v>-2601.0</v>
      </c>
      <c r="U102" s="62">
        <v>1.0</v>
      </c>
      <c r="V102" s="277">
        <v>0.25</v>
      </c>
      <c r="W102" s="277">
        <v>0.0</v>
      </c>
      <c r="X102" s="271">
        <v>-1951.0</v>
      </c>
      <c r="Y102" s="271">
        <v>-650.0</v>
      </c>
      <c r="Z102" s="50" t="b">
        <v>1</v>
      </c>
      <c r="AA102" s="50" t="s">
        <v>138</v>
      </c>
      <c r="AB102" s="50" t="s">
        <v>138</v>
      </c>
    </row>
    <row r="103">
      <c r="A103" s="271" t="s">
        <v>177</v>
      </c>
      <c r="B103" s="271" t="s">
        <v>177</v>
      </c>
      <c r="C103" s="278">
        <v>43640.0</v>
      </c>
      <c r="D103" s="278">
        <v>43667.0</v>
      </c>
      <c r="E103" s="271" t="s">
        <v>331</v>
      </c>
      <c r="F103" s="101" t="s">
        <v>8</v>
      </c>
      <c r="G103" s="271" t="s">
        <v>5</v>
      </c>
      <c r="H103" s="273" t="s">
        <v>954</v>
      </c>
      <c r="I103" s="274">
        <v>100.0</v>
      </c>
      <c r="J103" s="271">
        <v>1555.0</v>
      </c>
      <c r="K103" s="271">
        <f t="shared" si="1"/>
        <v>155500</v>
      </c>
      <c r="L103" s="271">
        <v>68319.0</v>
      </c>
      <c r="M103" s="271">
        <v>800.0</v>
      </c>
      <c r="N103" s="275">
        <v>156.0</v>
      </c>
      <c r="O103" s="60"/>
      <c r="P103" s="50">
        <v>156.0</v>
      </c>
      <c r="Q103" s="271">
        <v>4511.0</v>
      </c>
      <c r="R103" s="276">
        <v>-0.003358</v>
      </c>
      <c r="S103" s="271">
        <v>3988.0</v>
      </c>
      <c r="T103" s="271">
        <v>4144.0</v>
      </c>
      <c r="U103" s="62">
        <v>1.0</v>
      </c>
      <c r="V103" s="277">
        <v>0.225</v>
      </c>
      <c r="W103" s="277">
        <v>0.075</v>
      </c>
      <c r="X103" s="271">
        <v>2901.0</v>
      </c>
      <c r="Y103" s="271">
        <v>1243.0</v>
      </c>
      <c r="Z103" s="50" t="b">
        <v>1</v>
      </c>
      <c r="AA103" s="50" t="s">
        <v>138</v>
      </c>
      <c r="AB103" s="50" t="s">
        <v>138</v>
      </c>
    </row>
    <row r="104">
      <c r="A104" s="271" t="s">
        <v>177</v>
      </c>
      <c r="B104" s="271" t="s">
        <v>177</v>
      </c>
      <c r="C104" s="278">
        <v>43668.0</v>
      </c>
      <c r="D104" s="278">
        <v>43695.0</v>
      </c>
      <c r="E104" s="271" t="s">
        <v>331</v>
      </c>
      <c r="F104" s="101" t="s">
        <v>8</v>
      </c>
      <c r="G104" s="271" t="s">
        <v>5</v>
      </c>
      <c r="H104" s="273" t="s">
        <v>953</v>
      </c>
      <c r="I104" s="274">
        <v>30.0</v>
      </c>
      <c r="J104" s="271">
        <v>3.0</v>
      </c>
      <c r="K104" s="271">
        <f t="shared" si="1"/>
        <v>90</v>
      </c>
      <c r="L104" s="271">
        <v>896.0</v>
      </c>
      <c r="M104" s="271">
        <v>0.0</v>
      </c>
      <c r="N104" s="275">
        <v>0.0</v>
      </c>
      <c r="O104" s="60"/>
      <c r="P104" s="50">
        <v>0.0</v>
      </c>
      <c r="Q104" s="271">
        <v>44.0</v>
      </c>
      <c r="R104" s="276">
        <v>-0.005409</v>
      </c>
      <c r="S104" s="271">
        <v>44.0</v>
      </c>
      <c r="T104" s="271">
        <v>44.0</v>
      </c>
      <c r="U104" s="62">
        <v>1.0</v>
      </c>
      <c r="V104" s="277">
        <v>0.375</v>
      </c>
      <c r="W104" s="277">
        <v>0.125</v>
      </c>
      <c r="X104" s="271">
        <v>22.0</v>
      </c>
      <c r="Y104" s="271">
        <v>22.0</v>
      </c>
      <c r="Z104" s="50" t="b">
        <v>1</v>
      </c>
      <c r="AA104" s="50" t="s">
        <v>138</v>
      </c>
      <c r="AB104" s="50" t="s">
        <v>138</v>
      </c>
    </row>
    <row r="105">
      <c r="A105" s="271" t="s">
        <v>177</v>
      </c>
      <c r="B105" s="271" t="s">
        <v>177</v>
      </c>
      <c r="C105" s="278">
        <v>43668.0</v>
      </c>
      <c r="D105" s="278">
        <v>43695.0</v>
      </c>
      <c r="E105" s="271" t="s">
        <v>331</v>
      </c>
      <c r="F105" s="101" t="s">
        <v>8</v>
      </c>
      <c r="G105" s="271" t="s">
        <v>5</v>
      </c>
      <c r="H105" s="273" t="s">
        <v>951</v>
      </c>
      <c r="I105" s="274">
        <v>60.0</v>
      </c>
      <c r="J105" s="271">
        <v>58.0</v>
      </c>
      <c r="K105" s="271">
        <f t="shared" si="1"/>
        <v>3480</v>
      </c>
      <c r="L105" s="271">
        <v>5579.0</v>
      </c>
      <c r="M105" s="271">
        <v>420.0</v>
      </c>
      <c r="N105" s="275">
        <v>3.0</v>
      </c>
      <c r="O105" s="60"/>
      <c r="P105" s="50">
        <v>3.0</v>
      </c>
      <c r="Q105" s="271">
        <v>445.0</v>
      </c>
      <c r="R105" s="276">
        <v>-0.003306</v>
      </c>
      <c r="S105" s="271">
        <v>433.0</v>
      </c>
      <c r="T105" s="271">
        <v>436.0</v>
      </c>
      <c r="U105" s="62">
        <v>1.0</v>
      </c>
      <c r="V105" s="277">
        <v>0.3</v>
      </c>
      <c r="W105" s="277">
        <v>0.1</v>
      </c>
      <c r="X105" s="271">
        <v>262.0</v>
      </c>
      <c r="Y105" s="271">
        <v>174.0</v>
      </c>
      <c r="Z105" s="50" t="b">
        <v>1</v>
      </c>
      <c r="AA105" s="50" t="s">
        <v>138</v>
      </c>
      <c r="AB105" s="50" t="s">
        <v>138</v>
      </c>
    </row>
    <row r="106">
      <c r="A106" s="271" t="s">
        <v>177</v>
      </c>
      <c r="B106" s="271" t="s">
        <v>177</v>
      </c>
      <c r="C106" s="278">
        <v>43668.0</v>
      </c>
      <c r="D106" s="278">
        <v>43695.0</v>
      </c>
      <c r="E106" s="271" t="s">
        <v>331</v>
      </c>
      <c r="F106" s="101" t="s">
        <v>8</v>
      </c>
      <c r="G106" s="271" t="s">
        <v>5</v>
      </c>
      <c r="H106" s="273" t="s">
        <v>954</v>
      </c>
      <c r="I106" s="274">
        <v>100.0</v>
      </c>
      <c r="J106" s="271">
        <v>1373.0</v>
      </c>
      <c r="K106" s="271">
        <f t="shared" si="1"/>
        <v>137300</v>
      </c>
      <c r="L106" s="271">
        <v>43749.0</v>
      </c>
      <c r="M106" s="271">
        <v>9500.0</v>
      </c>
      <c r="N106" s="275">
        <v>137.0</v>
      </c>
      <c r="O106" s="60"/>
      <c r="P106" s="50">
        <v>137.0</v>
      </c>
      <c r="Q106" s="271">
        <v>851.0</v>
      </c>
      <c r="R106" s="276">
        <v>-0.002726</v>
      </c>
      <c r="S106" s="271">
        <v>477.0</v>
      </c>
      <c r="T106" s="271">
        <v>614.0</v>
      </c>
      <c r="U106" s="62">
        <v>1.0</v>
      </c>
      <c r="V106" s="277">
        <v>0.2625</v>
      </c>
      <c r="W106" s="277">
        <v>0.0875</v>
      </c>
      <c r="X106" s="271">
        <v>399.0</v>
      </c>
      <c r="Y106" s="271">
        <v>215.0</v>
      </c>
      <c r="Z106" s="50" t="b">
        <v>1</v>
      </c>
      <c r="AA106" s="50" t="s">
        <v>138</v>
      </c>
      <c r="AB106" s="50" t="s">
        <v>138</v>
      </c>
    </row>
    <row r="107">
      <c r="A107" s="271" t="s">
        <v>267</v>
      </c>
      <c r="B107" s="271" t="s">
        <v>267</v>
      </c>
      <c r="C107" s="272">
        <v>43667.0</v>
      </c>
      <c r="D107" s="272">
        <v>43697.0</v>
      </c>
      <c r="E107" s="271" t="s">
        <v>268</v>
      </c>
      <c r="F107" s="138" t="s">
        <v>4</v>
      </c>
      <c r="G107" s="271" t="s">
        <v>5</v>
      </c>
      <c r="H107" s="273" t="s">
        <v>958</v>
      </c>
      <c r="I107" s="274">
        <v>1.0</v>
      </c>
      <c r="J107" s="271">
        <v>97.0</v>
      </c>
      <c r="K107" s="271">
        <f t="shared" si="1"/>
        <v>97</v>
      </c>
      <c r="L107" s="271">
        <v>17062.0</v>
      </c>
      <c r="M107" s="271">
        <v>35.0</v>
      </c>
      <c r="N107" s="275">
        <v>0.0</v>
      </c>
      <c r="O107" s="60"/>
      <c r="P107" s="50">
        <v>0.0</v>
      </c>
      <c r="Q107" s="271">
        <v>23.0</v>
      </c>
      <c r="R107" s="276">
        <v>0.00162</v>
      </c>
      <c r="S107" s="271">
        <v>23.0</v>
      </c>
      <c r="T107" s="271">
        <v>23.0</v>
      </c>
      <c r="U107" s="62">
        <v>1.0</v>
      </c>
      <c r="V107" s="277">
        <v>0.25</v>
      </c>
      <c r="W107" s="277">
        <v>0.0</v>
      </c>
      <c r="X107" s="271">
        <v>17.0</v>
      </c>
      <c r="Y107" s="271">
        <v>6.0</v>
      </c>
      <c r="Z107" s="50" t="b">
        <v>1</v>
      </c>
      <c r="AA107" s="50" t="s">
        <v>138</v>
      </c>
      <c r="AB107" s="50" t="s">
        <v>138</v>
      </c>
    </row>
    <row r="108">
      <c r="A108" s="271" t="s">
        <v>267</v>
      </c>
      <c r="B108" s="271" t="s">
        <v>267</v>
      </c>
      <c r="C108" s="272">
        <v>43667.0</v>
      </c>
      <c r="D108" s="272">
        <v>43697.0</v>
      </c>
      <c r="E108" s="271" t="s">
        <v>268</v>
      </c>
      <c r="F108" s="138" t="s">
        <v>4</v>
      </c>
      <c r="G108" s="271" t="s">
        <v>5</v>
      </c>
      <c r="H108" s="273" t="s">
        <v>32</v>
      </c>
      <c r="I108" s="274">
        <v>3.0</v>
      </c>
      <c r="J108" s="271">
        <v>97.0</v>
      </c>
      <c r="K108" s="271">
        <f t="shared" si="1"/>
        <v>291</v>
      </c>
      <c r="L108" s="271">
        <v>4052.0</v>
      </c>
      <c r="M108" s="271">
        <v>-9.0</v>
      </c>
      <c r="N108" s="275">
        <v>0.0</v>
      </c>
      <c r="O108" s="60"/>
      <c r="P108" s="50">
        <v>0.0</v>
      </c>
      <c r="Q108" s="271">
        <v>-2.0</v>
      </c>
      <c r="R108" s="276">
        <v>0.00162</v>
      </c>
      <c r="S108" s="271">
        <v>-2.0</v>
      </c>
      <c r="T108" s="271">
        <v>-2.0</v>
      </c>
      <c r="U108" s="62">
        <v>1.0</v>
      </c>
      <c r="V108" s="277">
        <v>0.25</v>
      </c>
      <c r="W108" s="277">
        <v>0.0</v>
      </c>
      <c r="X108" s="271">
        <v>-1.0</v>
      </c>
      <c r="Y108" s="271">
        <v>0.0</v>
      </c>
      <c r="Z108" s="50" t="b">
        <v>1</v>
      </c>
      <c r="AA108" s="50" t="s">
        <v>138</v>
      </c>
      <c r="AB108" s="50" t="s">
        <v>138</v>
      </c>
    </row>
    <row r="109">
      <c r="A109" s="271" t="s">
        <v>267</v>
      </c>
      <c r="B109" s="271" t="s">
        <v>267</v>
      </c>
      <c r="C109" s="272">
        <v>43667.0</v>
      </c>
      <c r="D109" s="272">
        <v>43697.0</v>
      </c>
      <c r="E109" s="271" t="s">
        <v>268</v>
      </c>
      <c r="F109" s="138" t="s">
        <v>4</v>
      </c>
      <c r="G109" s="271" t="s">
        <v>5</v>
      </c>
      <c r="H109" s="273" t="s">
        <v>959</v>
      </c>
      <c r="I109" s="274">
        <v>5.0</v>
      </c>
      <c r="J109" s="271">
        <v>58.0</v>
      </c>
      <c r="K109" s="271">
        <f t="shared" si="1"/>
        <v>290</v>
      </c>
      <c r="L109" s="271">
        <v>9992.0</v>
      </c>
      <c r="M109" s="271">
        <v>40.0</v>
      </c>
      <c r="N109" s="275">
        <v>0.0</v>
      </c>
      <c r="O109" s="60"/>
      <c r="P109" s="50">
        <v>0.0</v>
      </c>
      <c r="Q109" s="271">
        <v>66.0</v>
      </c>
      <c r="R109" s="276">
        <v>0.00162</v>
      </c>
      <c r="S109" s="271">
        <v>66.0</v>
      </c>
      <c r="T109" s="271">
        <v>66.0</v>
      </c>
      <c r="U109" s="62">
        <v>1.0</v>
      </c>
      <c r="V109" s="277">
        <v>0.25</v>
      </c>
      <c r="W109" s="277">
        <v>0.0</v>
      </c>
      <c r="X109" s="271">
        <v>50.0</v>
      </c>
      <c r="Y109" s="271">
        <v>17.0</v>
      </c>
      <c r="Z109" s="50" t="b">
        <v>1</v>
      </c>
      <c r="AA109" s="50" t="s">
        <v>138</v>
      </c>
      <c r="AB109" s="50" t="s">
        <v>138</v>
      </c>
    </row>
    <row r="110">
      <c r="A110" s="271" t="s">
        <v>267</v>
      </c>
      <c r="B110" s="271" t="s">
        <v>267</v>
      </c>
      <c r="C110" s="272">
        <v>43667.0</v>
      </c>
      <c r="D110" s="272">
        <v>43697.0</v>
      </c>
      <c r="E110" s="271" t="s">
        <v>268</v>
      </c>
      <c r="F110" s="138" t="s">
        <v>4</v>
      </c>
      <c r="G110" s="271" t="s">
        <v>5</v>
      </c>
      <c r="H110" s="273" t="s">
        <v>957</v>
      </c>
      <c r="I110" s="274">
        <v>7.0</v>
      </c>
      <c r="J110" s="271">
        <v>81.0</v>
      </c>
      <c r="K110" s="271">
        <f t="shared" si="1"/>
        <v>567</v>
      </c>
      <c r="L110" s="271">
        <v>3734.0</v>
      </c>
      <c r="M110" s="271">
        <v>-21.0</v>
      </c>
      <c r="N110" s="275">
        <v>1.0</v>
      </c>
      <c r="O110" s="60"/>
      <c r="P110" s="50">
        <v>1.0</v>
      </c>
      <c r="Q110" s="271">
        <v>6.0</v>
      </c>
      <c r="R110" s="276">
        <v>0.00162</v>
      </c>
      <c r="S110" s="271">
        <v>7.0</v>
      </c>
      <c r="T110" s="271">
        <v>8.0</v>
      </c>
      <c r="U110" s="62">
        <v>1.0</v>
      </c>
      <c r="V110" s="277">
        <v>0.25</v>
      </c>
      <c r="W110" s="277">
        <v>0.0</v>
      </c>
      <c r="X110" s="271">
        <v>6.0</v>
      </c>
      <c r="Y110" s="271">
        <v>2.0</v>
      </c>
      <c r="Z110" s="50" t="b">
        <v>1</v>
      </c>
      <c r="AA110" s="50" t="s">
        <v>138</v>
      </c>
      <c r="AB110" s="50" t="s">
        <v>138</v>
      </c>
    </row>
    <row r="111">
      <c r="A111" s="271" t="s">
        <v>267</v>
      </c>
      <c r="B111" s="271" t="s">
        <v>267</v>
      </c>
      <c r="C111" s="272">
        <v>43667.0</v>
      </c>
      <c r="D111" s="272">
        <v>43697.0</v>
      </c>
      <c r="E111" s="271" t="s">
        <v>268</v>
      </c>
      <c r="F111" s="138" t="s">
        <v>4</v>
      </c>
      <c r="G111" s="271" t="s">
        <v>5</v>
      </c>
      <c r="H111" s="273" t="s">
        <v>952</v>
      </c>
      <c r="I111" s="274">
        <v>15.0</v>
      </c>
      <c r="J111" s="271">
        <v>166.0</v>
      </c>
      <c r="K111" s="271">
        <f t="shared" si="1"/>
        <v>2490</v>
      </c>
      <c r="L111" s="271">
        <v>11472.0</v>
      </c>
      <c r="M111" s="271">
        <v>240.0</v>
      </c>
      <c r="N111" s="275">
        <v>3.0</v>
      </c>
      <c r="O111" s="60"/>
      <c r="P111" s="50">
        <v>3.0</v>
      </c>
      <c r="Q111" s="271">
        <v>163.0</v>
      </c>
      <c r="R111" s="276">
        <v>0.00162</v>
      </c>
      <c r="S111" s="271">
        <v>167.0</v>
      </c>
      <c r="T111" s="271">
        <v>170.0</v>
      </c>
      <c r="U111" s="62">
        <v>1.0</v>
      </c>
      <c r="V111" s="277">
        <v>0.25</v>
      </c>
      <c r="W111" s="277">
        <v>0.0</v>
      </c>
      <c r="X111" s="271">
        <v>128.0</v>
      </c>
      <c r="Y111" s="271">
        <v>43.0</v>
      </c>
      <c r="Z111" s="50" t="b">
        <v>1</v>
      </c>
      <c r="AA111" s="50" t="s">
        <v>138</v>
      </c>
      <c r="AB111" s="50" t="s">
        <v>138</v>
      </c>
    </row>
    <row r="112">
      <c r="A112" s="271" t="s">
        <v>267</v>
      </c>
      <c r="B112" s="271" t="s">
        <v>267</v>
      </c>
      <c r="C112" s="272">
        <v>43667.0</v>
      </c>
      <c r="D112" s="272">
        <v>43697.0</v>
      </c>
      <c r="E112" s="271" t="s">
        <v>268</v>
      </c>
      <c r="F112" s="138" t="s">
        <v>4</v>
      </c>
      <c r="G112" s="271" t="s">
        <v>5</v>
      </c>
      <c r="H112" s="273" t="s">
        <v>953</v>
      </c>
      <c r="I112" s="274">
        <v>30.0</v>
      </c>
      <c r="J112" s="271">
        <v>583.0</v>
      </c>
      <c r="K112" s="271">
        <f t="shared" si="1"/>
        <v>17490</v>
      </c>
      <c r="L112" s="271">
        <v>45517.0</v>
      </c>
      <c r="M112" s="271">
        <v>270.0</v>
      </c>
      <c r="N112" s="275">
        <v>21.0</v>
      </c>
      <c r="O112" s="60"/>
      <c r="P112" s="50">
        <v>21.0</v>
      </c>
      <c r="Q112" s="271">
        <v>1438.0</v>
      </c>
      <c r="R112" s="276">
        <v>0.00162</v>
      </c>
      <c r="S112" s="271">
        <v>1467.0</v>
      </c>
      <c r="T112" s="271">
        <v>1488.0</v>
      </c>
      <c r="U112" s="62">
        <v>1.0</v>
      </c>
      <c r="V112" s="277">
        <v>0.25</v>
      </c>
      <c r="W112" s="277">
        <v>0.0</v>
      </c>
      <c r="X112" s="271">
        <v>1116.0</v>
      </c>
      <c r="Y112" s="271">
        <v>372.0</v>
      </c>
      <c r="Z112" s="50" t="b">
        <v>1</v>
      </c>
      <c r="AA112" s="50" t="s">
        <v>138</v>
      </c>
      <c r="AB112" s="50" t="s">
        <v>138</v>
      </c>
    </row>
    <row r="113">
      <c r="A113" s="271" t="s">
        <v>267</v>
      </c>
      <c r="B113" s="271" t="s">
        <v>267</v>
      </c>
      <c r="C113" s="272">
        <v>43667.0</v>
      </c>
      <c r="D113" s="272">
        <v>43697.0</v>
      </c>
      <c r="E113" s="271" t="s">
        <v>268</v>
      </c>
      <c r="F113" s="138" t="s">
        <v>4</v>
      </c>
      <c r="G113" s="271" t="s">
        <v>5</v>
      </c>
      <c r="H113" s="273" t="s">
        <v>956</v>
      </c>
      <c r="I113" s="274">
        <v>40.0</v>
      </c>
      <c r="J113" s="271">
        <v>747.0</v>
      </c>
      <c r="K113" s="271">
        <f t="shared" si="1"/>
        <v>29880</v>
      </c>
      <c r="L113" s="271">
        <v>32239.0</v>
      </c>
      <c r="M113" s="271">
        <v>200.0</v>
      </c>
      <c r="N113" s="275">
        <v>42.0</v>
      </c>
      <c r="O113" s="60"/>
      <c r="P113" s="50">
        <v>42.0</v>
      </c>
      <c r="Q113" s="271">
        <v>271.0</v>
      </c>
      <c r="R113" s="276">
        <v>0.00162</v>
      </c>
      <c r="S113" s="271">
        <v>319.0</v>
      </c>
      <c r="T113" s="271">
        <v>361.0</v>
      </c>
      <c r="U113" s="62">
        <v>1.0</v>
      </c>
      <c r="V113" s="277">
        <v>0.25</v>
      </c>
      <c r="W113" s="277">
        <v>0.0</v>
      </c>
      <c r="X113" s="271">
        <v>271.0</v>
      </c>
      <c r="Y113" s="271">
        <v>90.0</v>
      </c>
      <c r="Z113" s="50" t="b">
        <v>1</v>
      </c>
      <c r="AA113" s="50" t="s">
        <v>138</v>
      </c>
      <c r="AB113" s="50" t="s">
        <v>138</v>
      </c>
    </row>
    <row r="114">
      <c r="A114" s="271" t="s">
        <v>267</v>
      </c>
      <c r="B114" s="271" t="s">
        <v>267</v>
      </c>
      <c r="C114" s="272">
        <v>43667.0</v>
      </c>
      <c r="D114" s="272">
        <v>43697.0</v>
      </c>
      <c r="E114" s="271" t="s">
        <v>268</v>
      </c>
      <c r="F114" s="101" t="s">
        <v>4</v>
      </c>
      <c r="G114" s="271" t="s">
        <v>5</v>
      </c>
      <c r="H114" s="273" t="s">
        <v>951</v>
      </c>
      <c r="I114" s="274">
        <v>60.0</v>
      </c>
      <c r="J114" s="271">
        <v>443.0</v>
      </c>
      <c r="K114" s="271">
        <f t="shared" si="1"/>
        <v>26580</v>
      </c>
      <c r="L114" s="271">
        <v>15750.0</v>
      </c>
      <c r="M114" s="271">
        <v>-1920.0</v>
      </c>
      <c r="N114" s="275">
        <v>27.0</v>
      </c>
      <c r="O114" s="60"/>
      <c r="P114" s="50">
        <v>27.0</v>
      </c>
      <c r="Q114" s="271">
        <v>356.0</v>
      </c>
      <c r="R114" s="276">
        <v>0.00162</v>
      </c>
      <c r="S114" s="271">
        <v>399.0</v>
      </c>
      <c r="T114" s="271">
        <v>426.0</v>
      </c>
      <c r="U114" s="62">
        <v>1.0</v>
      </c>
      <c r="V114" s="277">
        <v>0.25</v>
      </c>
      <c r="W114" s="277">
        <v>0.0</v>
      </c>
      <c r="X114" s="271">
        <v>320.0</v>
      </c>
      <c r="Y114" s="271">
        <v>107.0</v>
      </c>
      <c r="Z114" s="50" t="b">
        <v>1</v>
      </c>
      <c r="AA114" s="50" t="s">
        <v>138</v>
      </c>
      <c r="AB114" s="50" t="s">
        <v>138</v>
      </c>
    </row>
    <row r="115">
      <c r="A115" s="271" t="s">
        <v>267</v>
      </c>
      <c r="B115" s="271" t="s">
        <v>267</v>
      </c>
      <c r="C115" s="272">
        <v>43667.0</v>
      </c>
      <c r="D115" s="272">
        <v>43697.0</v>
      </c>
      <c r="E115" s="271" t="s">
        <v>268</v>
      </c>
      <c r="F115" s="101" t="s">
        <v>4</v>
      </c>
      <c r="G115" s="271" t="s">
        <v>5</v>
      </c>
      <c r="H115" s="273" t="s">
        <v>954</v>
      </c>
      <c r="I115" s="274">
        <v>100.0</v>
      </c>
      <c r="J115" s="271">
        <v>87.0</v>
      </c>
      <c r="K115" s="271">
        <f t="shared" si="1"/>
        <v>8700</v>
      </c>
      <c r="L115" s="271">
        <v>219.0</v>
      </c>
      <c r="M115" s="271">
        <v>-900.0</v>
      </c>
      <c r="N115" s="275">
        <v>9.0</v>
      </c>
      <c r="O115" s="60"/>
      <c r="P115" s="50">
        <v>9.0</v>
      </c>
      <c r="Q115" s="271">
        <v>-426.0</v>
      </c>
      <c r="R115" s="276">
        <v>0.00162</v>
      </c>
      <c r="S115" s="271">
        <v>-412.0</v>
      </c>
      <c r="T115" s="271">
        <v>-403.0</v>
      </c>
      <c r="U115" s="62">
        <v>1.0</v>
      </c>
      <c r="V115" s="277">
        <v>0.25</v>
      </c>
      <c r="W115" s="277">
        <v>0.0</v>
      </c>
      <c r="X115" s="271">
        <v>-302.0</v>
      </c>
      <c r="Y115" s="271">
        <v>-101.0</v>
      </c>
      <c r="Z115" s="50" t="b">
        <v>1</v>
      </c>
      <c r="AA115" s="50" t="s">
        <v>138</v>
      </c>
      <c r="AB115" s="50" t="s">
        <v>138</v>
      </c>
    </row>
    <row r="116">
      <c r="A116" s="271" t="s">
        <v>148</v>
      </c>
      <c r="B116" s="271" t="s">
        <v>148</v>
      </c>
      <c r="C116" s="278">
        <v>43667.0</v>
      </c>
      <c r="D116" s="278">
        <v>43697.0</v>
      </c>
      <c r="E116" s="271" t="s">
        <v>331</v>
      </c>
      <c r="F116" s="101" t="s">
        <v>4</v>
      </c>
      <c r="G116" s="271" t="s">
        <v>5</v>
      </c>
      <c r="H116" s="273" t="s">
        <v>953</v>
      </c>
      <c r="I116" s="274">
        <v>30.0</v>
      </c>
      <c r="J116" s="271">
        <v>25.0</v>
      </c>
      <c r="K116" s="271">
        <f t="shared" si="1"/>
        <v>750</v>
      </c>
      <c r="L116" s="271">
        <v>-2010.0</v>
      </c>
      <c r="M116" s="271">
        <v>-150.0</v>
      </c>
      <c r="N116" s="275">
        <v>1.0</v>
      </c>
      <c r="O116" s="60"/>
      <c r="P116" s="50">
        <v>1.0</v>
      </c>
      <c r="Q116" s="271">
        <v>-161.0</v>
      </c>
      <c r="R116" s="276">
        <v>0.00162</v>
      </c>
      <c r="S116" s="271">
        <v>-160.0</v>
      </c>
      <c r="T116" s="271">
        <v>-159.0</v>
      </c>
      <c r="U116" s="62">
        <v>1.0</v>
      </c>
      <c r="V116" s="277">
        <v>0.3</v>
      </c>
      <c r="W116" s="277">
        <v>0.1</v>
      </c>
      <c r="X116" s="271">
        <v>-95.0</v>
      </c>
      <c r="Y116" s="271">
        <v>-63.0</v>
      </c>
      <c r="Z116" s="50" t="b">
        <v>1</v>
      </c>
      <c r="AA116" s="50" t="s">
        <v>138</v>
      </c>
      <c r="AB116" s="50" t="s">
        <v>138</v>
      </c>
    </row>
    <row r="117">
      <c r="A117" s="271" t="s">
        <v>148</v>
      </c>
      <c r="B117" s="271" t="s">
        <v>148</v>
      </c>
      <c r="C117" s="278">
        <v>43667.0</v>
      </c>
      <c r="D117" s="278">
        <v>43697.0</v>
      </c>
      <c r="E117" s="271" t="s">
        <v>331</v>
      </c>
      <c r="F117" s="101" t="s">
        <v>4</v>
      </c>
      <c r="G117" s="271" t="s">
        <v>5</v>
      </c>
      <c r="H117" s="273" t="s">
        <v>956</v>
      </c>
      <c r="I117" s="274">
        <v>40.0</v>
      </c>
      <c r="J117" s="271">
        <v>805.0</v>
      </c>
      <c r="K117" s="271">
        <f t="shared" si="1"/>
        <v>32200</v>
      </c>
      <c r="L117" s="271">
        <v>36061.0</v>
      </c>
      <c r="M117" s="271">
        <v>0.0</v>
      </c>
      <c r="N117" s="275">
        <v>45.0</v>
      </c>
      <c r="O117" s="60"/>
      <c r="P117" s="50">
        <v>45.0</v>
      </c>
      <c r="Q117" s="271">
        <v>379.0</v>
      </c>
      <c r="R117" s="276">
        <v>0.00162</v>
      </c>
      <c r="S117" s="271">
        <v>431.0</v>
      </c>
      <c r="T117" s="271">
        <v>476.0</v>
      </c>
      <c r="U117" s="62">
        <v>1.0</v>
      </c>
      <c r="V117" s="277">
        <v>0.3</v>
      </c>
      <c r="W117" s="277">
        <v>0.1</v>
      </c>
      <c r="X117" s="271">
        <v>286.0</v>
      </c>
      <c r="Y117" s="271">
        <v>190.0</v>
      </c>
      <c r="Z117" s="50" t="b">
        <v>1</v>
      </c>
      <c r="AA117" s="50" t="s">
        <v>138</v>
      </c>
      <c r="AB117" s="50" t="s">
        <v>138</v>
      </c>
    </row>
    <row r="118">
      <c r="A118" s="271" t="s">
        <v>148</v>
      </c>
      <c r="B118" s="271" t="s">
        <v>148</v>
      </c>
      <c r="C118" s="278">
        <v>43667.0</v>
      </c>
      <c r="D118" s="278">
        <v>43697.0</v>
      </c>
      <c r="E118" s="271" t="s">
        <v>331</v>
      </c>
      <c r="F118" s="101" t="s">
        <v>4</v>
      </c>
      <c r="G118" s="271" t="s">
        <v>5</v>
      </c>
      <c r="H118" s="273" t="s">
        <v>951</v>
      </c>
      <c r="I118" s="274">
        <v>60.0</v>
      </c>
      <c r="J118" s="271">
        <v>1695.0</v>
      </c>
      <c r="K118" s="271">
        <f t="shared" si="1"/>
        <v>101700</v>
      </c>
      <c r="L118" s="271">
        <v>57667.0</v>
      </c>
      <c r="M118" s="271">
        <v>960.0</v>
      </c>
      <c r="N118" s="275">
        <v>102.0</v>
      </c>
      <c r="O118" s="60"/>
      <c r="P118" s="50">
        <v>102.0</v>
      </c>
      <c r="Q118" s="271">
        <v>1045.0</v>
      </c>
      <c r="R118" s="276">
        <v>0.00162</v>
      </c>
      <c r="S118" s="271">
        <v>1210.0</v>
      </c>
      <c r="T118" s="271">
        <v>1312.0</v>
      </c>
      <c r="U118" s="62">
        <v>1.0</v>
      </c>
      <c r="V118" s="277">
        <v>0.3</v>
      </c>
      <c r="W118" s="277">
        <v>0.1</v>
      </c>
      <c r="X118" s="271">
        <v>787.0</v>
      </c>
      <c r="Y118" s="271">
        <v>525.0</v>
      </c>
      <c r="Z118" s="50" t="b">
        <v>1</v>
      </c>
      <c r="AA118" s="50" t="s">
        <v>138</v>
      </c>
      <c r="AB118" s="50" t="s">
        <v>138</v>
      </c>
    </row>
    <row r="119">
      <c r="A119" s="271" t="s">
        <v>156</v>
      </c>
      <c r="B119" s="271" t="s">
        <v>156</v>
      </c>
      <c r="C119" s="278">
        <v>43667.0</v>
      </c>
      <c r="D119" s="278">
        <v>43697.0</v>
      </c>
      <c r="E119" s="271" t="s">
        <v>268</v>
      </c>
      <c r="F119" s="101" t="s">
        <v>4</v>
      </c>
      <c r="G119" s="271" t="s">
        <v>5</v>
      </c>
      <c r="H119" s="273" t="s">
        <v>953</v>
      </c>
      <c r="I119" s="274">
        <v>30.0</v>
      </c>
      <c r="J119" s="271">
        <v>127.0</v>
      </c>
      <c r="K119" s="271">
        <f t="shared" si="1"/>
        <v>3810</v>
      </c>
      <c r="L119" s="271">
        <v>5527.0</v>
      </c>
      <c r="M119" s="271">
        <v>690.0</v>
      </c>
      <c r="N119" s="275">
        <v>5.0</v>
      </c>
      <c r="O119" s="60"/>
      <c r="P119" s="50">
        <v>5.0</v>
      </c>
      <c r="Q119" s="271">
        <v>66.0</v>
      </c>
      <c r="R119" s="276">
        <v>0.00162</v>
      </c>
      <c r="S119" s="271">
        <v>72.0</v>
      </c>
      <c r="T119" s="271">
        <v>77.0</v>
      </c>
      <c r="U119" s="62">
        <v>1.0</v>
      </c>
      <c r="V119" s="277">
        <v>0.25</v>
      </c>
      <c r="W119" s="277">
        <v>0.0</v>
      </c>
      <c r="X119" s="271">
        <v>58.0</v>
      </c>
      <c r="Y119" s="271">
        <v>19.0</v>
      </c>
      <c r="Z119" s="50" t="b">
        <v>1</v>
      </c>
      <c r="AA119" s="50" t="s">
        <v>138</v>
      </c>
      <c r="AB119" s="50" t="s">
        <v>138</v>
      </c>
    </row>
    <row r="120">
      <c r="A120" s="271" t="s">
        <v>156</v>
      </c>
      <c r="B120" s="271" t="s">
        <v>156</v>
      </c>
      <c r="C120" s="278">
        <v>43667.0</v>
      </c>
      <c r="D120" s="278">
        <v>43697.0</v>
      </c>
      <c r="E120" s="271" t="s">
        <v>268</v>
      </c>
      <c r="F120" s="101" t="s">
        <v>4</v>
      </c>
      <c r="G120" s="271" t="s">
        <v>5</v>
      </c>
      <c r="H120" s="273" t="s">
        <v>956</v>
      </c>
      <c r="I120" s="274">
        <v>40.0</v>
      </c>
      <c r="J120" s="271">
        <v>35.0</v>
      </c>
      <c r="K120" s="271">
        <f t="shared" si="1"/>
        <v>1400</v>
      </c>
      <c r="L120" s="271">
        <v>1118.0</v>
      </c>
      <c r="M120" s="271">
        <v>-160.0</v>
      </c>
      <c r="N120" s="275">
        <v>2.0</v>
      </c>
      <c r="O120" s="60"/>
      <c r="P120" s="50">
        <v>2.0</v>
      </c>
      <c r="Q120" s="271">
        <v>-17.0</v>
      </c>
      <c r="R120" s="276">
        <v>0.00162</v>
      </c>
      <c r="S120" s="271">
        <v>-15.0</v>
      </c>
      <c r="T120" s="271">
        <v>-13.0</v>
      </c>
      <c r="U120" s="62">
        <v>1.0</v>
      </c>
      <c r="V120" s="277">
        <v>0.25</v>
      </c>
      <c r="W120" s="277">
        <v>0.0</v>
      </c>
      <c r="X120" s="271">
        <v>-9.0</v>
      </c>
      <c r="Y120" s="271">
        <v>-3.0</v>
      </c>
      <c r="Z120" s="50" t="b">
        <v>1</v>
      </c>
      <c r="AA120" s="50" t="s">
        <v>138</v>
      </c>
      <c r="AB120" s="50" t="s">
        <v>138</v>
      </c>
    </row>
    <row r="121">
      <c r="A121" s="271" t="s">
        <v>156</v>
      </c>
      <c r="B121" s="271" t="s">
        <v>156</v>
      </c>
      <c r="C121" s="278">
        <v>43667.0</v>
      </c>
      <c r="D121" s="278">
        <v>43697.0</v>
      </c>
      <c r="E121" s="271" t="s">
        <v>268</v>
      </c>
      <c r="F121" s="101" t="s">
        <v>4</v>
      </c>
      <c r="G121" s="271" t="s">
        <v>5</v>
      </c>
      <c r="H121" s="273" t="s">
        <v>951</v>
      </c>
      <c r="I121" s="274">
        <v>60.0</v>
      </c>
      <c r="J121" s="271">
        <v>359.0</v>
      </c>
      <c r="K121" s="271">
        <f t="shared" si="1"/>
        <v>21540</v>
      </c>
      <c r="L121" s="271">
        <v>17449.0</v>
      </c>
      <c r="M121" s="271">
        <v>1020.0</v>
      </c>
      <c r="N121" s="275">
        <v>22.0</v>
      </c>
      <c r="O121" s="60"/>
      <c r="P121" s="50">
        <v>22.0</v>
      </c>
      <c r="Q121" s="271">
        <v>815.0</v>
      </c>
      <c r="R121" s="276">
        <v>0.00162</v>
      </c>
      <c r="S121" s="271">
        <v>850.0</v>
      </c>
      <c r="T121" s="271">
        <v>872.0</v>
      </c>
      <c r="U121" s="62">
        <v>1.0</v>
      </c>
      <c r="V121" s="277">
        <v>0.25</v>
      </c>
      <c r="W121" s="277">
        <v>0.0</v>
      </c>
      <c r="X121" s="271">
        <v>654.0</v>
      </c>
      <c r="Y121" s="271">
        <v>218.0</v>
      </c>
      <c r="Z121" s="50" t="b">
        <v>1</v>
      </c>
      <c r="AA121" s="50" t="s">
        <v>138</v>
      </c>
      <c r="AB121" s="50" t="s">
        <v>138</v>
      </c>
    </row>
    <row r="122">
      <c r="A122" s="271" t="s">
        <v>156</v>
      </c>
      <c r="B122" s="271" t="s">
        <v>156</v>
      </c>
      <c r="C122" s="278">
        <v>43667.0</v>
      </c>
      <c r="D122" s="278">
        <v>43697.0</v>
      </c>
      <c r="E122" s="271" t="s">
        <v>268</v>
      </c>
      <c r="F122" s="101" t="s">
        <v>4</v>
      </c>
      <c r="G122" s="271" t="s">
        <v>5</v>
      </c>
      <c r="H122" s="273" t="s">
        <v>954</v>
      </c>
      <c r="I122" s="274">
        <v>100.0</v>
      </c>
      <c r="J122" s="271">
        <v>1676.0</v>
      </c>
      <c r="K122" s="271">
        <f t="shared" si="1"/>
        <v>167600</v>
      </c>
      <c r="L122" s="271">
        <v>84203.0</v>
      </c>
      <c r="M122" s="271">
        <v>11400.0</v>
      </c>
      <c r="N122" s="275">
        <v>168.0</v>
      </c>
      <c r="O122" s="60"/>
      <c r="P122" s="50">
        <v>168.0</v>
      </c>
      <c r="Q122" s="271">
        <v>6858.0</v>
      </c>
      <c r="R122" s="276">
        <v>0.00162</v>
      </c>
      <c r="S122" s="271">
        <v>7130.0</v>
      </c>
      <c r="T122" s="271">
        <v>7298.0</v>
      </c>
      <c r="U122" s="62">
        <v>1.0</v>
      </c>
      <c r="V122" s="277">
        <v>0.25</v>
      </c>
      <c r="W122" s="277">
        <v>0.0</v>
      </c>
      <c r="X122" s="271">
        <v>5473.0</v>
      </c>
      <c r="Y122" s="271">
        <v>1824.0</v>
      </c>
      <c r="Z122" s="50" t="b">
        <v>1</v>
      </c>
      <c r="AA122" s="50" t="s">
        <v>138</v>
      </c>
      <c r="AB122" s="50" t="s">
        <v>138</v>
      </c>
    </row>
    <row r="123">
      <c r="A123" s="271" t="s">
        <v>267</v>
      </c>
      <c r="B123" s="271" t="s">
        <v>267</v>
      </c>
      <c r="C123" s="272">
        <v>43698.0</v>
      </c>
      <c r="D123" s="272">
        <v>43728.0</v>
      </c>
      <c r="E123" s="271" t="s">
        <v>268</v>
      </c>
      <c r="F123" s="101" t="s">
        <v>4</v>
      </c>
      <c r="G123" s="271" t="s">
        <v>5</v>
      </c>
      <c r="H123" s="273" t="s">
        <v>32</v>
      </c>
      <c r="I123" s="274">
        <v>3.0</v>
      </c>
      <c r="J123" s="271">
        <v>117.0</v>
      </c>
      <c r="K123" s="271">
        <f t="shared" si="1"/>
        <v>351</v>
      </c>
      <c r="L123" s="271">
        <v>12172.0</v>
      </c>
      <c r="M123" s="271">
        <v>-6.0</v>
      </c>
      <c r="N123" s="275">
        <v>1.0</v>
      </c>
      <c r="O123" s="60"/>
      <c r="P123" s="50">
        <v>1.0</v>
      </c>
      <c r="Q123" s="271">
        <v>37.0</v>
      </c>
      <c r="R123" s="276">
        <v>0.00175</v>
      </c>
      <c r="S123" s="271">
        <v>38.0</v>
      </c>
      <c r="T123" s="271">
        <v>39.0</v>
      </c>
      <c r="U123" s="62">
        <v>1.0</v>
      </c>
      <c r="V123" s="277">
        <v>0.25</v>
      </c>
      <c r="W123" s="277">
        <v>0.0</v>
      </c>
      <c r="X123" s="271">
        <v>29.0</v>
      </c>
      <c r="Y123" s="271">
        <v>10.0</v>
      </c>
      <c r="Z123" s="50" t="b">
        <v>1</v>
      </c>
      <c r="AA123" s="50" t="s">
        <v>138</v>
      </c>
      <c r="AB123" s="50" t="s">
        <v>138</v>
      </c>
    </row>
    <row r="124">
      <c r="A124" s="271" t="s">
        <v>267</v>
      </c>
      <c r="B124" s="271" t="s">
        <v>267</v>
      </c>
      <c r="C124" s="272">
        <v>43698.0</v>
      </c>
      <c r="D124" s="272">
        <v>43728.0</v>
      </c>
      <c r="E124" s="271" t="s">
        <v>268</v>
      </c>
      <c r="F124" s="101" t="s">
        <v>4</v>
      </c>
      <c r="G124" s="271" t="s">
        <v>5</v>
      </c>
      <c r="H124" s="273" t="s">
        <v>959</v>
      </c>
      <c r="I124" s="274">
        <v>5.0</v>
      </c>
      <c r="J124" s="271">
        <v>47.0</v>
      </c>
      <c r="K124" s="271">
        <f t="shared" si="1"/>
        <v>235</v>
      </c>
      <c r="L124" s="271">
        <v>-2429.0</v>
      </c>
      <c r="M124" s="271">
        <v>-135.0</v>
      </c>
      <c r="N124" s="275">
        <v>0.0</v>
      </c>
      <c r="O124" s="60"/>
      <c r="P124" s="50">
        <v>0.0</v>
      </c>
      <c r="Q124" s="271">
        <v>-43.0</v>
      </c>
      <c r="R124" s="276">
        <v>0.00175</v>
      </c>
      <c r="S124" s="271">
        <v>-42.0</v>
      </c>
      <c r="T124" s="271">
        <v>-42.0</v>
      </c>
      <c r="U124" s="62">
        <v>1.0</v>
      </c>
      <c r="V124" s="277">
        <v>0.25</v>
      </c>
      <c r="W124" s="277">
        <v>0.0</v>
      </c>
      <c r="X124" s="271">
        <v>-32.0</v>
      </c>
      <c r="Y124" s="271">
        <v>-11.0</v>
      </c>
      <c r="Z124" s="50" t="b">
        <v>1</v>
      </c>
      <c r="AA124" s="50" t="s">
        <v>138</v>
      </c>
      <c r="AB124" s="50" t="s">
        <v>138</v>
      </c>
    </row>
    <row r="125">
      <c r="A125" s="271" t="s">
        <v>267</v>
      </c>
      <c r="B125" s="271" t="s">
        <v>267</v>
      </c>
      <c r="C125" s="272">
        <v>43698.0</v>
      </c>
      <c r="D125" s="272">
        <v>43728.0</v>
      </c>
      <c r="E125" s="271" t="s">
        <v>268</v>
      </c>
      <c r="F125" s="101" t="s">
        <v>4</v>
      </c>
      <c r="G125" s="271" t="s">
        <v>5</v>
      </c>
      <c r="H125" s="273" t="s">
        <v>957</v>
      </c>
      <c r="I125" s="274">
        <v>7.0</v>
      </c>
      <c r="J125" s="271">
        <v>191.0</v>
      </c>
      <c r="K125" s="271">
        <f t="shared" si="1"/>
        <v>1337</v>
      </c>
      <c r="L125" s="271">
        <v>17034.0</v>
      </c>
      <c r="M125" s="271">
        <v>98.0</v>
      </c>
      <c r="N125" s="275">
        <v>2.0</v>
      </c>
      <c r="O125" s="60"/>
      <c r="P125" s="50">
        <v>2.0</v>
      </c>
      <c r="Q125" s="271">
        <v>122.0</v>
      </c>
      <c r="R125" s="276">
        <v>0.00175</v>
      </c>
      <c r="S125" s="271">
        <v>124.0</v>
      </c>
      <c r="T125" s="271">
        <v>126.0</v>
      </c>
      <c r="U125" s="62">
        <v>1.0</v>
      </c>
      <c r="V125" s="277">
        <v>0.25</v>
      </c>
      <c r="W125" s="277">
        <v>0.0</v>
      </c>
      <c r="X125" s="271">
        <v>94.0</v>
      </c>
      <c r="Y125" s="271">
        <v>31.0</v>
      </c>
      <c r="Z125" s="50" t="b">
        <v>1</v>
      </c>
      <c r="AA125" s="50" t="s">
        <v>138</v>
      </c>
      <c r="AB125" s="50" t="s">
        <v>138</v>
      </c>
    </row>
    <row r="126">
      <c r="A126" s="271" t="s">
        <v>267</v>
      </c>
      <c r="B126" s="271" t="s">
        <v>267</v>
      </c>
      <c r="C126" s="272">
        <v>43698.0</v>
      </c>
      <c r="D126" s="272">
        <v>43728.0</v>
      </c>
      <c r="E126" s="271" t="s">
        <v>268</v>
      </c>
      <c r="F126" s="101" t="s">
        <v>4</v>
      </c>
      <c r="G126" s="271" t="s">
        <v>5</v>
      </c>
      <c r="H126" s="273" t="s">
        <v>952</v>
      </c>
      <c r="I126" s="274">
        <v>15.0</v>
      </c>
      <c r="J126" s="271">
        <v>27.0</v>
      </c>
      <c r="K126" s="271">
        <f t="shared" si="1"/>
        <v>405</v>
      </c>
      <c r="L126" s="271">
        <v>258.0</v>
      </c>
      <c r="M126" s="271">
        <v>-165.0</v>
      </c>
      <c r="N126" s="275">
        <v>0.0</v>
      </c>
      <c r="O126" s="60"/>
      <c r="P126" s="50">
        <v>0.0</v>
      </c>
      <c r="Q126" s="271">
        <v>-19.0</v>
      </c>
      <c r="R126" s="276">
        <v>0.00175</v>
      </c>
      <c r="S126" s="271">
        <v>-18.0</v>
      </c>
      <c r="T126" s="271">
        <v>-18.0</v>
      </c>
      <c r="U126" s="62">
        <v>1.0</v>
      </c>
      <c r="V126" s="277">
        <v>0.25</v>
      </c>
      <c r="W126" s="277">
        <v>0.0</v>
      </c>
      <c r="X126" s="271">
        <v>-13.0</v>
      </c>
      <c r="Y126" s="271">
        <v>-4.0</v>
      </c>
      <c r="Z126" s="50" t="b">
        <v>1</v>
      </c>
      <c r="AA126" s="50" t="s">
        <v>138</v>
      </c>
      <c r="AB126" s="50" t="s">
        <v>138</v>
      </c>
    </row>
    <row r="127">
      <c r="A127" s="271" t="s">
        <v>267</v>
      </c>
      <c r="B127" s="271" t="s">
        <v>267</v>
      </c>
      <c r="C127" s="272">
        <v>43698.0</v>
      </c>
      <c r="D127" s="272">
        <v>43728.0</v>
      </c>
      <c r="E127" s="271" t="s">
        <v>268</v>
      </c>
      <c r="F127" s="101" t="s">
        <v>4</v>
      </c>
      <c r="G127" s="271" t="s">
        <v>5</v>
      </c>
      <c r="H127" s="273" t="s">
        <v>953</v>
      </c>
      <c r="I127" s="274">
        <v>30.0</v>
      </c>
      <c r="J127" s="271">
        <v>638.0</v>
      </c>
      <c r="K127" s="271">
        <f t="shared" si="1"/>
        <v>19140</v>
      </c>
      <c r="L127" s="271">
        <v>48135.0</v>
      </c>
      <c r="M127" s="271">
        <v>2070.0</v>
      </c>
      <c r="N127" s="275">
        <v>23.0</v>
      </c>
      <c r="O127" s="60"/>
      <c r="P127" s="50">
        <v>23.0</v>
      </c>
      <c r="Q127" s="271">
        <v>1474.0</v>
      </c>
      <c r="R127" s="276">
        <v>0.00175</v>
      </c>
      <c r="S127" s="271">
        <v>1508.0</v>
      </c>
      <c r="T127" s="271">
        <v>1531.0</v>
      </c>
      <c r="U127" s="62">
        <v>1.0</v>
      </c>
      <c r="V127" s="277">
        <v>0.25</v>
      </c>
      <c r="W127" s="277">
        <v>0.0</v>
      </c>
      <c r="X127" s="271">
        <v>1148.0</v>
      </c>
      <c r="Y127" s="271">
        <v>383.0</v>
      </c>
      <c r="Z127" s="50" t="b">
        <v>1</v>
      </c>
      <c r="AA127" s="50" t="s">
        <v>138</v>
      </c>
      <c r="AB127" s="50" t="s">
        <v>138</v>
      </c>
    </row>
    <row r="128">
      <c r="A128" s="271" t="s">
        <v>267</v>
      </c>
      <c r="B128" s="271" t="s">
        <v>267</v>
      </c>
      <c r="C128" s="272">
        <v>43698.0</v>
      </c>
      <c r="D128" s="272">
        <v>43728.0</v>
      </c>
      <c r="E128" s="271" t="s">
        <v>268</v>
      </c>
      <c r="F128" s="101" t="s">
        <v>4</v>
      </c>
      <c r="G128" s="271" t="s">
        <v>5</v>
      </c>
      <c r="H128" s="273" t="s">
        <v>956</v>
      </c>
      <c r="I128" s="274">
        <v>40.0</v>
      </c>
      <c r="J128" s="271">
        <v>834.0</v>
      </c>
      <c r="K128" s="271">
        <f t="shared" si="1"/>
        <v>33360</v>
      </c>
      <c r="L128" s="271">
        <v>22055.0</v>
      </c>
      <c r="M128" s="271">
        <v>280.0</v>
      </c>
      <c r="N128" s="275">
        <v>47.0</v>
      </c>
      <c r="O128" s="60"/>
      <c r="P128" s="50">
        <v>47.0</v>
      </c>
      <c r="Q128" s="271">
        <v>-743.0</v>
      </c>
      <c r="R128" s="276">
        <v>0.00175</v>
      </c>
      <c r="S128" s="271">
        <v>-685.0</v>
      </c>
      <c r="T128" s="271">
        <v>-638.0</v>
      </c>
      <c r="U128" s="62">
        <v>1.0</v>
      </c>
      <c r="V128" s="277">
        <v>0.25</v>
      </c>
      <c r="W128" s="277">
        <v>0.0</v>
      </c>
      <c r="X128" s="271">
        <v>-478.0</v>
      </c>
      <c r="Y128" s="271">
        <v>-159.0</v>
      </c>
      <c r="Z128" s="50" t="b">
        <v>1</v>
      </c>
      <c r="AA128" s="50" t="s">
        <v>138</v>
      </c>
      <c r="AB128" s="50" t="s">
        <v>138</v>
      </c>
    </row>
    <row r="129">
      <c r="A129" s="271" t="s">
        <v>267</v>
      </c>
      <c r="B129" s="271" t="s">
        <v>267</v>
      </c>
      <c r="C129" s="272">
        <v>43698.0</v>
      </c>
      <c r="D129" s="272">
        <v>43728.0</v>
      </c>
      <c r="E129" s="271" t="s">
        <v>268</v>
      </c>
      <c r="F129" s="101" t="s">
        <v>4</v>
      </c>
      <c r="G129" s="271" t="s">
        <v>5</v>
      </c>
      <c r="H129" s="273" t="s">
        <v>951</v>
      </c>
      <c r="I129" s="274">
        <v>60.0</v>
      </c>
      <c r="J129" s="271">
        <v>506.0</v>
      </c>
      <c r="K129" s="271">
        <f t="shared" si="1"/>
        <v>30360</v>
      </c>
      <c r="L129" s="271">
        <v>24136.0</v>
      </c>
      <c r="M129" s="271">
        <v>-660.0</v>
      </c>
      <c r="N129" s="275">
        <v>30.0</v>
      </c>
      <c r="O129" s="60"/>
      <c r="P129" s="50">
        <v>30.0</v>
      </c>
      <c r="Q129" s="271">
        <v>1097.0</v>
      </c>
      <c r="R129" s="276">
        <v>0.00175</v>
      </c>
      <c r="S129" s="271">
        <v>1150.0</v>
      </c>
      <c r="T129" s="271">
        <v>1180.0</v>
      </c>
      <c r="U129" s="62">
        <v>1.0</v>
      </c>
      <c r="V129" s="277">
        <v>0.25</v>
      </c>
      <c r="W129" s="277">
        <v>0.0</v>
      </c>
      <c r="X129" s="271">
        <v>885.0</v>
      </c>
      <c r="Y129" s="271">
        <v>295.0</v>
      </c>
      <c r="Z129" s="50" t="b">
        <v>1</v>
      </c>
      <c r="AA129" s="50" t="s">
        <v>138</v>
      </c>
      <c r="AB129" s="50" t="s">
        <v>138</v>
      </c>
    </row>
    <row r="130">
      <c r="A130" s="271" t="s">
        <v>148</v>
      </c>
      <c r="B130" s="271" t="s">
        <v>148</v>
      </c>
      <c r="C130" s="278">
        <v>43698.0</v>
      </c>
      <c r="D130" s="278">
        <v>43728.0</v>
      </c>
      <c r="E130" s="271" t="s">
        <v>331</v>
      </c>
      <c r="F130" s="101" t="s">
        <v>4</v>
      </c>
      <c r="G130" s="271" t="s">
        <v>5</v>
      </c>
      <c r="H130" s="273" t="s">
        <v>953</v>
      </c>
      <c r="I130" s="274">
        <v>30.0</v>
      </c>
      <c r="J130" s="271">
        <v>1322.0</v>
      </c>
      <c r="K130" s="271">
        <f t="shared" si="1"/>
        <v>39660</v>
      </c>
      <c r="L130" s="271">
        <v>44904.0</v>
      </c>
      <c r="M130" s="271">
        <v>-780.0</v>
      </c>
      <c r="N130" s="275">
        <v>48.0</v>
      </c>
      <c r="O130" s="60"/>
      <c r="P130" s="50">
        <v>48.0</v>
      </c>
      <c r="Q130" s="271">
        <v>-118.0</v>
      </c>
      <c r="R130" s="276">
        <v>0.00175</v>
      </c>
      <c r="S130" s="271">
        <v>-49.0</v>
      </c>
      <c r="T130" s="271">
        <v>-1.0</v>
      </c>
      <c r="U130" s="62">
        <v>1.0</v>
      </c>
      <c r="V130" s="277">
        <v>0.3</v>
      </c>
      <c r="W130" s="277">
        <v>0.1</v>
      </c>
      <c r="X130" s="271">
        <v>0.0</v>
      </c>
      <c r="Y130" s="271">
        <v>0.0</v>
      </c>
      <c r="Z130" s="50" t="b">
        <v>1</v>
      </c>
      <c r="AA130" s="50" t="s">
        <v>138</v>
      </c>
      <c r="AB130" s="50" t="s">
        <v>138</v>
      </c>
    </row>
    <row r="131">
      <c r="A131" s="271" t="s">
        <v>148</v>
      </c>
      <c r="B131" s="271" t="s">
        <v>148</v>
      </c>
      <c r="C131" s="278">
        <v>43698.0</v>
      </c>
      <c r="D131" s="278">
        <v>43728.0</v>
      </c>
      <c r="E131" s="271" t="s">
        <v>331</v>
      </c>
      <c r="F131" s="101" t="s">
        <v>4</v>
      </c>
      <c r="G131" s="271" t="s">
        <v>5</v>
      </c>
      <c r="H131" s="273" t="s">
        <v>956</v>
      </c>
      <c r="I131" s="274">
        <v>40.0</v>
      </c>
      <c r="J131" s="271">
        <v>225.0</v>
      </c>
      <c r="K131" s="271">
        <f t="shared" si="1"/>
        <v>9000</v>
      </c>
      <c r="L131" s="271">
        <v>17857.0</v>
      </c>
      <c r="M131" s="271">
        <v>3240.0</v>
      </c>
      <c r="N131" s="275">
        <v>13.0</v>
      </c>
      <c r="O131" s="60"/>
      <c r="P131" s="50">
        <v>13.0</v>
      </c>
      <c r="Q131" s="271">
        <v>657.0</v>
      </c>
      <c r="R131" s="276">
        <v>0.00175</v>
      </c>
      <c r="S131" s="271">
        <v>673.0</v>
      </c>
      <c r="T131" s="271">
        <v>686.0</v>
      </c>
      <c r="U131" s="62">
        <v>1.0</v>
      </c>
      <c r="V131" s="277">
        <v>0.3</v>
      </c>
      <c r="W131" s="277">
        <v>0.1</v>
      </c>
      <c r="X131" s="271">
        <v>411.0</v>
      </c>
      <c r="Y131" s="271">
        <v>274.0</v>
      </c>
      <c r="Z131" s="50" t="b">
        <v>1</v>
      </c>
      <c r="AA131" s="50" t="s">
        <v>138</v>
      </c>
      <c r="AB131" s="50" t="s">
        <v>138</v>
      </c>
    </row>
    <row r="132">
      <c r="A132" s="271" t="s">
        <v>148</v>
      </c>
      <c r="B132" s="271" t="s">
        <v>148</v>
      </c>
      <c r="C132" s="278">
        <v>43698.0</v>
      </c>
      <c r="D132" s="278">
        <v>43728.0</v>
      </c>
      <c r="E132" s="271" t="s">
        <v>331</v>
      </c>
      <c r="F132" s="101" t="s">
        <v>4</v>
      </c>
      <c r="G132" s="271" t="s">
        <v>5</v>
      </c>
      <c r="H132" s="273" t="s">
        <v>951</v>
      </c>
      <c r="I132" s="274">
        <v>60.0</v>
      </c>
      <c r="J132" s="271">
        <v>834.0</v>
      </c>
      <c r="K132" s="271">
        <f t="shared" si="1"/>
        <v>50040</v>
      </c>
      <c r="L132" s="271">
        <v>25983.0</v>
      </c>
      <c r="M132" s="271">
        <v>-3000.0</v>
      </c>
      <c r="N132" s="275">
        <v>50.0</v>
      </c>
      <c r="O132" s="60"/>
      <c r="P132" s="50">
        <v>50.0</v>
      </c>
      <c r="Q132" s="271">
        <v>140.0</v>
      </c>
      <c r="R132" s="276">
        <v>0.00175</v>
      </c>
      <c r="S132" s="271">
        <v>228.0</v>
      </c>
      <c r="T132" s="271">
        <v>278.0</v>
      </c>
      <c r="U132" s="62">
        <v>1.0</v>
      </c>
      <c r="V132" s="277">
        <v>0.3</v>
      </c>
      <c r="W132" s="277">
        <v>0.1</v>
      </c>
      <c r="X132" s="271">
        <v>167.0</v>
      </c>
      <c r="Y132" s="271">
        <v>111.0</v>
      </c>
      <c r="Z132" s="50" t="b">
        <v>1</v>
      </c>
      <c r="AA132" s="50" t="s">
        <v>138</v>
      </c>
      <c r="AB132" s="50" t="s">
        <v>138</v>
      </c>
    </row>
    <row r="133">
      <c r="A133" s="271" t="s">
        <v>156</v>
      </c>
      <c r="B133" s="271" t="s">
        <v>156</v>
      </c>
      <c r="C133" s="278">
        <v>43698.0</v>
      </c>
      <c r="D133" s="278">
        <v>43728.0</v>
      </c>
      <c r="E133" s="271" t="s">
        <v>268</v>
      </c>
      <c r="F133" s="101" t="s">
        <v>4</v>
      </c>
      <c r="G133" s="271" t="s">
        <v>5</v>
      </c>
      <c r="H133" s="273" t="s">
        <v>954</v>
      </c>
      <c r="I133" s="274">
        <v>100.0</v>
      </c>
      <c r="J133" s="271">
        <v>2654.0</v>
      </c>
      <c r="K133" s="271">
        <f t="shared" si="1"/>
        <v>265400</v>
      </c>
      <c r="L133" s="271">
        <v>66718.0</v>
      </c>
      <c r="M133" s="271">
        <v>5500.0</v>
      </c>
      <c r="N133" s="275">
        <v>265.0</v>
      </c>
      <c r="O133" s="60"/>
      <c r="P133" s="50">
        <v>265.0</v>
      </c>
      <c r="Q133" s="271">
        <v>-1727.0</v>
      </c>
      <c r="R133" s="276">
        <v>0.00175</v>
      </c>
      <c r="S133" s="271">
        <v>-1262.0</v>
      </c>
      <c r="T133" s="271">
        <v>-997.0</v>
      </c>
      <c r="U133" s="62">
        <v>1.0</v>
      </c>
      <c r="V133" s="277">
        <v>0.35</v>
      </c>
      <c r="W133" s="277">
        <v>0.0</v>
      </c>
      <c r="X133" s="271">
        <v>-648.0</v>
      </c>
      <c r="Y133" s="271">
        <v>-349.0</v>
      </c>
      <c r="Z133" s="50" t="b">
        <v>1</v>
      </c>
      <c r="AA133" s="50" t="s">
        <v>138</v>
      </c>
      <c r="AB133" s="50" t="s">
        <v>138</v>
      </c>
    </row>
    <row r="134">
      <c r="A134" s="271" t="s">
        <v>156</v>
      </c>
      <c r="B134" s="271" t="s">
        <v>156</v>
      </c>
      <c r="C134" s="278">
        <v>43698.0</v>
      </c>
      <c r="D134" s="278">
        <v>43728.0</v>
      </c>
      <c r="E134" s="271" t="s">
        <v>268</v>
      </c>
      <c r="F134" s="101" t="s">
        <v>4</v>
      </c>
      <c r="G134" s="271" t="s">
        <v>5</v>
      </c>
      <c r="H134" s="273" t="s">
        <v>951</v>
      </c>
      <c r="I134" s="274">
        <v>60.0</v>
      </c>
      <c r="J134" s="271">
        <v>4.0</v>
      </c>
      <c r="K134" s="271">
        <f t="shared" si="1"/>
        <v>240</v>
      </c>
      <c r="L134" s="271">
        <v>245.0</v>
      </c>
      <c r="M134" s="271">
        <v>-120.0</v>
      </c>
      <c r="N134" s="275">
        <v>0.0</v>
      </c>
      <c r="O134" s="60"/>
      <c r="P134" s="50">
        <v>0.0</v>
      </c>
      <c r="Q134" s="271">
        <v>15.0</v>
      </c>
      <c r="R134" s="276">
        <v>0.00175</v>
      </c>
      <c r="S134" s="271">
        <v>15.0</v>
      </c>
      <c r="T134" s="271">
        <v>15.0</v>
      </c>
      <c r="U134" s="62">
        <v>1.0</v>
      </c>
      <c r="V134" s="277">
        <v>0.35</v>
      </c>
      <c r="W134" s="277">
        <v>0.0</v>
      </c>
      <c r="X134" s="271">
        <v>10.0</v>
      </c>
      <c r="Y134" s="271">
        <v>5.0</v>
      </c>
      <c r="Z134" s="50" t="b">
        <v>1</v>
      </c>
      <c r="AA134" s="50" t="s">
        <v>138</v>
      </c>
      <c r="AB134" s="50" t="s">
        <v>138</v>
      </c>
    </row>
    <row r="135">
      <c r="A135" s="271" t="s">
        <v>156</v>
      </c>
      <c r="B135" s="271" t="s">
        <v>156</v>
      </c>
      <c r="C135" s="278">
        <v>43698.0</v>
      </c>
      <c r="D135" s="278">
        <v>43728.0</v>
      </c>
      <c r="E135" s="271" t="s">
        <v>268</v>
      </c>
      <c r="F135" s="101" t="s">
        <v>4</v>
      </c>
      <c r="G135" s="271" t="s">
        <v>5</v>
      </c>
      <c r="H135" s="273" t="s">
        <v>953</v>
      </c>
      <c r="I135" s="274">
        <v>30.0</v>
      </c>
      <c r="J135" s="271">
        <v>1.0</v>
      </c>
      <c r="K135" s="271">
        <f t="shared" si="1"/>
        <v>30</v>
      </c>
      <c r="L135" s="271">
        <v>255.0</v>
      </c>
      <c r="M135" s="271">
        <v>-30.0</v>
      </c>
      <c r="N135" s="275">
        <v>0.0</v>
      </c>
      <c r="O135" s="60"/>
      <c r="P135" s="50">
        <v>0.0</v>
      </c>
      <c r="Q135" s="271">
        <v>12.0</v>
      </c>
      <c r="R135" s="276">
        <v>0.00175</v>
      </c>
      <c r="S135" s="271">
        <v>12.0</v>
      </c>
      <c r="T135" s="271">
        <v>12.0</v>
      </c>
      <c r="U135" s="62">
        <v>1.0</v>
      </c>
      <c r="V135" s="277">
        <v>0.35</v>
      </c>
      <c r="W135" s="277">
        <v>0.0</v>
      </c>
      <c r="X135" s="271">
        <v>8.0</v>
      </c>
      <c r="Y135" s="271">
        <v>4.0</v>
      </c>
      <c r="Z135" s="50" t="b">
        <v>1</v>
      </c>
      <c r="AA135" s="50" t="s">
        <v>138</v>
      </c>
      <c r="AB135" s="50" t="s">
        <v>138</v>
      </c>
    </row>
    <row r="136">
      <c r="A136" s="271" t="s">
        <v>156</v>
      </c>
      <c r="B136" s="271" t="s">
        <v>156</v>
      </c>
      <c r="C136" s="278">
        <v>43698.0</v>
      </c>
      <c r="D136" s="278">
        <v>43728.0</v>
      </c>
      <c r="E136" s="271" t="s">
        <v>268</v>
      </c>
      <c r="F136" s="101" t="s">
        <v>4</v>
      </c>
      <c r="G136" s="271" t="s">
        <v>5</v>
      </c>
      <c r="H136" s="273" t="s">
        <v>952</v>
      </c>
      <c r="I136" s="274">
        <v>15.0</v>
      </c>
      <c r="J136" s="271">
        <v>2.0</v>
      </c>
      <c r="K136" s="271">
        <f t="shared" si="1"/>
        <v>30</v>
      </c>
      <c r="L136" s="271">
        <v>-697.0</v>
      </c>
      <c r="M136" s="271">
        <v>-30.0</v>
      </c>
      <c r="N136" s="275">
        <v>0.0</v>
      </c>
      <c r="O136" s="60"/>
      <c r="P136" s="50">
        <v>0.0</v>
      </c>
      <c r="Q136" s="271">
        <v>-21.0</v>
      </c>
      <c r="R136" s="276">
        <v>0.00175</v>
      </c>
      <c r="S136" s="271">
        <v>-21.0</v>
      </c>
      <c r="T136" s="271">
        <v>-21.0</v>
      </c>
      <c r="U136" s="62">
        <v>1.0</v>
      </c>
      <c r="V136" s="277">
        <v>0.35</v>
      </c>
      <c r="W136" s="277">
        <v>0.0</v>
      </c>
      <c r="X136" s="271">
        <v>-14.0</v>
      </c>
      <c r="Y136" s="271">
        <v>-7.0</v>
      </c>
      <c r="Z136" s="50" t="b">
        <v>1</v>
      </c>
      <c r="AA136" s="50" t="s">
        <v>138</v>
      </c>
      <c r="AB136" s="50" t="s">
        <v>138</v>
      </c>
    </row>
    <row r="137">
      <c r="A137" s="271" t="s">
        <v>177</v>
      </c>
      <c r="B137" s="271" t="s">
        <v>177</v>
      </c>
      <c r="C137" s="278">
        <v>43696.0</v>
      </c>
      <c r="D137" s="278">
        <v>43730.0</v>
      </c>
      <c r="E137" s="271" t="s">
        <v>331</v>
      </c>
      <c r="F137" s="101" t="s">
        <v>8</v>
      </c>
      <c r="G137" s="271" t="s">
        <v>5</v>
      </c>
      <c r="H137" s="273" t="s">
        <v>954</v>
      </c>
      <c r="I137" s="274">
        <v>100.0</v>
      </c>
      <c r="J137" s="271">
        <v>581.0</v>
      </c>
      <c r="K137" s="271">
        <f t="shared" si="1"/>
        <v>58100</v>
      </c>
      <c r="L137" s="271">
        <v>38565.0</v>
      </c>
      <c r="M137" s="271">
        <v>1900.0</v>
      </c>
      <c r="N137" s="275">
        <v>58.0</v>
      </c>
      <c r="O137" s="60"/>
      <c r="P137" s="50">
        <v>58.0</v>
      </c>
      <c r="Q137" s="271">
        <v>4149.0</v>
      </c>
      <c r="R137" s="276">
        <v>-0.001199</v>
      </c>
      <c r="S137" s="271">
        <v>4079.0</v>
      </c>
      <c r="T137" s="271">
        <v>4137.0</v>
      </c>
      <c r="U137" s="62">
        <v>0.909</v>
      </c>
      <c r="V137" s="277">
        <v>0.2625</v>
      </c>
      <c r="W137" s="277">
        <v>0.0875</v>
      </c>
      <c r="X137" s="271">
        <v>2444.0</v>
      </c>
      <c r="Y137" s="271">
        <v>1316.0</v>
      </c>
      <c r="Z137" s="50" t="b">
        <v>1</v>
      </c>
      <c r="AA137" s="50" t="s">
        <v>140</v>
      </c>
      <c r="AB137" s="50" t="s">
        <v>138</v>
      </c>
    </row>
    <row r="138">
      <c r="A138" s="271" t="s">
        <v>267</v>
      </c>
      <c r="B138" s="271" t="s">
        <v>267</v>
      </c>
      <c r="C138" s="272">
        <v>43729.0</v>
      </c>
      <c r="D138" s="272">
        <v>43758.0</v>
      </c>
      <c r="E138" s="271" t="s">
        <v>268</v>
      </c>
      <c r="F138" s="101" t="s">
        <v>4</v>
      </c>
      <c r="G138" s="271" t="s">
        <v>5</v>
      </c>
      <c r="H138" s="273" t="s">
        <v>952</v>
      </c>
      <c r="I138" s="274">
        <v>15.0</v>
      </c>
      <c r="J138" s="271">
        <v>115.0</v>
      </c>
      <c r="K138" s="271">
        <f t="shared" si="1"/>
        <v>1725</v>
      </c>
      <c r="L138" s="271">
        <v>17847.0</v>
      </c>
      <c r="M138" s="271">
        <v>225.0</v>
      </c>
      <c r="N138" s="275">
        <v>2.0</v>
      </c>
      <c r="O138" s="60"/>
      <c r="P138" s="50">
        <v>2.0</v>
      </c>
      <c r="Q138" s="271">
        <v>390.0</v>
      </c>
      <c r="R138" s="276">
        <v>-0.00184</v>
      </c>
      <c r="S138" s="271">
        <v>387.0</v>
      </c>
      <c r="T138" s="271">
        <v>389.0</v>
      </c>
      <c r="U138" s="62">
        <v>1.0</v>
      </c>
      <c r="V138" s="277">
        <v>0.25</v>
      </c>
      <c r="W138" s="277">
        <v>0.0</v>
      </c>
      <c r="X138" s="271">
        <v>292.0</v>
      </c>
      <c r="Y138" s="271">
        <v>97.0</v>
      </c>
      <c r="Z138" s="50" t="b">
        <v>1</v>
      </c>
      <c r="AA138" s="50" t="s">
        <v>138</v>
      </c>
      <c r="AB138" s="50" t="s">
        <v>138</v>
      </c>
    </row>
    <row r="139">
      <c r="A139" s="271" t="s">
        <v>267</v>
      </c>
      <c r="B139" s="271" t="s">
        <v>267</v>
      </c>
      <c r="C139" s="272">
        <v>43729.0</v>
      </c>
      <c r="D139" s="272">
        <v>43758.0</v>
      </c>
      <c r="E139" s="271" t="s">
        <v>268</v>
      </c>
      <c r="F139" s="101" t="s">
        <v>4</v>
      </c>
      <c r="G139" s="271" t="s">
        <v>5</v>
      </c>
      <c r="H139" s="273" t="s">
        <v>953</v>
      </c>
      <c r="I139" s="274">
        <v>30.0</v>
      </c>
      <c r="J139" s="271">
        <v>625.0</v>
      </c>
      <c r="K139" s="271">
        <f t="shared" si="1"/>
        <v>18750</v>
      </c>
      <c r="L139" s="271">
        <v>12744.0</v>
      </c>
      <c r="M139" s="271">
        <v>-1620.0</v>
      </c>
      <c r="N139" s="275">
        <v>23.0</v>
      </c>
      <c r="O139" s="60"/>
      <c r="P139" s="50">
        <v>23.0</v>
      </c>
      <c r="Q139" s="271">
        <v>-485.0</v>
      </c>
      <c r="R139" s="276">
        <v>-0.00184</v>
      </c>
      <c r="S139" s="271">
        <v>-520.0</v>
      </c>
      <c r="T139" s="271">
        <v>-497.0</v>
      </c>
      <c r="U139" s="62">
        <v>1.0</v>
      </c>
      <c r="V139" s="277">
        <v>0.25</v>
      </c>
      <c r="W139" s="277">
        <v>0.0</v>
      </c>
      <c r="X139" s="271">
        <v>-373.0</v>
      </c>
      <c r="Y139" s="271">
        <v>-124.0</v>
      </c>
      <c r="Z139" s="50" t="b">
        <v>1</v>
      </c>
      <c r="AA139" s="50" t="s">
        <v>138</v>
      </c>
      <c r="AB139" s="50" t="s">
        <v>138</v>
      </c>
    </row>
    <row r="140">
      <c r="A140" s="271" t="s">
        <v>267</v>
      </c>
      <c r="B140" s="271" t="s">
        <v>267</v>
      </c>
      <c r="C140" s="272">
        <v>43729.0</v>
      </c>
      <c r="D140" s="272">
        <v>43758.0</v>
      </c>
      <c r="E140" s="271" t="s">
        <v>268</v>
      </c>
      <c r="F140" s="101" t="s">
        <v>4</v>
      </c>
      <c r="G140" s="271" t="s">
        <v>5</v>
      </c>
      <c r="H140" s="273" t="s">
        <v>956</v>
      </c>
      <c r="I140" s="274">
        <v>40.0</v>
      </c>
      <c r="J140" s="271">
        <v>875.0</v>
      </c>
      <c r="K140" s="271">
        <f t="shared" si="1"/>
        <v>35000</v>
      </c>
      <c r="L140" s="271">
        <v>71021.0</v>
      </c>
      <c r="M140" s="271">
        <v>-160.0</v>
      </c>
      <c r="N140" s="275">
        <v>49.0</v>
      </c>
      <c r="O140" s="60"/>
      <c r="P140" s="50">
        <v>49.0</v>
      </c>
      <c r="Q140" s="271">
        <v>2773.0</v>
      </c>
      <c r="R140" s="276">
        <v>-0.00184</v>
      </c>
      <c r="S140" s="271">
        <v>2709.0</v>
      </c>
      <c r="T140" s="271">
        <v>2758.0</v>
      </c>
      <c r="U140" s="62">
        <v>1.0</v>
      </c>
      <c r="V140" s="277">
        <v>0.25</v>
      </c>
      <c r="W140" s="277">
        <v>0.0</v>
      </c>
      <c r="X140" s="271">
        <v>2068.0</v>
      </c>
      <c r="Y140" s="271">
        <v>689.0</v>
      </c>
      <c r="Z140" s="50" t="b">
        <v>1</v>
      </c>
      <c r="AA140" s="50" t="s">
        <v>138</v>
      </c>
      <c r="AB140" s="50" t="s">
        <v>138</v>
      </c>
    </row>
    <row r="141">
      <c r="A141" s="271" t="s">
        <v>267</v>
      </c>
      <c r="B141" s="271" t="s">
        <v>267</v>
      </c>
      <c r="C141" s="272">
        <v>43729.0</v>
      </c>
      <c r="D141" s="272">
        <v>43758.0</v>
      </c>
      <c r="E141" s="271" t="s">
        <v>268</v>
      </c>
      <c r="F141" s="101" t="s">
        <v>4</v>
      </c>
      <c r="G141" s="271" t="s">
        <v>5</v>
      </c>
      <c r="H141" s="273" t="s">
        <v>960</v>
      </c>
      <c r="I141" s="274">
        <v>15.0</v>
      </c>
      <c r="J141" s="271">
        <v>1.0</v>
      </c>
      <c r="K141" s="271">
        <f t="shared" si="1"/>
        <v>15</v>
      </c>
      <c r="L141" s="271">
        <v>-240.0</v>
      </c>
      <c r="M141" s="271">
        <v>-15.0</v>
      </c>
      <c r="N141" s="275">
        <v>0.0</v>
      </c>
      <c r="O141" s="60"/>
      <c r="P141" s="50">
        <v>0.0</v>
      </c>
      <c r="Q141" s="271">
        <v>-12.0</v>
      </c>
      <c r="R141" s="276">
        <v>-0.00184</v>
      </c>
      <c r="S141" s="271">
        <v>-12.0</v>
      </c>
      <c r="T141" s="271">
        <v>-12.0</v>
      </c>
      <c r="U141" s="62">
        <v>1.0</v>
      </c>
      <c r="V141" s="277">
        <v>0.25</v>
      </c>
      <c r="W141" s="277">
        <v>0.0</v>
      </c>
      <c r="X141" s="271">
        <v>-9.0</v>
      </c>
      <c r="Y141" s="271">
        <v>-3.0</v>
      </c>
      <c r="Z141" s="50" t="b">
        <v>1</v>
      </c>
      <c r="AA141" s="50" t="s">
        <v>138</v>
      </c>
      <c r="AB141" s="50" t="s">
        <v>138</v>
      </c>
    </row>
    <row r="142">
      <c r="A142" s="271" t="s">
        <v>148</v>
      </c>
      <c r="B142" s="271" t="s">
        <v>148</v>
      </c>
      <c r="C142" s="278">
        <v>43729.0</v>
      </c>
      <c r="D142" s="279">
        <v>43758.0</v>
      </c>
      <c r="E142" s="271" t="s">
        <v>331</v>
      </c>
      <c r="F142" s="101" t="s">
        <v>4</v>
      </c>
      <c r="G142" s="271" t="s">
        <v>5</v>
      </c>
      <c r="H142" s="273" t="s">
        <v>953</v>
      </c>
      <c r="I142" s="274">
        <v>30.0</v>
      </c>
      <c r="J142" s="271">
        <v>2500.0</v>
      </c>
      <c r="K142" s="271">
        <f t="shared" si="1"/>
        <v>75000</v>
      </c>
      <c r="L142" s="271">
        <v>93073.0</v>
      </c>
      <c r="M142" s="271">
        <v>240.0</v>
      </c>
      <c r="N142" s="275">
        <v>90.0</v>
      </c>
      <c r="O142" s="60"/>
      <c r="P142" s="50">
        <v>90.0</v>
      </c>
      <c r="Q142" s="271">
        <v>419.0</v>
      </c>
      <c r="R142" s="276">
        <v>-0.00184</v>
      </c>
      <c r="S142" s="271">
        <v>281.0</v>
      </c>
      <c r="T142" s="271">
        <v>371.0</v>
      </c>
      <c r="U142" s="62">
        <v>1.0</v>
      </c>
      <c r="V142" s="277">
        <v>0.3</v>
      </c>
      <c r="W142" s="277">
        <v>0.1</v>
      </c>
      <c r="X142" s="271">
        <v>223.0</v>
      </c>
      <c r="Y142" s="271">
        <v>149.0</v>
      </c>
      <c r="Z142" s="50" t="b">
        <v>1</v>
      </c>
      <c r="AA142" s="50" t="s">
        <v>138</v>
      </c>
      <c r="AB142" s="50" t="s">
        <v>138</v>
      </c>
    </row>
    <row r="143">
      <c r="A143" s="271" t="s">
        <v>156</v>
      </c>
      <c r="B143" s="271" t="s">
        <v>156</v>
      </c>
      <c r="C143" s="278">
        <v>43729.0</v>
      </c>
      <c r="D143" s="279">
        <v>43758.0</v>
      </c>
      <c r="E143" s="271" t="s">
        <v>268</v>
      </c>
      <c r="F143" s="101" t="s">
        <v>4</v>
      </c>
      <c r="G143" s="271" t="s">
        <v>5</v>
      </c>
      <c r="H143" s="273" t="s">
        <v>952</v>
      </c>
      <c r="I143" s="274">
        <v>15.0</v>
      </c>
      <c r="J143" s="271">
        <v>336.0</v>
      </c>
      <c r="K143" s="271">
        <f t="shared" si="1"/>
        <v>5040</v>
      </c>
      <c r="L143" s="271">
        <v>19520.0</v>
      </c>
      <c r="M143" s="271">
        <v>585.0</v>
      </c>
      <c r="N143" s="275">
        <v>6.0</v>
      </c>
      <c r="O143" s="60"/>
      <c r="P143" s="50">
        <v>6.0</v>
      </c>
      <c r="Q143" s="271">
        <v>225.0</v>
      </c>
      <c r="R143" s="276">
        <v>-0.00184</v>
      </c>
      <c r="S143" s="271">
        <v>215.0</v>
      </c>
      <c r="T143" s="271">
        <v>221.0</v>
      </c>
      <c r="U143" s="62">
        <v>1.0</v>
      </c>
      <c r="V143" s="277">
        <v>0.35</v>
      </c>
      <c r="W143" s="277">
        <v>0.0</v>
      </c>
      <c r="X143" s="271">
        <v>144.0</v>
      </c>
      <c r="Y143" s="271">
        <v>78.0</v>
      </c>
      <c r="Z143" s="50" t="b">
        <v>1</v>
      </c>
      <c r="AA143" s="50" t="s">
        <v>138</v>
      </c>
      <c r="AB143" s="50" t="s">
        <v>138</v>
      </c>
    </row>
    <row r="144">
      <c r="A144" s="271" t="s">
        <v>156</v>
      </c>
      <c r="B144" s="271" t="s">
        <v>156</v>
      </c>
      <c r="C144" s="278">
        <v>43729.0</v>
      </c>
      <c r="D144" s="279">
        <v>43758.0</v>
      </c>
      <c r="E144" s="271" t="s">
        <v>268</v>
      </c>
      <c r="F144" s="101" t="s">
        <v>4</v>
      </c>
      <c r="G144" s="271" t="s">
        <v>5</v>
      </c>
      <c r="H144" s="273" t="s">
        <v>953</v>
      </c>
      <c r="I144" s="274">
        <v>30.0</v>
      </c>
      <c r="J144" s="271">
        <v>18.0</v>
      </c>
      <c r="K144" s="271">
        <f t="shared" si="1"/>
        <v>540</v>
      </c>
      <c r="L144" s="271">
        <v>1123.0</v>
      </c>
      <c r="M144" s="271">
        <v>90.0</v>
      </c>
      <c r="N144" s="275">
        <v>1.0</v>
      </c>
      <c r="O144" s="60"/>
      <c r="P144" s="50">
        <v>1.0</v>
      </c>
      <c r="Q144" s="271">
        <v>28.0</v>
      </c>
      <c r="R144" s="276">
        <v>-0.00184</v>
      </c>
      <c r="S144" s="271">
        <v>27.0</v>
      </c>
      <c r="T144" s="271">
        <v>28.0</v>
      </c>
      <c r="U144" s="62">
        <v>1.0</v>
      </c>
      <c r="V144" s="277">
        <v>0.35</v>
      </c>
      <c r="W144" s="277">
        <v>0.0</v>
      </c>
      <c r="X144" s="271">
        <v>18.0</v>
      </c>
      <c r="Y144" s="271">
        <v>10.0</v>
      </c>
      <c r="Z144" s="50" t="b">
        <v>1</v>
      </c>
      <c r="AA144" s="50" t="s">
        <v>138</v>
      </c>
      <c r="AB144" s="50" t="s">
        <v>138</v>
      </c>
    </row>
    <row r="145">
      <c r="A145" s="271" t="s">
        <v>156</v>
      </c>
      <c r="B145" s="271" t="s">
        <v>156</v>
      </c>
      <c r="C145" s="278">
        <v>43729.0</v>
      </c>
      <c r="D145" s="279">
        <v>43758.0</v>
      </c>
      <c r="E145" s="271" t="s">
        <v>268</v>
      </c>
      <c r="F145" s="101" t="s">
        <v>4</v>
      </c>
      <c r="G145" s="271" t="s">
        <v>5</v>
      </c>
      <c r="H145" s="273" t="s">
        <v>956</v>
      </c>
      <c r="I145" s="274">
        <v>40.0</v>
      </c>
      <c r="J145" s="271">
        <v>920.0</v>
      </c>
      <c r="K145" s="271">
        <f t="shared" si="1"/>
        <v>36800</v>
      </c>
      <c r="L145" s="271">
        <v>38387.0</v>
      </c>
      <c r="M145" s="271">
        <v>680.0</v>
      </c>
      <c r="N145" s="275">
        <v>52.0</v>
      </c>
      <c r="O145" s="60"/>
      <c r="P145" s="50">
        <v>52.0</v>
      </c>
      <c r="Q145" s="271">
        <v>223.0</v>
      </c>
      <c r="R145" s="276">
        <v>-0.00184</v>
      </c>
      <c r="S145" s="271">
        <v>156.0</v>
      </c>
      <c r="T145" s="271">
        <v>208.0</v>
      </c>
      <c r="U145" s="62">
        <v>1.0</v>
      </c>
      <c r="V145" s="277">
        <v>0.35</v>
      </c>
      <c r="W145" s="277">
        <v>0.0</v>
      </c>
      <c r="X145" s="271">
        <v>135.0</v>
      </c>
      <c r="Y145" s="271">
        <v>73.0</v>
      </c>
      <c r="Z145" s="50" t="b">
        <v>1</v>
      </c>
      <c r="AA145" s="50" t="s">
        <v>138</v>
      </c>
      <c r="AB145" s="50" t="s">
        <v>138</v>
      </c>
    </row>
    <row r="146">
      <c r="A146" s="271" t="s">
        <v>156</v>
      </c>
      <c r="B146" s="271" t="s">
        <v>156</v>
      </c>
      <c r="C146" s="278">
        <v>43729.0</v>
      </c>
      <c r="D146" s="279">
        <v>43758.0</v>
      </c>
      <c r="E146" s="271" t="s">
        <v>268</v>
      </c>
      <c r="F146" s="101" t="s">
        <v>4</v>
      </c>
      <c r="G146" s="271" t="s">
        <v>5</v>
      </c>
      <c r="H146" s="273" t="s">
        <v>951</v>
      </c>
      <c r="I146" s="274">
        <v>60.0</v>
      </c>
      <c r="J146" s="271">
        <v>15.0</v>
      </c>
      <c r="K146" s="271">
        <f t="shared" si="1"/>
        <v>900</v>
      </c>
      <c r="L146" s="271">
        <v>-1294.0</v>
      </c>
      <c r="M146" s="271">
        <v>120.0</v>
      </c>
      <c r="N146" s="275">
        <v>1.0</v>
      </c>
      <c r="O146" s="60"/>
      <c r="P146" s="50">
        <v>1.0</v>
      </c>
      <c r="Q146" s="271">
        <v>-195.0</v>
      </c>
      <c r="R146" s="276">
        <v>-0.00184</v>
      </c>
      <c r="S146" s="271">
        <v>-197.0</v>
      </c>
      <c r="T146" s="271">
        <v>-196.0</v>
      </c>
      <c r="U146" s="62">
        <v>1.0</v>
      </c>
      <c r="V146" s="277">
        <v>0.35</v>
      </c>
      <c r="W146" s="277">
        <v>0.0</v>
      </c>
      <c r="X146" s="271">
        <v>-127.0</v>
      </c>
      <c r="Y146" s="271">
        <v>-69.0</v>
      </c>
      <c r="Z146" s="50" t="b">
        <v>1</v>
      </c>
      <c r="AA146" s="50" t="s">
        <v>138</v>
      </c>
      <c r="AB146" s="50" t="s">
        <v>138</v>
      </c>
    </row>
    <row r="147">
      <c r="A147" s="271" t="s">
        <v>156</v>
      </c>
      <c r="B147" s="271" t="s">
        <v>156</v>
      </c>
      <c r="C147" s="278">
        <v>43729.0</v>
      </c>
      <c r="D147" s="279">
        <v>43758.0</v>
      </c>
      <c r="E147" s="271" t="s">
        <v>268</v>
      </c>
      <c r="F147" s="101" t="s">
        <v>4</v>
      </c>
      <c r="G147" s="271" t="s">
        <v>5</v>
      </c>
      <c r="H147" s="273" t="s">
        <v>954</v>
      </c>
      <c r="I147" s="274">
        <v>100.0</v>
      </c>
      <c r="J147" s="271">
        <v>1409.0</v>
      </c>
      <c r="K147" s="271">
        <f t="shared" si="1"/>
        <v>140900</v>
      </c>
      <c r="L147" s="271">
        <v>41217.0</v>
      </c>
      <c r="M147" s="271">
        <v>-6600.0</v>
      </c>
      <c r="N147" s="275">
        <v>141.0</v>
      </c>
      <c r="O147" s="60"/>
      <c r="P147" s="50">
        <v>141.0</v>
      </c>
      <c r="Q147" s="271">
        <v>179.0</v>
      </c>
      <c r="R147" s="276">
        <v>-0.00184</v>
      </c>
      <c r="S147" s="271">
        <v>-81.0</v>
      </c>
      <c r="T147" s="271">
        <v>60.0</v>
      </c>
      <c r="U147" s="62">
        <v>1.0</v>
      </c>
      <c r="V147" s="277">
        <v>0.35</v>
      </c>
      <c r="W147" s="277">
        <v>0.0</v>
      </c>
      <c r="X147" s="271">
        <v>39.0</v>
      </c>
      <c r="Y147" s="271">
        <v>21.0</v>
      </c>
      <c r="Z147" s="50" t="b">
        <v>1</v>
      </c>
      <c r="AA147" s="50" t="s">
        <v>138</v>
      </c>
      <c r="AB147" s="50" t="s">
        <v>138</v>
      </c>
    </row>
    <row r="148">
      <c r="A148" s="271" t="s">
        <v>177</v>
      </c>
      <c r="B148" s="271" t="s">
        <v>177</v>
      </c>
      <c r="C148" s="278">
        <v>43731.0</v>
      </c>
      <c r="D148" s="279">
        <v>43769.0</v>
      </c>
      <c r="E148" s="271" t="s">
        <v>331</v>
      </c>
      <c r="F148" s="101" t="s">
        <v>8</v>
      </c>
      <c r="G148" s="271" t="s">
        <v>5</v>
      </c>
      <c r="H148" s="273" t="s">
        <v>954</v>
      </c>
      <c r="I148" s="274">
        <v>100.0</v>
      </c>
      <c r="J148" s="271">
        <v>3002.0</v>
      </c>
      <c r="K148" s="271">
        <f t="shared" si="1"/>
        <v>300200</v>
      </c>
      <c r="L148" s="271">
        <v>138551.0</v>
      </c>
      <c r="M148" s="271">
        <v>4300.0</v>
      </c>
      <c r="N148" s="275">
        <v>300.0</v>
      </c>
      <c r="O148" s="60"/>
      <c r="P148" s="50">
        <v>300.0</v>
      </c>
      <c r="Q148" s="271">
        <v>9966.0</v>
      </c>
      <c r="R148" s="276">
        <v>0.001267</v>
      </c>
      <c r="S148" s="271">
        <v>10346.0</v>
      </c>
      <c r="T148" s="271">
        <v>10646.0</v>
      </c>
      <c r="U148" s="62">
        <v>1.0</v>
      </c>
      <c r="V148" s="277">
        <v>0.1688</v>
      </c>
      <c r="W148" s="277">
        <v>0.0563</v>
      </c>
      <c r="X148" s="271">
        <v>8250.0</v>
      </c>
      <c r="Y148" s="271">
        <v>2396.0</v>
      </c>
      <c r="Z148" s="50" t="b">
        <v>1</v>
      </c>
      <c r="AA148" s="50" t="s">
        <v>138</v>
      </c>
      <c r="AB148" s="50" t="s">
        <v>138</v>
      </c>
    </row>
    <row r="149">
      <c r="A149" s="271" t="s">
        <v>459</v>
      </c>
      <c r="B149" s="271" t="s">
        <v>912</v>
      </c>
      <c r="C149" s="278">
        <v>43731.0</v>
      </c>
      <c r="D149" s="278">
        <v>43769.0</v>
      </c>
      <c r="E149" s="271" t="s">
        <v>268</v>
      </c>
      <c r="F149" s="101" t="s">
        <v>8</v>
      </c>
      <c r="G149" s="271" t="s">
        <v>9</v>
      </c>
      <c r="H149" s="273" t="s">
        <v>55</v>
      </c>
      <c r="I149" s="274">
        <v>10.0</v>
      </c>
      <c r="J149" s="271">
        <v>2400.0</v>
      </c>
      <c r="K149" s="271">
        <f t="shared" si="1"/>
        <v>24000</v>
      </c>
      <c r="L149" s="271">
        <v>176725.0</v>
      </c>
      <c r="M149" s="271">
        <v>530.0</v>
      </c>
      <c r="N149" s="275">
        <v>495.0</v>
      </c>
      <c r="O149" s="60"/>
      <c r="P149" s="50">
        <v>495.0</v>
      </c>
      <c r="Q149" s="271">
        <v>1086.0</v>
      </c>
      <c r="R149" s="276">
        <v>0.001297</v>
      </c>
      <c r="S149" s="271">
        <v>1117.0</v>
      </c>
      <c r="T149" s="271">
        <v>1612.0</v>
      </c>
      <c r="U149" s="62">
        <v>1.0</v>
      </c>
      <c r="V149" s="277">
        <v>0.3</v>
      </c>
      <c r="W149" s="277">
        <v>0.0</v>
      </c>
      <c r="X149" s="271">
        <v>1128.0</v>
      </c>
      <c r="Y149" s="271">
        <v>484.0</v>
      </c>
      <c r="Z149" s="50" t="b">
        <v>1</v>
      </c>
      <c r="AA149" s="50" t="s">
        <v>140</v>
      </c>
      <c r="AB149" s="50" t="s">
        <v>140</v>
      </c>
    </row>
    <row r="150">
      <c r="A150" s="271" t="s">
        <v>459</v>
      </c>
      <c r="B150" s="271" t="s">
        <v>912</v>
      </c>
      <c r="C150" s="278">
        <v>43731.0</v>
      </c>
      <c r="D150" s="278">
        <v>43769.0</v>
      </c>
      <c r="E150" s="271" t="s">
        <v>268</v>
      </c>
      <c r="F150" s="101" t="s">
        <v>8</v>
      </c>
      <c r="G150" s="271" t="s">
        <v>9</v>
      </c>
      <c r="H150" s="273" t="s">
        <v>68</v>
      </c>
      <c r="I150" s="274">
        <v>25.0</v>
      </c>
      <c r="J150" s="271">
        <v>397.0</v>
      </c>
      <c r="K150" s="271">
        <f t="shared" si="1"/>
        <v>9925</v>
      </c>
      <c r="L150" s="271">
        <v>20057.0</v>
      </c>
      <c r="M150" s="271">
        <v>325.0</v>
      </c>
      <c r="N150" s="275">
        <v>205.0</v>
      </c>
      <c r="O150" s="60"/>
      <c r="P150" s="50">
        <v>205.0</v>
      </c>
      <c r="Q150" s="271">
        <v>32.0</v>
      </c>
      <c r="R150" s="276">
        <v>0.001223</v>
      </c>
      <c r="S150" s="271">
        <v>44.0</v>
      </c>
      <c r="T150" s="271">
        <v>249.0</v>
      </c>
      <c r="U150" s="62">
        <v>1.0</v>
      </c>
      <c r="V150" s="277">
        <v>0.3</v>
      </c>
      <c r="W150" s="277">
        <v>0.0</v>
      </c>
      <c r="X150" s="271">
        <v>174.0</v>
      </c>
      <c r="Y150" s="271">
        <v>75.0</v>
      </c>
      <c r="Z150" s="50" t="b">
        <v>1</v>
      </c>
      <c r="AA150" s="50" t="s">
        <v>140</v>
      </c>
      <c r="AB150" s="50" t="s">
        <v>140</v>
      </c>
    </row>
    <row r="151">
      <c r="A151" s="271" t="s">
        <v>546</v>
      </c>
      <c r="B151" s="271" t="s">
        <v>546</v>
      </c>
      <c r="C151" s="278">
        <v>43739.0</v>
      </c>
      <c r="D151" s="279">
        <v>43769.0</v>
      </c>
      <c r="E151" s="271" t="s">
        <v>268</v>
      </c>
      <c r="F151" s="101" t="s">
        <v>8</v>
      </c>
      <c r="G151" s="271" t="s">
        <v>5</v>
      </c>
      <c r="H151" s="273" t="s">
        <v>953</v>
      </c>
      <c r="I151" s="274">
        <v>30.0</v>
      </c>
      <c r="J151" s="271">
        <v>3861.0</v>
      </c>
      <c r="K151" s="271">
        <f t="shared" si="1"/>
        <v>115830</v>
      </c>
      <c r="L151" s="271">
        <v>213397.0</v>
      </c>
      <c r="M151" s="271">
        <v>3330.0</v>
      </c>
      <c r="N151" s="275">
        <v>139.0</v>
      </c>
      <c r="O151" s="60"/>
      <c r="P151" s="50">
        <v>139.0</v>
      </c>
      <c r="Q151" s="271">
        <v>4554.0</v>
      </c>
      <c r="R151" s="276">
        <v>0.001238</v>
      </c>
      <c r="S151" s="271">
        <v>4697.0</v>
      </c>
      <c r="T151" s="271">
        <v>4836.0</v>
      </c>
      <c r="U151" s="62">
        <v>1.0</v>
      </c>
      <c r="V151" s="277">
        <v>0.23</v>
      </c>
      <c r="W151" s="277">
        <v>0.0</v>
      </c>
      <c r="X151" s="271">
        <v>3724.0</v>
      </c>
      <c r="Y151" s="271">
        <v>1112.0</v>
      </c>
      <c r="Z151" s="50" t="b">
        <v>1</v>
      </c>
      <c r="AA151" s="50" t="s">
        <v>138</v>
      </c>
      <c r="AB151" s="50" t="s">
        <v>138</v>
      </c>
    </row>
    <row r="152">
      <c r="A152" s="271" t="s">
        <v>267</v>
      </c>
      <c r="B152" s="271" t="s">
        <v>267</v>
      </c>
      <c r="C152" s="272">
        <v>43759.0</v>
      </c>
      <c r="D152" s="272">
        <v>43789.0</v>
      </c>
      <c r="E152" s="271" t="s">
        <v>268</v>
      </c>
      <c r="F152" s="101" t="s">
        <v>4</v>
      </c>
      <c r="G152" s="271" t="s">
        <v>5</v>
      </c>
      <c r="H152" s="273" t="s">
        <v>952</v>
      </c>
      <c r="I152" s="274">
        <v>15.0</v>
      </c>
      <c r="J152" s="271">
        <v>104.0</v>
      </c>
      <c r="K152" s="271">
        <f t="shared" si="1"/>
        <v>1560</v>
      </c>
      <c r="L152" s="271">
        <v>1437.0</v>
      </c>
      <c r="M152" s="271">
        <v>270.0</v>
      </c>
      <c r="N152" s="275">
        <v>2.0</v>
      </c>
      <c r="O152" s="60"/>
      <c r="P152" s="50">
        <v>2.0</v>
      </c>
      <c r="Q152" s="271">
        <v>-60.0</v>
      </c>
      <c r="R152" s="276">
        <v>-0.00406</v>
      </c>
      <c r="S152" s="271">
        <v>-66.0</v>
      </c>
      <c r="T152" s="271">
        <v>-64.0</v>
      </c>
      <c r="U152" s="62">
        <v>1.0</v>
      </c>
      <c r="V152" s="277">
        <v>0.17</v>
      </c>
      <c r="W152" s="277">
        <v>0.0</v>
      </c>
      <c r="X152" s="271">
        <v>-53.0</v>
      </c>
      <c r="Y152" s="271">
        <v>-11.0</v>
      </c>
      <c r="Z152" s="50" t="b">
        <v>1</v>
      </c>
      <c r="AA152" s="50" t="s">
        <v>138</v>
      </c>
      <c r="AB152" s="50" t="s">
        <v>138</v>
      </c>
    </row>
    <row r="153">
      <c r="A153" s="271" t="s">
        <v>267</v>
      </c>
      <c r="B153" s="271" t="s">
        <v>267</v>
      </c>
      <c r="C153" s="272">
        <v>43759.0</v>
      </c>
      <c r="D153" s="272">
        <v>43789.0</v>
      </c>
      <c r="E153" s="271" t="s">
        <v>268</v>
      </c>
      <c r="F153" s="101" t="s">
        <v>4</v>
      </c>
      <c r="G153" s="271" t="s">
        <v>5</v>
      </c>
      <c r="H153" s="273" t="s">
        <v>953</v>
      </c>
      <c r="I153" s="274">
        <v>30.0</v>
      </c>
      <c r="J153" s="271">
        <v>395.0</v>
      </c>
      <c r="K153" s="271">
        <f t="shared" si="1"/>
        <v>11850</v>
      </c>
      <c r="L153" s="271">
        <v>39541.0</v>
      </c>
      <c r="M153" s="271">
        <v>240.0</v>
      </c>
      <c r="N153" s="275">
        <v>14.0</v>
      </c>
      <c r="O153" s="60"/>
      <c r="P153" s="50">
        <v>14.0</v>
      </c>
      <c r="Q153" s="271">
        <v>1459.0</v>
      </c>
      <c r="R153" s="276">
        <v>-0.00406</v>
      </c>
      <c r="S153" s="271">
        <v>1411.0</v>
      </c>
      <c r="T153" s="271">
        <v>1425.0</v>
      </c>
      <c r="U153" s="62">
        <v>1.0</v>
      </c>
      <c r="V153" s="277">
        <v>0.17</v>
      </c>
      <c r="W153" s="277">
        <v>0.0</v>
      </c>
      <c r="X153" s="271">
        <v>1183.0</v>
      </c>
      <c r="Y153" s="271">
        <v>242.0</v>
      </c>
      <c r="Z153" s="50" t="b">
        <v>1</v>
      </c>
      <c r="AA153" s="50" t="s">
        <v>138</v>
      </c>
      <c r="AB153" s="50" t="s">
        <v>138</v>
      </c>
    </row>
    <row r="154">
      <c r="A154" s="271" t="s">
        <v>267</v>
      </c>
      <c r="B154" s="271" t="s">
        <v>267</v>
      </c>
      <c r="C154" s="272">
        <v>43759.0</v>
      </c>
      <c r="D154" s="272">
        <v>43789.0</v>
      </c>
      <c r="E154" s="271" t="s">
        <v>268</v>
      </c>
      <c r="F154" s="101" t="s">
        <v>4</v>
      </c>
      <c r="G154" s="271" t="s">
        <v>5</v>
      </c>
      <c r="H154" s="273" t="s">
        <v>956</v>
      </c>
      <c r="I154" s="274">
        <v>40.0</v>
      </c>
      <c r="J154" s="271">
        <v>610.0</v>
      </c>
      <c r="K154" s="271">
        <f t="shared" si="1"/>
        <v>24400</v>
      </c>
      <c r="L154" s="271">
        <v>34861.0</v>
      </c>
      <c r="M154" s="271">
        <v>-120.0</v>
      </c>
      <c r="N154" s="275">
        <v>34.0</v>
      </c>
      <c r="O154" s="60"/>
      <c r="P154" s="50">
        <v>34.0</v>
      </c>
      <c r="Q154" s="271">
        <v>846.0</v>
      </c>
      <c r="R154" s="276">
        <v>-0.00406</v>
      </c>
      <c r="S154" s="271">
        <v>747.0</v>
      </c>
      <c r="T154" s="271">
        <v>781.0</v>
      </c>
      <c r="U154" s="62">
        <v>1.0</v>
      </c>
      <c r="V154" s="277">
        <v>0.17</v>
      </c>
      <c r="W154" s="277">
        <v>0.0</v>
      </c>
      <c r="X154" s="271">
        <v>648.0</v>
      </c>
      <c r="Y154" s="271">
        <v>133.0</v>
      </c>
      <c r="Z154" s="50" t="b">
        <v>1</v>
      </c>
      <c r="AA154" s="50" t="s">
        <v>138</v>
      </c>
      <c r="AB154" s="50" t="s">
        <v>138</v>
      </c>
    </row>
    <row r="155">
      <c r="A155" s="271" t="s">
        <v>267</v>
      </c>
      <c r="B155" s="271" t="s">
        <v>267</v>
      </c>
      <c r="C155" s="272">
        <v>43759.0</v>
      </c>
      <c r="D155" s="272">
        <v>43789.0</v>
      </c>
      <c r="E155" s="271" t="s">
        <v>268</v>
      </c>
      <c r="F155" s="101" t="s">
        <v>4</v>
      </c>
      <c r="G155" s="271" t="s">
        <v>5</v>
      </c>
      <c r="H155" s="273" t="s">
        <v>951</v>
      </c>
      <c r="I155" s="274">
        <v>60.0</v>
      </c>
      <c r="J155" s="271">
        <v>542.0</v>
      </c>
      <c r="K155" s="271">
        <f t="shared" si="1"/>
        <v>32520</v>
      </c>
      <c r="L155" s="271">
        <v>36388.0</v>
      </c>
      <c r="M155" s="271">
        <v>1500.0</v>
      </c>
      <c r="N155" s="275">
        <v>33.0</v>
      </c>
      <c r="O155" s="60"/>
      <c r="P155" s="50">
        <v>33.0</v>
      </c>
      <c r="Q155" s="271">
        <v>2369.0</v>
      </c>
      <c r="R155" s="276">
        <v>-0.00406</v>
      </c>
      <c r="S155" s="271">
        <v>2237.0</v>
      </c>
      <c r="T155" s="271">
        <v>2270.0</v>
      </c>
      <c r="U155" s="62">
        <v>1.0</v>
      </c>
      <c r="V155" s="277">
        <v>0.17</v>
      </c>
      <c r="W155" s="277">
        <v>0.0</v>
      </c>
      <c r="X155" s="271">
        <v>1884.0</v>
      </c>
      <c r="Y155" s="271">
        <v>386.0</v>
      </c>
      <c r="Z155" s="50" t="b">
        <v>1</v>
      </c>
      <c r="AA155" s="50" t="s">
        <v>138</v>
      </c>
      <c r="AB155" s="50" t="s">
        <v>138</v>
      </c>
    </row>
    <row r="156">
      <c r="A156" s="271" t="s">
        <v>267</v>
      </c>
      <c r="B156" s="271" t="s">
        <v>267</v>
      </c>
      <c r="C156" s="272">
        <v>43759.0</v>
      </c>
      <c r="D156" s="272">
        <v>43789.0</v>
      </c>
      <c r="E156" s="271" t="s">
        <v>268</v>
      </c>
      <c r="F156" s="101" t="s">
        <v>4</v>
      </c>
      <c r="G156" s="271" t="s">
        <v>5</v>
      </c>
      <c r="H156" s="273" t="s">
        <v>954</v>
      </c>
      <c r="I156" s="274">
        <v>100.0</v>
      </c>
      <c r="J156" s="271">
        <v>85.0</v>
      </c>
      <c r="K156" s="271">
        <f t="shared" si="1"/>
        <v>8500</v>
      </c>
      <c r="L156" s="271">
        <v>3503.0</v>
      </c>
      <c r="M156" s="271">
        <v>-700.0</v>
      </c>
      <c r="N156" s="275">
        <v>9.0</v>
      </c>
      <c r="O156" s="60"/>
      <c r="P156" s="50">
        <v>9.0</v>
      </c>
      <c r="Q156" s="271">
        <v>203.0</v>
      </c>
      <c r="R156" s="276">
        <v>-0.00406</v>
      </c>
      <c r="S156" s="271">
        <v>168.0</v>
      </c>
      <c r="T156" s="271">
        <v>177.0</v>
      </c>
      <c r="U156" s="62">
        <v>1.0</v>
      </c>
      <c r="V156" s="277">
        <v>0.17</v>
      </c>
      <c r="W156" s="277">
        <v>0.0</v>
      </c>
      <c r="X156" s="271">
        <v>147.0</v>
      </c>
      <c r="Y156" s="271">
        <v>30.0</v>
      </c>
      <c r="Z156" s="50" t="b">
        <v>1</v>
      </c>
      <c r="AA156" s="50" t="s">
        <v>138</v>
      </c>
      <c r="AB156" s="50" t="s">
        <v>138</v>
      </c>
    </row>
    <row r="157">
      <c r="A157" s="271" t="s">
        <v>267</v>
      </c>
      <c r="B157" s="271" t="s">
        <v>267</v>
      </c>
      <c r="C157" s="272">
        <v>43759.0</v>
      </c>
      <c r="D157" s="272">
        <v>43789.0</v>
      </c>
      <c r="E157" s="271" t="s">
        <v>268</v>
      </c>
      <c r="F157" s="101" t="s">
        <v>4</v>
      </c>
      <c r="G157" s="271" t="s">
        <v>5</v>
      </c>
      <c r="H157" s="273" t="s">
        <v>961</v>
      </c>
      <c r="I157" s="274">
        <v>7.0</v>
      </c>
      <c r="J157" s="271">
        <v>3.0</v>
      </c>
      <c r="K157" s="271">
        <f t="shared" si="1"/>
        <v>21</v>
      </c>
      <c r="L157" s="271">
        <v>266.0</v>
      </c>
      <c r="M157" s="271">
        <v>7.0</v>
      </c>
      <c r="N157" s="275">
        <v>0.0</v>
      </c>
      <c r="O157" s="60"/>
      <c r="P157" s="50">
        <v>0.0</v>
      </c>
      <c r="Q157" s="271">
        <v>4.0</v>
      </c>
      <c r="R157" s="276">
        <v>-0.00406</v>
      </c>
      <c r="S157" s="271">
        <v>4.0</v>
      </c>
      <c r="T157" s="271">
        <v>4.0</v>
      </c>
      <c r="U157" s="62">
        <v>1.0</v>
      </c>
      <c r="V157" s="277">
        <v>0.17</v>
      </c>
      <c r="W157" s="277">
        <v>0.0</v>
      </c>
      <c r="X157" s="271">
        <v>3.0</v>
      </c>
      <c r="Y157" s="271">
        <v>1.0</v>
      </c>
      <c r="Z157" s="50" t="b">
        <v>1</v>
      </c>
      <c r="AA157" s="50" t="s">
        <v>138</v>
      </c>
      <c r="AB157" s="50" t="s">
        <v>138</v>
      </c>
    </row>
    <row r="158">
      <c r="A158" s="271" t="s">
        <v>267</v>
      </c>
      <c r="B158" s="271" t="s">
        <v>267</v>
      </c>
      <c r="C158" s="272">
        <v>43759.0</v>
      </c>
      <c r="D158" s="272">
        <v>43789.0</v>
      </c>
      <c r="E158" s="271" t="s">
        <v>268</v>
      </c>
      <c r="F158" s="101" t="s">
        <v>4</v>
      </c>
      <c r="G158" s="271" t="s">
        <v>5</v>
      </c>
      <c r="H158" s="273" t="s">
        <v>960</v>
      </c>
      <c r="I158" s="274">
        <v>15.0</v>
      </c>
      <c r="J158" s="271">
        <v>551.0</v>
      </c>
      <c r="K158" s="271">
        <f t="shared" si="1"/>
        <v>8265</v>
      </c>
      <c r="L158" s="271">
        <v>12205.0</v>
      </c>
      <c r="M158" s="271">
        <v>1665.0</v>
      </c>
      <c r="N158" s="275">
        <v>10.0</v>
      </c>
      <c r="O158" s="60"/>
      <c r="P158" s="50">
        <v>10.0</v>
      </c>
      <c r="Q158" s="271">
        <v>41.0</v>
      </c>
      <c r="R158" s="276">
        <v>-0.00406</v>
      </c>
      <c r="S158" s="271">
        <v>8.0</v>
      </c>
      <c r="T158" s="271">
        <v>18.0</v>
      </c>
      <c r="U158" s="62">
        <v>1.0</v>
      </c>
      <c r="V158" s="277">
        <v>0.17</v>
      </c>
      <c r="W158" s="277">
        <v>0.0</v>
      </c>
      <c r="X158" s="271">
        <v>15.0</v>
      </c>
      <c r="Y158" s="271">
        <v>3.0</v>
      </c>
      <c r="Z158" s="50" t="b">
        <v>1</v>
      </c>
      <c r="AA158" s="50" t="s">
        <v>138</v>
      </c>
      <c r="AB158" s="50" t="s">
        <v>138</v>
      </c>
    </row>
    <row r="159">
      <c r="A159" s="271" t="s">
        <v>267</v>
      </c>
      <c r="B159" s="271" t="s">
        <v>267</v>
      </c>
      <c r="C159" s="272">
        <v>43759.0</v>
      </c>
      <c r="D159" s="272">
        <v>43789.0</v>
      </c>
      <c r="E159" s="271" t="s">
        <v>268</v>
      </c>
      <c r="F159" s="101" t="s">
        <v>4</v>
      </c>
      <c r="G159" s="271" t="s">
        <v>5</v>
      </c>
      <c r="H159" s="273" t="s">
        <v>962</v>
      </c>
      <c r="I159" s="274">
        <v>30.0</v>
      </c>
      <c r="J159" s="271">
        <v>519.0</v>
      </c>
      <c r="K159" s="271">
        <f t="shared" si="1"/>
        <v>15570</v>
      </c>
      <c r="L159" s="271">
        <v>928.0</v>
      </c>
      <c r="M159" s="271">
        <v>-1110.0</v>
      </c>
      <c r="N159" s="275">
        <v>19.0</v>
      </c>
      <c r="O159" s="60"/>
      <c r="P159" s="50">
        <v>19.0</v>
      </c>
      <c r="Q159" s="271">
        <v>-910.0</v>
      </c>
      <c r="R159" s="276">
        <v>-0.00406</v>
      </c>
      <c r="S159" s="271">
        <v>-973.0</v>
      </c>
      <c r="T159" s="271">
        <v>-954.0</v>
      </c>
      <c r="U159" s="62">
        <v>1.0</v>
      </c>
      <c r="V159" s="277">
        <v>0.17</v>
      </c>
      <c r="W159" s="277">
        <v>0.0</v>
      </c>
      <c r="X159" s="271">
        <v>-792.0</v>
      </c>
      <c r="Y159" s="271">
        <v>-162.0</v>
      </c>
      <c r="Z159" s="50" t="b">
        <v>1</v>
      </c>
      <c r="AA159" s="50" t="s">
        <v>138</v>
      </c>
      <c r="AB159" s="50" t="s">
        <v>138</v>
      </c>
    </row>
    <row r="160">
      <c r="A160" s="271" t="s">
        <v>267</v>
      </c>
      <c r="B160" s="271" t="s">
        <v>267</v>
      </c>
      <c r="C160" s="272">
        <v>43759.0</v>
      </c>
      <c r="D160" s="272">
        <v>43789.0</v>
      </c>
      <c r="E160" s="271" t="s">
        <v>268</v>
      </c>
      <c r="F160" s="101" t="s">
        <v>4</v>
      </c>
      <c r="G160" s="271" t="s">
        <v>5</v>
      </c>
      <c r="H160" s="273" t="s">
        <v>963</v>
      </c>
      <c r="I160" s="274">
        <v>100.0</v>
      </c>
      <c r="J160" s="271">
        <v>1.0</v>
      </c>
      <c r="K160" s="271">
        <f t="shared" si="1"/>
        <v>100</v>
      </c>
      <c r="L160" s="271">
        <v>-326.0</v>
      </c>
      <c r="M160" s="271">
        <v>-100.0</v>
      </c>
      <c r="N160" s="275">
        <v>0.0</v>
      </c>
      <c r="O160" s="60"/>
      <c r="P160" s="50">
        <v>0.0</v>
      </c>
      <c r="Q160" s="271">
        <v>-108.0</v>
      </c>
      <c r="R160" s="276">
        <v>-0.00406</v>
      </c>
      <c r="S160" s="271">
        <v>-108.0</v>
      </c>
      <c r="T160" s="271">
        <v>-108.0</v>
      </c>
      <c r="U160" s="62">
        <v>1.0</v>
      </c>
      <c r="V160" s="277">
        <v>0.17</v>
      </c>
      <c r="W160" s="277">
        <v>0.0</v>
      </c>
      <c r="X160" s="271">
        <v>-90.0</v>
      </c>
      <c r="Y160" s="271">
        <v>-18.0</v>
      </c>
      <c r="Z160" s="50" t="b">
        <v>1</v>
      </c>
      <c r="AA160" s="50" t="s">
        <v>138</v>
      </c>
      <c r="AB160" s="50" t="s">
        <v>138</v>
      </c>
    </row>
    <row r="161">
      <c r="A161" s="271" t="s">
        <v>148</v>
      </c>
      <c r="B161" s="271" t="s">
        <v>148</v>
      </c>
      <c r="C161" s="279">
        <v>43759.0</v>
      </c>
      <c r="D161" s="279">
        <v>43789.0</v>
      </c>
      <c r="E161" s="271" t="s">
        <v>331</v>
      </c>
      <c r="F161" s="101" t="s">
        <v>4</v>
      </c>
      <c r="G161" s="271" t="s">
        <v>5</v>
      </c>
      <c r="H161" s="273" t="s">
        <v>953</v>
      </c>
      <c r="I161" s="274">
        <v>30.0</v>
      </c>
      <c r="J161" s="271">
        <v>1540.0</v>
      </c>
      <c r="K161" s="271">
        <f t="shared" si="1"/>
        <v>46200</v>
      </c>
      <c r="L161" s="271">
        <v>61295.0</v>
      </c>
      <c r="M161" s="271">
        <v>-1650.0</v>
      </c>
      <c r="N161" s="275">
        <v>55.0</v>
      </c>
      <c r="O161" s="60"/>
      <c r="P161" s="50">
        <v>55.0</v>
      </c>
      <c r="Q161" s="271">
        <v>480.0</v>
      </c>
      <c r="R161" s="276">
        <v>-0.00406</v>
      </c>
      <c r="S161" s="271">
        <v>292.0</v>
      </c>
      <c r="T161" s="271">
        <v>347.0</v>
      </c>
      <c r="U161" s="62">
        <v>1.0</v>
      </c>
      <c r="V161" s="277">
        <v>0.275</v>
      </c>
      <c r="W161" s="277">
        <v>0.1</v>
      </c>
      <c r="X161" s="271">
        <v>217.0</v>
      </c>
      <c r="Y161" s="271">
        <v>130.0</v>
      </c>
      <c r="Z161" s="50" t="b">
        <v>1</v>
      </c>
      <c r="AA161" s="50" t="s">
        <v>138</v>
      </c>
      <c r="AB161" s="50" t="s">
        <v>138</v>
      </c>
    </row>
    <row r="162">
      <c r="A162" s="271" t="s">
        <v>148</v>
      </c>
      <c r="B162" s="271" t="s">
        <v>148</v>
      </c>
      <c r="C162" s="279">
        <v>43759.0</v>
      </c>
      <c r="D162" s="279">
        <v>43789.0</v>
      </c>
      <c r="E162" s="271" t="s">
        <v>331</v>
      </c>
      <c r="F162" s="101" t="s">
        <v>4</v>
      </c>
      <c r="G162" s="271" t="s">
        <v>5</v>
      </c>
      <c r="H162" s="273" t="s">
        <v>956</v>
      </c>
      <c r="I162" s="274">
        <v>40.0</v>
      </c>
      <c r="J162" s="271">
        <v>689.0</v>
      </c>
      <c r="K162" s="271">
        <f t="shared" si="1"/>
        <v>27560</v>
      </c>
      <c r="L162" s="271">
        <v>20932.0</v>
      </c>
      <c r="M162" s="271">
        <v>-1080.0</v>
      </c>
      <c r="N162" s="275">
        <v>39.0</v>
      </c>
      <c r="O162" s="60"/>
      <c r="P162" s="50">
        <v>39.0</v>
      </c>
      <c r="Q162" s="271">
        <v>-413.0</v>
      </c>
      <c r="R162" s="276">
        <v>-0.00406</v>
      </c>
      <c r="S162" s="271">
        <v>-525.0</v>
      </c>
      <c r="T162" s="271">
        <v>-486.0</v>
      </c>
      <c r="U162" s="62">
        <v>1.0</v>
      </c>
      <c r="V162" s="277">
        <v>0.275</v>
      </c>
      <c r="W162" s="277">
        <v>0.1</v>
      </c>
      <c r="X162" s="271">
        <v>-304.0</v>
      </c>
      <c r="Y162" s="271">
        <v>-182.0</v>
      </c>
      <c r="Z162" s="50" t="b">
        <v>1</v>
      </c>
      <c r="AA162" s="50" t="s">
        <v>138</v>
      </c>
      <c r="AB162" s="50" t="s">
        <v>138</v>
      </c>
    </row>
    <row r="163">
      <c r="A163" s="271" t="s">
        <v>156</v>
      </c>
      <c r="B163" s="271" t="s">
        <v>156</v>
      </c>
      <c r="C163" s="279">
        <v>43759.0</v>
      </c>
      <c r="D163" s="279">
        <v>43789.0</v>
      </c>
      <c r="E163" s="271" t="s">
        <v>268</v>
      </c>
      <c r="F163" s="101" t="s">
        <v>4</v>
      </c>
      <c r="G163" s="271" t="s">
        <v>5</v>
      </c>
      <c r="H163" s="273" t="s">
        <v>953</v>
      </c>
      <c r="I163" s="274">
        <v>30.0</v>
      </c>
      <c r="J163" s="271">
        <v>41.0</v>
      </c>
      <c r="K163" s="271">
        <f t="shared" si="1"/>
        <v>1230</v>
      </c>
      <c r="L163" s="271">
        <v>3994.0</v>
      </c>
      <c r="M163" s="271">
        <v>-30.0</v>
      </c>
      <c r="N163" s="275">
        <v>1.0</v>
      </c>
      <c r="O163" s="60"/>
      <c r="P163" s="50">
        <v>1.0</v>
      </c>
      <c r="Q163" s="271">
        <v>145.0</v>
      </c>
      <c r="R163" s="276">
        <v>-0.00406</v>
      </c>
      <c r="S163" s="271">
        <v>140.0</v>
      </c>
      <c r="T163" s="271">
        <v>141.0</v>
      </c>
      <c r="U163" s="62">
        <v>1.0</v>
      </c>
      <c r="V163" s="277">
        <v>0.35</v>
      </c>
      <c r="W163" s="277">
        <v>0.0</v>
      </c>
      <c r="X163" s="271">
        <v>92.0</v>
      </c>
      <c r="Y163" s="271">
        <v>49.0</v>
      </c>
      <c r="Z163" s="50" t="b">
        <v>1</v>
      </c>
      <c r="AA163" s="50" t="s">
        <v>138</v>
      </c>
      <c r="AB163" s="50" t="s">
        <v>138</v>
      </c>
    </row>
    <row r="164">
      <c r="A164" s="271" t="s">
        <v>156</v>
      </c>
      <c r="B164" s="271" t="s">
        <v>156</v>
      </c>
      <c r="C164" s="279">
        <v>43759.0</v>
      </c>
      <c r="D164" s="279">
        <v>43789.0</v>
      </c>
      <c r="E164" s="271" t="s">
        <v>268</v>
      </c>
      <c r="F164" s="101" t="s">
        <v>4</v>
      </c>
      <c r="G164" s="271" t="s">
        <v>5</v>
      </c>
      <c r="H164" s="273" t="s">
        <v>956</v>
      </c>
      <c r="I164" s="274">
        <v>40.0</v>
      </c>
      <c r="J164" s="271">
        <v>2057.0</v>
      </c>
      <c r="K164" s="271">
        <f t="shared" si="1"/>
        <v>82280</v>
      </c>
      <c r="L164" s="271">
        <v>109122.0</v>
      </c>
      <c r="M164" s="271">
        <v>2000.0</v>
      </c>
      <c r="N164" s="275">
        <v>115.0</v>
      </c>
      <c r="O164" s="60"/>
      <c r="P164" s="50">
        <v>115.0</v>
      </c>
      <c r="Q164" s="271">
        <v>2228.0</v>
      </c>
      <c r="R164" s="276">
        <v>-0.00406</v>
      </c>
      <c r="S164" s="271">
        <v>1894.0</v>
      </c>
      <c r="T164" s="271">
        <v>2009.0</v>
      </c>
      <c r="U164" s="62">
        <v>1.0</v>
      </c>
      <c r="V164" s="277">
        <v>0.35</v>
      </c>
      <c r="W164" s="277">
        <v>0.0</v>
      </c>
      <c r="X164" s="271">
        <v>1306.0</v>
      </c>
      <c r="Y164" s="271">
        <v>703.0</v>
      </c>
      <c r="Z164" s="50" t="b">
        <v>1</v>
      </c>
      <c r="AA164" s="50" t="s">
        <v>138</v>
      </c>
      <c r="AB164" s="50" t="s">
        <v>138</v>
      </c>
    </row>
    <row r="165">
      <c r="A165" s="271" t="s">
        <v>156</v>
      </c>
      <c r="B165" s="271" t="s">
        <v>156</v>
      </c>
      <c r="C165" s="279">
        <v>43759.0</v>
      </c>
      <c r="D165" s="279">
        <v>43789.0</v>
      </c>
      <c r="E165" s="271" t="s">
        <v>268</v>
      </c>
      <c r="F165" s="101" t="s">
        <v>4</v>
      </c>
      <c r="G165" s="271" t="s">
        <v>5</v>
      </c>
      <c r="H165" s="273" t="s">
        <v>951</v>
      </c>
      <c r="I165" s="274">
        <v>60.0</v>
      </c>
      <c r="J165" s="271">
        <v>254.0</v>
      </c>
      <c r="K165" s="271">
        <f t="shared" si="1"/>
        <v>15240</v>
      </c>
      <c r="L165" s="271">
        <v>18505.0</v>
      </c>
      <c r="M165" s="271">
        <v>1320.0</v>
      </c>
      <c r="N165" s="275">
        <v>15.0</v>
      </c>
      <c r="O165" s="60"/>
      <c r="P165" s="50">
        <v>15.0</v>
      </c>
      <c r="Q165" s="271">
        <v>1275.0</v>
      </c>
      <c r="R165" s="276">
        <v>-0.00406</v>
      </c>
      <c r="S165" s="271">
        <v>1213.0</v>
      </c>
      <c r="T165" s="271">
        <v>1228.0</v>
      </c>
      <c r="U165" s="62">
        <v>1.0</v>
      </c>
      <c r="V165" s="277">
        <v>0.35</v>
      </c>
      <c r="W165" s="277">
        <v>0.0</v>
      </c>
      <c r="X165" s="271">
        <v>798.0</v>
      </c>
      <c r="Y165" s="271">
        <v>430.0</v>
      </c>
      <c r="Z165" s="50" t="b">
        <v>1</v>
      </c>
      <c r="AA165" s="50" t="s">
        <v>138</v>
      </c>
      <c r="AB165" s="50" t="s">
        <v>138</v>
      </c>
    </row>
    <row r="166">
      <c r="A166" s="271" t="s">
        <v>156</v>
      </c>
      <c r="B166" s="271" t="s">
        <v>156</v>
      </c>
      <c r="C166" s="279">
        <v>43759.0</v>
      </c>
      <c r="D166" s="279">
        <v>43789.0</v>
      </c>
      <c r="E166" s="271" t="s">
        <v>268</v>
      </c>
      <c r="F166" s="101" t="s">
        <v>4</v>
      </c>
      <c r="G166" s="271" t="s">
        <v>5</v>
      </c>
      <c r="H166" s="273" t="s">
        <v>954</v>
      </c>
      <c r="I166" s="274">
        <v>100.0</v>
      </c>
      <c r="J166" s="271">
        <v>120.0</v>
      </c>
      <c r="K166" s="271">
        <f t="shared" si="1"/>
        <v>12000</v>
      </c>
      <c r="L166" s="271">
        <v>13218.0</v>
      </c>
      <c r="M166" s="271">
        <v>5000.0</v>
      </c>
      <c r="N166" s="275">
        <v>12.0</v>
      </c>
      <c r="O166" s="60"/>
      <c r="P166" s="50">
        <v>12.0</v>
      </c>
      <c r="Q166" s="271">
        <v>1849.0</v>
      </c>
      <c r="R166" s="276">
        <v>-0.00406</v>
      </c>
      <c r="S166" s="271">
        <v>1801.0</v>
      </c>
      <c r="T166" s="271">
        <v>1813.0</v>
      </c>
      <c r="U166" s="62">
        <v>1.0</v>
      </c>
      <c r="V166" s="277">
        <v>0.35</v>
      </c>
      <c r="W166" s="277">
        <v>0.0</v>
      </c>
      <c r="X166" s="271">
        <v>1178.0</v>
      </c>
      <c r="Y166" s="271">
        <v>634.0</v>
      </c>
      <c r="Z166" s="50" t="b">
        <v>1</v>
      </c>
      <c r="AA166" s="50" t="s">
        <v>138</v>
      </c>
      <c r="AB166" s="50" t="s">
        <v>138</v>
      </c>
    </row>
    <row r="167">
      <c r="A167" s="271" t="s">
        <v>177</v>
      </c>
      <c r="B167" s="271" t="s">
        <v>177</v>
      </c>
      <c r="C167" s="278">
        <v>43770.0</v>
      </c>
      <c r="D167" s="279">
        <v>43799.0</v>
      </c>
      <c r="E167" s="271" t="s">
        <v>331</v>
      </c>
      <c r="F167" s="101" t="s">
        <v>8</v>
      </c>
      <c r="G167" s="271" t="s">
        <v>5</v>
      </c>
      <c r="H167" s="273" t="s">
        <v>951</v>
      </c>
      <c r="I167" s="274">
        <v>60.0</v>
      </c>
      <c r="J167" s="271">
        <v>112.0</v>
      </c>
      <c r="K167" s="271">
        <f t="shared" si="1"/>
        <v>6720</v>
      </c>
      <c r="L167" s="271">
        <v>7205.0</v>
      </c>
      <c r="M167" s="271">
        <v>-420.0</v>
      </c>
      <c r="N167" s="275">
        <v>7.0</v>
      </c>
      <c r="O167" s="60"/>
      <c r="P167" s="50">
        <v>7.0</v>
      </c>
      <c r="Q167" s="271">
        <v>454.0</v>
      </c>
      <c r="R167" s="276">
        <v>-0.00623</v>
      </c>
      <c r="S167" s="271">
        <v>412.0</v>
      </c>
      <c r="T167" s="271">
        <v>419.0</v>
      </c>
      <c r="U167" s="62">
        <v>1.0</v>
      </c>
      <c r="V167" s="277">
        <v>0.2625</v>
      </c>
      <c r="W167" s="277">
        <v>0.0875</v>
      </c>
      <c r="X167" s="271">
        <v>272.0</v>
      </c>
      <c r="Y167" s="271">
        <v>147.0</v>
      </c>
      <c r="Z167" s="50" t="b">
        <v>1</v>
      </c>
      <c r="AA167" s="50" t="s">
        <v>138</v>
      </c>
      <c r="AB167" s="50" t="s">
        <v>138</v>
      </c>
    </row>
    <row r="168">
      <c r="A168" s="271" t="s">
        <v>177</v>
      </c>
      <c r="B168" s="271" t="s">
        <v>177</v>
      </c>
      <c r="C168" s="278">
        <v>43770.0</v>
      </c>
      <c r="D168" s="279">
        <v>43799.0</v>
      </c>
      <c r="E168" s="271" t="s">
        <v>331</v>
      </c>
      <c r="F168" s="101" t="s">
        <v>8</v>
      </c>
      <c r="G168" s="271" t="s">
        <v>5</v>
      </c>
      <c r="H168" s="273" t="s">
        <v>954</v>
      </c>
      <c r="I168" s="274">
        <v>100.0</v>
      </c>
      <c r="J168" s="271">
        <v>2878.0</v>
      </c>
      <c r="K168" s="271">
        <f t="shared" si="1"/>
        <v>287800</v>
      </c>
      <c r="L168" s="271">
        <v>97333.0</v>
      </c>
      <c r="M168" s="271">
        <v>7300.0</v>
      </c>
      <c r="N168" s="275">
        <v>288.0</v>
      </c>
      <c r="O168" s="60"/>
      <c r="P168" s="50">
        <v>288.0</v>
      </c>
      <c r="Q168" s="271">
        <v>2848.0</v>
      </c>
      <c r="R168" s="276">
        <v>-0.005834</v>
      </c>
      <c r="S168" s="271">
        <v>1169.0</v>
      </c>
      <c r="T168" s="271">
        <v>1457.0</v>
      </c>
      <c r="U168" s="62">
        <v>1.0</v>
      </c>
      <c r="V168" s="277">
        <v>0.225</v>
      </c>
      <c r="W168" s="277">
        <v>0.075</v>
      </c>
      <c r="X168" s="271">
        <v>1020.0</v>
      </c>
      <c r="Y168" s="271">
        <v>437.0</v>
      </c>
      <c r="Z168" s="50" t="b">
        <v>1</v>
      </c>
      <c r="AA168" s="50" t="s">
        <v>138</v>
      </c>
      <c r="AB168" s="50" t="s">
        <v>138</v>
      </c>
    </row>
    <row r="169">
      <c r="A169" s="271" t="s">
        <v>459</v>
      </c>
      <c r="B169" s="271" t="s">
        <v>912</v>
      </c>
      <c r="C169" s="278">
        <v>43770.0</v>
      </c>
      <c r="D169" s="278">
        <v>43799.0</v>
      </c>
      <c r="E169" s="271" t="s">
        <v>268</v>
      </c>
      <c r="F169" s="101" t="s">
        <v>8</v>
      </c>
      <c r="G169" s="271" t="s">
        <v>9</v>
      </c>
      <c r="H169" s="273" t="s">
        <v>55</v>
      </c>
      <c r="I169" s="274">
        <v>10.0</v>
      </c>
      <c r="J169" s="271">
        <v>368.0</v>
      </c>
      <c r="K169" s="271">
        <f t="shared" si="1"/>
        <v>3680</v>
      </c>
      <c r="L169" s="271">
        <v>40337.0</v>
      </c>
      <c r="M169" s="271">
        <v>860.0</v>
      </c>
      <c r="N169" s="275">
        <v>74.0</v>
      </c>
      <c r="O169" s="60"/>
      <c r="P169" s="50">
        <v>74.0</v>
      </c>
      <c r="Q169" s="271">
        <v>407.0</v>
      </c>
      <c r="R169" s="276">
        <v>-0.006321</v>
      </c>
      <c r="S169" s="271">
        <v>384.0</v>
      </c>
      <c r="T169" s="271">
        <v>458.0</v>
      </c>
      <c r="U169" s="62">
        <v>1.0</v>
      </c>
      <c r="V169" s="277">
        <v>0.3</v>
      </c>
      <c r="W169" s="277">
        <v>0.0</v>
      </c>
      <c r="X169" s="271">
        <v>321.0</v>
      </c>
      <c r="Y169" s="271">
        <v>137.0</v>
      </c>
      <c r="Z169" s="50" t="b">
        <v>1</v>
      </c>
      <c r="AA169" s="50" t="s">
        <v>140</v>
      </c>
      <c r="AB169" s="50" t="s">
        <v>140</v>
      </c>
    </row>
    <row r="170">
      <c r="A170" s="271" t="s">
        <v>459</v>
      </c>
      <c r="B170" s="271" t="s">
        <v>912</v>
      </c>
      <c r="C170" s="278">
        <v>43770.0</v>
      </c>
      <c r="D170" s="278">
        <v>43799.0</v>
      </c>
      <c r="E170" s="271" t="s">
        <v>268</v>
      </c>
      <c r="F170" s="101" t="s">
        <v>8</v>
      </c>
      <c r="G170" s="271" t="s">
        <v>9</v>
      </c>
      <c r="H170" s="273" t="s">
        <v>68</v>
      </c>
      <c r="I170" s="274">
        <v>25.0</v>
      </c>
      <c r="J170" s="271">
        <v>1505.0</v>
      </c>
      <c r="K170" s="271">
        <f t="shared" si="1"/>
        <v>37625</v>
      </c>
      <c r="L170" s="271">
        <v>57017.0</v>
      </c>
      <c r="M170" s="271">
        <v>-600.0</v>
      </c>
      <c r="N170" s="275">
        <v>756.0</v>
      </c>
      <c r="O170" s="60"/>
      <c r="P170" s="50">
        <v>756.0</v>
      </c>
      <c r="Q170" s="271">
        <v>-744.0</v>
      </c>
      <c r="R170" s="276">
        <v>-0.005665</v>
      </c>
      <c r="S170" s="271">
        <v>-957.0</v>
      </c>
      <c r="T170" s="271">
        <v>-201.0</v>
      </c>
      <c r="U170" s="62">
        <v>1.0</v>
      </c>
      <c r="V170" s="277">
        <v>0.3</v>
      </c>
      <c r="W170" s="277">
        <v>0.0</v>
      </c>
      <c r="X170" s="271">
        <v>-141.0</v>
      </c>
      <c r="Y170" s="271">
        <v>-60.0</v>
      </c>
      <c r="Z170" s="50" t="b">
        <v>1</v>
      </c>
      <c r="AA170" s="50" t="s">
        <v>140</v>
      </c>
      <c r="AB170" s="50" t="s">
        <v>140</v>
      </c>
    </row>
    <row r="171">
      <c r="A171" s="271" t="s">
        <v>546</v>
      </c>
      <c r="B171" s="271" t="s">
        <v>546</v>
      </c>
      <c r="C171" s="278">
        <v>43770.0</v>
      </c>
      <c r="D171" s="279">
        <v>43799.0</v>
      </c>
      <c r="E171" s="271" t="s">
        <v>268</v>
      </c>
      <c r="F171" s="101" t="s">
        <v>8</v>
      </c>
      <c r="G171" s="271" t="s">
        <v>5</v>
      </c>
      <c r="H171" s="273" t="s">
        <v>951</v>
      </c>
      <c r="I171" s="274">
        <v>60.0</v>
      </c>
      <c r="J171" s="271">
        <v>2501.0</v>
      </c>
      <c r="K171" s="271">
        <f t="shared" si="1"/>
        <v>150060</v>
      </c>
      <c r="L171" s="271">
        <v>88710.0</v>
      </c>
      <c r="M171" s="271">
        <v>6060.0</v>
      </c>
      <c r="N171" s="275">
        <v>150.0</v>
      </c>
      <c r="O171" s="60"/>
      <c r="P171" s="50">
        <v>150.0</v>
      </c>
      <c r="Q171" s="271">
        <v>1953.0</v>
      </c>
      <c r="R171" s="276">
        <v>-0.005856</v>
      </c>
      <c r="S171" s="271">
        <v>1074.0</v>
      </c>
      <c r="T171" s="271">
        <v>1224.0</v>
      </c>
      <c r="U171" s="62">
        <v>1.0</v>
      </c>
      <c r="V171" s="277">
        <v>0.23</v>
      </c>
      <c r="W171" s="277">
        <v>0.0</v>
      </c>
      <c r="X171" s="271">
        <v>942.0</v>
      </c>
      <c r="Y171" s="271">
        <v>282.0</v>
      </c>
      <c r="Z171" s="50" t="b">
        <v>1</v>
      </c>
      <c r="AA171" s="50" t="s">
        <v>138</v>
      </c>
      <c r="AB171" s="50" t="s">
        <v>138</v>
      </c>
    </row>
    <row r="172">
      <c r="A172" s="271" t="s">
        <v>267</v>
      </c>
      <c r="B172" s="271" t="s">
        <v>267</v>
      </c>
      <c r="C172" s="272">
        <v>43790.0</v>
      </c>
      <c r="D172" s="272">
        <v>43819.0</v>
      </c>
      <c r="E172" s="271" t="s">
        <v>268</v>
      </c>
      <c r="F172" s="101" t="s">
        <v>4</v>
      </c>
      <c r="G172" s="271" t="s">
        <v>5</v>
      </c>
      <c r="H172" s="114" t="s">
        <v>964</v>
      </c>
      <c r="I172" s="274">
        <v>10.0</v>
      </c>
      <c r="J172" s="271">
        <v>121.0</v>
      </c>
      <c r="K172" s="271">
        <f t="shared" si="1"/>
        <v>1210</v>
      </c>
      <c r="L172" s="271">
        <v>2498.0</v>
      </c>
      <c r="M172" s="271">
        <v>-120.0</v>
      </c>
      <c r="N172" s="275">
        <v>2.0</v>
      </c>
      <c r="O172" s="60"/>
      <c r="P172" s="50">
        <v>2.0</v>
      </c>
      <c r="Q172" s="271">
        <v>-37.0</v>
      </c>
      <c r="R172" s="276">
        <v>-3.0E-5</v>
      </c>
      <c r="S172" s="271">
        <v>-37.0</v>
      </c>
      <c r="T172" s="271">
        <v>-35.0</v>
      </c>
      <c r="U172" s="62">
        <v>1.0</v>
      </c>
      <c r="V172" s="277">
        <v>0.35</v>
      </c>
      <c r="W172" s="277">
        <v>0.0</v>
      </c>
      <c r="X172" s="271">
        <v>-23.0</v>
      </c>
      <c r="Y172" s="271">
        <v>-12.0</v>
      </c>
      <c r="Z172" s="50" t="b">
        <v>1</v>
      </c>
      <c r="AA172" s="50" t="s">
        <v>138</v>
      </c>
      <c r="AB172" s="50" t="s">
        <v>138</v>
      </c>
    </row>
    <row r="173">
      <c r="A173" s="271" t="s">
        <v>267</v>
      </c>
      <c r="B173" s="271" t="s">
        <v>267</v>
      </c>
      <c r="C173" s="272">
        <v>43790.0</v>
      </c>
      <c r="D173" s="272">
        <v>43819.0</v>
      </c>
      <c r="E173" s="271" t="s">
        <v>268</v>
      </c>
      <c r="F173" s="101" t="s">
        <v>4</v>
      </c>
      <c r="G173" s="271" t="s">
        <v>5</v>
      </c>
      <c r="H173" s="273" t="s">
        <v>952</v>
      </c>
      <c r="I173" s="274">
        <v>15.0</v>
      </c>
      <c r="J173" s="271">
        <v>140.0</v>
      </c>
      <c r="K173" s="271">
        <f t="shared" si="1"/>
        <v>2100</v>
      </c>
      <c r="L173" s="271">
        <v>6739.0</v>
      </c>
      <c r="M173" s="271">
        <v>30.0</v>
      </c>
      <c r="N173" s="275">
        <v>3.0</v>
      </c>
      <c r="O173" s="60"/>
      <c r="P173" s="50">
        <v>3.0</v>
      </c>
      <c r="Q173" s="271">
        <v>63.0</v>
      </c>
      <c r="R173" s="276">
        <v>-3.0E-5</v>
      </c>
      <c r="S173" s="271">
        <v>62.0</v>
      </c>
      <c r="T173" s="271">
        <v>65.0</v>
      </c>
      <c r="U173" s="62">
        <v>1.0</v>
      </c>
      <c r="V173" s="277">
        <v>0.35</v>
      </c>
      <c r="W173" s="277">
        <v>0.0</v>
      </c>
      <c r="X173" s="271">
        <v>43.0</v>
      </c>
      <c r="Y173" s="271">
        <v>23.0</v>
      </c>
      <c r="Z173" s="50" t="b">
        <v>1</v>
      </c>
      <c r="AA173" s="50" t="s">
        <v>138</v>
      </c>
      <c r="AB173" s="50" t="s">
        <v>138</v>
      </c>
    </row>
    <row r="174">
      <c r="A174" s="271" t="s">
        <v>267</v>
      </c>
      <c r="B174" s="271" t="s">
        <v>267</v>
      </c>
      <c r="C174" s="272">
        <v>43790.0</v>
      </c>
      <c r="D174" s="272">
        <v>43819.0</v>
      </c>
      <c r="E174" s="271" t="s">
        <v>268</v>
      </c>
      <c r="F174" s="101" t="s">
        <v>4</v>
      </c>
      <c r="G174" s="271" t="s">
        <v>5</v>
      </c>
      <c r="H174" s="273" t="s">
        <v>965</v>
      </c>
      <c r="I174" s="274">
        <v>25.0</v>
      </c>
      <c r="J174" s="271">
        <v>598.0</v>
      </c>
      <c r="K174" s="271">
        <f t="shared" si="1"/>
        <v>14950</v>
      </c>
      <c r="L174" s="271">
        <v>18572.0</v>
      </c>
      <c r="M174" s="271">
        <v>-1000.0</v>
      </c>
      <c r="N174" s="275">
        <v>18.0</v>
      </c>
      <c r="O174" s="60"/>
      <c r="P174" s="50">
        <v>18.0</v>
      </c>
      <c r="Q174" s="271">
        <v>-31.0</v>
      </c>
      <c r="R174" s="276">
        <v>-3.0E-5</v>
      </c>
      <c r="S174" s="271">
        <v>-31.0</v>
      </c>
      <c r="T174" s="271">
        <v>-13.0</v>
      </c>
      <c r="U174" s="62">
        <v>1.0</v>
      </c>
      <c r="V174" s="277">
        <v>0.35</v>
      </c>
      <c r="W174" s="277">
        <v>0.0</v>
      </c>
      <c r="X174" s="271">
        <v>-9.0</v>
      </c>
      <c r="Y174" s="271">
        <v>-5.0</v>
      </c>
      <c r="Z174" s="50" t="b">
        <v>1</v>
      </c>
      <c r="AA174" s="50" t="s">
        <v>138</v>
      </c>
      <c r="AB174" s="50" t="s">
        <v>138</v>
      </c>
    </row>
    <row r="175">
      <c r="A175" s="271" t="s">
        <v>267</v>
      </c>
      <c r="B175" s="271" t="s">
        <v>267</v>
      </c>
      <c r="C175" s="272">
        <v>43790.0</v>
      </c>
      <c r="D175" s="272">
        <v>43819.0</v>
      </c>
      <c r="E175" s="271" t="s">
        <v>268</v>
      </c>
      <c r="F175" s="101" t="s">
        <v>4</v>
      </c>
      <c r="G175" s="271" t="s">
        <v>5</v>
      </c>
      <c r="H175" s="273" t="s">
        <v>953</v>
      </c>
      <c r="I175" s="274">
        <v>30.0</v>
      </c>
      <c r="J175" s="271">
        <v>345.0</v>
      </c>
      <c r="K175" s="271">
        <f t="shared" si="1"/>
        <v>10350</v>
      </c>
      <c r="L175" s="271">
        <v>1459.0</v>
      </c>
      <c r="M175" s="271">
        <v>1860.0</v>
      </c>
      <c r="N175" s="275">
        <v>12.0</v>
      </c>
      <c r="O175" s="60"/>
      <c r="P175" s="50">
        <v>12.0</v>
      </c>
      <c r="Q175" s="271">
        <v>-541.0</v>
      </c>
      <c r="R175" s="276">
        <v>-3.0E-5</v>
      </c>
      <c r="S175" s="271">
        <v>-541.0</v>
      </c>
      <c r="T175" s="271">
        <v>-529.0</v>
      </c>
      <c r="U175" s="62">
        <v>1.0</v>
      </c>
      <c r="V175" s="277">
        <v>0.35</v>
      </c>
      <c r="W175" s="277">
        <v>0.0</v>
      </c>
      <c r="X175" s="271">
        <v>-344.0</v>
      </c>
      <c r="Y175" s="271">
        <v>-185.0</v>
      </c>
      <c r="Z175" s="50" t="b">
        <v>1</v>
      </c>
      <c r="AA175" s="50" t="s">
        <v>138</v>
      </c>
      <c r="AB175" s="50" t="s">
        <v>138</v>
      </c>
    </row>
    <row r="176">
      <c r="A176" s="271" t="s">
        <v>267</v>
      </c>
      <c r="B176" s="271" t="s">
        <v>267</v>
      </c>
      <c r="C176" s="272">
        <v>43790.0</v>
      </c>
      <c r="D176" s="272">
        <v>43819.0</v>
      </c>
      <c r="E176" s="271" t="s">
        <v>268</v>
      </c>
      <c r="F176" s="101" t="s">
        <v>4</v>
      </c>
      <c r="G176" s="271" t="s">
        <v>5</v>
      </c>
      <c r="H176" s="273" t="s">
        <v>956</v>
      </c>
      <c r="I176" s="274">
        <v>40.0</v>
      </c>
      <c r="J176" s="271">
        <v>326.0</v>
      </c>
      <c r="K176" s="271">
        <f t="shared" si="1"/>
        <v>13040</v>
      </c>
      <c r="L176" s="271">
        <v>4459.0</v>
      </c>
      <c r="M176" s="271">
        <v>-1720.0</v>
      </c>
      <c r="N176" s="275">
        <v>18.0</v>
      </c>
      <c r="O176" s="60"/>
      <c r="P176" s="50">
        <v>18.0</v>
      </c>
      <c r="Q176" s="271">
        <v>-540.0</v>
      </c>
      <c r="R176" s="276">
        <v>-3.0E-5</v>
      </c>
      <c r="S176" s="271">
        <v>-541.0</v>
      </c>
      <c r="T176" s="271">
        <v>-523.0</v>
      </c>
      <c r="U176" s="62">
        <v>1.0</v>
      </c>
      <c r="V176" s="277">
        <v>0.35</v>
      </c>
      <c r="W176" s="277">
        <v>0.0</v>
      </c>
      <c r="X176" s="271">
        <v>-340.0</v>
      </c>
      <c r="Y176" s="271">
        <v>-183.0</v>
      </c>
      <c r="Z176" s="50" t="b">
        <v>1</v>
      </c>
      <c r="AA176" s="50" t="s">
        <v>138</v>
      </c>
      <c r="AB176" s="50" t="s">
        <v>138</v>
      </c>
    </row>
    <row r="177">
      <c r="A177" s="271" t="s">
        <v>267</v>
      </c>
      <c r="B177" s="271" t="s">
        <v>267</v>
      </c>
      <c r="C177" s="272">
        <v>43790.0</v>
      </c>
      <c r="D177" s="272">
        <v>43819.0</v>
      </c>
      <c r="E177" s="271" t="s">
        <v>268</v>
      </c>
      <c r="F177" s="101" t="s">
        <v>4</v>
      </c>
      <c r="G177" s="271" t="s">
        <v>5</v>
      </c>
      <c r="H177" s="273" t="s">
        <v>966</v>
      </c>
      <c r="I177" s="274">
        <v>50.0</v>
      </c>
      <c r="J177" s="271">
        <v>226.0</v>
      </c>
      <c r="K177" s="271">
        <f t="shared" si="1"/>
        <v>11300</v>
      </c>
      <c r="L177" s="271">
        <v>5938.0</v>
      </c>
      <c r="M177" s="271">
        <v>50.0</v>
      </c>
      <c r="N177" s="275">
        <v>14.0</v>
      </c>
      <c r="O177" s="60"/>
      <c r="P177" s="50">
        <v>14.0</v>
      </c>
      <c r="Q177" s="271">
        <v>-124.0</v>
      </c>
      <c r="R177" s="276">
        <v>-3.0E-5</v>
      </c>
      <c r="S177" s="271">
        <v>-125.0</v>
      </c>
      <c r="T177" s="271">
        <v>-111.0</v>
      </c>
      <c r="U177" s="62">
        <v>1.0</v>
      </c>
      <c r="V177" s="277">
        <v>0.35</v>
      </c>
      <c r="W177" s="277">
        <v>0.0</v>
      </c>
      <c r="X177" s="271">
        <v>-72.0</v>
      </c>
      <c r="Y177" s="271">
        <v>-39.0</v>
      </c>
      <c r="Z177" s="50" t="b">
        <v>1</v>
      </c>
      <c r="AA177" s="50" t="s">
        <v>138</v>
      </c>
      <c r="AB177" s="50" t="s">
        <v>138</v>
      </c>
    </row>
    <row r="178">
      <c r="A178" s="271" t="s">
        <v>267</v>
      </c>
      <c r="B178" s="271" t="s">
        <v>267</v>
      </c>
      <c r="C178" s="272">
        <v>43790.0</v>
      </c>
      <c r="D178" s="272">
        <v>43819.0</v>
      </c>
      <c r="E178" s="271" t="s">
        <v>268</v>
      </c>
      <c r="F178" s="101" t="s">
        <v>4</v>
      </c>
      <c r="G178" s="271" t="s">
        <v>5</v>
      </c>
      <c r="H178" s="273" t="s">
        <v>967</v>
      </c>
      <c r="I178" s="274">
        <v>50.0</v>
      </c>
      <c r="J178" s="271">
        <v>1.0</v>
      </c>
      <c r="K178" s="271">
        <f t="shared" si="1"/>
        <v>50</v>
      </c>
      <c r="L178" s="271">
        <v>-253.0</v>
      </c>
      <c r="M178" s="271">
        <v>-50.0</v>
      </c>
      <c r="N178" s="275">
        <v>0.0</v>
      </c>
      <c r="O178" s="60"/>
      <c r="P178" s="50">
        <v>0.0</v>
      </c>
      <c r="Q178" s="271">
        <v>-27.0</v>
      </c>
      <c r="R178" s="276">
        <v>-3.0E-5</v>
      </c>
      <c r="S178" s="271">
        <v>-27.0</v>
      </c>
      <c r="T178" s="271">
        <v>-27.0</v>
      </c>
      <c r="U178" s="62">
        <v>1.0</v>
      </c>
      <c r="V178" s="277">
        <v>0.35</v>
      </c>
      <c r="W178" s="277">
        <v>0.0</v>
      </c>
      <c r="X178" s="271">
        <v>-18.0</v>
      </c>
      <c r="Y178" s="271">
        <v>-9.0</v>
      </c>
      <c r="Z178" s="50" t="b">
        <v>1</v>
      </c>
      <c r="AA178" s="50" t="s">
        <v>138</v>
      </c>
      <c r="AB178" s="50" t="s">
        <v>138</v>
      </c>
    </row>
    <row r="179">
      <c r="A179" s="271" t="s">
        <v>267</v>
      </c>
      <c r="B179" s="271" t="s">
        <v>267</v>
      </c>
      <c r="C179" s="272">
        <v>43790.0</v>
      </c>
      <c r="D179" s="272">
        <v>43819.0</v>
      </c>
      <c r="E179" s="271" t="s">
        <v>268</v>
      </c>
      <c r="F179" s="101" t="s">
        <v>4</v>
      </c>
      <c r="G179" s="271" t="s">
        <v>5</v>
      </c>
      <c r="H179" s="273" t="s">
        <v>951</v>
      </c>
      <c r="I179" s="274">
        <v>60.0</v>
      </c>
      <c r="J179" s="271">
        <v>167.0</v>
      </c>
      <c r="K179" s="271">
        <f t="shared" si="1"/>
        <v>10020</v>
      </c>
      <c r="L179" s="271">
        <v>-5397.0</v>
      </c>
      <c r="M179" s="271">
        <v>1380.0</v>
      </c>
      <c r="N179" s="275">
        <v>10.0</v>
      </c>
      <c r="O179" s="60"/>
      <c r="P179" s="50">
        <v>10.0</v>
      </c>
      <c r="Q179" s="271">
        <v>-1120.0</v>
      </c>
      <c r="R179" s="276">
        <v>-3.0E-5</v>
      </c>
      <c r="S179" s="271">
        <v>-1120.0</v>
      </c>
      <c r="T179" s="271">
        <v>-1110.0</v>
      </c>
      <c r="U179" s="62">
        <v>1.0</v>
      </c>
      <c r="V179" s="277">
        <v>0.35</v>
      </c>
      <c r="W179" s="277">
        <v>0.0</v>
      </c>
      <c r="X179" s="271">
        <v>-722.0</v>
      </c>
      <c r="Y179" s="271">
        <v>-389.0</v>
      </c>
      <c r="Z179" s="50" t="b">
        <v>1</v>
      </c>
      <c r="AA179" s="50" t="s">
        <v>138</v>
      </c>
      <c r="AB179" s="50" t="s">
        <v>138</v>
      </c>
    </row>
    <row r="180">
      <c r="A180" s="271" t="s">
        <v>267</v>
      </c>
      <c r="B180" s="271" t="s">
        <v>267</v>
      </c>
      <c r="C180" s="272">
        <v>43790.0</v>
      </c>
      <c r="D180" s="272">
        <v>43819.0</v>
      </c>
      <c r="E180" s="271" t="s">
        <v>268</v>
      </c>
      <c r="F180" s="101" t="s">
        <v>4</v>
      </c>
      <c r="G180" s="271" t="s">
        <v>5</v>
      </c>
      <c r="H180" s="273" t="s">
        <v>954</v>
      </c>
      <c r="I180" s="274">
        <v>100.0</v>
      </c>
      <c r="J180" s="271">
        <v>61.0</v>
      </c>
      <c r="K180" s="271">
        <f t="shared" si="1"/>
        <v>6100</v>
      </c>
      <c r="L180" s="271">
        <v>-3033.0</v>
      </c>
      <c r="M180" s="271">
        <v>-1800.0</v>
      </c>
      <c r="N180" s="275">
        <v>6.0</v>
      </c>
      <c r="O180" s="60"/>
      <c r="P180" s="50">
        <v>6.0</v>
      </c>
      <c r="Q180" s="271">
        <v>-882.0</v>
      </c>
      <c r="R180" s="276">
        <v>-3.0E-5</v>
      </c>
      <c r="S180" s="271">
        <v>-883.0</v>
      </c>
      <c r="T180" s="271">
        <v>-877.0</v>
      </c>
      <c r="U180" s="62">
        <v>1.0</v>
      </c>
      <c r="V180" s="277">
        <v>0.35</v>
      </c>
      <c r="W180" s="277">
        <v>0.0</v>
      </c>
      <c r="X180" s="271">
        <v>-570.0</v>
      </c>
      <c r="Y180" s="271">
        <v>-307.0</v>
      </c>
      <c r="Z180" s="50" t="b">
        <v>1</v>
      </c>
      <c r="AA180" s="50" t="s">
        <v>138</v>
      </c>
      <c r="AB180" s="50" t="s">
        <v>138</v>
      </c>
    </row>
    <row r="181">
      <c r="A181" s="271" t="s">
        <v>148</v>
      </c>
      <c r="B181" s="271" t="s">
        <v>148</v>
      </c>
      <c r="C181" s="279">
        <v>43790.0</v>
      </c>
      <c r="D181" s="279">
        <v>43819.0</v>
      </c>
      <c r="E181" s="271" t="s">
        <v>331</v>
      </c>
      <c r="F181" s="101" t="s">
        <v>4</v>
      </c>
      <c r="G181" s="271" t="s">
        <v>5</v>
      </c>
      <c r="H181" s="273" t="s">
        <v>965</v>
      </c>
      <c r="I181" s="274">
        <v>25.0</v>
      </c>
      <c r="J181" s="271">
        <v>807.0</v>
      </c>
      <c r="K181" s="271">
        <f t="shared" si="1"/>
        <v>20175</v>
      </c>
      <c r="L181" s="271">
        <v>47194.0</v>
      </c>
      <c r="M181" s="271">
        <v>1325.0</v>
      </c>
      <c r="N181" s="275">
        <v>24.0</v>
      </c>
      <c r="O181" s="60"/>
      <c r="P181" s="50">
        <v>24.0</v>
      </c>
      <c r="Q181" s="271">
        <v>932.0</v>
      </c>
      <c r="R181" s="276">
        <v>-3.0E-5</v>
      </c>
      <c r="S181" s="271">
        <v>932.0</v>
      </c>
      <c r="T181" s="271">
        <v>956.0</v>
      </c>
      <c r="U181" s="62">
        <v>1.0</v>
      </c>
      <c r="V181" s="277">
        <v>0.275</v>
      </c>
      <c r="W181" s="277">
        <v>0.1</v>
      </c>
      <c r="X181" s="271">
        <v>597.0</v>
      </c>
      <c r="Y181" s="271">
        <v>358.0</v>
      </c>
      <c r="Z181" s="50" t="b">
        <v>1</v>
      </c>
      <c r="AA181" s="50" t="s">
        <v>138</v>
      </c>
      <c r="AB181" s="50" t="s">
        <v>138</v>
      </c>
    </row>
    <row r="182">
      <c r="A182" s="271" t="s">
        <v>148</v>
      </c>
      <c r="B182" s="271" t="s">
        <v>148</v>
      </c>
      <c r="C182" s="279">
        <v>43790.0</v>
      </c>
      <c r="D182" s="279">
        <v>43819.0</v>
      </c>
      <c r="E182" s="271" t="s">
        <v>331</v>
      </c>
      <c r="F182" s="101" t="s">
        <v>4</v>
      </c>
      <c r="G182" s="271" t="s">
        <v>5</v>
      </c>
      <c r="H182" s="273" t="s">
        <v>956</v>
      </c>
      <c r="I182" s="274">
        <v>40.0</v>
      </c>
      <c r="J182" s="271">
        <v>720.0</v>
      </c>
      <c r="K182" s="271">
        <f t="shared" si="1"/>
        <v>28800</v>
      </c>
      <c r="L182" s="271">
        <v>33484.0</v>
      </c>
      <c r="M182" s="271">
        <v>2120.0</v>
      </c>
      <c r="N182" s="275">
        <v>40.0</v>
      </c>
      <c r="O182" s="60"/>
      <c r="P182" s="50">
        <v>40.0</v>
      </c>
      <c r="Q182" s="271">
        <v>460.0</v>
      </c>
      <c r="R182" s="276">
        <v>-3.0E-5</v>
      </c>
      <c r="S182" s="271">
        <v>459.0</v>
      </c>
      <c r="T182" s="271">
        <v>499.0</v>
      </c>
      <c r="U182" s="62">
        <v>1.0</v>
      </c>
      <c r="V182" s="277">
        <v>0.275</v>
      </c>
      <c r="W182" s="277">
        <v>0.1</v>
      </c>
      <c r="X182" s="271">
        <v>312.0</v>
      </c>
      <c r="Y182" s="271">
        <v>187.0</v>
      </c>
      <c r="Z182" s="50" t="b">
        <v>1</v>
      </c>
      <c r="AA182" s="50" t="s">
        <v>138</v>
      </c>
      <c r="AB182" s="50" t="s">
        <v>138</v>
      </c>
    </row>
    <row r="183">
      <c r="A183" s="271" t="s">
        <v>148</v>
      </c>
      <c r="B183" s="271" t="s">
        <v>148</v>
      </c>
      <c r="C183" s="279">
        <v>43790.0</v>
      </c>
      <c r="D183" s="279">
        <v>43819.0</v>
      </c>
      <c r="E183" s="271" t="s">
        <v>331</v>
      </c>
      <c r="F183" s="101" t="s">
        <v>4</v>
      </c>
      <c r="G183" s="271" t="s">
        <v>5</v>
      </c>
      <c r="H183" s="273" t="s">
        <v>966</v>
      </c>
      <c r="I183" s="274">
        <v>50.0</v>
      </c>
      <c r="J183" s="271">
        <v>497.0</v>
      </c>
      <c r="K183" s="271">
        <f t="shared" si="1"/>
        <v>24850</v>
      </c>
      <c r="L183" s="271">
        <v>24410.0</v>
      </c>
      <c r="M183" s="271">
        <v>2050.0</v>
      </c>
      <c r="N183" s="275">
        <v>30.0</v>
      </c>
      <c r="O183" s="60"/>
      <c r="P183" s="50">
        <v>30.0</v>
      </c>
      <c r="Q183" s="271">
        <v>713.0</v>
      </c>
      <c r="R183" s="276">
        <v>-3.0E-5</v>
      </c>
      <c r="S183" s="271">
        <v>712.0</v>
      </c>
      <c r="T183" s="271">
        <v>742.0</v>
      </c>
      <c r="U183" s="62">
        <v>1.0</v>
      </c>
      <c r="V183" s="277">
        <v>0.275</v>
      </c>
      <c r="W183" s="277">
        <v>0.1</v>
      </c>
      <c r="X183" s="271">
        <v>464.0</v>
      </c>
      <c r="Y183" s="271">
        <v>278.0</v>
      </c>
      <c r="Z183" s="50" t="b">
        <v>1</v>
      </c>
      <c r="AA183" s="50" t="s">
        <v>138</v>
      </c>
      <c r="AB183" s="50" t="s">
        <v>138</v>
      </c>
    </row>
    <row r="184">
      <c r="A184" s="271" t="s">
        <v>148</v>
      </c>
      <c r="B184" s="271" t="s">
        <v>148</v>
      </c>
      <c r="C184" s="279">
        <v>43790.0</v>
      </c>
      <c r="D184" s="279">
        <v>43819.0</v>
      </c>
      <c r="E184" s="271" t="s">
        <v>331</v>
      </c>
      <c r="F184" s="101" t="s">
        <v>4</v>
      </c>
      <c r="G184" s="271" t="s">
        <v>5</v>
      </c>
      <c r="H184" s="273" t="s">
        <v>967</v>
      </c>
      <c r="I184" s="274">
        <v>50.0</v>
      </c>
      <c r="J184" s="271">
        <v>186.0</v>
      </c>
      <c r="K184" s="271">
        <f t="shared" si="1"/>
        <v>9300</v>
      </c>
      <c r="L184" s="271">
        <v>15198.0</v>
      </c>
      <c r="M184" s="271">
        <v>600.0</v>
      </c>
      <c r="N184" s="275">
        <v>13.0</v>
      </c>
      <c r="O184" s="60"/>
      <c r="P184" s="50">
        <v>13.0</v>
      </c>
      <c r="Q184" s="271">
        <v>762.0</v>
      </c>
      <c r="R184" s="276">
        <v>-3.0E-5</v>
      </c>
      <c r="S184" s="271">
        <v>761.0</v>
      </c>
      <c r="T184" s="271">
        <v>774.0</v>
      </c>
      <c r="U184" s="62">
        <v>1.0</v>
      </c>
      <c r="V184" s="277">
        <v>0.275</v>
      </c>
      <c r="W184" s="277">
        <v>0.1</v>
      </c>
      <c r="X184" s="271">
        <v>484.0</v>
      </c>
      <c r="Y184" s="271">
        <v>290.0</v>
      </c>
      <c r="Z184" s="50" t="b">
        <v>1</v>
      </c>
      <c r="AA184" s="50" t="s">
        <v>138</v>
      </c>
      <c r="AB184" s="50" t="s">
        <v>138</v>
      </c>
    </row>
    <row r="185">
      <c r="A185" s="271" t="s">
        <v>156</v>
      </c>
      <c r="B185" s="271" t="s">
        <v>156</v>
      </c>
      <c r="C185" s="279">
        <v>43790.0</v>
      </c>
      <c r="D185" s="279">
        <v>43819.0</v>
      </c>
      <c r="E185" s="271" t="s">
        <v>268</v>
      </c>
      <c r="F185" s="101" t="s">
        <v>4</v>
      </c>
      <c r="G185" s="271" t="s">
        <v>5</v>
      </c>
      <c r="H185" s="273" t="s">
        <v>954</v>
      </c>
      <c r="I185" s="274">
        <v>100.0</v>
      </c>
      <c r="J185" s="271">
        <v>1807.0</v>
      </c>
      <c r="K185" s="271">
        <f t="shared" si="1"/>
        <v>180700</v>
      </c>
      <c r="L185" s="271">
        <v>50139.0</v>
      </c>
      <c r="M185" s="271">
        <v>5000.0</v>
      </c>
      <c r="N185" s="275">
        <v>181.0</v>
      </c>
      <c r="O185" s="60"/>
      <c r="P185" s="50">
        <v>181.0</v>
      </c>
      <c r="Q185" s="271">
        <v>-347.0</v>
      </c>
      <c r="R185" s="276">
        <v>-3.0E-5</v>
      </c>
      <c r="S185" s="271">
        <v>-352.0</v>
      </c>
      <c r="T185" s="271">
        <v>-171.0</v>
      </c>
      <c r="U185" s="62">
        <v>1.0</v>
      </c>
      <c r="V185" s="277">
        <v>0.35</v>
      </c>
      <c r="W185" s="277">
        <v>0.0</v>
      </c>
      <c r="X185" s="271">
        <v>-111.0</v>
      </c>
      <c r="Y185" s="271">
        <v>-60.0</v>
      </c>
      <c r="Z185" s="50" t="b">
        <v>1</v>
      </c>
      <c r="AA185" s="50" t="s">
        <v>138</v>
      </c>
      <c r="AB185" s="50" t="s">
        <v>138</v>
      </c>
    </row>
    <row r="186">
      <c r="A186" s="271" t="s">
        <v>156</v>
      </c>
      <c r="B186" s="271" t="s">
        <v>156</v>
      </c>
      <c r="C186" s="279">
        <v>43790.0</v>
      </c>
      <c r="D186" s="279">
        <v>43819.0</v>
      </c>
      <c r="E186" s="271" t="s">
        <v>268</v>
      </c>
      <c r="F186" s="101" t="s">
        <v>4</v>
      </c>
      <c r="G186" s="271" t="s">
        <v>5</v>
      </c>
      <c r="H186" s="273" t="s">
        <v>951</v>
      </c>
      <c r="I186" s="274">
        <v>60.0</v>
      </c>
      <c r="J186" s="271">
        <v>333.0</v>
      </c>
      <c r="K186" s="271">
        <f t="shared" si="1"/>
        <v>19980</v>
      </c>
      <c r="L186" s="271">
        <v>10795.0</v>
      </c>
      <c r="M186" s="271">
        <v>1080.0</v>
      </c>
      <c r="N186" s="275">
        <v>20.0</v>
      </c>
      <c r="O186" s="60"/>
      <c r="P186" s="50">
        <v>20.0</v>
      </c>
      <c r="Q186" s="271">
        <v>138.0</v>
      </c>
      <c r="R186" s="276">
        <v>-3.0E-5</v>
      </c>
      <c r="S186" s="271">
        <v>137.0</v>
      </c>
      <c r="T186" s="271">
        <v>157.0</v>
      </c>
      <c r="U186" s="62">
        <v>1.0</v>
      </c>
      <c r="V186" s="277">
        <v>0.35</v>
      </c>
      <c r="W186" s="277">
        <v>0.0</v>
      </c>
      <c r="X186" s="271">
        <v>102.0</v>
      </c>
      <c r="Y186" s="271">
        <v>55.0</v>
      </c>
      <c r="Z186" s="50" t="b">
        <v>1</v>
      </c>
      <c r="AA186" s="50" t="s">
        <v>138</v>
      </c>
      <c r="AB186" s="50" t="s">
        <v>138</v>
      </c>
    </row>
    <row r="187">
      <c r="A187" s="271" t="s">
        <v>156</v>
      </c>
      <c r="B187" s="271" t="s">
        <v>156</v>
      </c>
      <c r="C187" s="279">
        <v>43790.0</v>
      </c>
      <c r="D187" s="279">
        <v>43819.0</v>
      </c>
      <c r="E187" s="271" t="s">
        <v>268</v>
      </c>
      <c r="F187" s="101" t="s">
        <v>4</v>
      </c>
      <c r="G187" s="271" t="s">
        <v>5</v>
      </c>
      <c r="H187" s="273" t="s">
        <v>966</v>
      </c>
      <c r="I187" s="274">
        <v>50.0</v>
      </c>
      <c r="J187" s="271">
        <v>166.0</v>
      </c>
      <c r="K187" s="271">
        <f t="shared" si="1"/>
        <v>8300</v>
      </c>
      <c r="L187" s="271">
        <v>6028.0</v>
      </c>
      <c r="M187" s="271">
        <v>-1000.0</v>
      </c>
      <c r="N187" s="275">
        <v>10.0</v>
      </c>
      <c r="O187" s="60"/>
      <c r="P187" s="50">
        <v>10.0</v>
      </c>
      <c r="Q187" s="271">
        <v>29.0</v>
      </c>
      <c r="R187" s="276">
        <v>-3.0E-5</v>
      </c>
      <c r="S187" s="271">
        <v>29.0</v>
      </c>
      <c r="T187" s="271">
        <v>39.0</v>
      </c>
      <c r="U187" s="62">
        <v>1.0</v>
      </c>
      <c r="V187" s="277">
        <v>0.35</v>
      </c>
      <c r="W187" s="277">
        <v>0.0</v>
      </c>
      <c r="X187" s="271">
        <v>25.0</v>
      </c>
      <c r="Y187" s="271">
        <v>14.0</v>
      </c>
      <c r="Z187" s="50" t="b">
        <v>1</v>
      </c>
      <c r="AA187" s="50" t="s">
        <v>138</v>
      </c>
      <c r="AB187" s="50" t="s">
        <v>138</v>
      </c>
    </row>
    <row r="188">
      <c r="A188" s="271" t="s">
        <v>156</v>
      </c>
      <c r="B188" s="271" t="s">
        <v>156</v>
      </c>
      <c r="C188" s="279">
        <v>43790.0</v>
      </c>
      <c r="D188" s="279">
        <v>43819.0</v>
      </c>
      <c r="E188" s="271" t="s">
        <v>268</v>
      </c>
      <c r="F188" s="101" t="s">
        <v>4</v>
      </c>
      <c r="G188" s="271" t="s">
        <v>5</v>
      </c>
      <c r="H188" s="273" t="s">
        <v>965</v>
      </c>
      <c r="I188" s="274">
        <v>25.0</v>
      </c>
      <c r="J188" s="271">
        <v>483.0</v>
      </c>
      <c r="K188" s="271">
        <f t="shared" si="1"/>
        <v>12075</v>
      </c>
      <c r="L188" s="271">
        <v>9706.0</v>
      </c>
      <c r="M188" s="271">
        <v>-925.0</v>
      </c>
      <c r="N188" s="275">
        <v>14.0</v>
      </c>
      <c r="O188" s="60"/>
      <c r="P188" s="50">
        <v>14.0</v>
      </c>
      <c r="Q188" s="271">
        <v>-324.0</v>
      </c>
      <c r="R188" s="276">
        <v>-3.0E-5</v>
      </c>
      <c r="S188" s="271">
        <v>-325.0</v>
      </c>
      <c r="T188" s="271">
        <v>-311.0</v>
      </c>
      <c r="U188" s="62">
        <v>1.0</v>
      </c>
      <c r="V188" s="277">
        <v>0.35</v>
      </c>
      <c r="W188" s="277">
        <v>0.0</v>
      </c>
      <c r="X188" s="271">
        <v>-202.0</v>
      </c>
      <c r="Y188" s="271">
        <v>-109.0</v>
      </c>
      <c r="Z188" s="50" t="b">
        <v>1</v>
      </c>
      <c r="AA188" s="50" t="s">
        <v>138</v>
      </c>
      <c r="AB188" s="50" t="s">
        <v>138</v>
      </c>
    </row>
    <row r="189">
      <c r="A189" s="271" t="s">
        <v>216</v>
      </c>
      <c r="B189" s="271" t="s">
        <v>216</v>
      </c>
      <c r="C189" s="279">
        <v>43790.0</v>
      </c>
      <c r="D189" s="279">
        <v>43819.0</v>
      </c>
      <c r="E189" s="271" t="s">
        <v>268</v>
      </c>
      <c r="F189" s="101" t="s">
        <v>4</v>
      </c>
      <c r="G189" s="271" t="s">
        <v>5</v>
      </c>
      <c r="H189" s="273" t="s">
        <v>952</v>
      </c>
      <c r="I189" s="274">
        <v>15.0</v>
      </c>
      <c r="J189" s="271">
        <v>445.0</v>
      </c>
      <c r="K189" s="271">
        <f t="shared" si="1"/>
        <v>6675</v>
      </c>
      <c r="L189" s="271">
        <v>16402.0</v>
      </c>
      <c r="M189" s="271">
        <v>-60.0</v>
      </c>
      <c r="N189" s="275">
        <v>0.0</v>
      </c>
      <c r="O189" s="60"/>
      <c r="P189" s="50">
        <v>0.0</v>
      </c>
      <c r="Q189" s="271">
        <v>23.0</v>
      </c>
      <c r="R189" s="276">
        <v>-3.0E-5</v>
      </c>
      <c r="S189" s="271">
        <v>23.0</v>
      </c>
      <c r="T189" s="271">
        <v>23.0</v>
      </c>
      <c r="U189" s="62">
        <v>1.0</v>
      </c>
      <c r="V189" s="277">
        <v>0.3</v>
      </c>
      <c r="W189" s="277">
        <v>0.0</v>
      </c>
      <c r="X189" s="271">
        <v>16.0</v>
      </c>
      <c r="Y189" s="271">
        <v>7.0</v>
      </c>
      <c r="Z189" s="50" t="b">
        <v>1</v>
      </c>
      <c r="AA189" s="50" t="s">
        <v>138</v>
      </c>
      <c r="AB189" s="50" t="s">
        <v>138</v>
      </c>
    </row>
    <row r="190">
      <c r="A190" s="271" t="s">
        <v>216</v>
      </c>
      <c r="B190" s="271" t="s">
        <v>216</v>
      </c>
      <c r="C190" s="279">
        <v>43790.0</v>
      </c>
      <c r="D190" s="279">
        <v>43819.0</v>
      </c>
      <c r="E190" s="271" t="s">
        <v>268</v>
      </c>
      <c r="F190" s="101" t="s">
        <v>4</v>
      </c>
      <c r="G190" s="271" t="s">
        <v>5</v>
      </c>
      <c r="H190" s="273" t="s">
        <v>965</v>
      </c>
      <c r="I190" s="274">
        <v>25.0</v>
      </c>
      <c r="J190" s="271">
        <v>1086.0</v>
      </c>
      <c r="K190" s="271">
        <f t="shared" si="1"/>
        <v>27150</v>
      </c>
      <c r="L190" s="271">
        <v>67803.0</v>
      </c>
      <c r="M190" s="271">
        <v>1575.0</v>
      </c>
      <c r="N190" s="275">
        <v>0.0</v>
      </c>
      <c r="O190" s="60"/>
      <c r="P190" s="50">
        <v>0.0</v>
      </c>
      <c r="Q190" s="271">
        <v>1392.0</v>
      </c>
      <c r="R190" s="276">
        <v>-3.0E-5</v>
      </c>
      <c r="S190" s="271">
        <v>1391.0</v>
      </c>
      <c r="T190" s="271">
        <v>1391.0</v>
      </c>
      <c r="U190" s="62">
        <v>1.0</v>
      </c>
      <c r="V190" s="277">
        <v>0.3</v>
      </c>
      <c r="W190" s="277">
        <v>0.0</v>
      </c>
      <c r="X190" s="271">
        <v>974.0</v>
      </c>
      <c r="Y190" s="271">
        <v>417.0</v>
      </c>
      <c r="Z190" s="50" t="b">
        <v>1</v>
      </c>
      <c r="AA190" s="50" t="s">
        <v>138</v>
      </c>
      <c r="AB190" s="50" t="s">
        <v>138</v>
      </c>
    </row>
    <row r="191">
      <c r="A191" s="271" t="s">
        <v>216</v>
      </c>
      <c r="B191" s="271" t="s">
        <v>216</v>
      </c>
      <c r="C191" s="279">
        <v>43790.0</v>
      </c>
      <c r="D191" s="279">
        <v>43819.0</v>
      </c>
      <c r="E191" s="271" t="s">
        <v>268</v>
      </c>
      <c r="F191" s="101" t="s">
        <v>4</v>
      </c>
      <c r="G191" s="271" t="s">
        <v>5</v>
      </c>
      <c r="H191" s="273" t="s">
        <v>953</v>
      </c>
      <c r="I191" s="274">
        <v>30.0</v>
      </c>
      <c r="J191" s="271">
        <v>164.0</v>
      </c>
      <c r="K191" s="271">
        <f t="shared" si="1"/>
        <v>4920</v>
      </c>
      <c r="L191" s="271">
        <v>-2704.0</v>
      </c>
      <c r="M191" s="271">
        <v>-930.0</v>
      </c>
      <c r="N191" s="275">
        <v>0.0</v>
      </c>
      <c r="O191" s="60"/>
      <c r="P191" s="50">
        <v>0.0</v>
      </c>
      <c r="Q191" s="271">
        <v>-473.0</v>
      </c>
      <c r="R191" s="276">
        <v>-3.0E-5</v>
      </c>
      <c r="S191" s="271">
        <v>-473.0</v>
      </c>
      <c r="T191" s="271">
        <v>-473.0</v>
      </c>
      <c r="U191" s="62">
        <v>1.0</v>
      </c>
      <c r="V191" s="277">
        <v>0.3</v>
      </c>
      <c r="W191" s="277">
        <v>0.0</v>
      </c>
      <c r="X191" s="271">
        <v>-331.0</v>
      </c>
      <c r="Y191" s="271">
        <v>-142.0</v>
      </c>
      <c r="Z191" s="50" t="b">
        <v>1</v>
      </c>
      <c r="AA191" s="50" t="s">
        <v>138</v>
      </c>
      <c r="AB191" s="50" t="s">
        <v>138</v>
      </c>
    </row>
    <row r="192">
      <c r="A192" s="271" t="s">
        <v>216</v>
      </c>
      <c r="B192" s="271" t="s">
        <v>942</v>
      </c>
      <c r="C192" s="278">
        <v>43790.0</v>
      </c>
      <c r="D192" s="278">
        <v>43819.0</v>
      </c>
      <c r="E192" s="271" t="s">
        <v>268</v>
      </c>
      <c r="F192" s="101" t="s">
        <v>4</v>
      </c>
      <c r="G192" s="271" t="s">
        <v>22</v>
      </c>
      <c r="H192" s="273" t="s">
        <v>55</v>
      </c>
      <c r="I192" s="274">
        <v>10.0</v>
      </c>
      <c r="J192" s="271">
        <v>238.0</v>
      </c>
      <c r="K192" s="271">
        <f t="shared" si="1"/>
        <v>2380</v>
      </c>
      <c r="L192" s="271">
        <v>24122.0</v>
      </c>
      <c r="M192" s="271">
        <v>450.0</v>
      </c>
      <c r="N192" s="275">
        <v>0.0</v>
      </c>
      <c r="O192" s="60"/>
      <c r="P192" s="50">
        <v>0.0</v>
      </c>
      <c r="Q192" s="271">
        <v>266.0</v>
      </c>
      <c r="R192" s="276">
        <v>-3.0E-5</v>
      </c>
      <c r="S192" s="271">
        <v>266.0</v>
      </c>
      <c r="T192" s="271">
        <v>266.0</v>
      </c>
      <c r="U192" s="62">
        <v>1.108</v>
      </c>
      <c r="V192" s="277">
        <v>0.3</v>
      </c>
      <c r="W192" s="277">
        <v>0.0</v>
      </c>
      <c r="X192" s="271">
        <v>207.0</v>
      </c>
      <c r="Y192" s="271">
        <v>89.0</v>
      </c>
      <c r="Z192" s="50" t="b">
        <v>1</v>
      </c>
      <c r="AA192" s="50" t="s">
        <v>138</v>
      </c>
      <c r="AB192" s="50" t="s">
        <v>140</v>
      </c>
    </row>
    <row r="193">
      <c r="A193" s="271" t="s">
        <v>216</v>
      </c>
      <c r="B193" s="271" t="s">
        <v>942</v>
      </c>
      <c r="C193" s="278">
        <v>43790.0</v>
      </c>
      <c r="D193" s="278">
        <v>43819.0</v>
      </c>
      <c r="E193" s="271" t="s">
        <v>268</v>
      </c>
      <c r="F193" s="101" t="s">
        <v>4</v>
      </c>
      <c r="G193" s="271" t="s">
        <v>22</v>
      </c>
      <c r="H193" s="273" t="s">
        <v>68</v>
      </c>
      <c r="I193" s="274">
        <v>25.0</v>
      </c>
      <c r="J193" s="271">
        <v>269.0</v>
      </c>
      <c r="K193" s="271">
        <f t="shared" si="1"/>
        <v>6725</v>
      </c>
      <c r="L193" s="271">
        <v>14263.0</v>
      </c>
      <c r="M193" s="271">
        <v>50.0</v>
      </c>
      <c r="N193" s="275">
        <v>0.0</v>
      </c>
      <c r="O193" s="60"/>
      <c r="P193" s="50">
        <v>0.0</v>
      </c>
      <c r="Q193" s="271">
        <v>152.0</v>
      </c>
      <c r="R193" s="276">
        <v>-3.0E-5</v>
      </c>
      <c r="S193" s="271">
        <v>152.0</v>
      </c>
      <c r="T193" s="271">
        <v>152.0</v>
      </c>
      <c r="U193" s="62">
        <v>1.108</v>
      </c>
      <c r="V193" s="277">
        <v>0.3</v>
      </c>
      <c r="W193" s="277">
        <v>0.0</v>
      </c>
      <c r="X193" s="271">
        <v>118.0</v>
      </c>
      <c r="Y193" s="271">
        <v>51.0</v>
      </c>
      <c r="Z193" s="50" t="b">
        <v>1</v>
      </c>
      <c r="AA193" s="50" t="s">
        <v>138</v>
      </c>
      <c r="AB193" s="50" t="s">
        <v>140</v>
      </c>
    </row>
    <row r="194">
      <c r="A194" s="271" t="s">
        <v>177</v>
      </c>
      <c r="B194" s="271" t="s">
        <v>177</v>
      </c>
      <c r="C194" s="278">
        <v>43800.0</v>
      </c>
      <c r="D194" s="279">
        <v>43821.0</v>
      </c>
      <c r="E194" s="271" t="s">
        <v>331</v>
      </c>
      <c r="F194" s="101" t="s">
        <v>8</v>
      </c>
      <c r="G194" s="271" t="s">
        <v>5</v>
      </c>
      <c r="H194" s="273" t="s">
        <v>954</v>
      </c>
      <c r="I194" s="274">
        <v>100.0</v>
      </c>
      <c r="J194" s="271">
        <v>2060.0</v>
      </c>
      <c r="K194" s="271">
        <f t="shared" si="1"/>
        <v>206000</v>
      </c>
      <c r="L194" s="271">
        <v>34884.0</v>
      </c>
      <c r="M194" s="271">
        <v>-12100.0</v>
      </c>
      <c r="N194" s="275">
        <v>206.0</v>
      </c>
      <c r="O194" s="60"/>
      <c r="P194" s="50">
        <v>206.0</v>
      </c>
      <c r="Q194" s="271">
        <v>-4533.0</v>
      </c>
      <c r="R194" s="276">
        <v>0.001647</v>
      </c>
      <c r="S194" s="271">
        <v>-4194.0</v>
      </c>
      <c r="T194" s="271">
        <v>-3988.0</v>
      </c>
      <c r="U194" s="62">
        <v>1.0</v>
      </c>
      <c r="V194" s="277">
        <v>0.1688</v>
      </c>
      <c r="W194" s="277">
        <v>0.0563</v>
      </c>
      <c r="X194" s="271">
        <v>-3090.0</v>
      </c>
      <c r="Y194" s="271">
        <v>-898.0</v>
      </c>
      <c r="Z194" s="50" t="b">
        <v>1</v>
      </c>
      <c r="AA194" s="50" t="s">
        <v>138</v>
      </c>
      <c r="AB194" s="50" t="s">
        <v>138</v>
      </c>
    </row>
    <row r="195">
      <c r="A195" s="271" t="s">
        <v>459</v>
      </c>
      <c r="B195" s="271" t="s">
        <v>912</v>
      </c>
      <c r="C195" s="278">
        <v>43800.0</v>
      </c>
      <c r="D195" s="278">
        <v>43821.0</v>
      </c>
      <c r="E195" s="271" t="s">
        <v>268</v>
      </c>
      <c r="F195" s="101" t="s">
        <v>8</v>
      </c>
      <c r="G195" s="271" t="s">
        <v>9</v>
      </c>
      <c r="H195" s="273" t="s">
        <v>55</v>
      </c>
      <c r="I195" s="274">
        <v>10.0</v>
      </c>
      <c r="J195" s="271">
        <v>1264.0</v>
      </c>
      <c r="K195" s="271">
        <f t="shared" si="1"/>
        <v>12640</v>
      </c>
      <c r="L195" s="271">
        <v>104324.0</v>
      </c>
      <c r="M195" s="271">
        <v>950.0</v>
      </c>
      <c r="N195" s="275">
        <v>240.0</v>
      </c>
      <c r="O195" s="60"/>
      <c r="P195" s="50">
        <v>240.0</v>
      </c>
      <c r="Q195" s="271">
        <v>776.0</v>
      </c>
      <c r="R195" s="276">
        <v>0.001784</v>
      </c>
      <c r="S195" s="271">
        <v>799.0</v>
      </c>
      <c r="T195" s="271">
        <v>1039.0</v>
      </c>
      <c r="U195" s="62">
        <v>1.0</v>
      </c>
      <c r="V195" s="277">
        <v>0.3</v>
      </c>
      <c r="W195" s="277">
        <v>0.0</v>
      </c>
      <c r="X195" s="271">
        <v>727.0</v>
      </c>
      <c r="Y195" s="271">
        <v>312.0</v>
      </c>
      <c r="Z195" s="50" t="b">
        <v>1</v>
      </c>
      <c r="AA195" s="50" t="s">
        <v>140</v>
      </c>
      <c r="AB195" s="50" t="s">
        <v>140</v>
      </c>
    </row>
    <row r="196">
      <c r="A196" s="271" t="s">
        <v>546</v>
      </c>
      <c r="B196" s="271" t="s">
        <v>546</v>
      </c>
      <c r="C196" s="278">
        <v>43800.0</v>
      </c>
      <c r="D196" s="279">
        <v>43821.0</v>
      </c>
      <c r="E196" s="271" t="s">
        <v>268</v>
      </c>
      <c r="F196" s="101" t="s">
        <v>8</v>
      </c>
      <c r="G196" s="271" t="s">
        <v>5</v>
      </c>
      <c r="H196" s="273" t="s">
        <v>951</v>
      </c>
      <c r="I196" s="274">
        <v>60.0</v>
      </c>
      <c r="J196" s="271">
        <v>20.0</v>
      </c>
      <c r="K196" s="271">
        <f t="shared" si="1"/>
        <v>1200</v>
      </c>
      <c r="L196" s="271">
        <v>923.0</v>
      </c>
      <c r="M196" s="271">
        <v>-360.0</v>
      </c>
      <c r="N196" s="275">
        <v>1.0</v>
      </c>
      <c r="O196" s="60"/>
      <c r="P196" s="50">
        <v>1.0</v>
      </c>
      <c r="Q196" s="271">
        <v>40.0</v>
      </c>
      <c r="R196" s="276">
        <v>0.001809</v>
      </c>
      <c r="S196" s="271">
        <v>42.0</v>
      </c>
      <c r="T196" s="271">
        <v>43.0</v>
      </c>
      <c r="U196" s="62">
        <v>1.0</v>
      </c>
      <c r="V196" s="277">
        <v>0.23</v>
      </c>
      <c r="W196" s="277">
        <v>0.0</v>
      </c>
      <c r="X196" s="271">
        <v>33.0</v>
      </c>
      <c r="Y196" s="271">
        <v>10.0</v>
      </c>
      <c r="Z196" s="50" t="b">
        <v>1</v>
      </c>
      <c r="AA196" s="50" t="s">
        <v>138</v>
      </c>
      <c r="AB196" s="50" t="s">
        <v>138</v>
      </c>
    </row>
    <row r="197">
      <c r="A197" s="271" t="s">
        <v>546</v>
      </c>
      <c r="B197" s="271" t="s">
        <v>546</v>
      </c>
      <c r="C197" s="278">
        <v>43802.0</v>
      </c>
      <c r="D197" s="279">
        <v>43821.0</v>
      </c>
      <c r="E197" s="271" t="s">
        <v>268</v>
      </c>
      <c r="F197" s="101" t="s">
        <v>8</v>
      </c>
      <c r="G197" s="271" t="s">
        <v>5</v>
      </c>
      <c r="H197" s="273" t="s">
        <v>954</v>
      </c>
      <c r="I197" s="274">
        <v>100.0</v>
      </c>
      <c r="J197" s="271">
        <v>144.0</v>
      </c>
      <c r="K197" s="271">
        <f t="shared" si="1"/>
        <v>14400</v>
      </c>
      <c r="L197" s="271">
        <v>241.0</v>
      </c>
      <c r="M197" s="271">
        <v>-2400.0</v>
      </c>
      <c r="N197" s="275">
        <v>14.0</v>
      </c>
      <c r="O197" s="60"/>
      <c r="P197" s="50">
        <v>14.0</v>
      </c>
      <c r="Q197" s="271">
        <v>-732.0</v>
      </c>
      <c r="R197" s="276">
        <v>0.001602</v>
      </c>
      <c r="S197" s="271">
        <v>-709.0</v>
      </c>
      <c r="T197" s="271">
        <v>-695.0</v>
      </c>
      <c r="U197" s="62">
        <v>1.0</v>
      </c>
      <c r="V197" s="277">
        <v>0.23</v>
      </c>
      <c r="W197" s="277">
        <v>0.0</v>
      </c>
      <c r="X197" s="271">
        <v>-535.0</v>
      </c>
      <c r="Y197" s="271">
        <v>-160.0</v>
      </c>
      <c r="Z197" s="50" t="b">
        <v>1</v>
      </c>
      <c r="AA197" s="50" t="s">
        <v>138</v>
      </c>
      <c r="AB197" s="50" t="s">
        <v>138</v>
      </c>
    </row>
    <row r="198">
      <c r="A198" s="271" t="s">
        <v>546</v>
      </c>
      <c r="B198" s="271" t="s">
        <v>546</v>
      </c>
      <c r="C198" s="278">
        <v>43803.0</v>
      </c>
      <c r="D198" s="279">
        <v>43821.0</v>
      </c>
      <c r="E198" s="271" t="s">
        <v>268</v>
      </c>
      <c r="F198" s="101" t="s">
        <v>8</v>
      </c>
      <c r="G198" s="271" t="s">
        <v>5</v>
      </c>
      <c r="H198" s="273" t="s">
        <v>965</v>
      </c>
      <c r="I198" s="274">
        <v>25.0</v>
      </c>
      <c r="J198" s="271">
        <v>977.0</v>
      </c>
      <c r="K198" s="271">
        <f t="shared" si="1"/>
        <v>24425</v>
      </c>
      <c r="L198" s="271">
        <v>31510.0</v>
      </c>
      <c r="M198" s="271">
        <v>50.0</v>
      </c>
      <c r="N198" s="275">
        <v>29.0</v>
      </c>
      <c r="O198" s="60"/>
      <c r="P198" s="50">
        <v>29.0</v>
      </c>
      <c r="Q198" s="271">
        <v>-91.0</v>
      </c>
      <c r="R198" s="276">
        <v>0.001665</v>
      </c>
      <c r="S198" s="271">
        <v>-50.0</v>
      </c>
      <c r="T198" s="271">
        <v>-21.0</v>
      </c>
      <c r="U198" s="62">
        <v>1.0</v>
      </c>
      <c r="V198" s="277">
        <v>0.23</v>
      </c>
      <c r="W198" s="277">
        <v>0.0</v>
      </c>
      <c r="X198" s="271">
        <v>-16.0</v>
      </c>
      <c r="Y198" s="271">
        <v>-5.0</v>
      </c>
      <c r="Z198" s="50" t="b">
        <v>1</v>
      </c>
      <c r="AA198" s="50" t="s">
        <v>138</v>
      </c>
      <c r="AB198" s="50" t="s">
        <v>138</v>
      </c>
    </row>
    <row r="199">
      <c r="A199" s="271" t="s">
        <v>177</v>
      </c>
      <c r="B199" s="271" t="s">
        <v>177</v>
      </c>
      <c r="C199" s="278">
        <v>43800.0</v>
      </c>
      <c r="D199" s="278">
        <v>43830.0</v>
      </c>
      <c r="E199" s="271" t="s">
        <v>331</v>
      </c>
      <c r="F199" s="101" t="s">
        <v>8</v>
      </c>
      <c r="G199" s="271" t="s">
        <v>16</v>
      </c>
      <c r="H199" s="273" t="s">
        <v>74</v>
      </c>
      <c r="I199" s="274">
        <v>50.0</v>
      </c>
      <c r="J199" s="271">
        <v>679.0</v>
      </c>
      <c r="K199" s="271">
        <f t="shared" si="1"/>
        <v>33950</v>
      </c>
      <c r="L199" s="271">
        <v>30677.0</v>
      </c>
      <c r="M199" s="271">
        <v>1000.0</v>
      </c>
      <c r="N199" s="275">
        <v>699.0</v>
      </c>
      <c r="O199" s="60"/>
      <c r="P199" s="50">
        <v>699.0</v>
      </c>
      <c r="Q199" s="271">
        <v>1065.0</v>
      </c>
      <c r="R199" s="276">
        <v>0.004577</v>
      </c>
      <c r="S199" s="271">
        <v>1220.0</v>
      </c>
      <c r="T199" s="271">
        <v>1919.0</v>
      </c>
      <c r="U199" s="62">
        <v>1.0</v>
      </c>
      <c r="V199" s="277">
        <v>0.1688</v>
      </c>
      <c r="W199" s="277">
        <v>0.0563</v>
      </c>
      <c r="X199" s="271">
        <v>1487.0</v>
      </c>
      <c r="Y199" s="271">
        <v>432.0</v>
      </c>
      <c r="Z199" s="50" t="b">
        <v>1</v>
      </c>
      <c r="AA199" s="50" t="s">
        <v>138</v>
      </c>
      <c r="AB199" s="50" t="s">
        <v>138</v>
      </c>
    </row>
    <row r="200">
      <c r="A200" s="271" t="s">
        <v>267</v>
      </c>
      <c r="B200" s="271" t="s">
        <v>267</v>
      </c>
      <c r="C200" s="272">
        <v>43820.0</v>
      </c>
      <c r="D200" s="272">
        <v>43850.0</v>
      </c>
      <c r="E200" s="271" t="s">
        <v>268</v>
      </c>
      <c r="F200" s="101" t="s">
        <v>4</v>
      </c>
      <c r="G200" s="271" t="s">
        <v>5</v>
      </c>
      <c r="H200" s="114" t="s">
        <v>964</v>
      </c>
      <c r="I200" s="274">
        <v>10.0</v>
      </c>
      <c r="J200" s="271">
        <v>126.0</v>
      </c>
      <c r="K200" s="271">
        <f t="shared" si="1"/>
        <v>1260</v>
      </c>
      <c r="L200" s="271">
        <v>-2130.0</v>
      </c>
      <c r="M200" s="271">
        <v>-350.0</v>
      </c>
      <c r="N200" s="275">
        <v>2.0</v>
      </c>
      <c r="O200" s="60"/>
      <c r="P200" s="50">
        <v>2.0</v>
      </c>
      <c r="Q200" s="271">
        <v>-136.0</v>
      </c>
      <c r="R200" s="276">
        <v>0.00274</v>
      </c>
      <c r="S200" s="271">
        <v>-132.0</v>
      </c>
      <c r="T200" s="271">
        <v>-130.0</v>
      </c>
      <c r="U200" s="62">
        <v>1.0</v>
      </c>
      <c r="V200" s="277">
        <v>0.35</v>
      </c>
      <c r="W200" s="277">
        <v>0.0</v>
      </c>
      <c r="X200" s="271">
        <v>-85.0</v>
      </c>
      <c r="Y200" s="271">
        <v>-46.0</v>
      </c>
      <c r="Z200" s="50" t="b">
        <v>1</v>
      </c>
      <c r="AA200" s="50" t="s">
        <v>138</v>
      </c>
      <c r="AB200" s="50" t="s">
        <v>138</v>
      </c>
    </row>
    <row r="201">
      <c r="A201" s="271" t="s">
        <v>267</v>
      </c>
      <c r="B201" s="271" t="s">
        <v>267</v>
      </c>
      <c r="C201" s="272">
        <v>43820.0</v>
      </c>
      <c r="D201" s="272">
        <v>43850.0</v>
      </c>
      <c r="E201" s="271" t="s">
        <v>268</v>
      </c>
      <c r="F201" s="101" t="s">
        <v>4</v>
      </c>
      <c r="G201" s="271" t="s">
        <v>5</v>
      </c>
      <c r="H201" s="273" t="s">
        <v>47</v>
      </c>
      <c r="I201" s="274">
        <v>10.0</v>
      </c>
      <c r="J201" s="271">
        <v>99.0</v>
      </c>
      <c r="K201" s="271">
        <f t="shared" si="1"/>
        <v>990</v>
      </c>
      <c r="L201" s="271">
        <v>12568.0</v>
      </c>
      <c r="M201" s="271">
        <v>60.0</v>
      </c>
      <c r="N201" s="275">
        <v>2.0</v>
      </c>
      <c r="O201" s="60"/>
      <c r="P201" s="50">
        <v>2.0</v>
      </c>
      <c r="Q201" s="271">
        <v>144.0</v>
      </c>
      <c r="R201" s="276">
        <v>0.00274</v>
      </c>
      <c r="S201" s="271">
        <v>146.0</v>
      </c>
      <c r="T201" s="271">
        <v>148.0</v>
      </c>
      <c r="U201" s="62">
        <v>1.0</v>
      </c>
      <c r="V201" s="277">
        <v>0.35</v>
      </c>
      <c r="W201" s="277">
        <v>0.0</v>
      </c>
      <c r="X201" s="271">
        <v>96.0</v>
      </c>
      <c r="Y201" s="271">
        <v>52.0</v>
      </c>
      <c r="Z201" s="50" t="b">
        <v>1</v>
      </c>
      <c r="AA201" s="50" t="s">
        <v>138</v>
      </c>
      <c r="AB201" s="50" t="s">
        <v>138</v>
      </c>
    </row>
    <row r="202">
      <c r="A202" s="271" t="s">
        <v>267</v>
      </c>
      <c r="B202" s="271" t="s">
        <v>267</v>
      </c>
      <c r="C202" s="272">
        <v>43820.0</v>
      </c>
      <c r="D202" s="272">
        <v>43850.0</v>
      </c>
      <c r="E202" s="271" t="s">
        <v>268</v>
      </c>
      <c r="F202" s="101" t="s">
        <v>4</v>
      </c>
      <c r="G202" s="271" t="s">
        <v>5</v>
      </c>
      <c r="H202" s="273" t="s">
        <v>965</v>
      </c>
      <c r="I202" s="274">
        <v>25.0</v>
      </c>
      <c r="J202" s="271">
        <v>542.0</v>
      </c>
      <c r="K202" s="271">
        <f t="shared" si="1"/>
        <v>13550</v>
      </c>
      <c r="L202" s="271">
        <v>24787.0</v>
      </c>
      <c r="M202" s="271">
        <v>-625.0</v>
      </c>
      <c r="N202" s="275">
        <v>16.0</v>
      </c>
      <c r="O202" s="60"/>
      <c r="P202" s="50">
        <v>16.0</v>
      </c>
      <c r="Q202" s="271">
        <v>261.0</v>
      </c>
      <c r="R202" s="276">
        <v>0.00274</v>
      </c>
      <c r="S202" s="271">
        <v>298.0</v>
      </c>
      <c r="T202" s="271">
        <v>314.0</v>
      </c>
      <c r="U202" s="62">
        <v>1.0</v>
      </c>
      <c r="V202" s="277">
        <v>0.35</v>
      </c>
      <c r="W202" s="277">
        <v>0.0</v>
      </c>
      <c r="X202" s="271">
        <v>204.0</v>
      </c>
      <c r="Y202" s="271">
        <v>110.0</v>
      </c>
      <c r="Z202" s="50" t="b">
        <v>1</v>
      </c>
      <c r="AA202" s="50" t="s">
        <v>138</v>
      </c>
      <c r="AB202" s="50" t="s">
        <v>138</v>
      </c>
    </row>
    <row r="203">
      <c r="A203" s="271" t="s">
        <v>267</v>
      </c>
      <c r="B203" s="271" t="s">
        <v>267</v>
      </c>
      <c r="C203" s="272">
        <v>43820.0</v>
      </c>
      <c r="D203" s="272">
        <v>43850.0</v>
      </c>
      <c r="E203" s="271" t="s">
        <v>268</v>
      </c>
      <c r="F203" s="101" t="s">
        <v>4</v>
      </c>
      <c r="G203" s="271" t="s">
        <v>5</v>
      </c>
      <c r="H203" s="273" t="s">
        <v>968</v>
      </c>
      <c r="I203" s="274">
        <v>25.0</v>
      </c>
      <c r="J203" s="271">
        <v>113.0</v>
      </c>
      <c r="K203" s="271">
        <f t="shared" si="1"/>
        <v>2825</v>
      </c>
      <c r="L203" s="271">
        <v>15508.0</v>
      </c>
      <c r="M203" s="271">
        <v>1000.0</v>
      </c>
      <c r="N203" s="275">
        <v>4.0</v>
      </c>
      <c r="O203" s="60"/>
      <c r="P203" s="50">
        <v>4.0</v>
      </c>
      <c r="Q203" s="271">
        <v>510.0</v>
      </c>
      <c r="R203" s="276">
        <v>0.00274</v>
      </c>
      <c r="S203" s="271">
        <v>517.0</v>
      </c>
      <c r="T203" s="271">
        <v>521.0</v>
      </c>
      <c r="U203" s="62">
        <v>1.0</v>
      </c>
      <c r="V203" s="277">
        <v>0.35</v>
      </c>
      <c r="W203" s="277">
        <v>0.0</v>
      </c>
      <c r="X203" s="271">
        <v>339.0</v>
      </c>
      <c r="Y203" s="271">
        <v>182.0</v>
      </c>
      <c r="Z203" s="50" t="b">
        <v>1</v>
      </c>
      <c r="AA203" s="50" t="s">
        <v>138</v>
      </c>
      <c r="AB203" s="50" t="s">
        <v>138</v>
      </c>
    </row>
    <row r="204">
      <c r="A204" s="271" t="s">
        <v>267</v>
      </c>
      <c r="B204" s="271" t="s">
        <v>267</v>
      </c>
      <c r="C204" s="272">
        <v>43820.0</v>
      </c>
      <c r="D204" s="272">
        <v>43850.0</v>
      </c>
      <c r="E204" s="271" t="s">
        <v>268</v>
      </c>
      <c r="F204" s="101" t="s">
        <v>4</v>
      </c>
      <c r="G204" s="271" t="s">
        <v>5</v>
      </c>
      <c r="H204" s="273" t="s">
        <v>966</v>
      </c>
      <c r="I204" s="274">
        <v>50.0</v>
      </c>
      <c r="J204" s="271">
        <v>201.0</v>
      </c>
      <c r="K204" s="271">
        <f t="shared" si="1"/>
        <v>10050</v>
      </c>
      <c r="L204" s="271">
        <v>7081.0</v>
      </c>
      <c r="M204" s="271">
        <v>-500.0</v>
      </c>
      <c r="N204" s="275">
        <v>12.0</v>
      </c>
      <c r="O204" s="60"/>
      <c r="P204" s="50">
        <v>12.0</v>
      </c>
      <c r="Q204" s="271">
        <v>-3.0</v>
      </c>
      <c r="R204" s="276">
        <v>0.00274</v>
      </c>
      <c r="S204" s="271">
        <v>24.0</v>
      </c>
      <c r="T204" s="271">
        <v>36.0</v>
      </c>
      <c r="U204" s="62">
        <v>1.0</v>
      </c>
      <c r="V204" s="277">
        <v>0.35</v>
      </c>
      <c r="W204" s="277">
        <v>0.0</v>
      </c>
      <c r="X204" s="271">
        <v>24.0</v>
      </c>
      <c r="Y204" s="271">
        <v>13.0</v>
      </c>
      <c r="Z204" s="50" t="b">
        <v>1</v>
      </c>
      <c r="AA204" s="50" t="s">
        <v>138</v>
      </c>
      <c r="AB204" s="50" t="s">
        <v>138</v>
      </c>
    </row>
    <row r="205">
      <c r="A205" s="271" t="s">
        <v>148</v>
      </c>
      <c r="B205" s="271" t="s">
        <v>148</v>
      </c>
      <c r="C205" s="279">
        <v>43820.0</v>
      </c>
      <c r="D205" s="278">
        <v>43850.0</v>
      </c>
      <c r="E205" s="271" t="s">
        <v>331</v>
      </c>
      <c r="F205" s="101" t="s">
        <v>4</v>
      </c>
      <c r="G205" s="271" t="s">
        <v>5</v>
      </c>
      <c r="H205" s="273" t="s">
        <v>47</v>
      </c>
      <c r="I205" s="274">
        <v>10.0</v>
      </c>
      <c r="J205" s="271">
        <v>60.0</v>
      </c>
      <c r="K205" s="271">
        <f t="shared" si="1"/>
        <v>600</v>
      </c>
      <c r="L205" s="271">
        <v>2690.0</v>
      </c>
      <c r="M205" s="271">
        <v>80.0</v>
      </c>
      <c r="N205" s="275">
        <v>1.0</v>
      </c>
      <c r="O205" s="60"/>
      <c r="P205" s="50">
        <v>1.0</v>
      </c>
      <c r="Q205" s="271">
        <v>-1.0</v>
      </c>
      <c r="R205" s="276">
        <v>0.00274</v>
      </c>
      <c r="S205" s="271">
        <v>0.0</v>
      </c>
      <c r="T205" s="271">
        <v>1.0</v>
      </c>
      <c r="U205" s="62">
        <v>1.0</v>
      </c>
      <c r="V205" s="277">
        <v>0.25</v>
      </c>
      <c r="W205" s="277">
        <v>0.1</v>
      </c>
      <c r="X205" s="271">
        <v>1.0</v>
      </c>
      <c r="Y205" s="271">
        <v>1.0</v>
      </c>
      <c r="Z205" s="50" t="b">
        <v>1</v>
      </c>
      <c r="AA205" s="50" t="s">
        <v>138</v>
      </c>
      <c r="AB205" s="50" t="s">
        <v>138</v>
      </c>
    </row>
    <row r="206">
      <c r="A206" s="271" t="s">
        <v>148</v>
      </c>
      <c r="B206" s="271" t="s">
        <v>148</v>
      </c>
      <c r="C206" s="279">
        <v>43820.0</v>
      </c>
      <c r="D206" s="278">
        <v>43850.0</v>
      </c>
      <c r="E206" s="271" t="s">
        <v>331</v>
      </c>
      <c r="F206" s="101" t="s">
        <v>4</v>
      </c>
      <c r="G206" s="271" t="s">
        <v>5</v>
      </c>
      <c r="H206" s="273" t="s">
        <v>965</v>
      </c>
      <c r="I206" s="274">
        <v>25.0</v>
      </c>
      <c r="J206" s="271">
        <v>904.0</v>
      </c>
      <c r="K206" s="271">
        <f t="shared" si="1"/>
        <v>22600</v>
      </c>
      <c r="L206" s="271">
        <v>8660.0</v>
      </c>
      <c r="M206" s="271">
        <v>-775.0</v>
      </c>
      <c r="N206" s="275">
        <v>27.0</v>
      </c>
      <c r="O206" s="60"/>
      <c r="P206" s="50">
        <v>27.0</v>
      </c>
      <c r="Q206" s="271">
        <v>-1042.0</v>
      </c>
      <c r="R206" s="276">
        <v>0.00274</v>
      </c>
      <c r="S206" s="271">
        <v>-980.0</v>
      </c>
      <c r="T206" s="271">
        <v>-953.0</v>
      </c>
      <c r="U206" s="62">
        <v>1.0</v>
      </c>
      <c r="V206" s="277">
        <v>0.25</v>
      </c>
      <c r="W206" s="277">
        <v>0.1</v>
      </c>
      <c r="X206" s="271">
        <v>-619.0</v>
      </c>
      <c r="Y206" s="271">
        <v>-333.0</v>
      </c>
      <c r="Z206" s="50" t="b">
        <v>1</v>
      </c>
      <c r="AA206" s="50" t="s">
        <v>138</v>
      </c>
      <c r="AB206" s="50" t="s">
        <v>138</v>
      </c>
    </row>
    <row r="207">
      <c r="A207" s="271" t="s">
        <v>148</v>
      </c>
      <c r="B207" s="271" t="s">
        <v>148</v>
      </c>
      <c r="C207" s="279">
        <v>43820.0</v>
      </c>
      <c r="D207" s="278">
        <v>43850.0</v>
      </c>
      <c r="E207" s="271" t="s">
        <v>331</v>
      </c>
      <c r="F207" s="101" t="s">
        <v>4</v>
      </c>
      <c r="G207" s="271" t="s">
        <v>5</v>
      </c>
      <c r="H207" s="273" t="s">
        <v>968</v>
      </c>
      <c r="I207" s="274">
        <v>25.0</v>
      </c>
      <c r="J207" s="271">
        <v>326.0</v>
      </c>
      <c r="K207" s="271">
        <f t="shared" si="1"/>
        <v>8150</v>
      </c>
      <c r="L207" s="271">
        <v>6286.0</v>
      </c>
      <c r="M207" s="271">
        <v>675.0</v>
      </c>
      <c r="N207" s="275">
        <v>11.0</v>
      </c>
      <c r="O207" s="60"/>
      <c r="P207" s="50">
        <v>11.0</v>
      </c>
      <c r="Q207" s="271">
        <v>-292.0</v>
      </c>
      <c r="R207" s="276">
        <v>0.00274</v>
      </c>
      <c r="S207" s="271">
        <v>-270.0</v>
      </c>
      <c r="T207" s="271">
        <v>-259.0</v>
      </c>
      <c r="U207" s="62">
        <v>1.0</v>
      </c>
      <c r="V207" s="277">
        <v>0.25</v>
      </c>
      <c r="W207" s="277">
        <v>0.1</v>
      </c>
      <c r="X207" s="271">
        <v>-168.0</v>
      </c>
      <c r="Y207" s="271">
        <v>-91.0</v>
      </c>
      <c r="Z207" s="50" t="b">
        <v>1</v>
      </c>
      <c r="AA207" s="50" t="s">
        <v>138</v>
      </c>
      <c r="AB207" s="50" t="s">
        <v>138</v>
      </c>
    </row>
    <row r="208">
      <c r="A208" s="271" t="s">
        <v>148</v>
      </c>
      <c r="B208" s="271" t="s">
        <v>148</v>
      </c>
      <c r="C208" s="279">
        <v>43820.0</v>
      </c>
      <c r="D208" s="278">
        <v>43850.0</v>
      </c>
      <c r="E208" s="271" t="s">
        <v>331</v>
      </c>
      <c r="F208" s="101" t="s">
        <v>4</v>
      </c>
      <c r="G208" s="271" t="s">
        <v>5</v>
      </c>
      <c r="H208" s="273" t="s">
        <v>966</v>
      </c>
      <c r="I208" s="274">
        <v>50.0</v>
      </c>
      <c r="J208" s="271">
        <v>1983.0</v>
      </c>
      <c r="K208" s="271">
        <f t="shared" si="1"/>
        <v>99150</v>
      </c>
      <c r="L208" s="271">
        <v>82174.0</v>
      </c>
      <c r="M208" s="271">
        <v>10650.0</v>
      </c>
      <c r="N208" s="275">
        <v>119.0</v>
      </c>
      <c r="O208" s="60"/>
      <c r="P208" s="50">
        <v>119.0</v>
      </c>
      <c r="Q208" s="271">
        <v>1335.0</v>
      </c>
      <c r="R208" s="276">
        <v>0.00274</v>
      </c>
      <c r="S208" s="271">
        <v>1606.0</v>
      </c>
      <c r="T208" s="271">
        <v>1725.0</v>
      </c>
      <c r="U208" s="62">
        <v>1.0</v>
      </c>
      <c r="V208" s="277">
        <v>0.25</v>
      </c>
      <c r="W208" s="277">
        <v>0.1</v>
      </c>
      <c r="X208" s="271">
        <v>1122.0</v>
      </c>
      <c r="Y208" s="271">
        <v>604.0</v>
      </c>
      <c r="Z208" s="50" t="b">
        <v>1</v>
      </c>
      <c r="AA208" s="50" t="s">
        <v>138</v>
      </c>
      <c r="AB208" s="50" t="s">
        <v>138</v>
      </c>
    </row>
    <row r="209">
      <c r="A209" s="271" t="s">
        <v>148</v>
      </c>
      <c r="B209" s="271" t="s">
        <v>148</v>
      </c>
      <c r="C209" s="279">
        <v>43820.0</v>
      </c>
      <c r="D209" s="278">
        <v>43850.0</v>
      </c>
      <c r="E209" s="271" t="s">
        <v>331</v>
      </c>
      <c r="F209" s="101" t="s">
        <v>4</v>
      </c>
      <c r="G209" s="271" t="s">
        <v>5</v>
      </c>
      <c r="H209" s="273" t="s">
        <v>967</v>
      </c>
      <c r="I209" s="274">
        <v>50.0</v>
      </c>
      <c r="J209" s="271">
        <v>162.0</v>
      </c>
      <c r="K209" s="271">
        <f t="shared" si="1"/>
        <v>8100</v>
      </c>
      <c r="L209" s="271">
        <v>2756.0</v>
      </c>
      <c r="M209" s="271">
        <v>-50.0</v>
      </c>
      <c r="N209" s="275">
        <v>11.0</v>
      </c>
      <c r="O209" s="60"/>
      <c r="P209" s="50">
        <v>11.0</v>
      </c>
      <c r="Q209" s="271">
        <v>-318.0</v>
      </c>
      <c r="R209" s="276">
        <v>0.00274</v>
      </c>
      <c r="S209" s="271">
        <v>-296.0</v>
      </c>
      <c r="T209" s="271">
        <v>-285.0</v>
      </c>
      <c r="U209" s="62">
        <v>1.0</v>
      </c>
      <c r="V209" s="277">
        <v>0.25</v>
      </c>
      <c r="W209" s="277">
        <v>0.1</v>
      </c>
      <c r="X209" s="271">
        <v>-185.0</v>
      </c>
      <c r="Y209" s="271">
        <v>-100.0</v>
      </c>
      <c r="Z209" s="50" t="b">
        <v>1</v>
      </c>
      <c r="AA209" s="50" t="s">
        <v>138</v>
      </c>
      <c r="AB209" s="50" t="s">
        <v>138</v>
      </c>
    </row>
    <row r="210">
      <c r="A210" s="271" t="s">
        <v>156</v>
      </c>
      <c r="B210" s="271" t="s">
        <v>156</v>
      </c>
      <c r="C210" s="279">
        <v>43820.0</v>
      </c>
      <c r="D210" s="278">
        <v>43850.0</v>
      </c>
      <c r="E210" s="271" t="s">
        <v>268</v>
      </c>
      <c r="F210" s="101" t="s">
        <v>4</v>
      </c>
      <c r="G210" s="271" t="s">
        <v>5</v>
      </c>
      <c r="H210" s="273" t="s">
        <v>954</v>
      </c>
      <c r="I210" s="274">
        <v>100.0</v>
      </c>
      <c r="J210" s="271">
        <v>806.0</v>
      </c>
      <c r="K210" s="271">
        <f t="shared" si="1"/>
        <v>80600</v>
      </c>
      <c r="L210" s="271">
        <v>8199.0</v>
      </c>
      <c r="M210" s="271">
        <v>-7900.0</v>
      </c>
      <c r="N210" s="275">
        <v>81.0</v>
      </c>
      <c r="O210" s="60"/>
      <c r="P210" s="50">
        <v>81.0</v>
      </c>
      <c r="Q210" s="271">
        <v>-2783.0</v>
      </c>
      <c r="R210" s="276">
        <v>0.00274</v>
      </c>
      <c r="S210" s="271">
        <v>-2563.0</v>
      </c>
      <c r="T210" s="271">
        <v>-2482.0</v>
      </c>
      <c r="U210" s="62">
        <v>1.0</v>
      </c>
      <c r="V210" s="277">
        <v>0.35</v>
      </c>
      <c r="W210" s="277">
        <v>0.0</v>
      </c>
      <c r="X210" s="271">
        <v>-1613.0</v>
      </c>
      <c r="Y210" s="271">
        <v>-869.0</v>
      </c>
      <c r="Z210" s="50" t="b">
        <v>1</v>
      </c>
      <c r="AA210" s="50" t="s">
        <v>138</v>
      </c>
      <c r="AB210" s="50" t="s">
        <v>138</v>
      </c>
    </row>
    <row r="211">
      <c r="A211" s="271" t="s">
        <v>156</v>
      </c>
      <c r="B211" s="271" t="s">
        <v>156</v>
      </c>
      <c r="C211" s="279">
        <v>43820.0</v>
      </c>
      <c r="D211" s="278">
        <v>43850.0</v>
      </c>
      <c r="E211" s="271" t="s">
        <v>268</v>
      </c>
      <c r="F211" s="101" t="s">
        <v>4</v>
      </c>
      <c r="G211" s="271" t="s">
        <v>5</v>
      </c>
      <c r="H211" s="273" t="s">
        <v>966</v>
      </c>
      <c r="I211" s="274">
        <v>50.0</v>
      </c>
      <c r="J211" s="271">
        <v>2332.0</v>
      </c>
      <c r="K211" s="271">
        <f t="shared" si="1"/>
        <v>116600</v>
      </c>
      <c r="L211" s="271">
        <v>73410.0</v>
      </c>
      <c r="M211" s="271">
        <v>-450.0</v>
      </c>
      <c r="N211" s="275">
        <v>140.0</v>
      </c>
      <c r="O211" s="60"/>
      <c r="P211" s="50">
        <v>140.0</v>
      </c>
      <c r="Q211" s="271">
        <v>-401.0</v>
      </c>
      <c r="R211" s="276">
        <v>0.00274</v>
      </c>
      <c r="S211" s="271">
        <v>-82.0</v>
      </c>
      <c r="T211" s="271">
        <v>58.0</v>
      </c>
      <c r="U211" s="62">
        <v>1.0</v>
      </c>
      <c r="V211" s="277">
        <v>0.35</v>
      </c>
      <c r="W211" s="277">
        <v>0.0</v>
      </c>
      <c r="X211" s="271">
        <v>38.0</v>
      </c>
      <c r="Y211" s="271">
        <v>20.0</v>
      </c>
      <c r="Z211" s="50" t="b">
        <v>1</v>
      </c>
      <c r="AA211" s="50" t="s">
        <v>138</v>
      </c>
      <c r="AB211" s="50" t="s">
        <v>138</v>
      </c>
    </row>
    <row r="212">
      <c r="A212" s="271" t="s">
        <v>156</v>
      </c>
      <c r="B212" s="271" t="s">
        <v>156</v>
      </c>
      <c r="C212" s="279">
        <v>43820.0</v>
      </c>
      <c r="D212" s="278">
        <v>43850.0</v>
      </c>
      <c r="E212" s="271" t="s">
        <v>268</v>
      </c>
      <c r="F212" s="101" t="s">
        <v>4</v>
      </c>
      <c r="G212" s="271" t="s">
        <v>5</v>
      </c>
      <c r="H212" s="273" t="s">
        <v>965</v>
      </c>
      <c r="I212" s="274">
        <v>25.0</v>
      </c>
      <c r="J212" s="271">
        <v>38.0</v>
      </c>
      <c r="K212" s="271">
        <f t="shared" si="1"/>
        <v>950</v>
      </c>
      <c r="L212" s="271">
        <v>4328.0</v>
      </c>
      <c r="M212" s="271">
        <v>50.0</v>
      </c>
      <c r="N212" s="275">
        <v>1.0</v>
      </c>
      <c r="O212" s="60"/>
      <c r="P212" s="50">
        <v>1.0</v>
      </c>
      <c r="Q212" s="271">
        <v>149.0</v>
      </c>
      <c r="R212" s="276">
        <v>0.00274</v>
      </c>
      <c r="S212" s="271">
        <v>152.0</v>
      </c>
      <c r="T212" s="271">
        <v>153.0</v>
      </c>
      <c r="U212" s="62">
        <v>1.0</v>
      </c>
      <c r="V212" s="277">
        <v>0.35</v>
      </c>
      <c r="W212" s="277">
        <v>0.0</v>
      </c>
      <c r="X212" s="271">
        <v>99.0</v>
      </c>
      <c r="Y212" s="271">
        <v>54.0</v>
      </c>
      <c r="Z212" s="50" t="b">
        <v>1</v>
      </c>
      <c r="AA212" s="50" t="s">
        <v>138</v>
      </c>
      <c r="AB212" s="50" t="s">
        <v>138</v>
      </c>
    </row>
    <row r="213">
      <c r="A213" s="271" t="s">
        <v>216</v>
      </c>
      <c r="B213" s="271" t="s">
        <v>942</v>
      </c>
      <c r="C213" s="278">
        <v>43820.0</v>
      </c>
      <c r="D213" s="278">
        <v>43850.0</v>
      </c>
      <c r="E213" s="271" t="s">
        <v>268</v>
      </c>
      <c r="F213" s="101" t="s">
        <v>4</v>
      </c>
      <c r="G213" s="271" t="s">
        <v>22</v>
      </c>
      <c r="H213" s="273" t="s">
        <v>68</v>
      </c>
      <c r="I213" s="274">
        <v>25.0</v>
      </c>
      <c r="J213" s="271">
        <v>345.0</v>
      </c>
      <c r="K213" s="271">
        <f t="shared" si="1"/>
        <v>8625</v>
      </c>
      <c r="L213" s="271">
        <v>27802.0</v>
      </c>
      <c r="M213" s="271">
        <v>300.0</v>
      </c>
      <c r="N213" s="275">
        <v>0.0</v>
      </c>
      <c r="O213" s="60"/>
      <c r="P213" s="50">
        <v>0.0</v>
      </c>
      <c r="Q213" s="271">
        <v>634.0</v>
      </c>
      <c r="R213" s="276">
        <v>0.00274</v>
      </c>
      <c r="S213" s="271">
        <v>658.0</v>
      </c>
      <c r="T213" s="271">
        <v>658.0</v>
      </c>
      <c r="U213" s="62">
        <v>1.11</v>
      </c>
      <c r="V213" s="277">
        <v>0.3</v>
      </c>
      <c r="W213" s="277">
        <v>0.0</v>
      </c>
      <c r="X213" s="271">
        <v>511.0</v>
      </c>
      <c r="Y213" s="271">
        <v>219.0</v>
      </c>
      <c r="Z213" s="50" t="b">
        <v>1</v>
      </c>
      <c r="AA213" s="50" t="s">
        <v>138</v>
      </c>
      <c r="AB213" s="50" t="s">
        <v>140</v>
      </c>
    </row>
    <row r="214">
      <c r="A214" s="271" t="s">
        <v>216</v>
      </c>
      <c r="B214" s="271" t="s">
        <v>216</v>
      </c>
      <c r="C214" s="279">
        <v>43820.0</v>
      </c>
      <c r="D214" s="278">
        <v>43850.0</v>
      </c>
      <c r="E214" s="271" t="s">
        <v>268</v>
      </c>
      <c r="F214" s="101" t="s">
        <v>4</v>
      </c>
      <c r="G214" s="271" t="s">
        <v>5</v>
      </c>
      <c r="H214" s="114" t="s">
        <v>964</v>
      </c>
      <c r="I214" s="274">
        <v>10.0</v>
      </c>
      <c r="J214" s="271">
        <v>6.0</v>
      </c>
      <c r="K214" s="271">
        <f t="shared" si="1"/>
        <v>60</v>
      </c>
      <c r="L214" s="271">
        <v>-876.0</v>
      </c>
      <c r="M214" s="271">
        <v>-40.0</v>
      </c>
      <c r="N214" s="275">
        <v>0.0</v>
      </c>
      <c r="O214" s="60"/>
      <c r="P214" s="50">
        <v>0.0</v>
      </c>
      <c r="Q214" s="271">
        <v>-21.0</v>
      </c>
      <c r="R214" s="276">
        <v>0.00274</v>
      </c>
      <c r="S214" s="271">
        <v>-21.0</v>
      </c>
      <c r="T214" s="271">
        <v>-21.0</v>
      </c>
      <c r="U214" s="62">
        <v>1.0</v>
      </c>
      <c r="V214" s="277">
        <v>0.3</v>
      </c>
      <c r="W214" s="277">
        <v>0.0</v>
      </c>
      <c r="X214" s="271">
        <v>-14.0</v>
      </c>
      <c r="Y214" s="271">
        <v>-6.0</v>
      </c>
      <c r="Z214" s="50" t="b">
        <v>1</v>
      </c>
      <c r="AA214" s="50" t="s">
        <v>138</v>
      </c>
      <c r="AB214" s="50" t="s">
        <v>138</v>
      </c>
    </row>
    <row r="215">
      <c r="A215" s="271" t="s">
        <v>216</v>
      </c>
      <c r="B215" s="271" t="s">
        <v>216</v>
      </c>
      <c r="C215" s="279">
        <v>43820.0</v>
      </c>
      <c r="D215" s="278">
        <v>43850.0</v>
      </c>
      <c r="E215" s="271" t="s">
        <v>268</v>
      </c>
      <c r="F215" s="101" t="s">
        <v>4</v>
      </c>
      <c r="G215" s="271" t="s">
        <v>5</v>
      </c>
      <c r="H215" s="273" t="s">
        <v>965</v>
      </c>
      <c r="I215" s="274">
        <v>25.0</v>
      </c>
      <c r="J215" s="271">
        <v>1048.0</v>
      </c>
      <c r="K215" s="271">
        <f t="shared" si="1"/>
        <v>26200</v>
      </c>
      <c r="L215" s="271">
        <v>42595.0</v>
      </c>
      <c r="M215" s="271">
        <v>50.0</v>
      </c>
      <c r="N215" s="275">
        <v>0.0</v>
      </c>
      <c r="O215" s="60"/>
      <c r="P215" s="50">
        <v>0.0</v>
      </c>
      <c r="Q215" s="271">
        <v>252.0</v>
      </c>
      <c r="R215" s="276">
        <v>0.00274</v>
      </c>
      <c r="S215" s="271">
        <v>324.0</v>
      </c>
      <c r="T215" s="271">
        <v>324.0</v>
      </c>
      <c r="U215" s="62">
        <v>1.0</v>
      </c>
      <c r="V215" s="277">
        <v>0.3</v>
      </c>
      <c r="W215" s="277">
        <v>0.0</v>
      </c>
      <c r="X215" s="271">
        <v>227.0</v>
      </c>
      <c r="Y215" s="271">
        <v>97.0</v>
      </c>
      <c r="Z215" s="50" t="b">
        <v>1</v>
      </c>
      <c r="AA215" s="50" t="s">
        <v>138</v>
      </c>
      <c r="AB215" s="50" t="s">
        <v>138</v>
      </c>
    </row>
    <row r="216">
      <c r="A216" s="271" t="s">
        <v>216</v>
      </c>
      <c r="B216" s="271" t="s">
        <v>216</v>
      </c>
      <c r="C216" s="279">
        <v>43820.0</v>
      </c>
      <c r="D216" s="278">
        <v>43850.0</v>
      </c>
      <c r="E216" s="271" t="s">
        <v>268</v>
      </c>
      <c r="F216" s="101" t="s">
        <v>4</v>
      </c>
      <c r="G216" s="271" t="s">
        <v>5</v>
      </c>
      <c r="H216" s="273" t="s">
        <v>968</v>
      </c>
      <c r="I216" s="274">
        <v>25.0</v>
      </c>
      <c r="J216" s="271">
        <v>457.0</v>
      </c>
      <c r="K216" s="271">
        <f t="shared" si="1"/>
        <v>11425</v>
      </c>
      <c r="L216" s="271">
        <v>14105.0</v>
      </c>
      <c r="M216" s="271">
        <v>-250.0</v>
      </c>
      <c r="N216" s="275">
        <v>0.0</v>
      </c>
      <c r="O216" s="60"/>
      <c r="P216" s="50">
        <v>0.0</v>
      </c>
      <c r="Q216" s="271">
        <v>-180.0</v>
      </c>
      <c r="R216" s="276">
        <v>0.00274</v>
      </c>
      <c r="S216" s="271">
        <v>-149.0</v>
      </c>
      <c r="T216" s="271">
        <v>-149.0</v>
      </c>
      <c r="U216" s="62">
        <v>1.0</v>
      </c>
      <c r="V216" s="277">
        <v>0.3</v>
      </c>
      <c r="W216" s="277">
        <v>0.0</v>
      </c>
      <c r="X216" s="271">
        <v>-104.0</v>
      </c>
      <c r="Y216" s="271">
        <v>-45.0</v>
      </c>
      <c r="Z216" s="50" t="b">
        <v>1</v>
      </c>
      <c r="AA216" s="50" t="s">
        <v>138</v>
      </c>
      <c r="AB216" s="50" t="s">
        <v>138</v>
      </c>
    </row>
    <row r="217">
      <c r="A217" s="271" t="s">
        <v>177</v>
      </c>
      <c r="B217" s="271" t="s">
        <v>177</v>
      </c>
      <c r="C217" s="279">
        <v>43822.0</v>
      </c>
      <c r="D217" s="278">
        <v>43861.0</v>
      </c>
      <c r="E217" s="271" t="s">
        <v>331</v>
      </c>
      <c r="F217" s="101" t="s">
        <v>8</v>
      </c>
      <c r="G217" s="271" t="s">
        <v>5</v>
      </c>
      <c r="H217" s="273" t="s">
        <v>954</v>
      </c>
      <c r="I217" s="274">
        <v>100.0</v>
      </c>
      <c r="J217" s="271">
        <v>3111.0</v>
      </c>
      <c r="K217" s="271">
        <f t="shared" si="1"/>
        <v>311100</v>
      </c>
      <c r="L217" s="271">
        <v>77678.0</v>
      </c>
      <c r="M217" s="271">
        <v>-2700.0</v>
      </c>
      <c r="N217" s="275">
        <v>311.0</v>
      </c>
      <c r="O217" s="60"/>
      <c r="P217" s="50">
        <v>311.0</v>
      </c>
      <c r="Q217" s="271">
        <v>-2118.0</v>
      </c>
      <c r="R217" s="276">
        <v>0.004323</v>
      </c>
      <c r="S217" s="271">
        <v>-773.0</v>
      </c>
      <c r="T217" s="271">
        <v>-462.0</v>
      </c>
      <c r="U217" s="62">
        <v>1.0</v>
      </c>
      <c r="V217" s="277">
        <v>0.1688</v>
      </c>
      <c r="W217" s="277">
        <v>0.0563</v>
      </c>
      <c r="X217" s="271">
        <v>-358.0</v>
      </c>
      <c r="Y217" s="271">
        <v>-104.0</v>
      </c>
      <c r="Z217" s="50" t="b">
        <v>1</v>
      </c>
      <c r="AA217" s="50" t="s">
        <v>138</v>
      </c>
      <c r="AB217" s="50" t="s">
        <v>138</v>
      </c>
    </row>
    <row r="218">
      <c r="A218" s="271" t="s">
        <v>459</v>
      </c>
      <c r="B218" s="271" t="s">
        <v>912</v>
      </c>
      <c r="C218" s="278">
        <v>43822.0</v>
      </c>
      <c r="D218" s="278">
        <v>43861.0</v>
      </c>
      <c r="E218" s="271" t="s">
        <v>268</v>
      </c>
      <c r="F218" s="101" t="s">
        <v>8</v>
      </c>
      <c r="G218" s="271" t="s">
        <v>9</v>
      </c>
      <c r="H218" s="273" t="s">
        <v>55</v>
      </c>
      <c r="I218" s="274">
        <v>10.0</v>
      </c>
      <c r="J218" s="271">
        <v>3140.0</v>
      </c>
      <c r="K218" s="271">
        <f t="shared" si="1"/>
        <v>31400</v>
      </c>
      <c r="L218" s="271">
        <v>217287.0</v>
      </c>
      <c r="M218" s="271">
        <v>1050.0</v>
      </c>
      <c r="N218" s="275">
        <v>705.0</v>
      </c>
      <c r="O218" s="60"/>
      <c r="P218" s="50">
        <v>705.0</v>
      </c>
      <c r="Q218" s="271">
        <v>1167.0</v>
      </c>
      <c r="R218" s="276">
        <v>0.00451</v>
      </c>
      <c r="S218" s="271">
        <v>1309.0</v>
      </c>
      <c r="T218" s="271">
        <v>2014.0</v>
      </c>
      <c r="U218" s="62">
        <v>1.0</v>
      </c>
      <c r="V218" s="277">
        <v>0.3</v>
      </c>
      <c r="W218" s="277">
        <v>0.0</v>
      </c>
      <c r="X218" s="271">
        <v>1410.0</v>
      </c>
      <c r="Y218" s="271">
        <v>604.0</v>
      </c>
      <c r="Z218" s="50" t="b">
        <v>1</v>
      </c>
      <c r="AA218" s="50" t="s">
        <v>140</v>
      </c>
      <c r="AB218" s="50" t="s">
        <v>140</v>
      </c>
    </row>
    <row r="219">
      <c r="A219" s="271" t="s">
        <v>546</v>
      </c>
      <c r="B219" s="271" t="s">
        <v>546</v>
      </c>
      <c r="C219" s="279">
        <v>43822.0</v>
      </c>
      <c r="D219" s="278">
        <v>43861.0</v>
      </c>
      <c r="E219" s="271" t="s">
        <v>268</v>
      </c>
      <c r="F219" s="101" t="s">
        <v>8</v>
      </c>
      <c r="G219" s="271" t="s">
        <v>5</v>
      </c>
      <c r="H219" s="273" t="s">
        <v>965</v>
      </c>
      <c r="I219" s="274">
        <v>25.0</v>
      </c>
      <c r="J219" s="271">
        <v>2556.0</v>
      </c>
      <c r="K219" s="271">
        <f t="shared" si="1"/>
        <v>63900</v>
      </c>
      <c r="L219" s="271">
        <v>144127.0</v>
      </c>
      <c r="M219" s="271">
        <v>1150.0</v>
      </c>
      <c r="N219" s="275">
        <v>77.0</v>
      </c>
      <c r="O219" s="60"/>
      <c r="P219" s="50">
        <v>77.0</v>
      </c>
      <c r="Q219" s="271">
        <v>2457.0</v>
      </c>
      <c r="R219" s="276">
        <v>0.004523</v>
      </c>
      <c r="S219" s="271">
        <v>2746.0</v>
      </c>
      <c r="T219" s="271">
        <v>2823.0</v>
      </c>
      <c r="U219" s="62">
        <v>1.0</v>
      </c>
      <c r="V219" s="277">
        <v>0.23</v>
      </c>
      <c r="W219" s="277">
        <v>0.0</v>
      </c>
      <c r="X219" s="271">
        <v>2174.0</v>
      </c>
      <c r="Y219" s="271">
        <v>649.0</v>
      </c>
      <c r="Z219" s="50" t="b">
        <v>1</v>
      </c>
      <c r="AA219" s="50" t="s">
        <v>138</v>
      </c>
      <c r="AB219" s="50" t="s">
        <v>138</v>
      </c>
    </row>
    <row r="220">
      <c r="A220" s="271" t="s">
        <v>181</v>
      </c>
      <c r="B220" s="271" t="s">
        <v>181</v>
      </c>
      <c r="C220" s="278">
        <v>43831.0</v>
      </c>
      <c r="D220" s="278">
        <v>43871.0</v>
      </c>
      <c r="E220" s="271" t="s">
        <v>881</v>
      </c>
      <c r="F220" s="101" t="s">
        <v>12</v>
      </c>
      <c r="G220" s="271" t="s">
        <v>5</v>
      </c>
      <c r="H220" s="273" t="s">
        <v>954</v>
      </c>
      <c r="I220" s="274">
        <v>100.0</v>
      </c>
      <c r="J220" s="271">
        <v>2552.0</v>
      </c>
      <c r="K220" s="271">
        <f t="shared" si="1"/>
        <v>255200</v>
      </c>
      <c r="L220" s="271">
        <v>122000.0</v>
      </c>
      <c r="M220" s="271">
        <v>10000.0</v>
      </c>
      <c r="N220" s="275">
        <v>0.0</v>
      </c>
      <c r="O220" s="60"/>
      <c r="P220" s="50">
        <v>0.0</v>
      </c>
      <c r="Q220" s="271">
        <v>9269.0</v>
      </c>
      <c r="R220" s="276">
        <v>0.0</v>
      </c>
      <c r="S220" s="271">
        <v>9269.0</v>
      </c>
      <c r="T220" s="271">
        <v>10000.0</v>
      </c>
      <c r="U220" s="62">
        <v>1.0</v>
      </c>
      <c r="V220" s="277">
        <v>0.0</v>
      </c>
      <c r="W220" s="277">
        <v>0.12</v>
      </c>
      <c r="X220" s="271">
        <v>8800.0</v>
      </c>
      <c r="Y220" s="271">
        <v>1200.0</v>
      </c>
      <c r="Z220" s="50" t="b">
        <v>1</v>
      </c>
      <c r="AA220" s="50" t="s">
        <v>138</v>
      </c>
      <c r="AB220" s="50" t="s">
        <v>138</v>
      </c>
    </row>
    <row r="221">
      <c r="A221" s="271" t="s">
        <v>267</v>
      </c>
      <c r="B221" s="271" t="s">
        <v>267</v>
      </c>
      <c r="C221" s="272">
        <v>43851.0</v>
      </c>
      <c r="D221" s="272">
        <v>43881.0</v>
      </c>
      <c r="E221" s="271" t="s">
        <v>268</v>
      </c>
      <c r="F221" s="101" t="s">
        <v>4</v>
      </c>
      <c r="G221" s="271" t="s">
        <v>5</v>
      </c>
      <c r="H221" s="114" t="s">
        <v>964</v>
      </c>
      <c r="I221" s="274">
        <v>10.0</v>
      </c>
      <c r="J221" s="271">
        <v>233.0</v>
      </c>
      <c r="K221" s="271">
        <f t="shared" si="1"/>
        <v>2330</v>
      </c>
      <c r="L221" s="271">
        <v>15021.0</v>
      </c>
      <c r="M221" s="271">
        <v>-40.0</v>
      </c>
      <c r="N221" s="275">
        <v>3.0</v>
      </c>
      <c r="O221" s="60"/>
      <c r="P221" s="50">
        <v>3.0</v>
      </c>
      <c r="Q221" s="271">
        <v>103.0</v>
      </c>
      <c r="R221" s="276">
        <v>0.00169</v>
      </c>
      <c r="S221" s="271">
        <v>107.0</v>
      </c>
      <c r="T221" s="271">
        <v>110.0</v>
      </c>
      <c r="U221" s="62">
        <v>1.0</v>
      </c>
      <c r="V221" s="277">
        <v>0.35</v>
      </c>
      <c r="W221" s="277">
        <v>0.0</v>
      </c>
      <c r="X221" s="271">
        <v>72.0</v>
      </c>
      <c r="Y221" s="271">
        <v>39.0</v>
      </c>
      <c r="Z221" s="50" t="b">
        <v>1</v>
      </c>
      <c r="AA221" s="50" t="s">
        <v>138</v>
      </c>
      <c r="AB221" s="50" t="s">
        <v>138</v>
      </c>
    </row>
    <row r="222">
      <c r="A222" s="271" t="s">
        <v>267</v>
      </c>
      <c r="B222" s="271" t="s">
        <v>267</v>
      </c>
      <c r="C222" s="272">
        <v>43851.0</v>
      </c>
      <c r="D222" s="272">
        <v>43881.0</v>
      </c>
      <c r="E222" s="271" t="s">
        <v>268</v>
      </c>
      <c r="F222" s="101" t="s">
        <v>4</v>
      </c>
      <c r="G222" s="271" t="s">
        <v>5</v>
      </c>
      <c r="H222" s="273" t="s">
        <v>47</v>
      </c>
      <c r="I222" s="274">
        <v>10.0</v>
      </c>
      <c r="J222" s="271">
        <v>94.0</v>
      </c>
      <c r="K222" s="271">
        <f t="shared" si="1"/>
        <v>940</v>
      </c>
      <c r="L222" s="271">
        <v>7779.0</v>
      </c>
      <c r="M222" s="271">
        <v>-20.0</v>
      </c>
      <c r="N222" s="275">
        <v>2.0</v>
      </c>
      <c r="O222" s="60"/>
      <c r="P222" s="50">
        <v>2.0</v>
      </c>
      <c r="Q222" s="271">
        <v>63.0</v>
      </c>
      <c r="R222" s="276">
        <v>0.00169</v>
      </c>
      <c r="S222" s="271">
        <v>65.0</v>
      </c>
      <c r="T222" s="271">
        <v>67.0</v>
      </c>
      <c r="U222" s="62">
        <v>1.0</v>
      </c>
      <c r="V222" s="277">
        <v>0.35</v>
      </c>
      <c r="W222" s="277">
        <v>0.0</v>
      </c>
      <c r="X222" s="271">
        <v>44.0</v>
      </c>
      <c r="Y222" s="271">
        <v>23.0</v>
      </c>
      <c r="Z222" s="50" t="b">
        <v>1</v>
      </c>
      <c r="AA222" s="50" t="s">
        <v>138</v>
      </c>
      <c r="AB222" s="50" t="s">
        <v>138</v>
      </c>
    </row>
    <row r="223">
      <c r="A223" s="271" t="s">
        <v>267</v>
      </c>
      <c r="B223" s="271" t="s">
        <v>267</v>
      </c>
      <c r="C223" s="272">
        <v>43851.0</v>
      </c>
      <c r="D223" s="272">
        <v>43881.0</v>
      </c>
      <c r="E223" s="271" t="s">
        <v>268</v>
      </c>
      <c r="F223" s="101" t="s">
        <v>4</v>
      </c>
      <c r="G223" s="271" t="s">
        <v>5</v>
      </c>
      <c r="H223" s="273" t="s">
        <v>965</v>
      </c>
      <c r="I223" s="274">
        <v>25.0</v>
      </c>
      <c r="J223" s="271">
        <v>2129.0</v>
      </c>
      <c r="K223" s="271">
        <f t="shared" si="1"/>
        <v>53225</v>
      </c>
      <c r="L223" s="271">
        <v>107564.0</v>
      </c>
      <c r="M223" s="271">
        <v>2525.0</v>
      </c>
      <c r="N223" s="275">
        <v>64.0</v>
      </c>
      <c r="O223" s="60"/>
      <c r="P223" s="50">
        <v>64.0</v>
      </c>
      <c r="Q223" s="271">
        <v>1620.0</v>
      </c>
      <c r="R223" s="276">
        <v>0.00169</v>
      </c>
      <c r="S223" s="271">
        <v>1710.0</v>
      </c>
      <c r="T223" s="271">
        <v>1774.0</v>
      </c>
      <c r="U223" s="62">
        <v>1.0</v>
      </c>
      <c r="V223" s="277">
        <v>0.35</v>
      </c>
      <c r="W223" s="277">
        <v>0.0</v>
      </c>
      <c r="X223" s="271">
        <v>1153.0</v>
      </c>
      <c r="Y223" s="271">
        <v>621.0</v>
      </c>
      <c r="Z223" s="50" t="b">
        <v>1</v>
      </c>
      <c r="AA223" s="50" t="s">
        <v>138</v>
      </c>
      <c r="AB223" s="50" t="s">
        <v>138</v>
      </c>
    </row>
    <row r="224">
      <c r="A224" s="271" t="s">
        <v>267</v>
      </c>
      <c r="B224" s="271" t="s">
        <v>267</v>
      </c>
      <c r="C224" s="272">
        <v>43851.0</v>
      </c>
      <c r="D224" s="272">
        <v>43881.0</v>
      </c>
      <c r="E224" s="271" t="s">
        <v>268</v>
      </c>
      <c r="F224" s="101" t="s">
        <v>4</v>
      </c>
      <c r="G224" s="271" t="s">
        <v>5</v>
      </c>
      <c r="H224" s="273" t="s">
        <v>954</v>
      </c>
      <c r="I224" s="274">
        <v>100.0</v>
      </c>
      <c r="J224" s="271">
        <v>1.0</v>
      </c>
      <c r="K224" s="271">
        <f t="shared" si="1"/>
        <v>100</v>
      </c>
      <c r="L224" s="271">
        <v>550.0</v>
      </c>
      <c r="M224" s="271">
        <v>200.0</v>
      </c>
      <c r="N224" s="275">
        <v>0.0</v>
      </c>
      <c r="O224" s="60"/>
      <c r="P224" s="50">
        <v>0.0</v>
      </c>
      <c r="Q224" s="271">
        <v>61.0</v>
      </c>
      <c r="R224" s="276">
        <v>0.00169</v>
      </c>
      <c r="S224" s="271">
        <v>61.0</v>
      </c>
      <c r="T224" s="271">
        <v>61.0</v>
      </c>
      <c r="U224" s="62">
        <v>1.0</v>
      </c>
      <c r="V224" s="277">
        <v>0.35</v>
      </c>
      <c r="W224" s="277">
        <v>0.0</v>
      </c>
      <c r="X224" s="271">
        <v>39.0</v>
      </c>
      <c r="Y224" s="271">
        <v>21.0</v>
      </c>
      <c r="Z224" s="50" t="b">
        <v>1</v>
      </c>
      <c r="AA224" s="50" t="s">
        <v>138</v>
      </c>
      <c r="AB224" s="50" t="s">
        <v>138</v>
      </c>
    </row>
    <row r="225">
      <c r="A225" s="271" t="s">
        <v>148</v>
      </c>
      <c r="B225" s="271" t="s">
        <v>148</v>
      </c>
      <c r="C225" s="278">
        <v>43851.0</v>
      </c>
      <c r="D225" s="278">
        <v>43881.0</v>
      </c>
      <c r="E225" s="271" t="s">
        <v>331</v>
      </c>
      <c r="F225" s="101" t="s">
        <v>4</v>
      </c>
      <c r="G225" s="271" t="s">
        <v>5</v>
      </c>
      <c r="H225" s="114" t="s">
        <v>964</v>
      </c>
      <c r="I225" s="274">
        <v>10.0</v>
      </c>
      <c r="J225" s="271">
        <v>15.0</v>
      </c>
      <c r="K225" s="271">
        <f t="shared" si="1"/>
        <v>150</v>
      </c>
      <c r="L225" s="271">
        <v>532.0</v>
      </c>
      <c r="M225" s="271">
        <v>-30.0</v>
      </c>
      <c r="N225" s="275">
        <v>0.0</v>
      </c>
      <c r="O225" s="60"/>
      <c r="P225" s="50">
        <v>0.0</v>
      </c>
      <c r="Q225" s="271">
        <v>-1.0</v>
      </c>
      <c r="R225" s="276">
        <v>0.00169</v>
      </c>
      <c r="S225" s="271">
        <v>-1.0</v>
      </c>
      <c r="T225" s="271">
        <v>-1.0</v>
      </c>
      <c r="U225" s="62">
        <v>1.0</v>
      </c>
      <c r="V225" s="277">
        <v>0.25</v>
      </c>
      <c r="W225" s="277">
        <v>0.1</v>
      </c>
      <c r="X225" s="271">
        <v>-1.0</v>
      </c>
      <c r="Y225" s="271">
        <v>0.0</v>
      </c>
      <c r="Z225" s="50" t="b">
        <v>1</v>
      </c>
      <c r="AA225" s="50" t="s">
        <v>138</v>
      </c>
      <c r="AB225" s="50" t="s">
        <v>138</v>
      </c>
    </row>
    <row r="226">
      <c r="A226" s="271" t="s">
        <v>148</v>
      </c>
      <c r="B226" s="271" t="s">
        <v>148</v>
      </c>
      <c r="C226" s="278">
        <v>43851.0</v>
      </c>
      <c r="D226" s="278">
        <v>43881.0</v>
      </c>
      <c r="E226" s="271" t="s">
        <v>331</v>
      </c>
      <c r="F226" s="101" t="s">
        <v>4</v>
      </c>
      <c r="G226" s="271" t="s">
        <v>5</v>
      </c>
      <c r="H226" s="273" t="s">
        <v>47</v>
      </c>
      <c r="I226" s="274">
        <v>10.0</v>
      </c>
      <c r="J226" s="271">
        <v>391.0</v>
      </c>
      <c r="K226" s="271">
        <f t="shared" si="1"/>
        <v>3910</v>
      </c>
      <c r="L226" s="271">
        <v>15166.0</v>
      </c>
      <c r="M226" s="271">
        <v>350.0</v>
      </c>
      <c r="N226" s="275">
        <v>6.0</v>
      </c>
      <c r="O226" s="60"/>
      <c r="P226" s="50">
        <v>6.0</v>
      </c>
      <c r="Q226" s="271">
        <v>-65.0</v>
      </c>
      <c r="R226" s="276">
        <v>0.00169</v>
      </c>
      <c r="S226" s="271">
        <v>-58.0</v>
      </c>
      <c r="T226" s="271">
        <v>-52.0</v>
      </c>
      <c r="U226" s="62">
        <v>1.0</v>
      </c>
      <c r="V226" s="277">
        <v>0.25</v>
      </c>
      <c r="W226" s="277">
        <v>0.1</v>
      </c>
      <c r="X226" s="271">
        <v>-34.0</v>
      </c>
      <c r="Y226" s="271">
        <v>-18.0</v>
      </c>
      <c r="Z226" s="50" t="b">
        <v>1</v>
      </c>
      <c r="AA226" s="50" t="s">
        <v>138</v>
      </c>
      <c r="AB226" s="50" t="s">
        <v>138</v>
      </c>
    </row>
    <row r="227">
      <c r="A227" s="271" t="s">
        <v>148</v>
      </c>
      <c r="B227" s="271" t="s">
        <v>148</v>
      </c>
      <c r="C227" s="278">
        <v>43851.0</v>
      </c>
      <c r="D227" s="278">
        <v>43881.0</v>
      </c>
      <c r="E227" s="271" t="s">
        <v>331</v>
      </c>
      <c r="F227" s="101" t="s">
        <v>4</v>
      </c>
      <c r="G227" s="271" t="s">
        <v>5</v>
      </c>
      <c r="H227" s="273" t="s">
        <v>965</v>
      </c>
      <c r="I227" s="274">
        <v>25.0</v>
      </c>
      <c r="J227" s="271">
        <v>2158.0</v>
      </c>
      <c r="K227" s="271">
        <f t="shared" si="1"/>
        <v>53950</v>
      </c>
      <c r="L227" s="271">
        <v>50724.0</v>
      </c>
      <c r="M227" s="271">
        <v>-2400.0</v>
      </c>
      <c r="N227" s="275">
        <v>65.0</v>
      </c>
      <c r="O227" s="60"/>
      <c r="P227" s="50">
        <v>65.0</v>
      </c>
      <c r="Q227" s="271">
        <v>-1226.0</v>
      </c>
      <c r="R227" s="276">
        <v>0.00169</v>
      </c>
      <c r="S227" s="271">
        <v>-1135.0</v>
      </c>
      <c r="T227" s="271">
        <v>-1070.0</v>
      </c>
      <c r="U227" s="62">
        <v>1.0</v>
      </c>
      <c r="V227" s="277">
        <v>0.25</v>
      </c>
      <c r="W227" s="277">
        <v>0.1</v>
      </c>
      <c r="X227" s="271">
        <v>-696.0</v>
      </c>
      <c r="Y227" s="271">
        <v>-375.0</v>
      </c>
      <c r="Z227" s="50" t="b">
        <v>1</v>
      </c>
      <c r="AA227" s="50" t="s">
        <v>138</v>
      </c>
      <c r="AB227" s="50" t="s">
        <v>138</v>
      </c>
    </row>
    <row r="228">
      <c r="A228" s="271" t="s">
        <v>148</v>
      </c>
      <c r="B228" s="271" t="s">
        <v>148</v>
      </c>
      <c r="C228" s="278">
        <v>43851.0</v>
      </c>
      <c r="D228" s="278">
        <v>43881.0</v>
      </c>
      <c r="E228" s="271" t="s">
        <v>331</v>
      </c>
      <c r="F228" s="101" t="s">
        <v>4</v>
      </c>
      <c r="G228" s="271" t="s">
        <v>5</v>
      </c>
      <c r="H228" s="273" t="s">
        <v>966</v>
      </c>
      <c r="I228" s="274">
        <v>50.0</v>
      </c>
      <c r="J228" s="271">
        <v>757.0</v>
      </c>
      <c r="K228" s="271">
        <f t="shared" si="1"/>
        <v>37850</v>
      </c>
      <c r="L228" s="271">
        <v>4514.0</v>
      </c>
      <c r="M228" s="271">
        <v>-900.0</v>
      </c>
      <c r="N228" s="275">
        <v>45.0</v>
      </c>
      <c r="O228" s="60"/>
      <c r="P228" s="50">
        <v>45.0</v>
      </c>
      <c r="Q228" s="271">
        <v>-2101.0</v>
      </c>
      <c r="R228" s="276">
        <v>0.00169</v>
      </c>
      <c r="S228" s="271">
        <v>-2038.0</v>
      </c>
      <c r="T228" s="271">
        <v>-1993.0</v>
      </c>
      <c r="U228" s="62">
        <v>1.0</v>
      </c>
      <c r="V228" s="277">
        <v>0.25</v>
      </c>
      <c r="W228" s="277">
        <v>0.1</v>
      </c>
      <c r="X228" s="271">
        <v>-1295.0</v>
      </c>
      <c r="Y228" s="271">
        <v>-697.0</v>
      </c>
      <c r="Z228" s="50" t="b">
        <v>1</v>
      </c>
      <c r="AA228" s="50" t="s">
        <v>138</v>
      </c>
      <c r="AB228" s="50" t="s">
        <v>138</v>
      </c>
    </row>
    <row r="229">
      <c r="A229" s="271" t="s">
        <v>148</v>
      </c>
      <c r="B229" s="271" t="s">
        <v>148</v>
      </c>
      <c r="C229" s="278">
        <v>43851.0</v>
      </c>
      <c r="D229" s="278">
        <v>43881.0</v>
      </c>
      <c r="E229" s="271" t="s">
        <v>331</v>
      </c>
      <c r="F229" s="101" t="s">
        <v>4</v>
      </c>
      <c r="G229" s="271" t="s">
        <v>5</v>
      </c>
      <c r="H229" s="273" t="s">
        <v>967</v>
      </c>
      <c r="I229" s="274">
        <v>50.0</v>
      </c>
      <c r="J229" s="271">
        <v>377.0</v>
      </c>
      <c r="K229" s="271">
        <f t="shared" si="1"/>
        <v>18850</v>
      </c>
      <c r="L229" s="271">
        <v>3387.0</v>
      </c>
      <c r="M229" s="271">
        <v>-1150.0</v>
      </c>
      <c r="N229" s="275">
        <v>26.0</v>
      </c>
      <c r="O229" s="60"/>
      <c r="P229" s="50">
        <v>26.0</v>
      </c>
      <c r="Q229" s="271">
        <v>-1079.0</v>
      </c>
      <c r="R229" s="276">
        <v>0.00169</v>
      </c>
      <c r="S229" s="271">
        <v>-1047.0</v>
      </c>
      <c r="T229" s="271">
        <v>-1021.0</v>
      </c>
      <c r="U229" s="62">
        <v>1.0</v>
      </c>
      <c r="V229" s="277">
        <v>0.25</v>
      </c>
      <c r="W229" s="277">
        <v>0.1</v>
      </c>
      <c r="X229" s="271">
        <v>-664.0</v>
      </c>
      <c r="Y229" s="271">
        <v>-358.0</v>
      </c>
      <c r="Z229" s="50" t="b">
        <v>1</v>
      </c>
      <c r="AA229" s="50" t="s">
        <v>138</v>
      </c>
      <c r="AB229" s="50" t="s">
        <v>138</v>
      </c>
    </row>
    <row r="230">
      <c r="A230" s="271" t="s">
        <v>156</v>
      </c>
      <c r="B230" s="271" t="s">
        <v>156</v>
      </c>
      <c r="C230" s="278">
        <v>43851.0</v>
      </c>
      <c r="D230" s="278">
        <v>43881.0</v>
      </c>
      <c r="E230" s="271" t="s">
        <v>268</v>
      </c>
      <c r="F230" s="101" t="s">
        <v>4</v>
      </c>
      <c r="G230" s="271" t="s">
        <v>5</v>
      </c>
      <c r="H230" s="273" t="s">
        <v>965</v>
      </c>
      <c r="I230" s="274">
        <v>25.0</v>
      </c>
      <c r="J230" s="271">
        <v>2621.0</v>
      </c>
      <c r="K230" s="271">
        <f t="shared" si="1"/>
        <v>65525</v>
      </c>
      <c r="L230" s="271">
        <v>79949.0</v>
      </c>
      <c r="M230" s="271">
        <v>550.0</v>
      </c>
      <c r="N230" s="275">
        <v>79.0</v>
      </c>
      <c r="O230" s="60"/>
      <c r="P230" s="50">
        <v>79.0</v>
      </c>
      <c r="Q230" s="271">
        <v>-493.0</v>
      </c>
      <c r="R230" s="276">
        <v>0.00169</v>
      </c>
      <c r="S230" s="271">
        <v>-383.0</v>
      </c>
      <c r="T230" s="271">
        <v>-304.0</v>
      </c>
      <c r="U230" s="62">
        <v>1.0</v>
      </c>
      <c r="V230" s="277">
        <v>0.35</v>
      </c>
      <c r="W230" s="277">
        <v>0.0</v>
      </c>
      <c r="X230" s="271">
        <v>-197.0</v>
      </c>
      <c r="Y230" s="271">
        <v>-106.0</v>
      </c>
      <c r="Z230" s="50" t="b">
        <v>1</v>
      </c>
      <c r="AA230" s="50" t="s">
        <v>138</v>
      </c>
      <c r="AB230" s="50" t="s">
        <v>138</v>
      </c>
    </row>
    <row r="231">
      <c r="A231" s="271" t="s">
        <v>216</v>
      </c>
      <c r="B231" s="271" t="s">
        <v>942</v>
      </c>
      <c r="C231" s="278">
        <v>43851.0</v>
      </c>
      <c r="D231" s="278">
        <v>43881.0</v>
      </c>
      <c r="E231" s="271" t="s">
        <v>268</v>
      </c>
      <c r="F231" s="101" t="s">
        <v>4</v>
      </c>
      <c r="G231" s="271" t="s">
        <v>22</v>
      </c>
      <c r="H231" s="273" t="s">
        <v>68</v>
      </c>
      <c r="I231" s="274">
        <v>25.0</v>
      </c>
      <c r="J231" s="271">
        <v>963.0</v>
      </c>
      <c r="K231" s="271">
        <f t="shared" si="1"/>
        <v>24075</v>
      </c>
      <c r="L231" s="271">
        <v>52396.0</v>
      </c>
      <c r="M231" s="271">
        <v>-525.0</v>
      </c>
      <c r="N231" s="275">
        <v>0.0</v>
      </c>
      <c r="O231" s="60"/>
      <c r="P231" s="50">
        <v>0.0</v>
      </c>
      <c r="Q231" s="271">
        <v>606.0</v>
      </c>
      <c r="R231" s="276">
        <v>0.00169</v>
      </c>
      <c r="S231" s="271">
        <v>647.0</v>
      </c>
      <c r="T231" s="271">
        <v>647.0</v>
      </c>
      <c r="U231" s="62">
        <v>1.079</v>
      </c>
      <c r="V231" s="277">
        <v>0.22</v>
      </c>
      <c r="W231" s="277">
        <v>0.0</v>
      </c>
      <c r="X231" s="271">
        <v>545.0</v>
      </c>
      <c r="Y231" s="271">
        <v>154.0</v>
      </c>
      <c r="Z231" s="50" t="b">
        <v>1</v>
      </c>
      <c r="AA231" s="50" t="s">
        <v>138</v>
      </c>
      <c r="AB231" s="50" t="s">
        <v>140</v>
      </c>
    </row>
    <row r="232">
      <c r="A232" s="271" t="s">
        <v>216</v>
      </c>
      <c r="B232" s="271" t="s">
        <v>216</v>
      </c>
      <c r="C232" s="278">
        <v>43851.0</v>
      </c>
      <c r="D232" s="278">
        <v>43881.0</v>
      </c>
      <c r="E232" s="271" t="s">
        <v>268</v>
      </c>
      <c r="F232" s="101" t="s">
        <v>4</v>
      </c>
      <c r="G232" s="271" t="s">
        <v>5</v>
      </c>
      <c r="H232" s="114" t="s">
        <v>964</v>
      </c>
      <c r="I232" s="274">
        <v>10.0</v>
      </c>
      <c r="J232" s="271">
        <v>8.0</v>
      </c>
      <c r="K232" s="271">
        <f t="shared" si="1"/>
        <v>80</v>
      </c>
      <c r="L232" s="271">
        <v>2304.0</v>
      </c>
      <c r="M232" s="271">
        <v>20.0</v>
      </c>
      <c r="N232" s="275">
        <v>0.0</v>
      </c>
      <c r="O232" s="60"/>
      <c r="P232" s="50">
        <v>0.0</v>
      </c>
      <c r="Q232" s="271">
        <v>37.0</v>
      </c>
      <c r="R232" s="276">
        <v>0.00169</v>
      </c>
      <c r="S232" s="271">
        <v>37.0</v>
      </c>
      <c r="T232" s="271">
        <v>37.0</v>
      </c>
      <c r="U232" s="62">
        <v>1.0</v>
      </c>
      <c r="V232" s="277">
        <v>0.22</v>
      </c>
      <c r="W232" s="277">
        <v>0.0</v>
      </c>
      <c r="X232" s="271">
        <v>29.0</v>
      </c>
      <c r="Y232" s="271">
        <v>8.0</v>
      </c>
      <c r="Z232" s="50" t="b">
        <v>1</v>
      </c>
      <c r="AA232" s="50" t="s">
        <v>138</v>
      </c>
      <c r="AB232" s="50" t="s">
        <v>138</v>
      </c>
    </row>
    <row r="233">
      <c r="A233" s="271" t="s">
        <v>216</v>
      </c>
      <c r="B233" s="271" t="s">
        <v>216</v>
      </c>
      <c r="C233" s="278">
        <v>43851.0</v>
      </c>
      <c r="D233" s="278">
        <v>43881.0</v>
      </c>
      <c r="E233" s="271" t="s">
        <v>268</v>
      </c>
      <c r="F233" s="101" t="s">
        <v>4</v>
      </c>
      <c r="G233" s="271" t="s">
        <v>5</v>
      </c>
      <c r="H233" s="273" t="s">
        <v>47</v>
      </c>
      <c r="I233" s="274">
        <v>10.0</v>
      </c>
      <c r="J233" s="271">
        <v>6.0</v>
      </c>
      <c r="K233" s="271">
        <f t="shared" si="1"/>
        <v>60</v>
      </c>
      <c r="L233" s="271">
        <v>-444.0</v>
      </c>
      <c r="M233" s="271">
        <v>-30.0</v>
      </c>
      <c r="N233" s="275">
        <v>0.0</v>
      </c>
      <c r="O233" s="60"/>
      <c r="P233" s="50">
        <v>0.0</v>
      </c>
      <c r="Q233" s="271">
        <v>-13.0</v>
      </c>
      <c r="R233" s="276">
        <v>0.00169</v>
      </c>
      <c r="S233" s="271">
        <v>-13.0</v>
      </c>
      <c r="T233" s="271">
        <v>-13.0</v>
      </c>
      <c r="U233" s="62">
        <v>1.0</v>
      </c>
      <c r="V233" s="277">
        <v>0.22</v>
      </c>
      <c r="W233" s="277">
        <v>0.0</v>
      </c>
      <c r="X233" s="271">
        <v>-10.0</v>
      </c>
      <c r="Y233" s="271">
        <v>-3.0</v>
      </c>
      <c r="Z233" s="50" t="b">
        <v>1</v>
      </c>
      <c r="AA233" s="50" t="s">
        <v>138</v>
      </c>
      <c r="AB233" s="50" t="s">
        <v>138</v>
      </c>
    </row>
    <row r="234">
      <c r="A234" s="271" t="s">
        <v>216</v>
      </c>
      <c r="B234" s="271" t="s">
        <v>216</v>
      </c>
      <c r="C234" s="278">
        <v>43851.0</v>
      </c>
      <c r="D234" s="278">
        <v>43881.0</v>
      </c>
      <c r="E234" s="271" t="s">
        <v>268</v>
      </c>
      <c r="F234" s="101" t="s">
        <v>4</v>
      </c>
      <c r="G234" s="271" t="s">
        <v>5</v>
      </c>
      <c r="H234" s="273" t="s">
        <v>965</v>
      </c>
      <c r="I234" s="274">
        <v>25.0</v>
      </c>
      <c r="J234" s="271">
        <v>1338.0</v>
      </c>
      <c r="K234" s="271">
        <f t="shared" si="1"/>
        <v>33450</v>
      </c>
      <c r="L234" s="271">
        <v>80445.0</v>
      </c>
      <c r="M234" s="271">
        <v>2200.0</v>
      </c>
      <c r="N234" s="275">
        <v>0.0</v>
      </c>
      <c r="O234" s="60"/>
      <c r="P234" s="50">
        <v>0.0</v>
      </c>
      <c r="Q234" s="271">
        <v>1599.0</v>
      </c>
      <c r="R234" s="276">
        <v>0.00169</v>
      </c>
      <c r="S234" s="271">
        <v>1656.0</v>
      </c>
      <c r="T234" s="271">
        <v>1656.0</v>
      </c>
      <c r="U234" s="62">
        <v>1.0</v>
      </c>
      <c r="V234" s="277">
        <v>0.22</v>
      </c>
      <c r="W234" s="277">
        <v>0.0</v>
      </c>
      <c r="X234" s="271">
        <v>1292.0</v>
      </c>
      <c r="Y234" s="271">
        <v>364.0</v>
      </c>
      <c r="Z234" s="50" t="b">
        <v>1</v>
      </c>
      <c r="AA234" s="50" t="s">
        <v>138</v>
      </c>
      <c r="AB234" s="50" t="s">
        <v>138</v>
      </c>
    </row>
    <row r="235">
      <c r="A235" s="271" t="s">
        <v>177</v>
      </c>
      <c r="B235" s="271" t="s">
        <v>177</v>
      </c>
      <c r="C235" s="278">
        <v>43862.0</v>
      </c>
      <c r="D235" s="278">
        <v>43890.0</v>
      </c>
      <c r="E235" s="271" t="s">
        <v>331</v>
      </c>
      <c r="F235" s="101" t="s">
        <v>8</v>
      </c>
      <c r="G235" s="271" t="s">
        <v>5</v>
      </c>
      <c r="H235" s="273" t="s">
        <v>954</v>
      </c>
      <c r="I235" s="274">
        <v>100.0</v>
      </c>
      <c r="J235" s="271">
        <v>3233.0</v>
      </c>
      <c r="K235" s="271">
        <f t="shared" si="1"/>
        <v>323300</v>
      </c>
      <c r="L235" s="271">
        <v>132452.0</v>
      </c>
      <c r="M235" s="271">
        <v>1100.0</v>
      </c>
      <c r="N235" s="275">
        <v>323.0</v>
      </c>
      <c r="O235" s="60"/>
      <c r="P235" s="50">
        <v>323.0</v>
      </c>
      <c r="Q235" s="271">
        <v>7566.0</v>
      </c>
      <c r="R235" s="276">
        <v>-0.0045</v>
      </c>
      <c r="S235" s="271">
        <v>6111.0</v>
      </c>
      <c r="T235" s="271">
        <v>6434.0</v>
      </c>
      <c r="U235" s="62">
        <v>1.0</v>
      </c>
      <c r="V235" s="277">
        <v>0.1688</v>
      </c>
      <c r="W235" s="277">
        <v>0.0563</v>
      </c>
      <c r="X235" s="271">
        <v>4986.0</v>
      </c>
      <c r="Y235" s="271">
        <v>1448.0</v>
      </c>
      <c r="Z235" s="50" t="b">
        <v>1</v>
      </c>
      <c r="AA235" s="50" t="s">
        <v>138</v>
      </c>
      <c r="AB235" s="50" t="s">
        <v>138</v>
      </c>
    </row>
    <row r="236">
      <c r="A236" s="271" t="s">
        <v>459</v>
      </c>
      <c r="B236" s="271" t="s">
        <v>912</v>
      </c>
      <c r="C236" s="278">
        <v>43862.0</v>
      </c>
      <c r="D236" s="278">
        <v>43890.0</v>
      </c>
      <c r="E236" s="271" t="s">
        <v>268</v>
      </c>
      <c r="F236" s="101" t="s">
        <v>8</v>
      </c>
      <c r="G236" s="271" t="s">
        <v>9</v>
      </c>
      <c r="H236" s="273" t="s">
        <v>55</v>
      </c>
      <c r="I236" s="274">
        <v>10.0</v>
      </c>
      <c r="J236" s="271">
        <v>1672.0</v>
      </c>
      <c r="K236" s="271">
        <f t="shared" si="1"/>
        <v>16720</v>
      </c>
      <c r="L236" s="271">
        <v>108716.0</v>
      </c>
      <c r="M236" s="271">
        <v>920.0</v>
      </c>
      <c r="N236" s="275">
        <v>300.0</v>
      </c>
      <c r="O236" s="60"/>
      <c r="P236" s="50">
        <v>300.0</v>
      </c>
      <c r="Q236" s="271">
        <v>495.0</v>
      </c>
      <c r="R236" s="276">
        <v>-0.00446</v>
      </c>
      <c r="S236" s="271">
        <v>420.0</v>
      </c>
      <c r="T236" s="271">
        <v>720.0</v>
      </c>
      <c r="U236" s="62">
        <v>1.0</v>
      </c>
      <c r="V236" s="277">
        <v>0.3</v>
      </c>
      <c r="W236" s="277">
        <v>0.0</v>
      </c>
      <c r="X236" s="271">
        <v>504.0</v>
      </c>
      <c r="Y236" s="271">
        <v>216.0</v>
      </c>
      <c r="Z236" s="50" t="b">
        <v>1</v>
      </c>
      <c r="AA236" s="50" t="s">
        <v>140</v>
      </c>
      <c r="AB236" s="50" t="s">
        <v>140</v>
      </c>
    </row>
    <row r="237">
      <c r="A237" s="271" t="s">
        <v>459</v>
      </c>
      <c r="B237" s="271" t="s">
        <v>912</v>
      </c>
      <c r="C237" s="278">
        <v>43862.0</v>
      </c>
      <c r="D237" s="278">
        <v>43890.0</v>
      </c>
      <c r="E237" s="271" t="s">
        <v>268</v>
      </c>
      <c r="F237" s="101" t="s">
        <v>12</v>
      </c>
      <c r="G237" s="271" t="s">
        <v>9</v>
      </c>
      <c r="H237" s="273" t="s">
        <v>55</v>
      </c>
      <c r="I237" s="274">
        <v>10.0</v>
      </c>
      <c r="J237" s="271"/>
      <c r="K237" s="271">
        <f t="shared" si="1"/>
        <v>0</v>
      </c>
      <c r="L237" s="271"/>
      <c r="M237" s="271">
        <v>1200.0</v>
      </c>
      <c r="N237" s="275">
        <v>0.0</v>
      </c>
      <c r="O237" s="60"/>
      <c r="P237" s="50">
        <v>0.0</v>
      </c>
      <c r="Q237" s="271"/>
      <c r="R237" s="276">
        <v>0.0</v>
      </c>
      <c r="S237" s="271"/>
      <c r="T237" s="271">
        <v>1200.0</v>
      </c>
      <c r="U237" s="62">
        <v>1.0</v>
      </c>
      <c r="V237" s="277">
        <v>0.3</v>
      </c>
      <c r="W237" s="277">
        <v>0.0</v>
      </c>
      <c r="X237" s="271">
        <v>840.0</v>
      </c>
      <c r="Y237" s="271">
        <v>360.0</v>
      </c>
      <c r="Z237" s="50" t="b">
        <v>1</v>
      </c>
      <c r="AA237" s="50" t="s">
        <v>140</v>
      </c>
      <c r="AB237" s="50" t="s">
        <v>140</v>
      </c>
    </row>
    <row r="238">
      <c r="A238" s="271" t="s">
        <v>546</v>
      </c>
      <c r="B238" s="271" t="s">
        <v>546</v>
      </c>
      <c r="C238" s="278">
        <v>43862.0</v>
      </c>
      <c r="D238" s="278">
        <v>43890.0</v>
      </c>
      <c r="E238" s="271" t="s">
        <v>268</v>
      </c>
      <c r="F238" s="101" t="s">
        <v>8</v>
      </c>
      <c r="G238" s="271" t="s">
        <v>5</v>
      </c>
      <c r="H238" s="273" t="s">
        <v>965</v>
      </c>
      <c r="I238" s="274">
        <v>25.0</v>
      </c>
      <c r="J238" s="271">
        <v>771.0</v>
      </c>
      <c r="K238" s="271">
        <f t="shared" si="1"/>
        <v>19275</v>
      </c>
      <c r="L238" s="271">
        <v>39232.0</v>
      </c>
      <c r="M238" s="271">
        <v>3800.0</v>
      </c>
      <c r="N238" s="275">
        <v>23.0</v>
      </c>
      <c r="O238" s="60"/>
      <c r="P238" s="50">
        <v>23.0</v>
      </c>
      <c r="Q238" s="271">
        <v>600.0</v>
      </c>
      <c r="R238" s="276">
        <v>-0.006631</v>
      </c>
      <c r="S238" s="271">
        <v>472.0</v>
      </c>
      <c r="T238" s="271">
        <v>495.0</v>
      </c>
      <c r="U238" s="62">
        <v>1.0</v>
      </c>
      <c r="V238" s="277">
        <v>0.205</v>
      </c>
      <c r="W238" s="277">
        <v>0.0</v>
      </c>
      <c r="X238" s="271">
        <v>394.0</v>
      </c>
      <c r="Y238" s="271">
        <v>101.0</v>
      </c>
      <c r="Z238" s="50" t="b">
        <v>1</v>
      </c>
      <c r="AA238" s="50" t="s">
        <v>138</v>
      </c>
      <c r="AB238" s="50" t="s">
        <v>138</v>
      </c>
    </row>
    <row r="239">
      <c r="A239" s="271" t="s">
        <v>546</v>
      </c>
      <c r="B239" s="271" t="s">
        <v>546</v>
      </c>
      <c r="C239" s="278">
        <v>43862.0</v>
      </c>
      <c r="D239" s="278">
        <v>43890.0</v>
      </c>
      <c r="E239" s="271" t="s">
        <v>268</v>
      </c>
      <c r="F239" s="101" t="s">
        <v>8</v>
      </c>
      <c r="G239" s="271" t="s">
        <v>5</v>
      </c>
      <c r="H239" s="273" t="s">
        <v>966</v>
      </c>
      <c r="I239" s="274">
        <v>50.0</v>
      </c>
      <c r="J239" s="271">
        <v>1762.0</v>
      </c>
      <c r="K239" s="271">
        <f t="shared" si="1"/>
        <v>88100</v>
      </c>
      <c r="L239" s="271">
        <v>66943.0</v>
      </c>
      <c r="M239" s="271">
        <v>-600.0</v>
      </c>
      <c r="N239" s="275">
        <v>106.0</v>
      </c>
      <c r="O239" s="60"/>
      <c r="P239" s="50">
        <v>106.0</v>
      </c>
      <c r="Q239" s="271">
        <v>618.0</v>
      </c>
      <c r="R239" s="276">
        <v>-0.004784</v>
      </c>
      <c r="S239" s="271">
        <v>197.0</v>
      </c>
      <c r="T239" s="271">
        <v>303.0</v>
      </c>
      <c r="U239" s="62">
        <v>1.0</v>
      </c>
      <c r="V239" s="277">
        <v>0.205</v>
      </c>
      <c r="W239" s="277">
        <v>0.0</v>
      </c>
      <c r="X239" s="271">
        <v>241.0</v>
      </c>
      <c r="Y239" s="271">
        <v>62.0</v>
      </c>
      <c r="Z239" s="50" t="b">
        <v>1</v>
      </c>
      <c r="AA239" s="50" t="s">
        <v>138</v>
      </c>
      <c r="AB239" s="50" t="s">
        <v>138</v>
      </c>
    </row>
    <row r="240">
      <c r="A240" s="271" t="s">
        <v>546</v>
      </c>
      <c r="B240" s="271" t="s">
        <v>546</v>
      </c>
      <c r="C240" s="278">
        <v>43891.0</v>
      </c>
      <c r="D240" s="278">
        <v>43903.0</v>
      </c>
      <c r="E240" s="271" t="s">
        <v>268</v>
      </c>
      <c r="F240" s="101" t="s">
        <v>8</v>
      </c>
      <c r="G240" s="271" t="s">
        <v>5</v>
      </c>
      <c r="H240" s="273" t="s">
        <v>965</v>
      </c>
      <c r="I240" s="274">
        <v>25.0</v>
      </c>
      <c r="J240" s="271">
        <v>1705.0</v>
      </c>
      <c r="K240" s="271">
        <f t="shared" si="1"/>
        <v>42625</v>
      </c>
      <c r="L240" s="271">
        <v>85570.0</v>
      </c>
      <c r="M240" s="271">
        <v>-550.0</v>
      </c>
      <c r="N240" s="275">
        <v>157.0</v>
      </c>
      <c r="O240" s="60"/>
      <c r="P240" s="50">
        <v>157.0</v>
      </c>
      <c r="Q240" s="271">
        <v>914.0</v>
      </c>
      <c r="R240" s="276">
        <v>4.25E-4</v>
      </c>
      <c r="S240" s="271">
        <v>932.0</v>
      </c>
      <c r="T240" s="271">
        <v>1089.0</v>
      </c>
      <c r="U240" s="62">
        <v>1.0</v>
      </c>
      <c r="V240" s="277">
        <v>0.205</v>
      </c>
      <c r="W240" s="277">
        <v>0.0</v>
      </c>
      <c r="X240" s="271">
        <v>866.0</v>
      </c>
      <c r="Y240" s="271">
        <v>223.0</v>
      </c>
      <c r="Z240" s="50" t="b">
        <v>1</v>
      </c>
      <c r="AA240" s="50" t="s">
        <v>138</v>
      </c>
      <c r="AB240" s="50" t="s">
        <v>138</v>
      </c>
    </row>
    <row r="241">
      <c r="A241" s="271" t="s">
        <v>267</v>
      </c>
      <c r="B241" s="271" t="s">
        <v>267</v>
      </c>
      <c r="C241" s="272">
        <v>43882.0</v>
      </c>
      <c r="D241" s="272">
        <v>43910.0</v>
      </c>
      <c r="E241" s="271" t="s">
        <v>268</v>
      </c>
      <c r="F241" s="101" t="s">
        <v>4</v>
      </c>
      <c r="G241" s="271" t="s">
        <v>5</v>
      </c>
      <c r="H241" s="114" t="s">
        <v>964</v>
      </c>
      <c r="I241" s="274">
        <v>10.0</v>
      </c>
      <c r="J241" s="271">
        <v>199.0</v>
      </c>
      <c r="K241" s="271">
        <f t="shared" si="1"/>
        <v>1990</v>
      </c>
      <c r="L241" s="271">
        <v>18572.0</v>
      </c>
      <c r="M241" s="271">
        <v>130.0</v>
      </c>
      <c r="N241" s="275">
        <v>0.0</v>
      </c>
      <c r="O241" s="60"/>
      <c r="P241" s="50">
        <v>0.0</v>
      </c>
      <c r="Q241" s="271">
        <v>196.0</v>
      </c>
      <c r="R241" s="276">
        <v>0.00152</v>
      </c>
      <c r="S241" s="271">
        <v>199.0</v>
      </c>
      <c r="T241" s="271">
        <v>199.0</v>
      </c>
      <c r="U241" s="62">
        <v>1.0</v>
      </c>
      <c r="V241" s="277">
        <v>0.35</v>
      </c>
      <c r="W241" s="277">
        <v>0.0</v>
      </c>
      <c r="X241" s="271">
        <v>129.0</v>
      </c>
      <c r="Y241" s="271">
        <v>70.0</v>
      </c>
      <c r="Z241" s="50" t="b">
        <v>1</v>
      </c>
      <c r="AA241" s="50" t="s">
        <v>138</v>
      </c>
      <c r="AB241" s="50" t="s">
        <v>138</v>
      </c>
    </row>
    <row r="242">
      <c r="A242" s="271" t="s">
        <v>267</v>
      </c>
      <c r="B242" s="271" t="s">
        <v>267</v>
      </c>
      <c r="C242" s="272">
        <v>43882.0</v>
      </c>
      <c r="D242" s="272">
        <v>43910.0</v>
      </c>
      <c r="E242" s="271" t="s">
        <v>268</v>
      </c>
      <c r="F242" s="101" t="s">
        <v>4</v>
      </c>
      <c r="G242" s="271" t="s">
        <v>5</v>
      </c>
      <c r="H242" s="273" t="s">
        <v>966</v>
      </c>
      <c r="I242" s="274">
        <v>50.0</v>
      </c>
      <c r="J242" s="271">
        <v>81.0</v>
      </c>
      <c r="K242" s="271">
        <f t="shared" si="1"/>
        <v>4050</v>
      </c>
      <c r="L242" s="271">
        <v>92.0</v>
      </c>
      <c r="M242" s="271">
        <v>-1000.0</v>
      </c>
      <c r="N242" s="275">
        <v>1.0</v>
      </c>
      <c r="O242" s="60"/>
      <c r="P242" s="50">
        <v>1.0</v>
      </c>
      <c r="Q242" s="271">
        <v>-251.0</v>
      </c>
      <c r="R242" s="276">
        <v>0.00152</v>
      </c>
      <c r="S242" s="271">
        <v>-244.0</v>
      </c>
      <c r="T242" s="271">
        <v>-243.0</v>
      </c>
      <c r="U242" s="62">
        <v>1.0</v>
      </c>
      <c r="V242" s="277">
        <v>0.35</v>
      </c>
      <c r="W242" s="277">
        <v>0.0</v>
      </c>
      <c r="X242" s="271">
        <v>-158.0</v>
      </c>
      <c r="Y242" s="271">
        <v>-85.0</v>
      </c>
      <c r="Z242" s="50" t="b">
        <v>1</v>
      </c>
      <c r="AA242" s="50" t="s">
        <v>138</v>
      </c>
      <c r="AB242" s="50" t="s">
        <v>138</v>
      </c>
    </row>
    <row r="243">
      <c r="A243" s="271" t="s">
        <v>267</v>
      </c>
      <c r="B243" s="271" t="s">
        <v>267</v>
      </c>
      <c r="C243" s="272">
        <v>43882.0</v>
      </c>
      <c r="D243" s="272">
        <v>43910.0</v>
      </c>
      <c r="E243" s="271" t="s">
        <v>268</v>
      </c>
      <c r="F243" s="101" t="s">
        <v>4</v>
      </c>
      <c r="G243" s="271" t="s">
        <v>5</v>
      </c>
      <c r="H243" s="273" t="s">
        <v>965</v>
      </c>
      <c r="I243" s="274">
        <v>25.0</v>
      </c>
      <c r="J243" s="271">
        <v>454.0</v>
      </c>
      <c r="K243" s="271">
        <f t="shared" si="1"/>
        <v>11350</v>
      </c>
      <c r="L243" s="271">
        <v>17840.0</v>
      </c>
      <c r="M243" s="271">
        <v>625.0</v>
      </c>
      <c r="N243" s="275">
        <v>1.0</v>
      </c>
      <c r="O243" s="60"/>
      <c r="P243" s="50">
        <v>1.0</v>
      </c>
      <c r="Q243" s="271">
        <v>105.0</v>
      </c>
      <c r="R243" s="276">
        <v>0.00152</v>
      </c>
      <c r="S243" s="271">
        <v>123.0</v>
      </c>
      <c r="T243" s="271">
        <v>124.0</v>
      </c>
      <c r="U243" s="62">
        <v>1.0</v>
      </c>
      <c r="V243" s="277">
        <v>0.35</v>
      </c>
      <c r="W243" s="277">
        <v>0.0</v>
      </c>
      <c r="X243" s="271">
        <v>80.0</v>
      </c>
      <c r="Y243" s="271">
        <v>43.0</v>
      </c>
      <c r="Z243" s="50" t="b">
        <v>1</v>
      </c>
      <c r="AA243" s="50" t="s">
        <v>138</v>
      </c>
      <c r="AB243" s="50" t="s">
        <v>138</v>
      </c>
    </row>
    <row r="244">
      <c r="A244" s="271" t="s">
        <v>267</v>
      </c>
      <c r="B244" s="271" t="s">
        <v>267</v>
      </c>
      <c r="C244" s="272">
        <v>43882.0</v>
      </c>
      <c r="D244" s="272">
        <v>43910.0</v>
      </c>
      <c r="E244" s="271" t="s">
        <v>268</v>
      </c>
      <c r="F244" s="101" t="s">
        <v>4</v>
      </c>
      <c r="G244" s="271" t="s">
        <v>5</v>
      </c>
      <c r="H244" s="273" t="s">
        <v>968</v>
      </c>
      <c r="I244" s="274">
        <v>25.0</v>
      </c>
      <c r="J244" s="271">
        <v>577.0</v>
      </c>
      <c r="K244" s="271">
        <f t="shared" si="1"/>
        <v>14425</v>
      </c>
      <c r="L244" s="271">
        <v>27230.0</v>
      </c>
      <c r="M244" s="271">
        <v>575.0</v>
      </c>
      <c r="N244" s="275">
        <v>2.0</v>
      </c>
      <c r="O244" s="60"/>
      <c r="P244" s="50">
        <v>2.0</v>
      </c>
      <c r="Q244" s="271">
        <v>227.0</v>
      </c>
      <c r="R244" s="276">
        <v>0.00152</v>
      </c>
      <c r="S244" s="271">
        <v>249.0</v>
      </c>
      <c r="T244" s="271">
        <v>251.0</v>
      </c>
      <c r="U244" s="62">
        <v>1.0</v>
      </c>
      <c r="V244" s="277">
        <v>0.35</v>
      </c>
      <c r="W244" s="277">
        <v>0.0</v>
      </c>
      <c r="X244" s="271">
        <v>163.0</v>
      </c>
      <c r="Y244" s="271">
        <v>88.0</v>
      </c>
      <c r="Z244" s="50" t="b">
        <v>1</v>
      </c>
      <c r="AA244" s="50" t="s">
        <v>138</v>
      </c>
      <c r="AB244" s="50" t="s">
        <v>138</v>
      </c>
    </row>
    <row r="245">
      <c r="A245" s="271" t="s">
        <v>148</v>
      </c>
      <c r="B245" s="271" t="s">
        <v>148</v>
      </c>
      <c r="C245" s="278">
        <v>43882.0</v>
      </c>
      <c r="D245" s="278">
        <v>43910.0</v>
      </c>
      <c r="E245" s="271" t="s">
        <v>331</v>
      </c>
      <c r="F245" s="101" t="s">
        <v>4</v>
      </c>
      <c r="G245" s="271" t="s">
        <v>5</v>
      </c>
      <c r="H245" s="114" t="s">
        <v>964</v>
      </c>
      <c r="I245" s="274">
        <v>10.0</v>
      </c>
      <c r="J245" s="271">
        <v>78.0</v>
      </c>
      <c r="K245" s="271">
        <f t="shared" si="1"/>
        <v>780</v>
      </c>
      <c r="L245" s="271">
        <v>3431.0</v>
      </c>
      <c r="M245" s="271">
        <v>-210.0</v>
      </c>
      <c r="N245" s="275">
        <v>15.0</v>
      </c>
      <c r="O245" s="60"/>
      <c r="P245" s="50">
        <v>15.0</v>
      </c>
      <c r="Q245" s="271">
        <v>6.0</v>
      </c>
      <c r="R245" s="276">
        <v>0.00152</v>
      </c>
      <c r="S245" s="271">
        <v>7.0</v>
      </c>
      <c r="T245" s="271">
        <v>22.0</v>
      </c>
      <c r="U245" s="62">
        <v>1.0</v>
      </c>
      <c r="V245" s="277">
        <v>0.25</v>
      </c>
      <c r="W245" s="277">
        <v>0.1</v>
      </c>
      <c r="X245" s="271">
        <v>14.0</v>
      </c>
      <c r="Y245" s="271">
        <v>8.0</v>
      </c>
      <c r="Z245" s="50" t="b">
        <v>1</v>
      </c>
      <c r="AA245" s="50" t="s">
        <v>138</v>
      </c>
      <c r="AB245" s="50" t="s">
        <v>138</v>
      </c>
    </row>
    <row r="246">
      <c r="A246" s="271" t="s">
        <v>148</v>
      </c>
      <c r="B246" s="271" t="s">
        <v>148</v>
      </c>
      <c r="C246" s="278">
        <v>43882.0</v>
      </c>
      <c r="D246" s="278">
        <v>43910.0</v>
      </c>
      <c r="E246" s="271" t="s">
        <v>331</v>
      </c>
      <c r="F246" s="101" t="s">
        <v>4</v>
      </c>
      <c r="G246" s="271" t="s">
        <v>5</v>
      </c>
      <c r="H246" s="273" t="s">
        <v>965</v>
      </c>
      <c r="I246" s="274">
        <v>25.0</v>
      </c>
      <c r="J246" s="271">
        <v>220.0</v>
      </c>
      <c r="K246" s="271">
        <f t="shared" si="1"/>
        <v>5500</v>
      </c>
      <c r="L246" s="271">
        <v>11232.0</v>
      </c>
      <c r="M246" s="271">
        <v>225.0</v>
      </c>
      <c r="N246" s="275">
        <v>93.0</v>
      </c>
      <c r="O246" s="60"/>
      <c r="P246" s="50">
        <v>93.0</v>
      </c>
      <c r="Q246" s="271">
        <v>173.0</v>
      </c>
      <c r="R246" s="276">
        <v>0.00152</v>
      </c>
      <c r="S246" s="271">
        <v>181.0</v>
      </c>
      <c r="T246" s="271">
        <v>274.0</v>
      </c>
      <c r="U246" s="62">
        <v>1.0</v>
      </c>
      <c r="V246" s="277">
        <v>0.25</v>
      </c>
      <c r="W246" s="277">
        <v>0.1</v>
      </c>
      <c r="X246" s="271">
        <v>178.0</v>
      </c>
      <c r="Y246" s="271">
        <v>96.0</v>
      </c>
      <c r="Z246" s="50" t="b">
        <v>1</v>
      </c>
      <c r="AA246" s="50" t="s">
        <v>138</v>
      </c>
      <c r="AB246" s="50" t="s">
        <v>138</v>
      </c>
    </row>
    <row r="247">
      <c r="A247" s="271" t="s">
        <v>148</v>
      </c>
      <c r="B247" s="271" t="s">
        <v>148</v>
      </c>
      <c r="C247" s="278">
        <v>43882.0</v>
      </c>
      <c r="D247" s="278">
        <v>43910.0</v>
      </c>
      <c r="E247" s="271" t="s">
        <v>331</v>
      </c>
      <c r="F247" s="101" t="s">
        <v>4</v>
      </c>
      <c r="G247" s="271" t="s">
        <v>5</v>
      </c>
      <c r="H247" s="273" t="s">
        <v>968</v>
      </c>
      <c r="I247" s="274">
        <v>25.0</v>
      </c>
      <c r="J247" s="271">
        <v>1088.0</v>
      </c>
      <c r="K247" s="271">
        <f t="shared" si="1"/>
        <v>27200</v>
      </c>
      <c r="L247" s="271">
        <v>28420.0</v>
      </c>
      <c r="M247" s="271">
        <v>1250.0</v>
      </c>
      <c r="N247" s="275">
        <v>539.0</v>
      </c>
      <c r="O247" s="60"/>
      <c r="P247" s="50">
        <v>539.0</v>
      </c>
      <c r="Q247" s="271">
        <v>-630.0</v>
      </c>
      <c r="R247" s="276">
        <v>0.00152</v>
      </c>
      <c r="S247" s="271">
        <v>-589.0</v>
      </c>
      <c r="T247" s="271">
        <v>-50.0</v>
      </c>
      <c r="U247" s="62">
        <v>1.0</v>
      </c>
      <c r="V247" s="277">
        <v>0.25</v>
      </c>
      <c r="W247" s="277">
        <v>0.1</v>
      </c>
      <c r="X247" s="271">
        <v>-32.0</v>
      </c>
      <c r="Y247" s="271">
        <v>-17.0</v>
      </c>
      <c r="Z247" s="50" t="b">
        <v>1</v>
      </c>
      <c r="AA247" s="50" t="s">
        <v>138</v>
      </c>
      <c r="AB247" s="50" t="s">
        <v>138</v>
      </c>
    </row>
    <row r="248">
      <c r="A248" s="271" t="s">
        <v>148</v>
      </c>
      <c r="B248" s="271" t="s">
        <v>148</v>
      </c>
      <c r="C248" s="278">
        <v>43882.0</v>
      </c>
      <c r="D248" s="278">
        <v>43910.0</v>
      </c>
      <c r="E248" s="271" t="s">
        <v>331</v>
      </c>
      <c r="F248" s="101" t="s">
        <v>12</v>
      </c>
      <c r="G248" s="271" t="s">
        <v>5</v>
      </c>
      <c r="H248" s="114" t="s">
        <v>969</v>
      </c>
      <c r="I248" s="274">
        <v>10.0</v>
      </c>
      <c r="J248" s="271">
        <v>1.0</v>
      </c>
      <c r="K248" s="271">
        <f t="shared" si="1"/>
        <v>10</v>
      </c>
      <c r="L248" s="271"/>
      <c r="M248" s="271">
        <v>0.0</v>
      </c>
      <c r="N248" s="275">
        <v>0.0</v>
      </c>
      <c r="O248" s="60"/>
      <c r="P248" s="50">
        <v>0.0</v>
      </c>
      <c r="Q248" s="271"/>
      <c r="R248" s="276">
        <v>0.0</v>
      </c>
      <c r="S248" s="271"/>
      <c r="T248" s="271">
        <v>0.0</v>
      </c>
      <c r="U248" s="62">
        <v>1.0</v>
      </c>
      <c r="V248" s="277">
        <v>0.25</v>
      </c>
      <c r="W248" s="277">
        <v>0.1</v>
      </c>
      <c r="X248" s="271">
        <v>0.0</v>
      </c>
      <c r="Y248" s="271">
        <v>0.0</v>
      </c>
      <c r="Z248" s="50" t="b">
        <v>1</v>
      </c>
      <c r="AA248" s="50" t="s">
        <v>138</v>
      </c>
      <c r="AB248" s="50" t="s">
        <v>138</v>
      </c>
    </row>
    <row r="249">
      <c r="A249" s="101" t="s">
        <v>199</v>
      </c>
      <c r="B249" s="101" t="s">
        <v>199</v>
      </c>
      <c r="C249" s="278">
        <v>43882.0</v>
      </c>
      <c r="D249" s="278">
        <v>43910.0</v>
      </c>
      <c r="E249" s="271" t="s">
        <v>268</v>
      </c>
      <c r="F249" s="101" t="s">
        <v>4</v>
      </c>
      <c r="G249" s="271" t="s">
        <v>5</v>
      </c>
      <c r="H249" s="114" t="s">
        <v>964</v>
      </c>
      <c r="I249" s="274">
        <v>10.0</v>
      </c>
      <c r="J249" s="271">
        <v>246.0</v>
      </c>
      <c r="K249" s="271">
        <f t="shared" si="1"/>
        <v>2460</v>
      </c>
      <c r="L249" s="271">
        <v>2110.0</v>
      </c>
      <c r="M249" s="271">
        <v>-520.0</v>
      </c>
      <c r="N249" s="275">
        <v>0.0</v>
      </c>
      <c r="O249" s="60"/>
      <c r="P249" s="50">
        <v>0.0</v>
      </c>
      <c r="Q249" s="271">
        <v>-152.0</v>
      </c>
      <c r="R249" s="276">
        <v>-0.0015</v>
      </c>
      <c r="S249" s="271">
        <v>-156.0</v>
      </c>
      <c r="T249" s="271">
        <v>-156.0</v>
      </c>
      <c r="U249" s="62">
        <v>1.0</v>
      </c>
      <c r="V249" s="277">
        <v>0.25</v>
      </c>
      <c r="W249" s="277">
        <v>0.0</v>
      </c>
      <c r="X249" s="271">
        <v>-117.0</v>
      </c>
      <c r="Y249" s="271">
        <v>-39.0</v>
      </c>
      <c r="Z249" s="50" t="b">
        <v>1</v>
      </c>
      <c r="AA249" s="50" t="s">
        <v>138</v>
      </c>
      <c r="AB249" s="50" t="s">
        <v>138</v>
      </c>
    </row>
    <row r="250">
      <c r="A250" s="101" t="s">
        <v>199</v>
      </c>
      <c r="B250" s="101" t="s">
        <v>199</v>
      </c>
      <c r="C250" s="278">
        <v>43882.0</v>
      </c>
      <c r="D250" s="278">
        <v>43910.0</v>
      </c>
      <c r="E250" s="271" t="s">
        <v>268</v>
      </c>
      <c r="F250" s="101" t="s">
        <v>4</v>
      </c>
      <c r="G250" s="271" t="s">
        <v>5</v>
      </c>
      <c r="H250" s="273" t="s">
        <v>970</v>
      </c>
      <c r="I250" s="274">
        <v>5.0</v>
      </c>
      <c r="J250" s="271">
        <v>434.0</v>
      </c>
      <c r="K250" s="271">
        <f t="shared" si="1"/>
        <v>2170</v>
      </c>
      <c r="L250" s="271">
        <v>22650.0</v>
      </c>
      <c r="M250" s="271">
        <v>300.0</v>
      </c>
      <c r="N250" s="275">
        <v>0.0</v>
      </c>
      <c r="O250" s="60"/>
      <c r="P250" s="50">
        <v>0.0</v>
      </c>
      <c r="Q250" s="271">
        <v>41.0</v>
      </c>
      <c r="R250" s="276">
        <v>-0.0015</v>
      </c>
      <c r="S250" s="271">
        <v>38.0</v>
      </c>
      <c r="T250" s="271">
        <v>38.0</v>
      </c>
      <c r="U250" s="62">
        <v>1.0</v>
      </c>
      <c r="V250" s="277">
        <v>0.25</v>
      </c>
      <c r="W250" s="277">
        <v>0.0</v>
      </c>
      <c r="X250" s="271">
        <v>28.0</v>
      </c>
      <c r="Y250" s="271">
        <v>9.0</v>
      </c>
      <c r="Z250" s="50" t="b">
        <v>1</v>
      </c>
      <c r="AA250" s="50" t="s">
        <v>138</v>
      </c>
      <c r="AB250" s="50" t="s">
        <v>138</v>
      </c>
    </row>
    <row r="251">
      <c r="A251" s="101" t="s">
        <v>199</v>
      </c>
      <c r="B251" s="101" t="s">
        <v>199</v>
      </c>
      <c r="C251" s="278">
        <v>43882.0</v>
      </c>
      <c r="D251" s="278">
        <v>43910.0</v>
      </c>
      <c r="E251" s="271" t="s">
        <v>268</v>
      </c>
      <c r="F251" s="101" t="s">
        <v>4</v>
      </c>
      <c r="G251" s="271" t="s">
        <v>5</v>
      </c>
      <c r="H251" s="273" t="s">
        <v>971</v>
      </c>
      <c r="I251" s="274">
        <v>5.0</v>
      </c>
      <c r="J251" s="271">
        <v>169.0</v>
      </c>
      <c r="K251" s="271">
        <f t="shared" si="1"/>
        <v>845</v>
      </c>
      <c r="L251" s="271">
        <v>21495.0</v>
      </c>
      <c r="M251" s="271">
        <v>-20.0</v>
      </c>
      <c r="N251" s="275">
        <v>0.0</v>
      </c>
      <c r="O251" s="60"/>
      <c r="P251" s="50">
        <v>0.0</v>
      </c>
      <c r="Q251" s="271">
        <v>118.0</v>
      </c>
      <c r="R251" s="276">
        <v>-0.0015</v>
      </c>
      <c r="S251" s="271">
        <v>117.0</v>
      </c>
      <c r="T251" s="271">
        <v>117.0</v>
      </c>
      <c r="U251" s="62">
        <v>1.0</v>
      </c>
      <c r="V251" s="277">
        <v>0.25</v>
      </c>
      <c r="W251" s="277">
        <v>0.0</v>
      </c>
      <c r="X251" s="271">
        <v>88.0</v>
      </c>
      <c r="Y251" s="271">
        <v>29.0</v>
      </c>
      <c r="Z251" s="50" t="b">
        <v>1</v>
      </c>
      <c r="AA251" s="50" t="s">
        <v>138</v>
      </c>
      <c r="AB251" s="50" t="s">
        <v>138</v>
      </c>
    </row>
    <row r="252">
      <c r="A252" s="271" t="s">
        <v>156</v>
      </c>
      <c r="B252" s="271" t="s">
        <v>156</v>
      </c>
      <c r="C252" s="278">
        <v>43882.0</v>
      </c>
      <c r="D252" s="278">
        <v>43910.0</v>
      </c>
      <c r="E252" s="271" t="s">
        <v>268</v>
      </c>
      <c r="F252" s="101" t="s">
        <v>12</v>
      </c>
      <c r="G252" s="271" t="s">
        <v>5</v>
      </c>
      <c r="H252" s="114" t="s">
        <v>964</v>
      </c>
      <c r="I252" s="274">
        <v>10.0</v>
      </c>
      <c r="J252" s="271">
        <v>279.0</v>
      </c>
      <c r="K252" s="271">
        <f t="shared" si="1"/>
        <v>2790</v>
      </c>
      <c r="L252" s="271"/>
      <c r="M252" s="271">
        <v>160.0</v>
      </c>
      <c r="N252" s="275">
        <v>7.0</v>
      </c>
      <c r="O252" s="60"/>
      <c r="P252" s="50">
        <v>7.0</v>
      </c>
      <c r="Q252" s="271"/>
      <c r="R252" s="276">
        <v>0.0</v>
      </c>
      <c r="S252" s="271"/>
      <c r="T252" s="271">
        <v>167.0</v>
      </c>
      <c r="U252" s="62">
        <v>1.0</v>
      </c>
      <c r="V252" s="277">
        <v>0.35</v>
      </c>
      <c r="W252" s="277">
        <v>0.0</v>
      </c>
      <c r="X252" s="271">
        <v>109.0</v>
      </c>
      <c r="Y252" s="271">
        <v>58.0</v>
      </c>
      <c r="Z252" s="50" t="b">
        <v>1</v>
      </c>
      <c r="AA252" s="50" t="s">
        <v>138</v>
      </c>
      <c r="AB252" s="50" t="s">
        <v>138</v>
      </c>
    </row>
    <row r="253">
      <c r="A253" s="271" t="s">
        <v>156</v>
      </c>
      <c r="B253" s="271" t="s">
        <v>156</v>
      </c>
      <c r="C253" s="278">
        <v>43882.0</v>
      </c>
      <c r="D253" s="278">
        <v>43910.0</v>
      </c>
      <c r="E253" s="271" t="s">
        <v>268</v>
      </c>
      <c r="F253" s="101" t="s">
        <v>4</v>
      </c>
      <c r="G253" s="271" t="s">
        <v>5</v>
      </c>
      <c r="H253" s="273" t="s">
        <v>966</v>
      </c>
      <c r="I253" s="274">
        <v>50.0</v>
      </c>
      <c r="J253" s="271">
        <v>872.0</v>
      </c>
      <c r="K253" s="271">
        <f t="shared" si="1"/>
        <v>43600</v>
      </c>
      <c r="L253" s="271">
        <v>30144.0</v>
      </c>
      <c r="M253" s="271">
        <v>-250.0</v>
      </c>
      <c r="N253" s="275">
        <v>91.0</v>
      </c>
      <c r="O253" s="60"/>
      <c r="P253" s="50">
        <v>91.0</v>
      </c>
      <c r="Q253" s="271">
        <v>27.0</v>
      </c>
      <c r="R253" s="276">
        <v>0.00152</v>
      </c>
      <c r="S253" s="271">
        <v>93.0</v>
      </c>
      <c r="T253" s="271">
        <v>184.0</v>
      </c>
      <c r="U253" s="62">
        <v>1.0</v>
      </c>
      <c r="V253" s="277">
        <v>0.35</v>
      </c>
      <c r="W253" s="277">
        <v>0.0</v>
      </c>
      <c r="X253" s="271">
        <v>120.0</v>
      </c>
      <c r="Y253" s="271">
        <v>64.0</v>
      </c>
      <c r="Z253" s="50" t="b">
        <v>1</v>
      </c>
      <c r="AA253" s="50" t="s">
        <v>138</v>
      </c>
      <c r="AB253" s="50" t="s">
        <v>138</v>
      </c>
    </row>
    <row r="254">
      <c r="A254" s="271" t="s">
        <v>156</v>
      </c>
      <c r="B254" s="271" t="s">
        <v>156</v>
      </c>
      <c r="C254" s="278">
        <v>43882.0</v>
      </c>
      <c r="D254" s="278">
        <v>43910.0</v>
      </c>
      <c r="E254" s="271" t="s">
        <v>268</v>
      </c>
      <c r="F254" s="101" t="s">
        <v>12</v>
      </c>
      <c r="G254" s="271" t="s">
        <v>5</v>
      </c>
      <c r="H254" s="273" t="s">
        <v>970</v>
      </c>
      <c r="I254" s="274">
        <v>5.0</v>
      </c>
      <c r="J254" s="271">
        <v>4.0</v>
      </c>
      <c r="K254" s="271">
        <f t="shared" si="1"/>
        <v>20</v>
      </c>
      <c r="L254" s="271"/>
      <c r="M254" s="271">
        <v>60.0</v>
      </c>
      <c r="N254" s="275">
        <v>0.0</v>
      </c>
      <c r="O254" s="60"/>
      <c r="P254" s="50">
        <v>0.0</v>
      </c>
      <c r="Q254" s="271"/>
      <c r="R254" s="276">
        <v>0.0</v>
      </c>
      <c r="S254" s="271"/>
      <c r="T254" s="271">
        <v>60.0</v>
      </c>
      <c r="U254" s="62">
        <v>1.0</v>
      </c>
      <c r="V254" s="277">
        <v>0.35</v>
      </c>
      <c r="W254" s="277">
        <v>0.0</v>
      </c>
      <c r="X254" s="271">
        <v>39.0</v>
      </c>
      <c r="Y254" s="271">
        <v>21.0</v>
      </c>
      <c r="Z254" s="50" t="b">
        <v>1</v>
      </c>
      <c r="AA254" s="50" t="s">
        <v>138</v>
      </c>
      <c r="AB254" s="50" t="s">
        <v>138</v>
      </c>
    </row>
    <row r="255">
      <c r="A255" s="271" t="s">
        <v>156</v>
      </c>
      <c r="B255" s="271" t="s">
        <v>156</v>
      </c>
      <c r="C255" s="278">
        <v>43882.0</v>
      </c>
      <c r="D255" s="278">
        <v>43910.0</v>
      </c>
      <c r="E255" s="271" t="s">
        <v>268</v>
      </c>
      <c r="F255" s="101" t="s">
        <v>4</v>
      </c>
      <c r="G255" s="271" t="s">
        <v>5</v>
      </c>
      <c r="H255" s="273" t="s">
        <v>965</v>
      </c>
      <c r="I255" s="274">
        <v>25.0</v>
      </c>
      <c r="J255" s="271">
        <v>79.0</v>
      </c>
      <c r="K255" s="271">
        <f t="shared" si="1"/>
        <v>1975</v>
      </c>
      <c r="L255" s="271">
        <v>3882.0</v>
      </c>
      <c r="M255" s="271">
        <v>350.0</v>
      </c>
      <c r="N255" s="275">
        <v>4.0</v>
      </c>
      <c r="O255" s="60"/>
      <c r="P255" s="50">
        <v>4.0</v>
      </c>
      <c r="Q255" s="271">
        <v>55.0</v>
      </c>
      <c r="R255" s="276">
        <v>0.00152</v>
      </c>
      <c r="S255" s="271">
        <v>58.0</v>
      </c>
      <c r="T255" s="271">
        <v>62.0</v>
      </c>
      <c r="U255" s="62">
        <v>1.0</v>
      </c>
      <c r="V255" s="277">
        <v>0.35</v>
      </c>
      <c r="W255" s="277">
        <v>0.0</v>
      </c>
      <c r="X255" s="271">
        <v>40.0</v>
      </c>
      <c r="Y255" s="271">
        <v>22.0</v>
      </c>
      <c r="Z255" s="50" t="b">
        <v>1</v>
      </c>
      <c r="AA255" s="50" t="s">
        <v>138</v>
      </c>
      <c r="AB255" s="50" t="s">
        <v>138</v>
      </c>
    </row>
    <row r="256">
      <c r="A256" s="271" t="s">
        <v>156</v>
      </c>
      <c r="B256" s="271" t="s">
        <v>156</v>
      </c>
      <c r="C256" s="278">
        <v>43882.0</v>
      </c>
      <c r="D256" s="278">
        <v>43910.0</v>
      </c>
      <c r="E256" s="271" t="s">
        <v>268</v>
      </c>
      <c r="F256" s="101" t="s">
        <v>12</v>
      </c>
      <c r="G256" s="271" t="s">
        <v>5</v>
      </c>
      <c r="H256" s="273" t="s">
        <v>972</v>
      </c>
      <c r="I256" s="274">
        <v>5.0</v>
      </c>
      <c r="J256" s="271">
        <v>14.0</v>
      </c>
      <c r="K256" s="271">
        <f t="shared" si="1"/>
        <v>70</v>
      </c>
      <c r="L256" s="271"/>
      <c r="M256" s="271">
        <v>0.0</v>
      </c>
      <c r="N256" s="275">
        <v>0.0</v>
      </c>
      <c r="O256" s="60"/>
      <c r="P256" s="50">
        <v>0.0</v>
      </c>
      <c r="Q256" s="271"/>
      <c r="R256" s="276">
        <v>0.0</v>
      </c>
      <c r="S256" s="271"/>
      <c r="T256" s="271">
        <v>0.0</v>
      </c>
      <c r="U256" s="62">
        <v>1.0</v>
      </c>
      <c r="V256" s="277">
        <v>0.35</v>
      </c>
      <c r="W256" s="277">
        <v>0.0</v>
      </c>
      <c r="X256" s="271">
        <v>0.0</v>
      </c>
      <c r="Y256" s="271">
        <v>0.0</v>
      </c>
      <c r="Z256" s="50" t="b">
        <v>1</v>
      </c>
      <c r="AA256" s="50" t="s">
        <v>138</v>
      </c>
      <c r="AB256" s="50" t="s">
        <v>138</v>
      </c>
    </row>
    <row r="257">
      <c r="A257" s="271" t="s">
        <v>546</v>
      </c>
      <c r="B257" s="271" t="s">
        <v>546</v>
      </c>
      <c r="C257" s="278">
        <v>43904.0</v>
      </c>
      <c r="D257" s="278">
        <v>43910.0</v>
      </c>
      <c r="E257" s="271" t="s">
        <v>268</v>
      </c>
      <c r="F257" s="101" t="s">
        <v>4</v>
      </c>
      <c r="G257" s="271" t="s">
        <v>5</v>
      </c>
      <c r="H257" s="273" t="s">
        <v>965</v>
      </c>
      <c r="I257" s="274">
        <v>25.0</v>
      </c>
      <c r="J257" s="271">
        <v>1008.0</v>
      </c>
      <c r="K257" s="271">
        <f t="shared" si="1"/>
        <v>25200</v>
      </c>
      <c r="L257" s="271">
        <v>44491.0</v>
      </c>
      <c r="M257" s="271">
        <v>550.0</v>
      </c>
      <c r="N257" s="275">
        <v>93.0</v>
      </c>
      <c r="O257" s="60"/>
      <c r="P257" s="50">
        <v>93.0</v>
      </c>
      <c r="Q257" s="271">
        <v>466.0</v>
      </c>
      <c r="R257" s="276">
        <v>0.00152</v>
      </c>
      <c r="S257" s="271">
        <v>505.0</v>
      </c>
      <c r="T257" s="271">
        <v>598.0</v>
      </c>
      <c r="U257" s="62">
        <v>1.0</v>
      </c>
      <c r="V257" s="277">
        <v>0.205</v>
      </c>
      <c r="W257" s="277">
        <v>0.0</v>
      </c>
      <c r="X257" s="271">
        <v>475.0</v>
      </c>
      <c r="Y257" s="271">
        <v>123.0</v>
      </c>
      <c r="Z257" s="50" t="b">
        <v>1</v>
      </c>
      <c r="AA257" s="50" t="s">
        <v>138</v>
      </c>
      <c r="AB257" s="50" t="s">
        <v>138</v>
      </c>
    </row>
    <row r="258">
      <c r="A258" s="271" t="s">
        <v>216</v>
      </c>
      <c r="B258" s="271" t="s">
        <v>942</v>
      </c>
      <c r="C258" s="278">
        <v>43882.0</v>
      </c>
      <c r="D258" s="278">
        <v>43910.0</v>
      </c>
      <c r="E258" s="271" t="s">
        <v>268</v>
      </c>
      <c r="F258" s="101" t="s">
        <v>4</v>
      </c>
      <c r="G258" s="271" t="s">
        <v>22</v>
      </c>
      <c r="H258" s="273" t="s">
        <v>80</v>
      </c>
      <c r="I258" s="274">
        <v>50.0</v>
      </c>
      <c r="J258" s="271">
        <v>31.0</v>
      </c>
      <c r="K258" s="271">
        <f t="shared" si="1"/>
        <v>1550</v>
      </c>
      <c r="L258" s="271">
        <v>933.0</v>
      </c>
      <c r="M258" s="271">
        <v>-150.0</v>
      </c>
      <c r="N258" s="275">
        <v>0.0</v>
      </c>
      <c r="O258" s="60"/>
      <c r="P258" s="50">
        <v>0.0</v>
      </c>
      <c r="Q258" s="271">
        <v>-32.0</v>
      </c>
      <c r="R258" s="276">
        <v>0.00152</v>
      </c>
      <c r="S258" s="271">
        <v>-29.0</v>
      </c>
      <c r="T258" s="271">
        <v>-29.0</v>
      </c>
      <c r="U258" s="62">
        <v>1.076</v>
      </c>
      <c r="V258" s="277">
        <v>0.3</v>
      </c>
      <c r="W258" s="277">
        <v>0.0</v>
      </c>
      <c r="X258" s="271">
        <v>-22.0</v>
      </c>
      <c r="Y258" s="271">
        <v>-9.0</v>
      </c>
      <c r="Z258" s="50" t="b">
        <v>1</v>
      </c>
      <c r="AA258" s="50" t="s">
        <v>138</v>
      </c>
      <c r="AB258" s="50" t="s">
        <v>140</v>
      </c>
    </row>
    <row r="259">
      <c r="A259" s="271" t="s">
        <v>216</v>
      </c>
      <c r="B259" s="271" t="s">
        <v>942</v>
      </c>
      <c r="C259" s="278">
        <v>43882.0</v>
      </c>
      <c r="D259" s="278">
        <v>43910.0</v>
      </c>
      <c r="E259" s="271" t="s">
        <v>268</v>
      </c>
      <c r="F259" s="101" t="s">
        <v>4</v>
      </c>
      <c r="G259" s="271" t="s">
        <v>22</v>
      </c>
      <c r="H259" s="273" t="s">
        <v>68</v>
      </c>
      <c r="I259" s="274">
        <v>25.0</v>
      </c>
      <c r="J259" s="271">
        <v>402.0</v>
      </c>
      <c r="K259" s="271">
        <f t="shared" si="1"/>
        <v>10050</v>
      </c>
      <c r="L259" s="271">
        <v>21403.0</v>
      </c>
      <c r="M259" s="271">
        <v>225.0</v>
      </c>
      <c r="N259" s="275">
        <v>0.0</v>
      </c>
      <c r="O259" s="60"/>
      <c r="P259" s="50">
        <v>0.0</v>
      </c>
      <c r="Q259" s="271">
        <v>225.0</v>
      </c>
      <c r="R259" s="276">
        <v>0.00152</v>
      </c>
      <c r="S259" s="271">
        <v>241.0</v>
      </c>
      <c r="T259" s="271">
        <v>241.0</v>
      </c>
      <c r="U259" s="62">
        <v>1.076</v>
      </c>
      <c r="V259" s="277">
        <v>0.3</v>
      </c>
      <c r="W259" s="277">
        <v>0.0</v>
      </c>
      <c r="X259" s="271">
        <v>181.0</v>
      </c>
      <c r="Y259" s="271">
        <v>78.0</v>
      </c>
      <c r="Z259" s="50" t="b">
        <v>1</v>
      </c>
      <c r="AA259" s="50" t="s">
        <v>138</v>
      </c>
      <c r="AB259" s="50" t="s">
        <v>140</v>
      </c>
    </row>
    <row r="260">
      <c r="A260" s="271" t="s">
        <v>216</v>
      </c>
      <c r="B260" s="271" t="s">
        <v>216</v>
      </c>
      <c r="C260" s="278">
        <v>43882.0</v>
      </c>
      <c r="D260" s="278">
        <v>43910.0</v>
      </c>
      <c r="E260" s="271" t="s">
        <v>268</v>
      </c>
      <c r="F260" s="101" t="s">
        <v>4</v>
      </c>
      <c r="G260" s="271" t="s">
        <v>5</v>
      </c>
      <c r="H260" s="273" t="s">
        <v>966</v>
      </c>
      <c r="I260" s="274">
        <v>50.0</v>
      </c>
      <c r="J260" s="271">
        <v>596.0</v>
      </c>
      <c r="K260" s="271">
        <f t="shared" si="1"/>
        <v>29800</v>
      </c>
      <c r="L260" s="271">
        <v>22081.0</v>
      </c>
      <c r="M260" s="271">
        <v>-2600.0</v>
      </c>
      <c r="N260" s="275">
        <v>0.0</v>
      </c>
      <c r="O260" s="60"/>
      <c r="P260" s="50">
        <v>0.0</v>
      </c>
      <c r="Q260" s="271">
        <v>96.0</v>
      </c>
      <c r="R260" s="276">
        <v>0.00152</v>
      </c>
      <c r="S260" s="271">
        <v>141.0</v>
      </c>
      <c r="T260" s="271">
        <v>141.0</v>
      </c>
      <c r="U260" s="62">
        <v>1.0</v>
      </c>
      <c r="V260" s="277">
        <v>0.3</v>
      </c>
      <c r="W260" s="277">
        <v>0.0</v>
      </c>
      <c r="X260" s="271">
        <v>99.0</v>
      </c>
      <c r="Y260" s="271">
        <v>42.0</v>
      </c>
      <c r="Z260" s="50" t="b">
        <v>1</v>
      </c>
      <c r="AA260" s="50" t="s">
        <v>138</v>
      </c>
      <c r="AB260" s="50" t="s">
        <v>138</v>
      </c>
    </row>
    <row r="261">
      <c r="A261" s="271" t="s">
        <v>216</v>
      </c>
      <c r="B261" s="271" t="s">
        <v>216</v>
      </c>
      <c r="C261" s="278">
        <v>43882.0</v>
      </c>
      <c r="D261" s="278">
        <v>43910.0</v>
      </c>
      <c r="E261" s="271" t="s">
        <v>268</v>
      </c>
      <c r="F261" s="101" t="s">
        <v>4</v>
      </c>
      <c r="G261" s="271" t="s">
        <v>5</v>
      </c>
      <c r="H261" s="273" t="s">
        <v>965</v>
      </c>
      <c r="I261" s="274">
        <v>25.0</v>
      </c>
      <c r="J261" s="271">
        <v>458.0</v>
      </c>
      <c r="K261" s="271">
        <f t="shared" si="1"/>
        <v>11450</v>
      </c>
      <c r="L261" s="271">
        <v>8604.0</v>
      </c>
      <c r="M261" s="271">
        <v>175.0</v>
      </c>
      <c r="N261" s="275">
        <v>0.0</v>
      </c>
      <c r="O261" s="60"/>
      <c r="P261" s="50">
        <v>0.0</v>
      </c>
      <c r="Q261" s="271">
        <v>-353.0</v>
      </c>
      <c r="R261" s="276">
        <v>0.00152</v>
      </c>
      <c r="S261" s="271">
        <v>-336.0</v>
      </c>
      <c r="T261" s="271">
        <v>-336.0</v>
      </c>
      <c r="U261" s="62">
        <v>1.0</v>
      </c>
      <c r="V261" s="277">
        <v>0.3</v>
      </c>
      <c r="W261" s="277">
        <v>0.0</v>
      </c>
      <c r="X261" s="271">
        <v>-235.0</v>
      </c>
      <c r="Y261" s="271">
        <v>-101.0</v>
      </c>
      <c r="Z261" s="50" t="b">
        <v>1</v>
      </c>
      <c r="AA261" s="50" t="s">
        <v>138</v>
      </c>
      <c r="AB261" s="50" t="s">
        <v>138</v>
      </c>
    </row>
    <row r="262">
      <c r="A262" s="271" t="s">
        <v>216</v>
      </c>
      <c r="B262" s="271" t="s">
        <v>216</v>
      </c>
      <c r="C262" s="278">
        <v>43882.0</v>
      </c>
      <c r="D262" s="278">
        <v>43910.0</v>
      </c>
      <c r="E262" s="271" t="s">
        <v>268</v>
      </c>
      <c r="F262" s="101" t="s">
        <v>4</v>
      </c>
      <c r="G262" s="271" t="s">
        <v>5</v>
      </c>
      <c r="H262" s="273" t="s">
        <v>968</v>
      </c>
      <c r="I262" s="274">
        <v>25.0</v>
      </c>
      <c r="J262" s="271">
        <v>831.0</v>
      </c>
      <c r="K262" s="271">
        <f t="shared" si="1"/>
        <v>20775</v>
      </c>
      <c r="L262" s="271">
        <v>36082.0</v>
      </c>
      <c r="M262" s="271">
        <v>325.0</v>
      </c>
      <c r="N262" s="275">
        <v>0.0</v>
      </c>
      <c r="O262" s="60"/>
      <c r="P262" s="50">
        <v>0.0</v>
      </c>
      <c r="Q262" s="271">
        <v>140.0</v>
      </c>
      <c r="R262" s="276">
        <v>0.00152</v>
      </c>
      <c r="S262" s="271">
        <v>171.0</v>
      </c>
      <c r="T262" s="271">
        <v>171.0</v>
      </c>
      <c r="U262" s="62">
        <v>1.0</v>
      </c>
      <c r="V262" s="277">
        <v>0.3</v>
      </c>
      <c r="W262" s="277">
        <v>0.0</v>
      </c>
      <c r="X262" s="271">
        <v>120.0</v>
      </c>
      <c r="Y262" s="271">
        <v>51.0</v>
      </c>
      <c r="Z262" s="50" t="b">
        <v>1</v>
      </c>
      <c r="AA262" s="50" t="s">
        <v>138</v>
      </c>
      <c r="AB262" s="50" t="s">
        <v>138</v>
      </c>
    </row>
    <row r="263">
      <c r="A263" s="271" t="s">
        <v>216</v>
      </c>
      <c r="B263" s="271" t="s">
        <v>216</v>
      </c>
      <c r="C263" s="278">
        <v>43882.0</v>
      </c>
      <c r="D263" s="278">
        <v>43910.0</v>
      </c>
      <c r="E263" s="271" t="s">
        <v>268</v>
      </c>
      <c r="F263" s="101" t="s">
        <v>4</v>
      </c>
      <c r="G263" s="271" t="s">
        <v>5</v>
      </c>
      <c r="H263" s="273" t="s">
        <v>973</v>
      </c>
      <c r="I263" s="274">
        <v>25.0</v>
      </c>
      <c r="J263" s="271">
        <v>5.0</v>
      </c>
      <c r="K263" s="271">
        <f t="shared" si="1"/>
        <v>125</v>
      </c>
      <c r="L263" s="271">
        <v>52.0</v>
      </c>
      <c r="M263" s="271">
        <v>25.0</v>
      </c>
      <c r="N263" s="275">
        <v>0.0</v>
      </c>
      <c r="O263" s="60"/>
      <c r="P263" s="50">
        <v>0.0</v>
      </c>
      <c r="Q263" s="271">
        <v>-5.0</v>
      </c>
      <c r="R263" s="276">
        <v>0.00152</v>
      </c>
      <c r="S263" s="271">
        <v>-5.0</v>
      </c>
      <c r="T263" s="271">
        <v>-5.0</v>
      </c>
      <c r="U263" s="62">
        <v>1.0</v>
      </c>
      <c r="V263" s="277">
        <v>0.3</v>
      </c>
      <c r="W263" s="277">
        <v>0.0</v>
      </c>
      <c r="X263" s="271">
        <v>-3.0</v>
      </c>
      <c r="Y263" s="271">
        <v>-1.0</v>
      </c>
      <c r="Z263" s="50" t="b">
        <v>1</v>
      </c>
      <c r="AA263" s="50" t="s">
        <v>138</v>
      </c>
      <c r="AB263" s="50" t="s">
        <v>138</v>
      </c>
    </row>
    <row r="264">
      <c r="A264" s="271" t="s">
        <v>177</v>
      </c>
      <c r="B264" s="271" t="s">
        <v>177</v>
      </c>
      <c r="C264" s="278">
        <v>43891.0</v>
      </c>
      <c r="D264" s="278">
        <v>43921.0</v>
      </c>
      <c r="E264" s="271" t="s">
        <v>331</v>
      </c>
      <c r="F264" s="101" t="s">
        <v>8</v>
      </c>
      <c r="G264" s="271" t="s">
        <v>5</v>
      </c>
      <c r="H264" s="273" t="s">
        <v>954</v>
      </c>
      <c r="I264" s="274">
        <v>100.0</v>
      </c>
      <c r="J264" s="271">
        <v>3033.0</v>
      </c>
      <c r="K264" s="271">
        <f t="shared" si="1"/>
        <v>303300</v>
      </c>
      <c r="L264" s="271">
        <v>140430.0</v>
      </c>
      <c r="M264" s="271">
        <v>6100.0</v>
      </c>
      <c r="N264" s="275">
        <v>1310.0</v>
      </c>
      <c r="O264" s="60"/>
      <c r="P264" s="109">
        <v>1310.0</v>
      </c>
      <c r="Q264" s="271">
        <v>10153.0</v>
      </c>
      <c r="R264" s="276">
        <v>4.21E-4</v>
      </c>
      <c r="S264" s="271">
        <v>10281.0</v>
      </c>
      <c r="T264" s="271">
        <v>11591.0</v>
      </c>
      <c r="U264" s="62">
        <v>1.0</v>
      </c>
      <c r="V264" s="277">
        <v>0.1688</v>
      </c>
      <c r="W264" s="277">
        <v>0.0563</v>
      </c>
      <c r="X264" s="271">
        <v>8982.0</v>
      </c>
      <c r="Y264" s="271">
        <v>2609.0</v>
      </c>
      <c r="Z264" s="50" t="b">
        <v>1</v>
      </c>
      <c r="AA264" s="50" t="s">
        <v>138</v>
      </c>
      <c r="AB264" s="50" t="s">
        <v>138</v>
      </c>
    </row>
    <row r="265">
      <c r="A265" s="271" t="s">
        <v>459</v>
      </c>
      <c r="B265" s="271" t="s">
        <v>912</v>
      </c>
      <c r="C265" s="278">
        <v>43891.0</v>
      </c>
      <c r="D265" s="278">
        <v>43921.0</v>
      </c>
      <c r="E265" s="271" t="s">
        <v>331</v>
      </c>
      <c r="F265" s="101" t="s">
        <v>8</v>
      </c>
      <c r="G265" s="271" t="s">
        <v>9</v>
      </c>
      <c r="H265" s="273" t="s">
        <v>68</v>
      </c>
      <c r="I265" s="274">
        <v>25.0</v>
      </c>
      <c r="J265" s="271">
        <v>1502.0</v>
      </c>
      <c r="K265" s="271">
        <f t="shared" si="1"/>
        <v>37550</v>
      </c>
      <c r="L265" s="271">
        <v>110584.0</v>
      </c>
      <c r="M265" s="271">
        <v>4175.0</v>
      </c>
      <c r="N265" s="275">
        <v>770.0</v>
      </c>
      <c r="O265" s="60"/>
      <c r="P265" s="50">
        <v>770.0</v>
      </c>
      <c r="Q265" s="271">
        <v>1698.0</v>
      </c>
      <c r="R265" s="276">
        <v>4.75E-4</v>
      </c>
      <c r="S265" s="271">
        <v>1716.0</v>
      </c>
      <c r="T265" s="271">
        <v>2486.0</v>
      </c>
      <c r="U265" s="62">
        <v>1.0</v>
      </c>
      <c r="V265" s="277">
        <v>0.235</v>
      </c>
      <c r="W265" s="277">
        <v>0.11</v>
      </c>
      <c r="X265" s="271">
        <v>1628.0</v>
      </c>
      <c r="Y265" s="271">
        <v>858.0</v>
      </c>
      <c r="Z265" s="50" t="b">
        <v>1</v>
      </c>
      <c r="AA265" s="50" t="s">
        <v>140</v>
      </c>
      <c r="AB265" s="50" t="s">
        <v>140</v>
      </c>
    </row>
    <row r="266">
      <c r="A266" s="280" t="s">
        <v>267</v>
      </c>
      <c r="B266" s="280" t="s">
        <v>267</v>
      </c>
      <c r="C266" s="272">
        <v>43911.0</v>
      </c>
      <c r="D266" s="272">
        <v>43941.0</v>
      </c>
      <c r="E266" s="271" t="s">
        <v>268</v>
      </c>
      <c r="F266" s="138" t="s">
        <v>4</v>
      </c>
      <c r="G266" s="280" t="s">
        <v>5</v>
      </c>
      <c r="H266" s="114" t="s">
        <v>964</v>
      </c>
      <c r="I266" s="281">
        <v>10.0</v>
      </c>
      <c r="J266" s="280">
        <v>214.0</v>
      </c>
      <c r="K266" s="271">
        <f t="shared" si="1"/>
        <v>2140</v>
      </c>
      <c r="L266" s="280">
        <v>15301.0</v>
      </c>
      <c r="M266" s="280">
        <v>100.0</v>
      </c>
      <c r="N266" s="275"/>
      <c r="O266" s="60"/>
      <c r="P266" s="101"/>
      <c r="Q266" s="280">
        <v>99.0</v>
      </c>
      <c r="R266" s="276">
        <v>-8.2E-4</v>
      </c>
      <c r="S266" s="280">
        <v>97.0</v>
      </c>
      <c r="T266" s="280">
        <v>97.0</v>
      </c>
      <c r="U266" s="62">
        <v>1.0</v>
      </c>
      <c r="V266" s="277">
        <v>0.35</v>
      </c>
      <c r="W266" s="277">
        <v>0.0</v>
      </c>
      <c r="X266" s="280">
        <v>63.0</v>
      </c>
      <c r="Y266" s="280">
        <v>34.0</v>
      </c>
      <c r="Z266" s="50" t="b">
        <v>1</v>
      </c>
      <c r="AA266" s="50" t="s">
        <v>138</v>
      </c>
      <c r="AB266" s="50" t="s">
        <v>138</v>
      </c>
    </row>
    <row r="267">
      <c r="A267" s="280" t="s">
        <v>267</v>
      </c>
      <c r="B267" s="280" t="s">
        <v>267</v>
      </c>
      <c r="C267" s="272">
        <v>43911.0</v>
      </c>
      <c r="D267" s="272">
        <v>43941.0</v>
      </c>
      <c r="E267" s="271" t="s">
        <v>268</v>
      </c>
      <c r="F267" s="138" t="s">
        <v>4</v>
      </c>
      <c r="G267" s="280" t="s">
        <v>5</v>
      </c>
      <c r="H267" s="273" t="s">
        <v>965</v>
      </c>
      <c r="I267" s="281">
        <v>25.0</v>
      </c>
      <c r="J267" s="280">
        <v>772.0</v>
      </c>
      <c r="K267" s="271">
        <f t="shared" si="1"/>
        <v>19300</v>
      </c>
      <c r="L267" s="280">
        <v>37652.0</v>
      </c>
      <c r="M267" s="280">
        <v>-750.0</v>
      </c>
      <c r="N267" s="282">
        <v>40.0</v>
      </c>
      <c r="O267" s="60"/>
      <c r="P267" s="50">
        <v>40.0</v>
      </c>
      <c r="Q267" s="280">
        <v>524.0</v>
      </c>
      <c r="R267" s="276">
        <v>-8.2E-4</v>
      </c>
      <c r="S267" s="280">
        <v>509.0</v>
      </c>
      <c r="T267" s="280">
        <v>549.0</v>
      </c>
      <c r="U267" s="62">
        <v>1.0</v>
      </c>
      <c r="V267" s="277">
        <v>0.35</v>
      </c>
      <c r="W267" s="277">
        <v>0.0</v>
      </c>
      <c r="X267" s="280">
        <v>357.0</v>
      </c>
      <c r="Y267" s="280">
        <v>192.0</v>
      </c>
      <c r="Z267" s="50" t="b">
        <v>1</v>
      </c>
      <c r="AA267" s="50" t="s">
        <v>138</v>
      </c>
      <c r="AB267" s="50" t="s">
        <v>138</v>
      </c>
    </row>
    <row r="268">
      <c r="A268" s="280" t="s">
        <v>267</v>
      </c>
      <c r="B268" s="280" t="s">
        <v>267</v>
      </c>
      <c r="C268" s="272">
        <v>43911.0</v>
      </c>
      <c r="D268" s="272">
        <v>43941.0</v>
      </c>
      <c r="E268" s="271" t="s">
        <v>268</v>
      </c>
      <c r="F268" s="138" t="s">
        <v>4</v>
      </c>
      <c r="G268" s="280" t="s">
        <v>5</v>
      </c>
      <c r="H268" s="273" t="s">
        <v>966</v>
      </c>
      <c r="I268" s="281">
        <v>50.0</v>
      </c>
      <c r="J268" s="280">
        <v>42.0</v>
      </c>
      <c r="K268" s="271">
        <f t="shared" si="1"/>
        <v>2100</v>
      </c>
      <c r="L268" s="280">
        <v>71.0</v>
      </c>
      <c r="M268" s="280">
        <v>250.0</v>
      </c>
      <c r="N268" s="275"/>
      <c r="O268" s="60"/>
      <c r="P268" s="101"/>
      <c r="Q268" s="280">
        <v>-128.0</v>
      </c>
      <c r="R268" s="276">
        <v>-8.2E-4</v>
      </c>
      <c r="S268" s="280">
        <v>-129.0</v>
      </c>
      <c r="T268" s="280">
        <v>-129.0</v>
      </c>
      <c r="U268" s="62">
        <v>1.0</v>
      </c>
      <c r="V268" s="277">
        <v>0.35</v>
      </c>
      <c r="W268" s="277">
        <v>0.0</v>
      </c>
      <c r="X268" s="280">
        <v>-84.0</v>
      </c>
      <c r="Y268" s="280">
        <v>-45.0</v>
      </c>
      <c r="Z268" s="50" t="b">
        <v>1</v>
      </c>
      <c r="AA268" s="50" t="s">
        <v>138</v>
      </c>
      <c r="AB268" s="50" t="s">
        <v>138</v>
      </c>
    </row>
    <row r="269">
      <c r="A269" s="280" t="s">
        <v>148</v>
      </c>
      <c r="B269" s="280" t="s">
        <v>148</v>
      </c>
      <c r="C269" s="283">
        <v>43911.0</v>
      </c>
      <c r="D269" s="283">
        <v>43941.0</v>
      </c>
      <c r="E269" s="271" t="s">
        <v>331</v>
      </c>
      <c r="F269" s="138" t="s">
        <v>4</v>
      </c>
      <c r="G269" s="280" t="s">
        <v>5</v>
      </c>
      <c r="H269" s="273" t="s">
        <v>965</v>
      </c>
      <c r="I269" s="281">
        <v>25.0</v>
      </c>
      <c r="J269" s="280">
        <v>897.0</v>
      </c>
      <c r="K269" s="271">
        <f t="shared" si="1"/>
        <v>22425</v>
      </c>
      <c r="L269" s="280">
        <v>55265.0</v>
      </c>
      <c r="M269" s="280">
        <v>525.0</v>
      </c>
      <c r="N269" s="282">
        <v>179.0</v>
      </c>
      <c r="O269" s="60"/>
      <c r="P269" s="50">
        <v>179.0</v>
      </c>
      <c r="Q269" s="280">
        <v>1147.0</v>
      </c>
      <c r="R269" s="276">
        <v>-8.2E-4</v>
      </c>
      <c r="S269" s="280">
        <v>1129.0</v>
      </c>
      <c r="T269" s="280">
        <v>1308.0</v>
      </c>
      <c r="U269" s="62">
        <v>1.0</v>
      </c>
      <c r="V269" s="277">
        <v>0.25</v>
      </c>
      <c r="W269" s="277">
        <v>0.1</v>
      </c>
      <c r="X269" s="280">
        <v>850.0</v>
      </c>
      <c r="Y269" s="280">
        <v>458.0</v>
      </c>
      <c r="Z269" s="50" t="b">
        <v>1</v>
      </c>
      <c r="AA269" s="50" t="s">
        <v>138</v>
      </c>
      <c r="AB269" s="50" t="s">
        <v>138</v>
      </c>
    </row>
    <row r="270">
      <c r="A270" s="280" t="s">
        <v>148</v>
      </c>
      <c r="B270" s="280" t="s">
        <v>148</v>
      </c>
      <c r="C270" s="283">
        <v>43911.0</v>
      </c>
      <c r="D270" s="283">
        <v>43941.0</v>
      </c>
      <c r="E270" s="271" t="s">
        <v>331</v>
      </c>
      <c r="F270" s="138" t="s">
        <v>4</v>
      </c>
      <c r="G270" s="280" t="s">
        <v>5</v>
      </c>
      <c r="H270" s="273" t="s">
        <v>966</v>
      </c>
      <c r="I270" s="281">
        <v>50.0</v>
      </c>
      <c r="J270" s="280">
        <v>963.0</v>
      </c>
      <c r="K270" s="271">
        <f t="shared" si="1"/>
        <v>48150</v>
      </c>
      <c r="L270" s="280">
        <v>30275.0</v>
      </c>
      <c r="M270" s="280">
        <v>2850.0</v>
      </c>
      <c r="N270" s="282">
        <v>384.0</v>
      </c>
      <c r="O270" s="60"/>
      <c r="P270" s="50">
        <v>384.0</v>
      </c>
      <c r="Q270" s="280">
        <v>-252.0</v>
      </c>
      <c r="R270" s="276">
        <v>-8.2E-4</v>
      </c>
      <c r="S270" s="280">
        <v>-291.0</v>
      </c>
      <c r="T270" s="280">
        <v>93.0</v>
      </c>
      <c r="U270" s="62">
        <v>1.0</v>
      </c>
      <c r="V270" s="277">
        <v>0.25</v>
      </c>
      <c r="W270" s="277">
        <v>0.1</v>
      </c>
      <c r="X270" s="280">
        <v>60.0</v>
      </c>
      <c r="Y270" s="280">
        <v>32.0</v>
      </c>
      <c r="Z270" s="50" t="b">
        <v>1</v>
      </c>
      <c r="AA270" s="50" t="s">
        <v>138</v>
      </c>
      <c r="AB270" s="50" t="s">
        <v>138</v>
      </c>
    </row>
    <row r="271">
      <c r="A271" s="280" t="s">
        <v>148</v>
      </c>
      <c r="B271" s="280" t="s">
        <v>148</v>
      </c>
      <c r="C271" s="283">
        <v>43911.0</v>
      </c>
      <c r="D271" s="283">
        <v>43941.0</v>
      </c>
      <c r="E271" s="271" t="s">
        <v>331</v>
      </c>
      <c r="F271" s="138" t="s">
        <v>4</v>
      </c>
      <c r="G271" s="280" t="s">
        <v>5</v>
      </c>
      <c r="H271" s="273" t="s">
        <v>967</v>
      </c>
      <c r="I271" s="281">
        <v>50.0</v>
      </c>
      <c r="J271" s="280">
        <v>103.0</v>
      </c>
      <c r="K271" s="271">
        <f t="shared" si="1"/>
        <v>5150</v>
      </c>
      <c r="L271" s="280">
        <v>5085.0</v>
      </c>
      <c r="M271" s="280">
        <v>400.0</v>
      </c>
      <c r="N271" s="282">
        <v>48.0</v>
      </c>
      <c r="O271" s="60"/>
      <c r="P271" s="50">
        <v>48.0</v>
      </c>
      <c r="Q271" s="280">
        <v>107.0</v>
      </c>
      <c r="R271" s="276">
        <v>-8.2E-4</v>
      </c>
      <c r="S271" s="280">
        <v>103.0</v>
      </c>
      <c r="T271" s="280">
        <v>151.0</v>
      </c>
      <c r="U271" s="62">
        <v>1.0</v>
      </c>
      <c r="V271" s="277">
        <v>0.25</v>
      </c>
      <c r="W271" s="277">
        <v>0.1</v>
      </c>
      <c r="X271" s="280">
        <v>98.0</v>
      </c>
      <c r="Y271" s="280">
        <v>53.0</v>
      </c>
      <c r="Z271" s="50" t="b">
        <v>1</v>
      </c>
      <c r="AA271" s="50" t="s">
        <v>138</v>
      </c>
      <c r="AB271" s="50" t="s">
        <v>138</v>
      </c>
    </row>
    <row r="272">
      <c r="A272" s="101" t="s">
        <v>199</v>
      </c>
      <c r="B272" s="101" t="s">
        <v>199</v>
      </c>
      <c r="C272" s="283">
        <v>43911.0</v>
      </c>
      <c r="D272" s="283">
        <v>43941.0</v>
      </c>
      <c r="E272" s="271" t="s">
        <v>268</v>
      </c>
      <c r="F272" s="138" t="s">
        <v>4</v>
      </c>
      <c r="G272" s="280" t="s">
        <v>5</v>
      </c>
      <c r="H272" s="273" t="s">
        <v>971</v>
      </c>
      <c r="I272" s="281">
        <v>5.0</v>
      </c>
      <c r="J272" s="280">
        <v>429.0</v>
      </c>
      <c r="K272" s="271">
        <f t="shared" si="1"/>
        <v>2145</v>
      </c>
      <c r="L272" s="280">
        <v>38610.0</v>
      </c>
      <c r="M272" s="280">
        <v>325.0</v>
      </c>
      <c r="N272" s="282">
        <v>5.0</v>
      </c>
      <c r="O272" s="60"/>
      <c r="P272" s="50">
        <v>5.0</v>
      </c>
      <c r="Q272" s="280">
        <v>160.0</v>
      </c>
      <c r="R272" s="276">
        <v>-0.0015</v>
      </c>
      <c r="S272" s="280">
        <v>156.0</v>
      </c>
      <c r="T272" s="280">
        <v>161.0</v>
      </c>
      <c r="U272" s="62">
        <v>1.0</v>
      </c>
      <c r="V272" s="277">
        <v>0.25</v>
      </c>
      <c r="W272" s="277">
        <v>0.0</v>
      </c>
      <c r="X272" s="280">
        <v>121.0</v>
      </c>
      <c r="Y272" s="280">
        <v>40.0</v>
      </c>
      <c r="Z272" s="50" t="b">
        <v>1</v>
      </c>
      <c r="AA272" s="50" t="s">
        <v>138</v>
      </c>
      <c r="AB272" s="50" t="s">
        <v>138</v>
      </c>
    </row>
    <row r="273">
      <c r="A273" s="101" t="s">
        <v>199</v>
      </c>
      <c r="B273" s="101" t="s">
        <v>199</v>
      </c>
      <c r="C273" s="283">
        <v>43911.0</v>
      </c>
      <c r="D273" s="283">
        <v>43941.0</v>
      </c>
      <c r="E273" s="271" t="s">
        <v>268</v>
      </c>
      <c r="F273" s="138" t="s">
        <v>4</v>
      </c>
      <c r="G273" s="280" t="s">
        <v>5</v>
      </c>
      <c r="H273" s="114" t="s">
        <v>964</v>
      </c>
      <c r="I273" s="281">
        <v>10.0</v>
      </c>
      <c r="J273" s="280">
        <v>616.0</v>
      </c>
      <c r="K273" s="271">
        <f t="shared" si="1"/>
        <v>6160</v>
      </c>
      <c r="L273" s="280">
        <v>32032.0</v>
      </c>
      <c r="M273" s="280">
        <v>20.0</v>
      </c>
      <c r="N273" s="282">
        <v>11.0</v>
      </c>
      <c r="O273" s="60"/>
      <c r="P273" s="50">
        <v>11.0</v>
      </c>
      <c r="Q273" s="280">
        <v>130.0</v>
      </c>
      <c r="R273" s="276">
        <v>-0.0015</v>
      </c>
      <c r="S273" s="280">
        <v>121.0</v>
      </c>
      <c r="T273" s="280">
        <v>132.0</v>
      </c>
      <c r="U273" s="62">
        <v>1.0</v>
      </c>
      <c r="V273" s="277">
        <v>0.25</v>
      </c>
      <c r="W273" s="277">
        <v>0.0</v>
      </c>
      <c r="X273" s="280">
        <v>99.0</v>
      </c>
      <c r="Y273" s="280">
        <v>33.0</v>
      </c>
      <c r="Z273" s="50" t="b">
        <v>1</v>
      </c>
      <c r="AA273" s="50" t="s">
        <v>138</v>
      </c>
      <c r="AB273" s="50" t="s">
        <v>138</v>
      </c>
    </row>
    <row r="274">
      <c r="A274" s="280" t="s">
        <v>156</v>
      </c>
      <c r="B274" s="280" t="s">
        <v>156</v>
      </c>
      <c r="C274" s="283">
        <v>43911.0</v>
      </c>
      <c r="D274" s="283">
        <v>43941.0</v>
      </c>
      <c r="E274" s="271" t="s">
        <v>268</v>
      </c>
      <c r="F274" s="138" t="s">
        <v>4</v>
      </c>
      <c r="G274" s="280" t="s">
        <v>5</v>
      </c>
      <c r="H274" s="273" t="s">
        <v>965</v>
      </c>
      <c r="I274" s="281">
        <v>25.0</v>
      </c>
      <c r="J274" s="280">
        <v>526.0</v>
      </c>
      <c r="K274" s="271">
        <f t="shared" si="1"/>
        <v>13150</v>
      </c>
      <c r="L274" s="280">
        <v>28233.0</v>
      </c>
      <c r="M274" s="280">
        <v>-375.0</v>
      </c>
      <c r="N274" s="282">
        <v>15.0</v>
      </c>
      <c r="O274" s="60"/>
      <c r="P274" s="50">
        <v>15.0</v>
      </c>
      <c r="Q274" s="280">
        <v>478.0</v>
      </c>
      <c r="R274" s="276">
        <v>-8.2E-4</v>
      </c>
      <c r="S274" s="280">
        <v>467.0</v>
      </c>
      <c r="T274" s="280">
        <v>482.0</v>
      </c>
      <c r="U274" s="62">
        <v>1.0</v>
      </c>
      <c r="V274" s="277">
        <v>0.35</v>
      </c>
      <c r="W274" s="277">
        <v>0.0</v>
      </c>
      <c r="X274" s="280">
        <v>313.0</v>
      </c>
      <c r="Y274" s="280">
        <v>169.0</v>
      </c>
      <c r="Z274" s="50" t="b">
        <v>1</v>
      </c>
      <c r="AA274" s="50" t="s">
        <v>138</v>
      </c>
      <c r="AB274" s="50" t="s">
        <v>138</v>
      </c>
    </row>
    <row r="275">
      <c r="A275" s="280" t="s">
        <v>156</v>
      </c>
      <c r="B275" s="280" t="s">
        <v>156</v>
      </c>
      <c r="C275" s="283">
        <v>43911.0</v>
      </c>
      <c r="D275" s="283">
        <v>43941.0</v>
      </c>
      <c r="E275" s="271" t="s">
        <v>268</v>
      </c>
      <c r="F275" s="138" t="s">
        <v>4</v>
      </c>
      <c r="G275" s="280" t="s">
        <v>5</v>
      </c>
      <c r="H275" s="273" t="s">
        <v>966</v>
      </c>
      <c r="I275" s="281">
        <v>50.0</v>
      </c>
      <c r="J275" s="280">
        <v>2354.0</v>
      </c>
      <c r="K275" s="271">
        <f t="shared" si="1"/>
        <v>117700</v>
      </c>
      <c r="L275" s="280">
        <v>107757.0</v>
      </c>
      <c r="M275" s="280">
        <v>5050.0</v>
      </c>
      <c r="N275" s="282">
        <v>131.0</v>
      </c>
      <c r="O275" s="60"/>
      <c r="P275" s="50">
        <v>131.0</v>
      </c>
      <c r="Q275" s="280">
        <v>2539.0</v>
      </c>
      <c r="R275" s="276">
        <v>-8.2E-4</v>
      </c>
      <c r="S275" s="280">
        <v>2442.0</v>
      </c>
      <c r="T275" s="280">
        <v>2573.0</v>
      </c>
      <c r="U275" s="62">
        <v>1.0</v>
      </c>
      <c r="V275" s="277">
        <v>0.35</v>
      </c>
      <c r="W275" s="277">
        <v>0.0</v>
      </c>
      <c r="X275" s="280">
        <v>1673.0</v>
      </c>
      <c r="Y275" s="280">
        <v>901.0</v>
      </c>
      <c r="Z275" s="50" t="b">
        <v>1</v>
      </c>
      <c r="AA275" s="50" t="s">
        <v>138</v>
      </c>
      <c r="AB275" s="50" t="s">
        <v>138</v>
      </c>
    </row>
    <row r="276">
      <c r="A276" s="280" t="s">
        <v>156</v>
      </c>
      <c r="B276" s="280" t="s">
        <v>156</v>
      </c>
      <c r="C276" s="283">
        <v>43911.0</v>
      </c>
      <c r="D276" s="283">
        <v>43941.0</v>
      </c>
      <c r="E276" s="271" t="s">
        <v>268</v>
      </c>
      <c r="F276" s="138" t="s">
        <v>4</v>
      </c>
      <c r="G276" s="280" t="s">
        <v>5</v>
      </c>
      <c r="H276" s="273" t="s">
        <v>954</v>
      </c>
      <c r="I276" s="281">
        <v>100.0</v>
      </c>
      <c r="J276" s="280">
        <v>989.0</v>
      </c>
      <c r="K276" s="271">
        <f t="shared" si="1"/>
        <v>98900</v>
      </c>
      <c r="L276" s="280">
        <v>20577.0</v>
      </c>
      <c r="M276" s="280">
        <v>-7100.0</v>
      </c>
      <c r="N276" s="282">
        <v>92.0</v>
      </c>
      <c r="O276" s="60"/>
      <c r="P276" s="50">
        <v>92.0</v>
      </c>
      <c r="Q276" s="280">
        <v>-1172.0</v>
      </c>
      <c r="R276" s="276">
        <v>-8.2E-4</v>
      </c>
      <c r="S276" s="280">
        <v>-1253.0</v>
      </c>
      <c r="T276" s="280">
        <v>-1161.0</v>
      </c>
      <c r="U276" s="62">
        <v>1.0</v>
      </c>
      <c r="V276" s="277">
        <v>0.35</v>
      </c>
      <c r="W276" s="277">
        <v>0.0</v>
      </c>
      <c r="X276" s="280">
        <v>-755.0</v>
      </c>
      <c r="Y276" s="280">
        <v>-406.0</v>
      </c>
      <c r="Z276" s="50" t="b">
        <v>1</v>
      </c>
      <c r="AA276" s="50" t="s">
        <v>138</v>
      </c>
      <c r="AB276" s="50" t="s">
        <v>138</v>
      </c>
    </row>
    <row r="277">
      <c r="A277" s="280" t="s">
        <v>156</v>
      </c>
      <c r="B277" s="280" t="s">
        <v>156</v>
      </c>
      <c r="C277" s="283">
        <v>43911.0</v>
      </c>
      <c r="D277" s="283">
        <v>43941.0</v>
      </c>
      <c r="E277" s="271" t="s">
        <v>268</v>
      </c>
      <c r="F277" s="138" t="s">
        <v>12</v>
      </c>
      <c r="G277" s="280" t="s">
        <v>5</v>
      </c>
      <c r="H277" s="114" t="s">
        <v>964</v>
      </c>
      <c r="I277" s="281">
        <v>10.0</v>
      </c>
      <c r="J277" s="280">
        <v>2.0</v>
      </c>
      <c r="K277" s="271">
        <f t="shared" si="1"/>
        <v>20</v>
      </c>
      <c r="L277" s="280"/>
      <c r="M277" s="280">
        <v>30.0</v>
      </c>
      <c r="N277" s="275"/>
      <c r="O277" s="60"/>
      <c r="P277" s="101"/>
      <c r="Q277" s="280"/>
      <c r="R277" s="276">
        <v>0.0</v>
      </c>
      <c r="S277" s="280"/>
      <c r="T277" s="280">
        <v>30.0</v>
      </c>
      <c r="U277" s="62">
        <v>1.0</v>
      </c>
      <c r="V277" s="277">
        <v>0.35</v>
      </c>
      <c r="W277" s="277">
        <v>0.0</v>
      </c>
      <c r="X277" s="280">
        <v>20.0</v>
      </c>
      <c r="Y277" s="280">
        <v>11.0</v>
      </c>
      <c r="Z277" s="50" t="b">
        <v>1</v>
      </c>
      <c r="AA277" s="50" t="s">
        <v>138</v>
      </c>
      <c r="AB277" s="50" t="s">
        <v>138</v>
      </c>
    </row>
    <row r="278">
      <c r="A278" s="280" t="s">
        <v>156</v>
      </c>
      <c r="B278" s="280" t="s">
        <v>156</v>
      </c>
      <c r="C278" s="283">
        <v>43911.0</v>
      </c>
      <c r="D278" s="283">
        <v>43941.0</v>
      </c>
      <c r="E278" s="271" t="s">
        <v>268</v>
      </c>
      <c r="F278" s="138" t="s">
        <v>12</v>
      </c>
      <c r="G278" s="280" t="s">
        <v>5</v>
      </c>
      <c r="H278" s="114" t="s">
        <v>974</v>
      </c>
      <c r="I278" s="281">
        <v>50.0</v>
      </c>
      <c r="J278" s="280">
        <v>1.0</v>
      </c>
      <c r="K278" s="271">
        <f t="shared" si="1"/>
        <v>50</v>
      </c>
      <c r="L278" s="280"/>
      <c r="M278" s="280">
        <v>-50.0</v>
      </c>
      <c r="N278" s="275"/>
      <c r="O278" s="60"/>
      <c r="P278" s="101"/>
      <c r="Q278" s="280"/>
      <c r="R278" s="276">
        <v>0.0</v>
      </c>
      <c r="S278" s="280"/>
      <c r="T278" s="280">
        <v>-50.0</v>
      </c>
      <c r="U278" s="62">
        <v>1.0</v>
      </c>
      <c r="V278" s="277">
        <v>0.35</v>
      </c>
      <c r="W278" s="277">
        <v>0.0</v>
      </c>
      <c r="X278" s="280">
        <v>-33.0</v>
      </c>
      <c r="Y278" s="280">
        <v>-18.0</v>
      </c>
      <c r="Z278" s="50" t="b">
        <v>1</v>
      </c>
      <c r="AA278" s="50" t="s">
        <v>138</v>
      </c>
      <c r="AB278" s="50" t="s">
        <v>138</v>
      </c>
    </row>
    <row r="279">
      <c r="A279" s="280" t="s">
        <v>546</v>
      </c>
      <c r="B279" s="280" t="s">
        <v>546</v>
      </c>
      <c r="C279" s="283">
        <v>43911.0</v>
      </c>
      <c r="D279" s="283">
        <v>43941.0</v>
      </c>
      <c r="E279" s="271" t="s">
        <v>268</v>
      </c>
      <c r="F279" s="138" t="s">
        <v>4</v>
      </c>
      <c r="G279" s="280" t="s">
        <v>5</v>
      </c>
      <c r="H279" s="273" t="s">
        <v>965</v>
      </c>
      <c r="I279" s="281">
        <v>25.0</v>
      </c>
      <c r="J279" s="280">
        <v>1221.0</v>
      </c>
      <c r="K279" s="271">
        <f t="shared" si="1"/>
        <v>30525</v>
      </c>
      <c r="L279" s="280">
        <v>64010.0</v>
      </c>
      <c r="M279" s="280">
        <v>2825.0</v>
      </c>
      <c r="N279" s="282">
        <v>85.0</v>
      </c>
      <c r="O279" s="60"/>
      <c r="P279" s="50">
        <v>85.0</v>
      </c>
      <c r="Q279" s="280">
        <v>1038.0</v>
      </c>
      <c r="R279" s="276">
        <v>-8.2E-4</v>
      </c>
      <c r="S279" s="280">
        <v>1013.0</v>
      </c>
      <c r="T279" s="280">
        <v>1098.0</v>
      </c>
      <c r="U279" s="62">
        <v>1.0</v>
      </c>
      <c r="V279" s="277">
        <v>0.18</v>
      </c>
      <c r="W279" s="277">
        <v>0.0</v>
      </c>
      <c r="X279" s="280">
        <v>900.0</v>
      </c>
      <c r="Y279" s="280">
        <v>198.0</v>
      </c>
      <c r="Z279" s="50" t="b">
        <v>1</v>
      </c>
      <c r="AA279" s="50" t="s">
        <v>138</v>
      </c>
      <c r="AB279" s="50" t="s">
        <v>138</v>
      </c>
    </row>
    <row r="280">
      <c r="A280" s="280" t="s">
        <v>546</v>
      </c>
      <c r="B280" s="280" t="s">
        <v>546</v>
      </c>
      <c r="C280" s="283">
        <v>43911.0</v>
      </c>
      <c r="D280" s="283">
        <v>43941.0</v>
      </c>
      <c r="E280" s="271" t="s">
        <v>268</v>
      </c>
      <c r="F280" s="138" t="s">
        <v>4</v>
      </c>
      <c r="G280" s="280" t="s">
        <v>5</v>
      </c>
      <c r="H280" s="273" t="s">
        <v>966</v>
      </c>
      <c r="I280" s="281">
        <v>50.0</v>
      </c>
      <c r="J280" s="280">
        <v>4128.0</v>
      </c>
      <c r="K280" s="271">
        <f t="shared" si="1"/>
        <v>206400</v>
      </c>
      <c r="L280" s="280">
        <v>240213.0</v>
      </c>
      <c r="M280" s="280">
        <v>10600.0</v>
      </c>
      <c r="N280" s="282">
        <v>576.0</v>
      </c>
      <c r="O280" s="60"/>
      <c r="P280" s="50">
        <v>576.0</v>
      </c>
      <c r="Q280" s="280">
        <v>9242.0</v>
      </c>
      <c r="R280" s="276">
        <v>-8.2E-4</v>
      </c>
      <c r="S280" s="280">
        <v>9073.0</v>
      </c>
      <c r="T280" s="280">
        <v>9649.0</v>
      </c>
      <c r="U280" s="62">
        <v>1.0</v>
      </c>
      <c r="V280" s="277">
        <v>0.18</v>
      </c>
      <c r="W280" s="277">
        <v>0.0</v>
      </c>
      <c r="X280" s="280">
        <v>7912.0</v>
      </c>
      <c r="Y280" s="280">
        <v>1737.0</v>
      </c>
      <c r="Z280" s="50" t="b">
        <v>1</v>
      </c>
      <c r="AA280" s="50" t="s">
        <v>138</v>
      </c>
      <c r="AB280" s="50" t="s">
        <v>138</v>
      </c>
    </row>
    <row r="281">
      <c r="A281" s="280" t="s">
        <v>216</v>
      </c>
      <c r="B281" s="280" t="s">
        <v>942</v>
      </c>
      <c r="C281" s="283">
        <v>43911.0</v>
      </c>
      <c r="D281" s="283">
        <v>43941.0</v>
      </c>
      <c r="E281" s="271" t="s">
        <v>268</v>
      </c>
      <c r="F281" s="138" t="s">
        <v>4</v>
      </c>
      <c r="G281" s="280" t="s">
        <v>22</v>
      </c>
      <c r="H281" s="273" t="s">
        <v>68</v>
      </c>
      <c r="I281" s="281">
        <v>25.0</v>
      </c>
      <c r="J281" s="280">
        <v>102.0</v>
      </c>
      <c r="K281" s="271">
        <f t="shared" si="1"/>
        <v>2550</v>
      </c>
      <c r="L281" s="280">
        <v>6772.0</v>
      </c>
      <c r="M281" s="280">
        <v>-75.0</v>
      </c>
      <c r="N281" s="282">
        <v>0.0</v>
      </c>
      <c r="O281" s="60"/>
      <c r="P281" s="50">
        <v>0.0</v>
      </c>
      <c r="Q281" s="280">
        <v>121.0</v>
      </c>
      <c r="R281" s="276">
        <v>-8.2E-4</v>
      </c>
      <c r="S281" s="280">
        <v>119.0</v>
      </c>
      <c r="T281" s="280">
        <v>119.0</v>
      </c>
      <c r="U281" s="62">
        <v>1.083</v>
      </c>
      <c r="V281" s="277">
        <v>0.26</v>
      </c>
      <c r="W281" s="277">
        <v>0.0</v>
      </c>
      <c r="X281" s="280">
        <v>95.0</v>
      </c>
      <c r="Y281" s="280">
        <v>33.0</v>
      </c>
      <c r="Z281" s="50" t="b">
        <v>1</v>
      </c>
      <c r="AA281" s="50" t="s">
        <v>138</v>
      </c>
      <c r="AB281" s="50" t="s">
        <v>140</v>
      </c>
    </row>
    <row r="282">
      <c r="A282" s="280" t="s">
        <v>216</v>
      </c>
      <c r="B282" s="280" t="s">
        <v>942</v>
      </c>
      <c r="C282" s="283">
        <v>43911.0</v>
      </c>
      <c r="D282" s="283">
        <v>43941.0</v>
      </c>
      <c r="E282" s="271" t="s">
        <v>268</v>
      </c>
      <c r="F282" s="138" t="s">
        <v>4</v>
      </c>
      <c r="G282" s="280" t="s">
        <v>22</v>
      </c>
      <c r="H282" s="273" t="s">
        <v>80</v>
      </c>
      <c r="I282" s="281">
        <v>50.0</v>
      </c>
      <c r="J282" s="280">
        <v>35.0</v>
      </c>
      <c r="K282" s="271">
        <f t="shared" si="1"/>
        <v>1750</v>
      </c>
      <c r="L282" s="280">
        <v>-588.0</v>
      </c>
      <c r="M282" s="280">
        <v>-650.0</v>
      </c>
      <c r="N282" s="282">
        <v>0.0</v>
      </c>
      <c r="O282" s="60"/>
      <c r="P282" s="50">
        <v>0.0</v>
      </c>
      <c r="Q282" s="280">
        <v>-186.0</v>
      </c>
      <c r="R282" s="276">
        <v>-8.2E-4</v>
      </c>
      <c r="S282" s="280">
        <v>-188.0</v>
      </c>
      <c r="T282" s="280">
        <v>-188.0</v>
      </c>
      <c r="U282" s="62">
        <v>1.083</v>
      </c>
      <c r="V282" s="277">
        <v>0.26</v>
      </c>
      <c r="W282" s="277">
        <v>0.0</v>
      </c>
      <c r="X282" s="280">
        <v>-150.0</v>
      </c>
      <c r="Y282" s="280">
        <v>-53.0</v>
      </c>
      <c r="Z282" s="50" t="b">
        <v>1</v>
      </c>
      <c r="AA282" s="50" t="s">
        <v>138</v>
      </c>
      <c r="AB282" s="50" t="s">
        <v>140</v>
      </c>
    </row>
    <row r="283">
      <c r="A283" s="280" t="s">
        <v>216</v>
      </c>
      <c r="B283" s="280" t="s">
        <v>216</v>
      </c>
      <c r="C283" s="283">
        <v>43911.0</v>
      </c>
      <c r="D283" s="283">
        <v>43941.0</v>
      </c>
      <c r="E283" s="271" t="s">
        <v>268</v>
      </c>
      <c r="F283" s="138" t="s">
        <v>4</v>
      </c>
      <c r="G283" s="280" t="s">
        <v>5</v>
      </c>
      <c r="H283" s="273" t="s">
        <v>965</v>
      </c>
      <c r="I283" s="281">
        <v>25.0</v>
      </c>
      <c r="J283" s="280">
        <v>263.0</v>
      </c>
      <c r="K283" s="271">
        <f t="shared" si="1"/>
        <v>6575</v>
      </c>
      <c r="L283" s="280">
        <v>21234.0</v>
      </c>
      <c r="M283" s="280">
        <v>475.0</v>
      </c>
      <c r="N283" s="282">
        <v>50.0</v>
      </c>
      <c r="O283" s="60"/>
      <c r="P283" s="50">
        <v>50.0</v>
      </c>
      <c r="Q283" s="280">
        <v>562.0</v>
      </c>
      <c r="R283" s="276">
        <v>-8.2E-4</v>
      </c>
      <c r="S283" s="280">
        <v>556.0</v>
      </c>
      <c r="T283" s="280">
        <v>606.0</v>
      </c>
      <c r="U283" s="62">
        <v>1.0</v>
      </c>
      <c r="V283" s="277">
        <v>0.26</v>
      </c>
      <c r="W283" s="277">
        <v>0.0</v>
      </c>
      <c r="X283" s="280">
        <v>449.0</v>
      </c>
      <c r="Y283" s="280">
        <v>158.0</v>
      </c>
      <c r="Z283" s="50" t="b">
        <v>1</v>
      </c>
      <c r="AA283" s="50" t="s">
        <v>138</v>
      </c>
      <c r="AB283" s="50" t="s">
        <v>138</v>
      </c>
    </row>
    <row r="284">
      <c r="A284" s="280" t="s">
        <v>216</v>
      </c>
      <c r="B284" s="280" t="s">
        <v>216</v>
      </c>
      <c r="C284" s="283">
        <v>43911.0</v>
      </c>
      <c r="D284" s="283">
        <v>43941.0</v>
      </c>
      <c r="E284" s="271" t="s">
        <v>268</v>
      </c>
      <c r="F284" s="138" t="s">
        <v>4</v>
      </c>
      <c r="G284" s="280" t="s">
        <v>5</v>
      </c>
      <c r="H284" s="273" t="s">
        <v>966</v>
      </c>
      <c r="I284" s="281">
        <v>50.0</v>
      </c>
      <c r="J284" s="280">
        <v>1762.0</v>
      </c>
      <c r="K284" s="271">
        <f t="shared" si="1"/>
        <v>88100</v>
      </c>
      <c r="L284" s="280">
        <v>76483.0</v>
      </c>
      <c r="M284" s="280">
        <v>-2900.0</v>
      </c>
      <c r="N284" s="282">
        <v>668.0</v>
      </c>
      <c r="O284" s="60"/>
      <c r="P284" s="50">
        <v>668.0</v>
      </c>
      <c r="Q284" s="280">
        <v>1386.0</v>
      </c>
      <c r="R284" s="276">
        <v>-8.2E-4</v>
      </c>
      <c r="S284" s="280">
        <v>1314.0</v>
      </c>
      <c r="T284" s="280">
        <v>1982.0</v>
      </c>
      <c r="U284" s="62">
        <v>1.0</v>
      </c>
      <c r="V284" s="277">
        <v>0.26</v>
      </c>
      <c r="W284" s="277">
        <v>0.0</v>
      </c>
      <c r="X284" s="280">
        <v>1467.0</v>
      </c>
      <c r="Y284" s="280">
        <v>515.0</v>
      </c>
      <c r="Z284" s="50" t="b">
        <v>1</v>
      </c>
      <c r="AA284" s="50" t="s">
        <v>138</v>
      </c>
      <c r="AB284" s="50" t="s">
        <v>138</v>
      </c>
    </row>
    <row r="285">
      <c r="A285" s="280" t="s">
        <v>216</v>
      </c>
      <c r="B285" s="280" t="s">
        <v>216</v>
      </c>
      <c r="C285" s="283">
        <v>43911.0</v>
      </c>
      <c r="D285" s="283">
        <v>43941.0</v>
      </c>
      <c r="E285" s="271" t="s">
        <v>268</v>
      </c>
      <c r="F285" s="138" t="s">
        <v>4</v>
      </c>
      <c r="G285" s="280" t="s">
        <v>5</v>
      </c>
      <c r="H285" s="273" t="s">
        <v>967</v>
      </c>
      <c r="I285" s="281">
        <v>50.0</v>
      </c>
      <c r="J285" s="280">
        <v>78.0</v>
      </c>
      <c r="K285" s="271">
        <f t="shared" si="1"/>
        <v>3900</v>
      </c>
      <c r="L285" s="280">
        <v>3671.0</v>
      </c>
      <c r="M285" s="280">
        <v>900.0</v>
      </c>
      <c r="N285" s="282">
        <v>35.0</v>
      </c>
      <c r="O285" s="60"/>
      <c r="P285" s="50">
        <v>35.0</v>
      </c>
      <c r="Q285" s="280">
        <v>59.0</v>
      </c>
      <c r="R285" s="276">
        <v>-8.2E-4</v>
      </c>
      <c r="S285" s="280">
        <v>56.0</v>
      </c>
      <c r="T285" s="280">
        <v>91.0</v>
      </c>
      <c r="U285" s="62">
        <v>1.0</v>
      </c>
      <c r="V285" s="277">
        <v>0.26</v>
      </c>
      <c r="W285" s="277">
        <v>0.0</v>
      </c>
      <c r="X285" s="280">
        <v>67.0</v>
      </c>
      <c r="Y285" s="280">
        <v>24.0</v>
      </c>
      <c r="Z285" s="50" t="b">
        <v>1</v>
      </c>
      <c r="AA285" s="50" t="s">
        <v>138</v>
      </c>
      <c r="AB285" s="50" t="s">
        <v>138</v>
      </c>
    </row>
    <row r="286">
      <c r="A286" s="280" t="s">
        <v>216</v>
      </c>
      <c r="B286" s="280" t="s">
        <v>216</v>
      </c>
      <c r="C286" s="283">
        <v>43911.0</v>
      </c>
      <c r="D286" s="283">
        <v>43941.0</v>
      </c>
      <c r="E286" s="271" t="s">
        <v>268</v>
      </c>
      <c r="F286" s="138" t="s">
        <v>4</v>
      </c>
      <c r="G286" s="280" t="s">
        <v>5</v>
      </c>
      <c r="H286" s="273" t="s">
        <v>954</v>
      </c>
      <c r="I286" s="281">
        <v>100.0</v>
      </c>
      <c r="J286" s="280">
        <v>198.0</v>
      </c>
      <c r="K286" s="271">
        <f t="shared" si="1"/>
        <v>19800</v>
      </c>
      <c r="L286" s="280">
        <v>9099.0</v>
      </c>
      <c r="M286" s="280">
        <v>-2900.0</v>
      </c>
      <c r="N286" s="282">
        <v>125.18</v>
      </c>
      <c r="O286" s="60"/>
      <c r="P286" s="50">
        <v>125.0</v>
      </c>
      <c r="Q286" s="280">
        <v>556.0</v>
      </c>
      <c r="R286" s="276">
        <v>-8.2E-4</v>
      </c>
      <c r="S286" s="280">
        <v>540.0</v>
      </c>
      <c r="T286" s="280">
        <v>665.0</v>
      </c>
      <c r="U286" s="62">
        <v>1.0</v>
      </c>
      <c r="V286" s="277">
        <v>0.26</v>
      </c>
      <c r="W286" s="277">
        <v>0.0</v>
      </c>
      <c r="X286" s="280">
        <v>492.0</v>
      </c>
      <c r="Y286" s="280">
        <v>173.0</v>
      </c>
      <c r="Z286" s="50" t="b">
        <v>1</v>
      </c>
      <c r="AA286" s="50" t="s">
        <v>138</v>
      </c>
      <c r="AB286" s="50" t="s">
        <v>138</v>
      </c>
    </row>
    <row r="287">
      <c r="A287" s="280" t="s">
        <v>177</v>
      </c>
      <c r="B287" s="280" t="s">
        <v>177</v>
      </c>
      <c r="C287" s="283">
        <v>43922.0</v>
      </c>
      <c r="D287" s="283">
        <v>43951.0</v>
      </c>
      <c r="E287" s="271" t="s">
        <v>331</v>
      </c>
      <c r="F287" s="138" t="s">
        <v>8</v>
      </c>
      <c r="G287" s="280" t="s">
        <v>5</v>
      </c>
      <c r="H287" s="273" t="s">
        <v>954</v>
      </c>
      <c r="I287" s="281">
        <v>100.0</v>
      </c>
      <c r="J287" s="280">
        <v>3890.0</v>
      </c>
      <c r="K287" s="271">
        <f t="shared" si="1"/>
        <v>389000</v>
      </c>
      <c r="L287" s="280">
        <v>132289.0</v>
      </c>
      <c r="M287" s="280">
        <v>13900.0</v>
      </c>
      <c r="N287" s="282">
        <v>380.0</v>
      </c>
      <c r="O287" s="60"/>
      <c r="P287" s="50">
        <v>380.0</v>
      </c>
      <c r="Q287" s="280">
        <v>3987.0</v>
      </c>
      <c r="R287" s="276">
        <v>0.007156</v>
      </c>
      <c r="S287" s="280">
        <v>6771.0</v>
      </c>
      <c r="T287" s="280">
        <v>7151.0</v>
      </c>
      <c r="U287" s="62">
        <v>1.0</v>
      </c>
      <c r="V287" s="277">
        <v>0.1688</v>
      </c>
      <c r="W287" s="277">
        <v>0.0563</v>
      </c>
      <c r="X287" s="280">
        <v>5541.0</v>
      </c>
      <c r="Y287" s="280">
        <v>1610.0</v>
      </c>
      <c r="Z287" s="50" t="b">
        <v>1</v>
      </c>
      <c r="AA287" s="50" t="s">
        <v>138</v>
      </c>
      <c r="AB287" s="50" t="s">
        <v>138</v>
      </c>
    </row>
    <row r="288">
      <c r="A288" s="280" t="s">
        <v>459</v>
      </c>
      <c r="B288" s="280" t="s">
        <v>912</v>
      </c>
      <c r="C288" s="283">
        <v>43922.0</v>
      </c>
      <c r="D288" s="283">
        <v>43951.0</v>
      </c>
      <c r="E288" s="271" t="s">
        <v>331</v>
      </c>
      <c r="F288" s="138" t="s">
        <v>8</v>
      </c>
      <c r="G288" s="280" t="s">
        <v>9</v>
      </c>
      <c r="H288" s="273" t="s">
        <v>68</v>
      </c>
      <c r="I288" s="281">
        <v>25.0</v>
      </c>
      <c r="J288" s="280">
        <v>1437.0</v>
      </c>
      <c r="K288" s="271">
        <f t="shared" si="1"/>
        <v>35925</v>
      </c>
      <c r="L288" s="280">
        <v>81529.0</v>
      </c>
      <c r="M288" s="280">
        <v>1150.0</v>
      </c>
      <c r="N288" s="282">
        <f>75+75+25+500+50</f>
        <v>725</v>
      </c>
      <c r="O288" s="60"/>
      <c r="P288" s="50">
        <v>725.0</v>
      </c>
      <c r="Q288" s="280">
        <v>521.0</v>
      </c>
      <c r="R288" s="276">
        <v>0.007173</v>
      </c>
      <c r="S288" s="280">
        <v>779.0</v>
      </c>
      <c r="T288" s="280">
        <v>1504.0</v>
      </c>
      <c r="U288" s="62">
        <v>1.0</v>
      </c>
      <c r="V288" s="277">
        <v>0.235</v>
      </c>
      <c r="W288" s="277">
        <v>0.11</v>
      </c>
      <c r="X288" s="280">
        <v>985.0</v>
      </c>
      <c r="Y288" s="280">
        <v>519.0</v>
      </c>
      <c r="Z288" s="50" t="b">
        <v>1</v>
      </c>
      <c r="AA288" s="50" t="s">
        <v>140</v>
      </c>
      <c r="AB288" s="50" t="s">
        <v>140</v>
      </c>
    </row>
    <row r="289">
      <c r="A289" s="101" t="s">
        <v>156</v>
      </c>
      <c r="B289" s="101" t="s">
        <v>975</v>
      </c>
      <c r="C289" s="278">
        <v>43922.0</v>
      </c>
      <c r="D289" s="278">
        <v>43951.0</v>
      </c>
      <c r="E289" s="271" t="s">
        <v>268</v>
      </c>
      <c r="F289" s="138" t="s">
        <v>4</v>
      </c>
      <c r="G289" s="271" t="s">
        <v>16</v>
      </c>
      <c r="H289" s="273" t="s">
        <v>59</v>
      </c>
      <c r="I289" s="281">
        <v>20.0</v>
      </c>
      <c r="J289" s="280">
        <v>72.0</v>
      </c>
      <c r="K289" s="271">
        <f t="shared" si="1"/>
        <v>1440</v>
      </c>
      <c r="L289" s="280">
        <v>6220.69</v>
      </c>
      <c r="M289" s="280">
        <v>580.0</v>
      </c>
      <c r="N289" s="275">
        <v>57.0</v>
      </c>
      <c r="O289" s="60"/>
      <c r="P289" s="50">
        <v>57.0</v>
      </c>
      <c r="Q289" s="280">
        <v>140.0</v>
      </c>
      <c r="R289" s="276">
        <v>-0.00202</v>
      </c>
      <c r="S289" s="280">
        <v>137.0</v>
      </c>
      <c r="T289" s="280">
        <v>194.0</v>
      </c>
      <c r="U289" s="62">
        <v>1.0</v>
      </c>
      <c r="V289" s="277">
        <v>0.35</v>
      </c>
      <c r="W289" s="277">
        <v>0.0</v>
      </c>
      <c r="X289" s="280">
        <v>126.0</v>
      </c>
      <c r="Y289" s="280">
        <v>68.0</v>
      </c>
      <c r="Z289" s="50" t="b">
        <v>1</v>
      </c>
      <c r="AA289" s="50" t="s">
        <v>138</v>
      </c>
      <c r="AB289" s="50" t="s">
        <v>138</v>
      </c>
    </row>
    <row r="290">
      <c r="A290" s="101" t="s">
        <v>156</v>
      </c>
      <c r="B290" s="101" t="s">
        <v>975</v>
      </c>
      <c r="C290" s="278">
        <v>43922.0</v>
      </c>
      <c r="D290" s="278">
        <v>43951.0</v>
      </c>
      <c r="E290" s="271" t="s">
        <v>268</v>
      </c>
      <c r="F290" s="138" t="s">
        <v>4</v>
      </c>
      <c r="G290" s="271" t="s">
        <v>16</v>
      </c>
      <c r="H290" s="273" t="s">
        <v>74</v>
      </c>
      <c r="I290" s="281">
        <v>50.0</v>
      </c>
      <c r="J290" s="280">
        <v>1801.0</v>
      </c>
      <c r="K290" s="271">
        <f t="shared" si="1"/>
        <v>90050</v>
      </c>
      <c r="L290" s="280">
        <v>72308.79</v>
      </c>
      <c r="M290" s="280">
        <v>2950.0</v>
      </c>
      <c r="N290" s="275">
        <v>2982.0</v>
      </c>
      <c r="O290" s="60"/>
      <c r="P290" s="109">
        <v>2982.0</v>
      </c>
      <c r="Q290" s="280">
        <v>1968.0</v>
      </c>
      <c r="R290" s="276">
        <v>-0.00202</v>
      </c>
      <c r="S290" s="280">
        <v>1786.0</v>
      </c>
      <c r="T290" s="280">
        <v>4768.0</v>
      </c>
      <c r="U290" s="62">
        <v>1.0</v>
      </c>
      <c r="V290" s="277">
        <v>0.35</v>
      </c>
      <c r="W290" s="277">
        <v>0.0</v>
      </c>
      <c r="X290" s="280">
        <v>3099.0</v>
      </c>
      <c r="Y290" s="280">
        <v>1669.0</v>
      </c>
      <c r="Z290" s="50" t="b">
        <v>1</v>
      </c>
      <c r="AA290" s="50" t="s">
        <v>138</v>
      </c>
      <c r="AB290" s="50" t="s">
        <v>138</v>
      </c>
    </row>
    <row r="291">
      <c r="A291" s="101" t="s">
        <v>267</v>
      </c>
      <c r="B291" s="101" t="s">
        <v>267</v>
      </c>
      <c r="C291" s="284">
        <v>43942.0</v>
      </c>
      <c r="D291" s="285">
        <v>43971.0</v>
      </c>
      <c r="E291" s="271" t="s">
        <v>268</v>
      </c>
      <c r="F291" s="138" t="s">
        <v>4</v>
      </c>
      <c r="G291" s="101" t="s">
        <v>5</v>
      </c>
      <c r="H291" s="114" t="s">
        <v>964</v>
      </c>
      <c r="I291" s="63">
        <v>10.0</v>
      </c>
      <c r="J291" s="74">
        <v>76.0</v>
      </c>
      <c r="K291" s="271">
        <f t="shared" si="1"/>
        <v>760</v>
      </c>
      <c r="L291" s="280">
        <v>473.0</v>
      </c>
      <c r="M291" s="280">
        <v>-90.0</v>
      </c>
      <c r="N291" s="286">
        <v>4.6</v>
      </c>
      <c r="O291" s="60"/>
      <c r="P291" s="50">
        <v>5.0</v>
      </c>
      <c r="Q291" s="280">
        <v>-47.0</v>
      </c>
      <c r="R291" s="276">
        <v>-0.00202</v>
      </c>
      <c r="S291" s="280">
        <v>-49.0</v>
      </c>
      <c r="T291" s="280">
        <v>-44.0</v>
      </c>
      <c r="U291" s="62">
        <v>1.0</v>
      </c>
      <c r="V291" s="277">
        <v>0.25</v>
      </c>
      <c r="W291" s="277">
        <v>0.0</v>
      </c>
      <c r="X291" s="280">
        <v>-33.0</v>
      </c>
      <c r="Y291" s="280">
        <v>-11.0</v>
      </c>
      <c r="Z291" s="50" t="b">
        <v>1</v>
      </c>
      <c r="AA291" s="50" t="s">
        <v>138</v>
      </c>
      <c r="AB291" s="50" t="s">
        <v>138</v>
      </c>
    </row>
    <row r="292">
      <c r="A292" s="101" t="s">
        <v>267</v>
      </c>
      <c r="B292" s="101" t="s">
        <v>267</v>
      </c>
      <c r="C292" s="284">
        <v>43942.0</v>
      </c>
      <c r="D292" s="285">
        <v>43971.0</v>
      </c>
      <c r="E292" s="271" t="s">
        <v>268</v>
      </c>
      <c r="F292" s="138" t="s">
        <v>4</v>
      </c>
      <c r="G292" s="101" t="s">
        <v>5</v>
      </c>
      <c r="H292" s="114" t="s">
        <v>969</v>
      </c>
      <c r="I292" s="63">
        <v>10.0</v>
      </c>
      <c r="J292" s="74">
        <v>1824.0</v>
      </c>
      <c r="K292" s="271">
        <f t="shared" si="1"/>
        <v>18240</v>
      </c>
      <c r="L292" s="280">
        <v>53246.0</v>
      </c>
      <c r="M292" s="280">
        <v>-250.0</v>
      </c>
      <c r="N292" s="286">
        <v>111.4</v>
      </c>
      <c r="O292" s="60"/>
      <c r="P292" s="50">
        <v>111.0</v>
      </c>
      <c r="Q292" s="280">
        <v>291.0</v>
      </c>
      <c r="R292" s="276">
        <v>-0.00202</v>
      </c>
      <c r="S292" s="280">
        <v>255.0</v>
      </c>
      <c r="T292" s="280">
        <v>366.0</v>
      </c>
      <c r="U292" s="62">
        <v>1.0</v>
      </c>
      <c r="V292" s="277">
        <v>0.25</v>
      </c>
      <c r="W292" s="277">
        <v>0.0</v>
      </c>
      <c r="X292" s="280">
        <v>274.0</v>
      </c>
      <c r="Y292" s="280">
        <v>91.0</v>
      </c>
      <c r="Z292" s="50" t="b">
        <v>1</v>
      </c>
      <c r="AA292" s="50" t="s">
        <v>138</v>
      </c>
      <c r="AB292" s="50" t="s">
        <v>138</v>
      </c>
    </row>
    <row r="293">
      <c r="A293" s="101" t="s">
        <v>267</v>
      </c>
      <c r="B293" s="101" t="s">
        <v>267</v>
      </c>
      <c r="C293" s="284">
        <v>43942.0</v>
      </c>
      <c r="D293" s="285">
        <v>43971.0</v>
      </c>
      <c r="E293" s="271" t="s">
        <v>268</v>
      </c>
      <c r="F293" s="138" t="s">
        <v>4</v>
      </c>
      <c r="G293" s="101" t="s">
        <v>5</v>
      </c>
      <c r="H293" s="273" t="s">
        <v>965</v>
      </c>
      <c r="I293" s="63">
        <v>25.0</v>
      </c>
      <c r="J293" s="74">
        <v>920.0</v>
      </c>
      <c r="K293" s="271">
        <f t="shared" si="1"/>
        <v>23000</v>
      </c>
      <c r="L293" s="280">
        <v>27714.0</v>
      </c>
      <c r="M293" s="280">
        <v>-650.0</v>
      </c>
      <c r="N293" s="286">
        <v>120.5</v>
      </c>
      <c r="O293" s="60"/>
      <c r="P293" s="50">
        <v>121.0</v>
      </c>
      <c r="Q293" s="280">
        <v>-177.0</v>
      </c>
      <c r="R293" s="276">
        <v>-0.00202</v>
      </c>
      <c r="S293" s="280">
        <v>-223.0</v>
      </c>
      <c r="T293" s="280">
        <v>-103.0</v>
      </c>
      <c r="U293" s="62">
        <v>1.0</v>
      </c>
      <c r="V293" s="277">
        <v>0.25</v>
      </c>
      <c r="W293" s="277">
        <v>0.0</v>
      </c>
      <c r="X293" s="280">
        <v>-77.0</v>
      </c>
      <c r="Y293" s="280">
        <v>-26.0</v>
      </c>
      <c r="Z293" s="50" t="b">
        <v>1</v>
      </c>
      <c r="AA293" s="50" t="s">
        <v>138</v>
      </c>
      <c r="AB293" s="50" t="s">
        <v>138</v>
      </c>
    </row>
    <row r="294">
      <c r="A294" s="101" t="s">
        <v>267</v>
      </c>
      <c r="B294" s="101" t="s">
        <v>267</v>
      </c>
      <c r="C294" s="284">
        <v>43942.0</v>
      </c>
      <c r="D294" s="285">
        <v>43971.0</v>
      </c>
      <c r="E294" s="271" t="s">
        <v>268</v>
      </c>
      <c r="F294" s="138" t="s">
        <v>4</v>
      </c>
      <c r="G294" s="101" t="s">
        <v>5</v>
      </c>
      <c r="H294" s="114" t="s">
        <v>976</v>
      </c>
      <c r="I294" s="63">
        <v>25.0</v>
      </c>
      <c r="J294" s="74">
        <v>127.0</v>
      </c>
      <c r="K294" s="271">
        <f t="shared" si="1"/>
        <v>3175</v>
      </c>
      <c r="L294" s="280">
        <v>4418.0</v>
      </c>
      <c r="M294" s="280">
        <v>125.0</v>
      </c>
      <c r="N294" s="286">
        <v>16.6</v>
      </c>
      <c r="O294" s="60"/>
      <c r="P294" s="50">
        <v>17.0</v>
      </c>
      <c r="Q294" s="280">
        <v>141.0</v>
      </c>
      <c r="R294" s="276">
        <v>-0.00202</v>
      </c>
      <c r="S294" s="280">
        <v>134.0</v>
      </c>
      <c r="T294" s="280">
        <v>151.0</v>
      </c>
      <c r="U294" s="62">
        <v>1.0</v>
      </c>
      <c r="V294" s="277">
        <v>0.25</v>
      </c>
      <c r="W294" s="277">
        <v>0.0</v>
      </c>
      <c r="X294" s="280">
        <v>113.0</v>
      </c>
      <c r="Y294" s="280">
        <v>38.0</v>
      </c>
      <c r="Z294" s="50" t="b">
        <v>1</v>
      </c>
      <c r="AA294" s="50" t="s">
        <v>138</v>
      </c>
      <c r="AB294" s="50" t="s">
        <v>138</v>
      </c>
    </row>
    <row r="295">
      <c r="A295" s="101" t="s">
        <v>267</v>
      </c>
      <c r="B295" s="101" t="s">
        <v>267</v>
      </c>
      <c r="C295" s="284">
        <v>43942.0</v>
      </c>
      <c r="D295" s="285">
        <v>43971.0</v>
      </c>
      <c r="E295" s="271" t="s">
        <v>268</v>
      </c>
      <c r="F295" s="138" t="s">
        <v>4</v>
      </c>
      <c r="G295" s="101" t="s">
        <v>5</v>
      </c>
      <c r="H295" s="114" t="s">
        <v>977</v>
      </c>
      <c r="I295" s="63">
        <v>5.0</v>
      </c>
      <c r="J295" s="74">
        <v>1.0</v>
      </c>
      <c r="K295" s="271">
        <f t="shared" si="1"/>
        <v>5</v>
      </c>
      <c r="L295" s="280">
        <v>579.0</v>
      </c>
      <c r="M295" s="280">
        <v>5.0</v>
      </c>
      <c r="N295" s="286">
        <v>0.0</v>
      </c>
      <c r="O295" s="60"/>
      <c r="P295" s="50">
        <v>0.0</v>
      </c>
      <c r="Q295" s="280">
        <v>8.0</v>
      </c>
      <c r="R295" s="276">
        <v>-0.00202</v>
      </c>
      <c r="S295" s="280">
        <v>8.0</v>
      </c>
      <c r="T295" s="280">
        <v>8.0</v>
      </c>
      <c r="U295" s="62">
        <v>1.0</v>
      </c>
      <c r="V295" s="277">
        <v>0.25</v>
      </c>
      <c r="W295" s="277">
        <v>0.0</v>
      </c>
      <c r="X295" s="280">
        <v>6.0</v>
      </c>
      <c r="Y295" s="280">
        <v>2.0</v>
      </c>
      <c r="Z295" s="50" t="b">
        <v>1</v>
      </c>
      <c r="AA295" s="50" t="s">
        <v>138</v>
      </c>
      <c r="AB295" s="50" t="s">
        <v>138</v>
      </c>
    </row>
    <row r="296">
      <c r="A296" s="101" t="s">
        <v>267</v>
      </c>
      <c r="B296" s="101" t="s">
        <v>267</v>
      </c>
      <c r="C296" s="284">
        <v>43942.0</v>
      </c>
      <c r="D296" s="285">
        <v>43971.0</v>
      </c>
      <c r="E296" s="271" t="s">
        <v>268</v>
      </c>
      <c r="F296" s="138" t="s">
        <v>4</v>
      </c>
      <c r="G296" s="101" t="s">
        <v>5</v>
      </c>
      <c r="H296" s="273" t="s">
        <v>966</v>
      </c>
      <c r="I296" s="63">
        <v>50.0</v>
      </c>
      <c r="J296" s="74">
        <v>101.0</v>
      </c>
      <c r="K296" s="271">
        <f t="shared" si="1"/>
        <v>5050</v>
      </c>
      <c r="L296" s="280">
        <v>6126.0</v>
      </c>
      <c r="M296" s="280">
        <v>-650.0</v>
      </c>
      <c r="N296" s="286">
        <v>26.4</v>
      </c>
      <c r="O296" s="60"/>
      <c r="P296" s="50">
        <v>26.0</v>
      </c>
      <c r="Q296" s="280">
        <v>249.0</v>
      </c>
      <c r="R296" s="276">
        <v>-0.00202</v>
      </c>
      <c r="S296" s="280">
        <v>239.0</v>
      </c>
      <c r="T296" s="280">
        <v>266.0</v>
      </c>
      <c r="U296" s="62">
        <v>1.0</v>
      </c>
      <c r="V296" s="277">
        <v>0.25</v>
      </c>
      <c r="W296" s="277">
        <v>0.0</v>
      </c>
      <c r="X296" s="280">
        <v>199.0</v>
      </c>
      <c r="Y296" s="280">
        <v>66.0</v>
      </c>
      <c r="Z296" s="50" t="b">
        <v>1</v>
      </c>
      <c r="AA296" s="50" t="s">
        <v>138</v>
      </c>
      <c r="AB296" s="50" t="s">
        <v>138</v>
      </c>
    </row>
    <row r="297">
      <c r="A297" s="101" t="s">
        <v>148</v>
      </c>
      <c r="B297" s="101" t="s">
        <v>148</v>
      </c>
      <c r="C297" s="284">
        <v>43942.0</v>
      </c>
      <c r="D297" s="285">
        <v>43971.0</v>
      </c>
      <c r="E297" s="271" t="s">
        <v>331</v>
      </c>
      <c r="F297" s="138" t="s">
        <v>4</v>
      </c>
      <c r="G297" s="101" t="s">
        <v>5</v>
      </c>
      <c r="H297" s="114" t="s">
        <v>964</v>
      </c>
      <c r="I297" s="63">
        <v>10.0</v>
      </c>
      <c r="J297" s="74">
        <v>86.0</v>
      </c>
      <c r="K297" s="271">
        <f t="shared" si="1"/>
        <v>860</v>
      </c>
      <c r="L297" s="280">
        <v>-5555.0</v>
      </c>
      <c r="M297" s="280">
        <v>-190.0</v>
      </c>
      <c r="N297" s="282">
        <v>2.8</v>
      </c>
      <c r="O297" s="60"/>
      <c r="P297" s="50">
        <v>3.0</v>
      </c>
      <c r="Q297" s="280">
        <v>-166.0</v>
      </c>
      <c r="R297" s="276">
        <v>-0.00202</v>
      </c>
      <c r="S297" s="280">
        <v>-168.0</v>
      </c>
      <c r="T297" s="280">
        <v>-165.0</v>
      </c>
      <c r="U297" s="62">
        <v>1.0</v>
      </c>
      <c r="V297" s="277">
        <v>0.25</v>
      </c>
      <c r="W297" s="277">
        <v>0.1</v>
      </c>
      <c r="X297" s="280">
        <v>-107.0</v>
      </c>
      <c r="Y297" s="280">
        <v>-58.0</v>
      </c>
      <c r="Z297" s="50" t="b">
        <v>1</v>
      </c>
      <c r="AA297" s="50" t="s">
        <v>138</v>
      </c>
      <c r="AB297" s="50" t="s">
        <v>138</v>
      </c>
    </row>
    <row r="298">
      <c r="A298" s="101" t="s">
        <v>148</v>
      </c>
      <c r="B298" s="101" t="s">
        <v>148</v>
      </c>
      <c r="C298" s="284">
        <v>43942.0</v>
      </c>
      <c r="D298" s="285">
        <v>43971.0</v>
      </c>
      <c r="E298" s="271" t="s">
        <v>331</v>
      </c>
      <c r="F298" s="138" t="s">
        <v>4</v>
      </c>
      <c r="G298" s="101" t="s">
        <v>5</v>
      </c>
      <c r="H298" s="273" t="s">
        <v>965</v>
      </c>
      <c r="I298" s="63">
        <v>25.0</v>
      </c>
      <c r="J298" s="74">
        <v>400.0</v>
      </c>
      <c r="K298" s="271">
        <f t="shared" si="1"/>
        <v>10000</v>
      </c>
      <c r="L298" s="280">
        <v>10276.0</v>
      </c>
      <c r="M298" s="280">
        <v>575.0</v>
      </c>
      <c r="N298" s="282">
        <v>27.7</v>
      </c>
      <c r="O298" s="60"/>
      <c r="P298" s="50">
        <v>28.0</v>
      </c>
      <c r="Q298" s="280">
        <v>-160.0</v>
      </c>
      <c r="R298" s="276">
        <v>-0.00202</v>
      </c>
      <c r="S298" s="280">
        <v>-180.0</v>
      </c>
      <c r="T298" s="280">
        <v>-152.0</v>
      </c>
      <c r="U298" s="62">
        <v>1.0</v>
      </c>
      <c r="V298" s="277">
        <v>0.25</v>
      </c>
      <c r="W298" s="277">
        <v>0.1</v>
      </c>
      <c r="X298" s="280">
        <v>-99.0</v>
      </c>
      <c r="Y298" s="280">
        <v>-53.0</v>
      </c>
      <c r="Z298" s="50" t="b">
        <v>1</v>
      </c>
      <c r="AA298" s="50" t="s">
        <v>138</v>
      </c>
      <c r="AB298" s="50" t="s">
        <v>138</v>
      </c>
    </row>
    <row r="299">
      <c r="A299" s="101" t="s">
        <v>148</v>
      </c>
      <c r="B299" s="101" t="s">
        <v>148</v>
      </c>
      <c r="C299" s="284">
        <v>43942.0</v>
      </c>
      <c r="D299" s="285">
        <v>43971.0</v>
      </c>
      <c r="E299" s="271" t="s">
        <v>331</v>
      </c>
      <c r="F299" s="138" t="s">
        <v>4</v>
      </c>
      <c r="G299" s="101" t="s">
        <v>5</v>
      </c>
      <c r="H299" s="273" t="s">
        <v>966</v>
      </c>
      <c r="I299" s="63">
        <v>50.0</v>
      </c>
      <c r="J299" s="74">
        <v>1487.0</v>
      </c>
      <c r="K299" s="271">
        <f t="shared" si="1"/>
        <v>74350</v>
      </c>
      <c r="L299" s="280">
        <v>44745.0</v>
      </c>
      <c r="M299" s="280">
        <v>-4850.0</v>
      </c>
      <c r="N299" s="282">
        <v>205.7</v>
      </c>
      <c r="O299" s="60"/>
      <c r="P299" s="50">
        <v>206.0</v>
      </c>
      <c r="Q299" s="280">
        <v>-576.0</v>
      </c>
      <c r="R299" s="276">
        <v>-0.00202</v>
      </c>
      <c r="S299" s="280">
        <v>-726.0</v>
      </c>
      <c r="T299" s="280">
        <v>-521.0</v>
      </c>
      <c r="U299" s="62">
        <v>1.0</v>
      </c>
      <c r="V299" s="277">
        <v>0.25</v>
      </c>
      <c r="W299" s="277">
        <v>0.1</v>
      </c>
      <c r="X299" s="280">
        <v>-339.0</v>
      </c>
      <c r="Y299" s="280">
        <v>-182.0</v>
      </c>
      <c r="Z299" s="50" t="b">
        <v>1</v>
      </c>
      <c r="AA299" s="50" t="s">
        <v>138</v>
      </c>
      <c r="AB299" s="50" t="s">
        <v>138</v>
      </c>
    </row>
    <row r="300">
      <c r="A300" s="101" t="s">
        <v>199</v>
      </c>
      <c r="B300" s="101" t="s">
        <v>199</v>
      </c>
      <c r="C300" s="284">
        <v>43942.0</v>
      </c>
      <c r="D300" s="285">
        <v>43971.0</v>
      </c>
      <c r="E300" s="271" t="s">
        <v>268</v>
      </c>
      <c r="F300" s="138" t="s">
        <v>4</v>
      </c>
      <c r="G300" s="101" t="s">
        <v>5</v>
      </c>
      <c r="H300" s="114" t="s">
        <v>964</v>
      </c>
      <c r="I300" s="63">
        <v>10.0</v>
      </c>
      <c r="J300" s="74">
        <v>991.0</v>
      </c>
      <c r="K300" s="271">
        <f t="shared" si="1"/>
        <v>9910</v>
      </c>
      <c r="L300" s="280">
        <v>50605.0</v>
      </c>
      <c r="M300" s="280">
        <v>-530.0</v>
      </c>
      <c r="N300" s="282">
        <v>43.4</v>
      </c>
      <c r="O300" s="60"/>
      <c r="P300" s="50">
        <v>43.0</v>
      </c>
      <c r="Q300" s="280">
        <v>188.0</v>
      </c>
      <c r="R300" s="276">
        <v>-0.0015</v>
      </c>
      <c r="S300" s="280">
        <v>174.0</v>
      </c>
      <c r="T300" s="280">
        <v>217.0</v>
      </c>
      <c r="U300" s="62">
        <v>1.0</v>
      </c>
      <c r="V300" s="277">
        <v>0.25</v>
      </c>
      <c r="W300" s="277">
        <v>0.0</v>
      </c>
      <c r="X300" s="280">
        <v>163.0</v>
      </c>
      <c r="Y300" s="280">
        <v>54.0</v>
      </c>
      <c r="Z300" s="50" t="b">
        <v>1</v>
      </c>
      <c r="AA300" s="50" t="s">
        <v>138</v>
      </c>
      <c r="AB300" s="50" t="s">
        <v>138</v>
      </c>
    </row>
    <row r="301">
      <c r="A301" s="101" t="s">
        <v>199</v>
      </c>
      <c r="B301" s="101" t="s">
        <v>199</v>
      </c>
      <c r="C301" s="284">
        <v>43942.0</v>
      </c>
      <c r="D301" s="285">
        <v>43971.0</v>
      </c>
      <c r="E301" s="271" t="s">
        <v>268</v>
      </c>
      <c r="F301" s="138" t="s">
        <v>4</v>
      </c>
      <c r="G301" s="101" t="s">
        <v>5</v>
      </c>
      <c r="H301" s="273" t="s">
        <v>971</v>
      </c>
      <c r="I301" s="63">
        <v>5.0</v>
      </c>
      <c r="J301" s="74">
        <v>267.0</v>
      </c>
      <c r="K301" s="271">
        <f t="shared" si="1"/>
        <v>1335</v>
      </c>
      <c r="L301" s="280">
        <v>19143.0</v>
      </c>
      <c r="M301" s="280">
        <v>180.0</v>
      </c>
      <c r="N301" s="282">
        <v>6.7</v>
      </c>
      <c r="O301" s="60"/>
      <c r="P301" s="50">
        <v>7.0</v>
      </c>
      <c r="Q301" s="280">
        <v>55.0</v>
      </c>
      <c r="R301" s="276">
        <v>-0.0015</v>
      </c>
      <c r="S301" s="280">
        <v>53.0</v>
      </c>
      <c r="T301" s="280">
        <v>60.0</v>
      </c>
      <c r="U301" s="62">
        <v>1.0</v>
      </c>
      <c r="V301" s="277">
        <v>0.25</v>
      </c>
      <c r="W301" s="277">
        <v>0.0</v>
      </c>
      <c r="X301" s="280">
        <v>45.0</v>
      </c>
      <c r="Y301" s="280">
        <v>15.0</v>
      </c>
      <c r="Z301" s="50" t="b">
        <v>1</v>
      </c>
      <c r="AA301" s="50" t="s">
        <v>138</v>
      </c>
      <c r="AB301" s="50" t="s">
        <v>138</v>
      </c>
    </row>
    <row r="302">
      <c r="A302" s="101" t="s">
        <v>156</v>
      </c>
      <c r="B302" s="101" t="s">
        <v>156</v>
      </c>
      <c r="C302" s="284">
        <v>43942.0</v>
      </c>
      <c r="D302" s="285">
        <v>43971.0</v>
      </c>
      <c r="E302" s="271" t="s">
        <v>268</v>
      </c>
      <c r="F302" s="138" t="s">
        <v>12</v>
      </c>
      <c r="G302" s="101" t="s">
        <v>5</v>
      </c>
      <c r="H302" s="273" t="s">
        <v>978</v>
      </c>
      <c r="I302" s="63">
        <v>0.25</v>
      </c>
      <c r="J302" s="74">
        <v>7.0</v>
      </c>
      <c r="K302" s="271">
        <f t="shared" si="1"/>
        <v>1.75</v>
      </c>
      <c r="L302" s="280"/>
      <c r="M302" s="280">
        <v>-0.75</v>
      </c>
      <c r="N302" s="282">
        <v>0.0</v>
      </c>
      <c r="O302" s="60"/>
      <c r="P302" s="50">
        <v>0.0</v>
      </c>
      <c r="Q302" s="280"/>
      <c r="R302" s="276">
        <v>0.0</v>
      </c>
      <c r="S302" s="280"/>
      <c r="T302" s="280">
        <v>-1.0</v>
      </c>
      <c r="U302" s="62">
        <v>1.0</v>
      </c>
      <c r="V302" s="277">
        <v>0.35</v>
      </c>
      <c r="W302" s="277">
        <v>0.0</v>
      </c>
      <c r="X302" s="280">
        <v>0.0</v>
      </c>
      <c r="Y302" s="280">
        <v>0.0</v>
      </c>
      <c r="Z302" s="50" t="b">
        <v>1</v>
      </c>
      <c r="AA302" s="50" t="s">
        <v>138</v>
      </c>
      <c r="AB302" s="50" t="s">
        <v>138</v>
      </c>
    </row>
    <row r="303">
      <c r="A303" s="101" t="s">
        <v>156</v>
      </c>
      <c r="B303" s="101" t="s">
        <v>156</v>
      </c>
      <c r="C303" s="284">
        <v>43942.0</v>
      </c>
      <c r="D303" s="285">
        <v>43971.0</v>
      </c>
      <c r="E303" s="271" t="s">
        <v>268</v>
      </c>
      <c r="F303" s="138" t="s">
        <v>12</v>
      </c>
      <c r="G303" s="101" t="s">
        <v>5</v>
      </c>
      <c r="H303" s="273" t="s">
        <v>958</v>
      </c>
      <c r="I303" s="63">
        <v>1.0</v>
      </c>
      <c r="J303" s="74">
        <v>2.0</v>
      </c>
      <c r="K303" s="271">
        <f t="shared" si="1"/>
        <v>2</v>
      </c>
      <c r="L303" s="280"/>
      <c r="M303" s="280">
        <v>1.0</v>
      </c>
      <c r="N303" s="282">
        <v>0.0</v>
      </c>
      <c r="O303" s="60"/>
      <c r="P303" s="50">
        <v>0.0</v>
      </c>
      <c r="Q303" s="280"/>
      <c r="R303" s="276">
        <v>0.0</v>
      </c>
      <c r="S303" s="280"/>
      <c r="T303" s="280">
        <v>1.0</v>
      </c>
      <c r="U303" s="62">
        <v>1.0</v>
      </c>
      <c r="V303" s="277">
        <v>0.35</v>
      </c>
      <c r="W303" s="277">
        <v>0.0</v>
      </c>
      <c r="X303" s="280">
        <v>1.0</v>
      </c>
      <c r="Y303" s="280">
        <v>0.0</v>
      </c>
      <c r="Z303" s="50" t="b">
        <v>1</v>
      </c>
      <c r="AA303" s="50" t="s">
        <v>138</v>
      </c>
      <c r="AB303" s="50" t="s">
        <v>138</v>
      </c>
    </row>
    <row r="304">
      <c r="A304" s="101" t="s">
        <v>156</v>
      </c>
      <c r="B304" s="101" t="s">
        <v>156</v>
      </c>
      <c r="C304" s="284">
        <v>43942.0</v>
      </c>
      <c r="D304" s="285">
        <v>43971.0</v>
      </c>
      <c r="E304" s="271" t="s">
        <v>268</v>
      </c>
      <c r="F304" s="138" t="s">
        <v>4</v>
      </c>
      <c r="G304" s="101" t="s">
        <v>5</v>
      </c>
      <c r="H304" s="273" t="s">
        <v>966</v>
      </c>
      <c r="I304" s="63">
        <v>50.0</v>
      </c>
      <c r="J304" s="74">
        <v>116.0</v>
      </c>
      <c r="K304" s="271">
        <f t="shared" si="1"/>
        <v>5800</v>
      </c>
      <c r="L304" s="280">
        <v>4982.0</v>
      </c>
      <c r="M304" s="280">
        <v>500.0</v>
      </c>
      <c r="N304" s="282">
        <v>50.0</v>
      </c>
      <c r="O304" s="60"/>
      <c r="P304" s="50">
        <v>50.0</v>
      </c>
      <c r="Q304" s="280">
        <v>1140.0</v>
      </c>
      <c r="R304" s="276">
        <v>-0.00202</v>
      </c>
      <c r="S304" s="280">
        <v>1129.0</v>
      </c>
      <c r="T304" s="280">
        <v>1179.0</v>
      </c>
      <c r="U304" s="62">
        <v>1.0</v>
      </c>
      <c r="V304" s="277">
        <v>0.35</v>
      </c>
      <c r="W304" s="277">
        <v>0.0</v>
      </c>
      <c r="X304" s="280">
        <v>766.0</v>
      </c>
      <c r="Y304" s="280">
        <v>413.0</v>
      </c>
      <c r="Z304" s="50" t="b">
        <v>1</v>
      </c>
      <c r="AA304" s="50" t="s">
        <v>138</v>
      </c>
      <c r="AB304" s="50" t="s">
        <v>138</v>
      </c>
    </row>
    <row r="305">
      <c r="A305" s="271" t="s">
        <v>546</v>
      </c>
      <c r="B305" s="271" t="s">
        <v>546</v>
      </c>
      <c r="C305" s="284">
        <v>43942.0</v>
      </c>
      <c r="D305" s="285">
        <v>43971.0</v>
      </c>
      <c r="E305" s="271" t="s">
        <v>268</v>
      </c>
      <c r="F305" s="101" t="s">
        <v>4</v>
      </c>
      <c r="G305" s="271" t="s">
        <v>5</v>
      </c>
      <c r="H305" s="273" t="s">
        <v>966</v>
      </c>
      <c r="I305" s="274">
        <v>50.0</v>
      </c>
      <c r="J305" s="271">
        <v>6002.0</v>
      </c>
      <c r="K305" s="271">
        <f t="shared" si="1"/>
        <v>300100</v>
      </c>
      <c r="L305" s="271">
        <v>331869.0</v>
      </c>
      <c r="M305" s="271">
        <v>8600.0</v>
      </c>
      <c r="N305" s="275">
        <v>1386.6</v>
      </c>
      <c r="O305" s="60"/>
      <c r="P305" s="109">
        <v>1387.0</v>
      </c>
      <c r="Q305" s="271">
        <v>11621.0</v>
      </c>
      <c r="R305" s="276">
        <v>-0.00202</v>
      </c>
      <c r="S305" s="271">
        <v>11015.0</v>
      </c>
      <c r="T305" s="271">
        <v>12401.0</v>
      </c>
      <c r="U305" s="62">
        <v>1.0</v>
      </c>
      <c r="V305" s="277">
        <v>0.18</v>
      </c>
      <c r="W305" s="277">
        <v>0.0</v>
      </c>
      <c r="X305" s="271">
        <v>10169.0</v>
      </c>
      <c r="Y305" s="271">
        <v>2232.0</v>
      </c>
      <c r="Z305" s="50" t="b">
        <v>1</v>
      </c>
      <c r="AA305" s="50" t="s">
        <v>138</v>
      </c>
      <c r="AB305" s="50" t="s">
        <v>138</v>
      </c>
    </row>
    <row r="306">
      <c r="A306" s="101" t="s">
        <v>216</v>
      </c>
      <c r="B306" s="101" t="s">
        <v>216</v>
      </c>
      <c r="C306" s="284">
        <v>43942.0</v>
      </c>
      <c r="D306" s="285">
        <v>43971.0</v>
      </c>
      <c r="E306" s="271" t="s">
        <v>268</v>
      </c>
      <c r="F306" s="138" t="s">
        <v>4</v>
      </c>
      <c r="G306" s="101" t="s">
        <v>5</v>
      </c>
      <c r="H306" s="273" t="s">
        <v>954</v>
      </c>
      <c r="I306" s="63">
        <v>100.0</v>
      </c>
      <c r="J306" s="74">
        <v>175.0</v>
      </c>
      <c r="K306" s="271">
        <f t="shared" si="1"/>
        <v>17500</v>
      </c>
      <c r="L306" s="74">
        <v>720.0</v>
      </c>
      <c r="M306" s="74">
        <v>-100.0</v>
      </c>
      <c r="N306" s="282">
        <v>251.2</v>
      </c>
      <c r="O306" s="60"/>
      <c r="P306" s="50">
        <v>251.0</v>
      </c>
      <c r="Q306" s="74">
        <v>-832.0</v>
      </c>
      <c r="R306" s="276">
        <v>-0.00202</v>
      </c>
      <c r="S306" s="74">
        <v>-868.0</v>
      </c>
      <c r="T306" s="74">
        <v>-616.0</v>
      </c>
      <c r="U306" s="62">
        <v>1.0</v>
      </c>
      <c r="V306" s="277">
        <v>0.26</v>
      </c>
      <c r="W306" s="277">
        <v>0.0</v>
      </c>
      <c r="X306" s="74">
        <v>-456.0</v>
      </c>
      <c r="Y306" s="74">
        <v>-160.0</v>
      </c>
      <c r="Z306" s="50" t="b">
        <v>1</v>
      </c>
      <c r="AA306" s="50" t="s">
        <v>138</v>
      </c>
      <c r="AB306" s="50" t="s">
        <v>138</v>
      </c>
    </row>
    <row r="307">
      <c r="A307" s="101" t="s">
        <v>216</v>
      </c>
      <c r="B307" s="101" t="s">
        <v>216</v>
      </c>
      <c r="C307" s="284">
        <v>43942.0</v>
      </c>
      <c r="D307" s="285">
        <v>43971.0</v>
      </c>
      <c r="E307" s="271" t="s">
        <v>268</v>
      </c>
      <c r="F307" s="138" t="s">
        <v>12</v>
      </c>
      <c r="G307" s="101" t="s">
        <v>5</v>
      </c>
      <c r="H307" s="273" t="s">
        <v>963</v>
      </c>
      <c r="I307" s="63">
        <v>100.0</v>
      </c>
      <c r="J307" s="74">
        <v>1.0</v>
      </c>
      <c r="K307" s="271">
        <f t="shared" si="1"/>
        <v>100</v>
      </c>
      <c r="L307" s="74"/>
      <c r="M307" s="74">
        <v>-100.0</v>
      </c>
      <c r="N307" s="282">
        <v>1.5</v>
      </c>
      <c r="O307" s="60"/>
      <c r="P307" s="50">
        <v>2.0</v>
      </c>
      <c r="Q307" s="74"/>
      <c r="R307" s="276">
        <v>0.0</v>
      </c>
      <c r="S307" s="74"/>
      <c r="T307" s="74">
        <v>-99.0</v>
      </c>
      <c r="U307" s="62">
        <v>1.0</v>
      </c>
      <c r="V307" s="277">
        <v>0.26</v>
      </c>
      <c r="W307" s="277">
        <v>0.0</v>
      </c>
      <c r="X307" s="74">
        <v>-73.0</v>
      </c>
      <c r="Y307" s="74">
        <v>-26.0</v>
      </c>
      <c r="Z307" s="50" t="b">
        <v>1</v>
      </c>
      <c r="AA307" s="50" t="s">
        <v>138</v>
      </c>
      <c r="AB307" s="50" t="s">
        <v>138</v>
      </c>
    </row>
    <row r="308">
      <c r="A308" s="101" t="s">
        <v>216</v>
      </c>
      <c r="B308" s="101" t="s">
        <v>216</v>
      </c>
      <c r="C308" s="284">
        <v>43942.0</v>
      </c>
      <c r="D308" s="285">
        <v>43971.0</v>
      </c>
      <c r="E308" s="271" t="s">
        <v>268</v>
      </c>
      <c r="F308" s="138" t="s">
        <v>4</v>
      </c>
      <c r="G308" s="101" t="s">
        <v>5</v>
      </c>
      <c r="H308" s="273" t="s">
        <v>965</v>
      </c>
      <c r="I308" s="63">
        <v>25.0</v>
      </c>
      <c r="J308" s="74">
        <v>25.0</v>
      </c>
      <c r="K308" s="271">
        <f t="shared" si="1"/>
        <v>625</v>
      </c>
      <c r="L308" s="74">
        <v>2402.0</v>
      </c>
      <c r="M308" s="74">
        <v>475.0</v>
      </c>
      <c r="N308" s="282">
        <v>11.0</v>
      </c>
      <c r="O308" s="60"/>
      <c r="P308" s="50">
        <v>11.0</v>
      </c>
      <c r="Q308" s="74">
        <v>71.0</v>
      </c>
      <c r="R308" s="276">
        <v>-0.00202</v>
      </c>
      <c r="S308" s="74">
        <v>70.0</v>
      </c>
      <c r="T308" s="74">
        <v>81.0</v>
      </c>
      <c r="U308" s="62">
        <v>1.0</v>
      </c>
      <c r="V308" s="277">
        <v>0.26</v>
      </c>
      <c r="W308" s="277">
        <v>0.0</v>
      </c>
      <c r="X308" s="74">
        <v>60.0</v>
      </c>
      <c r="Y308" s="74">
        <v>21.0</v>
      </c>
      <c r="Z308" s="50" t="b">
        <v>1</v>
      </c>
      <c r="AA308" s="50" t="s">
        <v>138</v>
      </c>
      <c r="AB308" s="50" t="s">
        <v>138</v>
      </c>
    </row>
    <row r="309">
      <c r="A309" s="101" t="s">
        <v>216</v>
      </c>
      <c r="B309" s="101" t="s">
        <v>216</v>
      </c>
      <c r="C309" s="284">
        <v>43942.0</v>
      </c>
      <c r="D309" s="285">
        <v>43971.0</v>
      </c>
      <c r="E309" s="271" t="s">
        <v>268</v>
      </c>
      <c r="F309" s="138" t="s">
        <v>4</v>
      </c>
      <c r="G309" s="101" t="s">
        <v>5</v>
      </c>
      <c r="H309" s="114" t="s">
        <v>976</v>
      </c>
      <c r="I309" s="63">
        <v>25.0</v>
      </c>
      <c r="J309" s="74">
        <v>1.0</v>
      </c>
      <c r="K309" s="271">
        <f t="shared" si="1"/>
        <v>25</v>
      </c>
      <c r="L309" s="74">
        <v>-121.0</v>
      </c>
      <c r="M309" s="74">
        <v>100.0</v>
      </c>
      <c r="N309" s="282">
        <v>0.4</v>
      </c>
      <c r="O309" s="60"/>
      <c r="P309" s="50">
        <v>0.0</v>
      </c>
      <c r="Q309" s="74">
        <v>-11.0</v>
      </c>
      <c r="R309" s="276">
        <v>-0.00202</v>
      </c>
      <c r="S309" s="74">
        <v>-11.0</v>
      </c>
      <c r="T309" s="74">
        <v>-11.0</v>
      </c>
      <c r="U309" s="62">
        <v>1.0</v>
      </c>
      <c r="V309" s="277">
        <v>0.26</v>
      </c>
      <c r="W309" s="277">
        <v>0.0</v>
      </c>
      <c r="X309" s="74">
        <v>-8.0</v>
      </c>
      <c r="Y309" s="74">
        <v>-3.0</v>
      </c>
      <c r="Z309" s="50" t="b">
        <v>1</v>
      </c>
      <c r="AA309" s="50" t="s">
        <v>138</v>
      </c>
      <c r="AB309" s="50" t="s">
        <v>138</v>
      </c>
    </row>
    <row r="310">
      <c r="A310" s="101" t="s">
        <v>216</v>
      </c>
      <c r="B310" s="101" t="s">
        <v>216</v>
      </c>
      <c r="C310" s="284">
        <v>43942.0</v>
      </c>
      <c r="D310" s="285">
        <v>43971.0</v>
      </c>
      <c r="E310" s="271" t="s">
        <v>268</v>
      </c>
      <c r="F310" s="138" t="s">
        <v>4</v>
      </c>
      <c r="G310" s="101" t="s">
        <v>5</v>
      </c>
      <c r="H310" s="273" t="s">
        <v>966</v>
      </c>
      <c r="I310" s="63">
        <v>50.0</v>
      </c>
      <c r="J310" s="74">
        <v>2152.0</v>
      </c>
      <c r="K310" s="271">
        <f t="shared" si="1"/>
        <v>107600</v>
      </c>
      <c r="L310" s="74">
        <v>75998.0</v>
      </c>
      <c r="M310" s="74">
        <v>-3350.0</v>
      </c>
      <c r="N310" s="282">
        <v>1878.1</v>
      </c>
      <c r="O310" s="60"/>
      <c r="P310" s="109">
        <v>1878.0</v>
      </c>
      <c r="Q310" s="74">
        <v>67.0</v>
      </c>
      <c r="R310" s="276">
        <v>-0.00202</v>
      </c>
      <c r="S310" s="74">
        <v>-150.0</v>
      </c>
      <c r="T310" s="74">
        <v>1728.0</v>
      </c>
      <c r="U310" s="62">
        <v>1.0</v>
      </c>
      <c r="V310" s="277">
        <v>0.26</v>
      </c>
      <c r="W310" s="277">
        <v>0.0</v>
      </c>
      <c r="X310" s="74">
        <v>1279.0</v>
      </c>
      <c r="Y310" s="74">
        <v>449.0</v>
      </c>
      <c r="Z310" s="50" t="b">
        <v>1</v>
      </c>
      <c r="AA310" s="50" t="s">
        <v>138</v>
      </c>
      <c r="AB310" s="50" t="s">
        <v>138</v>
      </c>
    </row>
    <row r="311">
      <c r="A311" s="101" t="s">
        <v>216</v>
      </c>
      <c r="B311" s="101" t="s">
        <v>216</v>
      </c>
      <c r="C311" s="284">
        <v>43942.0</v>
      </c>
      <c r="D311" s="285">
        <v>43971.0</v>
      </c>
      <c r="E311" s="271" t="s">
        <v>268</v>
      </c>
      <c r="F311" s="138" t="s">
        <v>4</v>
      </c>
      <c r="G311" s="101" t="s">
        <v>5</v>
      </c>
      <c r="H311" s="114" t="s">
        <v>974</v>
      </c>
      <c r="I311" s="63">
        <v>50.0</v>
      </c>
      <c r="J311" s="74">
        <v>44.0</v>
      </c>
      <c r="K311" s="271">
        <f t="shared" si="1"/>
        <v>2200</v>
      </c>
      <c r="L311" s="74">
        <v>-414.0</v>
      </c>
      <c r="M311" s="74">
        <v>-1200.0</v>
      </c>
      <c r="N311" s="282">
        <v>38.6</v>
      </c>
      <c r="O311" s="60"/>
      <c r="P311" s="50">
        <v>39.0</v>
      </c>
      <c r="Q311" s="74">
        <v>-136.0</v>
      </c>
      <c r="R311" s="276">
        <v>-0.00202</v>
      </c>
      <c r="S311" s="74">
        <v>-141.0</v>
      </c>
      <c r="T311" s="74">
        <v>-102.0</v>
      </c>
      <c r="U311" s="62">
        <v>1.0</v>
      </c>
      <c r="V311" s="277">
        <v>0.26</v>
      </c>
      <c r="W311" s="277">
        <v>0.0</v>
      </c>
      <c r="X311" s="74">
        <v>-75.0</v>
      </c>
      <c r="Y311" s="74">
        <v>-27.0</v>
      </c>
      <c r="Z311" s="50" t="b">
        <v>1</v>
      </c>
      <c r="AA311" s="50" t="s">
        <v>138</v>
      </c>
      <c r="AB311" s="50" t="s">
        <v>138</v>
      </c>
    </row>
    <row r="312">
      <c r="A312" s="280" t="s">
        <v>181</v>
      </c>
      <c r="B312" s="280" t="s">
        <v>181</v>
      </c>
      <c r="C312" s="284">
        <v>43872.0</v>
      </c>
      <c r="D312" s="285">
        <v>43975.0</v>
      </c>
      <c r="E312" s="271" t="s">
        <v>881</v>
      </c>
      <c r="F312" s="138" t="s">
        <v>12</v>
      </c>
      <c r="G312" s="280" t="s">
        <v>5</v>
      </c>
      <c r="H312" s="273" t="s">
        <v>954</v>
      </c>
      <c r="I312" s="274">
        <v>100.0</v>
      </c>
      <c r="J312" s="271">
        <v>4977.0</v>
      </c>
      <c r="K312" s="271">
        <f t="shared" si="1"/>
        <v>497700</v>
      </c>
      <c r="L312" s="271">
        <v>157000.0</v>
      </c>
      <c r="M312" s="271">
        <v>9400.0</v>
      </c>
      <c r="N312" s="275">
        <v>0.0</v>
      </c>
      <c r="O312" s="60"/>
      <c r="P312" s="50">
        <v>0.0</v>
      </c>
      <c r="Q312" s="271">
        <v>2786.0</v>
      </c>
      <c r="R312" s="276">
        <v>0.0</v>
      </c>
      <c r="S312" s="271">
        <v>2786.0</v>
      </c>
      <c r="T312" s="271">
        <v>9400.0</v>
      </c>
      <c r="U312" s="62">
        <v>1.0</v>
      </c>
      <c r="V312" s="277">
        <v>0.0</v>
      </c>
      <c r="W312" s="277">
        <v>0.12</v>
      </c>
      <c r="X312" s="271">
        <v>8272.0</v>
      </c>
      <c r="Y312" s="271">
        <v>1128.0</v>
      </c>
      <c r="Z312" s="50" t="b">
        <v>1</v>
      </c>
      <c r="AA312" s="50" t="s">
        <v>138</v>
      </c>
      <c r="AB312" s="50" t="s">
        <v>138</v>
      </c>
    </row>
    <row r="313">
      <c r="A313" s="280" t="s">
        <v>177</v>
      </c>
      <c r="B313" s="280" t="s">
        <v>177</v>
      </c>
      <c r="C313" s="284">
        <v>43952.0</v>
      </c>
      <c r="D313" s="285">
        <v>43982.0</v>
      </c>
      <c r="E313" s="271" t="s">
        <v>268</v>
      </c>
      <c r="F313" s="138" t="s">
        <v>8</v>
      </c>
      <c r="G313" s="280" t="s">
        <v>5</v>
      </c>
      <c r="H313" s="273" t="s">
        <v>954</v>
      </c>
      <c r="I313" s="281">
        <v>100.0</v>
      </c>
      <c r="J313" s="280">
        <v>1950.0</v>
      </c>
      <c r="K313" s="271">
        <f t="shared" si="1"/>
        <v>195000</v>
      </c>
      <c r="L313" s="280">
        <v>87653.0</v>
      </c>
      <c r="M313" s="280">
        <v>1400.0</v>
      </c>
      <c r="N313" s="275">
        <v>1777.0</v>
      </c>
      <c r="O313" s="60"/>
      <c r="P313" s="109">
        <v>1777.0</v>
      </c>
      <c r="Q313" s="280">
        <v>6030.0</v>
      </c>
      <c r="R313" s="276">
        <v>-0.003622</v>
      </c>
      <c r="S313" s="280">
        <v>5324.0</v>
      </c>
      <c r="T313" s="280">
        <v>7101.0</v>
      </c>
      <c r="U313" s="62">
        <v>1.0</v>
      </c>
      <c r="V313" s="277">
        <v>0.12</v>
      </c>
      <c r="W313" s="277">
        <v>0.0</v>
      </c>
      <c r="X313" s="280">
        <v>6249.0</v>
      </c>
      <c r="Y313" s="280">
        <v>852.0</v>
      </c>
      <c r="Z313" s="50" t="b">
        <v>1</v>
      </c>
      <c r="AA313" s="50" t="s">
        <v>138</v>
      </c>
      <c r="AB313" s="50" t="s">
        <v>138</v>
      </c>
    </row>
    <row r="314">
      <c r="A314" s="101" t="s">
        <v>459</v>
      </c>
      <c r="B314" s="101" t="s">
        <v>912</v>
      </c>
      <c r="C314" s="284">
        <v>43952.0</v>
      </c>
      <c r="D314" s="285">
        <v>43982.0</v>
      </c>
      <c r="E314" s="271" t="s">
        <v>331</v>
      </c>
      <c r="F314" s="138" t="s">
        <v>8</v>
      </c>
      <c r="G314" s="280" t="s">
        <v>9</v>
      </c>
      <c r="H314" s="273" t="s">
        <v>68</v>
      </c>
      <c r="I314" s="281">
        <v>25.0</v>
      </c>
      <c r="J314" s="280">
        <v>1501.0</v>
      </c>
      <c r="K314" s="271">
        <f t="shared" si="1"/>
        <v>37525</v>
      </c>
      <c r="L314" s="280">
        <v>90574.0</v>
      </c>
      <c r="M314" s="280">
        <v>1200.0</v>
      </c>
      <c r="N314" s="275">
        <f>25+75+75+25+25+25+500+100+10</f>
        <v>860</v>
      </c>
      <c r="O314" s="60"/>
      <c r="P314" s="50">
        <v>860.0</v>
      </c>
      <c r="Q314" s="280">
        <v>791.0</v>
      </c>
      <c r="R314" s="276">
        <v>-0.003588</v>
      </c>
      <c r="S314" s="280">
        <v>656.0</v>
      </c>
      <c r="T314" s="280">
        <v>1516.0</v>
      </c>
      <c r="U314" s="62">
        <v>1.0</v>
      </c>
      <c r="V314" s="277">
        <v>0.235</v>
      </c>
      <c r="W314" s="277">
        <v>0.11</v>
      </c>
      <c r="X314" s="280">
        <v>993.0</v>
      </c>
      <c r="Y314" s="280">
        <v>523.0</v>
      </c>
      <c r="Z314" s="50" t="b">
        <v>1</v>
      </c>
      <c r="AA314" s="50" t="s">
        <v>140</v>
      </c>
      <c r="AB314" s="50" t="s">
        <v>140</v>
      </c>
    </row>
    <row r="315">
      <c r="A315" s="101" t="s">
        <v>156</v>
      </c>
      <c r="B315" s="101" t="s">
        <v>975</v>
      </c>
      <c r="C315" s="278">
        <v>43952.0</v>
      </c>
      <c r="D315" s="278">
        <v>43982.0</v>
      </c>
      <c r="E315" s="271" t="s">
        <v>268</v>
      </c>
      <c r="F315" s="138" t="s">
        <v>4</v>
      </c>
      <c r="G315" s="271" t="s">
        <v>16</v>
      </c>
      <c r="H315" s="273" t="s">
        <v>59</v>
      </c>
      <c r="I315" s="63">
        <v>20.0</v>
      </c>
      <c r="J315" s="74">
        <v>39.0</v>
      </c>
      <c r="K315" s="271">
        <f t="shared" si="1"/>
        <v>780</v>
      </c>
      <c r="L315" s="271">
        <v>3242.0</v>
      </c>
      <c r="M315" s="271">
        <v>120.0</v>
      </c>
      <c r="N315" s="275">
        <v>29.0</v>
      </c>
      <c r="O315" s="60"/>
      <c r="P315" s="50">
        <v>29.0</v>
      </c>
      <c r="Q315" s="271">
        <v>71.0</v>
      </c>
      <c r="R315" s="276">
        <v>-1.0E-4</v>
      </c>
      <c r="S315" s="271">
        <v>71.0</v>
      </c>
      <c r="T315" s="271">
        <v>100.0</v>
      </c>
      <c r="U315" s="62">
        <v>1.0</v>
      </c>
      <c r="V315" s="277">
        <v>0.1</v>
      </c>
      <c r="W315" s="277">
        <v>0.0</v>
      </c>
      <c r="X315" s="271">
        <v>90.0</v>
      </c>
      <c r="Y315" s="271">
        <v>10.0</v>
      </c>
      <c r="Z315" s="50" t="b">
        <v>1</v>
      </c>
      <c r="AA315" s="50" t="s">
        <v>138</v>
      </c>
      <c r="AB315" s="50" t="s">
        <v>138</v>
      </c>
    </row>
    <row r="316">
      <c r="A316" s="101" t="s">
        <v>156</v>
      </c>
      <c r="B316" s="101" t="s">
        <v>975</v>
      </c>
      <c r="C316" s="278">
        <v>43952.0</v>
      </c>
      <c r="D316" s="278">
        <v>43982.0</v>
      </c>
      <c r="E316" s="271" t="s">
        <v>268</v>
      </c>
      <c r="F316" s="138" t="s">
        <v>4</v>
      </c>
      <c r="G316" s="271" t="s">
        <v>16</v>
      </c>
      <c r="H316" s="273" t="s">
        <v>74</v>
      </c>
      <c r="I316" s="63">
        <v>50.0</v>
      </c>
      <c r="J316" s="74">
        <v>3980.0</v>
      </c>
      <c r="K316" s="271">
        <f t="shared" si="1"/>
        <v>199000</v>
      </c>
      <c r="L316" s="271">
        <v>116001.0</v>
      </c>
      <c r="M316" s="271">
        <v>-3000.0</v>
      </c>
      <c r="N316" s="275">
        <v>6260.0</v>
      </c>
      <c r="O316" s="60"/>
      <c r="P316" s="109">
        <v>6260.0</v>
      </c>
      <c r="Q316" s="271">
        <v>211.0</v>
      </c>
      <c r="R316" s="276">
        <v>-1.0E-4</v>
      </c>
      <c r="S316" s="271">
        <v>191.0</v>
      </c>
      <c r="T316" s="271">
        <v>6451.0</v>
      </c>
      <c r="U316" s="62">
        <v>1.0</v>
      </c>
      <c r="V316" s="277">
        <v>0.1</v>
      </c>
      <c r="W316" s="277">
        <v>0.0</v>
      </c>
      <c r="X316" s="271">
        <v>5806.0</v>
      </c>
      <c r="Y316" s="271">
        <v>645.0</v>
      </c>
      <c r="Z316" s="50" t="b">
        <v>1</v>
      </c>
      <c r="AA316" s="50" t="s">
        <v>138</v>
      </c>
      <c r="AB316" s="50" t="s">
        <v>138</v>
      </c>
    </row>
    <row r="317">
      <c r="A317" s="271" t="s">
        <v>459</v>
      </c>
      <c r="B317" s="271" t="s">
        <v>912</v>
      </c>
      <c r="C317" s="278">
        <v>43983.0</v>
      </c>
      <c r="D317" s="278">
        <v>43985.0</v>
      </c>
      <c r="E317" s="271" t="s">
        <v>331</v>
      </c>
      <c r="F317" s="138" t="s">
        <v>8</v>
      </c>
      <c r="G317" s="280" t="s">
        <v>9</v>
      </c>
      <c r="H317" s="273" t="s">
        <v>55</v>
      </c>
      <c r="I317" s="274">
        <v>10.0</v>
      </c>
      <c r="J317" s="271">
        <v>53.0</v>
      </c>
      <c r="K317" s="271">
        <f t="shared" si="1"/>
        <v>530</v>
      </c>
      <c r="L317" s="271">
        <v>9182.0</v>
      </c>
      <c r="M317" s="271">
        <v>380.0</v>
      </c>
      <c r="N317" s="275"/>
      <c r="O317" s="60"/>
      <c r="P317" s="101"/>
      <c r="Q317" s="271">
        <v>120.0</v>
      </c>
      <c r="R317" s="276">
        <v>-0.005637</v>
      </c>
      <c r="S317" s="271">
        <v>117.0</v>
      </c>
      <c r="T317" s="271">
        <v>117.0</v>
      </c>
      <c r="U317" s="62">
        <v>1.0</v>
      </c>
      <c r="V317" s="277">
        <v>0.235</v>
      </c>
      <c r="W317" s="277">
        <v>0.11</v>
      </c>
      <c r="X317" s="271">
        <v>77.0</v>
      </c>
      <c r="Y317" s="271">
        <v>40.0</v>
      </c>
      <c r="Z317" s="50" t="b">
        <v>1</v>
      </c>
      <c r="AA317" s="50" t="s">
        <v>140</v>
      </c>
      <c r="AB317" s="50" t="s">
        <v>140</v>
      </c>
    </row>
    <row r="318">
      <c r="A318" s="280" t="s">
        <v>459</v>
      </c>
      <c r="B318" s="280" t="s">
        <v>912</v>
      </c>
      <c r="C318" s="278">
        <v>43983.0</v>
      </c>
      <c r="D318" s="278">
        <v>43985.0</v>
      </c>
      <c r="E318" s="271" t="s">
        <v>331</v>
      </c>
      <c r="F318" s="138" t="s">
        <v>8</v>
      </c>
      <c r="G318" s="280" t="s">
        <v>9</v>
      </c>
      <c r="H318" s="273" t="s">
        <v>68</v>
      </c>
      <c r="I318" s="274">
        <v>25.0</v>
      </c>
      <c r="J318" s="271">
        <v>80.0</v>
      </c>
      <c r="K318" s="271">
        <f t="shared" si="1"/>
        <v>2000</v>
      </c>
      <c r="L318" s="271">
        <v>2075.0</v>
      </c>
      <c r="M318" s="271">
        <v>-250.0</v>
      </c>
      <c r="N318" s="275"/>
      <c r="O318" s="60"/>
      <c r="P318" s="101"/>
      <c r="Q318" s="271">
        <v>-83.0</v>
      </c>
      <c r="R318" s="276">
        <v>-0.004502</v>
      </c>
      <c r="S318" s="271">
        <v>-92.0</v>
      </c>
      <c r="T318" s="271">
        <v>-92.0</v>
      </c>
      <c r="U318" s="62">
        <v>1.0</v>
      </c>
      <c r="V318" s="277">
        <v>0.235</v>
      </c>
      <c r="W318" s="277">
        <v>0.11</v>
      </c>
      <c r="X318" s="271">
        <v>-60.0</v>
      </c>
      <c r="Y318" s="271">
        <v>-32.0</v>
      </c>
      <c r="Z318" s="50" t="b">
        <v>1</v>
      </c>
      <c r="AA318" s="50" t="s">
        <v>140</v>
      </c>
      <c r="AB318" s="50" t="s">
        <v>140</v>
      </c>
    </row>
    <row r="319">
      <c r="A319" s="101" t="s">
        <v>267</v>
      </c>
      <c r="B319" s="101" t="s">
        <v>267</v>
      </c>
      <c r="C319" s="285">
        <v>43972.0</v>
      </c>
      <c r="D319" s="278">
        <v>44002.0</v>
      </c>
      <c r="E319" s="271" t="s">
        <v>268</v>
      </c>
      <c r="F319" s="138" t="s">
        <v>4</v>
      </c>
      <c r="G319" s="101" t="s">
        <v>5</v>
      </c>
      <c r="H319" s="114" t="s">
        <v>964</v>
      </c>
      <c r="I319" s="63">
        <v>10.0</v>
      </c>
      <c r="J319" s="74">
        <v>3.0</v>
      </c>
      <c r="K319" s="271">
        <f t="shared" si="1"/>
        <v>30</v>
      </c>
      <c r="L319" s="271">
        <v>474.0</v>
      </c>
      <c r="M319" s="271">
        <v>20.0</v>
      </c>
      <c r="N319" s="275">
        <v>0.1</v>
      </c>
      <c r="O319" s="60"/>
      <c r="P319" s="50">
        <v>0.0</v>
      </c>
      <c r="Q319" s="271">
        <v>7.0</v>
      </c>
      <c r="R319" s="276">
        <v>-1.0E-4</v>
      </c>
      <c r="S319" s="271">
        <v>7.0</v>
      </c>
      <c r="T319" s="271">
        <v>7.0</v>
      </c>
      <c r="U319" s="62">
        <v>1.0</v>
      </c>
      <c r="V319" s="277">
        <v>0.17</v>
      </c>
      <c r="W319" s="277">
        <v>0.0</v>
      </c>
      <c r="X319" s="271">
        <v>6.0</v>
      </c>
      <c r="Y319" s="271">
        <v>1.0</v>
      </c>
      <c r="Z319" s="50" t="b">
        <v>1</v>
      </c>
      <c r="AA319" s="50" t="s">
        <v>138</v>
      </c>
      <c r="AB319" s="50" t="s">
        <v>138</v>
      </c>
    </row>
    <row r="320">
      <c r="A320" s="101" t="s">
        <v>267</v>
      </c>
      <c r="B320" s="101" t="s">
        <v>267</v>
      </c>
      <c r="C320" s="285">
        <v>43972.0</v>
      </c>
      <c r="D320" s="278">
        <v>44002.0</v>
      </c>
      <c r="E320" s="271" t="s">
        <v>268</v>
      </c>
      <c r="F320" s="138" t="s">
        <v>4</v>
      </c>
      <c r="G320" s="101" t="s">
        <v>5</v>
      </c>
      <c r="H320" s="114" t="s">
        <v>969</v>
      </c>
      <c r="I320" s="63">
        <v>10.0</v>
      </c>
      <c r="J320" s="74">
        <v>961.0</v>
      </c>
      <c r="K320" s="271">
        <f t="shared" si="1"/>
        <v>9610</v>
      </c>
      <c r="L320" s="271">
        <v>28884.0</v>
      </c>
      <c r="M320" s="271">
        <v>160.0</v>
      </c>
      <c r="N320" s="275">
        <v>28.3</v>
      </c>
      <c r="O320" s="60"/>
      <c r="P320" s="50">
        <v>28.0</v>
      </c>
      <c r="Q320" s="271">
        <v>179.0</v>
      </c>
      <c r="R320" s="276">
        <v>-1.0E-4</v>
      </c>
      <c r="S320" s="271">
        <v>178.0</v>
      </c>
      <c r="T320" s="271">
        <v>206.0</v>
      </c>
      <c r="U320" s="62">
        <v>1.0</v>
      </c>
      <c r="V320" s="277">
        <v>0.17</v>
      </c>
      <c r="W320" s="277">
        <v>0.0</v>
      </c>
      <c r="X320" s="271">
        <v>171.0</v>
      </c>
      <c r="Y320" s="271">
        <v>35.0</v>
      </c>
      <c r="Z320" s="50" t="b">
        <v>1</v>
      </c>
      <c r="AA320" s="50" t="s">
        <v>138</v>
      </c>
      <c r="AB320" s="50" t="s">
        <v>138</v>
      </c>
    </row>
    <row r="321">
      <c r="A321" s="101" t="s">
        <v>267</v>
      </c>
      <c r="B321" s="101" t="s">
        <v>267</v>
      </c>
      <c r="C321" s="285">
        <v>43972.0</v>
      </c>
      <c r="D321" s="278">
        <v>44002.0</v>
      </c>
      <c r="E321" s="271" t="s">
        <v>268</v>
      </c>
      <c r="F321" s="138" t="s">
        <v>4</v>
      </c>
      <c r="G321" s="101" t="s">
        <v>5</v>
      </c>
      <c r="H321" s="273" t="s">
        <v>965</v>
      </c>
      <c r="I321" s="63">
        <v>25.0</v>
      </c>
      <c r="J321" s="74">
        <v>1011.0</v>
      </c>
      <c r="K321" s="271">
        <f t="shared" si="1"/>
        <v>25275</v>
      </c>
      <c r="L321" s="271">
        <v>69602.0</v>
      </c>
      <c r="M321" s="271">
        <v>2650.0</v>
      </c>
      <c r="N321" s="275">
        <v>63.7</v>
      </c>
      <c r="O321" s="60"/>
      <c r="P321" s="50">
        <v>64.0</v>
      </c>
      <c r="Q321" s="271">
        <v>1635.0</v>
      </c>
      <c r="R321" s="276">
        <v>-1.0E-4</v>
      </c>
      <c r="S321" s="271">
        <v>1633.0</v>
      </c>
      <c r="T321" s="271">
        <v>1696.0</v>
      </c>
      <c r="U321" s="62">
        <v>1.0</v>
      </c>
      <c r="V321" s="277">
        <v>0.17</v>
      </c>
      <c r="W321" s="277">
        <v>0.0</v>
      </c>
      <c r="X321" s="271">
        <v>1408.0</v>
      </c>
      <c r="Y321" s="271">
        <v>288.0</v>
      </c>
      <c r="Z321" s="50" t="b">
        <v>1</v>
      </c>
      <c r="AA321" s="50" t="s">
        <v>138</v>
      </c>
      <c r="AB321" s="50" t="s">
        <v>138</v>
      </c>
    </row>
    <row r="322">
      <c r="A322" s="101" t="s">
        <v>267</v>
      </c>
      <c r="B322" s="101" t="s">
        <v>267</v>
      </c>
      <c r="C322" s="285">
        <v>43972.0</v>
      </c>
      <c r="D322" s="278">
        <v>44002.0</v>
      </c>
      <c r="E322" s="271" t="s">
        <v>268</v>
      </c>
      <c r="F322" s="138" t="s">
        <v>4</v>
      </c>
      <c r="G322" s="101" t="s">
        <v>5</v>
      </c>
      <c r="H322" s="114" t="s">
        <v>976</v>
      </c>
      <c r="I322" s="63">
        <v>25.0</v>
      </c>
      <c r="J322" s="74">
        <v>996.0</v>
      </c>
      <c r="K322" s="271">
        <f t="shared" si="1"/>
        <v>24900</v>
      </c>
      <c r="L322" s="271">
        <v>25354.0</v>
      </c>
      <c r="M322" s="271">
        <v>2125.0</v>
      </c>
      <c r="N322" s="275">
        <v>62.8</v>
      </c>
      <c r="O322" s="60"/>
      <c r="P322" s="50">
        <v>63.0</v>
      </c>
      <c r="Q322" s="271">
        <v>381.0</v>
      </c>
      <c r="R322" s="276">
        <v>-1.0E-4</v>
      </c>
      <c r="S322" s="271">
        <v>379.0</v>
      </c>
      <c r="T322" s="271">
        <v>441.0</v>
      </c>
      <c r="U322" s="62">
        <v>1.0</v>
      </c>
      <c r="V322" s="277">
        <v>0.17</v>
      </c>
      <c r="W322" s="277">
        <v>0.0</v>
      </c>
      <c r="X322" s="271">
        <v>366.0</v>
      </c>
      <c r="Y322" s="271">
        <v>75.0</v>
      </c>
      <c r="Z322" s="50" t="b">
        <v>1</v>
      </c>
      <c r="AA322" s="50" t="s">
        <v>138</v>
      </c>
      <c r="AB322" s="50" t="s">
        <v>138</v>
      </c>
    </row>
    <row r="323">
      <c r="A323" s="101" t="s">
        <v>267</v>
      </c>
      <c r="B323" s="101" t="s">
        <v>267</v>
      </c>
      <c r="C323" s="285">
        <v>43972.0</v>
      </c>
      <c r="D323" s="278">
        <v>44002.0</v>
      </c>
      <c r="E323" s="271" t="s">
        <v>268</v>
      </c>
      <c r="F323" s="138" t="s">
        <v>4</v>
      </c>
      <c r="G323" s="101" t="s">
        <v>5</v>
      </c>
      <c r="H323" s="114" t="s">
        <v>977</v>
      </c>
      <c r="I323" s="63">
        <v>5.0</v>
      </c>
      <c r="J323" s="74">
        <v>6.0</v>
      </c>
      <c r="K323" s="271">
        <f t="shared" si="1"/>
        <v>30</v>
      </c>
      <c r="L323" s="271">
        <v>468.0</v>
      </c>
      <c r="M323" s="271">
        <v>0.0</v>
      </c>
      <c r="N323" s="275">
        <v>0.1</v>
      </c>
      <c r="O323" s="60"/>
      <c r="P323" s="50">
        <v>0.0</v>
      </c>
      <c r="Q323" s="271">
        <v>4.0</v>
      </c>
      <c r="R323" s="276">
        <v>-1.0E-4</v>
      </c>
      <c r="S323" s="271">
        <v>4.0</v>
      </c>
      <c r="T323" s="271">
        <v>5.0</v>
      </c>
      <c r="U323" s="62">
        <v>1.0</v>
      </c>
      <c r="V323" s="277">
        <v>0.17</v>
      </c>
      <c r="W323" s="277">
        <v>0.0</v>
      </c>
      <c r="X323" s="271">
        <v>4.0</v>
      </c>
      <c r="Y323" s="271">
        <v>1.0</v>
      </c>
      <c r="Z323" s="50" t="b">
        <v>1</v>
      </c>
      <c r="AA323" s="50" t="s">
        <v>138</v>
      </c>
      <c r="AB323" s="50" t="s">
        <v>138</v>
      </c>
    </row>
    <row r="324">
      <c r="A324" s="101" t="s">
        <v>148</v>
      </c>
      <c r="B324" s="101" t="s">
        <v>148</v>
      </c>
      <c r="C324" s="285">
        <v>43972.0</v>
      </c>
      <c r="D324" s="278">
        <v>44002.0</v>
      </c>
      <c r="E324" s="271" t="s">
        <v>331</v>
      </c>
      <c r="F324" s="138" t="s">
        <v>4</v>
      </c>
      <c r="G324" s="101" t="s">
        <v>5</v>
      </c>
      <c r="H324" s="114" t="s">
        <v>964</v>
      </c>
      <c r="I324" s="63">
        <v>10.0</v>
      </c>
      <c r="J324" s="74">
        <v>6.0</v>
      </c>
      <c r="K324" s="271">
        <f t="shared" si="1"/>
        <v>60</v>
      </c>
      <c r="L324" s="280">
        <v>414.0</v>
      </c>
      <c r="M324" s="280">
        <v>-10.0</v>
      </c>
      <c r="N324" s="275">
        <v>0.6</v>
      </c>
      <c r="O324" s="60"/>
      <c r="P324" s="50">
        <v>1.0</v>
      </c>
      <c r="Q324" s="280">
        <v>3.0</v>
      </c>
      <c r="R324" s="276">
        <v>-1.0E-4</v>
      </c>
      <c r="S324" s="280">
        <v>3.0</v>
      </c>
      <c r="T324" s="280">
        <v>4.0</v>
      </c>
      <c r="U324" s="62">
        <v>1.0</v>
      </c>
      <c r="V324" s="277">
        <v>0.25</v>
      </c>
      <c r="W324" s="277">
        <v>0.1</v>
      </c>
      <c r="X324" s="280">
        <v>2.0</v>
      </c>
      <c r="Y324" s="280">
        <v>1.0</v>
      </c>
      <c r="Z324" s="50" t="b">
        <v>1</v>
      </c>
      <c r="AA324" s="50" t="s">
        <v>138</v>
      </c>
      <c r="AB324" s="50" t="s">
        <v>138</v>
      </c>
    </row>
    <row r="325">
      <c r="A325" s="101" t="s">
        <v>148</v>
      </c>
      <c r="B325" s="101" t="s">
        <v>148</v>
      </c>
      <c r="C325" s="285">
        <v>43972.0</v>
      </c>
      <c r="D325" s="278">
        <v>44002.0</v>
      </c>
      <c r="E325" s="271" t="s">
        <v>331</v>
      </c>
      <c r="F325" s="138" t="s">
        <v>4</v>
      </c>
      <c r="G325" s="101" t="s">
        <v>5</v>
      </c>
      <c r="H325" s="273" t="s">
        <v>965</v>
      </c>
      <c r="I325" s="63">
        <v>25.0</v>
      </c>
      <c r="J325" s="74">
        <v>3012.0</v>
      </c>
      <c r="K325" s="271">
        <f t="shared" si="1"/>
        <v>75300</v>
      </c>
      <c r="L325" s="280">
        <v>91072.0</v>
      </c>
      <c r="M325" s="280">
        <v>1375.0</v>
      </c>
      <c r="N325" s="275">
        <v>625.0</v>
      </c>
      <c r="O325" s="60"/>
      <c r="P325" s="50">
        <v>625.0</v>
      </c>
      <c r="Q325" s="280">
        <v>-563.0</v>
      </c>
      <c r="R325" s="276">
        <v>-1.0E-4</v>
      </c>
      <c r="S325" s="280">
        <v>-571.0</v>
      </c>
      <c r="T325" s="280">
        <v>54.0</v>
      </c>
      <c r="U325" s="62">
        <v>1.0</v>
      </c>
      <c r="V325" s="277">
        <v>0.25</v>
      </c>
      <c r="W325" s="277">
        <v>0.1</v>
      </c>
      <c r="X325" s="280">
        <v>35.0</v>
      </c>
      <c r="Y325" s="280">
        <v>19.0</v>
      </c>
      <c r="Z325" s="50" t="b">
        <v>1</v>
      </c>
      <c r="AA325" s="50" t="s">
        <v>138</v>
      </c>
      <c r="AB325" s="50" t="s">
        <v>138</v>
      </c>
    </row>
    <row r="326">
      <c r="A326" s="101" t="s">
        <v>148</v>
      </c>
      <c r="B326" s="101" t="s">
        <v>148</v>
      </c>
      <c r="C326" s="285">
        <v>43972.0</v>
      </c>
      <c r="D326" s="278">
        <v>44002.0</v>
      </c>
      <c r="E326" s="271" t="s">
        <v>331</v>
      </c>
      <c r="F326" s="138" t="s">
        <v>4</v>
      </c>
      <c r="G326" s="101" t="s">
        <v>5</v>
      </c>
      <c r="H326" s="273" t="s">
        <v>966</v>
      </c>
      <c r="I326" s="63">
        <v>50.0</v>
      </c>
      <c r="J326" s="74">
        <v>1361.0</v>
      </c>
      <c r="K326" s="271">
        <f t="shared" si="1"/>
        <v>68050</v>
      </c>
      <c r="L326" s="280">
        <v>39875.0</v>
      </c>
      <c r="M326" s="280">
        <v>-2350.0</v>
      </c>
      <c r="N326" s="275">
        <v>564.8</v>
      </c>
      <c r="O326" s="60"/>
      <c r="P326" s="50">
        <v>565.0</v>
      </c>
      <c r="Q326" s="280">
        <v>-628.0</v>
      </c>
      <c r="R326" s="276">
        <v>-1.0E-4</v>
      </c>
      <c r="S326" s="280">
        <v>-635.0</v>
      </c>
      <c r="T326" s="280">
        <v>-70.0</v>
      </c>
      <c r="U326" s="62">
        <v>1.0</v>
      </c>
      <c r="V326" s="277">
        <v>0.25</v>
      </c>
      <c r="W326" s="277">
        <v>0.1</v>
      </c>
      <c r="X326" s="280">
        <v>-46.0</v>
      </c>
      <c r="Y326" s="280">
        <v>-25.0</v>
      </c>
      <c r="Z326" s="50" t="b">
        <v>1</v>
      </c>
      <c r="AA326" s="50" t="s">
        <v>138</v>
      </c>
      <c r="AB326" s="50" t="s">
        <v>138</v>
      </c>
    </row>
    <row r="327">
      <c r="A327" s="101" t="s">
        <v>182</v>
      </c>
      <c r="B327" s="101" t="s">
        <v>182</v>
      </c>
      <c r="C327" s="285">
        <v>43972.0</v>
      </c>
      <c r="D327" s="278">
        <v>44002.0</v>
      </c>
      <c r="E327" s="271" t="s">
        <v>268</v>
      </c>
      <c r="F327" s="138" t="s">
        <v>4</v>
      </c>
      <c r="G327" s="101" t="s">
        <v>5</v>
      </c>
      <c r="H327" s="114" t="s">
        <v>964</v>
      </c>
      <c r="I327" s="63">
        <v>10.0</v>
      </c>
      <c r="J327" s="74">
        <v>1113.0</v>
      </c>
      <c r="K327" s="271">
        <f t="shared" si="1"/>
        <v>11130</v>
      </c>
      <c r="L327" s="280">
        <v>65033.0</v>
      </c>
      <c r="M327" s="280">
        <v>270.0</v>
      </c>
      <c r="N327" s="275">
        <v>42.0</v>
      </c>
      <c r="O327" s="60"/>
      <c r="P327" s="50">
        <v>42.0</v>
      </c>
      <c r="Q327" s="280">
        <v>389.0</v>
      </c>
      <c r="R327" s="276">
        <v>-1.0E-4</v>
      </c>
      <c r="S327" s="280">
        <v>388.0</v>
      </c>
      <c r="T327" s="280">
        <v>430.0</v>
      </c>
      <c r="U327" s="62">
        <v>1.0</v>
      </c>
      <c r="V327" s="277">
        <v>0.3</v>
      </c>
      <c r="W327" s="277">
        <v>0.0</v>
      </c>
      <c r="X327" s="280">
        <v>301.0</v>
      </c>
      <c r="Y327" s="280">
        <v>129.0</v>
      </c>
      <c r="Z327" s="50" t="b">
        <v>1</v>
      </c>
      <c r="AA327" s="50" t="s">
        <v>138</v>
      </c>
      <c r="AB327" s="50" t="s">
        <v>138</v>
      </c>
    </row>
    <row r="328">
      <c r="A328" s="101" t="s">
        <v>182</v>
      </c>
      <c r="B328" s="101" t="s">
        <v>182</v>
      </c>
      <c r="C328" s="285">
        <v>43972.0</v>
      </c>
      <c r="D328" s="278">
        <v>44002.0</v>
      </c>
      <c r="E328" s="271" t="s">
        <v>268</v>
      </c>
      <c r="F328" s="138" t="s">
        <v>4</v>
      </c>
      <c r="G328" s="101" t="s">
        <v>5</v>
      </c>
      <c r="H328" s="273" t="s">
        <v>965</v>
      </c>
      <c r="I328" s="63">
        <v>25.0</v>
      </c>
      <c r="J328" s="74">
        <v>1675.0</v>
      </c>
      <c r="K328" s="271">
        <f t="shared" si="1"/>
        <v>41875</v>
      </c>
      <c r="L328" s="280">
        <v>61515.0</v>
      </c>
      <c r="M328" s="280">
        <v>2150.0</v>
      </c>
      <c r="N328" s="275">
        <v>135.4</v>
      </c>
      <c r="O328" s="60"/>
      <c r="P328" s="50">
        <v>135.0</v>
      </c>
      <c r="Q328" s="280">
        <v>211.0</v>
      </c>
      <c r="R328" s="276">
        <v>-1.0E-4</v>
      </c>
      <c r="S328" s="280">
        <v>207.0</v>
      </c>
      <c r="T328" s="280">
        <v>342.0</v>
      </c>
      <c r="U328" s="62">
        <v>1.0</v>
      </c>
      <c r="V328" s="277">
        <v>0.3</v>
      </c>
      <c r="W328" s="277">
        <v>0.0</v>
      </c>
      <c r="X328" s="280">
        <v>239.0</v>
      </c>
      <c r="Y328" s="280">
        <v>103.0</v>
      </c>
      <c r="Z328" s="50" t="b">
        <v>1</v>
      </c>
      <c r="AA328" s="50" t="s">
        <v>138</v>
      </c>
      <c r="AB328" s="50" t="s">
        <v>138</v>
      </c>
    </row>
    <row r="329">
      <c r="A329" s="101" t="s">
        <v>182</v>
      </c>
      <c r="B329" s="101" t="s">
        <v>182</v>
      </c>
      <c r="C329" s="285">
        <v>43972.0</v>
      </c>
      <c r="D329" s="278">
        <v>44002.0</v>
      </c>
      <c r="E329" s="271" t="s">
        <v>268</v>
      </c>
      <c r="F329" s="138" t="s">
        <v>4</v>
      </c>
      <c r="G329" s="101" t="s">
        <v>5</v>
      </c>
      <c r="H329" s="273" t="s">
        <v>971</v>
      </c>
      <c r="I329" s="63">
        <v>5.0</v>
      </c>
      <c r="J329" s="74">
        <v>2.0</v>
      </c>
      <c r="K329" s="271">
        <f t="shared" si="1"/>
        <v>10</v>
      </c>
      <c r="L329" s="280">
        <v>-1077.0</v>
      </c>
      <c r="M329" s="280">
        <v>-10.0</v>
      </c>
      <c r="N329" s="275">
        <v>0.0</v>
      </c>
      <c r="O329" s="60"/>
      <c r="P329" s="50">
        <v>0.0</v>
      </c>
      <c r="Q329" s="280">
        <v>-11.0</v>
      </c>
      <c r="R329" s="276">
        <v>-1.0E-4</v>
      </c>
      <c r="S329" s="280">
        <v>-11.0</v>
      </c>
      <c r="T329" s="280">
        <v>-11.0</v>
      </c>
      <c r="U329" s="62">
        <v>1.0</v>
      </c>
      <c r="V329" s="277">
        <v>0.3</v>
      </c>
      <c r="W329" s="277">
        <v>0.0</v>
      </c>
      <c r="X329" s="280">
        <v>-7.0</v>
      </c>
      <c r="Y329" s="280">
        <v>-3.0</v>
      </c>
      <c r="Z329" s="50" t="b">
        <v>1</v>
      </c>
      <c r="AA329" s="50" t="s">
        <v>138</v>
      </c>
      <c r="AB329" s="50" t="s">
        <v>138</v>
      </c>
    </row>
    <row r="330">
      <c r="A330" s="101" t="s">
        <v>199</v>
      </c>
      <c r="B330" s="101" t="s">
        <v>199</v>
      </c>
      <c r="C330" s="285">
        <v>43972.0</v>
      </c>
      <c r="D330" s="278">
        <v>44002.0</v>
      </c>
      <c r="E330" s="271" t="s">
        <v>268</v>
      </c>
      <c r="F330" s="138" t="s">
        <v>4</v>
      </c>
      <c r="G330" s="101" t="s">
        <v>5</v>
      </c>
      <c r="H330" s="114" t="s">
        <v>964</v>
      </c>
      <c r="I330" s="63">
        <v>10.0</v>
      </c>
      <c r="J330" s="74">
        <v>1142.0</v>
      </c>
      <c r="K330" s="271">
        <f t="shared" si="1"/>
        <v>11420</v>
      </c>
      <c r="L330" s="280">
        <v>28684.0</v>
      </c>
      <c r="M330" s="280">
        <v>-190.0</v>
      </c>
      <c r="N330" s="275"/>
      <c r="O330" s="60"/>
      <c r="P330" s="101"/>
      <c r="Q330" s="280">
        <v>-326.0</v>
      </c>
      <c r="R330" s="276">
        <v>-0.0015</v>
      </c>
      <c r="S330" s="280">
        <v>-343.0</v>
      </c>
      <c r="T330" s="280">
        <v>-343.0</v>
      </c>
      <c r="U330" s="62">
        <v>1.0</v>
      </c>
      <c r="V330" s="277">
        <v>0.25</v>
      </c>
      <c r="W330" s="277">
        <v>0.0</v>
      </c>
      <c r="X330" s="280">
        <v>-258.0</v>
      </c>
      <c r="Y330" s="280">
        <v>-86.0</v>
      </c>
      <c r="Z330" s="50" t="b">
        <v>1</v>
      </c>
      <c r="AA330" s="50" t="s">
        <v>138</v>
      </c>
      <c r="AB330" s="50" t="s">
        <v>138</v>
      </c>
    </row>
    <row r="331">
      <c r="A331" s="101" t="s">
        <v>199</v>
      </c>
      <c r="B331" s="101" t="s">
        <v>199</v>
      </c>
      <c r="C331" s="285">
        <v>43972.0</v>
      </c>
      <c r="D331" s="278">
        <v>44002.0</v>
      </c>
      <c r="E331" s="271" t="s">
        <v>268</v>
      </c>
      <c r="F331" s="138" t="s">
        <v>4</v>
      </c>
      <c r="G331" s="101" t="s">
        <v>5</v>
      </c>
      <c r="H331" s="273" t="s">
        <v>971</v>
      </c>
      <c r="I331" s="63">
        <v>5.0</v>
      </c>
      <c r="J331" s="74">
        <v>555.0</v>
      </c>
      <c r="K331" s="271">
        <f t="shared" si="1"/>
        <v>2775</v>
      </c>
      <c r="L331" s="280">
        <v>53279.0</v>
      </c>
      <c r="M331" s="280">
        <v>455.0</v>
      </c>
      <c r="N331" s="275"/>
      <c r="O331" s="60"/>
      <c r="P331" s="101"/>
      <c r="Q331" s="280">
        <v>240.0</v>
      </c>
      <c r="R331" s="276">
        <v>-0.0015</v>
      </c>
      <c r="S331" s="280">
        <v>236.0</v>
      </c>
      <c r="T331" s="280">
        <v>236.0</v>
      </c>
      <c r="U331" s="62">
        <v>1.0</v>
      </c>
      <c r="V331" s="277">
        <v>0.25</v>
      </c>
      <c r="W331" s="277">
        <v>0.0</v>
      </c>
      <c r="X331" s="280">
        <v>177.0</v>
      </c>
      <c r="Y331" s="280">
        <v>59.0</v>
      </c>
      <c r="Z331" s="50" t="b">
        <v>1</v>
      </c>
      <c r="AA331" s="50" t="s">
        <v>138</v>
      </c>
      <c r="AB331" s="50" t="s">
        <v>138</v>
      </c>
    </row>
    <row r="332">
      <c r="A332" s="101" t="s">
        <v>156</v>
      </c>
      <c r="B332" s="101" t="s">
        <v>156</v>
      </c>
      <c r="C332" s="285">
        <v>43972.0</v>
      </c>
      <c r="D332" s="278">
        <v>44002.0</v>
      </c>
      <c r="E332" s="271" t="s">
        <v>268</v>
      </c>
      <c r="F332" s="101" t="s">
        <v>12</v>
      </c>
      <c r="G332" s="101" t="s">
        <v>5</v>
      </c>
      <c r="H332" s="273" t="s">
        <v>978</v>
      </c>
      <c r="I332" s="63">
        <v>0.25</v>
      </c>
      <c r="J332" s="74">
        <v>6.0</v>
      </c>
      <c r="K332" s="271">
        <f t="shared" si="1"/>
        <v>1.5</v>
      </c>
      <c r="L332" s="271"/>
      <c r="M332" s="271">
        <v>-0.75</v>
      </c>
      <c r="N332" s="275">
        <v>0.0</v>
      </c>
      <c r="O332" s="60"/>
      <c r="P332" s="50">
        <v>0.0</v>
      </c>
      <c r="Q332" s="271"/>
      <c r="R332" s="276">
        <v>0.0</v>
      </c>
      <c r="S332" s="271"/>
      <c r="T332" s="271">
        <v>-1.0</v>
      </c>
      <c r="U332" s="62">
        <v>1.0</v>
      </c>
      <c r="V332" s="277">
        <v>0.1</v>
      </c>
      <c r="W332" s="277">
        <v>0.0</v>
      </c>
      <c r="X332" s="271">
        <v>-1.0</v>
      </c>
      <c r="Y332" s="271">
        <v>0.0</v>
      </c>
      <c r="Z332" s="50" t="b">
        <v>1</v>
      </c>
      <c r="AA332" s="50" t="s">
        <v>138</v>
      </c>
      <c r="AB332" s="50" t="s">
        <v>138</v>
      </c>
    </row>
    <row r="333">
      <c r="A333" s="101" t="s">
        <v>156</v>
      </c>
      <c r="B333" s="101" t="s">
        <v>156</v>
      </c>
      <c r="C333" s="285">
        <v>43972.0</v>
      </c>
      <c r="D333" s="278">
        <v>44002.0</v>
      </c>
      <c r="E333" s="271" t="s">
        <v>268</v>
      </c>
      <c r="F333" s="101" t="s">
        <v>12</v>
      </c>
      <c r="G333" s="101" t="s">
        <v>5</v>
      </c>
      <c r="H333" s="273" t="s">
        <v>958</v>
      </c>
      <c r="I333" s="63">
        <v>1.0</v>
      </c>
      <c r="J333" s="74">
        <v>1.0</v>
      </c>
      <c r="K333" s="271">
        <f t="shared" si="1"/>
        <v>1</v>
      </c>
      <c r="L333" s="271"/>
      <c r="M333" s="271">
        <v>-1.0</v>
      </c>
      <c r="N333" s="275">
        <v>0.0</v>
      </c>
      <c r="O333" s="60"/>
      <c r="P333" s="50">
        <v>0.0</v>
      </c>
      <c r="Q333" s="271"/>
      <c r="R333" s="276">
        <v>0.0</v>
      </c>
      <c r="S333" s="271"/>
      <c r="T333" s="271">
        <v>-1.0</v>
      </c>
      <c r="U333" s="62">
        <v>1.0</v>
      </c>
      <c r="V333" s="277">
        <v>0.1</v>
      </c>
      <c r="W333" s="277">
        <v>0.0</v>
      </c>
      <c r="X333" s="271">
        <v>-1.0</v>
      </c>
      <c r="Y333" s="271">
        <v>0.0</v>
      </c>
      <c r="Z333" s="50" t="b">
        <v>1</v>
      </c>
      <c r="AA333" s="50" t="s">
        <v>138</v>
      </c>
      <c r="AB333" s="50" t="s">
        <v>138</v>
      </c>
    </row>
    <row r="334">
      <c r="A334" s="101" t="s">
        <v>156</v>
      </c>
      <c r="B334" s="101" t="s">
        <v>156</v>
      </c>
      <c r="C334" s="285">
        <v>43972.0</v>
      </c>
      <c r="D334" s="278">
        <v>44002.0</v>
      </c>
      <c r="E334" s="271" t="s">
        <v>268</v>
      </c>
      <c r="F334" s="101" t="s">
        <v>4</v>
      </c>
      <c r="G334" s="101" t="s">
        <v>5</v>
      </c>
      <c r="H334" s="273" t="s">
        <v>954</v>
      </c>
      <c r="I334" s="63">
        <v>100.0</v>
      </c>
      <c r="J334" s="74">
        <v>2.0</v>
      </c>
      <c r="K334" s="271">
        <f t="shared" si="1"/>
        <v>200</v>
      </c>
      <c r="L334" s="271">
        <v>818.0</v>
      </c>
      <c r="M334" s="271">
        <v>0.0</v>
      </c>
      <c r="N334" s="275">
        <v>1.7</v>
      </c>
      <c r="O334" s="60"/>
      <c r="P334" s="50">
        <v>2.0</v>
      </c>
      <c r="Q334" s="271">
        <v>144.0</v>
      </c>
      <c r="R334" s="276">
        <v>-1.0E-4</v>
      </c>
      <c r="S334" s="271">
        <v>144.0</v>
      </c>
      <c r="T334" s="271">
        <v>145.0</v>
      </c>
      <c r="U334" s="62">
        <v>1.0</v>
      </c>
      <c r="V334" s="277">
        <v>0.1</v>
      </c>
      <c r="W334" s="277">
        <v>0.0</v>
      </c>
      <c r="X334" s="271">
        <v>131.0</v>
      </c>
      <c r="Y334" s="271">
        <v>15.0</v>
      </c>
      <c r="Z334" s="50" t="b">
        <v>1</v>
      </c>
      <c r="AA334" s="50" t="s">
        <v>138</v>
      </c>
      <c r="AB334" s="50" t="s">
        <v>138</v>
      </c>
    </row>
    <row r="335">
      <c r="A335" s="101" t="s">
        <v>156</v>
      </c>
      <c r="B335" s="101" t="s">
        <v>156</v>
      </c>
      <c r="C335" s="285">
        <v>43972.0</v>
      </c>
      <c r="D335" s="278">
        <v>44002.0</v>
      </c>
      <c r="E335" s="271" t="s">
        <v>268</v>
      </c>
      <c r="F335" s="101" t="s">
        <v>12</v>
      </c>
      <c r="G335" s="101" t="s">
        <v>5</v>
      </c>
      <c r="H335" s="114" t="s">
        <v>979</v>
      </c>
      <c r="I335" s="63">
        <v>2.0</v>
      </c>
      <c r="J335" s="74">
        <v>1.0</v>
      </c>
      <c r="K335" s="271">
        <f t="shared" si="1"/>
        <v>2</v>
      </c>
      <c r="L335" s="271"/>
      <c r="M335" s="271">
        <v>4.0</v>
      </c>
      <c r="N335" s="275">
        <v>0.0</v>
      </c>
      <c r="O335" s="60"/>
      <c r="P335" s="50">
        <v>0.0</v>
      </c>
      <c r="Q335" s="271"/>
      <c r="R335" s="276">
        <v>0.0</v>
      </c>
      <c r="S335" s="271"/>
      <c r="T335" s="271">
        <v>4.0</v>
      </c>
      <c r="U335" s="62">
        <v>1.0</v>
      </c>
      <c r="V335" s="277">
        <v>0.1</v>
      </c>
      <c r="W335" s="277">
        <v>0.0</v>
      </c>
      <c r="X335" s="271">
        <v>4.0</v>
      </c>
      <c r="Y335" s="271">
        <v>0.0</v>
      </c>
      <c r="Z335" s="50" t="b">
        <v>1</v>
      </c>
      <c r="AA335" s="50" t="s">
        <v>138</v>
      </c>
      <c r="AB335" s="50" t="s">
        <v>138</v>
      </c>
    </row>
    <row r="336">
      <c r="A336" s="101" t="s">
        <v>156</v>
      </c>
      <c r="B336" s="101" t="s">
        <v>156</v>
      </c>
      <c r="C336" s="285">
        <v>43972.0</v>
      </c>
      <c r="D336" s="278">
        <v>44002.0</v>
      </c>
      <c r="E336" s="271" t="s">
        <v>268</v>
      </c>
      <c r="F336" s="101" t="s">
        <v>4</v>
      </c>
      <c r="G336" s="101" t="s">
        <v>5</v>
      </c>
      <c r="H336" s="273" t="s">
        <v>965</v>
      </c>
      <c r="I336" s="63">
        <v>25.0</v>
      </c>
      <c r="J336" s="74">
        <v>21.0</v>
      </c>
      <c r="K336" s="271">
        <f t="shared" si="1"/>
        <v>525</v>
      </c>
      <c r="L336" s="271">
        <v>-1706.0</v>
      </c>
      <c r="M336" s="271">
        <v>-50.0</v>
      </c>
      <c r="N336" s="275">
        <v>5.3</v>
      </c>
      <c r="O336" s="60"/>
      <c r="P336" s="50">
        <v>5.0</v>
      </c>
      <c r="Q336" s="271">
        <v>-113.0</v>
      </c>
      <c r="R336" s="276">
        <v>-1.0E-4</v>
      </c>
      <c r="S336" s="271">
        <v>-113.0</v>
      </c>
      <c r="T336" s="271">
        <v>-108.0</v>
      </c>
      <c r="U336" s="62">
        <v>1.0</v>
      </c>
      <c r="V336" s="277">
        <v>0.1</v>
      </c>
      <c r="W336" s="277">
        <v>0.0</v>
      </c>
      <c r="X336" s="271">
        <v>-97.0</v>
      </c>
      <c r="Y336" s="271">
        <v>-11.0</v>
      </c>
      <c r="Z336" s="50" t="b">
        <v>1</v>
      </c>
      <c r="AA336" s="50" t="s">
        <v>138</v>
      </c>
      <c r="AB336" s="50" t="s">
        <v>138</v>
      </c>
    </row>
    <row r="337">
      <c r="A337" s="101" t="s">
        <v>156</v>
      </c>
      <c r="B337" s="101" t="s">
        <v>156</v>
      </c>
      <c r="C337" s="285">
        <v>43972.0</v>
      </c>
      <c r="D337" s="278">
        <v>44002.0</v>
      </c>
      <c r="E337" s="271" t="s">
        <v>268</v>
      </c>
      <c r="F337" s="101" t="s">
        <v>12</v>
      </c>
      <c r="G337" s="101" t="s">
        <v>5</v>
      </c>
      <c r="H337" s="114" t="s">
        <v>976</v>
      </c>
      <c r="I337" s="63">
        <v>25.0</v>
      </c>
      <c r="J337" s="74">
        <v>2.0</v>
      </c>
      <c r="K337" s="271">
        <f t="shared" si="1"/>
        <v>50</v>
      </c>
      <c r="L337" s="271"/>
      <c r="M337" s="271">
        <v>100.0</v>
      </c>
      <c r="N337" s="275">
        <v>0.5</v>
      </c>
      <c r="O337" s="60"/>
      <c r="P337" s="50">
        <v>1.0</v>
      </c>
      <c r="Q337" s="271"/>
      <c r="R337" s="276">
        <v>0.0</v>
      </c>
      <c r="S337" s="271"/>
      <c r="T337" s="271">
        <v>101.0</v>
      </c>
      <c r="U337" s="62">
        <v>1.0</v>
      </c>
      <c r="V337" s="277">
        <v>0.1</v>
      </c>
      <c r="W337" s="277">
        <v>0.0</v>
      </c>
      <c r="X337" s="271">
        <v>90.0</v>
      </c>
      <c r="Y337" s="271">
        <v>10.0</v>
      </c>
      <c r="Z337" s="50" t="b">
        <v>1</v>
      </c>
      <c r="AA337" s="50" t="s">
        <v>138</v>
      </c>
      <c r="AB337" s="50" t="s">
        <v>138</v>
      </c>
    </row>
    <row r="338">
      <c r="A338" s="101" t="s">
        <v>156</v>
      </c>
      <c r="B338" s="101" t="s">
        <v>156</v>
      </c>
      <c r="C338" s="285">
        <v>43972.0</v>
      </c>
      <c r="D338" s="278">
        <v>44002.0</v>
      </c>
      <c r="E338" s="271" t="s">
        <v>268</v>
      </c>
      <c r="F338" s="101" t="s">
        <v>12</v>
      </c>
      <c r="G338" s="101" t="s">
        <v>5</v>
      </c>
      <c r="H338" s="273" t="s">
        <v>971</v>
      </c>
      <c r="I338" s="63">
        <v>5.0</v>
      </c>
      <c r="J338" s="74">
        <v>3.0</v>
      </c>
      <c r="K338" s="271">
        <f t="shared" si="1"/>
        <v>15</v>
      </c>
      <c r="L338" s="271"/>
      <c r="M338" s="271">
        <v>15.0</v>
      </c>
      <c r="N338" s="275">
        <v>0.2</v>
      </c>
      <c r="O338" s="60"/>
      <c r="P338" s="50">
        <v>0.0</v>
      </c>
      <c r="Q338" s="271"/>
      <c r="R338" s="276">
        <v>0.0</v>
      </c>
      <c r="S338" s="271"/>
      <c r="T338" s="271">
        <v>15.0</v>
      </c>
      <c r="U338" s="62">
        <v>1.0</v>
      </c>
      <c r="V338" s="277">
        <v>0.1</v>
      </c>
      <c r="W338" s="277">
        <v>0.0</v>
      </c>
      <c r="X338" s="271">
        <v>14.0</v>
      </c>
      <c r="Y338" s="271">
        <v>2.0</v>
      </c>
      <c r="Z338" s="50" t="b">
        <v>1</v>
      </c>
      <c r="AA338" s="50" t="s">
        <v>138</v>
      </c>
      <c r="AB338" s="50" t="s">
        <v>138</v>
      </c>
    </row>
    <row r="339">
      <c r="A339" s="101" t="s">
        <v>156</v>
      </c>
      <c r="B339" s="101" t="s">
        <v>156</v>
      </c>
      <c r="C339" s="285">
        <v>43972.0</v>
      </c>
      <c r="D339" s="278">
        <v>44002.0</v>
      </c>
      <c r="E339" s="271" t="s">
        <v>268</v>
      </c>
      <c r="F339" s="101" t="s">
        <v>4</v>
      </c>
      <c r="G339" s="101" t="s">
        <v>5</v>
      </c>
      <c r="H339" s="273" t="s">
        <v>966</v>
      </c>
      <c r="I339" s="63">
        <v>50.0</v>
      </c>
      <c r="J339" s="74">
        <v>2392.0</v>
      </c>
      <c r="K339" s="271">
        <f t="shared" si="1"/>
        <v>119600</v>
      </c>
      <c r="L339" s="271">
        <v>61053.0</v>
      </c>
      <c r="M339" s="271">
        <v>-3050.0</v>
      </c>
      <c r="N339" s="275">
        <v>1212.0</v>
      </c>
      <c r="O339" s="60"/>
      <c r="P339" s="109">
        <v>1212.0</v>
      </c>
      <c r="Q339" s="271">
        <v>-1901.0</v>
      </c>
      <c r="R339" s="276">
        <v>-1.0E-4</v>
      </c>
      <c r="S339" s="271">
        <v>-1913.0</v>
      </c>
      <c r="T339" s="271">
        <v>-701.0</v>
      </c>
      <c r="U339" s="62">
        <v>1.0</v>
      </c>
      <c r="V339" s="277">
        <v>0.1</v>
      </c>
      <c r="W339" s="277">
        <v>0.0</v>
      </c>
      <c r="X339" s="271">
        <v>-631.0</v>
      </c>
      <c r="Y339" s="271">
        <v>-70.0</v>
      </c>
      <c r="Z339" s="50" t="b">
        <v>1</v>
      </c>
      <c r="AA339" s="50" t="s">
        <v>138</v>
      </c>
      <c r="AB339" s="50" t="s">
        <v>138</v>
      </c>
    </row>
    <row r="340">
      <c r="A340" s="101" t="s">
        <v>156</v>
      </c>
      <c r="B340" s="101" t="s">
        <v>156</v>
      </c>
      <c r="C340" s="285">
        <v>43972.0</v>
      </c>
      <c r="D340" s="278">
        <v>44002.0</v>
      </c>
      <c r="E340" s="271" t="s">
        <v>268</v>
      </c>
      <c r="F340" s="101" t="s">
        <v>4</v>
      </c>
      <c r="G340" s="101" t="s">
        <v>5</v>
      </c>
      <c r="H340" s="114" t="s">
        <v>974</v>
      </c>
      <c r="I340" s="63">
        <v>50.0</v>
      </c>
      <c r="J340" s="74">
        <v>1206.0</v>
      </c>
      <c r="K340" s="271">
        <f t="shared" si="1"/>
        <v>60300</v>
      </c>
      <c r="L340" s="271">
        <v>19311.0</v>
      </c>
      <c r="M340" s="271">
        <v>500.0</v>
      </c>
      <c r="N340" s="275">
        <v>599.0</v>
      </c>
      <c r="O340" s="60"/>
      <c r="P340" s="50">
        <v>599.0</v>
      </c>
      <c r="Q340" s="271">
        <v>-827.0</v>
      </c>
      <c r="R340" s="276">
        <v>-1.0E-4</v>
      </c>
      <c r="S340" s="271">
        <v>-833.0</v>
      </c>
      <c r="T340" s="271">
        <v>-234.0</v>
      </c>
      <c r="U340" s="62">
        <v>1.0</v>
      </c>
      <c r="V340" s="277">
        <v>0.1</v>
      </c>
      <c r="W340" s="277">
        <v>0.0</v>
      </c>
      <c r="X340" s="271">
        <v>-211.0</v>
      </c>
      <c r="Y340" s="271">
        <v>-23.0</v>
      </c>
      <c r="Z340" s="50" t="b">
        <v>1</v>
      </c>
      <c r="AA340" s="50" t="s">
        <v>138</v>
      </c>
      <c r="AB340" s="50" t="s">
        <v>138</v>
      </c>
    </row>
    <row r="341">
      <c r="A341" s="101" t="s">
        <v>156</v>
      </c>
      <c r="B341" s="101" t="s">
        <v>156</v>
      </c>
      <c r="C341" s="285">
        <v>43972.0</v>
      </c>
      <c r="D341" s="278">
        <v>44002.0</v>
      </c>
      <c r="E341" s="271" t="s">
        <v>268</v>
      </c>
      <c r="F341" s="101" t="s">
        <v>12</v>
      </c>
      <c r="G341" s="101" t="s">
        <v>5</v>
      </c>
      <c r="H341" s="114" t="s">
        <v>980</v>
      </c>
      <c r="I341" s="63">
        <v>500.0</v>
      </c>
      <c r="J341" s="74">
        <v>1.0</v>
      </c>
      <c r="K341" s="271">
        <f t="shared" si="1"/>
        <v>500</v>
      </c>
      <c r="L341" s="271"/>
      <c r="M341" s="271">
        <v>-500.0</v>
      </c>
      <c r="N341" s="275">
        <v>4.2</v>
      </c>
      <c r="O341" s="60"/>
      <c r="P341" s="50">
        <v>4.0</v>
      </c>
      <c r="Q341" s="271"/>
      <c r="R341" s="276">
        <v>0.0</v>
      </c>
      <c r="S341" s="271"/>
      <c r="T341" s="271">
        <v>-496.0</v>
      </c>
      <c r="U341" s="62">
        <v>1.0</v>
      </c>
      <c r="V341" s="277">
        <v>0.1</v>
      </c>
      <c r="W341" s="277">
        <v>0.0</v>
      </c>
      <c r="X341" s="271">
        <v>-446.0</v>
      </c>
      <c r="Y341" s="271">
        <v>-50.0</v>
      </c>
      <c r="Z341" s="50" t="b">
        <v>1</v>
      </c>
      <c r="AA341" s="50" t="s">
        <v>138</v>
      </c>
      <c r="AB341" s="50" t="s">
        <v>138</v>
      </c>
    </row>
    <row r="342">
      <c r="A342" s="101" t="s">
        <v>546</v>
      </c>
      <c r="B342" s="101" t="s">
        <v>546</v>
      </c>
      <c r="C342" s="285">
        <v>43972.0</v>
      </c>
      <c r="D342" s="278">
        <v>44002.0</v>
      </c>
      <c r="E342" s="271" t="s">
        <v>331</v>
      </c>
      <c r="F342" s="101" t="s">
        <v>4</v>
      </c>
      <c r="G342" s="101" t="s">
        <v>5</v>
      </c>
      <c r="H342" s="273" t="s">
        <v>954</v>
      </c>
      <c r="I342" s="63">
        <v>100.0</v>
      </c>
      <c r="J342" s="74">
        <v>3705.0</v>
      </c>
      <c r="K342" s="271">
        <f t="shared" si="1"/>
        <v>370500</v>
      </c>
      <c r="L342" s="271">
        <v>163620.0</v>
      </c>
      <c r="M342" s="271">
        <v>1800.0</v>
      </c>
      <c r="N342" s="275">
        <v>3629.5</v>
      </c>
      <c r="O342" s="60"/>
      <c r="P342" s="109">
        <v>3630.0</v>
      </c>
      <c r="Q342" s="271">
        <v>10904.0</v>
      </c>
      <c r="R342" s="276">
        <v>-1.0E-4</v>
      </c>
      <c r="S342" s="271">
        <v>10867.0</v>
      </c>
      <c r="T342" s="271">
        <v>14496.0</v>
      </c>
      <c r="U342" s="62">
        <v>1.0</v>
      </c>
      <c r="V342" s="277">
        <v>0.18</v>
      </c>
      <c r="W342" s="277">
        <v>0.08</v>
      </c>
      <c r="X342" s="271">
        <v>10727.0</v>
      </c>
      <c r="Y342" s="271">
        <v>3769.0</v>
      </c>
      <c r="Z342" s="50" t="b">
        <v>1</v>
      </c>
      <c r="AA342" s="50" t="s">
        <v>138</v>
      </c>
      <c r="AB342" s="50" t="s">
        <v>138</v>
      </c>
    </row>
    <row r="343">
      <c r="A343" s="101" t="s">
        <v>546</v>
      </c>
      <c r="B343" s="101" t="s">
        <v>546</v>
      </c>
      <c r="C343" s="285">
        <v>43972.0</v>
      </c>
      <c r="D343" s="278">
        <v>44002.0</v>
      </c>
      <c r="E343" s="271" t="s">
        <v>268</v>
      </c>
      <c r="F343" s="101" t="s">
        <v>12</v>
      </c>
      <c r="G343" s="101" t="s">
        <v>5</v>
      </c>
      <c r="H343" s="273" t="s">
        <v>965</v>
      </c>
      <c r="I343" s="63">
        <v>25.0</v>
      </c>
      <c r="J343" s="74">
        <v>29.0</v>
      </c>
      <c r="K343" s="271">
        <f t="shared" si="1"/>
        <v>725</v>
      </c>
      <c r="L343" s="271"/>
      <c r="M343" s="271">
        <v>450.0</v>
      </c>
      <c r="N343" s="275">
        <v>8.5</v>
      </c>
      <c r="O343" s="60"/>
      <c r="P343" s="50">
        <v>9.0</v>
      </c>
      <c r="Q343" s="271"/>
      <c r="R343" s="276">
        <v>0.0</v>
      </c>
      <c r="S343" s="271"/>
      <c r="T343" s="271">
        <v>459.0</v>
      </c>
      <c r="U343" s="62">
        <v>1.0</v>
      </c>
      <c r="V343" s="277">
        <v>0.18</v>
      </c>
      <c r="W343" s="277">
        <v>0.0</v>
      </c>
      <c r="X343" s="271">
        <v>376.0</v>
      </c>
      <c r="Y343" s="271">
        <v>83.0</v>
      </c>
      <c r="Z343" s="50" t="b">
        <v>1</v>
      </c>
      <c r="AA343" s="50" t="s">
        <v>138</v>
      </c>
      <c r="AB343" s="50" t="s">
        <v>138</v>
      </c>
    </row>
    <row r="344">
      <c r="A344" s="101" t="s">
        <v>216</v>
      </c>
      <c r="B344" s="101" t="s">
        <v>216</v>
      </c>
      <c r="C344" s="285">
        <v>43972.0</v>
      </c>
      <c r="D344" s="278">
        <v>44002.0</v>
      </c>
      <c r="E344" s="271" t="s">
        <v>268</v>
      </c>
      <c r="F344" s="138" t="s">
        <v>4</v>
      </c>
      <c r="G344" s="101" t="s">
        <v>5</v>
      </c>
      <c r="H344" s="273" t="s">
        <v>954</v>
      </c>
      <c r="I344" s="63">
        <v>100.0</v>
      </c>
      <c r="J344" s="74">
        <v>483.0</v>
      </c>
      <c r="K344" s="271">
        <f t="shared" si="1"/>
        <v>48300</v>
      </c>
      <c r="L344" s="271">
        <v>33009.0</v>
      </c>
      <c r="M344" s="271">
        <v>4100.0</v>
      </c>
      <c r="N344" s="275">
        <v>2970.8</v>
      </c>
      <c r="O344" s="60"/>
      <c r="P344" s="109">
        <v>2971.0</v>
      </c>
      <c r="Q344" s="271">
        <v>3558.0</v>
      </c>
      <c r="R344" s="276">
        <v>-1.0E-4</v>
      </c>
      <c r="S344" s="271">
        <v>3553.0</v>
      </c>
      <c r="T344" s="271">
        <v>6524.0</v>
      </c>
      <c r="U344" s="62">
        <v>1.0</v>
      </c>
      <c r="V344" s="277">
        <v>0.22</v>
      </c>
      <c r="W344" s="277">
        <v>0.0</v>
      </c>
      <c r="X344" s="271">
        <v>5089.0</v>
      </c>
      <c r="Y344" s="271">
        <v>1435.0</v>
      </c>
      <c r="Z344" s="50" t="b">
        <v>1</v>
      </c>
      <c r="AA344" s="50" t="s">
        <v>138</v>
      </c>
      <c r="AB344" s="50" t="s">
        <v>138</v>
      </c>
    </row>
    <row r="345">
      <c r="A345" s="101" t="s">
        <v>216</v>
      </c>
      <c r="B345" s="101" t="s">
        <v>216</v>
      </c>
      <c r="C345" s="285">
        <v>43972.0</v>
      </c>
      <c r="D345" s="278">
        <v>44002.0</v>
      </c>
      <c r="E345" s="271" t="s">
        <v>268</v>
      </c>
      <c r="F345" s="138" t="s">
        <v>4</v>
      </c>
      <c r="G345" s="101" t="s">
        <v>5</v>
      </c>
      <c r="H345" s="273" t="s">
        <v>963</v>
      </c>
      <c r="I345" s="63">
        <v>100.0</v>
      </c>
      <c r="J345" s="74">
        <v>7.0</v>
      </c>
      <c r="K345" s="271">
        <f t="shared" si="1"/>
        <v>700</v>
      </c>
      <c r="L345" s="271">
        <v>4.0</v>
      </c>
      <c r="M345" s="271">
        <v>-200.0</v>
      </c>
      <c r="N345" s="275">
        <v>43.1</v>
      </c>
      <c r="O345" s="60"/>
      <c r="P345" s="50">
        <v>43.0</v>
      </c>
      <c r="Q345" s="271">
        <v>-37.0</v>
      </c>
      <c r="R345" s="276">
        <v>-1.0E-4</v>
      </c>
      <c r="S345" s="271">
        <v>-38.0</v>
      </c>
      <c r="T345" s="271">
        <v>6.0</v>
      </c>
      <c r="U345" s="62">
        <v>1.0</v>
      </c>
      <c r="V345" s="277">
        <v>0.22</v>
      </c>
      <c r="W345" s="277">
        <v>0.0</v>
      </c>
      <c r="X345" s="271">
        <v>4.0</v>
      </c>
      <c r="Y345" s="271">
        <v>1.0</v>
      </c>
      <c r="Z345" s="50" t="b">
        <v>1</v>
      </c>
      <c r="AA345" s="50" t="s">
        <v>138</v>
      </c>
      <c r="AB345" s="50" t="s">
        <v>138</v>
      </c>
    </row>
    <row r="346">
      <c r="A346" s="101" t="s">
        <v>216</v>
      </c>
      <c r="B346" s="101" t="s">
        <v>216</v>
      </c>
      <c r="C346" s="285">
        <v>43972.0</v>
      </c>
      <c r="D346" s="278">
        <v>44002.0</v>
      </c>
      <c r="E346" s="271" t="s">
        <v>268</v>
      </c>
      <c r="F346" s="138" t="s">
        <v>4</v>
      </c>
      <c r="G346" s="101" t="s">
        <v>5</v>
      </c>
      <c r="H346" s="273" t="s">
        <v>965</v>
      </c>
      <c r="I346" s="63">
        <v>25.0</v>
      </c>
      <c r="J346" s="74">
        <v>31.0</v>
      </c>
      <c r="K346" s="271">
        <f t="shared" si="1"/>
        <v>775</v>
      </c>
      <c r="L346" s="271">
        <v>1434.0</v>
      </c>
      <c r="M346" s="271">
        <v>325.0</v>
      </c>
      <c r="N346" s="275">
        <v>57.2</v>
      </c>
      <c r="O346" s="60"/>
      <c r="P346" s="50">
        <v>57.0</v>
      </c>
      <c r="Q346" s="271">
        <v>16.0</v>
      </c>
      <c r="R346" s="276">
        <v>-1.0E-4</v>
      </c>
      <c r="S346" s="271">
        <v>16.0</v>
      </c>
      <c r="T346" s="271">
        <v>73.0</v>
      </c>
      <c r="U346" s="62">
        <v>1.0</v>
      </c>
      <c r="V346" s="277">
        <v>0.22</v>
      </c>
      <c r="W346" s="277">
        <v>0.0</v>
      </c>
      <c r="X346" s="271">
        <v>57.0</v>
      </c>
      <c r="Y346" s="271">
        <v>16.0</v>
      </c>
      <c r="Z346" s="50" t="b">
        <v>1</v>
      </c>
      <c r="AA346" s="50" t="s">
        <v>138</v>
      </c>
      <c r="AB346" s="50" t="s">
        <v>138</v>
      </c>
    </row>
    <row r="347">
      <c r="A347" s="101" t="s">
        <v>216</v>
      </c>
      <c r="B347" s="101" t="s">
        <v>216</v>
      </c>
      <c r="C347" s="285">
        <v>43972.0</v>
      </c>
      <c r="D347" s="278">
        <v>44002.0</v>
      </c>
      <c r="E347" s="271" t="s">
        <v>268</v>
      </c>
      <c r="F347" s="138" t="s">
        <v>4</v>
      </c>
      <c r="G347" s="101" t="s">
        <v>5</v>
      </c>
      <c r="H347" s="273" t="s">
        <v>966</v>
      </c>
      <c r="I347" s="63">
        <v>50.0</v>
      </c>
      <c r="J347" s="74">
        <v>1694.0</v>
      </c>
      <c r="K347" s="271">
        <f t="shared" si="1"/>
        <v>84700</v>
      </c>
      <c r="L347" s="271">
        <v>99680.0</v>
      </c>
      <c r="M347" s="271">
        <v>2000.0</v>
      </c>
      <c r="N347" s="275">
        <v>6251.5</v>
      </c>
      <c r="O347" s="60"/>
      <c r="P347" s="109">
        <v>6252.0</v>
      </c>
      <c r="Q347" s="271">
        <v>3774.0</v>
      </c>
      <c r="R347" s="276">
        <v>-1.0E-4</v>
      </c>
      <c r="S347" s="271">
        <v>3766.0</v>
      </c>
      <c r="T347" s="271">
        <v>10017.0</v>
      </c>
      <c r="U347" s="62">
        <v>1.0</v>
      </c>
      <c r="V347" s="277">
        <v>0.22</v>
      </c>
      <c r="W347" s="277">
        <v>0.0</v>
      </c>
      <c r="X347" s="271">
        <v>7813.0</v>
      </c>
      <c r="Y347" s="271">
        <v>2204.0</v>
      </c>
      <c r="Z347" s="50" t="b">
        <v>1</v>
      </c>
      <c r="AA347" s="50" t="s">
        <v>138</v>
      </c>
      <c r="AB347" s="50" t="s">
        <v>138</v>
      </c>
    </row>
    <row r="348">
      <c r="A348" s="101" t="s">
        <v>216</v>
      </c>
      <c r="B348" s="101" t="s">
        <v>216</v>
      </c>
      <c r="C348" s="285">
        <v>43972.0</v>
      </c>
      <c r="D348" s="278">
        <v>44002.0</v>
      </c>
      <c r="E348" s="271" t="s">
        <v>268</v>
      </c>
      <c r="F348" s="138" t="s">
        <v>4</v>
      </c>
      <c r="G348" s="101" t="s">
        <v>5</v>
      </c>
      <c r="H348" s="114" t="s">
        <v>974</v>
      </c>
      <c r="I348" s="63">
        <v>50.0</v>
      </c>
      <c r="J348" s="74">
        <v>32.0</v>
      </c>
      <c r="K348" s="271">
        <f t="shared" si="1"/>
        <v>1600</v>
      </c>
      <c r="L348" s="271">
        <v>-1428.0</v>
      </c>
      <c r="M348" s="271">
        <v>-800.0</v>
      </c>
      <c r="N348" s="275">
        <v>118.1</v>
      </c>
      <c r="O348" s="60"/>
      <c r="P348" s="50">
        <v>118.0</v>
      </c>
      <c r="Q348" s="271">
        <v>-327.0</v>
      </c>
      <c r="R348" s="276">
        <v>-1.0E-4</v>
      </c>
      <c r="S348" s="271">
        <v>-327.0</v>
      </c>
      <c r="T348" s="271">
        <v>-209.0</v>
      </c>
      <c r="U348" s="62">
        <v>1.0</v>
      </c>
      <c r="V348" s="277">
        <v>0.22</v>
      </c>
      <c r="W348" s="277">
        <v>0.0</v>
      </c>
      <c r="X348" s="271">
        <v>-163.0</v>
      </c>
      <c r="Y348" s="271">
        <v>-46.0</v>
      </c>
      <c r="Z348" s="50" t="b">
        <v>1</v>
      </c>
      <c r="AA348" s="50" t="s">
        <v>138</v>
      </c>
      <c r="AB348" s="50" t="s">
        <v>138</v>
      </c>
    </row>
    <row r="349">
      <c r="A349" s="101" t="s">
        <v>177</v>
      </c>
      <c r="B349" s="101" t="s">
        <v>177</v>
      </c>
      <c r="C349" s="285">
        <v>43983.0</v>
      </c>
      <c r="D349" s="278">
        <v>44012.0</v>
      </c>
      <c r="E349" s="271" t="s">
        <v>268</v>
      </c>
      <c r="F349" s="138" t="s">
        <v>8</v>
      </c>
      <c r="G349" s="280" t="s">
        <v>5</v>
      </c>
      <c r="H349" s="273" t="s">
        <v>954</v>
      </c>
      <c r="I349" s="63">
        <v>100.0</v>
      </c>
      <c r="J349" s="74">
        <v>2650.0</v>
      </c>
      <c r="K349" s="271">
        <f t="shared" si="1"/>
        <v>265000</v>
      </c>
      <c r="L349" s="271">
        <v>63870.0</v>
      </c>
      <c r="M349" s="271">
        <v>-100.0</v>
      </c>
      <c r="N349" s="275">
        <v>3297.0</v>
      </c>
      <c r="O349" s="60"/>
      <c r="P349" s="109">
        <v>3297.0</v>
      </c>
      <c r="Q349" s="271">
        <v>-2243.0</v>
      </c>
      <c r="R349" s="276">
        <v>-0.004815</v>
      </c>
      <c r="S349" s="271">
        <v>-3519.0</v>
      </c>
      <c r="T349" s="271">
        <v>-222.0</v>
      </c>
      <c r="U349" s="62">
        <v>1.0</v>
      </c>
      <c r="V349" s="277">
        <v>0.12</v>
      </c>
      <c r="W349" s="277">
        <v>0.0</v>
      </c>
      <c r="X349" s="271">
        <v>-195.0</v>
      </c>
      <c r="Y349" s="271">
        <v>-27.0</v>
      </c>
      <c r="Z349" s="50" t="b">
        <v>1</v>
      </c>
      <c r="AA349" s="50" t="s">
        <v>138</v>
      </c>
      <c r="AB349" s="50" t="s">
        <v>138</v>
      </c>
    </row>
    <row r="350">
      <c r="A350" s="101" t="s">
        <v>177</v>
      </c>
      <c r="B350" s="101" t="s">
        <v>177</v>
      </c>
      <c r="C350" s="285">
        <v>43983.0</v>
      </c>
      <c r="D350" s="278">
        <v>44012.0</v>
      </c>
      <c r="E350" s="271" t="s">
        <v>268</v>
      </c>
      <c r="F350" s="138" t="s">
        <v>8</v>
      </c>
      <c r="G350" s="280" t="s">
        <v>5</v>
      </c>
      <c r="H350" s="273" t="s">
        <v>963</v>
      </c>
      <c r="I350" s="274">
        <v>100.0</v>
      </c>
      <c r="J350" s="271">
        <v>1156.0</v>
      </c>
      <c r="K350" s="271">
        <f t="shared" si="1"/>
        <v>115600</v>
      </c>
      <c r="L350" s="271">
        <v>10814.0</v>
      </c>
      <c r="M350" s="271">
        <v>700.0</v>
      </c>
      <c r="N350" s="275">
        <v>1457.0</v>
      </c>
      <c r="O350" s="60"/>
      <c r="P350" s="109">
        <v>1457.0</v>
      </c>
      <c r="Q350" s="271">
        <v>-2837.0</v>
      </c>
      <c r="R350" s="276">
        <v>-0.004738</v>
      </c>
      <c r="S350" s="271">
        <v>-3385.0</v>
      </c>
      <c r="T350" s="271">
        <v>-1928.0</v>
      </c>
      <c r="U350" s="62">
        <v>1.0</v>
      </c>
      <c r="V350" s="277">
        <v>0.12</v>
      </c>
      <c r="W350" s="277">
        <v>0.0</v>
      </c>
      <c r="X350" s="271">
        <v>-1697.0</v>
      </c>
      <c r="Y350" s="271">
        <v>-231.0</v>
      </c>
      <c r="Z350" s="50" t="b">
        <v>1</v>
      </c>
      <c r="AA350" s="50" t="s">
        <v>138</v>
      </c>
      <c r="AB350" s="50" t="s">
        <v>138</v>
      </c>
    </row>
    <row r="351">
      <c r="A351" s="101" t="s">
        <v>177</v>
      </c>
      <c r="B351" s="101" t="s">
        <v>177</v>
      </c>
      <c r="C351" s="285">
        <v>43983.0</v>
      </c>
      <c r="D351" s="278">
        <v>44012.0</v>
      </c>
      <c r="E351" s="271" t="s">
        <v>268</v>
      </c>
      <c r="F351" s="138" t="s">
        <v>8</v>
      </c>
      <c r="G351" s="280" t="s">
        <v>5</v>
      </c>
      <c r="H351" s="114" t="s">
        <v>974</v>
      </c>
      <c r="I351" s="274">
        <v>50.0</v>
      </c>
      <c r="J351" s="271">
        <v>292.0</v>
      </c>
      <c r="K351" s="271">
        <f t="shared" si="1"/>
        <v>14600</v>
      </c>
      <c r="L351" s="271">
        <v>2534.0</v>
      </c>
      <c r="M351" s="271">
        <v>-2750.0</v>
      </c>
      <c r="N351" s="275">
        <v>223.0</v>
      </c>
      <c r="O351" s="60"/>
      <c r="P351" s="50">
        <v>223.0</v>
      </c>
      <c r="Q351" s="271">
        <v>-540.0</v>
      </c>
      <c r="R351" s="276">
        <v>-0.00468</v>
      </c>
      <c r="S351" s="271">
        <v>-608.0</v>
      </c>
      <c r="T351" s="271">
        <v>-385.0</v>
      </c>
      <c r="U351" s="62">
        <v>1.0</v>
      </c>
      <c r="V351" s="277">
        <v>0.12</v>
      </c>
      <c r="W351" s="277">
        <v>0.0</v>
      </c>
      <c r="X351" s="271">
        <v>-339.0</v>
      </c>
      <c r="Y351" s="271">
        <v>-46.0</v>
      </c>
      <c r="Z351" s="50" t="b">
        <v>1</v>
      </c>
      <c r="AA351" s="50" t="s">
        <v>138</v>
      </c>
      <c r="AB351" s="50" t="s">
        <v>138</v>
      </c>
    </row>
    <row r="352">
      <c r="A352" s="101" t="s">
        <v>177</v>
      </c>
      <c r="B352" s="101" t="s">
        <v>177</v>
      </c>
      <c r="C352" s="285">
        <v>43983.0</v>
      </c>
      <c r="D352" s="278">
        <v>44012.0</v>
      </c>
      <c r="E352" s="271" t="s">
        <v>268</v>
      </c>
      <c r="F352" s="101" t="s">
        <v>12</v>
      </c>
      <c r="G352" s="280" t="s">
        <v>5</v>
      </c>
      <c r="H352" s="114" t="s">
        <v>976</v>
      </c>
      <c r="I352" s="274">
        <v>25.0</v>
      </c>
      <c r="J352" s="271">
        <v>5.0</v>
      </c>
      <c r="K352" s="271">
        <f t="shared" si="1"/>
        <v>125</v>
      </c>
      <c r="L352" s="271"/>
      <c r="M352" s="271">
        <v>-75.0</v>
      </c>
      <c r="N352" s="275">
        <v>2.0</v>
      </c>
      <c r="O352" s="60"/>
      <c r="P352" s="50">
        <v>2.0</v>
      </c>
      <c r="Q352" s="271"/>
      <c r="R352" s="276">
        <v>0.0</v>
      </c>
      <c r="S352" s="271"/>
      <c r="T352" s="271">
        <v>-73.0</v>
      </c>
      <c r="U352" s="62">
        <v>1.0</v>
      </c>
      <c r="V352" s="277">
        <v>0.12</v>
      </c>
      <c r="W352" s="277">
        <v>0.0</v>
      </c>
      <c r="X352" s="271">
        <v>-64.0</v>
      </c>
      <c r="Y352" s="271">
        <v>-9.0</v>
      </c>
      <c r="Z352" s="50" t="b">
        <v>1</v>
      </c>
      <c r="AA352" s="50" t="s">
        <v>138</v>
      </c>
      <c r="AB352" s="50" t="s">
        <v>138</v>
      </c>
    </row>
    <row r="353">
      <c r="A353" s="101" t="s">
        <v>177</v>
      </c>
      <c r="B353" s="101" t="s">
        <v>177</v>
      </c>
      <c r="C353" s="285">
        <v>43983.0</v>
      </c>
      <c r="D353" s="278">
        <v>44012.0</v>
      </c>
      <c r="E353" s="271" t="s">
        <v>268</v>
      </c>
      <c r="F353" s="101" t="s">
        <v>12</v>
      </c>
      <c r="G353" s="280" t="s">
        <v>5</v>
      </c>
      <c r="H353" s="273" t="s">
        <v>965</v>
      </c>
      <c r="I353" s="274">
        <v>25.0</v>
      </c>
      <c r="J353" s="271">
        <v>12.0</v>
      </c>
      <c r="K353" s="271">
        <f t="shared" si="1"/>
        <v>300</v>
      </c>
      <c r="L353" s="271"/>
      <c r="M353" s="271">
        <v>50.0</v>
      </c>
      <c r="N353" s="275">
        <v>4.0</v>
      </c>
      <c r="O353" s="60"/>
      <c r="P353" s="50">
        <v>4.0</v>
      </c>
      <c r="Q353" s="271"/>
      <c r="R353" s="276">
        <v>0.0</v>
      </c>
      <c r="S353" s="271"/>
      <c r="T353" s="271">
        <v>54.0</v>
      </c>
      <c r="U353" s="62">
        <v>1.0</v>
      </c>
      <c r="V353" s="277">
        <v>0.12</v>
      </c>
      <c r="W353" s="277">
        <v>0.0</v>
      </c>
      <c r="X353" s="271">
        <v>48.0</v>
      </c>
      <c r="Y353" s="271">
        <v>6.0</v>
      </c>
      <c r="Z353" s="50" t="b">
        <v>1</v>
      </c>
      <c r="AA353" s="50" t="s">
        <v>138</v>
      </c>
      <c r="AB353" s="50" t="s">
        <v>138</v>
      </c>
    </row>
    <row r="354">
      <c r="A354" s="101" t="s">
        <v>177</v>
      </c>
      <c r="B354" s="101" t="s">
        <v>177</v>
      </c>
      <c r="C354" s="285">
        <v>43983.0</v>
      </c>
      <c r="D354" s="278">
        <v>44012.0</v>
      </c>
      <c r="E354" s="271" t="s">
        <v>268</v>
      </c>
      <c r="F354" s="101" t="s">
        <v>12</v>
      </c>
      <c r="G354" s="280" t="s">
        <v>5</v>
      </c>
      <c r="H354" s="273" t="s">
        <v>966</v>
      </c>
      <c r="I354" s="274">
        <v>50.0</v>
      </c>
      <c r="J354" s="271">
        <v>5.0</v>
      </c>
      <c r="K354" s="271">
        <f t="shared" si="1"/>
        <v>250</v>
      </c>
      <c r="L354" s="271"/>
      <c r="M354" s="271">
        <v>-150.0</v>
      </c>
      <c r="N354" s="275">
        <v>4.0</v>
      </c>
      <c r="O354" s="60"/>
      <c r="P354" s="50">
        <v>4.0</v>
      </c>
      <c r="Q354" s="271"/>
      <c r="R354" s="276">
        <v>0.0</v>
      </c>
      <c r="S354" s="271"/>
      <c r="T354" s="271">
        <v>-146.0</v>
      </c>
      <c r="U354" s="62">
        <v>1.0</v>
      </c>
      <c r="V354" s="277">
        <v>0.12</v>
      </c>
      <c r="W354" s="277">
        <v>0.0</v>
      </c>
      <c r="X354" s="271">
        <v>-128.0</v>
      </c>
      <c r="Y354" s="271">
        <v>-18.0</v>
      </c>
      <c r="Z354" s="50" t="b">
        <v>1</v>
      </c>
      <c r="AA354" s="50" t="s">
        <v>138</v>
      </c>
      <c r="AB354" s="50" t="s">
        <v>138</v>
      </c>
    </row>
    <row r="355">
      <c r="A355" s="101" t="s">
        <v>345</v>
      </c>
      <c r="B355" s="101" t="s">
        <v>981</v>
      </c>
      <c r="C355" s="278">
        <v>43991.0</v>
      </c>
      <c r="D355" s="278">
        <v>44012.0</v>
      </c>
      <c r="E355" s="271" t="s">
        <v>268</v>
      </c>
      <c r="F355" s="138" t="s">
        <v>4</v>
      </c>
      <c r="G355" s="271" t="s">
        <v>16</v>
      </c>
      <c r="H355" s="273" t="s">
        <v>60</v>
      </c>
      <c r="I355" s="274">
        <v>20.0</v>
      </c>
      <c r="J355" s="271">
        <v>275.0</v>
      </c>
      <c r="K355" s="271">
        <f t="shared" si="1"/>
        <v>5500</v>
      </c>
      <c r="L355" s="271">
        <v>2955.0</v>
      </c>
      <c r="M355" s="271">
        <v>-220.0</v>
      </c>
      <c r="N355" s="275">
        <v>183.96</v>
      </c>
      <c r="O355" s="60"/>
      <c r="P355" s="50">
        <v>184.0</v>
      </c>
      <c r="Q355" s="271">
        <v>-168.0</v>
      </c>
      <c r="R355" s="276">
        <v>-0.00244</v>
      </c>
      <c r="S355" s="271">
        <v>-181.0</v>
      </c>
      <c r="T355" s="271">
        <v>3.0</v>
      </c>
      <c r="U355" s="62">
        <v>1.0</v>
      </c>
      <c r="V355" s="277">
        <v>0.125</v>
      </c>
      <c r="W355" s="277">
        <v>0.0</v>
      </c>
      <c r="X355" s="271">
        <v>2.0</v>
      </c>
      <c r="Y355" s="271">
        <v>0.0</v>
      </c>
      <c r="Z355" s="50" t="b">
        <v>1</v>
      </c>
      <c r="AA355" s="50" t="s">
        <v>138</v>
      </c>
      <c r="AB355" s="50" t="s">
        <v>138</v>
      </c>
    </row>
    <row r="356">
      <c r="A356" s="101" t="s">
        <v>345</v>
      </c>
      <c r="B356" s="101" t="s">
        <v>981</v>
      </c>
      <c r="C356" s="278">
        <v>43991.0</v>
      </c>
      <c r="D356" s="278">
        <v>44012.0</v>
      </c>
      <c r="E356" s="271" t="s">
        <v>268</v>
      </c>
      <c r="F356" s="138" t="s">
        <v>4</v>
      </c>
      <c r="G356" s="271" t="s">
        <v>16</v>
      </c>
      <c r="H356" s="273" t="s">
        <v>85</v>
      </c>
      <c r="I356" s="274">
        <v>100.0</v>
      </c>
      <c r="J356" s="271">
        <v>1395.0</v>
      </c>
      <c r="K356" s="271">
        <f t="shared" si="1"/>
        <v>139500</v>
      </c>
      <c r="L356" s="271">
        <v>41675.0</v>
      </c>
      <c r="M356" s="271">
        <v>5500.0</v>
      </c>
      <c r="N356" s="275">
        <v>3888.27</v>
      </c>
      <c r="O356" s="60"/>
      <c r="P356" s="109">
        <v>3888.0</v>
      </c>
      <c r="Q356" s="271">
        <v>341.0</v>
      </c>
      <c r="R356" s="276">
        <v>-0.00244</v>
      </c>
      <c r="S356" s="271">
        <v>0.0</v>
      </c>
      <c r="T356" s="271">
        <v>3889.0</v>
      </c>
      <c r="U356" s="62">
        <v>1.0</v>
      </c>
      <c r="V356" s="277">
        <v>0.125</v>
      </c>
      <c r="W356" s="277">
        <v>0.0</v>
      </c>
      <c r="X356" s="271">
        <v>3402.0</v>
      </c>
      <c r="Y356" s="271">
        <v>486.0</v>
      </c>
      <c r="Z356" s="50" t="b">
        <v>1</v>
      </c>
      <c r="AA356" s="50" t="s">
        <v>138</v>
      </c>
      <c r="AB356" s="50" t="s">
        <v>138</v>
      </c>
    </row>
    <row r="357">
      <c r="A357" s="101" t="s">
        <v>345</v>
      </c>
      <c r="B357" s="101" t="s">
        <v>981</v>
      </c>
      <c r="C357" s="278">
        <v>43991.0</v>
      </c>
      <c r="D357" s="278">
        <v>44012.0</v>
      </c>
      <c r="E357" s="271" t="s">
        <v>268</v>
      </c>
      <c r="F357" s="138" t="s">
        <v>4</v>
      </c>
      <c r="G357" s="271" t="s">
        <v>16</v>
      </c>
      <c r="H357" s="273" t="s">
        <v>74</v>
      </c>
      <c r="I357" s="274">
        <v>50.0</v>
      </c>
      <c r="J357" s="271">
        <v>281.0</v>
      </c>
      <c r="K357" s="271">
        <f t="shared" si="1"/>
        <v>14050</v>
      </c>
      <c r="L357" s="271">
        <v>22577.0</v>
      </c>
      <c r="M357" s="271">
        <v>1050.0</v>
      </c>
      <c r="N357" s="275">
        <v>391.61</v>
      </c>
      <c r="O357" s="60"/>
      <c r="P357" s="50">
        <v>392.0</v>
      </c>
      <c r="Q357" s="271">
        <v>1374.0</v>
      </c>
      <c r="R357" s="276">
        <v>-0.00244</v>
      </c>
      <c r="S357" s="271">
        <v>1340.0</v>
      </c>
      <c r="T357" s="271">
        <v>1731.0</v>
      </c>
      <c r="U357" s="62">
        <v>1.0</v>
      </c>
      <c r="V357" s="277">
        <v>0.125</v>
      </c>
      <c r="W357" s="277">
        <v>0.0</v>
      </c>
      <c r="X357" s="271">
        <v>1515.0</v>
      </c>
      <c r="Y357" s="271">
        <v>216.0</v>
      </c>
      <c r="Z357" s="50" t="b">
        <v>1</v>
      </c>
      <c r="AA357" s="50" t="s">
        <v>138</v>
      </c>
      <c r="AB357" s="50" t="s">
        <v>138</v>
      </c>
    </row>
    <row r="358">
      <c r="A358" s="101" t="s">
        <v>345</v>
      </c>
      <c r="B358" s="101" t="s">
        <v>981</v>
      </c>
      <c r="C358" s="278">
        <v>43991.0</v>
      </c>
      <c r="D358" s="278">
        <v>44012.0</v>
      </c>
      <c r="E358" s="271" t="s">
        <v>268</v>
      </c>
      <c r="F358" s="138" t="s">
        <v>4</v>
      </c>
      <c r="G358" s="271" t="s">
        <v>16</v>
      </c>
      <c r="H358" s="273" t="s">
        <v>101</v>
      </c>
      <c r="I358" s="274">
        <v>500.0</v>
      </c>
      <c r="J358" s="271">
        <v>1.0</v>
      </c>
      <c r="K358" s="271">
        <f t="shared" si="1"/>
        <v>500</v>
      </c>
      <c r="L358" s="271">
        <v>727.0</v>
      </c>
      <c r="M358" s="271">
        <v>-500.0</v>
      </c>
      <c r="N358" s="275">
        <v>11.15</v>
      </c>
      <c r="O358" s="60"/>
      <c r="P358" s="50">
        <v>11.0</v>
      </c>
      <c r="Q358" s="271">
        <v>676.0</v>
      </c>
      <c r="R358" s="276">
        <v>-0.00244</v>
      </c>
      <c r="S358" s="271">
        <v>675.0</v>
      </c>
      <c r="T358" s="271">
        <v>686.0</v>
      </c>
      <c r="U358" s="62">
        <v>1.0</v>
      </c>
      <c r="V358" s="277">
        <v>0.125</v>
      </c>
      <c r="W358" s="277">
        <v>0.0</v>
      </c>
      <c r="X358" s="271">
        <v>600.0</v>
      </c>
      <c r="Y358" s="271">
        <v>86.0</v>
      </c>
      <c r="Z358" s="50" t="b">
        <v>1</v>
      </c>
      <c r="AA358" s="50" t="s">
        <v>138</v>
      </c>
      <c r="AB358" s="50" t="s">
        <v>138</v>
      </c>
    </row>
    <row r="359">
      <c r="A359" s="271" t="s">
        <v>459</v>
      </c>
      <c r="B359" s="271" t="s">
        <v>912</v>
      </c>
      <c r="C359" s="278">
        <v>43986.0</v>
      </c>
      <c r="D359" s="278">
        <v>44012.0</v>
      </c>
      <c r="E359" s="271" t="s">
        <v>331</v>
      </c>
      <c r="F359" s="138" t="s">
        <v>8</v>
      </c>
      <c r="G359" s="280" t="s">
        <v>9</v>
      </c>
      <c r="H359" s="273" t="s">
        <v>55</v>
      </c>
      <c r="I359" s="274">
        <v>10.0</v>
      </c>
      <c r="J359" s="271">
        <v>947.0</v>
      </c>
      <c r="K359" s="271">
        <f t="shared" si="1"/>
        <v>9470</v>
      </c>
      <c r="L359" s="271">
        <v>65023.0</v>
      </c>
      <c r="M359" s="271">
        <v>80.0</v>
      </c>
      <c r="N359" s="275">
        <v>400.0</v>
      </c>
      <c r="O359" s="60"/>
      <c r="P359" s="50">
        <v>400.0</v>
      </c>
      <c r="Q359" s="271">
        <v>357.0</v>
      </c>
      <c r="R359" s="276">
        <v>-0.005049</v>
      </c>
      <c r="S359" s="271">
        <v>309.0</v>
      </c>
      <c r="T359" s="271">
        <v>709.0</v>
      </c>
      <c r="U359" s="62">
        <v>1.0</v>
      </c>
      <c r="V359" s="277">
        <v>0.235</v>
      </c>
      <c r="W359" s="277">
        <v>0.11</v>
      </c>
      <c r="X359" s="271">
        <v>464.0</v>
      </c>
      <c r="Y359" s="271">
        <v>245.0</v>
      </c>
      <c r="Z359" s="50" t="b">
        <v>1</v>
      </c>
      <c r="AA359" s="50" t="s">
        <v>140</v>
      </c>
      <c r="AB359" s="50" t="s">
        <v>140</v>
      </c>
    </row>
    <row r="360">
      <c r="A360" s="101" t="s">
        <v>459</v>
      </c>
      <c r="B360" s="101" t="s">
        <v>912</v>
      </c>
      <c r="C360" s="278">
        <v>43986.0</v>
      </c>
      <c r="D360" s="278">
        <v>44012.0</v>
      </c>
      <c r="E360" s="271" t="s">
        <v>331</v>
      </c>
      <c r="F360" s="138" t="s">
        <v>8</v>
      </c>
      <c r="G360" s="280" t="s">
        <v>9</v>
      </c>
      <c r="H360" s="273" t="s">
        <v>68</v>
      </c>
      <c r="I360" s="274">
        <v>25.0</v>
      </c>
      <c r="J360" s="271">
        <v>1055.0</v>
      </c>
      <c r="K360" s="271">
        <f t="shared" si="1"/>
        <v>26375</v>
      </c>
      <c r="L360" s="271">
        <v>45748.0</v>
      </c>
      <c r="M360" s="271">
        <v>2200.0</v>
      </c>
      <c r="N360" s="275">
        <v>420.0</v>
      </c>
      <c r="O360" s="60"/>
      <c r="P360" s="50">
        <v>420.0</v>
      </c>
      <c r="Q360" s="271">
        <v>-221.0</v>
      </c>
      <c r="R360" s="276">
        <v>-0.004827</v>
      </c>
      <c r="S360" s="271">
        <v>-348.0</v>
      </c>
      <c r="T360" s="271">
        <v>72.0</v>
      </c>
      <c r="U360" s="62">
        <v>1.0</v>
      </c>
      <c r="V360" s="277">
        <v>0.235</v>
      </c>
      <c r="W360" s="277">
        <v>0.11</v>
      </c>
      <c r="X360" s="271">
        <v>47.0</v>
      </c>
      <c r="Y360" s="271">
        <v>25.0</v>
      </c>
      <c r="Z360" s="50" t="b">
        <v>1</v>
      </c>
      <c r="AA360" s="50" t="s">
        <v>140</v>
      </c>
      <c r="AB360" s="50" t="s">
        <v>140</v>
      </c>
    </row>
    <row r="361">
      <c r="A361" s="101" t="s">
        <v>156</v>
      </c>
      <c r="B361" s="101" t="s">
        <v>975</v>
      </c>
      <c r="C361" s="278">
        <v>43983.0</v>
      </c>
      <c r="D361" s="278">
        <v>44012.0</v>
      </c>
      <c r="E361" s="271" t="s">
        <v>268</v>
      </c>
      <c r="F361" s="138" t="s">
        <v>4</v>
      </c>
      <c r="G361" s="271" t="s">
        <v>16</v>
      </c>
      <c r="H361" s="273" t="s">
        <v>74</v>
      </c>
      <c r="I361" s="274">
        <v>50.0</v>
      </c>
      <c r="J361" s="271">
        <v>394.0</v>
      </c>
      <c r="K361" s="271">
        <f t="shared" si="1"/>
        <v>19700</v>
      </c>
      <c r="L361" s="271">
        <v>18867.0</v>
      </c>
      <c r="M361" s="271">
        <v>700.0</v>
      </c>
      <c r="N361" s="275">
        <v>260.0</v>
      </c>
      <c r="O361" s="60"/>
      <c r="P361" s="50">
        <v>260.0</v>
      </c>
      <c r="Q361" s="271">
        <v>718.0</v>
      </c>
      <c r="R361" s="276">
        <v>-0.00244</v>
      </c>
      <c r="S361" s="271">
        <v>670.0</v>
      </c>
      <c r="T361" s="271">
        <v>930.0</v>
      </c>
      <c r="U361" s="62">
        <v>1.0</v>
      </c>
      <c r="V361" s="277">
        <v>0.0</v>
      </c>
      <c r="W361" s="277">
        <v>0.0</v>
      </c>
      <c r="X361" s="271">
        <v>930.0</v>
      </c>
      <c r="Y361" s="271">
        <v>0.0</v>
      </c>
      <c r="Z361" s="50" t="b">
        <v>1</v>
      </c>
      <c r="AA361" s="50" t="s">
        <v>138</v>
      </c>
      <c r="AB361" s="50" t="s">
        <v>138</v>
      </c>
    </row>
    <row r="362">
      <c r="A362" s="280" t="s">
        <v>267</v>
      </c>
      <c r="B362" s="280" t="s">
        <v>267</v>
      </c>
      <c r="C362" s="278">
        <v>44003.0</v>
      </c>
      <c r="D362" s="278">
        <v>44032.0</v>
      </c>
      <c r="E362" s="271" t="s">
        <v>268</v>
      </c>
      <c r="F362" s="138" t="s">
        <v>4</v>
      </c>
      <c r="G362" s="101" t="s">
        <v>5</v>
      </c>
      <c r="H362" s="114" t="s">
        <v>37</v>
      </c>
      <c r="I362" s="63">
        <v>5.0</v>
      </c>
      <c r="J362" s="74">
        <v>51.0</v>
      </c>
      <c r="K362" s="271">
        <f t="shared" si="1"/>
        <v>255</v>
      </c>
      <c r="L362" s="271">
        <v>2404.0</v>
      </c>
      <c r="M362" s="271">
        <v>20.0</v>
      </c>
      <c r="N362" s="275">
        <v>0.83</v>
      </c>
      <c r="O362" s="60"/>
      <c r="P362" s="50">
        <v>1.0</v>
      </c>
      <c r="Q362" s="271">
        <v>19.0</v>
      </c>
      <c r="R362" s="276">
        <v>-0.00244</v>
      </c>
      <c r="S362" s="271">
        <v>18.0</v>
      </c>
      <c r="T362" s="271">
        <v>19.0</v>
      </c>
      <c r="U362" s="62">
        <v>1.0</v>
      </c>
      <c r="V362" s="277">
        <v>0.25</v>
      </c>
      <c r="W362" s="277">
        <v>0.0</v>
      </c>
      <c r="X362" s="271">
        <v>14.0</v>
      </c>
      <c r="Y362" s="271">
        <v>5.0</v>
      </c>
      <c r="Z362" s="50" t="b">
        <v>1</v>
      </c>
      <c r="AA362" s="50" t="s">
        <v>138</v>
      </c>
      <c r="AB362" s="50" t="s">
        <v>138</v>
      </c>
    </row>
    <row r="363">
      <c r="A363" s="280" t="s">
        <v>267</v>
      </c>
      <c r="B363" s="280" t="s">
        <v>267</v>
      </c>
      <c r="C363" s="278">
        <v>44003.0</v>
      </c>
      <c r="D363" s="278">
        <v>44032.0</v>
      </c>
      <c r="E363" s="271" t="s">
        <v>268</v>
      </c>
      <c r="F363" s="138" t="s">
        <v>4</v>
      </c>
      <c r="G363" s="101" t="s">
        <v>5</v>
      </c>
      <c r="H363" s="114" t="s">
        <v>982</v>
      </c>
      <c r="I363" s="63">
        <v>10.0</v>
      </c>
      <c r="J363" s="74">
        <v>7.0</v>
      </c>
      <c r="K363" s="271">
        <f t="shared" si="1"/>
        <v>70</v>
      </c>
      <c r="L363" s="271">
        <v>464.0</v>
      </c>
      <c r="M363" s="271">
        <v>30.0</v>
      </c>
      <c r="N363" s="275">
        <v>0.26</v>
      </c>
      <c r="O363" s="60"/>
      <c r="P363" s="50">
        <v>0.0</v>
      </c>
      <c r="Q363" s="271">
        <v>9.0</v>
      </c>
      <c r="R363" s="276">
        <v>-0.00244</v>
      </c>
      <c r="S363" s="271">
        <v>8.0</v>
      </c>
      <c r="T363" s="271">
        <v>9.0</v>
      </c>
      <c r="U363" s="62">
        <v>1.0</v>
      </c>
      <c r="V363" s="277">
        <v>0.25</v>
      </c>
      <c r="W363" s="277">
        <v>0.0</v>
      </c>
      <c r="X363" s="271">
        <v>7.0</v>
      </c>
      <c r="Y363" s="271">
        <v>2.0</v>
      </c>
      <c r="Z363" s="50" t="b">
        <v>1</v>
      </c>
      <c r="AA363" s="50" t="s">
        <v>138</v>
      </c>
      <c r="AB363" s="50" t="s">
        <v>138</v>
      </c>
    </row>
    <row r="364">
      <c r="A364" s="280" t="s">
        <v>267</v>
      </c>
      <c r="B364" s="280" t="s">
        <v>267</v>
      </c>
      <c r="C364" s="278">
        <v>44003.0</v>
      </c>
      <c r="D364" s="278">
        <v>44032.0</v>
      </c>
      <c r="E364" s="271" t="s">
        <v>268</v>
      </c>
      <c r="F364" s="138" t="s">
        <v>4</v>
      </c>
      <c r="G364" s="101" t="s">
        <v>5</v>
      </c>
      <c r="H364" s="114" t="s">
        <v>969</v>
      </c>
      <c r="I364" s="63">
        <v>10.0</v>
      </c>
      <c r="J364" s="74">
        <v>149.0</v>
      </c>
      <c r="K364" s="271">
        <f t="shared" si="1"/>
        <v>1490</v>
      </c>
      <c r="L364" s="271">
        <v>3513.0</v>
      </c>
      <c r="M364" s="271">
        <v>320.0</v>
      </c>
      <c r="N364" s="275">
        <v>4.86</v>
      </c>
      <c r="O364" s="60"/>
      <c r="P364" s="50">
        <v>5.0</v>
      </c>
      <c r="Q364" s="271">
        <v>4.0</v>
      </c>
      <c r="R364" s="276">
        <v>-0.00244</v>
      </c>
      <c r="S364" s="271">
        <v>1.0</v>
      </c>
      <c r="T364" s="271">
        <v>6.0</v>
      </c>
      <c r="U364" s="62">
        <v>1.0</v>
      </c>
      <c r="V364" s="277">
        <v>0.25</v>
      </c>
      <c r="W364" s="277">
        <v>0.0</v>
      </c>
      <c r="X364" s="271">
        <v>4.0</v>
      </c>
      <c r="Y364" s="271">
        <v>1.0</v>
      </c>
      <c r="Z364" s="50" t="b">
        <v>1</v>
      </c>
      <c r="AA364" s="50" t="s">
        <v>138</v>
      </c>
      <c r="AB364" s="50" t="s">
        <v>138</v>
      </c>
    </row>
    <row r="365">
      <c r="A365" s="101" t="s">
        <v>267</v>
      </c>
      <c r="B365" s="101" t="s">
        <v>267</v>
      </c>
      <c r="C365" s="278">
        <v>44003.0</v>
      </c>
      <c r="D365" s="278">
        <v>44032.0</v>
      </c>
      <c r="E365" s="271" t="s">
        <v>268</v>
      </c>
      <c r="F365" s="138" t="s">
        <v>4</v>
      </c>
      <c r="G365" s="101" t="s">
        <v>5</v>
      </c>
      <c r="H365" s="114" t="s">
        <v>969</v>
      </c>
      <c r="I365" s="63">
        <v>10.0</v>
      </c>
      <c r="J365" s="74">
        <v>495.0</v>
      </c>
      <c r="K365" s="271">
        <f t="shared" si="1"/>
        <v>4950</v>
      </c>
      <c r="L365" s="271">
        <v>17625.0</v>
      </c>
      <c r="M365" s="271">
        <v>130.0</v>
      </c>
      <c r="N365" s="275">
        <v>16.16</v>
      </c>
      <c r="O365" s="60"/>
      <c r="P365" s="50">
        <v>16.0</v>
      </c>
      <c r="Q365" s="271">
        <v>198.0</v>
      </c>
      <c r="R365" s="276">
        <v>-0.00244</v>
      </c>
      <c r="S365" s="271">
        <v>186.0</v>
      </c>
      <c r="T365" s="271">
        <v>202.0</v>
      </c>
      <c r="U365" s="62">
        <v>1.0</v>
      </c>
      <c r="V365" s="277">
        <v>0.25</v>
      </c>
      <c r="W365" s="277">
        <v>0.0</v>
      </c>
      <c r="X365" s="271">
        <v>151.0</v>
      </c>
      <c r="Y365" s="271">
        <v>50.0</v>
      </c>
      <c r="Z365" s="50" t="b">
        <v>1</v>
      </c>
      <c r="AA365" s="50" t="s">
        <v>138</v>
      </c>
      <c r="AB365" s="50" t="s">
        <v>138</v>
      </c>
    </row>
    <row r="366">
      <c r="A366" s="101" t="s">
        <v>267</v>
      </c>
      <c r="B366" s="101" t="s">
        <v>267</v>
      </c>
      <c r="C366" s="278">
        <v>44003.0</v>
      </c>
      <c r="D366" s="278">
        <v>44032.0</v>
      </c>
      <c r="E366" s="271" t="s">
        <v>268</v>
      </c>
      <c r="F366" s="138" t="s">
        <v>4</v>
      </c>
      <c r="G366" s="101" t="s">
        <v>5</v>
      </c>
      <c r="H366" s="114" t="s">
        <v>62</v>
      </c>
      <c r="I366" s="63">
        <v>25.0</v>
      </c>
      <c r="J366" s="74">
        <v>164.0</v>
      </c>
      <c r="K366" s="271">
        <f t="shared" si="1"/>
        <v>4100</v>
      </c>
      <c r="L366" s="271">
        <v>10664.0</v>
      </c>
      <c r="M366" s="271">
        <v>-150.0</v>
      </c>
      <c r="N366" s="275">
        <v>11.47</v>
      </c>
      <c r="O366" s="60"/>
      <c r="P366" s="50">
        <v>11.0</v>
      </c>
      <c r="Q366" s="271">
        <v>247.0</v>
      </c>
      <c r="R366" s="276">
        <v>-0.00244</v>
      </c>
      <c r="S366" s="271">
        <v>237.0</v>
      </c>
      <c r="T366" s="271">
        <v>248.0</v>
      </c>
      <c r="U366" s="62">
        <v>1.0</v>
      </c>
      <c r="V366" s="277">
        <v>0.25</v>
      </c>
      <c r="W366" s="277">
        <v>0.0</v>
      </c>
      <c r="X366" s="271">
        <v>186.0</v>
      </c>
      <c r="Y366" s="271">
        <v>62.0</v>
      </c>
      <c r="Z366" s="50" t="b">
        <v>1</v>
      </c>
      <c r="AA366" s="50" t="s">
        <v>138</v>
      </c>
      <c r="AB366" s="50" t="s">
        <v>138</v>
      </c>
    </row>
    <row r="367">
      <c r="A367" s="101" t="s">
        <v>267</v>
      </c>
      <c r="B367" s="101" t="s">
        <v>267</v>
      </c>
      <c r="C367" s="278">
        <v>44003.0</v>
      </c>
      <c r="D367" s="278">
        <v>44032.0</v>
      </c>
      <c r="E367" s="271" t="s">
        <v>268</v>
      </c>
      <c r="F367" s="138" t="s">
        <v>4</v>
      </c>
      <c r="G367" s="101" t="s">
        <v>5</v>
      </c>
      <c r="H367" s="114" t="s">
        <v>63</v>
      </c>
      <c r="I367" s="63">
        <v>25.0</v>
      </c>
      <c r="J367" s="74">
        <v>701.0</v>
      </c>
      <c r="K367" s="271">
        <f t="shared" si="1"/>
        <v>17525</v>
      </c>
      <c r="L367" s="271">
        <v>8065.0</v>
      </c>
      <c r="M367" s="271">
        <v>2200.0</v>
      </c>
      <c r="N367" s="275">
        <v>49.04</v>
      </c>
      <c r="O367" s="60"/>
      <c r="P367" s="50">
        <v>49.0</v>
      </c>
      <c r="Q367" s="271">
        <v>-435.0</v>
      </c>
      <c r="R367" s="276">
        <v>-0.00244</v>
      </c>
      <c r="S367" s="271">
        <v>-478.0</v>
      </c>
      <c r="T367" s="271">
        <v>-429.0</v>
      </c>
      <c r="U367" s="62">
        <v>1.0</v>
      </c>
      <c r="V367" s="277">
        <v>0.25</v>
      </c>
      <c r="W367" s="277">
        <v>0.0</v>
      </c>
      <c r="X367" s="271">
        <v>-321.0</v>
      </c>
      <c r="Y367" s="271">
        <v>-107.0</v>
      </c>
      <c r="Z367" s="50" t="b">
        <v>1</v>
      </c>
      <c r="AA367" s="50" t="s">
        <v>138</v>
      </c>
      <c r="AB367" s="50" t="s">
        <v>138</v>
      </c>
    </row>
    <row r="368">
      <c r="A368" s="101" t="s">
        <v>267</v>
      </c>
      <c r="B368" s="101" t="s">
        <v>267</v>
      </c>
      <c r="C368" s="278">
        <v>44003.0</v>
      </c>
      <c r="D368" s="278">
        <v>44032.0</v>
      </c>
      <c r="E368" s="271" t="s">
        <v>268</v>
      </c>
      <c r="F368" s="138" t="s">
        <v>4</v>
      </c>
      <c r="G368" s="101" t="s">
        <v>5</v>
      </c>
      <c r="H368" s="114" t="s">
        <v>965</v>
      </c>
      <c r="I368" s="63">
        <v>25.0</v>
      </c>
      <c r="J368" s="74">
        <v>462.0</v>
      </c>
      <c r="K368" s="271">
        <f t="shared" si="1"/>
        <v>11550</v>
      </c>
      <c r="L368" s="271">
        <v>20325.0</v>
      </c>
      <c r="M368" s="271">
        <v>-25.0</v>
      </c>
      <c r="N368" s="275">
        <v>32.32</v>
      </c>
      <c r="O368" s="60"/>
      <c r="P368" s="50">
        <v>32.0</v>
      </c>
      <c r="Q368" s="271">
        <v>253.0</v>
      </c>
      <c r="R368" s="276">
        <v>-0.00244</v>
      </c>
      <c r="S368" s="271">
        <v>224.0</v>
      </c>
      <c r="T368" s="271">
        <v>257.0</v>
      </c>
      <c r="U368" s="62">
        <v>1.0</v>
      </c>
      <c r="V368" s="277">
        <v>0.25</v>
      </c>
      <c r="W368" s="277">
        <v>0.0</v>
      </c>
      <c r="X368" s="271">
        <v>192.0</v>
      </c>
      <c r="Y368" s="271">
        <v>64.0</v>
      </c>
      <c r="Z368" s="50" t="b">
        <v>1</v>
      </c>
      <c r="AA368" s="50" t="s">
        <v>138</v>
      </c>
      <c r="AB368" s="50" t="s">
        <v>138</v>
      </c>
    </row>
    <row r="369">
      <c r="A369" s="101" t="s">
        <v>267</v>
      </c>
      <c r="B369" s="101" t="s">
        <v>267</v>
      </c>
      <c r="C369" s="278">
        <v>44003.0</v>
      </c>
      <c r="D369" s="278">
        <v>44032.0</v>
      </c>
      <c r="E369" s="271" t="s">
        <v>268</v>
      </c>
      <c r="F369" s="138" t="s">
        <v>4</v>
      </c>
      <c r="G369" s="101" t="s">
        <v>5</v>
      </c>
      <c r="H369" s="114" t="s">
        <v>976</v>
      </c>
      <c r="I369" s="63">
        <v>25.0</v>
      </c>
      <c r="J369" s="74">
        <v>1189.0</v>
      </c>
      <c r="K369" s="271">
        <f t="shared" si="1"/>
        <v>29725</v>
      </c>
      <c r="L369" s="271">
        <v>37970.0</v>
      </c>
      <c r="M369" s="271">
        <v>1675.0</v>
      </c>
      <c r="N369" s="275">
        <v>83.18</v>
      </c>
      <c r="O369" s="60"/>
      <c r="P369" s="50">
        <v>83.0</v>
      </c>
      <c r="Q369" s="271">
        <v>1163.0</v>
      </c>
      <c r="R369" s="276">
        <v>-0.00244</v>
      </c>
      <c r="S369" s="271">
        <v>1090.0</v>
      </c>
      <c r="T369" s="271">
        <v>1173.0</v>
      </c>
      <c r="U369" s="62">
        <v>1.0</v>
      </c>
      <c r="V369" s="277">
        <v>0.25</v>
      </c>
      <c r="W369" s="277">
        <v>0.0</v>
      </c>
      <c r="X369" s="271">
        <v>880.0</v>
      </c>
      <c r="Y369" s="271">
        <v>293.0</v>
      </c>
      <c r="Z369" s="50" t="b">
        <v>1</v>
      </c>
      <c r="AA369" s="50" t="s">
        <v>138</v>
      </c>
      <c r="AB369" s="50" t="s">
        <v>138</v>
      </c>
    </row>
    <row r="370">
      <c r="A370" s="101" t="s">
        <v>267</v>
      </c>
      <c r="B370" s="101" t="s">
        <v>267</v>
      </c>
      <c r="C370" s="278">
        <v>44003.0</v>
      </c>
      <c r="D370" s="278">
        <v>44032.0</v>
      </c>
      <c r="E370" s="271" t="s">
        <v>268</v>
      </c>
      <c r="F370" s="138" t="s">
        <v>4</v>
      </c>
      <c r="G370" s="101" t="s">
        <v>5</v>
      </c>
      <c r="H370" s="273" t="s">
        <v>966</v>
      </c>
      <c r="I370" s="63">
        <v>50.0</v>
      </c>
      <c r="J370" s="74">
        <v>184.0</v>
      </c>
      <c r="K370" s="271">
        <f t="shared" si="1"/>
        <v>9200</v>
      </c>
      <c r="L370" s="271">
        <v>486.0</v>
      </c>
      <c r="M370" s="271">
        <v>-550.0</v>
      </c>
      <c r="N370" s="275">
        <v>25.75</v>
      </c>
      <c r="O370" s="60"/>
      <c r="P370" s="50">
        <v>26.0</v>
      </c>
      <c r="Q370" s="271">
        <v>-510.0</v>
      </c>
      <c r="R370" s="276">
        <v>-0.00244</v>
      </c>
      <c r="S370" s="271">
        <v>-532.0</v>
      </c>
      <c r="T370" s="271">
        <v>-507.0</v>
      </c>
      <c r="U370" s="62">
        <v>1.0</v>
      </c>
      <c r="V370" s="277">
        <v>0.25</v>
      </c>
      <c r="W370" s="277">
        <v>0.0</v>
      </c>
      <c r="X370" s="271">
        <v>-380.0</v>
      </c>
      <c r="Y370" s="271">
        <v>-127.0</v>
      </c>
      <c r="Z370" s="50" t="b">
        <v>1</v>
      </c>
      <c r="AA370" s="50" t="s">
        <v>138</v>
      </c>
      <c r="AB370" s="50" t="s">
        <v>138</v>
      </c>
    </row>
    <row r="371">
      <c r="A371" s="101" t="s">
        <v>267</v>
      </c>
      <c r="B371" s="101" t="s">
        <v>267</v>
      </c>
      <c r="C371" s="278">
        <v>44003.0</v>
      </c>
      <c r="D371" s="278">
        <v>44032.0</v>
      </c>
      <c r="E371" s="271" t="s">
        <v>268</v>
      </c>
      <c r="F371" s="138" t="s">
        <v>4</v>
      </c>
      <c r="G371" s="101" t="s">
        <v>5</v>
      </c>
      <c r="H371" s="114" t="s">
        <v>974</v>
      </c>
      <c r="I371" s="63">
        <v>50.0</v>
      </c>
      <c r="J371" s="74">
        <v>257.0</v>
      </c>
      <c r="K371" s="271">
        <f t="shared" si="1"/>
        <v>12850</v>
      </c>
      <c r="L371" s="271">
        <v>6718.0</v>
      </c>
      <c r="M371" s="271">
        <v>-300.0</v>
      </c>
      <c r="N371" s="275">
        <v>35.96</v>
      </c>
      <c r="O371" s="60"/>
      <c r="P371" s="50">
        <v>36.0</v>
      </c>
      <c r="Q371" s="271">
        <v>271.0</v>
      </c>
      <c r="R371" s="276">
        <v>-0.00244</v>
      </c>
      <c r="S371" s="271">
        <v>239.0</v>
      </c>
      <c r="T371" s="271">
        <v>275.0</v>
      </c>
      <c r="U371" s="62">
        <v>1.0</v>
      </c>
      <c r="V371" s="277">
        <v>0.25</v>
      </c>
      <c r="W371" s="277">
        <v>0.0</v>
      </c>
      <c r="X371" s="271">
        <v>206.0</v>
      </c>
      <c r="Y371" s="271">
        <v>69.0</v>
      </c>
      <c r="Z371" s="50" t="b">
        <v>1</v>
      </c>
      <c r="AA371" s="50" t="s">
        <v>138</v>
      </c>
      <c r="AB371" s="50" t="s">
        <v>138</v>
      </c>
    </row>
    <row r="372">
      <c r="A372" s="101" t="s">
        <v>267</v>
      </c>
      <c r="B372" s="101" t="s">
        <v>267</v>
      </c>
      <c r="C372" s="278">
        <v>44003.0</v>
      </c>
      <c r="D372" s="278">
        <v>44032.0</v>
      </c>
      <c r="E372" s="271" t="s">
        <v>268</v>
      </c>
      <c r="F372" s="138" t="s">
        <v>4</v>
      </c>
      <c r="G372" s="101" t="s">
        <v>5</v>
      </c>
      <c r="H372" s="273" t="s">
        <v>966</v>
      </c>
      <c r="I372" s="63">
        <v>50.0</v>
      </c>
      <c r="J372" s="74">
        <v>561.0</v>
      </c>
      <c r="K372" s="271">
        <f t="shared" si="1"/>
        <v>28050</v>
      </c>
      <c r="L372" s="271">
        <v>21727.0</v>
      </c>
      <c r="M372" s="271">
        <v>-1550.0</v>
      </c>
      <c r="N372" s="275">
        <v>78.49</v>
      </c>
      <c r="O372" s="60"/>
      <c r="P372" s="50">
        <v>78.0</v>
      </c>
      <c r="Q372" s="271">
        <v>337.0</v>
      </c>
      <c r="R372" s="276">
        <v>-0.00244</v>
      </c>
      <c r="S372" s="271">
        <v>269.0</v>
      </c>
      <c r="T372" s="271">
        <v>347.0</v>
      </c>
      <c r="U372" s="62">
        <v>1.0</v>
      </c>
      <c r="V372" s="277">
        <v>0.25</v>
      </c>
      <c r="W372" s="277">
        <v>0.0</v>
      </c>
      <c r="X372" s="271">
        <v>260.0</v>
      </c>
      <c r="Y372" s="271">
        <v>87.0</v>
      </c>
      <c r="Z372" s="50" t="b">
        <v>1</v>
      </c>
      <c r="AA372" s="50" t="s">
        <v>138</v>
      </c>
      <c r="AB372" s="50" t="s">
        <v>138</v>
      </c>
    </row>
    <row r="373">
      <c r="A373" s="101" t="s">
        <v>267</v>
      </c>
      <c r="B373" s="101" t="s">
        <v>267</v>
      </c>
      <c r="C373" s="278">
        <v>44003.0</v>
      </c>
      <c r="D373" s="278">
        <v>44032.0</v>
      </c>
      <c r="E373" s="271" t="s">
        <v>268</v>
      </c>
      <c r="F373" s="138" t="s">
        <v>4</v>
      </c>
      <c r="G373" s="101" t="s">
        <v>5</v>
      </c>
      <c r="H373" s="114" t="s">
        <v>974</v>
      </c>
      <c r="I373" s="63">
        <v>50.0</v>
      </c>
      <c r="J373" s="74">
        <v>212.0</v>
      </c>
      <c r="K373" s="271">
        <f t="shared" si="1"/>
        <v>10600</v>
      </c>
      <c r="L373" s="271">
        <v>6376.0</v>
      </c>
      <c r="M373" s="271">
        <v>150.0</v>
      </c>
      <c r="N373" s="275">
        <v>29.66</v>
      </c>
      <c r="O373" s="60"/>
      <c r="P373" s="50">
        <v>30.0</v>
      </c>
      <c r="Q373" s="271">
        <v>353.0</v>
      </c>
      <c r="R373" s="276">
        <v>-0.00244</v>
      </c>
      <c r="S373" s="271">
        <v>327.0</v>
      </c>
      <c r="T373" s="271">
        <v>357.0</v>
      </c>
      <c r="U373" s="62">
        <v>1.0</v>
      </c>
      <c r="V373" s="277">
        <v>0.25</v>
      </c>
      <c r="W373" s="277">
        <v>0.0</v>
      </c>
      <c r="X373" s="271">
        <v>268.0</v>
      </c>
      <c r="Y373" s="271">
        <v>89.0</v>
      </c>
      <c r="Z373" s="50" t="b">
        <v>1</v>
      </c>
      <c r="AA373" s="50" t="s">
        <v>138</v>
      </c>
      <c r="AB373" s="50" t="s">
        <v>138</v>
      </c>
    </row>
    <row r="374">
      <c r="A374" s="101" t="s">
        <v>148</v>
      </c>
      <c r="B374" s="101" t="s">
        <v>148</v>
      </c>
      <c r="C374" s="278">
        <v>44003.0</v>
      </c>
      <c r="D374" s="278">
        <v>44032.0</v>
      </c>
      <c r="E374" s="271" t="s">
        <v>331</v>
      </c>
      <c r="F374" s="138" t="s">
        <v>4</v>
      </c>
      <c r="G374" s="101" t="s">
        <v>5</v>
      </c>
      <c r="H374" s="273" t="s">
        <v>62</v>
      </c>
      <c r="I374" s="63">
        <v>25.0</v>
      </c>
      <c r="J374" s="74">
        <v>1013.0</v>
      </c>
      <c r="K374" s="271">
        <f t="shared" si="1"/>
        <v>25325</v>
      </c>
      <c r="L374" s="280">
        <v>7088.0</v>
      </c>
      <c r="M374" s="280">
        <v>-875.0</v>
      </c>
      <c r="N374" s="275">
        <v>214.0</v>
      </c>
      <c r="O374" s="60"/>
      <c r="P374" s="50">
        <v>214.0</v>
      </c>
      <c r="Q374" s="280">
        <v>-1292.0</v>
      </c>
      <c r="R374" s="276">
        <v>-0.00244</v>
      </c>
      <c r="S374" s="280">
        <v>-1354.0</v>
      </c>
      <c r="T374" s="280">
        <v>-1140.0</v>
      </c>
      <c r="U374" s="62">
        <v>1.0</v>
      </c>
      <c r="V374" s="277">
        <v>0.25</v>
      </c>
      <c r="W374" s="277">
        <v>0.1</v>
      </c>
      <c r="X374" s="280">
        <v>-741.0</v>
      </c>
      <c r="Y374" s="280">
        <v>-399.0</v>
      </c>
      <c r="Z374" s="50" t="b">
        <v>1</v>
      </c>
      <c r="AA374" s="50" t="s">
        <v>138</v>
      </c>
      <c r="AB374" s="50" t="s">
        <v>138</v>
      </c>
    </row>
    <row r="375">
      <c r="A375" s="101" t="s">
        <v>148</v>
      </c>
      <c r="B375" s="101" t="s">
        <v>148</v>
      </c>
      <c r="C375" s="278">
        <v>44003.0</v>
      </c>
      <c r="D375" s="278">
        <v>44032.0</v>
      </c>
      <c r="E375" s="271" t="s">
        <v>331</v>
      </c>
      <c r="F375" s="138" t="s">
        <v>4</v>
      </c>
      <c r="G375" s="101" t="s">
        <v>5</v>
      </c>
      <c r="H375" s="273" t="s">
        <v>965</v>
      </c>
      <c r="I375" s="63">
        <v>25.0</v>
      </c>
      <c r="J375" s="74">
        <v>937.0</v>
      </c>
      <c r="K375" s="271">
        <f t="shared" si="1"/>
        <v>23425</v>
      </c>
      <c r="L375" s="280">
        <v>14013.0</v>
      </c>
      <c r="M375" s="280">
        <v>-1100.0</v>
      </c>
      <c r="N375" s="275"/>
      <c r="O375" s="60"/>
      <c r="P375" s="101"/>
      <c r="Q375" s="280">
        <v>-844.0</v>
      </c>
      <c r="R375" s="276">
        <v>-0.00244</v>
      </c>
      <c r="S375" s="280">
        <v>-901.0</v>
      </c>
      <c r="T375" s="280">
        <v>-901.0</v>
      </c>
      <c r="U375" s="62">
        <v>1.0</v>
      </c>
      <c r="V375" s="277">
        <v>0.25</v>
      </c>
      <c r="W375" s="277">
        <v>0.1</v>
      </c>
      <c r="X375" s="280">
        <v>-586.0</v>
      </c>
      <c r="Y375" s="280">
        <v>-316.0</v>
      </c>
      <c r="Z375" s="50" t="b">
        <v>1</v>
      </c>
      <c r="AA375" s="50" t="s">
        <v>138</v>
      </c>
      <c r="AB375" s="50" t="s">
        <v>138</v>
      </c>
    </row>
    <row r="376">
      <c r="A376" s="101" t="s">
        <v>148</v>
      </c>
      <c r="B376" s="101" t="s">
        <v>148</v>
      </c>
      <c r="C376" s="278">
        <v>44003.0</v>
      </c>
      <c r="D376" s="278">
        <v>44032.0</v>
      </c>
      <c r="E376" s="271" t="s">
        <v>331</v>
      </c>
      <c r="F376" s="138" t="s">
        <v>4</v>
      </c>
      <c r="G376" s="101" t="s">
        <v>5</v>
      </c>
      <c r="H376" s="273" t="s">
        <v>966</v>
      </c>
      <c r="I376" s="63">
        <v>50.0</v>
      </c>
      <c r="J376" s="74">
        <v>1.0</v>
      </c>
      <c r="K376" s="271">
        <f t="shared" si="1"/>
        <v>50</v>
      </c>
      <c r="L376" s="280">
        <v>-487.0</v>
      </c>
      <c r="M376" s="280">
        <v>-50.0</v>
      </c>
      <c r="N376" s="275"/>
      <c r="O376" s="60"/>
      <c r="P376" s="101"/>
      <c r="Q376" s="280">
        <v>-49.0</v>
      </c>
      <c r="R376" s="276">
        <v>-0.00244</v>
      </c>
      <c r="S376" s="280">
        <v>-49.0</v>
      </c>
      <c r="T376" s="280">
        <v>-49.0</v>
      </c>
      <c r="U376" s="62">
        <v>1.0</v>
      </c>
      <c r="V376" s="277">
        <v>0.25</v>
      </c>
      <c r="W376" s="277">
        <v>0.1</v>
      </c>
      <c r="X376" s="280">
        <v>-32.0</v>
      </c>
      <c r="Y376" s="280">
        <v>-17.0</v>
      </c>
      <c r="Z376" s="50" t="b">
        <v>1</v>
      </c>
      <c r="AA376" s="50" t="s">
        <v>138</v>
      </c>
      <c r="AB376" s="50" t="s">
        <v>138</v>
      </c>
    </row>
    <row r="377">
      <c r="A377" s="101" t="s">
        <v>148</v>
      </c>
      <c r="B377" s="101" t="s">
        <v>148</v>
      </c>
      <c r="C377" s="278">
        <v>44003.0</v>
      </c>
      <c r="D377" s="278">
        <v>44032.0</v>
      </c>
      <c r="E377" s="271" t="s">
        <v>331</v>
      </c>
      <c r="F377" s="138" t="s">
        <v>4</v>
      </c>
      <c r="G377" s="101" t="s">
        <v>5</v>
      </c>
      <c r="H377" s="273" t="s">
        <v>966</v>
      </c>
      <c r="I377" s="63">
        <v>50.0</v>
      </c>
      <c r="J377" s="74">
        <v>299.0</v>
      </c>
      <c r="K377" s="271">
        <f t="shared" si="1"/>
        <v>14950</v>
      </c>
      <c r="L377" s="280">
        <v>6264.0</v>
      </c>
      <c r="M377" s="280">
        <v>-1900.0</v>
      </c>
      <c r="N377" s="275">
        <v>66.0</v>
      </c>
      <c r="O377" s="60"/>
      <c r="P377" s="50">
        <v>66.0</v>
      </c>
      <c r="Q377" s="280">
        <v>-371.0</v>
      </c>
      <c r="R377" s="276">
        <v>-0.00244</v>
      </c>
      <c r="S377" s="280">
        <v>-408.0</v>
      </c>
      <c r="T377" s="280">
        <v>-342.0</v>
      </c>
      <c r="U377" s="62">
        <v>1.0</v>
      </c>
      <c r="V377" s="277">
        <v>0.25</v>
      </c>
      <c r="W377" s="277">
        <v>0.1</v>
      </c>
      <c r="X377" s="280">
        <v>-222.0</v>
      </c>
      <c r="Y377" s="280">
        <v>-120.0</v>
      </c>
      <c r="Z377" s="50" t="b">
        <v>1</v>
      </c>
      <c r="AA377" s="50" t="s">
        <v>138</v>
      </c>
      <c r="AB377" s="50" t="s">
        <v>138</v>
      </c>
    </row>
    <row r="378">
      <c r="A378" s="101" t="s">
        <v>182</v>
      </c>
      <c r="B378" s="101" t="s">
        <v>182</v>
      </c>
      <c r="C378" s="278">
        <v>44003.0</v>
      </c>
      <c r="D378" s="278">
        <v>44032.0</v>
      </c>
      <c r="E378" s="271" t="s">
        <v>268</v>
      </c>
      <c r="F378" s="138" t="s">
        <v>4</v>
      </c>
      <c r="G378" s="101" t="s">
        <v>5</v>
      </c>
      <c r="H378" s="273" t="s">
        <v>971</v>
      </c>
      <c r="I378" s="63">
        <v>5.0</v>
      </c>
      <c r="J378" s="74">
        <v>1.0</v>
      </c>
      <c r="K378" s="271">
        <f t="shared" si="1"/>
        <v>5</v>
      </c>
      <c r="L378" s="280">
        <v>-6.0</v>
      </c>
      <c r="M378" s="280">
        <v>5.0</v>
      </c>
      <c r="N378" s="275">
        <v>0.01</v>
      </c>
      <c r="O378" s="60"/>
      <c r="P378" s="50">
        <v>0.0</v>
      </c>
      <c r="Q378" s="280">
        <v>0.0</v>
      </c>
      <c r="R378" s="276">
        <v>-0.00244</v>
      </c>
      <c r="S378" s="280">
        <v>-1.0</v>
      </c>
      <c r="T378" s="280">
        <v>0.0</v>
      </c>
      <c r="U378" s="62">
        <v>1.0</v>
      </c>
      <c r="V378" s="277">
        <v>0.2</v>
      </c>
      <c r="W378" s="277">
        <v>0.0</v>
      </c>
      <c r="X378" s="280">
        <v>0.0</v>
      </c>
      <c r="Y378" s="280">
        <v>0.0</v>
      </c>
      <c r="Z378" s="50" t="b">
        <v>1</v>
      </c>
      <c r="AA378" s="50" t="s">
        <v>138</v>
      </c>
      <c r="AB378" s="50" t="s">
        <v>138</v>
      </c>
    </row>
    <row r="379">
      <c r="A379" s="101" t="s">
        <v>182</v>
      </c>
      <c r="B379" s="101" t="s">
        <v>182</v>
      </c>
      <c r="C379" s="278">
        <v>44003.0</v>
      </c>
      <c r="D379" s="278">
        <v>44032.0</v>
      </c>
      <c r="E379" s="271" t="s">
        <v>268</v>
      </c>
      <c r="F379" s="138" t="s">
        <v>4</v>
      </c>
      <c r="G379" s="101" t="s">
        <v>5</v>
      </c>
      <c r="H379" s="273" t="s">
        <v>47</v>
      </c>
      <c r="I379" s="63">
        <v>10.0</v>
      </c>
      <c r="J379" s="74">
        <v>290.0</v>
      </c>
      <c r="K379" s="271">
        <f t="shared" si="1"/>
        <v>2900</v>
      </c>
      <c r="L379" s="280">
        <v>3080.0</v>
      </c>
      <c r="M379" s="280">
        <v>-350.0</v>
      </c>
      <c r="N379" s="275">
        <v>7.06</v>
      </c>
      <c r="O379" s="60"/>
      <c r="P379" s="50">
        <v>7.0</v>
      </c>
      <c r="Q379" s="280">
        <v>-187.0</v>
      </c>
      <c r="R379" s="276">
        <v>-0.00244</v>
      </c>
      <c r="S379" s="280">
        <v>-194.0</v>
      </c>
      <c r="T379" s="280">
        <v>-187.0</v>
      </c>
      <c r="U379" s="62">
        <v>1.0</v>
      </c>
      <c r="V379" s="277">
        <v>0.2</v>
      </c>
      <c r="W379" s="277">
        <v>0.0</v>
      </c>
      <c r="X379" s="280">
        <v>-150.0</v>
      </c>
      <c r="Y379" s="280">
        <v>-37.0</v>
      </c>
      <c r="Z379" s="50" t="b">
        <v>1</v>
      </c>
      <c r="AA379" s="50" t="s">
        <v>138</v>
      </c>
      <c r="AB379" s="50" t="s">
        <v>138</v>
      </c>
    </row>
    <row r="380">
      <c r="A380" s="101" t="s">
        <v>182</v>
      </c>
      <c r="B380" s="101" t="s">
        <v>182</v>
      </c>
      <c r="C380" s="278">
        <v>44003.0</v>
      </c>
      <c r="D380" s="278">
        <v>44032.0</v>
      </c>
      <c r="E380" s="271" t="s">
        <v>268</v>
      </c>
      <c r="F380" s="138" t="s">
        <v>4</v>
      </c>
      <c r="G380" s="101" t="s">
        <v>5</v>
      </c>
      <c r="H380" s="114" t="s">
        <v>964</v>
      </c>
      <c r="I380" s="63">
        <v>10.0</v>
      </c>
      <c r="J380" s="74">
        <v>201.0</v>
      </c>
      <c r="K380" s="271">
        <f t="shared" si="1"/>
        <v>2010</v>
      </c>
      <c r="L380" s="280">
        <v>348.0</v>
      </c>
      <c r="M380" s="280">
        <v>-70.0</v>
      </c>
      <c r="N380" s="275">
        <v>4.28</v>
      </c>
      <c r="O380" s="60"/>
      <c r="P380" s="50">
        <v>4.0</v>
      </c>
      <c r="Q380" s="280">
        <v>-142.0</v>
      </c>
      <c r="R380" s="276">
        <v>-0.00244</v>
      </c>
      <c r="S380" s="280">
        <v>-147.0</v>
      </c>
      <c r="T380" s="280">
        <v>-143.0</v>
      </c>
      <c r="U380" s="62">
        <v>1.0</v>
      </c>
      <c r="V380" s="277">
        <v>0.2</v>
      </c>
      <c r="W380" s="277">
        <v>0.0</v>
      </c>
      <c r="X380" s="280">
        <v>-114.0</v>
      </c>
      <c r="Y380" s="280">
        <v>-29.0</v>
      </c>
      <c r="Z380" s="50" t="b">
        <v>1</v>
      </c>
      <c r="AA380" s="50" t="s">
        <v>138</v>
      </c>
      <c r="AB380" s="50" t="s">
        <v>138</v>
      </c>
    </row>
    <row r="381">
      <c r="A381" s="101" t="s">
        <v>182</v>
      </c>
      <c r="B381" s="101" t="s">
        <v>182</v>
      </c>
      <c r="C381" s="278">
        <v>44003.0</v>
      </c>
      <c r="D381" s="278">
        <v>44032.0</v>
      </c>
      <c r="E381" s="271" t="s">
        <v>268</v>
      </c>
      <c r="F381" s="138" t="s">
        <v>4</v>
      </c>
      <c r="G381" s="101" t="s">
        <v>5</v>
      </c>
      <c r="H381" s="273" t="s">
        <v>62</v>
      </c>
      <c r="I381" s="63">
        <v>25.0</v>
      </c>
      <c r="J381" s="74">
        <v>693.0</v>
      </c>
      <c r="K381" s="271">
        <f t="shared" si="1"/>
        <v>17325</v>
      </c>
      <c r="L381" s="280">
        <v>11350.0</v>
      </c>
      <c r="M381" s="280">
        <v>-1000.0</v>
      </c>
      <c r="N381" s="275">
        <v>31.64</v>
      </c>
      <c r="O381" s="60"/>
      <c r="P381" s="50">
        <v>32.0</v>
      </c>
      <c r="Q381" s="280">
        <v>-583.0</v>
      </c>
      <c r="R381" s="276">
        <v>-0.00244</v>
      </c>
      <c r="S381" s="280">
        <v>-625.0</v>
      </c>
      <c r="T381" s="280">
        <v>-593.0</v>
      </c>
      <c r="U381" s="62">
        <v>1.0</v>
      </c>
      <c r="V381" s="277">
        <v>0.2</v>
      </c>
      <c r="W381" s="277">
        <v>0.0</v>
      </c>
      <c r="X381" s="280">
        <v>-475.0</v>
      </c>
      <c r="Y381" s="280">
        <v>-119.0</v>
      </c>
      <c r="Z381" s="50" t="b">
        <v>1</v>
      </c>
      <c r="AA381" s="50" t="s">
        <v>138</v>
      </c>
      <c r="AB381" s="50" t="s">
        <v>138</v>
      </c>
    </row>
    <row r="382">
      <c r="A382" s="101" t="s">
        <v>182</v>
      </c>
      <c r="B382" s="101" t="s">
        <v>182</v>
      </c>
      <c r="C382" s="278">
        <v>44003.0</v>
      </c>
      <c r="D382" s="278">
        <v>44032.0</v>
      </c>
      <c r="E382" s="271" t="s">
        <v>268</v>
      </c>
      <c r="F382" s="138" t="s">
        <v>4</v>
      </c>
      <c r="G382" s="101" t="s">
        <v>5</v>
      </c>
      <c r="H382" s="273" t="s">
        <v>965</v>
      </c>
      <c r="I382" s="63">
        <v>25.0</v>
      </c>
      <c r="J382" s="74">
        <v>986.0</v>
      </c>
      <c r="K382" s="271">
        <f t="shared" si="1"/>
        <v>24650</v>
      </c>
      <c r="L382" s="280">
        <v>24167.0</v>
      </c>
      <c r="M382" s="280">
        <v>675.0</v>
      </c>
      <c r="N382" s="275">
        <v>45.01</v>
      </c>
      <c r="O382" s="60"/>
      <c r="P382" s="50">
        <v>45.0</v>
      </c>
      <c r="Q382" s="280">
        <v>-448.0</v>
      </c>
      <c r="R382" s="276">
        <v>-0.00244</v>
      </c>
      <c r="S382" s="280">
        <v>-508.0</v>
      </c>
      <c r="T382" s="280">
        <v>-463.0</v>
      </c>
      <c r="U382" s="62">
        <v>1.0</v>
      </c>
      <c r="V382" s="277">
        <v>0.2</v>
      </c>
      <c r="W382" s="277">
        <v>0.0</v>
      </c>
      <c r="X382" s="280">
        <v>-371.0</v>
      </c>
      <c r="Y382" s="280">
        <v>-93.0</v>
      </c>
      <c r="Z382" s="50" t="b">
        <v>1</v>
      </c>
      <c r="AA382" s="50" t="s">
        <v>138</v>
      </c>
      <c r="AB382" s="50" t="s">
        <v>138</v>
      </c>
    </row>
    <row r="383">
      <c r="A383" s="101" t="s">
        <v>199</v>
      </c>
      <c r="B383" s="101" t="s">
        <v>199</v>
      </c>
      <c r="C383" s="278">
        <v>44003.0</v>
      </c>
      <c r="D383" s="278">
        <v>44032.0</v>
      </c>
      <c r="E383" s="271" t="s">
        <v>268</v>
      </c>
      <c r="F383" s="138" t="s">
        <v>4</v>
      </c>
      <c r="G383" s="101" t="s">
        <v>5</v>
      </c>
      <c r="H383" s="273" t="s">
        <v>35</v>
      </c>
      <c r="I383" s="63">
        <v>5.0</v>
      </c>
      <c r="J383" s="74">
        <v>132.0</v>
      </c>
      <c r="K383" s="271">
        <f t="shared" si="1"/>
        <v>660</v>
      </c>
      <c r="L383" s="280">
        <v>11018.0</v>
      </c>
      <c r="M383" s="280">
        <v>-5.0</v>
      </c>
      <c r="N383" s="275"/>
      <c r="O383" s="60"/>
      <c r="P383" s="101"/>
      <c r="Q383" s="280">
        <v>44.0</v>
      </c>
      <c r="R383" s="276">
        <v>-0.0015</v>
      </c>
      <c r="S383" s="280">
        <v>43.0</v>
      </c>
      <c r="T383" s="280">
        <v>43.0</v>
      </c>
      <c r="U383" s="62">
        <v>1.0</v>
      </c>
      <c r="V383" s="277">
        <v>0.25</v>
      </c>
      <c r="W383" s="277">
        <v>0.0</v>
      </c>
      <c r="X383" s="280">
        <v>32.0</v>
      </c>
      <c r="Y383" s="280">
        <v>11.0</v>
      </c>
      <c r="Z383" s="50" t="b">
        <v>1</v>
      </c>
      <c r="AA383" s="50" t="s">
        <v>138</v>
      </c>
      <c r="AB383" s="50" t="s">
        <v>138</v>
      </c>
    </row>
    <row r="384">
      <c r="A384" s="101" t="s">
        <v>199</v>
      </c>
      <c r="B384" s="101" t="s">
        <v>199</v>
      </c>
      <c r="C384" s="278">
        <v>44003.0</v>
      </c>
      <c r="D384" s="278">
        <v>44032.0</v>
      </c>
      <c r="E384" s="271" t="s">
        <v>268</v>
      </c>
      <c r="F384" s="138" t="s">
        <v>4</v>
      </c>
      <c r="G384" s="101" t="s">
        <v>5</v>
      </c>
      <c r="H384" s="273" t="s">
        <v>971</v>
      </c>
      <c r="I384" s="63">
        <v>5.0</v>
      </c>
      <c r="J384" s="74">
        <v>397.0</v>
      </c>
      <c r="K384" s="271">
        <f t="shared" si="1"/>
        <v>1985</v>
      </c>
      <c r="L384" s="280">
        <v>41119.0</v>
      </c>
      <c r="M384" s="280">
        <v>520.0</v>
      </c>
      <c r="N384" s="275"/>
      <c r="O384" s="60"/>
      <c r="P384" s="101"/>
      <c r="Q384" s="280">
        <v>206.0</v>
      </c>
      <c r="R384" s="276">
        <v>-0.0015</v>
      </c>
      <c r="S384" s="280">
        <v>203.0</v>
      </c>
      <c r="T384" s="280">
        <v>203.0</v>
      </c>
      <c r="U384" s="62">
        <v>1.0</v>
      </c>
      <c r="V384" s="277">
        <v>0.25</v>
      </c>
      <c r="W384" s="277">
        <v>0.0</v>
      </c>
      <c r="X384" s="280">
        <v>153.0</v>
      </c>
      <c r="Y384" s="280">
        <v>51.0</v>
      </c>
      <c r="Z384" s="50" t="b">
        <v>1</v>
      </c>
      <c r="AA384" s="50" t="s">
        <v>138</v>
      </c>
      <c r="AB384" s="50" t="s">
        <v>138</v>
      </c>
    </row>
    <row r="385">
      <c r="A385" s="101" t="s">
        <v>199</v>
      </c>
      <c r="B385" s="101" t="s">
        <v>199</v>
      </c>
      <c r="C385" s="278">
        <v>44003.0</v>
      </c>
      <c r="D385" s="278">
        <v>44032.0</v>
      </c>
      <c r="E385" s="271" t="s">
        <v>268</v>
      </c>
      <c r="F385" s="138" t="s">
        <v>4</v>
      </c>
      <c r="G385" s="101" t="s">
        <v>5</v>
      </c>
      <c r="H385" s="114" t="s">
        <v>964</v>
      </c>
      <c r="I385" s="63">
        <v>10.0</v>
      </c>
      <c r="J385" s="74">
        <v>402.0</v>
      </c>
      <c r="K385" s="271">
        <f t="shared" si="1"/>
        <v>4020</v>
      </c>
      <c r="L385" s="280">
        <v>11487.0</v>
      </c>
      <c r="M385" s="280">
        <v>170.0</v>
      </c>
      <c r="N385" s="275"/>
      <c r="O385" s="60"/>
      <c r="P385" s="101"/>
      <c r="Q385" s="280">
        <v>-73.0</v>
      </c>
      <c r="R385" s="276">
        <v>-0.0015</v>
      </c>
      <c r="S385" s="280">
        <v>-79.0</v>
      </c>
      <c r="T385" s="280">
        <v>-79.0</v>
      </c>
      <c r="U385" s="62">
        <v>1.0</v>
      </c>
      <c r="V385" s="277">
        <v>0.25</v>
      </c>
      <c r="W385" s="277">
        <v>0.0</v>
      </c>
      <c r="X385" s="280">
        <v>-59.0</v>
      </c>
      <c r="Y385" s="280">
        <v>-20.0</v>
      </c>
      <c r="Z385" s="50" t="b">
        <v>1</v>
      </c>
      <c r="AA385" s="50" t="s">
        <v>138</v>
      </c>
      <c r="AB385" s="50" t="s">
        <v>138</v>
      </c>
    </row>
    <row r="386">
      <c r="A386" s="101" t="s">
        <v>199</v>
      </c>
      <c r="B386" s="101" t="s">
        <v>199</v>
      </c>
      <c r="C386" s="278">
        <v>44003.0</v>
      </c>
      <c r="D386" s="278">
        <v>44032.0</v>
      </c>
      <c r="E386" s="271" t="s">
        <v>268</v>
      </c>
      <c r="F386" s="138" t="s">
        <v>4</v>
      </c>
      <c r="G386" s="101" t="s">
        <v>5</v>
      </c>
      <c r="H386" s="273" t="s">
        <v>47</v>
      </c>
      <c r="I386" s="63">
        <v>10.0</v>
      </c>
      <c r="J386" s="74">
        <v>373.0</v>
      </c>
      <c r="K386" s="271">
        <f t="shared" si="1"/>
        <v>3730</v>
      </c>
      <c r="L386" s="280">
        <v>13425.0</v>
      </c>
      <c r="M386" s="280">
        <v>10.0</v>
      </c>
      <c r="N386" s="275"/>
      <c r="O386" s="60"/>
      <c r="P386" s="101"/>
      <c r="Q386" s="280">
        <v>-55.0</v>
      </c>
      <c r="R386" s="276">
        <v>-0.0015</v>
      </c>
      <c r="S386" s="280">
        <v>-61.0</v>
      </c>
      <c r="T386" s="280">
        <v>-61.0</v>
      </c>
      <c r="U386" s="62">
        <v>1.0</v>
      </c>
      <c r="V386" s="277">
        <v>0.25</v>
      </c>
      <c r="W386" s="277">
        <v>0.0</v>
      </c>
      <c r="X386" s="280">
        <v>-46.0</v>
      </c>
      <c r="Y386" s="280">
        <v>-15.0</v>
      </c>
      <c r="Z386" s="50" t="b">
        <v>1</v>
      </c>
      <c r="AA386" s="50" t="s">
        <v>138</v>
      </c>
      <c r="AB386" s="50" t="s">
        <v>138</v>
      </c>
    </row>
    <row r="387">
      <c r="A387" s="101" t="s">
        <v>199</v>
      </c>
      <c r="B387" s="101" t="s">
        <v>199</v>
      </c>
      <c r="C387" s="278">
        <v>44003.0</v>
      </c>
      <c r="D387" s="278">
        <v>44032.0</v>
      </c>
      <c r="E387" s="271" t="s">
        <v>268</v>
      </c>
      <c r="F387" s="138" t="s">
        <v>4</v>
      </c>
      <c r="G387" s="101" t="s">
        <v>5</v>
      </c>
      <c r="H387" s="114" t="s">
        <v>964</v>
      </c>
      <c r="I387" s="63">
        <v>10.0</v>
      </c>
      <c r="J387" s="74">
        <v>228.0</v>
      </c>
      <c r="K387" s="271">
        <f t="shared" si="1"/>
        <v>2280</v>
      </c>
      <c r="L387" s="280">
        <v>14185.0</v>
      </c>
      <c r="M387" s="280">
        <v>100.0</v>
      </c>
      <c r="N387" s="275"/>
      <c r="O387" s="60"/>
      <c r="P387" s="101"/>
      <c r="Q387" s="280">
        <v>100.0</v>
      </c>
      <c r="R387" s="276">
        <v>-0.0015</v>
      </c>
      <c r="S387" s="280">
        <v>97.0</v>
      </c>
      <c r="T387" s="280">
        <v>97.0</v>
      </c>
      <c r="U387" s="62">
        <v>1.0</v>
      </c>
      <c r="V387" s="277">
        <v>0.25</v>
      </c>
      <c r="W387" s="277">
        <v>0.0</v>
      </c>
      <c r="X387" s="280">
        <v>73.0</v>
      </c>
      <c r="Y387" s="280">
        <v>24.0</v>
      </c>
      <c r="Z387" s="50" t="b">
        <v>1</v>
      </c>
      <c r="AA387" s="50" t="s">
        <v>138</v>
      </c>
      <c r="AB387" s="50" t="s">
        <v>138</v>
      </c>
    </row>
    <row r="388">
      <c r="A388" s="101" t="s">
        <v>156</v>
      </c>
      <c r="B388" s="101" t="s">
        <v>156</v>
      </c>
      <c r="C388" s="278">
        <v>44003.0</v>
      </c>
      <c r="D388" s="278">
        <v>44032.0</v>
      </c>
      <c r="E388" s="271" t="s">
        <v>268</v>
      </c>
      <c r="F388" s="101" t="s">
        <v>4</v>
      </c>
      <c r="G388" s="101" t="s">
        <v>5</v>
      </c>
      <c r="H388" s="273" t="s">
        <v>62</v>
      </c>
      <c r="I388" s="63">
        <v>25.0</v>
      </c>
      <c r="J388" s="74">
        <v>25.0</v>
      </c>
      <c r="K388" s="271">
        <f t="shared" si="1"/>
        <v>625</v>
      </c>
      <c r="L388" s="271">
        <v>1413.0</v>
      </c>
      <c r="M388" s="271">
        <v>75.0</v>
      </c>
      <c r="N388" s="275">
        <v>25.93</v>
      </c>
      <c r="O388" s="60"/>
      <c r="P388" s="50">
        <v>26.0</v>
      </c>
      <c r="Q388" s="271">
        <v>26.0</v>
      </c>
      <c r="R388" s="276">
        <v>-0.00244</v>
      </c>
      <c r="S388" s="271">
        <v>25.0</v>
      </c>
      <c r="T388" s="271">
        <v>51.0</v>
      </c>
      <c r="U388" s="62">
        <v>1.0</v>
      </c>
      <c r="V388" s="277">
        <v>0.0</v>
      </c>
      <c r="W388" s="277">
        <v>0.0</v>
      </c>
      <c r="X388" s="271">
        <v>51.0</v>
      </c>
      <c r="Y388" s="271">
        <v>0.0</v>
      </c>
      <c r="Z388" s="50" t="b">
        <v>1</v>
      </c>
      <c r="AA388" s="50" t="s">
        <v>138</v>
      </c>
      <c r="AB388" s="50" t="s">
        <v>138</v>
      </c>
    </row>
    <row r="389">
      <c r="A389" s="101" t="s">
        <v>156</v>
      </c>
      <c r="B389" s="101" t="s">
        <v>156</v>
      </c>
      <c r="C389" s="278">
        <v>44003.0</v>
      </c>
      <c r="D389" s="278">
        <v>44032.0</v>
      </c>
      <c r="E389" s="271" t="s">
        <v>268</v>
      </c>
      <c r="F389" s="101" t="s">
        <v>4</v>
      </c>
      <c r="G389" s="101" t="s">
        <v>5</v>
      </c>
      <c r="H389" s="273" t="s">
        <v>965</v>
      </c>
      <c r="I389" s="63">
        <v>25.0</v>
      </c>
      <c r="J389" s="74">
        <v>110.0</v>
      </c>
      <c r="K389" s="271">
        <f t="shared" si="1"/>
        <v>2750</v>
      </c>
      <c r="L389" s="271">
        <v>8748.0</v>
      </c>
      <c r="M389" s="271">
        <v>400.0</v>
      </c>
      <c r="N389" s="275">
        <v>114.07</v>
      </c>
      <c r="O389" s="60"/>
      <c r="P389" s="50">
        <v>114.0</v>
      </c>
      <c r="Q389" s="271">
        <v>236.0</v>
      </c>
      <c r="R389" s="276">
        <v>-0.00244</v>
      </c>
      <c r="S389" s="271">
        <v>229.0</v>
      </c>
      <c r="T389" s="271">
        <v>343.0</v>
      </c>
      <c r="U389" s="62">
        <v>1.0</v>
      </c>
      <c r="V389" s="277">
        <v>0.0</v>
      </c>
      <c r="W389" s="277">
        <v>0.0</v>
      </c>
      <c r="X389" s="271">
        <v>343.0</v>
      </c>
      <c r="Y389" s="271">
        <v>0.0</v>
      </c>
      <c r="Z389" s="50" t="b">
        <v>1</v>
      </c>
      <c r="AA389" s="50" t="s">
        <v>138</v>
      </c>
      <c r="AB389" s="50" t="s">
        <v>138</v>
      </c>
    </row>
    <row r="390">
      <c r="A390" s="101" t="s">
        <v>156</v>
      </c>
      <c r="B390" s="101" t="s">
        <v>156</v>
      </c>
      <c r="C390" s="278">
        <v>44003.0</v>
      </c>
      <c r="D390" s="278">
        <v>44032.0</v>
      </c>
      <c r="E390" s="271" t="s">
        <v>268</v>
      </c>
      <c r="F390" s="101" t="s">
        <v>4</v>
      </c>
      <c r="G390" s="101" t="s">
        <v>5</v>
      </c>
      <c r="H390" s="273" t="s">
        <v>966</v>
      </c>
      <c r="I390" s="63">
        <v>50.0</v>
      </c>
      <c r="J390" s="74">
        <v>167.0</v>
      </c>
      <c r="K390" s="271">
        <f t="shared" si="1"/>
        <v>8350</v>
      </c>
      <c r="L390" s="271">
        <v>2484.0</v>
      </c>
      <c r="M390" s="271">
        <v>-350.0</v>
      </c>
      <c r="N390" s="275">
        <v>346.37</v>
      </c>
      <c r="O390" s="60"/>
      <c r="P390" s="50">
        <v>346.0</v>
      </c>
      <c r="Q390" s="271">
        <v>-293.0</v>
      </c>
      <c r="R390" s="276">
        <v>-0.00244</v>
      </c>
      <c r="S390" s="271">
        <v>-313.0</v>
      </c>
      <c r="T390" s="271">
        <v>33.0</v>
      </c>
      <c r="U390" s="62">
        <v>1.0</v>
      </c>
      <c r="V390" s="277">
        <v>0.0</v>
      </c>
      <c r="W390" s="277">
        <v>0.0</v>
      </c>
      <c r="X390" s="271">
        <v>33.0</v>
      </c>
      <c r="Y390" s="271">
        <v>0.0</v>
      </c>
      <c r="Z390" s="50" t="b">
        <v>1</v>
      </c>
      <c r="AA390" s="50" t="s">
        <v>138</v>
      </c>
      <c r="AB390" s="50" t="s">
        <v>138</v>
      </c>
    </row>
    <row r="391">
      <c r="A391" s="101" t="s">
        <v>156</v>
      </c>
      <c r="B391" s="101" t="s">
        <v>156</v>
      </c>
      <c r="C391" s="278">
        <v>44003.0</v>
      </c>
      <c r="D391" s="278">
        <v>44032.0</v>
      </c>
      <c r="E391" s="271" t="s">
        <v>268</v>
      </c>
      <c r="F391" s="101" t="s">
        <v>4</v>
      </c>
      <c r="G391" s="101" t="s">
        <v>5</v>
      </c>
      <c r="H391" s="114" t="s">
        <v>974</v>
      </c>
      <c r="I391" s="63">
        <v>50.0</v>
      </c>
      <c r="J391" s="74">
        <v>2566.0</v>
      </c>
      <c r="K391" s="271">
        <f t="shared" si="1"/>
        <v>128300</v>
      </c>
      <c r="L391" s="271">
        <v>50895.0</v>
      </c>
      <c r="M391" s="271">
        <v>-3650.0</v>
      </c>
      <c r="N391" s="275">
        <v>5322.09</v>
      </c>
      <c r="O391" s="60"/>
      <c r="P391" s="109">
        <v>5322.0</v>
      </c>
      <c r="Q391" s="271">
        <v>-141.0</v>
      </c>
      <c r="R391" s="276">
        <v>-0.00244</v>
      </c>
      <c r="S391" s="271">
        <v>-454.0</v>
      </c>
      <c r="T391" s="271">
        <v>4868.0</v>
      </c>
      <c r="U391" s="62">
        <v>1.0</v>
      </c>
      <c r="V391" s="277">
        <v>0.0</v>
      </c>
      <c r="W391" s="277">
        <v>0.0</v>
      </c>
      <c r="X391" s="271">
        <v>4868.0</v>
      </c>
      <c r="Y391" s="271">
        <v>0.0</v>
      </c>
      <c r="Z391" s="50" t="b">
        <v>1</v>
      </c>
      <c r="AA391" s="50" t="s">
        <v>138</v>
      </c>
      <c r="AB391" s="50" t="s">
        <v>138</v>
      </c>
    </row>
    <row r="392">
      <c r="A392" s="101" t="s">
        <v>156</v>
      </c>
      <c r="B392" s="101" t="s">
        <v>156</v>
      </c>
      <c r="C392" s="278">
        <v>44003.0</v>
      </c>
      <c r="D392" s="278">
        <v>44032.0</v>
      </c>
      <c r="E392" s="271" t="s">
        <v>268</v>
      </c>
      <c r="F392" s="101" t="s">
        <v>4</v>
      </c>
      <c r="G392" s="101" t="s">
        <v>5</v>
      </c>
      <c r="H392" s="273" t="s">
        <v>966</v>
      </c>
      <c r="I392" s="63">
        <v>50.0</v>
      </c>
      <c r="J392" s="74">
        <v>1227.0</v>
      </c>
      <c r="K392" s="271">
        <f t="shared" si="1"/>
        <v>61350</v>
      </c>
      <c r="L392" s="271">
        <v>43365.0</v>
      </c>
      <c r="M392" s="271">
        <v>-4500.0</v>
      </c>
      <c r="N392" s="275">
        <v>2544.9</v>
      </c>
      <c r="O392" s="60"/>
      <c r="P392" s="109">
        <v>2545.0</v>
      </c>
      <c r="Q392" s="271">
        <v>195.0</v>
      </c>
      <c r="R392" s="276">
        <v>-0.00244</v>
      </c>
      <c r="S392" s="271">
        <v>45.0</v>
      </c>
      <c r="T392" s="271">
        <v>2590.0</v>
      </c>
      <c r="U392" s="62">
        <v>1.0</v>
      </c>
      <c r="V392" s="277">
        <v>0.0</v>
      </c>
      <c r="W392" s="277">
        <v>0.0</v>
      </c>
      <c r="X392" s="271">
        <v>2590.0</v>
      </c>
      <c r="Y392" s="271">
        <v>0.0</v>
      </c>
      <c r="Z392" s="50" t="b">
        <v>1</v>
      </c>
      <c r="AA392" s="50" t="s">
        <v>138</v>
      </c>
      <c r="AB392" s="50" t="s">
        <v>138</v>
      </c>
    </row>
    <row r="393">
      <c r="A393" s="101" t="s">
        <v>156</v>
      </c>
      <c r="B393" s="101" t="s">
        <v>156</v>
      </c>
      <c r="C393" s="278">
        <v>44003.0</v>
      </c>
      <c r="D393" s="278">
        <v>44032.0</v>
      </c>
      <c r="E393" s="271" t="s">
        <v>268</v>
      </c>
      <c r="F393" s="101" t="s">
        <v>4</v>
      </c>
      <c r="G393" s="101" t="s">
        <v>5</v>
      </c>
      <c r="H393" s="114" t="s">
        <v>974</v>
      </c>
      <c r="I393" s="63">
        <v>50.0</v>
      </c>
      <c r="J393" s="74">
        <v>643.0</v>
      </c>
      <c r="K393" s="271">
        <f t="shared" si="1"/>
        <v>32150</v>
      </c>
      <c r="L393" s="271">
        <v>10673.0</v>
      </c>
      <c r="M393" s="271">
        <v>-2350.0</v>
      </c>
      <c r="N393" s="275">
        <v>1333.63</v>
      </c>
      <c r="O393" s="60"/>
      <c r="P393" s="109">
        <v>1334.0</v>
      </c>
      <c r="Q393" s="271">
        <v>-359.0</v>
      </c>
      <c r="R393" s="276">
        <v>-0.00244</v>
      </c>
      <c r="S393" s="271">
        <v>-438.0</v>
      </c>
      <c r="T393" s="271">
        <v>896.0</v>
      </c>
      <c r="U393" s="62">
        <v>1.0</v>
      </c>
      <c r="V393" s="277">
        <v>0.0</v>
      </c>
      <c r="W393" s="277">
        <v>0.0</v>
      </c>
      <c r="X393" s="271">
        <v>896.0</v>
      </c>
      <c r="Y393" s="271">
        <v>0.0</v>
      </c>
      <c r="Z393" s="50" t="b">
        <v>1</v>
      </c>
      <c r="AA393" s="50" t="s">
        <v>138</v>
      </c>
      <c r="AB393" s="50" t="s">
        <v>138</v>
      </c>
    </row>
    <row r="394">
      <c r="A394" s="101" t="s">
        <v>546</v>
      </c>
      <c r="B394" s="101" t="s">
        <v>546</v>
      </c>
      <c r="C394" s="278">
        <v>44003.0</v>
      </c>
      <c r="D394" s="278">
        <v>44032.0</v>
      </c>
      <c r="E394" s="271" t="s">
        <v>331</v>
      </c>
      <c r="F394" s="101" t="s">
        <v>4</v>
      </c>
      <c r="G394" s="101" t="s">
        <v>5</v>
      </c>
      <c r="H394" s="273" t="s">
        <v>85</v>
      </c>
      <c r="I394" s="63">
        <v>100.0</v>
      </c>
      <c r="J394" s="74">
        <v>426.0</v>
      </c>
      <c r="K394" s="271">
        <f t="shared" si="1"/>
        <v>42600</v>
      </c>
      <c r="L394" s="271">
        <v>1342.0</v>
      </c>
      <c r="M394" s="271">
        <v>-3000.0</v>
      </c>
      <c r="N394" s="275">
        <v>278.78</v>
      </c>
      <c r="O394" s="60"/>
      <c r="P394" s="50">
        <v>279.0</v>
      </c>
      <c r="Q394" s="271">
        <v>-2049.0</v>
      </c>
      <c r="R394" s="276">
        <v>-0.00244</v>
      </c>
      <c r="S394" s="271">
        <v>-2153.0</v>
      </c>
      <c r="T394" s="271">
        <v>-1874.0</v>
      </c>
      <c r="U394" s="62">
        <v>1.0</v>
      </c>
      <c r="V394" s="277">
        <v>0.18</v>
      </c>
      <c r="W394" s="277">
        <v>0.08</v>
      </c>
      <c r="X394" s="271">
        <v>-1387.0</v>
      </c>
      <c r="Y394" s="271">
        <v>-487.0</v>
      </c>
      <c r="Z394" s="50" t="b">
        <v>1</v>
      </c>
      <c r="AA394" s="50" t="s">
        <v>138</v>
      </c>
      <c r="AB394" s="50" t="s">
        <v>138</v>
      </c>
    </row>
    <row r="395">
      <c r="A395" s="101" t="s">
        <v>546</v>
      </c>
      <c r="B395" s="101" t="s">
        <v>546</v>
      </c>
      <c r="C395" s="278">
        <v>44003.0</v>
      </c>
      <c r="D395" s="278">
        <v>44032.0</v>
      </c>
      <c r="E395" s="271" t="s">
        <v>331</v>
      </c>
      <c r="F395" s="101" t="s">
        <v>4</v>
      </c>
      <c r="G395" s="101" t="s">
        <v>5</v>
      </c>
      <c r="H395" s="273" t="s">
        <v>954</v>
      </c>
      <c r="I395" s="63">
        <v>100.0</v>
      </c>
      <c r="J395" s="74">
        <v>1044.0</v>
      </c>
      <c r="K395" s="271">
        <f t="shared" si="1"/>
        <v>104400</v>
      </c>
      <c r="L395" s="271">
        <v>42112.0</v>
      </c>
      <c r="M395" s="271">
        <v>7100.0</v>
      </c>
      <c r="N395" s="275">
        <v>683.22</v>
      </c>
      <c r="O395" s="60"/>
      <c r="P395" s="50">
        <v>683.0</v>
      </c>
      <c r="Q395" s="271">
        <v>2319.0</v>
      </c>
      <c r="R395" s="276">
        <v>-0.00244</v>
      </c>
      <c r="S395" s="271">
        <v>2064.0</v>
      </c>
      <c r="T395" s="271">
        <v>2747.0</v>
      </c>
      <c r="U395" s="62">
        <v>1.0</v>
      </c>
      <c r="V395" s="277">
        <v>0.18</v>
      </c>
      <c r="W395" s="277">
        <v>0.08</v>
      </c>
      <c r="X395" s="271">
        <v>2033.0</v>
      </c>
      <c r="Y395" s="271">
        <v>714.0</v>
      </c>
      <c r="Z395" s="50" t="b">
        <v>1</v>
      </c>
      <c r="AA395" s="50" t="s">
        <v>138</v>
      </c>
      <c r="AB395" s="50" t="s">
        <v>138</v>
      </c>
    </row>
    <row r="396">
      <c r="A396" s="101" t="s">
        <v>216</v>
      </c>
      <c r="B396" s="101" t="s">
        <v>216</v>
      </c>
      <c r="C396" s="278">
        <v>44003.0</v>
      </c>
      <c r="D396" s="278">
        <v>44032.0</v>
      </c>
      <c r="E396" s="271" t="s">
        <v>268</v>
      </c>
      <c r="F396" s="138" t="s">
        <v>4</v>
      </c>
      <c r="G396" s="101" t="s">
        <v>5</v>
      </c>
      <c r="H396" s="273" t="s">
        <v>62</v>
      </c>
      <c r="I396" s="63">
        <v>25.0</v>
      </c>
      <c r="J396" s="74">
        <v>1.0</v>
      </c>
      <c r="K396" s="271">
        <f t="shared" si="1"/>
        <v>25</v>
      </c>
      <c r="L396" s="271">
        <v>842.0</v>
      </c>
      <c r="M396" s="271">
        <v>100.0</v>
      </c>
      <c r="N396" s="275">
        <v>0.23</v>
      </c>
      <c r="O396" s="60"/>
      <c r="P396" s="50">
        <v>0.0</v>
      </c>
      <c r="Q396" s="271">
        <v>37.0</v>
      </c>
      <c r="R396" s="276">
        <v>-0.00244</v>
      </c>
      <c r="S396" s="271">
        <v>37.0</v>
      </c>
      <c r="T396" s="271">
        <v>37.0</v>
      </c>
      <c r="U396" s="62">
        <v>1.0</v>
      </c>
      <c r="V396" s="277">
        <v>0.26</v>
      </c>
      <c r="W396" s="277">
        <v>0.0</v>
      </c>
      <c r="X396" s="271">
        <v>28.0</v>
      </c>
      <c r="Y396" s="271">
        <v>10.0</v>
      </c>
      <c r="Z396" s="50" t="b">
        <v>1</v>
      </c>
      <c r="AA396" s="50" t="s">
        <v>138</v>
      </c>
      <c r="AB396" s="50" t="s">
        <v>138</v>
      </c>
    </row>
    <row r="397">
      <c r="A397" s="101" t="s">
        <v>216</v>
      </c>
      <c r="B397" s="101" t="s">
        <v>216</v>
      </c>
      <c r="C397" s="278">
        <v>44003.0</v>
      </c>
      <c r="D397" s="278">
        <v>44032.0</v>
      </c>
      <c r="E397" s="271" t="s">
        <v>268</v>
      </c>
      <c r="F397" s="138" t="s">
        <v>4</v>
      </c>
      <c r="G397" s="101" t="s">
        <v>5</v>
      </c>
      <c r="H397" s="273" t="s">
        <v>966</v>
      </c>
      <c r="I397" s="63">
        <v>50.0</v>
      </c>
      <c r="J397" s="74">
        <v>435.0</v>
      </c>
      <c r="K397" s="271">
        <f t="shared" si="1"/>
        <v>21750</v>
      </c>
      <c r="L397" s="271">
        <v>-2675.0</v>
      </c>
      <c r="M397" s="271">
        <v>-2550.0</v>
      </c>
      <c r="N397" s="275">
        <v>195.93</v>
      </c>
      <c r="O397" s="60"/>
      <c r="P397" s="50">
        <v>196.0</v>
      </c>
      <c r="Q397" s="271">
        <v>-1778.0</v>
      </c>
      <c r="R397" s="276">
        <v>-0.00244</v>
      </c>
      <c r="S397" s="271">
        <v>-1831.0</v>
      </c>
      <c r="T397" s="271">
        <v>-1636.0</v>
      </c>
      <c r="U397" s="62">
        <v>1.0</v>
      </c>
      <c r="V397" s="277">
        <v>0.26</v>
      </c>
      <c r="W397" s="277">
        <v>0.0</v>
      </c>
      <c r="X397" s="271">
        <v>-1210.0</v>
      </c>
      <c r="Y397" s="271">
        <v>-425.0</v>
      </c>
      <c r="Z397" s="50" t="b">
        <v>1</v>
      </c>
      <c r="AA397" s="50" t="s">
        <v>138</v>
      </c>
      <c r="AB397" s="50" t="s">
        <v>138</v>
      </c>
    </row>
    <row r="398">
      <c r="A398" s="101" t="s">
        <v>216</v>
      </c>
      <c r="B398" s="101" t="s">
        <v>216</v>
      </c>
      <c r="C398" s="278">
        <v>44003.0</v>
      </c>
      <c r="D398" s="278">
        <v>44032.0</v>
      </c>
      <c r="E398" s="271" t="s">
        <v>268</v>
      </c>
      <c r="F398" s="138" t="s">
        <v>4</v>
      </c>
      <c r="G398" s="101" t="s">
        <v>5</v>
      </c>
      <c r="H398" s="273" t="s">
        <v>966</v>
      </c>
      <c r="I398" s="63">
        <v>50.0</v>
      </c>
      <c r="J398" s="74">
        <v>782.0</v>
      </c>
      <c r="K398" s="271">
        <f t="shared" si="1"/>
        <v>39100</v>
      </c>
      <c r="L398" s="271">
        <v>16565.0</v>
      </c>
      <c r="M398" s="271">
        <v>-1450.0</v>
      </c>
      <c r="N398" s="275">
        <v>352.22</v>
      </c>
      <c r="O398" s="60"/>
      <c r="P398" s="50">
        <v>352.0</v>
      </c>
      <c r="Q398" s="271">
        <v>-1208.0</v>
      </c>
      <c r="R398" s="276">
        <v>-0.00244</v>
      </c>
      <c r="S398" s="271">
        <v>-1303.0</v>
      </c>
      <c r="T398" s="271">
        <v>-951.0</v>
      </c>
      <c r="U398" s="62">
        <v>1.0</v>
      </c>
      <c r="V398" s="277">
        <v>0.26</v>
      </c>
      <c r="W398" s="277">
        <v>0.0</v>
      </c>
      <c r="X398" s="271">
        <v>-704.0</v>
      </c>
      <c r="Y398" s="271">
        <v>-247.0</v>
      </c>
      <c r="Z398" s="50" t="b">
        <v>1</v>
      </c>
      <c r="AA398" s="50" t="s">
        <v>138</v>
      </c>
      <c r="AB398" s="50" t="s">
        <v>138</v>
      </c>
    </row>
    <row r="399">
      <c r="A399" s="101" t="s">
        <v>216</v>
      </c>
      <c r="B399" s="101" t="s">
        <v>216</v>
      </c>
      <c r="C399" s="278">
        <v>44003.0</v>
      </c>
      <c r="D399" s="278">
        <v>44032.0</v>
      </c>
      <c r="E399" s="271" t="s">
        <v>268</v>
      </c>
      <c r="F399" s="138" t="s">
        <v>4</v>
      </c>
      <c r="G399" s="101" t="s">
        <v>5</v>
      </c>
      <c r="H399" s="273" t="s">
        <v>85</v>
      </c>
      <c r="I399" s="63">
        <v>100.0</v>
      </c>
      <c r="J399" s="74">
        <v>289.0</v>
      </c>
      <c r="K399" s="271">
        <f t="shared" si="1"/>
        <v>28900</v>
      </c>
      <c r="L399" s="271">
        <v>2308.0</v>
      </c>
      <c r="M399" s="271">
        <v>-2600.0</v>
      </c>
      <c r="N399" s="275">
        <v>216.95</v>
      </c>
      <c r="O399" s="60"/>
      <c r="P399" s="50">
        <v>217.0</v>
      </c>
      <c r="Q399" s="271">
        <v>-1308.0</v>
      </c>
      <c r="R399" s="276">
        <v>-0.00244</v>
      </c>
      <c r="S399" s="271">
        <v>-1379.0</v>
      </c>
      <c r="T399" s="271">
        <v>-1162.0</v>
      </c>
      <c r="U399" s="62">
        <v>1.0</v>
      </c>
      <c r="V399" s="277">
        <v>0.26</v>
      </c>
      <c r="W399" s="277">
        <v>0.0</v>
      </c>
      <c r="X399" s="271">
        <v>-860.0</v>
      </c>
      <c r="Y399" s="271">
        <v>-302.0</v>
      </c>
      <c r="Z399" s="50" t="b">
        <v>1</v>
      </c>
      <c r="AA399" s="50" t="s">
        <v>138</v>
      </c>
      <c r="AB399" s="50" t="s">
        <v>138</v>
      </c>
    </row>
    <row r="400">
      <c r="A400" s="101" t="s">
        <v>216</v>
      </c>
      <c r="B400" s="101" t="s">
        <v>216</v>
      </c>
      <c r="C400" s="278">
        <v>44003.0</v>
      </c>
      <c r="D400" s="278">
        <v>44032.0</v>
      </c>
      <c r="E400" s="271" t="s">
        <v>268</v>
      </c>
      <c r="F400" s="138" t="s">
        <v>4</v>
      </c>
      <c r="G400" s="101" t="s">
        <v>5</v>
      </c>
      <c r="H400" s="273" t="s">
        <v>954</v>
      </c>
      <c r="I400" s="63">
        <v>100.0</v>
      </c>
      <c r="J400" s="74">
        <v>258.0</v>
      </c>
      <c r="K400" s="271">
        <f t="shared" si="1"/>
        <v>25800</v>
      </c>
      <c r="L400" s="271">
        <v>11558.0</v>
      </c>
      <c r="M400" s="271">
        <v>-200.0</v>
      </c>
      <c r="N400" s="275">
        <v>193.68</v>
      </c>
      <c r="O400" s="60"/>
      <c r="P400" s="50">
        <v>194.0</v>
      </c>
      <c r="Q400" s="271">
        <v>622.0</v>
      </c>
      <c r="R400" s="276">
        <v>-0.00244</v>
      </c>
      <c r="S400" s="271">
        <v>559.0</v>
      </c>
      <c r="T400" s="271">
        <v>753.0</v>
      </c>
      <c r="U400" s="62">
        <v>1.0</v>
      </c>
      <c r="V400" s="277">
        <v>0.26</v>
      </c>
      <c r="W400" s="277">
        <v>0.0</v>
      </c>
      <c r="X400" s="271">
        <v>557.0</v>
      </c>
      <c r="Y400" s="271">
        <v>196.0</v>
      </c>
      <c r="Z400" s="50" t="b">
        <v>1</v>
      </c>
      <c r="AA400" s="50" t="s">
        <v>138</v>
      </c>
      <c r="AB400" s="50" t="s">
        <v>138</v>
      </c>
    </row>
    <row r="401">
      <c r="A401" s="101" t="s">
        <v>177</v>
      </c>
      <c r="B401" s="101" t="s">
        <v>177</v>
      </c>
      <c r="C401" s="278">
        <v>44013.0</v>
      </c>
      <c r="D401" s="278">
        <v>44043.0</v>
      </c>
      <c r="E401" s="271" t="s">
        <v>268</v>
      </c>
      <c r="F401" s="138" t="s">
        <v>8</v>
      </c>
      <c r="G401" s="280" t="s">
        <v>5</v>
      </c>
      <c r="H401" s="273" t="s">
        <v>86</v>
      </c>
      <c r="I401" s="274">
        <v>100.0</v>
      </c>
      <c r="J401" s="271">
        <v>38.0</v>
      </c>
      <c r="K401" s="271">
        <f t="shared" si="1"/>
        <v>3800</v>
      </c>
      <c r="L401" s="271">
        <v>561.0</v>
      </c>
      <c r="M401" s="271">
        <v>800.0</v>
      </c>
      <c r="N401" s="275">
        <v>21.0</v>
      </c>
      <c r="O401" s="60"/>
      <c r="P401" s="50">
        <v>21.0</v>
      </c>
      <c r="Q401" s="271">
        <v>-30.0</v>
      </c>
      <c r="R401" s="276">
        <v>7.77E-4</v>
      </c>
      <c r="S401" s="271">
        <v>-27.0</v>
      </c>
      <c r="T401" s="271">
        <v>-6.0</v>
      </c>
      <c r="U401" s="62">
        <v>1.0</v>
      </c>
      <c r="V401" s="277">
        <v>0.12</v>
      </c>
      <c r="W401" s="277">
        <v>0.0</v>
      </c>
      <c r="X401" s="271">
        <v>-5.0</v>
      </c>
      <c r="Y401" s="271">
        <v>-1.0</v>
      </c>
      <c r="Z401" s="50" t="b">
        <v>1</v>
      </c>
      <c r="AA401" s="50" t="s">
        <v>138</v>
      </c>
      <c r="AB401" s="50" t="s">
        <v>138</v>
      </c>
    </row>
    <row r="402">
      <c r="A402" s="101" t="s">
        <v>177</v>
      </c>
      <c r="B402" s="101" t="s">
        <v>177</v>
      </c>
      <c r="C402" s="278">
        <v>44013.0</v>
      </c>
      <c r="D402" s="278">
        <v>44043.0</v>
      </c>
      <c r="E402" s="271" t="s">
        <v>268</v>
      </c>
      <c r="F402" s="138" t="s">
        <v>8</v>
      </c>
      <c r="G402" s="280" t="s">
        <v>5</v>
      </c>
      <c r="H402" s="114" t="s">
        <v>974</v>
      </c>
      <c r="I402" s="274">
        <v>50.0</v>
      </c>
      <c r="J402" s="271">
        <v>177.0</v>
      </c>
      <c r="K402" s="271">
        <f t="shared" si="1"/>
        <v>8850</v>
      </c>
      <c r="L402" s="271">
        <v>2575.0</v>
      </c>
      <c r="M402" s="271">
        <v>-400.0</v>
      </c>
      <c r="N402" s="275">
        <v>45.0</v>
      </c>
      <c r="O402" s="60"/>
      <c r="P402" s="50">
        <v>45.0</v>
      </c>
      <c r="Q402" s="271">
        <v>-165.0</v>
      </c>
      <c r="R402" s="276">
        <v>0.002291</v>
      </c>
      <c r="S402" s="271">
        <v>-145.0</v>
      </c>
      <c r="T402" s="271">
        <v>-100.0</v>
      </c>
      <c r="U402" s="62">
        <v>1.0</v>
      </c>
      <c r="V402" s="277">
        <v>0.12</v>
      </c>
      <c r="W402" s="277">
        <v>0.0</v>
      </c>
      <c r="X402" s="271">
        <v>-88.0</v>
      </c>
      <c r="Y402" s="271">
        <v>-12.0</v>
      </c>
      <c r="Z402" s="50" t="b">
        <v>1</v>
      </c>
      <c r="AA402" s="50" t="s">
        <v>138</v>
      </c>
      <c r="AB402" s="50" t="s">
        <v>138</v>
      </c>
    </row>
    <row r="403">
      <c r="A403" s="101" t="s">
        <v>177</v>
      </c>
      <c r="B403" s="101" t="s">
        <v>177</v>
      </c>
      <c r="C403" s="278">
        <v>44013.0</v>
      </c>
      <c r="D403" s="278">
        <v>44043.0</v>
      </c>
      <c r="E403" s="271" t="s">
        <v>268</v>
      </c>
      <c r="F403" s="138" t="s">
        <v>8</v>
      </c>
      <c r="G403" s="280" t="s">
        <v>5</v>
      </c>
      <c r="H403" s="273" t="s">
        <v>85</v>
      </c>
      <c r="I403" s="274">
        <v>100.0</v>
      </c>
      <c r="J403" s="271">
        <v>2432.0</v>
      </c>
      <c r="K403" s="271">
        <f t="shared" si="1"/>
        <v>243200</v>
      </c>
      <c r="L403" s="271">
        <v>110506.0</v>
      </c>
      <c r="M403" s="271">
        <v>9100.0</v>
      </c>
      <c r="N403" s="275">
        <v>1029.0</v>
      </c>
      <c r="O403" s="60"/>
      <c r="P403" s="109">
        <v>1029.0</v>
      </c>
      <c r="Q403" s="271">
        <v>7644.0</v>
      </c>
      <c r="R403" s="276">
        <v>0.002453</v>
      </c>
      <c r="S403" s="271">
        <v>8241.0</v>
      </c>
      <c r="T403" s="271">
        <v>9270.0</v>
      </c>
      <c r="U403" s="62">
        <v>1.0</v>
      </c>
      <c r="V403" s="277">
        <v>0.12</v>
      </c>
      <c r="W403" s="277">
        <v>0.0</v>
      </c>
      <c r="X403" s="271">
        <v>8158.0</v>
      </c>
      <c r="Y403" s="271">
        <v>1112.0</v>
      </c>
      <c r="Z403" s="50" t="b">
        <v>1</v>
      </c>
      <c r="AA403" s="50" t="s">
        <v>138</v>
      </c>
      <c r="AB403" s="50" t="s">
        <v>138</v>
      </c>
    </row>
    <row r="404">
      <c r="A404" s="101" t="s">
        <v>177</v>
      </c>
      <c r="B404" s="101" t="s">
        <v>177</v>
      </c>
      <c r="C404" s="278">
        <v>44013.0</v>
      </c>
      <c r="D404" s="278">
        <v>44043.0</v>
      </c>
      <c r="E404" s="271" t="s">
        <v>268</v>
      </c>
      <c r="F404" s="138" t="s">
        <v>12</v>
      </c>
      <c r="G404" s="280" t="s">
        <v>5</v>
      </c>
      <c r="H404" s="273" t="s">
        <v>966</v>
      </c>
      <c r="I404" s="274">
        <v>50.0</v>
      </c>
      <c r="J404" s="271">
        <v>18.0</v>
      </c>
      <c r="K404" s="271">
        <f t="shared" si="1"/>
        <v>900</v>
      </c>
      <c r="L404" s="271"/>
      <c r="M404" s="271">
        <v>450.0</v>
      </c>
      <c r="N404" s="275">
        <v>5.0</v>
      </c>
      <c r="O404" s="60"/>
      <c r="P404" s="50">
        <v>5.0</v>
      </c>
      <c r="Q404" s="271"/>
      <c r="R404" s="276">
        <v>0.0</v>
      </c>
      <c r="S404" s="271"/>
      <c r="T404" s="271">
        <v>455.0</v>
      </c>
      <c r="U404" s="62">
        <v>1.0</v>
      </c>
      <c r="V404" s="277">
        <v>0.12</v>
      </c>
      <c r="W404" s="277">
        <v>0.0</v>
      </c>
      <c r="X404" s="271">
        <v>400.0</v>
      </c>
      <c r="Y404" s="271">
        <v>55.0</v>
      </c>
      <c r="Z404" s="50" t="b">
        <v>1</v>
      </c>
      <c r="AA404" s="50" t="s">
        <v>138</v>
      </c>
      <c r="AB404" s="50" t="s">
        <v>138</v>
      </c>
    </row>
    <row r="405">
      <c r="A405" s="101" t="s">
        <v>345</v>
      </c>
      <c r="B405" s="101" t="s">
        <v>981</v>
      </c>
      <c r="C405" s="278">
        <v>44013.0</v>
      </c>
      <c r="D405" s="278">
        <v>44043.0</v>
      </c>
      <c r="E405" s="271" t="s">
        <v>268</v>
      </c>
      <c r="F405" s="138" t="s">
        <v>4</v>
      </c>
      <c r="G405" s="271" t="s">
        <v>16</v>
      </c>
      <c r="H405" s="273" t="s">
        <v>60</v>
      </c>
      <c r="I405" s="274">
        <v>20.0</v>
      </c>
      <c r="J405" s="271">
        <v>23.0</v>
      </c>
      <c r="K405" s="271">
        <f t="shared" si="1"/>
        <v>460</v>
      </c>
      <c r="L405" s="271">
        <v>135.0</v>
      </c>
      <c r="M405" s="271">
        <v>-80.0</v>
      </c>
      <c r="N405" s="275">
        <v>880.0</v>
      </c>
      <c r="O405" s="60"/>
      <c r="P405" s="50">
        <v>880.0</v>
      </c>
      <c r="Q405" s="271">
        <v>-21.0</v>
      </c>
      <c r="R405" s="276">
        <v>-0.0029</v>
      </c>
      <c r="S405" s="271">
        <v>-22.0</v>
      </c>
      <c r="T405" s="271">
        <v>858.0</v>
      </c>
      <c r="U405" s="62">
        <v>1.0</v>
      </c>
      <c r="V405" s="277">
        <v>0.125</v>
      </c>
      <c r="W405" s="277">
        <v>0.0</v>
      </c>
      <c r="X405" s="271">
        <v>750.0</v>
      </c>
      <c r="Y405" s="271">
        <v>107.0</v>
      </c>
      <c r="Z405" s="50" t="b">
        <v>1</v>
      </c>
      <c r="AA405" s="50" t="s">
        <v>138</v>
      </c>
      <c r="AB405" s="50" t="s">
        <v>138</v>
      </c>
    </row>
    <row r="406">
      <c r="A406" s="101" t="s">
        <v>345</v>
      </c>
      <c r="B406" s="101" t="s">
        <v>981</v>
      </c>
      <c r="C406" s="278">
        <v>44013.0</v>
      </c>
      <c r="D406" s="278">
        <v>44043.0</v>
      </c>
      <c r="E406" s="271" t="s">
        <v>268</v>
      </c>
      <c r="F406" s="138" t="s">
        <v>4</v>
      </c>
      <c r="G406" s="271" t="s">
        <v>16</v>
      </c>
      <c r="H406" s="273" t="s">
        <v>85</v>
      </c>
      <c r="I406" s="274">
        <v>100.0</v>
      </c>
      <c r="J406" s="271">
        <v>2085.0</v>
      </c>
      <c r="K406" s="271">
        <f t="shared" si="1"/>
        <v>208500</v>
      </c>
      <c r="L406" s="271">
        <v>60046.0</v>
      </c>
      <c r="M406" s="271">
        <v>-5200.0</v>
      </c>
      <c r="N406" s="275">
        <v>6320.0</v>
      </c>
      <c r="O406" s="60"/>
      <c r="P406" s="109">
        <v>6320.0</v>
      </c>
      <c r="Q406" s="271">
        <v>85.0</v>
      </c>
      <c r="R406" s="276">
        <v>-0.0029</v>
      </c>
      <c r="S406" s="271">
        <v>-519.0</v>
      </c>
      <c r="T406" s="271">
        <v>5801.0</v>
      </c>
      <c r="U406" s="62">
        <v>1.0</v>
      </c>
      <c r="V406" s="277">
        <v>0.125</v>
      </c>
      <c r="W406" s="277">
        <v>0.0</v>
      </c>
      <c r="X406" s="271">
        <v>5076.0</v>
      </c>
      <c r="Y406" s="271">
        <v>725.0</v>
      </c>
      <c r="Z406" s="50" t="b">
        <v>1</v>
      </c>
      <c r="AA406" s="50" t="s">
        <v>138</v>
      </c>
      <c r="AB406" s="50" t="s">
        <v>138</v>
      </c>
    </row>
    <row r="407">
      <c r="A407" s="101" t="s">
        <v>345</v>
      </c>
      <c r="B407" s="101" t="s">
        <v>981</v>
      </c>
      <c r="C407" s="278">
        <v>44013.0</v>
      </c>
      <c r="D407" s="278">
        <v>44043.0</v>
      </c>
      <c r="E407" s="271" t="s">
        <v>268</v>
      </c>
      <c r="F407" s="138" t="s">
        <v>4</v>
      </c>
      <c r="G407" s="271" t="s">
        <v>16</v>
      </c>
      <c r="H407" s="273" t="s">
        <v>59</v>
      </c>
      <c r="I407" s="274">
        <v>20.0</v>
      </c>
      <c r="J407" s="271">
        <v>2.0</v>
      </c>
      <c r="K407" s="271">
        <f t="shared" si="1"/>
        <v>40</v>
      </c>
      <c r="L407" s="271">
        <v>-144.0</v>
      </c>
      <c r="M407" s="271">
        <v>0.0</v>
      </c>
      <c r="N407" s="275">
        <v>40.0</v>
      </c>
      <c r="O407" s="60"/>
      <c r="P407" s="50">
        <v>40.0</v>
      </c>
      <c r="Q407" s="271">
        <v>-8.0</v>
      </c>
      <c r="R407" s="276">
        <v>-0.0029</v>
      </c>
      <c r="S407" s="271">
        <v>-8.0</v>
      </c>
      <c r="T407" s="271">
        <v>32.0</v>
      </c>
      <c r="U407" s="62">
        <v>1.0</v>
      </c>
      <c r="V407" s="277">
        <v>0.125</v>
      </c>
      <c r="W407" s="277">
        <v>0.0</v>
      </c>
      <c r="X407" s="271">
        <v>28.0</v>
      </c>
      <c r="Y407" s="271">
        <v>4.0</v>
      </c>
      <c r="Z407" s="50" t="b">
        <v>1</v>
      </c>
      <c r="AA407" s="50" t="s">
        <v>138</v>
      </c>
      <c r="AB407" s="50" t="s">
        <v>138</v>
      </c>
    </row>
    <row r="408">
      <c r="A408" s="101" t="s">
        <v>345</v>
      </c>
      <c r="B408" s="101" t="s">
        <v>981</v>
      </c>
      <c r="C408" s="278">
        <v>44013.0</v>
      </c>
      <c r="D408" s="278">
        <v>44043.0</v>
      </c>
      <c r="E408" s="271" t="s">
        <v>268</v>
      </c>
      <c r="F408" s="138" t="s">
        <v>4</v>
      </c>
      <c r="G408" s="271" t="s">
        <v>16</v>
      </c>
      <c r="H408" s="273" t="s">
        <v>96</v>
      </c>
      <c r="I408" s="274">
        <v>250.0</v>
      </c>
      <c r="J408" s="271">
        <v>393.0</v>
      </c>
      <c r="K408" s="271">
        <f t="shared" si="1"/>
        <v>98250</v>
      </c>
      <c r="L408" s="271">
        <v>-373.0</v>
      </c>
      <c r="M408" s="271">
        <v>-10000.0</v>
      </c>
      <c r="N408" s="275">
        <v>300.0</v>
      </c>
      <c r="O408" s="60"/>
      <c r="P408" s="50">
        <v>300.0</v>
      </c>
      <c r="Q408" s="271">
        <v>-4266.0</v>
      </c>
      <c r="R408" s="276">
        <v>-0.0029</v>
      </c>
      <c r="S408" s="271">
        <v>-4551.0</v>
      </c>
      <c r="T408" s="271">
        <v>-4251.0</v>
      </c>
      <c r="U408" s="62">
        <v>1.0</v>
      </c>
      <c r="V408" s="277">
        <v>0.125</v>
      </c>
      <c r="W408" s="277">
        <v>0.0</v>
      </c>
      <c r="X408" s="271">
        <v>-3719.0</v>
      </c>
      <c r="Y408" s="271">
        <v>-531.0</v>
      </c>
      <c r="Z408" s="50" t="b">
        <v>1</v>
      </c>
      <c r="AA408" s="50" t="s">
        <v>138</v>
      </c>
      <c r="AB408" s="50" t="s">
        <v>138</v>
      </c>
    </row>
    <row r="409">
      <c r="A409" s="101" t="s">
        <v>345</v>
      </c>
      <c r="B409" s="101" t="s">
        <v>981</v>
      </c>
      <c r="C409" s="278">
        <v>44013.0</v>
      </c>
      <c r="D409" s="278">
        <v>44043.0</v>
      </c>
      <c r="E409" s="271" t="s">
        <v>268</v>
      </c>
      <c r="F409" s="138" t="s">
        <v>4</v>
      </c>
      <c r="G409" s="271" t="s">
        <v>16</v>
      </c>
      <c r="H409" s="273" t="s">
        <v>74</v>
      </c>
      <c r="I409" s="274">
        <v>50.0</v>
      </c>
      <c r="J409" s="271">
        <v>347.0</v>
      </c>
      <c r="K409" s="271">
        <f t="shared" si="1"/>
        <v>17350</v>
      </c>
      <c r="L409" s="271">
        <v>6942.0</v>
      </c>
      <c r="M409" s="271">
        <v>-600.0</v>
      </c>
      <c r="N409" s="275">
        <v>1500.0</v>
      </c>
      <c r="O409" s="60"/>
      <c r="P409" s="109">
        <v>1500.0</v>
      </c>
      <c r="Q409" s="271">
        <v>-281.0</v>
      </c>
      <c r="R409" s="276">
        <v>-0.0029</v>
      </c>
      <c r="S409" s="271">
        <v>-331.0</v>
      </c>
      <c r="T409" s="271">
        <v>1169.0</v>
      </c>
      <c r="U409" s="62">
        <v>1.0</v>
      </c>
      <c r="V409" s="277">
        <v>0.125</v>
      </c>
      <c r="W409" s="277">
        <v>0.0</v>
      </c>
      <c r="X409" s="271">
        <v>1022.0</v>
      </c>
      <c r="Y409" s="271">
        <v>146.0</v>
      </c>
      <c r="Z409" s="50" t="b">
        <v>1</v>
      </c>
      <c r="AA409" s="50" t="s">
        <v>138</v>
      </c>
      <c r="AB409" s="50" t="s">
        <v>138</v>
      </c>
    </row>
    <row r="410">
      <c r="A410" s="101" t="s">
        <v>459</v>
      </c>
      <c r="B410" s="101" t="s">
        <v>912</v>
      </c>
      <c r="C410" s="278">
        <v>44013.0</v>
      </c>
      <c r="D410" s="278">
        <v>44043.0</v>
      </c>
      <c r="E410" s="271" t="s">
        <v>331</v>
      </c>
      <c r="F410" s="138" t="s">
        <v>8</v>
      </c>
      <c r="G410" s="280" t="s">
        <v>9</v>
      </c>
      <c r="H410" s="273" t="s">
        <v>68</v>
      </c>
      <c r="I410" s="274">
        <v>25.0</v>
      </c>
      <c r="J410" s="271">
        <v>4132.0</v>
      </c>
      <c r="K410" s="271">
        <f t="shared" si="1"/>
        <v>103300</v>
      </c>
      <c r="L410" s="271">
        <v>196744.0</v>
      </c>
      <c r="M410" s="271">
        <v>-250.0</v>
      </c>
      <c r="N410" s="275">
        <f>75+75+25+25+25+50+25+25+25+25+100+25+25+25+25+50+1000+500+100+50+100</f>
        <v>2375</v>
      </c>
      <c r="O410" s="60"/>
      <c r="P410" s="109">
        <v>2375.0</v>
      </c>
      <c r="Q410" s="271">
        <v>-250.0</v>
      </c>
      <c r="R410" s="276">
        <v>0.004148</v>
      </c>
      <c r="S410" s="271">
        <v>178.0</v>
      </c>
      <c r="T410" s="271">
        <v>2553.0</v>
      </c>
      <c r="U410" s="62">
        <v>1.0</v>
      </c>
      <c r="V410" s="277">
        <v>0.21</v>
      </c>
      <c r="W410" s="277">
        <v>0.11</v>
      </c>
      <c r="X410" s="271">
        <v>1736.0</v>
      </c>
      <c r="Y410" s="271">
        <v>817.0</v>
      </c>
      <c r="Z410" s="50" t="b">
        <v>1</v>
      </c>
      <c r="AA410" s="50" t="s">
        <v>140</v>
      </c>
      <c r="AB410" s="50" t="s">
        <v>140</v>
      </c>
    </row>
    <row r="411">
      <c r="A411" s="101" t="s">
        <v>267</v>
      </c>
      <c r="B411" s="101" t="s">
        <v>267</v>
      </c>
      <c r="C411" s="278">
        <v>44033.0</v>
      </c>
      <c r="D411" s="278">
        <v>44063.0</v>
      </c>
      <c r="E411" s="271" t="s">
        <v>268</v>
      </c>
      <c r="F411" s="138" t="s">
        <v>4</v>
      </c>
      <c r="G411" s="101" t="s">
        <v>5</v>
      </c>
      <c r="H411" s="273" t="s">
        <v>37</v>
      </c>
      <c r="I411" s="63">
        <v>5.0</v>
      </c>
      <c r="J411" s="74">
        <v>204.0</v>
      </c>
      <c r="K411" s="271">
        <f t="shared" si="1"/>
        <v>1020</v>
      </c>
      <c r="L411" s="271">
        <v>12475.0</v>
      </c>
      <c r="M411" s="271">
        <v>300.0</v>
      </c>
      <c r="N411" s="275">
        <v>4.0</v>
      </c>
      <c r="O411" s="60"/>
      <c r="P411" s="50">
        <v>4.0</v>
      </c>
      <c r="Q411" s="271">
        <v>115.0</v>
      </c>
      <c r="R411" s="276">
        <v>-0.0029</v>
      </c>
      <c r="S411" s="271">
        <v>112.0</v>
      </c>
      <c r="T411" s="271">
        <v>116.0</v>
      </c>
      <c r="U411" s="62">
        <v>1.0</v>
      </c>
      <c r="V411" s="277">
        <v>0.25</v>
      </c>
      <c r="W411" s="277">
        <v>0.0</v>
      </c>
      <c r="X411" s="271">
        <v>87.0</v>
      </c>
      <c r="Y411" s="271">
        <v>29.0</v>
      </c>
      <c r="Z411" s="50" t="b">
        <v>1</v>
      </c>
      <c r="AA411" s="50" t="s">
        <v>138</v>
      </c>
      <c r="AB411" s="50" t="s">
        <v>138</v>
      </c>
    </row>
    <row r="412">
      <c r="A412" s="101" t="s">
        <v>267</v>
      </c>
      <c r="B412" s="101" t="s">
        <v>267</v>
      </c>
      <c r="C412" s="278">
        <v>44033.0</v>
      </c>
      <c r="D412" s="278">
        <v>44063.0</v>
      </c>
      <c r="E412" s="271" t="s">
        <v>268</v>
      </c>
      <c r="F412" s="138" t="s">
        <v>4</v>
      </c>
      <c r="G412" s="101" t="s">
        <v>5</v>
      </c>
      <c r="H412" s="273" t="s">
        <v>972</v>
      </c>
      <c r="I412" s="63">
        <v>5.0</v>
      </c>
      <c r="J412" s="74">
        <v>2.0</v>
      </c>
      <c r="K412" s="271">
        <f t="shared" si="1"/>
        <v>10</v>
      </c>
      <c r="L412" s="271">
        <v>-180.0</v>
      </c>
      <c r="M412" s="271">
        <v>15.0</v>
      </c>
      <c r="N412" s="275"/>
      <c r="O412" s="60"/>
      <c r="P412" s="101"/>
      <c r="Q412" s="271">
        <v>-4.0</v>
      </c>
      <c r="R412" s="276">
        <v>-0.0029</v>
      </c>
      <c r="S412" s="271">
        <v>-4.0</v>
      </c>
      <c r="T412" s="271">
        <v>-4.0</v>
      </c>
      <c r="U412" s="62">
        <v>1.0</v>
      </c>
      <c r="V412" s="277">
        <v>0.25</v>
      </c>
      <c r="W412" s="277">
        <v>0.0</v>
      </c>
      <c r="X412" s="271">
        <v>-3.0</v>
      </c>
      <c r="Y412" s="271">
        <v>-1.0</v>
      </c>
      <c r="Z412" s="50" t="b">
        <v>1</v>
      </c>
      <c r="AA412" s="50" t="s">
        <v>138</v>
      </c>
      <c r="AB412" s="50" t="s">
        <v>138</v>
      </c>
    </row>
    <row r="413">
      <c r="A413" s="101" t="s">
        <v>267</v>
      </c>
      <c r="B413" s="101" t="s">
        <v>267</v>
      </c>
      <c r="C413" s="278">
        <v>44033.0</v>
      </c>
      <c r="D413" s="278">
        <v>44063.0</v>
      </c>
      <c r="E413" s="271" t="s">
        <v>268</v>
      </c>
      <c r="F413" s="138" t="s">
        <v>4</v>
      </c>
      <c r="G413" s="101" t="s">
        <v>5</v>
      </c>
      <c r="H413" s="114" t="s">
        <v>982</v>
      </c>
      <c r="I413" s="63">
        <v>10.0</v>
      </c>
      <c r="J413" s="74">
        <v>428.0</v>
      </c>
      <c r="K413" s="271">
        <f t="shared" si="1"/>
        <v>4280</v>
      </c>
      <c r="L413" s="271">
        <v>8461.0</v>
      </c>
      <c r="M413" s="271">
        <v>-470.0</v>
      </c>
      <c r="N413" s="275">
        <v>19.0</v>
      </c>
      <c r="O413" s="60"/>
      <c r="P413" s="50">
        <v>19.0</v>
      </c>
      <c r="Q413" s="271">
        <v>-102.0</v>
      </c>
      <c r="R413" s="276">
        <v>-0.0029</v>
      </c>
      <c r="S413" s="271">
        <v>-114.0</v>
      </c>
      <c r="T413" s="271">
        <v>-95.0</v>
      </c>
      <c r="U413" s="62">
        <v>1.0</v>
      </c>
      <c r="V413" s="277">
        <v>0.25</v>
      </c>
      <c r="W413" s="277">
        <v>0.0</v>
      </c>
      <c r="X413" s="271">
        <v>-71.0</v>
      </c>
      <c r="Y413" s="271">
        <v>-24.0</v>
      </c>
      <c r="Z413" s="50" t="b">
        <v>1</v>
      </c>
      <c r="AA413" s="50" t="s">
        <v>138</v>
      </c>
      <c r="AB413" s="50" t="s">
        <v>138</v>
      </c>
    </row>
    <row r="414">
      <c r="A414" s="101" t="s">
        <v>267</v>
      </c>
      <c r="B414" s="101" t="s">
        <v>267</v>
      </c>
      <c r="C414" s="278">
        <v>44033.0</v>
      </c>
      <c r="D414" s="278">
        <v>44063.0</v>
      </c>
      <c r="E414" s="271" t="s">
        <v>268</v>
      </c>
      <c r="F414" s="138" t="s">
        <v>4</v>
      </c>
      <c r="G414" s="101" t="s">
        <v>5</v>
      </c>
      <c r="H414" s="114" t="s">
        <v>62</v>
      </c>
      <c r="I414" s="63">
        <v>25.0</v>
      </c>
      <c r="J414" s="74">
        <v>597.0</v>
      </c>
      <c r="K414" s="271">
        <f t="shared" si="1"/>
        <v>14925</v>
      </c>
      <c r="L414" s="271">
        <v>40400.0</v>
      </c>
      <c r="M414" s="271">
        <v>1025.0</v>
      </c>
      <c r="N414" s="275">
        <v>50.0</v>
      </c>
      <c r="O414" s="60"/>
      <c r="P414" s="50">
        <v>50.0</v>
      </c>
      <c r="Q414" s="271">
        <v>918.0</v>
      </c>
      <c r="R414" s="276">
        <v>-0.0029</v>
      </c>
      <c r="S414" s="271">
        <v>874.0</v>
      </c>
      <c r="T414" s="271">
        <v>924.0</v>
      </c>
      <c r="U414" s="62">
        <v>1.0</v>
      </c>
      <c r="V414" s="277">
        <v>0.25</v>
      </c>
      <c r="W414" s="277">
        <v>0.0</v>
      </c>
      <c r="X414" s="271">
        <v>693.0</v>
      </c>
      <c r="Y414" s="271">
        <v>231.0</v>
      </c>
      <c r="Z414" s="50" t="b">
        <v>1</v>
      </c>
      <c r="AA414" s="50" t="s">
        <v>138</v>
      </c>
      <c r="AB414" s="50" t="s">
        <v>138</v>
      </c>
    </row>
    <row r="415">
      <c r="A415" s="101" t="s">
        <v>267</v>
      </c>
      <c r="B415" s="101" t="s">
        <v>267</v>
      </c>
      <c r="C415" s="278">
        <v>44033.0</v>
      </c>
      <c r="D415" s="278">
        <v>44063.0</v>
      </c>
      <c r="E415" s="271" t="s">
        <v>268</v>
      </c>
      <c r="F415" s="138" t="s">
        <v>4</v>
      </c>
      <c r="G415" s="101" t="s">
        <v>5</v>
      </c>
      <c r="H415" s="114" t="s">
        <v>63</v>
      </c>
      <c r="I415" s="63">
        <v>25.0</v>
      </c>
      <c r="J415" s="74">
        <v>1158.0</v>
      </c>
      <c r="K415" s="271">
        <f t="shared" si="1"/>
        <v>28950</v>
      </c>
      <c r="L415" s="271">
        <v>36242.0</v>
      </c>
      <c r="M415" s="271">
        <v>950.0</v>
      </c>
      <c r="N415" s="275">
        <v>97.0</v>
      </c>
      <c r="O415" s="60"/>
      <c r="P415" s="50">
        <v>97.0</v>
      </c>
      <c r="Q415" s="271">
        <v>947.0</v>
      </c>
      <c r="R415" s="276">
        <v>-0.0029</v>
      </c>
      <c r="S415" s="271">
        <v>863.0</v>
      </c>
      <c r="T415" s="271">
        <v>960.0</v>
      </c>
      <c r="U415" s="62">
        <v>1.0</v>
      </c>
      <c r="V415" s="277">
        <v>0.25</v>
      </c>
      <c r="W415" s="277">
        <v>0.0</v>
      </c>
      <c r="X415" s="271">
        <v>720.0</v>
      </c>
      <c r="Y415" s="271">
        <v>240.0</v>
      </c>
      <c r="Z415" s="50" t="b">
        <v>1</v>
      </c>
      <c r="AA415" s="50" t="s">
        <v>138</v>
      </c>
      <c r="AB415" s="50" t="s">
        <v>138</v>
      </c>
    </row>
    <row r="416">
      <c r="A416" s="101" t="s">
        <v>267</v>
      </c>
      <c r="B416" s="101" t="s">
        <v>267</v>
      </c>
      <c r="C416" s="278">
        <v>44033.0</v>
      </c>
      <c r="D416" s="278">
        <v>44063.0</v>
      </c>
      <c r="E416" s="271" t="s">
        <v>268</v>
      </c>
      <c r="F416" s="138" t="s">
        <v>4</v>
      </c>
      <c r="G416" s="101" t="s">
        <v>5</v>
      </c>
      <c r="H416" s="273" t="s">
        <v>966</v>
      </c>
      <c r="I416" s="63">
        <v>50.0</v>
      </c>
      <c r="J416" s="74">
        <v>511.0</v>
      </c>
      <c r="K416" s="271">
        <f t="shared" si="1"/>
        <v>25550</v>
      </c>
      <c r="L416" s="271">
        <v>7133.0</v>
      </c>
      <c r="M416" s="271">
        <v>4750.0</v>
      </c>
      <c r="N416" s="275">
        <v>85.0</v>
      </c>
      <c r="O416" s="60"/>
      <c r="P416" s="50">
        <v>85.0</v>
      </c>
      <c r="Q416" s="271">
        <v>-969.0</v>
      </c>
      <c r="R416" s="276">
        <v>-0.0029</v>
      </c>
      <c r="S416" s="271">
        <v>-1043.0</v>
      </c>
      <c r="T416" s="271">
        <v>-958.0</v>
      </c>
      <c r="U416" s="62">
        <v>1.0</v>
      </c>
      <c r="V416" s="277">
        <v>0.25</v>
      </c>
      <c r="W416" s="277">
        <v>0.0</v>
      </c>
      <c r="X416" s="271">
        <v>-718.0</v>
      </c>
      <c r="Y416" s="271">
        <v>-239.0</v>
      </c>
      <c r="Z416" s="50" t="b">
        <v>1</v>
      </c>
      <c r="AA416" s="50" t="s">
        <v>138</v>
      </c>
      <c r="AB416" s="50" t="s">
        <v>138</v>
      </c>
    </row>
    <row r="417">
      <c r="A417" s="101" t="s">
        <v>267</v>
      </c>
      <c r="B417" s="101" t="s">
        <v>267</v>
      </c>
      <c r="C417" s="278">
        <v>44033.0</v>
      </c>
      <c r="D417" s="278">
        <v>44063.0</v>
      </c>
      <c r="E417" s="271" t="s">
        <v>268</v>
      </c>
      <c r="F417" s="138" t="s">
        <v>4</v>
      </c>
      <c r="G417" s="101" t="s">
        <v>5</v>
      </c>
      <c r="H417" s="114" t="s">
        <v>974</v>
      </c>
      <c r="I417" s="63">
        <v>50.0</v>
      </c>
      <c r="J417" s="74">
        <v>163.0</v>
      </c>
      <c r="K417" s="271">
        <f t="shared" si="1"/>
        <v>8150</v>
      </c>
      <c r="L417" s="271">
        <v>4237.0</v>
      </c>
      <c r="M417" s="271">
        <v>-1000.0</v>
      </c>
      <c r="N417" s="275">
        <v>27.0</v>
      </c>
      <c r="O417" s="60"/>
      <c r="P417" s="50">
        <v>27.0</v>
      </c>
      <c r="Q417" s="271">
        <v>138.0</v>
      </c>
      <c r="R417" s="276">
        <v>-0.0029</v>
      </c>
      <c r="S417" s="271">
        <v>115.0</v>
      </c>
      <c r="T417" s="271">
        <v>142.0</v>
      </c>
      <c r="U417" s="62">
        <v>1.0</v>
      </c>
      <c r="V417" s="277">
        <v>0.25</v>
      </c>
      <c r="W417" s="277">
        <v>0.0</v>
      </c>
      <c r="X417" s="271">
        <v>106.0</v>
      </c>
      <c r="Y417" s="271">
        <v>35.0</v>
      </c>
      <c r="Z417" s="50" t="b">
        <v>1</v>
      </c>
      <c r="AA417" s="50" t="s">
        <v>138</v>
      </c>
      <c r="AB417" s="50" t="s">
        <v>138</v>
      </c>
    </row>
    <row r="418">
      <c r="A418" s="101" t="s">
        <v>148</v>
      </c>
      <c r="B418" s="101" t="s">
        <v>148</v>
      </c>
      <c r="C418" s="278">
        <v>44033.0</v>
      </c>
      <c r="D418" s="278">
        <v>44063.0</v>
      </c>
      <c r="E418" s="271" t="s">
        <v>331</v>
      </c>
      <c r="F418" s="138" t="s">
        <v>4</v>
      </c>
      <c r="G418" s="101" t="s">
        <v>5</v>
      </c>
      <c r="H418" s="273" t="s">
        <v>62</v>
      </c>
      <c r="I418" s="63">
        <v>25.0</v>
      </c>
      <c r="J418" s="74">
        <v>616.0</v>
      </c>
      <c r="K418" s="271">
        <f t="shared" si="1"/>
        <v>15400</v>
      </c>
      <c r="L418" s="280">
        <v>16073.0</v>
      </c>
      <c r="M418" s="280">
        <v>650.0</v>
      </c>
      <c r="N418" s="275">
        <v>186.0</v>
      </c>
      <c r="O418" s="60"/>
      <c r="P418" s="50">
        <v>186.0</v>
      </c>
      <c r="Q418" s="280">
        <v>-240.0</v>
      </c>
      <c r="R418" s="276">
        <v>-0.0029</v>
      </c>
      <c r="S418" s="280">
        <v>-285.0</v>
      </c>
      <c r="T418" s="280">
        <v>-99.0</v>
      </c>
      <c r="U418" s="62">
        <v>1.0</v>
      </c>
      <c r="V418" s="277">
        <v>0.25</v>
      </c>
      <c r="W418" s="277">
        <v>0.1</v>
      </c>
      <c r="X418" s="280">
        <v>-64.0</v>
      </c>
      <c r="Y418" s="280">
        <v>-35.0</v>
      </c>
      <c r="Z418" s="50" t="b">
        <v>1</v>
      </c>
      <c r="AA418" s="50" t="s">
        <v>138</v>
      </c>
      <c r="AB418" s="50" t="s">
        <v>138</v>
      </c>
    </row>
    <row r="419">
      <c r="A419" s="101" t="s">
        <v>148</v>
      </c>
      <c r="B419" s="101" t="s">
        <v>148</v>
      </c>
      <c r="C419" s="278">
        <v>44033.0</v>
      </c>
      <c r="D419" s="278">
        <v>44063.0</v>
      </c>
      <c r="E419" s="271" t="s">
        <v>331</v>
      </c>
      <c r="F419" s="138" t="s">
        <v>4</v>
      </c>
      <c r="G419" s="101" t="s">
        <v>5</v>
      </c>
      <c r="H419" s="273" t="s">
        <v>966</v>
      </c>
      <c r="I419" s="63">
        <v>50.0</v>
      </c>
      <c r="J419" s="74">
        <v>2085.0</v>
      </c>
      <c r="K419" s="271">
        <f t="shared" si="1"/>
        <v>104250</v>
      </c>
      <c r="L419" s="280">
        <v>119907.0</v>
      </c>
      <c r="M419" s="280">
        <v>7150.0</v>
      </c>
      <c r="N419" s="275">
        <v>1260.0</v>
      </c>
      <c r="O419" s="60"/>
      <c r="P419" s="109">
        <v>1260.0</v>
      </c>
      <c r="Q419" s="280">
        <v>4535.0</v>
      </c>
      <c r="R419" s="276">
        <v>-0.0029</v>
      </c>
      <c r="S419" s="280">
        <v>4233.0</v>
      </c>
      <c r="T419" s="280">
        <v>5493.0</v>
      </c>
      <c r="U419" s="62">
        <v>1.0</v>
      </c>
      <c r="V419" s="277">
        <v>0.25</v>
      </c>
      <c r="W419" s="277">
        <v>0.1</v>
      </c>
      <c r="X419" s="280">
        <v>3570.0</v>
      </c>
      <c r="Y419" s="280">
        <v>1922.0</v>
      </c>
      <c r="Z419" s="50" t="b">
        <v>1</v>
      </c>
      <c r="AA419" s="50" t="s">
        <v>138</v>
      </c>
      <c r="AB419" s="50" t="s">
        <v>138</v>
      </c>
    </row>
    <row r="420">
      <c r="A420" s="101" t="s">
        <v>182</v>
      </c>
      <c r="B420" s="101" t="s">
        <v>182</v>
      </c>
      <c r="C420" s="278">
        <v>44033.0</v>
      </c>
      <c r="D420" s="278">
        <v>44063.0</v>
      </c>
      <c r="E420" s="271" t="s">
        <v>268</v>
      </c>
      <c r="F420" s="138" t="s">
        <v>4</v>
      </c>
      <c r="G420" s="101" t="s">
        <v>5</v>
      </c>
      <c r="H420" s="273" t="s">
        <v>34</v>
      </c>
      <c r="I420" s="63">
        <v>5.0</v>
      </c>
      <c r="J420" s="74">
        <v>5.0</v>
      </c>
      <c r="K420" s="271">
        <f t="shared" si="1"/>
        <v>25</v>
      </c>
      <c r="L420" s="280">
        <v>-158.0</v>
      </c>
      <c r="M420" s="280">
        <v>-10.0</v>
      </c>
      <c r="N420" s="275"/>
      <c r="O420" s="60"/>
      <c r="P420" s="101"/>
      <c r="Q420" s="280">
        <v>-3.0</v>
      </c>
      <c r="R420" s="276">
        <v>-0.0029</v>
      </c>
      <c r="S420" s="280">
        <v>-3.0</v>
      </c>
      <c r="T420" s="280">
        <v>-3.0</v>
      </c>
      <c r="U420" s="62">
        <v>1.0</v>
      </c>
      <c r="V420" s="277">
        <v>0.2</v>
      </c>
      <c r="W420" s="277">
        <v>0.0</v>
      </c>
      <c r="X420" s="280">
        <v>-3.0</v>
      </c>
      <c r="Y420" s="280">
        <v>-1.0</v>
      </c>
      <c r="Z420" s="50" t="b">
        <v>1</v>
      </c>
      <c r="AA420" s="50" t="s">
        <v>138</v>
      </c>
      <c r="AB420" s="50" t="s">
        <v>138</v>
      </c>
    </row>
    <row r="421">
      <c r="A421" s="101" t="s">
        <v>182</v>
      </c>
      <c r="B421" s="101" t="s">
        <v>182</v>
      </c>
      <c r="C421" s="278">
        <v>44033.0</v>
      </c>
      <c r="D421" s="278">
        <v>44063.0</v>
      </c>
      <c r="E421" s="271" t="s">
        <v>268</v>
      </c>
      <c r="F421" s="138" t="s">
        <v>4</v>
      </c>
      <c r="G421" s="101" t="s">
        <v>5</v>
      </c>
      <c r="H421" s="273" t="s">
        <v>47</v>
      </c>
      <c r="I421" s="63">
        <v>10.0</v>
      </c>
      <c r="J421" s="74">
        <v>1071.0</v>
      </c>
      <c r="K421" s="271">
        <f t="shared" si="1"/>
        <v>10710</v>
      </c>
      <c r="L421" s="280">
        <v>55028.0</v>
      </c>
      <c r="M421" s="280">
        <v>330.0</v>
      </c>
      <c r="N421" s="275">
        <v>89.0</v>
      </c>
      <c r="O421" s="60"/>
      <c r="P421" s="50">
        <v>89.0</v>
      </c>
      <c r="Q421" s="280">
        <v>2.0</v>
      </c>
      <c r="R421" s="276">
        <v>-0.0029</v>
      </c>
      <c r="S421" s="280">
        <v>-29.0</v>
      </c>
      <c r="T421" s="280">
        <v>60.0</v>
      </c>
      <c r="U421" s="62">
        <v>1.0</v>
      </c>
      <c r="V421" s="277">
        <v>0.2</v>
      </c>
      <c r="W421" s="277">
        <v>0.0</v>
      </c>
      <c r="X421" s="280">
        <v>48.0</v>
      </c>
      <c r="Y421" s="280">
        <v>12.0</v>
      </c>
      <c r="Z421" s="50" t="b">
        <v>1</v>
      </c>
      <c r="AA421" s="50" t="s">
        <v>138</v>
      </c>
      <c r="AB421" s="50" t="s">
        <v>138</v>
      </c>
    </row>
    <row r="422">
      <c r="A422" s="101" t="s">
        <v>182</v>
      </c>
      <c r="B422" s="101" t="s">
        <v>182</v>
      </c>
      <c r="C422" s="278">
        <v>44033.0</v>
      </c>
      <c r="D422" s="278">
        <v>44063.0</v>
      </c>
      <c r="E422" s="271" t="s">
        <v>268</v>
      </c>
      <c r="F422" s="138" t="s">
        <v>4</v>
      </c>
      <c r="G422" s="101" t="s">
        <v>5</v>
      </c>
      <c r="H422" s="273" t="s">
        <v>62</v>
      </c>
      <c r="I422" s="63">
        <v>25.0</v>
      </c>
      <c r="J422" s="74">
        <v>346.0</v>
      </c>
      <c r="K422" s="271">
        <f t="shared" si="1"/>
        <v>8650</v>
      </c>
      <c r="L422" s="280">
        <v>7810.0</v>
      </c>
      <c r="M422" s="280">
        <v>-375.0</v>
      </c>
      <c r="N422" s="275">
        <v>54.0</v>
      </c>
      <c r="O422" s="60"/>
      <c r="P422" s="50">
        <v>54.0</v>
      </c>
      <c r="Q422" s="280">
        <v>-255.0</v>
      </c>
      <c r="R422" s="276">
        <v>-0.0029</v>
      </c>
      <c r="S422" s="280">
        <v>-280.0</v>
      </c>
      <c r="T422" s="280">
        <v>-226.0</v>
      </c>
      <c r="U422" s="62">
        <v>1.0</v>
      </c>
      <c r="V422" s="277">
        <v>0.2</v>
      </c>
      <c r="W422" s="277">
        <v>0.0</v>
      </c>
      <c r="X422" s="280">
        <v>-181.0</v>
      </c>
      <c r="Y422" s="280">
        <v>-45.0</v>
      </c>
      <c r="Z422" s="50" t="b">
        <v>1</v>
      </c>
      <c r="AA422" s="50" t="s">
        <v>138</v>
      </c>
      <c r="AB422" s="50" t="s">
        <v>138</v>
      </c>
    </row>
    <row r="423">
      <c r="A423" s="101" t="s">
        <v>199</v>
      </c>
      <c r="B423" s="101" t="s">
        <v>199</v>
      </c>
      <c r="C423" s="278">
        <v>44033.0</v>
      </c>
      <c r="D423" s="278">
        <v>44063.0</v>
      </c>
      <c r="E423" s="271" t="s">
        <v>268</v>
      </c>
      <c r="F423" s="138" t="s">
        <v>4</v>
      </c>
      <c r="G423" s="101" t="s">
        <v>5</v>
      </c>
      <c r="H423" s="273" t="s">
        <v>34</v>
      </c>
      <c r="I423" s="63">
        <v>5.0</v>
      </c>
      <c r="J423" s="74">
        <v>47.0</v>
      </c>
      <c r="K423" s="271">
        <f t="shared" si="1"/>
        <v>235</v>
      </c>
      <c r="L423" s="280">
        <v>6212.0</v>
      </c>
      <c r="M423" s="280">
        <v>25.0</v>
      </c>
      <c r="N423" s="275"/>
      <c r="O423" s="60"/>
      <c r="P423" s="101"/>
      <c r="Q423" s="280">
        <v>40.0</v>
      </c>
      <c r="R423" s="276">
        <v>-0.0015</v>
      </c>
      <c r="S423" s="280">
        <v>39.0</v>
      </c>
      <c r="T423" s="280">
        <v>39.0</v>
      </c>
      <c r="U423" s="62">
        <v>1.0</v>
      </c>
      <c r="V423" s="277">
        <v>0.25</v>
      </c>
      <c r="W423" s="277">
        <v>0.0</v>
      </c>
      <c r="X423" s="280">
        <v>29.0</v>
      </c>
      <c r="Y423" s="280">
        <v>10.0</v>
      </c>
      <c r="Z423" s="50" t="b">
        <v>1</v>
      </c>
      <c r="AA423" s="50" t="s">
        <v>138</v>
      </c>
      <c r="AB423" s="50" t="s">
        <v>138</v>
      </c>
    </row>
    <row r="424">
      <c r="A424" s="101" t="s">
        <v>199</v>
      </c>
      <c r="B424" s="101" t="s">
        <v>199</v>
      </c>
      <c r="C424" s="278">
        <v>44033.0</v>
      </c>
      <c r="D424" s="278">
        <v>44063.0</v>
      </c>
      <c r="E424" s="271" t="s">
        <v>268</v>
      </c>
      <c r="F424" s="138" t="s">
        <v>4</v>
      </c>
      <c r="G424" s="101" t="s">
        <v>5</v>
      </c>
      <c r="H424" s="273" t="s">
        <v>47</v>
      </c>
      <c r="I424" s="63">
        <v>10.0</v>
      </c>
      <c r="J424" s="74">
        <v>1251.0</v>
      </c>
      <c r="K424" s="271">
        <f t="shared" si="1"/>
        <v>12510</v>
      </c>
      <c r="L424" s="280">
        <v>55353.0</v>
      </c>
      <c r="M424" s="280">
        <v>360.0</v>
      </c>
      <c r="N424" s="275"/>
      <c r="O424" s="60"/>
      <c r="P424" s="101"/>
      <c r="Q424" s="280">
        <v>-38.0</v>
      </c>
      <c r="R424" s="276">
        <v>-0.0015</v>
      </c>
      <c r="S424" s="280">
        <v>-57.0</v>
      </c>
      <c r="T424" s="280">
        <v>-57.0</v>
      </c>
      <c r="U424" s="62">
        <v>1.0</v>
      </c>
      <c r="V424" s="277">
        <v>0.25</v>
      </c>
      <c r="W424" s="277">
        <v>0.0</v>
      </c>
      <c r="X424" s="280">
        <v>-43.0</v>
      </c>
      <c r="Y424" s="280">
        <v>-14.0</v>
      </c>
      <c r="Z424" s="50" t="b">
        <v>1</v>
      </c>
      <c r="AA424" s="50" t="s">
        <v>138</v>
      </c>
      <c r="AB424" s="50" t="s">
        <v>138</v>
      </c>
    </row>
    <row r="425">
      <c r="A425" s="101" t="s">
        <v>546</v>
      </c>
      <c r="B425" s="101" t="s">
        <v>546</v>
      </c>
      <c r="C425" s="278">
        <v>44033.0</v>
      </c>
      <c r="D425" s="278">
        <v>44063.0</v>
      </c>
      <c r="E425" s="271" t="s">
        <v>331</v>
      </c>
      <c r="F425" s="101" t="s">
        <v>4</v>
      </c>
      <c r="G425" s="101" t="s">
        <v>5</v>
      </c>
      <c r="H425" s="114" t="s">
        <v>85</v>
      </c>
      <c r="I425" s="63">
        <v>100.0</v>
      </c>
      <c r="J425" s="74">
        <v>2573.0</v>
      </c>
      <c r="K425" s="271">
        <f t="shared" si="1"/>
        <v>257300</v>
      </c>
      <c r="L425" s="271">
        <v>85625.0</v>
      </c>
      <c r="M425" s="271">
        <v>-5000.0</v>
      </c>
      <c r="N425" s="275">
        <v>2640.0</v>
      </c>
      <c r="O425" s="60"/>
      <c r="P425" s="109">
        <v>2640.0</v>
      </c>
      <c r="Q425" s="271">
        <v>2161.0</v>
      </c>
      <c r="R425" s="276">
        <v>-0.0029</v>
      </c>
      <c r="S425" s="271">
        <v>1415.0</v>
      </c>
      <c r="T425" s="271">
        <v>4055.0</v>
      </c>
      <c r="U425" s="62">
        <v>1.0</v>
      </c>
      <c r="V425" s="277">
        <v>0.18</v>
      </c>
      <c r="W425" s="277">
        <v>0.08</v>
      </c>
      <c r="X425" s="271">
        <v>3001.0</v>
      </c>
      <c r="Y425" s="271">
        <v>1054.0</v>
      </c>
      <c r="Z425" s="50" t="b">
        <v>1</v>
      </c>
      <c r="AA425" s="50" t="s">
        <v>138</v>
      </c>
      <c r="AB425" s="50" t="s">
        <v>138</v>
      </c>
    </row>
    <row r="426">
      <c r="A426" s="101" t="s">
        <v>216</v>
      </c>
      <c r="B426" s="101" t="s">
        <v>216</v>
      </c>
      <c r="C426" s="278">
        <v>44033.0</v>
      </c>
      <c r="D426" s="278">
        <v>44063.0</v>
      </c>
      <c r="E426" s="271" t="s">
        <v>268</v>
      </c>
      <c r="F426" s="138" t="s">
        <v>4</v>
      </c>
      <c r="G426" s="101" t="s">
        <v>5</v>
      </c>
      <c r="H426" s="273" t="s">
        <v>966</v>
      </c>
      <c r="I426" s="63">
        <v>50.0</v>
      </c>
      <c r="J426" s="74">
        <v>960.0</v>
      </c>
      <c r="K426" s="271">
        <f t="shared" si="1"/>
        <v>48000</v>
      </c>
      <c r="L426" s="271">
        <v>54411.0</v>
      </c>
      <c r="M426" s="271">
        <v>550.0</v>
      </c>
      <c r="N426" s="275">
        <v>718.0</v>
      </c>
      <c r="O426" s="60"/>
      <c r="P426" s="50">
        <v>718.0</v>
      </c>
      <c r="Q426" s="271">
        <v>1712.0</v>
      </c>
      <c r="R426" s="276">
        <v>-0.0029</v>
      </c>
      <c r="S426" s="271">
        <v>1573.0</v>
      </c>
      <c r="T426" s="271">
        <v>2291.0</v>
      </c>
      <c r="U426" s="62">
        <v>1.0</v>
      </c>
      <c r="V426" s="277">
        <v>0.26</v>
      </c>
      <c r="W426" s="277">
        <v>0.0</v>
      </c>
      <c r="X426" s="271">
        <v>1695.0</v>
      </c>
      <c r="Y426" s="271">
        <v>596.0</v>
      </c>
      <c r="Z426" s="50" t="b">
        <v>1</v>
      </c>
      <c r="AA426" s="50" t="s">
        <v>138</v>
      </c>
      <c r="AB426" s="50" t="s">
        <v>138</v>
      </c>
    </row>
    <row r="427">
      <c r="A427" s="101" t="s">
        <v>216</v>
      </c>
      <c r="B427" s="101" t="s">
        <v>216</v>
      </c>
      <c r="C427" s="278">
        <v>44033.0</v>
      </c>
      <c r="D427" s="278">
        <v>44063.0</v>
      </c>
      <c r="E427" s="271" t="s">
        <v>268</v>
      </c>
      <c r="F427" s="138" t="s">
        <v>4</v>
      </c>
      <c r="G427" s="101" t="s">
        <v>5</v>
      </c>
      <c r="H427" s="273" t="s">
        <v>85</v>
      </c>
      <c r="I427" s="63">
        <v>100.0</v>
      </c>
      <c r="J427" s="74">
        <v>825.0</v>
      </c>
      <c r="K427" s="271">
        <f t="shared" si="1"/>
        <v>82500</v>
      </c>
      <c r="L427" s="271">
        <v>32284.0</v>
      </c>
      <c r="M427" s="271">
        <v>-600.0</v>
      </c>
      <c r="N427" s="275">
        <v>1029.0</v>
      </c>
      <c r="O427" s="60"/>
      <c r="P427" s="109">
        <v>1029.0</v>
      </c>
      <c r="Q427" s="271">
        <v>1109.0</v>
      </c>
      <c r="R427" s="276">
        <v>-0.0029</v>
      </c>
      <c r="S427" s="271">
        <v>870.0</v>
      </c>
      <c r="T427" s="271">
        <v>1899.0</v>
      </c>
      <c r="U427" s="62">
        <v>1.0</v>
      </c>
      <c r="V427" s="277">
        <v>0.26</v>
      </c>
      <c r="W427" s="277">
        <v>0.0</v>
      </c>
      <c r="X427" s="271">
        <v>1405.0</v>
      </c>
      <c r="Y427" s="271">
        <v>494.0</v>
      </c>
      <c r="Z427" s="50" t="b">
        <v>1</v>
      </c>
      <c r="AA427" s="50" t="s">
        <v>138</v>
      </c>
      <c r="AB427" s="50" t="s">
        <v>138</v>
      </c>
    </row>
    <row r="428">
      <c r="A428" s="101" t="s">
        <v>216</v>
      </c>
      <c r="B428" s="101" t="s">
        <v>216</v>
      </c>
      <c r="C428" s="278">
        <v>44033.0</v>
      </c>
      <c r="D428" s="278">
        <v>44063.0</v>
      </c>
      <c r="E428" s="271" t="s">
        <v>268</v>
      </c>
      <c r="F428" s="138" t="s">
        <v>4</v>
      </c>
      <c r="G428" s="101" t="s">
        <v>5</v>
      </c>
      <c r="H428" s="273" t="s">
        <v>86</v>
      </c>
      <c r="I428" s="63">
        <v>100.0</v>
      </c>
      <c r="J428" s="74">
        <v>20.0</v>
      </c>
      <c r="K428" s="271">
        <f t="shared" si="1"/>
        <v>2000</v>
      </c>
      <c r="L428" s="271">
        <v>397.0</v>
      </c>
      <c r="M428" s="271">
        <v>-500.0</v>
      </c>
      <c r="N428" s="275">
        <v>25.0</v>
      </c>
      <c r="O428" s="60"/>
      <c r="P428" s="50">
        <v>25.0</v>
      </c>
      <c r="Q428" s="271">
        <v>5.0</v>
      </c>
      <c r="R428" s="276">
        <v>-0.0029</v>
      </c>
      <c r="S428" s="271">
        <v>-1.0</v>
      </c>
      <c r="T428" s="271">
        <v>24.0</v>
      </c>
      <c r="U428" s="62">
        <v>1.0</v>
      </c>
      <c r="V428" s="277">
        <v>0.26</v>
      </c>
      <c r="W428" s="277">
        <v>0.0</v>
      </c>
      <c r="X428" s="271">
        <v>18.0</v>
      </c>
      <c r="Y428" s="271">
        <v>6.0</v>
      </c>
      <c r="Z428" s="50" t="b">
        <v>1</v>
      </c>
      <c r="AA428" s="50" t="s">
        <v>138</v>
      </c>
      <c r="AB428" s="50" t="s">
        <v>138</v>
      </c>
    </row>
    <row r="429">
      <c r="A429" s="101" t="s">
        <v>177</v>
      </c>
      <c r="B429" s="101" t="s">
        <v>177</v>
      </c>
      <c r="C429" s="278">
        <v>44044.0</v>
      </c>
      <c r="D429" s="278">
        <v>44074.0</v>
      </c>
      <c r="E429" s="271" t="s">
        <v>268</v>
      </c>
      <c r="F429" s="138" t="s">
        <v>8</v>
      </c>
      <c r="G429" s="280" t="s">
        <v>5</v>
      </c>
      <c r="H429" s="273" t="s">
        <v>85</v>
      </c>
      <c r="I429" s="274">
        <v>100.0</v>
      </c>
      <c r="J429" s="271">
        <v>1900.0</v>
      </c>
      <c r="K429" s="271">
        <f t="shared" si="1"/>
        <v>190000</v>
      </c>
      <c r="L429" s="271">
        <v>65074.0</v>
      </c>
      <c r="M429" s="271">
        <v>2200.0</v>
      </c>
      <c r="N429" s="275">
        <v>2810.0</v>
      </c>
      <c r="O429" s="60"/>
      <c r="P429" s="109">
        <v>2810.0</v>
      </c>
      <c r="Q429" s="271">
        <v>1937.0</v>
      </c>
      <c r="R429" s="276">
        <v>-0.003604</v>
      </c>
      <c r="S429" s="271">
        <v>1252.0</v>
      </c>
      <c r="T429" s="271">
        <v>4062.0</v>
      </c>
      <c r="U429" s="62">
        <v>1.0</v>
      </c>
      <c r="V429" s="277">
        <v>0.12</v>
      </c>
      <c r="W429" s="277">
        <v>0.0</v>
      </c>
      <c r="X429" s="271">
        <v>3575.0</v>
      </c>
      <c r="Y429" s="271">
        <v>487.0</v>
      </c>
      <c r="Z429" s="50" t="b">
        <v>1</v>
      </c>
      <c r="AA429" s="50" t="s">
        <v>138</v>
      </c>
      <c r="AB429" s="50" t="s">
        <v>138</v>
      </c>
    </row>
    <row r="430">
      <c r="A430" s="101" t="s">
        <v>345</v>
      </c>
      <c r="B430" s="101" t="s">
        <v>981</v>
      </c>
      <c r="C430" s="278">
        <v>44044.0</v>
      </c>
      <c r="D430" s="278">
        <v>44074.0</v>
      </c>
      <c r="E430" s="271" t="s">
        <v>268</v>
      </c>
      <c r="F430" s="138" t="s">
        <v>4</v>
      </c>
      <c r="G430" s="271" t="s">
        <v>16</v>
      </c>
      <c r="H430" s="273" t="s">
        <v>85</v>
      </c>
      <c r="I430" s="274">
        <v>100.0</v>
      </c>
      <c r="J430" s="271">
        <v>2703.0</v>
      </c>
      <c r="K430" s="271">
        <f t="shared" si="1"/>
        <v>270300</v>
      </c>
      <c r="L430" s="271">
        <v>90352.0</v>
      </c>
      <c r="M430" s="271">
        <v>-3100.0</v>
      </c>
      <c r="N430" s="275">
        <v>7455.0</v>
      </c>
      <c r="O430" s="60"/>
      <c r="P430" s="109">
        <v>7455.0</v>
      </c>
      <c r="Q430" s="271">
        <v>2474.0</v>
      </c>
      <c r="R430" s="276">
        <v>0.00231</v>
      </c>
      <c r="S430" s="271">
        <v>3098.0</v>
      </c>
      <c r="T430" s="271">
        <v>10553.0</v>
      </c>
      <c r="U430" s="62">
        <v>1.0</v>
      </c>
      <c r="V430" s="277">
        <v>0.125</v>
      </c>
      <c r="W430" s="277">
        <v>0.0</v>
      </c>
      <c r="X430" s="271">
        <v>9234.0</v>
      </c>
      <c r="Y430" s="271">
        <v>1319.0</v>
      </c>
      <c r="Z430" s="50" t="b">
        <v>1</v>
      </c>
      <c r="AA430" s="50" t="s">
        <v>138</v>
      </c>
      <c r="AB430" s="50" t="s">
        <v>138</v>
      </c>
    </row>
    <row r="431">
      <c r="A431" s="101" t="s">
        <v>345</v>
      </c>
      <c r="B431" s="101" t="s">
        <v>981</v>
      </c>
      <c r="C431" s="278">
        <v>44044.0</v>
      </c>
      <c r="D431" s="278">
        <v>44074.0</v>
      </c>
      <c r="E431" s="271" t="s">
        <v>268</v>
      </c>
      <c r="F431" s="138" t="s">
        <v>4</v>
      </c>
      <c r="G431" s="271" t="s">
        <v>16</v>
      </c>
      <c r="H431" s="273" t="s">
        <v>59</v>
      </c>
      <c r="I431" s="274">
        <v>20.0</v>
      </c>
      <c r="J431" s="271">
        <v>5.0</v>
      </c>
      <c r="K431" s="271">
        <f t="shared" si="1"/>
        <v>100</v>
      </c>
      <c r="L431" s="271">
        <v>-380.0</v>
      </c>
      <c r="M431" s="271">
        <v>0.0</v>
      </c>
      <c r="N431" s="275">
        <v>3.32</v>
      </c>
      <c r="O431" s="60"/>
      <c r="P431" s="50">
        <v>3.0</v>
      </c>
      <c r="Q431" s="271">
        <v>-21.0</v>
      </c>
      <c r="R431" s="276">
        <v>0.00231</v>
      </c>
      <c r="S431" s="271">
        <v>-20.0</v>
      </c>
      <c r="T431" s="271">
        <v>-17.0</v>
      </c>
      <c r="U431" s="62">
        <v>1.0</v>
      </c>
      <c r="V431" s="277">
        <v>0.125</v>
      </c>
      <c r="W431" s="277">
        <v>0.0</v>
      </c>
      <c r="X431" s="271">
        <v>-15.0</v>
      </c>
      <c r="Y431" s="271">
        <v>-2.0</v>
      </c>
      <c r="Z431" s="50" t="b">
        <v>1</v>
      </c>
      <c r="AA431" s="50" t="s">
        <v>138</v>
      </c>
      <c r="AB431" s="50" t="s">
        <v>138</v>
      </c>
    </row>
    <row r="432">
      <c r="A432" s="101" t="s">
        <v>345</v>
      </c>
      <c r="B432" s="101" t="s">
        <v>981</v>
      </c>
      <c r="C432" s="278">
        <v>44044.0</v>
      </c>
      <c r="D432" s="278">
        <v>44074.0</v>
      </c>
      <c r="E432" s="271" t="s">
        <v>268</v>
      </c>
      <c r="F432" s="138" t="s">
        <v>4</v>
      </c>
      <c r="G432" s="271" t="s">
        <v>16</v>
      </c>
      <c r="H432" s="273" t="s">
        <v>60</v>
      </c>
      <c r="I432" s="274">
        <v>20.0</v>
      </c>
      <c r="J432" s="271">
        <v>229.0</v>
      </c>
      <c r="K432" s="271">
        <f t="shared" si="1"/>
        <v>4580</v>
      </c>
      <c r="L432" s="271">
        <v>326.0</v>
      </c>
      <c r="M432" s="271">
        <v>240.0</v>
      </c>
      <c r="N432" s="275">
        <v>152.08</v>
      </c>
      <c r="O432" s="60"/>
      <c r="P432" s="50">
        <v>152.0</v>
      </c>
      <c r="Q432" s="271">
        <v>-273.0</v>
      </c>
      <c r="R432" s="276">
        <v>0.00231</v>
      </c>
      <c r="S432" s="271">
        <v>-262.0</v>
      </c>
      <c r="T432" s="271">
        <v>-110.0</v>
      </c>
      <c r="U432" s="62">
        <v>1.0</v>
      </c>
      <c r="V432" s="277">
        <v>0.125</v>
      </c>
      <c r="W432" s="277">
        <v>0.0</v>
      </c>
      <c r="X432" s="271">
        <v>-96.0</v>
      </c>
      <c r="Y432" s="271">
        <v>-14.0</v>
      </c>
      <c r="Z432" s="50" t="b">
        <v>1</v>
      </c>
      <c r="AA432" s="50" t="s">
        <v>138</v>
      </c>
      <c r="AB432" s="50" t="s">
        <v>138</v>
      </c>
    </row>
    <row r="433">
      <c r="A433" s="101" t="s">
        <v>345</v>
      </c>
      <c r="B433" s="101" t="s">
        <v>981</v>
      </c>
      <c r="C433" s="278">
        <v>44044.0</v>
      </c>
      <c r="D433" s="278">
        <v>44074.0</v>
      </c>
      <c r="E433" s="271" t="s">
        <v>268</v>
      </c>
      <c r="F433" s="138" t="s">
        <v>4</v>
      </c>
      <c r="G433" s="271" t="s">
        <v>16</v>
      </c>
      <c r="H433" s="273" t="s">
        <v>96</v>
      </c>
      <c r="I433" s="274">
        <v>250.0</v>
      </c>
      <c r="J433" s="271">
        <v>147.0</v>
      </c>
      <c r="K433" s="271">
        <f t="shared" si="1"/>
        <v>36750</v>
      </c>
      <c r="L433" s="271">
        <v>-8093.0</v>
      </c>
      <c r="M433" s="271">
        <v>-9250.0</v>
      </c>
      <c r="N433" s="275">
        <v>813.54</v>
      </c>
      <c r="O433" s="60"/>
      <c r="P433" s="50">
        <v>814.0</v>
      </c>
      <c r="Q433" s="271">
        <v>-5402.0</v>
      </c>
      <c r="R433" s="276">
        <v>0.00231</v>
      </c>
      <c r="S433" s="271">
        <v>-5317.0</v>
      </c>
      <c r="T433" s="271">
        <v>-4503.0</v>
      </c>
      <c r="U433" s="62">
        <v>1.0</v>
      </c>
      <c r="V433" s="277">
        <v>0.125</v>
      </c>
      <c r="W433" s="277">
        <v>0.0</v>
      </c>
      <c r="X433" s="271">
        <v>-3940.0</v>
      </c>
      <c r="Y433" s="271">
        <v>-563.0</v>
      </c>
      <c r="Z433" s="50" t="b">
        <v>1</v>
      </c>
      <c r="AA433" s="50" t="s">
        <v>138</v>
      </c>
      <c r="AB433" s="50" t="s">
        <v>138</v>
      </c>
    </row>
    <row r="434">
      <c r="A434" s="101" t="s">
        <v>345</v>
      </c>
      <c r="B434" s="101" t="s">
        <v>981</v>
      </c>
      <c r="C434" s="278">
        <v>44044.0</v>
      </c>
      <c r="D434" s="278">
        <v>44074.0</v>
      </c>
      <c r="E434" s="271" t="s">
        <v>268</v>
      </c>
      <c r="F434" s="138" t="s">
        <v>4</v>
      </c>
      <c r="G434" s="271" t="s">
        <v>16</v>
      </c>
      <c r="H434" s="273" t="s">
        <v>74</v>
      </c>
      <c r="I434" s="274">
        <v>50.0</v>
      </c>
      <c r="J434" s="271">
        <v>301.0</v>
      </c>
      <c r="K434" s="271">
        <f t="shared" si="1"/>
        <v>15050</v>
      </c>
      <c r="L434" s="271">
        <v>15909.0</v>
      </c>
      <c r="M434" s="271">
        <v>1400.0</v>
      </c>
      <c r="N434" s="275">
        <v>416.46</v>
      </c>
      <c r="O434" s="60"/>
      <c r="P434" s="50">
        <v>416.0</v>
      </c>
      <c r="Q434" s="271">
        <v>690.0</v>
      </c>
      <c r="R434" s="276">
        <v>0.00231</v>
      </c>
      <c r="S434" s="271">
        <v>725.0</v>
      </c>
      <c r="T434" s="271">
        <v>1141.0</v>
      </c>
      <c r="U434" s="62">
        <v>1.0</v>
      </c>
      <c r="V434" s="277">
        <v>0.125</v>
      </c>
      <c r="W434" s="277">
        <v>0.0</v>
      </c>
      <c r="X434" s="271">
        <v>999.0</v>
      </c>
      <c r="Y434" s="271">
        <v>143.0</v>
      </c>
      <c r="Z434" s="50" t="b">
        <v>1</v>
      </c>
      <c r="AA434" s="50" t="s">
        <v>138</v>
      </c>
      <c r="AB434" s="50" t="s">
        <v>138</v>
      </c>
    </row>
    <row r="435">
      <c r="A435" s="101" t="s">
        <v>459</v>
      </c>
      <c r="B435" s="101" t="s">
        <v>912</v>
      </c>
      <c r="C435" s="278">
        <v>44044.0</v>
      </c>
      <c r="D435" s="278">
        <v>44074.0</v>
      </c>
      <c r="E435" s="271" t="s">
        <v>331</v>
      </c>
      <c r="F435" s="138" t="s">
        <v>8</v>
      </c>
      <c r="G435" s="280" t="s">
        <v>9</v>
      </c>
      <c r="H435" s="273" t="s">
        <v>68</v>
      </c>
      <c r="I435" s="274">
        <v>25.0</v>
      </c>
      <c r="J435" s="271">
        <v>2977.0</v>
      </c>
      <c r="K435" s="271">
        <f t="shared" si="1"/>
        <v>74425</v>
      </c>
      <c r="L435" s="271">
        <v>117375.0</v>
      </c>
      <c r="M435" s="271">
        <v>-950.0</v>
      </c>
      <c r="N435" s="275">
        <v>2045.0</v>
      </c>
      <c r="O435" s="60"/>
      <c r="P435" s="109">
        <v>2045.0</v>
      </c>
      <c r="Q435" s="271">
        <v>-1224.0</v>
      </c>
      <c r="R435" s="276">
        <v>-0.003511</v>
      </c>
      <c r="S435" s="271">
        <v>-1485.0</v>
      </c>
      <c r="T435" s="271">
        <v>560.0</v>
      </c>
      <c r="U435" s="62">
        <v>1.0</v>
      </c>
      <c r="V435" s="277">
        <v>0.21</v>
      </c>
      <c r="W435" s="277">
        <v>0.11</v>
      </c>
      <c r="X435" s="271">
        <v>381.0</v>
      </c>
      <c r="Y435" s="271">
        <v>179.0</v>
      </c>
      <c r="Z435" s="50" t="b">
        <v>1</v>
      </c>
      <c r="AA435" s="50" t="s">
        <v>140</v>
      </c>
      <c r="AB435" s="50" t="s">
        <v>140</v>
      </c>
    </row>
    <row r="436">
      <c r="A436" s="101" t="s">
        <v>345</v>
      </c>
      <c r="B436" s="101" t="s">
        <v>981</v>
      </c>
      <c r="C436" s="278">
        <v>44075.0</v>
      </c>
      <c r="D436" s="278">
        <v>44078.0</v>
      </c>
      <c r="E436" s="271" t="s">
        <v>268</v>
      </c>
      <c r="F436" s="138" t="s">
        <v>4</v>
      </c>
      <c r="G436" s="271" t="s">
        <v>16</v>
      </c>
      <c r="H436" s="273" t="s">
        <v>85</v>
      </c>
      <c r="I436" s="274">
        <v>100.0</v>
      </c>
      <c r="J436" s="271">
        <v>435.0</v>
      </c>
      <c r="K436" s="271">
        <f t="shared" si="1"/>
        <v>43500</v>
      </c>
      <c r="L436" s="271">
        <v>14651.0</v>
      </c>
      <c r="M436" s="271">
        <v>-300.0</v>
      </c>
      <c r="N436" s="275">
        <v>1538.69</v>
      </c>
      <c r="O436" s="60"/>
      <c r="P436" s="109">
        <v>1539.0</v>
      </c>
      <c r="Q436" s="271">
        <v>419.0</v>
      </c>
      <c r="R436" s="276">
        <v>-0.00102</v>
      </c>
      <c r="S436" s="271">
        <v>375.0</v>
      </c>
      <c r="T436" s="271">
        <v>1913.0</v>
      </c>
      <c r="U436" s="62">
        <v>1.0</v>
      </c>
      <c r="V436" s="277">
        <v>0.125</v>
      </c>
      <c r="W436" s="277">
        <v>0.0</v>
      </c>
      <c r="X436" s="271">
        <v>1674.0</v>
      </c>
      <c r="Y436" s="271">
        <v>239.0</v>
      </c>
      <c r="Z436" s="50" t="b">
        <v>1</v>
      </c>
      <c r="AA436" s="50" t="s">
        <v>138</v>
      </c>
      <c r="AB436" s="50" t="s">
        <v>138</v>
      </c>
    </row>
    <row r="437">
      <c r="A437" s="101" t="s">
        <v>345</v>
      </c>
      <c r="B437" s="101" t="s">
        <v>981</v>
      </c>
      <c r="C437" s="278">
        <v>44075.0</v>
      </c>
      <c r="D437" s="278">
        <v>44078.0</v>
      </c>
      <c r="E437" s="271" t="s">
        <v>268</v>
      </c>
      <c r="F437" s="138" t="s">
        <v>4</v>
      </c>
      <c r="G437" s="271" t="s">
        <v>16</v>
      </c>
      <c r="H437" s="273" t="s">
        <v>96</v>
      </c>
      <c r="I437" s="274">
        <v>250.0</v>
      </c>
      <c r="J437" s="271">
        <v>73.0</v>
      </c>
      <c r="K437" s="271">
        <f t="shared" si="1"/>
        <v>18250</v>
      </c>
      <c r="L437" s="271">
        <v>3692.0</v>
      </c>
      <c r="M437" s="271">
        <v>3250.0</v>
      </c>
      <c r="N437" s="275">
        <v>516.43</v>
      </c>
      <c r="O437" s="60"/>
      <c r="P437" s="50">
        <v>516.0</v>
      </c>
      <c r="Q437" s="271">
        <v>1008.0</v>
      </c>
      <c r="R437" s="276">
        <v>-0.00102</v>
      </c>
      <c r="S437" s="271">
        <v>989.0</v>
      </c>
      <c r="T437" s="271">
        <v>1505.0</v>
      </c>
      <c r="U437" s="62">
        <v>1.0</v>
      </c>
      <c r="V437" s="277">
        <v>0.125</v>
      </c>
      <c r="W437" s="277">
        <v>0.0</v>
      </c>
      <c r="X437" s="271">
        <v>1317.0</v>
      </c>
      <c r="Y437" s="271">
        <v>188.0</v>
      </c>
      <c r="Z437" s="50" t="b">
        <v>1</v>
      </c>
      <c r="AA437" s="50" t="s">
        <v>138</v>
      </c>
      <c r="AB437" s="50" t="s">
        <v>138</v>
      </c>
    </row>
    <row r="438">
      <c r="A438" s="101" t="s">
        <v>345</v>
      </c>
      <c r="B438" s="101" t="s">
        <v>981</v>
      </c>
      <c r="C438" s="278">
        <v>44075.0</v>
      </c>
      <c r="D438" s="278">
        <v>44078.0</v>
      </c>
      <c r="E438" s="271" t="s">
        <v>268</v>
      </c>
      <c r="F438" s="138" t="s">
        <v>4</v>
      </c>
      <c r="G438" s="271" t="s">
        <v>16</v>
      </c>
      <c r="H438" s="273" t="s">
        <v>74</v>
      </c>
      <c r="I438" s="274">
        <v>50.0</v>
      </c>
      <c r="J438" s="271">
        <v>45.0</v>
      </c>
      <c r="K438" s="271">
        <f t="shared" si="1"/>
        <v>2250</v>
      </c>
      <c r="L438" s="271">
        <v>4415.0</v>
      </c>
      <c r="M438" s="271">
        <v>1100.0</v>
      </c>
      <c r="N438" s="275">
        <v>79.59</v>
      </c>
      <c r="O438" s="60"/>
      <c r="P438" s="50">
        <v>80.0</v>
      </c>
      <c r="Q438" s="271">
        <v>296.0</v>
      </c>
      <c r="R438" s="276">
        <v>-0.00102</v>
      </c>
      <c r="S438" s="271">
        <v>293.0</v>
      </c>
      <c r="T438" s="271">
        <v>373.0</v>
      </c>
      <c r="U438" s="62">
        <v>1.0</v>
      </c>
      <c r="V438" s="277">
        <v>0.125</v>
      </c>
      <c r="W438" s="277">
        <v>0.0</v>
      </c>
      <c r="X438" s="271">
        <v>326.0</v>
      </c>
      <c r="Y438" s="271">
        <v>47.0</v>
      </c>
      <c r="Z438" s="50" t="b">
        <v>1</v>
      </c>
      <c r="AA438" s="50" t="s">
        <v>138</v>
      </c>
      <c r="AB438" s="50" t="s">
        <v>138</v>
      </c>
    </row>
    <row r="439">
      <c r="A439" s="101" t="s">
        <v>267</v>
      </c>
      <c r="B439" s="101" t="s">
        <v>267</v>
      </c>
      <c r="C439" s="278">
        <v>44064.0</v>
      </c>
      <c r="D439" s="278">
        <v>44094.0</v>
      </c>
      <c r="E439" s="271" t="s">
        <v>268</v>
      </c>
      <c r="F439" s="138" t="s">
        <v>4</v>
      </c>
      <c r="G439" s="101" t="s">
        <v>5</v>
      </c>
      <c r="H439" s="273" t="s">
        <v>37</v>
      </c>
      <c r="I439" s="63">
        <v>5.0</v>
      </c>
      <c r="J439" s="74">
        <v>141.0</v>
      </c>
      <c r="K439" s="271">
        <f t="shared" si="1"/>
        <v>705</v>
      </c>
      <c r="L439" s="271">
        <v>2891.0</v>
      </c>
      <c r="M439" s="271">
        <v>-45.0</v>
      </c>
      <c r="N439" s="275">
        <v>18.0</v>
      </c>
      <c r="O439" s="60"/>
      <c r="P439" s="50">
        <v>18.0</v>
      </c>
      <c r="Q439" s="271">
        <v>-8.0</v>
      </c>
      <c r="R439" s="276">
        <v>0.00231</v>
      </c>
      <c r="S439" s="271">
        <v>-6.0</v>
      </c>
      <c r="T439" s="271">
        <v>12.0</v>
      </c>
      <c r="U439" s="62">
        <v>1.0</v>
      </c>
      <c r="V439" s="277">
        <v>0.17</v>
      </c>
      <c r="W439" s="277">
        <v>0.0</v>
      </c>
      <c r="X439" s="271">
        <v>10.0</v>
      </c>
      <c r="Y439" s="271">
        <v>2.0</v>
      </c>
      <c r="Z439" s="50" t="b">
        <v>1</v>
      </c>
      <c r="AA439" s="50" t="s">
        <v>138</v>
      </c>
      <c r="AB439" s="50" t="s">
        <v>138</v>
      </c>
    </row>
    <row r="440">
      <c r="A440" s="101" t="s">
        <v>267</v>
      </c>
      <c r="B440" s="101" t="s">
        <v>267</v>
      </c>
      <c r="C440" s="278">
        <v>44064.0</v>
      </c>
      <c r="D440" s="278">
        <v>44094.0</v>
      </c>
      <c r="E440" s="271" t="s">
        <v>268</v>
      </c>
      <c r="F440" s="138" t="s">
        <v>4</v>
      </c>
      <c r="G440" s="101" t="s">
        <v>5</v>
      </c>
      <c r="H440" s="114" t="s">
        <v>982</v>
      </c>
      <c r="I440" s="63">
        <v>10.0</v>
      </c>
      <c r="J440" s="74">
        <v>205.0</v>
      </c>
      <c r="K440" s="271">
        <f t="shared" si="1"/>
        <v>2050</v>
      </c>
      <c r="L440" s="271">
        <v>4810.0</v>
      </c>
      <c r="M440" s="271">
        <v>-190.0</v>
      </c>
      <c r="N440" s="275">
        <v>70.0</v>
      </c>
      <c r="O440" s="60"/>
      <c r="P440" s="50">
        <v>70.0</v>
      </c>
      <c r="Q440" s="271">
        <v>-26.0</v>
      </c>
      <c r="R440" s="276">
        <v>0.00231</v>
      </c>
      <c r="S440" s="271">
        <v>-21.0</v>
      </c>
      <c r="T440" s="271">
        <v>49.0</v>
      </c>
      <c r="U440" s="62">
        <v>1.0</v>
      </c>
      <c r="V440" s="277">
        <v>0.17</v>
      </c>
      <c r="W440" s="277">
        <v>0.0</v>
      </c>
      <c r="X440" s="271">
        <v>41.0</v>
      </c>
      <c r="Y440" s="271">
        <v>8.0</v>
      </c>
      <c r="Z440" s="50" t="b">
        <v>1</v>
      </c>
      <c r="AA440" s="50" t="s">
        <v>138</v>
      </c>
      <c r="AB440" s="50" t="s">
        <v>138</v>
      </c>
    </row>
    <row r="441">
      <c r="A441" s="101" t="s">
        <v>267</v>
      </c>
      <c r="B441" s="101" t="s">
        <v>267</v>
      </c>
      <c r="C441" s="278">
        <v>44064.0</v>
      </c>
      <c r="D441" s="278">
        <v>44094.0</v>
      </c>
      <c r="E441" s="271" t="s">
        <v>268</v>
      </c>
      <c r="F441" s="138" t="s">
        <v>4</v>
      </c>
      <c r="G441" s="101" t="s">
        <v>5</v>
      </c>
      <c r="H441" s="114" t="s">
        <v>982</v>
      </c>
      <c r="I441" s="63">
        <v>10.0</v>
      </c>
      <c r="J441" s="74">
        <v>77.0</v>
      </c>
      <c r="K441" s="271">
        <f t="shared" si="1"/>
        <v>770</v>
      </c>
      <c r="L441" s="271">
        <v>1953.0</v>
      </c>
      <c r="M441" s="271">
        <v>-110.0</v>
      </c>
      <c r="N441" s="275">
        <v>13.0</v>
      </c>
      <c r="O441" s="60"/>
      <c r="P441" s="50">
        <v>13.0</v>
      </c>
      <c r="Q441" s="271">
        <v>-5.0</v>
      </c>
      <c r="R441" s="276">
        <v>0.00231</v>
      </c>
      <c r="S441" s="271">
        <v>-3.0</v>
      </c>
      <c r="T441" s="271">
        <v>10.0</v>
      </c>
      <c r="U441" s="62">
        <v>1.0</v>
      </c>
      <c r="V441" s="277">
        <v>0.17</v>
      </c>
      <c r="W441" s="277">
        <v>0.0</v>
      </c>
      <c r="X441" s="271">
        <v>8.0</v>
      </c>
      <c r="Y441" s="271">
        <v>2.0</v>
      </c>
      <c r="Z441" s="50" t="b">
        <v>1</v>
      </c>
      <c r="AA441" s="50" t="s">
        <v>138</v>
      </c>
      <c r="AB441" s="50" t="s">
        <v>138</v>
      </c>
    </row>
    <row r="442">
      <c r="A442" s="101" t="s">
        <v>267</v>
      </c>
      <c r="B442" s="101" t="s">
        <v>267</v>
      </c>
      <c r="C442" s="278">
        <v>44064.0</v>
      </c>
      <c r="D442" s="278">
        <v>44094.0</v>
      </c>
      <c r="E442" s="271" t="s">
        <v>268</v>
      </c>
      <c r="F442" s="138" t="s">
        <v>4</v>
      </c>
      <c r="G442" s="101" t="s">
        <v>5</v>
      </c>
      <c r="H442" s="114" t="s">
        <v>62</v>
      </c>
      <c r="I442" s="63">
        <v>25.0</v>
      </c>
      <c r="J442" s="74">
        <v>320.0</v>
      </c>
      <c r="K442" s="271">
        <f t="shared" si="1"/>
        <v>8000</v>
      </c>
      <c r="L442" s="271">
        <v>19233.0</v>
      </c>
      <c r="M442" s="271">
        <v>-125.0</v>
      </c>
      <c r="N442" s="275">
        <v>177.0</v>
      </c>
      <c r="O442" s="60"/>
      <c r="P442" s="50">
        <v>177.0</v>
      </c>
      <c r="Q442" s="271">
        <v>380.0</v>
      </c>
      <c r="R442" s="276">
        <v>0.00231</v>
      </c>
      <c r="S442" s="271">
        <v>398.0</v>
      </c>
      <c r="T442" s="271">
        <v>575.0</v>
      </c>
      <c r="U442" s="62">
        <v>1.0</v>
      </c>
      <c r="V442" s="277">
        <v>0.17</v>
      </c>
      <c r="W442" s="277">
        <v>0.0</v>
      </c>
      <c r="X442" s="271">
        <v>477.0</v>
      </c>
      <c r="Y442" s="271">
        <v>98.0</v>
      </c>
      <c r="Z442" s="50" t="b">
        <v>1</v>
      </c>
      <c r="AA442" s="50" t="s">
        <v>138</v>
      </c>
      <c r="AB442" s="50" t="s">
        <v>138</v>
      </c>
    </row>
    <row r="443">
      <c r="A443" s="101" t="s">
        <v>267</v>
      </c>
      <c r="B443" s="101" t="s">
        <v>267</v>
      </c>
      <c r="C443" s="278">
        <v>44064.0</v>
      </c>
      <c r="D443" s="278">
        <v>44094.0</v>
      </c>
      <c r="E443" s="271" t="s">
        <v>268</v>
      </c>
      <c r="F443" s="138" t="s">
        <v>4</v>
      </c>
      <c r="G443" s="101" t="s">
        <v>5</v>
      </c>
      <c r="H443" s="114" t="s">
        <v>63</v>
      </c>
      <c r="I443" s="63">
        <v>25.0</v>
      </c>
      <c r="J443" s="74">
        <v>1616.0</v>
      </c>
      <c r="K443" s="271">
        <f t="shared" si="1"/>
        <v>40400</v>
      </c>
      <c r="L443" s="271">
        <v>46243.0</v>
      </c>
      <c r="M443" s="271">
        <v>-100.0</v>
      </c>
      <c r="N443" s="275">
        <v>892.0</v>
      </c>
      <c r="O443" s="60"/>
      <c r="P443" s="50">
        <v>892.0</v>
      </c>
      <c r="Q443" s="271">
        <v>987.0</v>
      </c>
      <c r="R443" s="276">
        <v>0.00231</v>
      </c>
      <c r="S443" s="271">
        <v>1081.0</v>
      </c>
      <c r="T443" s="271">
        <v>1973.0</v>
      </c>
      <c r="U443" s="62">
        <v>1.0</v>
      </c>
      <c r="V443" s="277">
        <v>0.17</v>
      </c>
      <c r="W443" s="277">
        <v>0.0</v>
      </c>
      <c r="X443" s="271">
        <v>1637.0</v>
      </c>
      <c r="Y443" s="271">
        <v>335.0</v>
      </c>
      <c r="Z443" s="50" t="b">
        <v>1</v>
      </c>
      <c r="AA443" s="50" t="s">
        <v>138</v>
      </c>
      <c r="AB443" s="50" t="s">
        <v>138</v>
      </c>
    </row>
    <row r="444">
      <c r="A444" s="101" t="s">
        <v>267</v>
      </c>
      <c r="B444" s="101" t="s">
        <v>267</v>
      </c>
      <c r="C444" s="278">
        <v>44064.0</v>
      </c>
      <c r="D444" s="278">
        <v>44094.0</v>
      </c>
      <c r="E444" s="271" t="s">
        <v>268</v>
      </c>
      <c r="F444" s="138" t="s">
        <v>4</v>
      </c>
      <c r="G444" s="101" t="s">
        <v>5</v>
      </c>
      <c r="H444" s="273" t="s">
        <v>966</v>
      </c>
      <c r="I444" s="63">
        <v>50.0</v>
      </c>
      <c r="J444" s="74">
        <v>370.0</v>
      </c>
      <c r="K444" s="271">
        <f t="shared" si="1"/>
        <v>18500</v>
      </c>
      <c r="L444" s="271">
        <v>15340.0</v>
      </c>
      <c r="M444" s="271">
        <v>1300.0</v>
      </c>
      <c r="N444" s="275">
        <v>506.0</v>
      </c>
      <c r="O444" s="60"/>
      <c r="P444" s="50">
        <v>506.0</v>
      </c>
      <c r="Q444" s="271">
        <v>238.0</v>
      </c>
      <c r="R444" s="276">
        <v>0.00231</v>
      </c>
      <c r="S444" s="271">
        <v>280.0</v>
      </c>
      <c r="T444" s="271">
        <v>786.0</v>
      </c>
      <c r="U444" s="62">
        <v>1.0</v>
      </c>
      <c r="V444" s="277">
        <v>0.17</v>
      </c>
      <c r="W444" s="277">
        <v>0.0</v>
      </c>
      <c r="X444" s="271">
        <v>653.0</v>
      </c>
      <c r="Y444" s="271">
        <v>134.0</v>
      </c>
      <c r="Z444" s="50" t="b">
        <v>1</v>
      </c>
      <c r="AA444" s="50" t="s">
        <v>138</v>
      </c>
      <c r="AB444" s="50" t="s">
        <v>138</v>
      </c>
    </row>
    <row r="445">
      <c r="A445" s="101" t="s">
        <v>267</v>
      </c>
      <c r="B445" s="101" t="s">
        <v>267</v>
      </c>
      <c r="C445" s="278">
        <v>44064.0</v>
      </c>
      <c r="D445" s="278">
        <v>44094.0</v>
      </c>
      <c r="E445" s="271" t="s">
        <v>268</v>
      </c>
      <c r="F445" s="138" t="s">
        <v>4</v>
      </c>
      <c r="G445" s="101" t="s">
        <v>5</v>
      </c>
      <c r="H445" s="114" t="s">
        <v>974</v>
      </c>
      <c r="I445" s="63">
        <v>50.0</v>
      </c>
      <c r="J445" s="74">
        <v>598.0</v>
      </c>
      <c r="K445" s="271">
        <f t="shared" si="1"/>
        <v>29900</v>
      </c>
      <c r="L445" s="271">
        <v>8824.0</v>
      </c>
      <c r="M445" s="271">
        <v>300.0</v>
      </c>
      <c r="N445" s="275">
        <v>715.0</v>
      </c>
      <c r="O445" s="60"/>
      <c r="P445" s="50">
        <v>715.0</v>
      </c>
      <c r="Q445" s="271">
        <v>-539.0</v>
      </c>
      <c r="R445" s="276">
        <v>0.00231</v>
      </c>
      <c r="S445" s="271">
        <v>-470.0</v>
      </c>
      <c r="T445" s="271">
        <v>245.0</v>
      </c>
      <c r="U445" s="62">
        <v>1.0</v>
      </c>
      <c r="V445" s="277">
        <v>0.17</v>
      </c>
      <c r="W445" s="277">
        <v>0.0</v>
      </c>
      <c r="X445" s="271">
        <v>203.0</v>
      </c>
      <c r="Y445" s="271">
        <v>42.0</v>
      </c>
      <c r="Z445" s="50" t="b">
        <v>1</v>
      </c>
      <c r="AA445" s="50" t="s">
        <v>138</v>
      </c>
      <c r="AB445" s="50" t="s">
        <v>138</v>
      </c>
    </row>
    <row r="446">
      <c r="A446" s="101" t="s">
        <v>267</v>
      </c>
      <c r="B446" s="101" t="s">
        <v>267</v>
      </c>
      <c r="C446" s="278">
        <v>44064.0</v>
      </c>
      <c r="D446" s="278">
        <v>44094.0</v>
      </c>
      <c r="E446" s="271" t="s">
        <v>268</v>
      </c>
      <c r="F446" s="138" t="s">
        <v>4</v>
      </c>
      <c r="G446" s="101" t="s">
        <v>5</v>
      </c>
      <c r="H446" s="273" t="s">
        <v>966</v>
      </c>
      <c r="I446" s="63">
        <v>50.0</v>
      </c>
      <c r="J446" s="74">
        <v>84.0</v>
      </c>
      <c r="K446" s="271">
        <f t="shared" si="1"/>
        <v>4200</v>
      </c>
      <c r="L446" s="271">
        <v>4845.0</v>
      </c>
      <c r="M446" s="271">
        <v>1500.0</v>
      </c>
      <c r="N446" s="275"/>
      <c r="O446" s="60"/>
      <c r="P446" s="101"/>
      <c r="Q446" s="271">
        <v>184.0</v>
      </c>
      <c r="R446" s="276">
        <v>0.00231</v>
      </c>
      <c r="S446" s="271">
        <v>194.0</v>
      </c>
      <c r="T446" s="271">
        <v>194.0</v>
      </c>
      <c r="U446" s="62">
        <v>1.0</v>
      </c>
      <c r="V446" s="277">
        <v>0.17</v>
      </c>
      <c r="W446" s="277">
        <v>0.0</v>
      </c>
      <c r="X446" s="271">
        <v>161.0</v>
      </c>
      <c r="Y446" s="271">
        <v>33.0</v>
      </c>
      <c r="Z446" s="50" t="b">
        <v>1</v>
      </c>
      <c r="AA446" s="50" t="s">
        <v>138</v>
      </c>
      <c r="AB446" s="50" t="s">
        <v>138</v>
      </c>
    </row>
    <row r="447">
      <c r="A447" s="101" t="s">
        <v>267</v>
      </c>
      <c r="B447" s="101" t="s">
        <v>267</v>
      </c>
      <c r="C447" s="278">
        <v>44064.0</v>
      </c>
      <c r="D447" s="278">
        <v>44094.0</v>
      </c>
      <c r="E447" s="271" t="s">
        <v>268</v>
      </c>
      <c r="F447" s="138" t="s">
        <v>4</v>
      </c>
      <c r="G447" s="101" t="s">
        <v>5</v>
      </c>
      <c r="H447" s="114" t="s">
        <v>974</v>
      </c>
      <c r="I447" s="63">
        <v>50.0</v>
      </c>
      <c r="J447" s="74">
        <v>52.0</v>
      </c>
      <c r="K447" s="271">
        <f t="shared" si="1"/>
        <v>2600</v>
      </c>
      <c r="L447" s="271">
        <v>1805.0</v>
      </c>
      <c r="M447" s="271">
        <v>1600.0</v>
      </c>
      <c r="N447" s="275"/>
      <c r="O447" s="60"/>
      <c r="P447" s="101"/>
      <c r="Q447" s="271">
        <v>115.0</v>
      </c>
      <c r="R447" s="276">
        <v>0.00231</v>
      </c>
      <c r="S447" s="271">
        <v>121.0</v>
      </c>
      <c r="T447" s="271">
        <v>121.0</v>
      </c>
      <c r="U447" s="62">
        <v>1.0</v>
      </c>
      <c r="V447" s="277">
        <v>0.17</v>
      </c>
      <c r="W447" s="277">
        <v>0.0</v>
      </c>
      <c r="X447" s="271">
        <v>100.0</v>
      </c>
      <c r="Y447" s="271">
        <v>21.0</v>
      </c>
      <c r="Z447" s="50" t="b">
        <v>1</v>
      </c>
      <c r="AA447" s="50" t="s">
        <v>138</v>
      </c>
      <c r="AB447" s="50" t="s">
        <v>138</v>
      </c>
    </row>
    <row r="448">
      <c r="A448" s="101" t="s">
        <v>148</v>
      </c>
      <c r="B448" s="101" t="s">
        <v>148</v>
      </c>
      <c r="C448" s="278">
        <v>44064.0</v>
      </c>
      <c r="D448" s="278">
        <v>44094.0</v>
      </c>
      <c r="E448" s="271" t="s">
        <v>331</v>
      </c>
      <c r="F448" s="138" t="s">
        <v>4</v>
      </c>
      <c r="G448" s="101" t="s">
        <v>5</v>
      </c>
      <c r="H448" s="273" t="s">
        <v>47</v>
      </c>
      <c r="I448" s="63">
        <v>10.0</v>
      </c>
      <c r="J448" s="74">
        <v>135.0</v>
      </c>
      <c r="K448" s="271">
        <f t="shared" si="1"/>
        <v>1350</v>
      </c>
      <c r="L448" s="280">
        <v>5961.0</v>
      </c>
      <c r="M448" s="280">
        <v>90.0</v>
      </c>
      <c r="N448" s="275">
        <v>4.0</v>
      </c>
      <c r="O448" s="60"/>
      <c r="P448" s="50">
        <v>4.0</v>
      </c>
      <c r="Q448" s="280">
        <v>-5.0</v>
      </c>
      <c r="R448" s="276">
        <v>0.00231</v>
      </c>
      <c r="S448" s="280">
        <v>-2.0</v>
      </c>
      <c r="T448" s="280">
        <v>2.0</v>
      </c>
      <c r="U448" s="62">
        <v>1.0</v>
      </c>
      <c r="V448" s="277">
        <v>0.25</v>
      </c>
      <c r="W448" s="277">
        <v>0.1</v>
      </c>
      <c r="X448" s="280">
        <v>1.0</v>
      </c>
      <c r="Y448" s="280">
        <v>1.0</v>
      </c>
      <c r="Z448" s="50" t="b">
        <v>1</v>
      </c>
      <c r="AA448" s="50" t="s">
        <v>138</v>
      </c>
      <c r="AB448" s="50" t="s">
        <v>138</v>
      </c>
    </row>
    <row r="449">
      <c r="A449" s="101" t="s">
        <v>148</v>
      </c>
      <c r="B449" s="101" t="s">
        <v>148</v>
      </c>
      <c r="C449" s="278">
        <v>44064.0</v>
      </c>
      <c r="D449" s="278">
        <v>44094.0</v>
      </c>
      <c r="E449" s="271" t="s">
        <v>331</v>
      </c>
      <c r="F449" s="138" t="s">
        <v>4</v>
      </c>
      <c r="G449" s="101" t="s">
        <v>5</v>
      </c>
      <c r="H449" s="273" t="s">
        <v>62</v>
      </c>
      <c r="I449" s="63">
        <v>25.0</v>
      </c>
      <c r="J449" s="74">
        <v>1671.0</v>
      </c>
      <c r="K449" s="271">
        <f t="shared" si="1"/>
        <v>41775</v>
      </c>
      <c r="L449" s="280">
        <v>31462.0</v>
      </c>
      <c r="M449" s="280">
        <v>-600.0</v>
      </c>
      <c r="N449" s="275">
        <v>88.0</v>
      </c>
      <c r="O449" s="60"/>
      <c r="P449" s="50">
        <v>88.0</v>
      </c>
      <c r="Q449" s="280">
        <v>-1399.0</v>
      </c>
      <c r="R449" s="276">
        <v>0.00231</v>
      </c>
      <c r="S449" s="280">
        <v>-1303.0</v>
      </c>
      <c r="T449" s="280">
        <v>-1215.0</v>
      </c>
      <c r="U449" s="62">
        <v>1.0</v>
      </c>
      <c r="V449" s="277">
        <v>0.25</v>
      </c>
      <c r="W449" s="277">
        <v>0.1</v>
      </c>
      <c r="X449" s="280">
        <v>-789.0</v>
      </c>
      <c r="Y449" s="280">
        <v>-425.0</v>
      </c>
      <c r="Z449" s="50" t="b">
        <v>1</v>
      </c>
      <c r="AA449" s="50" t="s">
        <v>138</v>
      </c>
      <c r="AB449" s="50" t="s">
        <v>138</v>
      </c>
    </row>
    <row r="450">
      <c r="A450" s="101" t="s">
        <v>148</v>
      </c>
      <c r="B450" s="101" t="s">
        <v>148</v>
      </c>
      <c r="C450" s="278">
        <v>44064.0</v>
      </c>
      <c r="D450" s="278">
        <v>44094.0</v>
      </c>
      <c r="E450" s="271" t="s">
        <v>331</v>
      </c>
      <c r="F450" s="138" t="s">
        <v>4</v>
      </c>
      <c r="G450" s="101" t="s">
        <v>5</v>
      </c>
      <c r="H450" s="273" t="s">
        <v>966</v>
      </c>
      <c r="I450" s="63">
        <v>50.0</v>
      </c>
      <c r="J450" s="74">
        <v>1003.0</v>
      </c>
      <c r="K450" s="271">
        <f t="shared" si="1"/>
        <v>50150</v>
      </c>
      <c r="L450" s="280">
        <v>27193.0</v>
      </c>
      <c r="M450" s="280">
        <v>-3400.0</v>
      </c>
      <c r="N450" s="275">
        <v>135.0</v>
      </c>
      <c r="O450" s="60"/>
      <c r="P450" s="50">
        <v>135.0</v>
      </c>
      <c r="Q450" s="280">
        <v>-688.0</v>
      </c>
      <c r="R450" s="276">
        <v>0.00231</v>
      </c>
      <c r="S450" s="280">
        <v>-572.0</v>
      </c>
      <c r="T450" s="280">
        <v>-437.0</v>
      </c>
      <c r="U450" s="62">
        <v>1.0</v>
      </c>
      <c r="V450" s="277">
        <v>0.25</v>
      </c>
      <c r="W450" s="277">
        <v>0.1</v>
      </c>
      <c r="X450" s="280">
        <v>-284.0</v>
      </c>
      <c r="Y450" s="280">
        <v>-153.0</v>
      </c>
      <c r="Z450" s="50" t="b">
        <v>1</v>
      </c>
      <c r="AA450" s="50" t="s">
        <v>138</v>
      </c>
      <c r="AB450" s="50" t="s">
        <v>138</v>
      </c>
    </row>
    <row r="451">
      <c r="A451" s="101" t="s">
        <v>148</v>
      </c>
      <c r="B451" s="101" t="s">
        <v>148</v>
      </c>
      <c r="C451" s="278">
        <v>44064.0</v>
      </c>
      <c r="D451" s="278">
        <v>44094.0</v>
      </c>
      <c r="E451" s="271" t="s">
        <v>331</v>
      </c>
      <c r="F451" s="138" t="s">
        <v>4</v>
      </c>
      <c r="G451" s="101" t="s">
        <v>5</v>
      </c>
      <c r="H451" s="273" t="s">
        <v>966</v>
      </c>
      <c r="I451" s="63">
        <v>50.0</v>
      </c>
      <c r="J451" s="74">
        <v>271.0</v>
      </c>
      <c r="K451" s="271">
        <f t="shared" si="1"/>
        <v>13550</v>
      </c>
      <c r="L451" s="280">
        <v>-5989.0</v>
      </c>
      <c r="M451" s="280">
        <v>-3250.0</v>
      </c>
      <c r="N451" s="275"/>
      <c r="O451" s="60"/>
      <c r="P451" s="101"/>
      <c r="Q451" s="280">
        <v>-1427.0</v>
      </c>
      <c r="R451" s="276">
        <v>0.00231</v>
      </c>
      <c r="S451" s="280">
        <v>-1396.0</v>
      </c>
      <c r="T451" s="280">
        <v>-1396.0</v>
      </c>
      <c r="U451" s="62">
        <v>1.0</v>
      </c>
      <c r="V451" s="277">
        <v>0.25</v>
      </c>
      <c r="W451" s="277">
        <v>0.1</v>
      </c>
      <c r="X451" s="280">
        <v>-907.0</v>
      </c>
      <c r="Y451" s="280">
        <v>-488.0</v>
      </c>
      <c r="Z451" s="50" t="b">
        <v>1</v>
      </c>
      <c r="AA451" s="50" t="s">
        <v>138</v>
      </c>
      <c r="AB451" s="50" t="s">
        <v>138</v>
      </c>
    </row>
    <row r="452">
      <c r="A452" s="101" t="s">
        <v>182</v>
      </c>
      <c r="B452" s="101" t="s">
        <v>182</v>
      </c>
      <c r="C452" s="278">
        <v>44064.0</v>
      </c>
      <c r="D452" s="278">
        <v>44094.0</v>
      </c>
      <c r="E452" s="271" t="s">
        <v>268</v>
      </c>
      <c r="F452" s="138" t="s">
        <v>4</v>
      </c>
      <c r="G452" s="101" t="s">
        <v>5</v>
      </c>
      <c r="H452" s="273" t="s">
        <v>62</v>
      </c>
      <c r="I452" s="63">
        <v>25.0</v>
      </c>
      <c r="J452" s="74">
        <v>1617.0</v>
      </c>
      <c r="K452" s="271">
        <f t="shared" si="1"/>
        <v>40425</v>
      </c>
      <c r="L452" s="280">
        <v>55897.0</v>
      </c>
      <c r="M452" s="280">
        <v>1475.0</v>
      </c>
      <c r="N452" s="275">
        <v>175.0</v>
      </c>
      <c r="O452" s="60"/>
      <c r="P452" s="50">
        <v>175.0</v>
      </c>
      <c r="Q452" s="280">
        <v>4.0</v>
      </c>
      <c r="R452" s="276">
        <v>0.00231</v>
      </c>
      <c r="S452" s="280">
        <v>97.0</v>
      </c>
      <c r="T452" s="280">
        <v>272.0</v>
      </c>
      <c r="U452" s="62">
        <v>1.0</v>
      </c>
      <c r="V452" s="277">
        <v>0.2</v>
      </c>
      <c r="W452" s="277">
        <v>0.0</v>
      </c>
      <c r="X452" s="280">
        <v>218.0</v>
      </c>
      <c r="Y452" s="280">
        <v>54.0</v>
      </c>
      <c r="Z452" s="50" t="b">
        <v>1</v>
      </c>
      <c r="AA452" s="50" t="s">
        <v>138</v>
      </c>
      <c r="AB452" s="50" t="s">
        <v>138</v>
      </c>
    </row>
    <row r="453">
      <c r="A453" s="101" t="s">
        <v>199</v>
      </c>
      <c r="B453" s="101" t="s">
        <v>199</v>
      </c>
      <c r="C453" s="278">
        <v>44064.0</v>
      </c>
      <c r="D453" s="278">
        <v>44094.0</v>
      </c>
      <c r="E453" s="271" t="s">
        <v>268</v>
      </c>
      <c r="F453" s="138" t="s">
        <v>4</v>
      </c>
      <c r="G453" s="101" t="s">
        <v>5</v>
      </c>
      <c r="H453" s="273" t="s">
        <v>34</v>
      </c>
      <c r="I453" s="63">
        <v>5.0</v>
      </c>
      <c r="J453" s="74">
        <v>1714.0</v>
      </c>
      <c r="K453" s="271">
        <f t="shared" si="1"/>
        <v>8570</v>
      </c>
      <c r="L453" s="280">
        <v>117200.0</v>
      </c>
      <c r="M453" s="280">
        <v>25.0</v>
      </c>
      <c r="N453" s="275"/>
      <c r="O453" s="60"/>
      <c r="P453" s="101"/>
      <c r="Q453" s="280">
        <v>441.0</v>
      </c>
      <c r="R453" s="276">
        <v>-0.0015</v>
      </c>
      <c r="S453" s="280">
        <v>428.0</v>
      </c>
      <c r="T453" s="280">
        <v>428.0</v>
      </c>
      <c r="U453" s="62">
        <v>1.0</v>
      </c>
      <c r="V453" s="277">
        <v>0.2</v>
      </c>
      <c r="W453" s="277">
        <v>0.0</v>
      </c>
      <c r="X453" s="280">
        <v>342.0</v>
      </c>
      <c r="Y453" s="280">
        <v>86.0</v>
      </c>
      <c r="Z453" s="50" t="b">
        <v>1</v>
      </c>
      <c r="AA453" s="50" t="s">
        <v>138</v>
      </c>
      <c r="AB453" s="50" t="s">
        <v>138</v>
      </c>
    </row>
    <row r="454">
      <c r="A454" s="101" t="s">
        <v>546</v>
      </c>
      <c r="B454" s="101" t="s">
        <v>546</v>
      </c>
      <c r="C454" s="278">
        <v>44064.0</v>
      </c>
      <c r="D454" s="278">
        <v>44094.0</v>
      </c>
      <c r="E454" s="271" t="s">
        <v>331</v>
      </c>
      <c r="F454" s="101" t="s">
        <v>4</v>
      </c>
      <c r="G454" s="101" t="s">
        <v>5</v>
      </c>
      <c r="H454" s="114" t="s">
        <v>85</v>
      </c>
      <c r="I454" s="63">
        <v>100.0</v>
      </c>
      <c r="J454" s="74">
        <v>3313.0</v>
      </c>
      <c r="K454" s="271">
        <f t="shared" si="1"/>
        <v>331300</v>
      </c>
      <c r="L454" s="271">
        <v>211671.0</v>
      </c>
      <c r="M454" s="271">
        <v>12900.0</v>
      </c>
      <c r="N454" s="275">
        <v>610.0</v>
      </c>
      <c r="O454" s="60"/>
      <c r="P454" s="50">
        <v>610.0</v>
      </c>
      <c r="Q454" s="271">
        <v>21783.0</v>
      </c>
      <c r="R454" s="276">
        <v>0.00231</v>
      </c>
      <c r="S454" s="271">
        <v>22549.0</v>
      </c>
      <c r="T454" s="271">
        <v>23159.0</v>
      </c>
      <c r="U454" s="62">
        <v>1.0</v>
      </c>
      <c r="V454" s="277">
        <v>0.135</v>
      </c>
      <c r="W454" s="277">
        <v>0.045</v>
      </c>
      <c r="X454" s="271">
        <v>18990.0</v>
      </c>
      <c r="Y454" s="271">
        <v>4169.0</v>
      </c>
      <c r="Z454" s="50" t="b">
        <v>1</v>
      </c>
      <c r="AA454" s="50" t="s">
        <v>138</v>
      </c>
      <c r="AB454" s="50" t="s">
        <v>138</v>
      </c>
    </row>
    <row r="455">
      <c r="A455" s="101" t="s">
        <v>207</v>
      </c>
      <c r="B455" s="101" t="s">
        <v>207</v>
      </c>
      <c r="C455" s="278">
        <v>44064.0</v>
      </c>
      <c r="D455" s="278">
        <v>44094.0</v>
      </c>
      <c r="E455" s="271" t="s">
        <v>268</v>
      </c>
      <c r="F455" s="101" t="s">
        <v>4</v>
      </c>
      <c r="G455" s="271" t="s">
        <v>5</v>
      </c>
      <c r="H455" s="273" t="s">
        <v>34</v>
      </c>
      <c r="I455" s="274">
        <v>5.0</v>
      </c>
      <c r="J455" s="271">
        <v>243.0</v>
      </c>
      <c r="K455" s="271">
        <f t="shared" si="1"/>
        <v>1215</v>
      </c>
      <c r="L455" s="271">
        <v>23336.0</v>
      </c>
      <c r="M455" s="271">
        <v>80.0</v>
      </c>
      <c r="N455" s="275">
        <v>16.0</v>
      </c>
      <c r="O455" s="60"/>
      <c r="P455" s="50">
        <v>16.0</v>
      </c>
      <c r="Q455" s="271">
        <v>124.0</v>
      </c>
      <c r="R455" s="276">
        <v>0.00231</v>
      </c>
      <c r="S455" s="271">
        <v>127.0</v>
      </c>
      <c r="T455" s="271">
        <v>143.0</v>
      </c>
      <c r="U455" s="62">
        <v>1.0</v>
      </c>
      <c r="V455" s="277">
        <v>0.25</v>
      </c>
      <c r="W455" s="277">
        <v>0.0</v>
      </c>
      <c r="X455" s="271">
        <v>107.0</v>
      </c>
      <c r="Y455" s="271">
        <v>36.0</v>
      </c>
      <c r="Z455" s="50" t="b">
        <v>1</v>
      </c>
      <c r="AA455" s="50" t="s">
        <v>138</v>
      </c>
      <c r="AB455" s="50" t="s">
        <v>138</v>
      </c>
    </row>
    <row r="456">
      <c r="A456" s="101" t="s">
        <v>207</v>
      </c>
      <c r="B456" s="101" t="s">
        <v>207</v>
      </c>
      <c r="C456" s="278">
        <v>44064.0</v>
      </c>
      <c r="D456" s="278">
        <v>44094.0</v>
      </c>
      <c r="E456" s="271" t="s">
        <v>268</v>
      </c>
      <c r="F456" s="101" t="s">
        <v>4</v>
      </c>
      <c r="G456" s="271" t="s">
        <v>5</v>
      </c>
      <c r="H456" s="273" t="s">
        <v>47</v>
      </c>
      <c r="I456" s="274">
        <v>10.0</v>
      </c>
      <c r="J456" s="271">
        <v>1420.0</v>
      </c>
      <c r="K456" s="271">
        <f t="shared" si="1"/>
        <v>14200</v>
      </c>
      <c r="L456" s="271">
        <v>78212.0</v>
      </c>
      <c r="M456" s="271">
        <v>750.0</v>
      </c>
      <c r="N456" s="275">
        <v>223.0</v>
      </c>
      <c r="O456" s="60"/>
      <c r="P456" s="50">
        <v>223.0</v>
      </c>
      <c r="Q456" s="271">
        <v>230.0</v>
      </c>
      <c r="R456" s="276">
        <v>0.00231</v>
      </c>
      <c r="S456" s="271">
        <v>263.0</v>
      </c>
      <c r="T456" s="271">
        <v>486.0</v>
      </c>
      <c r="U456" s="62">
        <v>1.0</v>
      </c>
      <c r="V456" s="277">
        <v>0.25</v>
      </c>
      <c r="W456" s="277">
        <v>0.0</v>
      </c>
      <c r="X456" s="271">
        <v>364.0</v>
      </c>
      <c r="Y456" s="271">
        <v>121.0</v>
      </c>
      <c r="Z456" s="50" t="b">
        <v>1</v>
      </c>
      <c r="AA456" s="50" t="s">
        <v>138</v>
      </c>
      <c r="AB456" s="50" t="s">
        <v>138</v>
      </c>
    </row>
    <row r="457">
      <c r="A457" s="101" t="s">
        <v>207</v>
      </c>
      <c r="B457" s="101" t="s">
        <v>207</v>
      </c>
      <c r="C457" s="278">
        <v>44064.0</v>
      </c>
      <c r="D457" s="278">
        <v>44094.0</v>
      </c>
      <c r="E457" s="271" t="s">
        <v>268</v>
      </c>
      <c r="F457" s="101" t="s">
        <v>4</v>
      </c>
      <c r="G457" s="271" t="s">
        <v>5</v>
      </c>
      <c r="H457" s="273" t="s">
        <v>47</v>
      </c>
      <c r="I457" s="274">
        <v>10.0</v>
      </c>
      <c r="J457" s="271">
        <v>8.0</v>
      </c>
      <c r="K457" s="271">
        <f t="shared" si="1"/>
        <v>80</v>
      </c>
      <c r="L457" s="271">
        <v>1873.0</v>
      </c>
      <c r="M457" s="271">
        <v>60.0</v>
      </c>
      <c r="N457" s="275"/>
      <c r="O457" s="60"/>
      <c r="P457" s="101"/>
      <c r="Q457" s="271">
        <v>28.0</v>
      </c>
      <c r="R457" s="276">
        <v>0.00231</v>
      </c>
      <c r="S457" s="271">
        <v>28.0</v>
      </c>
      <c r="T457" s="271">
        <v>28.0</v>
      </c>
      <c r="U457" s="62">
        <v>1.0</v>
      </c>
      <c r="V457" s="277">
        <v>0.25</v>
      </c>
      <c r="W457" s="277">
        <v>0.0</v>
      </c>
      <c r="X457" s="271">
        <v>21.0</v>
      </c>
      <c r="Y457" s="271">
        <v>7.0</v>
      </c>
      <c r="Z457" s="50" t="b">
        <v>1</v>
      </c>
      <c r="AA457" s="50" t="s">
        <v>138</v>
      </c>
      <c r="AB457" s="50" t="s">
        <v>138</v>
      </c>
    </row>
    <row r="458">
      <c r="A458" s="101" t="s">
        <v>216</v>
      </c>
      <c r="B458" s="101" t="s">
        <v>216</v>
      </c>
      <c r="C458" s="278">
        <v>44064.0</v>
      </c>
      <c r="D458" s="278">
        <v>44094.0</v>
      </c>
      <c r="E458" s="271" t="s">
        <v>268</v>
      </c>
      <c r="F458" s="138" t="s">
        <v>4</v>
      </c>
      <c r="G458" s="101" t="s">
        <v>5</v>
      </c>
      <c r="H458" s="273" t="s">
        <v>62</v>
      </c>
      <c r="I458" s="63">
        <v>25.0</v>
      </c>
      <c r="J458" s="74">
        <v>1.0</v>
      </c>
      <c r="K458" s="271">
        <f t="shared" si="1"/>
        <v>25</v>
      </c>
      <c r="L458" s="271">
        <v>-500.0</v>
      </c>
      <c r="M458" s="271">
        <v>-25.0</v>
      </c>
      <c r="N458" s="275">
        <v>1.0</v>
      </c>
      <c r="O458" s="60"/>
      <c r="P458" s="50">
        <v>1.0</v>
      </c>
      <c r="Q458" s="271">
        <v>-25.0</v>
      </c>
      <c r="R458" s="276">
        <v>0.00231</v>
      </c>
      <c r="S458" s="271">
        <v>-25.0</v>
      </c>
      <c r="T458" s="271">
        <v>-24.0</v>
      </c>
      <c r="U458" s="62">
        <v>1.0</v>
      </c>
      <c r="V458" s="277">
        <v>0.22</v>
      </c>
      <c r="W458" s="277">
        <v>0.0</v>
      </c>
      <c r="X458" s="271">
        <v>-19.0</v>
      </c>
      <c r="Y458" s="271">
        <v>-5.0</v>
      </c>
      <c r="Z458" s="50" t="b">
        <v>1</v>
      </c>
      <c r="AA458" s="50" t="s">
        <v>138</v>
      </c>
      <c r="AB458" s="50" t="s">
        <v>138</v>
      </c>
    </row>
    <row r="459">
      <c r="A459" s="101" t="s">
        <v>216</v>
      </c>
      <c r="B459" s="101" t="s">
        <v>216</v>
      </c>
      <c r="C459" s="278">
        <v>44064.0</v>
      </c>
      <c r="D459" s="278">
        <v>44094.0</v>
      </c>
      <c r="E459" s="271" t="s">
        <v>268</v>
      </c>
      <c r="F459" s="138" t="s">
        <v>4</v>
      </c>
      <c r="G459" s="101" t="s">
        <v>5</v>
      </c>
      <c r="H459" s="273" t="s">
        <v>966</v>
      </c>
      <c r="I459" s="63">
        <v>50.0</v>
      </c>
      <c r="J459" s="74">
        <v>175.0</v>
      </c>
      <c r="K459" s="271">
        <f t="shared" si="1"/>
        <v>8750</v>
      </c>
      <c r="L459" s="271">
        <v>6259.0</v>
      </c>
      <c r="M459" s="271">
        <v>-400.0</v>
      </c>
      <c r="N459" s="275">
        <v>248.0</v>
      </c>
      <c r="O459" s="60"/>
      <c r="P459" s="50">
        <v>248.0</v>
      </c>
      <c r="Q459" s="271">
        <v>-47.0</v>
      </c>
      <c r="R459" s="276">
        <v>0.00231</v>
      </c>
      <c r="S459" s="271">
        <v>-27.0</v>
      </c>
      <c r="T459" s="271">
        <v>221.0</v>
      </c>
      <c r="U459" s="62">
        <v>1.0</v>
      </c>
      <c r="V459" s="277">
        <v>0.22</v>
      </c>
      <c r="W459" s="277">
        <v>0.0</v>
      </c>
      <c r="X459" s="271">
        <v>172.0</v>
      </c>
      <c r="Y459" s="271">
        <v>49.0</v>
      </c>
      <c r="Z459" s="50" t="b">
        <v>1</v>
      </c>
      <c r="AA459" s="50" t="s">
        <v>138</v>
      </c>
      <c r="AB459" s="50" t="s">
        <v>138</v>
      </c>
    </row>
    <row r="460">
      <c r="A460" s="101" t="s">
        <v>216</v>
      </c>
      <c r="B460" s="101" t="s">
        <v>216</v>
      </c>
      <c r="C460" s="278">
        <v>44064.0</v>
      </c>
      <c r="D460" s="278">
        <v>44094.0</v>
      </c>
      <c r="E460" s="271" t="s">
        <v>268</v>
      </c>
      <c r="F460" s="138" t="s">
        <v>4</v>
      </c>
      <c r="G460" s="101" t="s">
        <v>5</v>
      </c>
      <c r="H460" s="273" t="s">
        <v>85</v>
      </c>
      <c r="I460" s="63">
        <v>100.0</v>
      </c>
      <c r="J460" s="74">
        <v>260.0</v>
      </c>
      <c r="K460" s="271">
        <f t="shared" si="1"/>
        <v>26000</v>
      </c>
      <c r="L460" s="271">
        <v>3545.0</v>
      </c>
      <c r="M460" s="271">
        <v>700.0</v>
      </c>
      <c r="N460" s="275">
        <v>607.0</v>
      </c>
      <c r="O460" s="60"/>
      <c r="P460" s="50">
        <v>607.0</v>
      </c>
      <c r="Q460" s="271">
        <v>-938.0</v>
      </c>
      <c r="R460" s="276">
        <v>0.00231</v>
      </c>
      <c r="S460" s="271">
        <v>-878.0</v>
      </c>
      <c r="T460" s="271">
        <v>-271.0</v>
      </c>
      <c r="U460" s="62">
        <v>1.0</v>
      </c>
      <c r="V460" s="277">
        <v>0.22</v>
      </c>
      <c r="W460" s="277">
        <v>0.0</v>
      </c>
      <c r="X460" s="271">
        <v>-211.0</v>
      </c>
      <c r="Y460" s="271">
        <v>-60.0</v>
      </c>
      <c r="Z460" s="50" t="b">
        <v>1</v>
      </c>
      <c r="AA460" s="50" t="s">
        <v>138</v>
      </c>
      <c r="AB460" s="50" t="s">
        <v>138</v>
      </c>
    </row>
    <row r="461">
      <c r="A461" s="101" t="s">
        <v>216</v>
      </c>
      <c r="B461" s="101" t="s">
        <v>216</v>
      </c>
      <c r="C461" s="278">
        <v>44064.0</v>
      </c>
      <c r="D461" s="278">
        <v>44094.0</v>
      </c>
      <c r="E461" s="271" t="s">
        <v>268</v>
      </c>
      <c r="F461" s="138" t="s">
        <v>4</v>
      </c>
      <c r="G461" s="101" t="s">
        <v>5</v>
      </c>
      <c r="H461" s="273" t="s">
        <v>86</v>
      </c>
      <c r="I461" s="63">
        <v>100.0</v>
      </c>
      <c r="J461" s="74">
        <v>20.0</v>
      </c>
      <c r="K461" s="271">
        <f t="shared" si="1"/>
        <v>2000</v>
      </c>
      <c r="L461" s="271">
        <v>-863.0</v>
      </c>
      <c r="M461" s="271">
        <v>-900.0</v>
      </c>
      <c r="N461" s="275">
        <v>46.0</v>
      </c>
      <c r="O461" s="60"/>
      <c r="P461" s="50">
        <v>46.0</v>
      </c>
      <c r="Q461" s="271">
        <v>-391.0</v>
      </c>
      <c r="R461" s="276">
        <v>0.00231</v>
      </c>
      <c r="S461" s="271">
        <v>-387.0</v>
      </c>
      <c r="T461" s="271">
        <v>-341.0</v>
      </c>
      <c r="U461" s="62">
        <v>1.0</v>
      </c>
      <c r="V461" s="277">
        <v>0.22</v>
      </c>
      <c r="W461" s="277">
        <v>0.0</v>
      </c>
      <c r="X461" s="271">
        <v>-266.0</v>
      </c>
      <c r="Y461" s="271">
        <v>-75.0</v>
      </c>
      <c r="Z461" s="50" t="b">
        <v>1</v>
      </c>
      <c r="AA461" s="50" t="s">
        <v>138</v>
      </c>
      <c r="AB461" s="50" t="s">
        <v>138</v>
      </c>
    </row>
    <row r="462">
      <c r="A462" s="101" t="s">
        <v>177</v>
      </c>
      <c r="B462" s="101" t="s">
        <v>177</v>
      </c>
      <c r="C462" s="278">
        <v>44075.0</v>
      </c>
      <c r="D462" s="278">
        <v>44104.0</v>
      </c>
      <c r="E462" s="271" t="s">
        <v>268</v>
      </c>
      <c r="F462" s="138" t="s">
        <v>12</v>
      </c>
      <c r="G462" s="280" t="s">
        <v>5</v>
      </c>
      <c r="H462" s="273" t="s">
        <v>62</v>
      </c>
      <c r="I462" s="274">
        <v>25.0</v>
      </c>
      <c r="J462" s="271">
        <v>2.0</v>
      </c>
      <c r="K462" s="271">
        <f t="shared" si="1"/>
        <v>50</v>
      </c>
      <c r="L462" s="271"/>
      <c r="M462" s="271">
        <v>-50.0</v>
      </c>
      <c r="N462" s="275"/>
      <c r="O462" s="60"/>
      <c r="P462" s="101"/>
      <c r="Q462" s="271"/>
      <c r="R462" s="276">
        <v>0.0</v>
      </c>
      <c r="S462" s="271"/>
      <c r="T462" s="271">
        <v>-50.0</v>
      </c>
      <c r="U462" s="62">
        <v>1.0</v>
      </c>
      <c r="V462" s="277">
        <v>0.12</v>
      </c>
      <c r="W462" s="277">
        <v>0.0</v>
      </c>
      <c r="X462" s="271">
        <v>-44.0</v>
      </c>
      <c r="Y462" s="271">
        <v>-6.0</v>
      </c>
      <c r="Z462" s="50" t="b">
        <v>1</v>
      </c>
      <c r="AA462" s="50" t="s">
        <v>138</v>
      </c>
      <c r="AB462" s="50" t="s">
        <v>138</v>
      </c>
    </row>
    <row r="463">
      <c r="A463" s="101" t="s">
        <v>177</v>
      </c>
      <c r="B463" s="101" t="s">
        <v>177</v>
      </c>
      <c r="C463" s="278">
        <v>44075.0</v>
      </c>
      <c r="D463" s="278">
        <v>44104.0</v>
      </c>
      <c r="E463" s="271" t="s">
        <v>268</v>
      </c>
      <c r="F463" s="138" t="s">
        <v>8</v>
      </c>
      <c r="G463" s="280" t="s">
        <v>5</v>
      </c>
      <c r="H463" s="273" t="s">
        <v>85</v>
      </c>
      <c r="I463" s="274">
        <v>100.0</v>
      </c>
      <c r="J463" s="271">
        <v>2497.0</v>
      </c>
      <c r="K463" s="271">
        <f t="shared" si="1"/>
        <v>249700</v>
      </c>
      <c r="L463" s="271">
        <v>89374.0</v>
      </c>
      <c r="M463" s="271">
        <v>10200.0</v>
      </c>
      <c r="N463" s="275">
        <v>2644.0</v>
      </c>
      <c r="O463" s="60"/>
      <c r="P463" s="109">
        <v>2644.0</v>
      </c>
      <c r="Q463" s="271">
        <v>3268.0</v>
      </c>
      <c r="R463" s="276">
        <v>0.002417</v>
      </c>
      <c r="S463" s="271">
        <v>3871.0</v>
      </c>
      <c r="T463" s="271">
        <v>6515.0</v>
      </c>
      <c r="U463" s="62">
        <v>1.0</v>
      </c>
      <c r="V463" s="277">
        <v>0.12</v>
      </c>
      <c r="W463" s="277">
        <v>0.0</v>
      </c>
      <c r="X463" s="271">
        <v>5733.0</v>
      </c>
      <c r="Y463" s="271">
        <v>782.0</v>
      </c>
      <c r="Z463" s="50" t="b">
        <v>1</v>
      </c>
      <c r="AA463" s="50" t="s">
        <v>138</v>
      </c>
      <c r="AB463" s="50" t="s">
        <v>138</v>
      </c>
    </row>
    <row r="464">
      <c r="A464" s="101" t="s">
        <v>345</v>
      </c>
      <c r="B464" s="101" t="s">
        <v>981</v>
      </c>
      <c r="C464" s="278">
        <v>44079.0</v>
      </c>
      <c r="D464" s="278">
        <v>44104.0</v>
      </c>
      <c r="E464" s="271" t="s">
        <v>331</v>
      </c>
      <c r="F464" s="138" t="s">
        <v>4</v>
      </c>
      <c r="G464" s="271" t="s">
        <v>16</v>
      </c>
      <c r="H464" s="273" t="s">
        <v>85</v>
      </c>
      <c r="I464" s="274">
        <v>100.0</v>
      </c>
      <c r="J464" s="271">
        <v>147.0</v>
      </c>
      <c r="K464" s="271">
        <f t="shared" si="1"/>
        <v>14700</v>
      </c>
      <c r="L464" s="271">
        <f>21983-14651</f>
        <v>7332</v>
      </c>
      <c r="M464" s="271">
        <v>4500.0</v>
      </c>
      <c r="N464" s="275">
        <v>519.97</v>
      </c>
      <c r="O464" s="60"/>
      <c r="P464" s="50">
        <v>520.0</v>
      </c>
      <c r="Q464" s="271">
        <v>591.0</v>
      </c>
      <c r="R464" s="276">
        <v>-0.00102</v>
      </c>
      <c r="S464" s="271">
        <v>576.0</v>
      </c>
      <c r="T464" s="271">
        <v>1096.0</v>
      </c>
      <c r="U464" s="62">
        <v>1.0</v>
      </c>
      <c r="V464" s="277">
        <v>0.125</v>
      </c>
      <c r="W464" s="277">
        <v>0.125</v>
      </c>
      <c r="X464" s="271">
        <v>822.0</v>
      </c>
      <c r="Y464" s="271">
        <v>274.0</v>
      </c>
      <c r="Z464" s="50" t="b">
        <v>1</v>
      </c>
      <c r="AA464" s="50" t="s">
        <v>138</v>
      </c>
      <c r="AB464" s="50" t="s">
        <v>138</v>
      </c>
    </row>
    <row r="465">
      <c r="A465" s="101" t="s">
        <v>345</v>
      </c>
      <c r="B465" s="101" t="s">
        <v>981</v>
      </c>
      <c r="C465" s="278">
        <v>44079.0</v>
      </c>
      <c r="D465" s="278">
        <v>44104.0</v>
      </c>
      <c r="E465" s="271" t="s">
        <v>331</v>
      </c>
      <c r="F465" s="138" t="s">
        <v>4</v>
      </c>
      <c r="G465" s="271" t="s">
        <v>16</v>
      </c>
      <c r="H465" s="273" t="s">
        <v>88</v>
      </c>
      <c r="I465" s="274">
        <v>100.0</v>
      </c>
      <c r="J465" s="271">
        <v>87.0</v>
      </c>
      <c r="K465" s="271">
        <f t="shared" si="1"/>
        <v>8700</v>
      </c>
      <c r="L465" s="271">
        <v>356.0</v>
      </c>
      <c r="M465" s="271">
        <v>-600.0</v>
      </c>
      <c r="N465" s="275">
        <v>307.74</v>
      </c>
      <c r="O465" s="60"/>
      <c r="P465" s="50">
        <v>308.0</v>
      </c>
      <c r="Q465" s="271">
        <v>-358.0</v>
      </c>
      <c r="R465" s="276">
        <v>-0.00102</v>
      </c>
      <c r="S465" s="271">
        <v>-367.0</v>
      </c>
      <c r="T465" s="271">
        <v>-59.0</v>
      </c>
      <c r="U465" s="62">
        <v>1.0</v>
      </c>
      <c r="V465" s="277">
        <v>0.125</v>
      </c>
      <c r="W465" s="277">
        <v>0.125</v>
      </c>
      <c r="X465" s="271">
        <v>-44.0</v>
      </c>
      <c r="Y465" s="271">
        <v>-15.0</v>
      </c>
      <c r="Z465" s="50" t="b">
        <v>1</v>
      </c>
      <c r="AA465" s="50" t="s">
        <v>138</v>
      </c>
      <c r="AB465" s="50" t="s">
        <v>138</v>
      </c>
    </row>
    <row r="466">
      <c r="A466" s="101" t="s">
        <v>345</v>
      </c>
      <c r="B466" s="101" t="s">
        <v>981</v>
      </c>
      <c r="C466" s="278">
        <v>44079.0</v>
      </c>
      <c r="D466" s="278">
        <v>44104.0</v>
      </c>
      <c r="E466" s="271" t="s">
        <v>331</v>
      </c>
      <c r="F466" s="138" t="s">
        <v>4</v>
      </c>
      <c r="G466" s="271" t="s">
        <v>16</v>
      </c>
      <c r="H466" s="273" t="s">
        <v>60</v>
      </c>
      <c r="I466" s="274">
        <v>20.0</v>
      </c>
      <c r="J466" s="271">
        <v>116.0</v>
      </c>
      <c r="K466" s="271">
        <f t="shared" si="1"/>
        <v>2320</v>
      </c>
      <c r="L466" s="271">
        <v>3314.0</v>
      </c>
      <c r="M466" s="271">
        <v>-100.0</v>
      </c>
      <c r="N466" s="275">
        <v>98.48</v>
      </c>
      <c r="O466" s="60"/>
      <c r="P466" s="50">
        <v>98.0</v>
      </c>
      <c r="Q466" s="271">
        <v>58.0</v>
      </c>
      <c r="R466" s="276">
        <v>-0.00102</v>
      </c>
      <c r="S466" s="271">
        <v>56.0</v>
      </c>
      <c r="T466" s="271">
        <v>154.0</v>
      </c>
      <c r="U466" s="62">
        <v>1.0</v>
      </c>
      <c r="V466" s="277">
        <v>0.125</v>
      </c>
      <c r="W466" s="277">
        <v>0.125</v>
      </c>
      <c r="X466" s="271">
        <v>116.0</v>
      </c>
      <c r="Y466" s="271">
        <v>39.0</v>
      </c>
      <c r="Z466" s="50" t="b">
        <v>1</v>
      </c>
      <c r="AA466" s="50" t="s">
        <v>138</v>
      </c>
      <c r="AB466" s="50" t="s">
        <v>138</v>
      </c>
    </row>
    <row r="467">
      <c r="A467" s="101" t="s">
        <v>345</v>
      </c>
      <c r="B467" s="101" t="s">
        <v>981</v>
      </c>
      <c r="C467" s="278">
        <v>44079.0</v>
      </c>
      <c r="D467" s="278">
        <v>44104.0</v>
      </c>
      <c r="E467" s="271" t="s">
        <v>331</v>
      </c>
      <c r="F467" s="138" t="s">
        <v>4</v>
      </c>
      <c r="G467" s="271" t="s">
        <v>16</v>
      </c>
      <c r="H467" s="273" t="s">
        <v>96</v>
      </c>
      <c r="I467" s="274">
        <v>250.0</v>
      </c>
      <c r="J467" s="271">
        <v>2051.0</v>
      </c>
      <c r="K467" s="271">
        <f t="shared" si="1"/>
        <v>512750</v>
      </c>
      <c r="L467" s="271">
        <f>30118-3692</f>
        <v>26426</v>
      </c>
      <c r="M467" s="271">
        <f>-28000-3250</f>
        <v>-31250</v>
      </c>
      <c r="N467" s="275">
        <v>14509.67</v>
      </c>
      <c r="O467" s="60"/>
      <c r="P467" s="109">
        <v>14510.0</v>
      </c>
      <c r="Q467" s="271">
        <v>-8685.0</v>
      </c>
      <c r="R467" s="276">
        <v>-0.00102</v>
      </c>
      <c r="S467" s="271">
        <v>-9208.0</v>
      </c>
      <c r="T467" s="271">
        <v>5302.0</v>
      </c>
      <c r="U467" s="62">
        <v>1.0</v>
      </c>
      <c r="V467" s="277">
        <v>0.125</v>
      </c>
      <c r="W467" s="277">
        <v>0.125</v>
      </c>
      <c r="X467" s="271">
        <v>3976.0</v>
      </c>
      <c r="Y467" s="271">
        <v>1325.0</v>
      </c>
      <c r="Z467" s="50" t="b">
        <v>1</v>
      </c>
      <c r="AA467" s="50" t="s">
        <v>138</v>
      </c>
      <c r="AB467" s="50" t="s">
        <v>138</v>
      </c>
    </row>
    <row r="468">
      <c r="A468" s="101" t="s">
        <v>345</v>
      </c>
      <c r="B468" s="101" t="s">
        <v>981</v>
      </c>
      <c r="C468" s="278">
        <v>44079.0</v>
      </c>
      <c r="D468" s="278">
        <v>44104.0</v>
      </c>
      <c r="E468" s="271" t="s">
        <v>331</v>
      </c>
      <c r="F468" s="138" t="s">
        <v>4</v>
      </c>
      <c r="G468" s="271" t="s">
        <v>16</v>
      </c>
      <c r="H468" s="273" t="s">
        <v>76</v>
      </c>
      <c r="I468" s="274">
        <v>50.0</v>
      </c>
      <c r="J468" s="271">
        <v>37.0</v>
      </c>
      <c r="K468" s="271">
        <f t="shared" si="1"/>
        <v>1850</v>
      </c>
      <c r="L468" s="271">
        <v>821.0</v>
      </c>
      <c r="M468" s="271">
        <v>100.0</v>
      </c>
      <c r="N468" s="275">
        <v>65.44</v>
      </c>
      <c r="O468" s="60"/>
      <c r="P468" s="50">
        <v>65.0</v>
      </c>
      <c r="Q468" s="271">
        <v>29.0</v>
      </c>
      <c r="R468" s="276">
        <v>-0.00102</v>
      </c>
      <c r="S468" s="271">
        <v>27.0</v>
      </c>
      <c r="T468" s="271">
        <v>93.0</v>
      </c>
      <c r="U468" s="62">
        <v>1.0</v>
      </c>
      <c r="V468" s="277">
        <v>0.125</v>
      </c>
      <c r="W468" s="277">
        <v>0.125</v>
      </c>
      <c r="X468" s="271">
        <v>70.0</v>
      </c>
      <c r="Y468" s="271">
        <v>23.0</v>
      </c>
      <c r="Z468" s="50" t="b">
        <v>1</v>
      </c>
      <c r="AA468" s="50" t="s">
        <v>138</v>
      </c>
      <c r="AB468" s="50" t="s">
        <v>138</v>
      </c>
    </row>
    <row r="469">
      <c r="A469" s="101" t="s">
        <v>459</v>
      </c>
      <c r="B469" s="101" t="s">
        <v>912</v>
      </c>
      <c r="C469" s="278">
        <v>44075.0</v>
      </c>
      <c r="D469" s="278">
        <v>44104.0</v>
      </c>
      <c r="E469" s="271" t="s">
        <v>331</v>
      </c>
      <c r="F469" s="138" t="s">
        <v>8</v>
      </c>
      <c r="G469" s="280" t="s">
        <v>9</v>
      </c>
      <c r="H469" s="273" t="s">
        <v>68</v>
      </c>
      <c r="I469" s="274">
        <v>25.0</v>
      </c>
      <c r="J469" s="271">
        <v>2082.0</v>
      </c>
      <c r="K469" s="271">
        <f t="shared" si="1"/>
        <v>52050</v>
      </c>
      <c r="L469" s="271">
        <v>123010.0</v>
      </c>
      <c r="M469" s="271">
        <v>1500.0</v>
      </c>
      <c r="N469" s="275">
        <v>1295.0</v>
      </c>
      <c r="O469" s="60"/>
      <c r="P469" s="109">
        <v>1295.0</v>
      </c>
      <c r="Q469" s="271">
        <v>1053.0</v>
      </c>
      <c r="R469" s="276">
        <v>0.002429</v>
      </c>
      <c r="S469" s="271">
        <v>1179.0</v>
      </c>
      <c r="T469" s="271">
        <v>2474.0</v>
      </c>
      <c r="U469" s="62">
        <v>1.0</v>
      </c>
      <c r="V469" s="277">
        <v>0.21</v>
      </c>
      <c r="W469" s="277">
        <v>0.11</v>
      </c>
      <c r="X469" s="271">
        <v>1682.0</v>
      </c>
      <c r="Y469" s="271">
        <v>792.0</v>
      </c>
      <c r="Z469" s="50" t="b">
        <v>1</v>
      </c>
      <c r="AA469" s="50" t="s">
        <v>140</v>
      </c>
      <c r="AB469" s="50" t="s">
        <v>140</v>
      </c>
    </row>
    <row r="470">
      <c r="A470" s="101" t="s">
        <v>267</v>
      </c>
      <c r="B470" s="101" t="s">
        <v>267</v>
      </c>
      <c r="C470" s="278">
        <v>44095.0</v>
      </c>
      <c r="D470" s="278">
        <v>44124.0</v>
      </c>
      <c r="E470" s="271" t="s">
        <v>268</v>
      </c>
      <c r="F470" s="138" t="s">
        <v>4</v>
      </c>
      <c r="G470" s="101" t="s">
        <v>5</v>
      </c>
      <c r="H470" s="273" t="s">
        <v>37</v>
      </c>
      <c r="I470" s="63">
        <v>5.0</v>
      </c>
      <c r="J470" s="74">
        <v>10.0</v>
      </c>
      <c r="K470" s="271">
        <f t="shared" si="1"/>
        <v>50</v>
      </c>
      <c r="L470" s="271">
        <v>-1808.0</v>
      </c>
      <c r="M470" s="271">
        <v>-40.0</v>
      </c>
      <c r="N470" s="275"/>
      <c r="O470" s="60"/>
      <c r="P470" s="101"/>
      <c r="Q470" s="271">
        <v>-31.0</v>
      </c>
      <c r="R470" s="276">
        <v>-0.00102</v>
      </c>
      <c r="S470" s="271">
        <v>-31.0</v>
      </c>
      <c r="T470" s="271">
        <v>-31.0</v>
      </c>
      <c r="U470" s="62">
        <v>1.0</v>
      </c>
      <c r="V470" s="277">
        <v>0.17</v>
      </c>
      <c r="W470" s="277">
        <v>0.0</v>
      </c>
      <c r="X470" s="271">
        <v>-26.0</v>
      </c>
      <c r="Y470" s="271">
        <v>-5.0</v>
      </c>
      <c r="Z470" s="50" t="b">
        <v>1</v>
      </c>
      <c r="AA470" s="50" t="s">
        <v>138</v>
      </c>
      <c r="AB470" s="50" t="s">
        <v>138</v>
      </c>
    </row>
    <row r="471">
      <c r="A471" s="101" t="s">
        <v>267</v>
      </c>
      <c r="B471" s="101" t="s">
        <v>267</v>
      </c>
      <c r="C471" s="278">
        <v>44095.0</v>
      </c>
      <c r="D471" s="278">
        <v>44124.0</v>
      </c>
      <c r="E471" s="271" t="s">
        <v>268</v>
      </c>
      <c r="F471" s="138" t="s">
        <v>4</v>
      </c>
      <c r="G471" s="101" t="s">
        <v>5</v>
      </c>
      <c r="H471" s="114" t="s">
        <v>982</v>
      </c>
      <c r="I471" s="63">
        <v>10.0</v>
      </c>
      <c r="J471" s="74">
        <v>504.0</v>
      </c>
      <c r="K471" s="271">
        <f t="shared" si="1"/>
        <v>5040</v>
      </c>
      <c r="L471" s="271">
        <v>21139.0</v>
      </c>
      <c r="M471" s="271">
        <v>710.0</v>
      </c>
      <c r="N471" s="275">
        <v>71.0</v>
      </c>
      <c r="O471" s="60"/>
      <c r="P471" s="50">
        <v>71.0</v>
      </c>
      <c r="Q471" s="271">
        <v>221.0</v>
      </c>
      <c r="R471" s="276">
        <v>-0.00102</v>
      </c>
      <c r="S471" s="271">
        <v>216.0</v>
      </c>
      <c r="T471" s="271">
        <v>287.0</v>
      </c>
      <c r="U471" s="62">
        <v>1.0</v>
      </c>
      <c r="V471" s="277">
        <v>0.17</v>
      </c>
      <c r="W471" s="277">
        <v>0.0</v>
      </c>
      <c r="X471" s="271">
        <v>238.0</v>
      </c>
      <c r="Y471" s="271">
        <v>49.0</v>
      </c>
      <c r="Z471" s="50" t="b">
        <v>1</v>
      </c>
      <c r="AA471" s="50" t="s">
        <v>138</v>
      </c>
      <c r="AB471" s="50" t="s">
        <v>138</v>
      </c>
    </row>
    <row r="472">
      <c r="A472" s="101" t="s">
        <v>267</v>
      </c>
      <c r="B472" s="101" t="s">
        <v>267</v>
      </c>
      <c r="C472" s="278">
        <v>44095.0</v>
      </c>
      <c r="D472" s="278">
        <v>44124.0</v>
      </c>
      <c r="E472" s="271" t="s">
        <v>268</v>
      </c>
      <c r="F472" s="138" t="s">
        <v>4</v>
      </c>
      <c r="G472" s="101" t="s">
        <v>5</v>
      </c>
      <c r="H472" s="114" t="s">
        <v>62</v>
      </c>
      <c r="I472" s="63">
        <v>25.0</v>
      </c>
      <c r="J472" s="74">
        <v>238.0</v>
      </c>
      <c r="K472" s="271">
        <f t="shared" si="1"/>
        <v>5950</v>
      </c>
      <c r="L472" s="271">
        <v>16058.0</v>
      </c>
      <c r="M472" s="271">
        <v>400.0</v>
      </c>
      <c r="N472" s="275">
        <v>63.0</v>
      </c>
      <c r="O472" s="60"/>
      <c r="P472" s="50">
        <v>63.0</v>
      </c>
      <c r="Q472" s="271">
        <v>364.0</v>
      </c>
      <c r="R472" s="276">
        <v>-0.00102</v>
      </c>
      <c r="S472" s="271">
        <v>358.0</v>
      </c>
      <c r="T472" s="271">
        <v>421.0</v>
      </c>
      <c r="U472" s="62">
        <v>1.0</v>
      </c>
      <c r="V472" s="277">
        <v>0.17</v>
      </c>
      <c r="W472" s="277">
        <v>0.0</v>
      </c>
      <c r="X472" s="271">
        <v>349.0</v>
      </c>
      <c r="Y472" s="271">
        <v>71.0</v>
      </c>
      <c r="Z472" s="50" t="b">
        <v>1</v>
      </c>
      <c r="AA472" s="50" t="s">
        <v>138</v>
      </c>
      <c r="AB472" s="50" t="s">
        <v>138</v>
      </c>
    </row>
    <row r="473">
      <c r="A473" s="101" t="s">
        <v>267</v>
      </c>
      <c r="B473" s="101" t="s">
        <v>267</v>
      </c>
      <c r="C473" s="278">
        <v>44095.0</v>
      </c>
      <c r="D473" s="278">
        <v>44124.0</v>
      </c>
      <c r="E473" s="271" t="s">
        <v>268</v>
      </c>
      <c r="F473" s="138" t="s">
        <v>4</v>
      </c>
      <c r="G473" s="101" t="s">
        <v>5</v>
      </c>
      <c r="H473" s="114" t="s">
        <v>63</v>
      </c>
      <c r="I473" s="63">
        <v>25.0</v>
      </c>
      <c r="J473" s="74">
        <v>1202.0</v>
      </c>
      <c r="K473" s="271">
        <f t="shared" si="1"/>
        <v>30050</v>
      </c>
      <c r="L473" s="271">
        <v>32756.0</v>
      </c>
      <c r="M473" s="271">
        <v>700.0</v>
      </c>
      <c r="N473" s="275">
        <v>316.0</v>
      </c>
      <c r="O473" s="60"/>
      <c r="P473" s="50">
        <v>316.0</v>
      </c>
      <c r="Q473" s="271">
        <v>608.0</v>
      </c>
      <c r="R473" s="276">
        <v>-0.00102</v>
      </c>
      <c r="S473" s="271">
        <v>577.0</v>
      </c>
      <c r="T473" s="271">
        <v>893.0</v>
      </c>
      <c r="U473" s="62">
        <v>1.0</v>
      </c>
      <c r="V473" s="277">
        <v>0.17</v>
      </c>
      <c r="W473" s="277">
        <v>0.0</v>
      </c>
      <c r="X473" s="271">
        <v>741.0</v>
      </c>
      <c r="Y473" s="271">
        <v>152.0</v>
      </c>
      <c r="Z473" s="50" t="b">
        <v>1</v>
      </c>
      <c r="AA473" s="50" t="s">
        <v>138</v>
      </c>
      <c r="AB473" s="50" t="s">
        <v>138</v>
      </c>
    </row>
    <row r="474">
      <c r="A474" s="101" t="s">
        <v>267</v>
      </c>
      <c r="B474" s="101" t="s">
        <v>267</v>
      </c>
      <c r="C474" s="278">
        <v>44095.0</v>
      </c>
      <c r="D474" s="278">
        <v>44124.0</v>
      </c>
      <c r="E474" s="271" t="s">
        <v>268</v>
      </c>
      <c r="F474" s="138" t="s">
        <v>4</v>
      </c>
      <c r="G474" s="101" t="s">
        <v>5</v>
      </c>
      <c r="H474" s="273" t="s">
        <v>966</v>
      </c>
      <c r="I474" s="63">
        <v>50.0</v>
      </c>
      <c r="J474" s="74">
        <v>314.0</v>
      </c>
      <c r="K474" s="271">
        <f t="shared" si="1"/>
        <v>15700</v>
      </c>
      <c r="L474" s="271">
        <v>6290.0</v>
      </c>
      <c r="M474" s="271">
        <v>-600.0</v>
      </c>
      <c r="N474" s="275">
        <v>165.0</v>
      </c>
      <c r="O474" s="60"/>
      <c r="P474" s="50">
        <v>165.0</v>
      </c>
      <c r="Q474" s="271">
        <v>-422.0</v>
      </c>
      <c r="R474" s="276">
        <v>-0.00102</v>
      </c>
      <c r="S474" s="271">
        <v>-438.0</v>
      </c>
      <c r="T474" s="271">
        <v>-273.0</v>
      </c>
      <c r="U474" s="62">
        <v>1.0</v>
      </c>
      <c r="V474" s="277">
        <v>0.17</v>
      </c>
      <c r="W474" s="277">
        <v>0.0</v>
      </c>
      <c r="X474" s="271">
        <v>-227.0</v>
      </c>
      <c r="Y474" s="271">
        <v>-46.0</v>
      </c>
      <c r="Z474" s="50" t="b">
        <v>1</v>
      </c>
      <c r="AA474" s="50" t="s">
        <v>138</v>
      </c>
      <c r="AB474" s="50" t="s">
        <v>138</v>
      </c>
    </row>
    <row r="475">
      <c r="A475" s="101" t="s">
        <v>267</v>
      </c>
      <c r="B475" s="101" t="s">
        <v>267</v>
      </c>
      <c r="C475" s="278">
        <v>44095.0</v>
      </c>
      <c r="D475" s="278">
        <v>44124.0</v>
      </c>
      <c r="E475" s="271" t="s">
        <v>268</v>
      </c>
      <c r="F475" s="138" t="s">
        <v>4</v>
      </c>
      <c r="G475" s="101" t="s">
        <v>5</v>
      </c>
      <c r="H475" s="114" t="s">
        <v>974</v>
      </c>
      <c r="I475" s="63">
        <v>50.0</v>
      </c>
      <c r="J475" s="74">
        <v>384.0</v>
      </c>
      <c r="K475" s="271">
        <f t="shared" si="1"/>
        <v>19200</v>
      </c>
      <c r="L475" s="271">
        <v>3825.0</v>
      </c>
      <c r="M475" s="271">
        <v>-1550.0</v>
      </c>
      <c r="N475" s="275">
        <v>202.0</v>
      </c>
      <c r="O475" s="60"/>
      <c r="P475" s="50">
        <v>202.0</v>
      </c>
      <c r="Q475" s="271">
        <v>-621.0</v>
      </c>
      <c r="R475" s="276">
        <v>-0.00102</v>
      </c>
      <c r="S475" s="271">
        <v>-641.0</v>
      </c>
      <c r="T475" s="271">
        <v>-439.0</v>
      </c>
      <c r="U475" s="62">
        <v>1.0</v>
      </c>
      <c r="V475" s="277">
        <v>0.17</v>
      </c>
      <c r="W475" s="277">
        <v>0.0</v>
      </c>
      <c r="X475" s="271">
        <v>-364.0</v>
      </c>
      <c r="Y475" s="271">
        <v>-75.0</v>
      </c>
      <c r="Z475" s="50" t="b">
        <v>1</v>
      </c>
      <c r="AA475" s="50" t="s">
        <v>138</v>
      </c>
      <c r="AB475" s="50" t="s">
        <v>138</v>
      </c>
    </row>
    <row r="476">
      <c r="A476" s="101" t="s">
        <v>144</v>
      </c>
      <c r="B476" s="101" t="s">
        <v>144</v>
      </c>
      <c r="C476" s="278">
        <v>44095.0</v>
      </c>
      <c r="D476" s="278">
        <v>44124.0</v>
      </c>
      <c r="E476" s="271" t="s">
        <v>268</v>
      </c>
      <c r="F476" s="138" t="s">
        <v>4</v>
      </c>
      <c r="G476" s="271" t="s">
        <v>9</v>
      </c>
      <c r="H476" s="273" t="s">
        <v>983</v>
      </c>
      <c r="I476" s="274">
        <v>5.0</v>
      </c>
      <c r="J476" s="271">
        <v>140.0</v>
      </c>
      <c r="K476" s="271">
        <f t="shared" si="1"/>
        <v>700</v>
      </c>
      <c r="L476" s="271">
        <v>20823.0</v>
      </c>
      <c r="M476" s="271">
        <v>300.0</v>
      </c>
      <c r="N476" s="275"/>
      <c r="O476" s="60"/>
      <c r="P476" s="101"/>
      <c r="Q476" s="271">
        <v>128.0</v>
      </c>
      <c r="R476" s="276">
        <v>-0.00102</v>
      </c>
      <c r="S476" s="271">
        <v>128.0</v>
      </c>
      <c r="T476" s="271">
        <v>128.0</v>
      </c>
      <c r="U476" s="62">
        <v>1.0</v>
      </c>
      <c r="V476" s="277">
        <v>0.3</v>
      </c>
      <c r="W476" s="277">
        <v>0.0</v>
      </c>
      <c r="X476" s="271">
        <v>89.0</v>
      </c>
      <c r="Y476" s="271">
        <v>38.0</v>
      </c>
      <c r="Z476" s="50" t="b">
        <v>1</v>
      </c>
      <c r="AA476" s="50" t="s">
        <v>140</v>
      </c>
      <c r="AB476" s="50" t="s">
        <v>140</v>
      </c>
    </row>
    <row r="477">
      <c r="A477" s="101" t="s">
        <v>144</v>
      </c>
      <c r="B477" s="101" t="s">
        <v>144</v>
      </c>
      <c r="C477" s="278">
        <v>44095.0</v>
      </c>
      <c r="D477" s="278">
        <v>44124.0</v>
      </c>
      <c r="E477" s="271" t="s">
        <v>268</v>
      </c>
      <c r="F477" s="138" t="s">
        <v>4</v>
      </c>
      <c r="G477" s="271" t="s">
        <v>9</v>
      </c>
      <c r="H477" s="273" t="s">
        <v>55</v>
      </c>
      <c r="I477" s="274">
        <v>10.0</v>
      </c>
      <c r="J477" s="271">
        <v>915.0</v>
      </c>
      <c r="K477" s="271">
        <f t="shared" si="1"/>
        <v>9150</v>
      </c>
      <c r="L477" s="271">
        <v>73990.0</v>
      </c>
      <c r="M477" s="271">
        <v>1030.0</v>
      </c>
      <c r="N477" s="275">
        <v>1.0</v>
      </c>
      <c r="O477" s="60"/>
      <c r="P477" s="50">
        <v>1.0</v>
      </c>
      <c r="Q477" s="271">
        <v>548.0</v>
      </c>
      <c r="R477" s="276">
        <v>-0.00102</v>
      </c>
      <c r="S477" s="271">
        <v>539.0</v>
      </c>
      <c r="T477" s="271">
        <v>540.0</v>
      </c>
      <c r="U477" s="62">
        <v>1.0</v>
      </c>
      <c r="V477" s="277">
        <v>0.3</v>
      </c>
      <c r="W477" s="277">
        <v>0.0</v>
      </c>
      <c r="X477" s="271">
        <v>378.0</v>
      </c>
      <c r="Y477" s="271">
        <v>162.0</v>
      </c>
      <c r="Z477" s="50" t="b">
        <v>1</v>
      </c>
      <c r="AA477" s="50" t="s">
        <v>140</v>
      </c>
      <c r="AB477" s="50" t="s">
        <v>140</v>
      </c>
    </row>
    <row r="478">
      <c r="A478" s="101" t="s">
        <v>144</v>
      </c>
      <c r="B478" s="101" t="s">
        <v>144</v>
      </c>
      <c r="C478" s="278">
        <v>44095.0</v>
      </c>
      <c r="D478" s="278">
        <v>44124.0</v>
      </c>
      <c r="E478" s="271" t="s">
        <v>268</v>
      </c>
      <c r="F478" s="138" t="s">
        <v>4</v>
      </c>
      <c r="G478" s="271" t="s">
        <v>9</v>
      </c>
      <c r="H478" s="273" t="s">
        <v>68</v>
      </c>
      <c r="I478" s="274">
        <v>25.0</v>
      </c>
      <c r="J478" s="271">
        <v>113.0</v>
      </c>
      <c r="K478" s="271">
        <f t="shared" si="1"/>
        <v>2825</v>
      </c>
      <c r="L478" s="271">
        <v>3916.0</v>
      </c>
      <c r="M478" s="271">
        <v>150.0</v>
      </c>
      <c r="N478" s="275"/>
      <c r="O478" s="60"/>
      <c r="P478" s="101"/>
      <c r="Q478" s="271">
        <v>-68.0</v>
      </c>
      <c r="R478" s="276">
        <v>-0.00102</v>
      </c>
      <c r="S478" s="271">
        <v>-71.0</v>
      </c>
      <c r="T478" s="271">
        <v>-71.0</v>
      </c>
      <c r="U478" s="62">
        <v>1.0</v>
      </c>
      <c r="V478" s="277">
        <v>0.3</v>
      </c>
      <c r="W478" s="277">
        <v>0.0</v>
      </c>
      <c r="X478" s="271">
        <v>-50.0</v>
      </c>
      <c r="Y478" s="271">
        <v>-21.0</v>
      </c>
      <c r="Z478" s="50" t="b">
        <v>1</v>
      </c>
      <c r="AA478" s="50" t="s">
        <v>140</v>
      </c>
      <c r="AB478" s="50" t="s">
        <v>140</v>
      </c>
    </row>
    <row r="479">
      <c r="A479" s="101" t="s">
        <v>148</v>
      </c>
      <c r="B479" s="101" t="s">
        <v>148</v>
      </c>
      <c r="C479" s="278">
        <v>44095.0</v>
      </c>
      <c r="D479" s="278">
        <v>44124.0</v>
      </c>
      <c r="E479" s="271" t="s">
        <v>331</v>
      </c>
      <c r="F479" s="138" t="s">
        <v>4</v>
      </c>
      <c r="G479" s="101" t="s">
        <v>5</v>
      </c>
      <c r="H479" s="273" t="s">
        <v>62</v>
      </c>
      <c r="I479" s="63">
        <v>25.0</v>
      </c>
      <c r="J479" s="74">
        <v>565.0</v>
      </c>
      <c r="K479" s="271">
        <f t="shared" si="1"/>
        <v>14125</v>
      </c>
      <c r="L479" s="280">
        <v>-4536.0</v>
      </c>
      <c r="M479" s="280">
        <v>-1975.0</v>
      </c>
      <c r="N479" s="275">
        <v>339.0</v>
      </c>
      <c r="O479" s="60"/>
      <c r="P479" s="50">
        <v>339.0</v>
      </c>
      <c r="Q479" s="280">
        <v>-1114.0</v>
      </c>
      <c r="R479" s="276">
        <v>-0.00102</v>
      </c>
      <c r="S479" s="280">
        <v>-1129.0</v>
      </c>
      <c r="T479" s="280">
        <v>-790.0</v>
      </c>
      <c r="U479" s="62">
        <v>1.0</v>
      </c>
      <c r="V479" s="277">
        <v>0.25</v>
      </c>
      <c r="W479" s="277">
        <v>0.1</v>
      </c>
      <c r="X479" s="280">
        <v>-513.0</v>
      </c>
      <c r="Y479" s="280">
        <v>-276.0</v>
      </c>
      <c r="Z479" s="50" t="b">
        <v>1</v>
      </c>
      <c r="AA479" s="50" t="s">
        <v>138</v>
      </c>
      <c r="AB479" s="50" t="s">
        <v>138</v>
      </c>
    </row>
    <row r="480">
      <c r="A480" s="101" t="s">
        <v>148</v>
      </c>
      <c r="B480" s="101" t="s">
        <v>148</v>
      </c>
      <c r="C480" s="278">
        <v>44095.0</v>
      </c>
      <c r="D480" s="278">
        <v>44124.0</v>
      </c>
      <c r="E480" s="271" t="s">
        <v>331</v>
      </c>
      <c r="F480" s="138" t="s">
        <v>4</v>
      </c>
      <c r="G480" s="101" t="s">
        <v>5</v>
      </c>
      <c r="H480" s="273" t="s">
        <v>966</v>
      </c>
      <c r="I480" s="63">
        <v>50.0</v>
      </c>
      <c r="J480" s="74">
        <v>3577.0</v>
      </c>
      <c r="K480" s="271">
        <f t="shared" si="1"/>
        <v>178850</v>
      </c>
      <c r="L480" s="280">
        <v>73490.0</v>
      </c>
      <c r="M480" s="280">
        <v>-500.0</v>
      </c>
      <c r="N480" s="275">
        <v>4277.0</v>
      </c>
      <c r="O480" s="60"/>
      <c r="P480" s="109">
        <v>4277.0</v>
      </c>
      <c r="Q480" s="280">
        <v>-4633.0</v>
      </c>
      <c r="R480" s="276">
        <v>-0.00102</v>
      </c>
      <c r="S480" s="280">
        <v>-4815.0</v>
      </c>
      <c r="T480" s="280">
        <v>-538.0</v>
      </c>
      <c r="U480" s="62">
        <v>1.0</v>
      </c>
      <c r="V480" s="277">
        <v>0.25</v>
      </c>
      <c r="W480" s="277">
        <v>0.1</v>
      </c>
      <c r="X480" s="280">
        <v>-350.0</v>
      </c>
      <c r="Y480" s="280">
        <v>-188.0</v>
      </c>
      <c r="Z480" s="50" t="b">
        <v>1</v>
      </c>
      <c r="AA480" s="50" t="s">
        <v>138</v>
      </c>
      <c r="AB480" s="50" t="s">
        <v>138</v>
      </c>
    </row>
    <row r="481">
      <c r="A481" s="101" t="s">
        <v>182</v>
      </c>
      <c r="B481" s="101" t="s">
        <v>182</v>
      </c>
      <c r="C481" s="278">
        <v>44095.0</v>
      </c>
      <c r="D481" s="278">
        <v>44124.0</v>
      </c>
      <c r="E481" s="271" t="s">
        <v>268</v>
      </c>
      <c r="F481" s="101" t="s">
        <v>4</v>
      </c>
      <c r="G481" s="271" t="s">
        <v>5</v>
      </c>
      <c r="H481" s="273" t="s">
        <v>34</v>
      </c>
      <c r="I481" s="274">
        <v>5.0</v>
      </c>
      <c r="J481" s="271">
        <v>1.0</v>
      </c>
      <c r="K481" s="271">
        <f t="shared" si="1"/>
        <v>5</v>
      </c>
      <c r="L481" s="271">
        <v>529.0</v>
      </c>
      <c r="M481" s="271">
        <v>-5.0</v>
      </c>
      <c r="N481" s="275"/>
      <c r="O481" s="60"/>
      <c r="P481" s="101"/>
      <c r="Q481" s="271">
        <v>4.0</v>
      </c>
      <c r="R481" s="276">
        <v>-0.00102</v>
      </c>
      <c r="S481" s="271">
        <v>4.0</v>
      </c>
      <c r="T481" s="271">
        <v>4.0</v>
      </c>
      <c r="U481" s="62">
        <v>1.0</v>
      </c>
      <c r="V481" s="277">
        <v>0.2</v>
      </c>
      <c r="W481" s="277">
        <v>0.0</v>
      </c>
      <c r="X481" s="271">
        <v>4.0</v>
      </c>
      <c r="Y481" s="271">
        <v>1.0</v>
      </c>
      <c r="Z481" s="50" t="b">
        <v>1</v>
      </c>
      <c r="AA481" s="50" t="s">
        <v>138</v>
      </c>
      <c r="AB481" s="50" t="s">
        <v>138</v>
      </c>
    </row>
    <row r="482">
      <c r="A482" s="101" t="s">
        <v>182</v>
      </c>
      <c r="B482" s="101" t="s">
        <v>182</v>
      </c>
      <c r="C482" s="278">
        <v>44095.0</v>
      </c>
      <c r="D482" s="278">
        <v>44124.0</v>
      </c>
      <c r="E482" s="271" t="s">
        <v>268</v>
      </c>
      <c r="F482" s="101" t="s">
        <v>4</v>
      </c>
      <c r="G482" s="271" t="s">
        <v>5</v>
      </c>
      <c r="H482" s="273" t="s">
        <v>47</v>
      </c>
      <c r="I482" s="274">
        <v>10.0</v>
      </c>
      <c r="J482" s="271">
        <v>360.0</v>
      </c>
      <c r="K482" s="271">
        <f t="shared" si="1"/>
        <v>3600</v>
      </c>
      <c r="L482" s="271">
        <v>18188.0</v>
      </c>
      <c r="M482" s="271">
        <v>470.0</v>
      </c>
      <c r="N482" s="275">
        <v>16.0</v>
      </c>
      <c r="O482" s="60"/>
      <c r="P482" s="50">
        <v>16.0</v>
      </c>
      <c r="Q482" s="271">
        <v>28.0</v>
      </c>
      <c r="R482" s="276">
        <v>-0.00102</v>
      </c>
      <c r="S482" s="271">
        <v>25.0</v>
      </c>
      <c r="T482" s="271">
        <v>41.0</v>
      </c>
      <c r="U482" s="62">
        <v>1.0</v>
      </c>
      <c r="V482" s="277">
        <v>0.2</v>
      </c>
      <c r="W482" s="277">
        <v>0.0</v>
      </c>
      <c r="X482" s="271">
        <v>33.0</v>
      </c>
      <c r="Y482" s="271">
        <v>8.0</v>
      </c>
      <c r="Z482" s="50" t="b">
        <v>1</v>
      </c>
      <c r="AA482" s="50" t="s">
        <v>138</v>
      </c>
      <c r="AB482" s="50" t="s">
        <v>138</v>
      </c>
    </row>
    <row r="483">
      <c r="A483" s="101" t="s">
        <v>182</v>
      </c>
      <c r="B483" s="101" t="s">
        <v>182</v>
      </c>
      <c r="C483" s="278">
        <v>44095.0</v>
      </c>
      <c r="D483" s="278">
        <v>44124.0</v>
      </c>
      <c r="E483" s="271" t="s">
        <v>268</v>
      </c>
      <c r="F483" s="101" t="s">
        <v>4</v>
      </c>
      <c r="G483" s="271" t="s">
        <v>5</v>
      </c>
      <c r="H483" s="273" t="s">
        <v>62</v>
      </c>
      <c r="I483" s="274">
        <v>25.0</v>
      </c>
      <c r="J483" s="271">
        <v>1946.0</v>
      </c>
      <c r="K483" s="271">
        <f t="shared" si="1"/>
        <v>48650</v>
      </c>
      <c r="L483" s="271">
        <v>24902.0</v>
      </c>
      <c r="M483" s="271">
        <v>-1700.0</v>
      </c>
      <c r="N483" s="275">
        <v>166.0</v>
      </c>
      <c r="O483" s="60"/>
      <c r="P483" s="50">
        <v>166.0</v>
      </c>
      <c r="Q483" s="271">
        <v>-1959.0</v>
      </c>
      <c r="R483" s="276">
        <v>-0.00102</v>
      </c>
      <c r="S483" s="271">
        <v>-2009.0</v>
      </c>
      <c r="T483" s="271">
        <v>-1843.0</v>
      </c>
      <c r="U483" s="62">
        <v>1.0</v>
      </c>
      <c r="V483" s="277">
        <v>0.2</v>
      </c>
      <c r="W483" s="277">
        <v>0.0</v>
      </c>
      <c r="X483" s="271">
        <v>-1474.0</v>
      </c>
      <c r="Y483" s="271">
        <v>-369.0</v>
      </c>
      <c r="Z483" s="50" t="b">
        <v>1</v>
      </c>
      <c r="AA483" s="50" t="s">
        <v>138</v>
      </c>
      <c r="AB483" s="50" t="s">
        <v>138</v>
      </c>
    </row>
    <row r="484">
      <c r="A484" s="101" t="s">
        <v>199</v>
      </c>
      <c r="B484" s="101" t="s">
        <v>199</v>
      </c>
      <c r="C484" s="278">
        <v>44095.0</v>
      </c>
      <c r="D484" s="278">
        <v>44124.0</v>
      </c>
      <c r="E484" s="271" t="s">
        <v>268</v>
      </c>
      <c r="F484" s="138" t="s">
        <v>4</v>
      </c>
      <c r="G484" s="101" t="s">
        <v>5</v>
      </c>
      <c r="H484" s="273" t="s">
        <v>34</v>
      </c>
      <c r="I484" s="63">
        <v>5.0</v>
      </c>
      <c r="J484" s="74">
        <v>1375.0</v>
      </c>
      <c r="K484" s="271">
        <f t="shared" si="1"/>
        <v>6875</v>
      </c>
      <c r="L484" s="280">
        <v>104302.0</v>
      </c>
      <c r="M484" s="280">
        <v>40.0</v>
      </c>
      <c r="N484" s="275"/>
      <c r="O484" s="60"/>
      <c r="P484" s="101"/>
      <c r="Q484" s="280">
        <v>421.0</v>
      </c>
      <c r="R484" s="276">
        <v>-0.00102</v>
      </c>
      <c r="S484" s="280">
        <v>414.0</v>
      </c>
      <c r="T484" s="280">
        <v>414.0</v>
      </c>
      <c r="U484" s="62">
        <v>1.0</v>
      </c>
      <c r="V484" s="277">
        <v>0.2</v>
      </c>
      <c r="W484" s="277">
        <v>0.0</v>
      </c>
      <c r="X484" s="280">
        <v>331.0</v>
      </c>
      <c r="Y484" s="280">
        <v>83.0</v>
      </c>
      <c r="Z484" s="50" t="b">
        <v>1</v>
      </c>
      <c r="AA484" s="50" t="s">
        <v>138</v>
      </c>
      <c r="AB484" s="50" t="s">
        <v>138</v>
      </c>
    </row>
    <row r="485">
      <c r="A485" s="101" t="s">
        <v>546</v>
      </c>
      <c r="B485" s="101" t="s">
        <v>546</v>
      </c>
      <c r="C485" s="278">
        <v>44095.0</v>
      </c>
      <c r="D485" s="278">
        <v>44124.0</v>
      </c>
      <c r="E485" s="271" t="s">
        <v>331</v>
      </c>
      <c r="F485" s="101" t="s">
        <v>4</v>
      </c>
      <c r="G485" s="101" t="s">
        <v>5</v>
      </c>
      <c r="H485" s="273" t="s">
        <v>966</v>
      </c>
      <c r="I485" s="63">
        <v>50.0</v>
      </c>
      <c r="J485" s="74">
        <v>3.0</v>
      </c>
      <c r="K485" s="271">
        <f t="shared" si="1"/>
        <v>150</v>
      </c>
      <c r="L485" s="271">
        <v>1077.0</v>
      </c>
      <c r="M485" s="271">
        <v>250.0</v>
      </c>
      <c r="N485" s="275">
        <v>1.0</v>
      </c>
      <c r="O485" s="60"/>
      <c r="P485" s="50">
        <v>1.0</v>
      </c>
      <c r="Q485" s="271">
        <v>91.0</v>
      </c>
      <c r="R485" s="276">
        <v>-0.00102</v>
      </c>
      <c r="S485" s="271">
        <v>91.0</v>
      </c>
      <c r="T485" s="271">
        <v>92.0</v>
      </c>
      <c r="U485" s="62">
        <v>1.0</v>
      </c>
      <c r="V485" s="277">
        <v>0.135</v>
      </c>
      <c r="W485" s="277">
        <v>0.045</v>
      </c>
      <c r="X485" s="271">
        <v>75.0</v>
      </c>
      <c r="Y485" s="271">
        <v>17.0</v>
      </c>
      <c r="Z485" s="50" t="b">
        <v>1</v>
      </c>
      <c r="AA485" s="50" t="s">
        <v>138</v>
      </c>
      <c r="AB485" s="50" t="s">
        <v>138</v>
      </c>
    </row>
    <row r="486">
      <c r="A486" s="101" t="s">
        <v>546</v>
      </c>
      <c r="B486" s="101" t="s">
        <v>546</v>
      </c>
      <c r="C486" s="278">
        <v>44095.0</v>
      </c>
      <c r="D486" s="278">
        <v>44124.0</v>
      </c>
      <c r="E486" s="271" t="s">
        <v>331</v>
      </c>
      <c r="F486" s="101" t="s">
        <v>4</v>
      </c>
      <c r="G486" s="101" t="s">
        <v>5</v>
      </c>
      <c r="H486" s="114" t="s">
        <v>85</v>
      </c>
      <c r="I486" s="63">
        <v>100.0</v>
      </c>
      <c r="J486" s="74">
        <v>1981.0</v>
      </c>
      <c r="K486" s="271">
        <f t="shared" si="1"/>
        <v>198100</v>
      </c>
      <c r="L486" s="271">
        <v>87501.0</v>
      </c>
      <c r="M486" s="271">
        <v>-700.0</v>
      </c>
      <c r="N486" s="275">
        <v>1162.0</v>
      </c>
      <c r="O486" s="60"/>
      <c r="P486" s="109">
        <v>1162.0</v>
      </c>
      <c r="Q486" s="271">
        <v>5733.0</v>
      </c>
      <c r="R486" s="276">
        <v>-0.00102</v>
      </c>
      <c r="S486" s="271">
        <v>5531.0</v>
      </c>
      <c r="T486" s="271">
        <v>6693.0</v>
      </c>
      <c r="U486" s="62">
        <v>1.0</v>
      </c>
      <c r="V486" s="277">
        <v>0.135</v>
      </c>
      <c r="W486" s="277">
        <v>0.045</v>
      </c>
      <c r="X486" s="271">
        <v>5488.0</v>
      </c>
      <c r="Y486" s="271">
        <v>1205.0</v>
      </c>
      <c r="Z486" s="50" t="b">
        <v>1</v>
      </c>
      <c r="AA486" s="50" t="s">
        <v>138</v>
      </c>
      <c r="AB486" s="50" t="s">
        <v>138</v>
      </c>
    </row>
    <row r="487">
      <c r="A487" s="101" t="s">
        <v>546</v>
      </c>
      <c r="B487" s="101" t="s">
        <v>546</v>
      </c>
      <c r="C487" s="278">
        <v>44095.0</v>
      </c>
      <c r="D487" s="278">
        <v>44124.0</v>
      </c>
      <c r="E487" s="271" t="s">
        <v>331</v>
      </c>
      <c r="F487" s="101" t="s">
        <v>4</v>
      </c>
      <c r="G487" s="101" t="s">
        <v>5</v>
      </c>
      <c r="H487" s="273" t="s">
        <v>984</v>
      </c>
      <c r="I487" s="63">
        <v>250.0</v>
      </c>
      <c r="J487" s="74">
        <v>1014.0</v>
      </c>
      <c r="K487" s="271">
        <f t="shared" si="1"/>
        <v>253500</v>
      </c>
      <c r="L487" s="271">
        <v>22256.0</v>
      </c>
      <c r="M487" s="271">
        <v>-1500.0</v>
      </c>
      <c r="N487" s="275">
        <v>1487.0</v>
      </c>
      <c r="O487" s="60"/>
      <c r="P487" s="109">
        <v>1487.0</v>
      </c>
      <c r="Q487" s="271">
        <v>-2509.0</v>
      </c>
      <c r="R487" s="276">
        <v>-0.00102</v>
      </c>
      <c r="S487" s="271">
        <v>-2767.0</v>
      </c>
      <c r="T487" s="271">
        <v>-1280.0</v>
      </c>
      <c r="U487" s="62">
        <v>1.0</v>
      </c>
      <c r="V487" s="277">
        <v>0.15</v>
      </c>
      <c r="W487" s="277">
        <v>0.05</v>
      </c>
      <c r="X487" s="271">
        <v>-1024.0</v>
      </c>
      <c r="Y487" s="271">
        <v>-256.0</v>
      </c>
      <c r="Z487" s="50" t="b">
        <v>1</v>
      </c>
      <c r="AA487" s="50" t="s">
        <v>138</v>
      </c>
      <c r="AB487" s="50" t="s">
        <v>138</v>
      </c>
    </row>
    <row r="488">
      <c r="A488" s="101" t="s">
        <v>546</v>
      </c>
      <c r="B488" s="101" t="s">
        <v>546</v>
      </c>
      <c r="C488" s="278">
        <v>44095.0</v>
      </c>
      <c r="D488" s="278">
        <v>44124.0</v>
      </c>
      <c r="E488" s="271" t="s">
        <v>331</v>
      </c>
      <c r="F488" s="101" t="s">
        <v>12</v>
      </c>
      <c r="G488" s="101" t="s">
        <v>5</v>
      </c>
      <c r="H488" s="273" t="s">
        <v>101</v>
      </c>
      <c r="I488" s="63">
        <v>500.0</v>
      </c>
      <c r="J488" s="74">
        <v>1.0</v>
      </c>
      <c r="K488" s="271">
        <f t="shared" si="1"/>
        <v>500</v>
      </c>
      <c r="L488" s="271"/>
      <c r="M488" s="271">
        <v>-500.0</v>
      </c>
      <c r="N488" s="275">
        <v>3.0</v>
      </c>
      <c r="O488" s="60"/>
      <c r="P488" s="50">
        <v>3.0</v>
      </c>
      <c r="Q488" s="271"/>
      <c r="R488" s="276">
        <v>0.0</v>
      </c>
      <c r="S488" s="271"/>
      <c r="T488" s="271">
        <v>-497.0</v>
      </c>
      <c r="U488" s="62">
        <v>1.0</v>
      </c>
      <c r="V488" s="277">
        <v>0.15</v>
      </c>
      <c r="W488" s="277">
        <v>0.05</v>
      </c>
      <c r="X488" s="271">
        <v>-398.0</v>
      </c>
      <c r="Y488" s="271">
        <v>-99.0</v>
      </c>
      <c r="Z488" s="50" t="b">
        <v>1</v>
      </c>
      <c r="AA488" s="50" t="s">
        <v>138</v>
      </c>
      <c r="AB488" s="50" t="s">
        <v>138</v>
      </c>
    </row>
    <row r="489">
      <c r="A489" s="101" t="s">
        <v>207</v>
      </c>
      <c r="B489" s="101" t="s">
        <v>207</v>
      </c>
      <c r="C489" s="278">
        <v>44095.0</v>
      </c>
      <c r="D489" s="278">
        <v>44124.0</v>
      </c>
      <c r="E489" s="271" t="s">
        <v>268</v>
      </c>
      <c r="F489" s="101" t="s">
        <v>4</v>
      </c>
      <c r="G489" s="271" t="s">
        <v>5</v>
      </c>
      <c r="H489" s="273" t="s">
        <v>34</v>
      </c>
      <c r="I489" s="274">
        <v>5.0</v>
      </c>
      <c r="J489" s="271">
        <v>1854.0</v>
      </c>
      <c r="K489" s="271">
        <f t="shared" si="1"/>
        <v>9270</v>
      </c>
      <c r="L489" s="271">
        <v>126350.0</v>
      </c>
      <c r="M489" s="271">
        <v>405.0</v>
      </c>
      <c r="N489" s="275">
        <v>33.0</v>
      </c>
      <c r="O489" s="60"/>
      <c r="P489" s="50">
        <v>33.0</v>
      </c>
      <c r="Q489" s="271">
        <v>473.0</v>
      </c>
      <c r="R489" s="276">
        <v>-0.00102</v>
      </c>
      <c r="S489" s="271">
        <v>463.0</v>
      </c>
      <c r="T489" s="271">
        <v>496.0</v>
      </c>
      <c r="U489" s="62">
        <v>1.0</v>
      </c>
      <c r="V489" s="277">
        <v>0.25</v>
      </c>
      <c r="W489" s="277">
        <v>0.0</v>
      </c>
      <c r="X489" s="271">
        <v>372.0</v>
      </c>
      <c r="Y489" s="271">
        <v>124.0</v>
      </c>
      <c r="Z489" s="50" t="b">
        <v>1</v>
      </c>
      <c r="AA489" s="50" t="s">
        <v>138</v>
      </c>
      <c r="AB489" s="50" t="s">
        <v>138</v>
      </c>
    </row>
    <row r="490">
      <c r="A490" s="101" t="s">
        <v>207</v>
      </c>
      <c r="B490" s="101" t="s">
        <v>207</v>
      </c>
      <c r="C490" s="278">
        <v>44095.0</v>
      </c>
      <c r="D490" s="278">
        <v>44124.0</v>
      </c>
      <c r="E490" s="271" t="s">
        <v>268</v>
      </c>
      <c r="F490" s="101" t="s">
        <v>4</v>
      </c>
      <c r="G490" s="271" t="s">
        <v>5</v>
      </c>
      <c r="H490" s="273" t="s">
        <v>47</v>
      </c>
      <c r="I490" s="274">
        <v>10.0</v>
      </c>
      <c r="J490" s="271">
        <v>510.0</v>
      </c>
      <c r="K490" s="271">
        <f t="shared" si="1"/>
        <v>5100</v>
      </c>
      <c r="L490" s="271">
        <v>38720.0</v>
      </c>
      <c r="M490" s="271">
        <v>480.0</v>
      </c>
      <c r="N490" s="275">
        <v>21.0</v>
      </c>
      <c r="O490" s="60"/>
      <c r="P490" s="50">
        <v>21.0</v>
      </c>
      <c r="Q490" s="271">
        <v>274.0</v>
      </c>
      <c r="R490" s="276">
        <v>-0.00102</v>
      </c>
      <c r="S490" s="271">
        <v>269.0</v>
      </c>
      <c r="T490" s="271">
        <v>290.0</v>
      </c>
      <c r="U490" s="62">
        <v>1.0</v>
      </c>
      <c r="V490" s="277">
        <v>0.25</v>
      </c>
      <c r="W490" s="277">
        <v>0.0</v>
      </c>
      <c r="X490" s="271">
        <v>217.0</v>
      </c>
      <c r="Y490" s="271">
        <v>72.0</v>
      </c>
      <c r="Z490" s="50" t="b">
        <v>1</v>
      </c>
      <c r="AA490" s="50" t="s">
        <v>138</v>
      </c>
      <c r="AB490" s="50" t="s">
        <v>138</v>
      </c>
    </row>
    <row r="491">
      <c r="A491" s="101" t="s">
        <v>216</v>
      </c>
      <c r="B491" s="101" t="s">
        <v>985</v>
      </c>
      <c r="C491" s="278">
        <v>44095.0</v>
      </c>
      <c r="D491" s="278">
        <v>44124.0</v>
      </c>
      <c r="E491" s="271" t="s">
        <v>268</v>
      </c>
      <c r="F491" s="138" t="s">
        <v>4</v>
      </c>
      <c r="G491" s="101" t="s">
        <v>16</v>
      </c>
      <c r="H491" s="273" t="s">
        <v>85</v>
      </c>
      <c r="I491" s="63">
        <v>100.0</v>
      </c>
      <c r="J491" s="74">
        <v>3185.0</v>
      </c>
      <c r="K491" s="271">
        <f t="shared" si="1"/>
        <v>318500</v>
      </c>
      <c r="L491" s="271">
        <v>52418.0</v>
      </c>
      <c r="M491" s="271">
        <v>-100.0</v>
      </c>
      <c r="N491" s="275">
        <v>6092.0</v>
      </c>
      <c r="O491" s="60"/>
      <c r="P491" s="109">
        <v>6092.0</v>
      </c>
      <c r="Q491" s="271">
        <v>-7296.0</v>
      </c>
      <c r="R491" s="276">
        <v>-0.00102</v>
      </c>
      <c r="S491" s="271">
        <v>-7621.0</v>
      </c>
      <c r="T491" s="271">
        <v>-1529.0</v>
      </c>
      <c r="U491" s="62">
        <v>1.0</v>
      </c>
      <c r="V491" s="277">
        <v>0.22</v>
      </c>
      <c r="W491" s="277">
        <v>0.0</v>
      </c>
      <c r="X491" s="271">
        <v>-1192.0</v>
      </c>
      <c r="Y491" s="271">
        <v>-336.0</v>
      </c>
      <c r="Z491" s="50" t="b">
        <v>1</v>
      </c>
      <c r="AA491" s="50" t="s">
        <v>138</v>
      </c>
      <c r="AB491" s="50" t="s">
        <v>138</v>
      </c>
    </row>
    <row r="492">
      <c r="A492" s="101" t="s">
        <v>216</v>
      </c>
      <c r="B492" s="101" t="s">
        <v>985</v>
      </c>
      <c r="C492" s="278">
        <v>44095.0</v>
      </c>
      <c r="D492" s="278">
        <v>44124.0</v>
      </c>
      <c r="E492" s="271" t="s">
        <v>268</v>
      </c>
      <c r="F492" s="138" t="s">
        <v>4</v>
      </c>
      <c r="G492" s="101" t="s">
        <v>16</v>
      </c>
      <c r="H492" s="273" t="s">
        <v>74</v>
      </c>
      <c r="I492" s="63">
        <v>50.0</v>
      </c>
      <c r="J492" s="74">
        <v>47.0</v>
      </c>
      <c r="K492" s="271">
        <f t="shared" si="1"/>
        <v>2350</v>
      </c>
      <c r="L492" s="271">
        <v>-1803.0</v>
      </c>
      <c r="M492" s="271">
        <v>-1350.0</v>
      </c>
      <c r="N492" s="275">
        <v>2050.0</v>
      </c>
      <c r="O492" s="60"/>
      <c r="P492" s="109">
        <v>2050.0</v>
      </c>
      <c r="Q492" s="271">
        <v>-297.0</v>
      </c>
      <c r="R492" s="276">
        <v>-0.00102</v>
      </c>
      <c r="S492" s="271">
        <v>-300.0</v>
      </c>
      <c r="T492" s="271">
        <v>1750.0</v>
      </c>
      <c r="U492" s="62">
        <v>1.0</v>
      </c>
      <c r="V492" s="277">
        <v>0.22</v>
      </c>
      <c r="W492" s="277">
        <v>0.0</v>
      </c>
      <c r="X492" s="271">
        <v>1365.0</v>
      </c>
      <c r="Y492" s="271">
        <v>385.0</v>
      </c>
      <c r="Z492" s="50" t="b">
        <v>1</v>
      </c>
      <c r="AA492" s="50" t="s">
        <v>138</v>
      </c>
      <c r="AB492" s="50" t="s">
        <v>138</v>
      </c>
    </row>
    <row r="493">
      <c r="A493" s="101" t="s">
        <v>177</v>
      </c>
      <c r="B493" s="101" t="s">
        <v>177</v>
      </c>
      <c r="C493" s="278">
        <v>44105.0</v>
      </c>
      <c r="D493" s="278">
        <v>44135.0</v>
      </c>
      <c r="E493" s="271" t="s">
        <v>268</v>
      </c>
      <c r="F493" s="138" t="s">
        <v>8</v>
      </c>
      <c r="G493" s="280" t="s">
        <v>5</v>
      </c>
      <c r="H493" s="273" t="s">
        <v>85</v>
      </c>
      <c r="I493" s="274">
        <v>100.0</v>
      </c>
      <c r="J493" s="271">
        <v>2963.0</v>
      </c>
      <c r="K493" s="271">
        <f t="shared" si="1"/>
        <v>296300</v>
      </c>
      <c r="L493" s="271">
        <v>155537.0</v>
      </c>
      <c r="M493" s="271">
        <v>13000.0</v>
      </c>
      <c r="N493" s="275">
        <v>4357.0</v>
      </c>
      <c r="O493" s="60"/>
      <c r="P493" s="109">
        <v>4357.0</v>
      </c>
      <c r="Q493" s="271">
        <v>13157.0</v>
      </c>
      <c r="R493" s="276">
        <v>-6.21E-4</v>
      </c>
      <c r="S493" s="271">
        <v>12973.0</v>
      </c>
      <c r="T493" s="271">
        <v>17330.0</v>
      </c>
      <c r="U493" s="62">
        <v>1.0</v>
      </c>
      <c r="V493" s="277">
        <v>0.12</v>
      </c>
      <c r="W493" s="277">
        <v>0.0</v>
      </c>
      <c r="X493" s="271">
        <v>15250.0</v>
      </c>
      <c r="Y493" s="271">
        <v>2080.0</v>
      </c>
      <c r="Z493" s="50" t="b">
        <v>1</v>
      </c>
      <c r="AA493" s="50" t="s">
        <v>138</v>
      </c>
      <c r="AB493" s="50" t="s">
        <v>138</v>
      </c>
    </row>
    <row r="494">
      <c r="A494" s="101" t="s">
        <v>177</v>
      </c>
      <c r="B494" s="101" t="s">
        <v>177</v>
      </c>
      <c r="C494" s="278">
        <v>44105.0</v>
      </c>
      <c r="D494" s="278">
        <v>44135.0</v>
      </c>
      <c r="E494" s="271" t="s">
        <v>268</v>
      </c>
      <c r="F494" s="138" t="s">
        <v>8</v>
      </c>
      <c r="G494" s="280" t="s">
        <v>5</v>
      </c>
      <c r="H494" s="273" t="s">
        <v>86</v>
      </c>
      <c r="I494" s="274">
        <v>100.0</v>
      </c>
      <c r="J494" s="271">
        <v>2.0</v>
      </c>
      <c r="K494" s="271">
        <f t="shared" si="1"/>
        <v>200</v>
      </c>
      <c r="L494" s="271">
        <v>-109.0</v>
      </c>
      <c r="M494" s="271">
        <v>100.0</v>
      </c>
      <c r="N494" s="275">
        <v>2.0</v>
      </c>
      <c r="O494" s="60"/>
      <c r="P494" s="50">
        <v>2.0</v>
      </c>
      <c r="Q494" s="271">
        <v>-45.0</v>
      </c>
      <c r="R494" s="276">
        <v>-7.51E-4</v>
      </c>
      <c r="S494" s="271">
        <v>-45.0</v>
      </c>
      <c r="T494" s="271">
        <v>-43.0</v>
      </c>
      <c r="U494" s="62">
        <v>1.0</v>
      </c>
      <c r="V494" s="277">
        <v>0.12</v>
      </c>
      <c r="W494" s="277">
        <v>0.0</v>
      </c>
      <c r="X494" s="271">
        <v>-38.0</v>
      </c>
      <c r="Y494" s="271">
        <v>-5.0</v>
      </c>
      <c r="Z494" s="50" t="b">
        <v>1</v>
      </c>
      <c r="AA494" s="50" t="s">
        <v>138</v>
      </c>
      <c r="AB494" s="50" t="s">
        <v>138</v>
      </c>
    </row>
    <row r="495">
      <c r="A495" s="101" t="s">
        <v>345</v>
      </c>
      <c r="B495" s="101" t="s">
        <v>981</v>
      </c>
      <c r="C495" s="278">
        <v>44105.0</v>
      </c>
      <c r="D495" s="278">
        <v>44135.0</v>
      </c>
      <c r="E495" s="271" t="s">
        <v>331</v>
      </c>
      <c r="F495" s="138" t="s">
        <v>12</v>
      </c>
      <c r="G495" s="271" t="s">
        <v>16</v>
      </c>
      <c r="H495" s="273" t="s">
        <v>85</v>
      </c>
      <c r="I495" s="274">
        <v>100.0</v>
      </c>
      <c r="J495" s="271">
        <v>1.0</v>
      </c>
      <c r="K495" s="271">
        <f t="shared" si="1"/>
        <v>100</v>
      </c>
      <c r="L495" s="271">
        <v>0.0</v>
      </c>
      <c r="M495" s="271">
        <v>0.0</v>
      </c>
      <c r="N495" s="275">
        <v>1215.0</v>
      </c>
      <c r="O495" s="60"/>
      <c r="P495" s="109">
        <v>1215.0</v>
      </c>
      <c r="Q495" s="271">
        <v>-5.0</v>
      </c>
      <c r="R495" s="276">
        <v>0.0</v>
      </c>
      <c r="S495" s="271">
        <v>-5.0</v>
      </c>
      <c r="T495" s="271">
        <v>1215.0</v>
      </c>
      <c r="U495" s="62">
        <v>1.0</v>
      </c>
      <c r="V495" s="277">
        <v>0.0</v>
      </c>
      <c r="W495" s="277">
        <v>0.125</v>
      </c>
      <c r="X495" s="271">
        <v>1063.0</v>
      </c>
      <c r="Y495" s="271">
        <v>152.0</v>
      </c>
      <c r="Z495" s="50" t="b">
        <v>1</v>
      </c>
      <c r="AA495" s="50" t="s">
        <v>138</v>
      </c>
      <c r="AB495" s="50" t="s">
        <v>138</v>
      </c>
    </row>
    <row r="496">
      <c r="A496" s="101" t="s">
        <v>345</v>
      </c>
      <c r="B496" s="101" t="s">
        <v>981</v>
      </c>
      <c r="C496" s="278">
        <v>44105.0</v>
      </c>
      <c r="D496" s="278">
        <v>44135.0</v>
      </c>
      <c r="E496" s="271" t="s">
        <v>331</v>
      </c>
      <c r="F496" s="138" t="s">
        <v>4</v>
      </c>
      <c r="G496" s="271" t="s">
        <v>16</v>
      </c>
      <c r="H496" s="273" t="s">
        <v>85</v>
      </c>
      <c r="I496" s="274">
        <v>100.0</v>
      </c>
      <c r="J496" s="271">
        <v>386.0</v>
      </c>
      <c r="K496" s="271">
        <f t="shared" si="1"/>
        <v>38600</v>
      </c>
      <c r="L496" s="271">
        <v>16765.0</v>
      </c>
      <c r="M496" s="271">
        <v>-1100.0</v>
      </c>
      <c r="N496" s="275">
        <v>1052.27</v>
      </c>
      <c r="O496" s="60"/>
      <c r="P496" s="109">
        <v>1052.0</v>
      </c>
      <c r="Q496" s="271">
        <v>1083.0</v>
      </c>
      <c r="R496" s="276">
        <v>-0.0031</v>
      </c>
      <c r="S496" s="271">
        <v>963.0</v>
      </c>
      <c r="T496" s="271">
        <v>2016.0</v>
      </c>
      <c r="U496" s="62">
        <v>1.0</v>
      </c>
      <c r="V496" s="277">
        <v>0.0</v>
      </c>
      <c r="W496" s="277">
        <v>0.125</v>
      </c>
      <c r="X496" s="271">
        <v>1764.0</v>
      </c>
      <c r="Y496" s="271">
        <v>252.0</v>
      </c>
      <c r="Z496" s="50" t="b">
        <v>1</v>
      </c>
      <c r="AA496" s="50" t="s">
        <v>138</v>
      </c>
      <c r="AB496" s="50" t="s">
        <v>138</v>
      </c>
    </row>
    <row r="497">
      <c r="A497" s="101" t="s">
        <v>345</v>
      </c>
      <c r="B497" s="101" t="s">
        <v>981</v>
      </c>
      <c r="C497" s="278">
        <v>44105.0</v>
      </c>
      <c r="D497" s="278">
        <v>44135.0</v>
      </c>
      <c r="E497" s="271" t="s">
        <v>331</v>
      </c>
      <c r="F497" s="138" t="s">
        <v>4</v>
      </c>
      <c r="G497" s="271" t="s">
        <v>16</v>
      </c>
      <c r="H497" s="273" t="s">
        <v>88</v>
      </c>
      <c r="I497" s="274">
        <v>100.0</v>
      </c>
      <c r="J497" s="271">
        <v>548.0</v>
      </c>
      <c r="K497" s="271">
        <f t="shared" si="1"/>
        <v>54800</v>
      </c>
      <c r="L497" s="271">
        <v>-9212.0</v>
      </c>
      <c r="M497" s="271">
        <v>-7100.0</v>
      </c>
      <c r="N497" s="275">
        <v>1493.9</v>
      </c>
      <c r="O497" s="60"/>
      <c r="P497" s="109">
        <v>1494.0</v>
      </c>
      <c r="Q497" s="271">
        <v>-5860.0</v>
      </c>
      <c r="R497" s="276">
        <v>-0.0031</v>
      </c>
      <c r="S497" s="271">
        <v>-6030.0</v>
      </c>
      <c r="T497" s="271">
        <v>-4536.0</v>
      </c>
      <c r="U497" s="62">
        <v>1.0</v>
      </c>
      <c r="V497" s="277">
        <v>0.0</v>
      </c>
      <c r="W497" s="277">
        <v>0.125</v>
      </c>
      <c r="X497" s="271">
        <v>-3969.0</v>
      </c>
      <c r="Y497" s="271">
        <v>-567.0</v>
      </c>
      <c r="Z497" s="50" t="b">
        <v>1</v>
      </c>
      <c r="AA497" s="50" t="s">
        <v>138</v>
      </c>
      <c r="AB497" s="50" t="s">
        <v>138</v>
      </c>
    </row>
    <row r="498">
      <c r="A498" s="101" t="s">
        <v>345</v>
      </c>
      <c r="B498" s="101" t="s">
        <v>981</v>
      </c>
      <c r="C498" s="278">
        <v>44105.0</v>
      </c>
      <c r="D498" s="278">
        <v>44135.0</v>
      </c>
      <c r="E498" s="271" t="s">
        <v>331</v>
      </c>
      <c r="F498" s="138" t="s">
        <v>4</v>
      </c>
      <c r="G498" s="271" t="s">
        <v>16</v>
      </c>
      <c r="H498" s="273" t="s">
        <v>60</v>
      </c>
      <c r="I498" s="274">
        <v>20.0</v>
      </c>
      <c r="J498" s="271">
        <v>1.0</v>
      </c>
      <c r="K498" s="271">
        <f t="shared" si="1"/>
        <v>20</v>
      </c>
      <c r="L498" s="271">
        <v>8.0</v>
      </c>
      <c r="M498" s="271">
        <v>-20.0</v>
      </c>
      <c r="N498" s="275">
        <v>0.65</v>
      </c>
      <c r="O498" s="60"/>
      <c r="P498" s="50">
        <v>1.0</v>
      </c>
      <c r="Q498" s="271">
        <v>-1.0</v>
      </c>
      <c r="R498" s="276">
        <v>-0.0031</v>
      </c>
      <c r="S498" s="271">
        <v>-1.0</v>
      </c>
      <c r="T498" s="271">
        <v>0.0</v>
      </c>
      <c r="U498" s="62">
        <v>1.0</v>
      </c>
      <c r="V498" s="277">
        <v>0.0</v>
      </c>
      <c r="W498" s="277">
        <v>0.125</v>
      </c>
      <c r="X498" s="271">
        <v>0.0</v>
      </c>
      <c r="Y498" s="271">
        <v>0.0</v>
      </c>
      <c r="Z498" s="50" t="b">
        <v>1</v>
      </c>
      <c r="AA498" s="50" t="s">
        <v>138</v>
      </c>
      <c r="AB498" s="50" t="s">
        <v>138</v>
      </c>
    </row>
    <row r="499">
      <c r="A499" s="101" t="s">
        <v>345</v>
      </c>
      <c r="B499" s="101" t="s">
        <v>981</v>
      </c>
      <c r="C499" s="278">
        <v>44105.0</v>
      </c>
      <c r="D499" s="278">
        <v>44135.0</v>
      </c>
      <c r="E499" s="271" t="s">
        <v>331</v>
      </c>
      <c r="F499" s="138" t="s">
        <v>4</v>
      </c>
      <c r="G499" s="271" t="s">
        <v>16</v>
      </c>
      <c r="H499" s="273" t="s">
        <v>96</v>
      </c>
      <c r="I499" s="274">
        <v>250.0</v>
      </c>
      <c r="J499" s="271">
        <v>1266.0</v>
      </c>
      <c r="K499" s="271">
        <f t="shared" si="1"/>
        <v>316500</v>
      </c>
      <c r="L499" s="271">
        <v>12795.0</v>
      </c>
      <c r="M499" s="271">
        <v>-14250.0</v>
      </c>
      <c r="N499" s="275">
        <v>6902.47</v>
      </c>
      <c r="O499" s="60"/>
      <c r="P499" s="109">
        <v>6902.0</v>
      </c>
      <c r="Q499" s="271">
        <v>-7045.0</v>
      </c>
      <c r="R499" s="276">
        <v>-0.0031</v>
      </c>
      <c r="S499" s="271">
        <v>-8026.0</v>
      </c>
      <c r="T499" s="271">
        <v>-1123.0</v>
      </c>
      <c r="U499" s="62">
        <v>1.0</v>
      </c>
      <c r="V499" s="277">
        <v>0.0</v>
      </c>
      <c r="W499" s="277">
        <v>0.125</v>
      </c>
      <c r="X499" s="271">
        <v>-983.0</v>
      </c>
      <c r="Y499" s="271">
        <v>-140.0</v>
      </c>
      <c r="Z499" s="50" t="b">
        <v>1</v>
      </c>
      <c r="AA499" s="50" t="s">
        <v>138</v>
      </c>
      <c r="AB499" s="50" t="s">
        <v>138</v>
      </c>
    </row>
    <row r="500">
      <c r="A500" s="101" t="s">
        <v>345</v>
      </c>
      <c r="B500" s="101" t="s">
        <v>981</v>
      </c>
      <c r="C500" s="278">
        <v>44105.0</v>
      </c>
      <c r="D500" s="278">
        <v>44135.0</v>
      </c>
      <c r="E500" s="271" t="s">
        <v>331</v>
      </c>
      <c r="F500" s="138" t="s">
        <v>4</v>
      </c>
      <c r="G500" s="271" t="s">
        <v>16</v>
      </c>
      <c r="H500" s="273" t="s">
        <v>74</v>
      </c>
      <c r="I500" s="274">
        <v>50.0</v>
      </c>
      <c r="J500" s="271">
        <v>8.0</v>
      </c>
      <c r="K500" s="271">
        <f t="shared" si="1"/>
        <v>400</v>
      </c>
      <c r="L500" s="271">
        <v>718.0</v>
      </c>
      <c r="M500" s="271">
        <v>300.0</v>
      </c>
      <c r="N500" s="275">
        <v>10.9</v>
      </c>
      <c r="O500" s="60"/>
      <c r="P500" s="50">
        <v>11.0</v>
      </c>
      <c r="Q500" s="271">
        <v>46.0</v>
      </c>
      <c r="R500" s="276">
        <v>-0.0031</v>
      </c>
      <c r="S500" s="271">
        <v>45.0</v>
      </c>
      <c r="T500" s="271">
        <v>56.0</v>
      </c>
      <c r="U500" s="62">
        <v>1.0</v>
      </c>
      <c r="V500" s="277">
        <v>0.0</v>
      </c>
      <c r="W500" s="277">
        <v>0.125</v>
      </c>
      <c r="X500" s="271">
        <v>49.0</v>
      </c>
      <c r="Y500" s="271">
        <v>7.0</v>
      </c>
      <c r="Z500" s="50" t="b">
        <v>1</v>
      </c>
      <c r="AA500" s="50" t="s">
        <v>138</v>
      </c>
      <c r="AB500" s="50" t="s">
        <v>138</v>
      </c>
    </row>
    <row r="501">
      <c r="A501" s="101" t="s">
        <v>345</v>
      </c>
      <c r="B501" s="101" t="s">
        <v>981</v>
      </c>
      <c r="C501" s="278">
        <v>44105.0</v>
      </c>
      <c r="D501" s="278">
        <v>44135.0</v>
      </c>
      <c r="E501" s="271" t="s">
        <v>331</v>
      </c>
      <c r="F501" s="138" t="s">
        <v>4</v>
      </c>
      <c r="G501" s="271" t="s">
        <v>16</v>
      </c>
      <c r="H501" s="273" t="s">
        <v>76</v>
      </c>
      <c r="I501" s="274">
        <v>50.0</v>
      </c>
      <c r="J501" s="271">
        <v>48.0</v>
      </c>
      <c r="K501" s="271">
        <f t="shared" si="1"/>
        <v>2400</v>
      </c>
      <c r="L501" s="271">
        <v>1286.0</v>
      </c>
      <c r="M501" s="271">
        <v>-600.0</v>
      </c>
      <c r="N501" s="275">
        <v>65.43</v>
      </c>
      <c r="O501" s="60"/>
      <c r="P501" s="50">
        <v>65.0</v>
      </c>
      <c r="Q501" s="271">
        <v>73.0</v>
      </c>
      <c r="R501" s="276">
        <v>-0.0031</v>
      </c>
      <c r="S501" s="271">
        <v>65.0</v>
      </c>
      <c r="T501" s="271">
        <v>131.0</v>
      </c>
      <c r="U501" s="62">
        <v>1.0</v>
      </c>
      <c r="V501" s="277">
        <v>0.0</v>
      </c>
      <c r="W501" s="277">
        <v>0.125</v>
      </c>
      <c r="X501" s="271">
        <v>115.0</v>
      </c>
      <c r="Y501" s="271">
        <v>16.0</v>
      </c>
      <c r="Z501" s="50" t="b">
        <v>1</v>
      </c>
      <c r="AA501" s="50" t="s">
        <v>138</v>
      </c>
      <c r="AB501" s="50" t="s">
        <v>138</v>
      </c>
    </row>
    <row r="502">
      <c r="A502" s="101" t="s">
        <v>345</v>
      </c>
      <c r="B502" s="101" t="s">
        <v>981</v>
      </c>
      <c r="C502" s="278">
        <v>44105.0</v>
      </c>
      <c r="D502" s="278">
        <v>44135.0</v>
      </c>
      <c r="E502" s="271" t="s">
        <v>331</v>
      </c>
      <c r="F502" s="138" t="s">
        <v>4</v>
      </c>
      <c r="G502" s="271" t="s">
        <v>16</v>
      </c>
      <c r="H502" s="273" t="s">
        <v>101</v>
      </c>
      <c r="I502" s="274">
        <v>500.0</v>
      </c>
      <c r="J502" s="271">
        <v>1136.0</v>
      </c>
      <c r="K502" s="271">
        <f t="shared" si="1"/>
        <v>568000</v>
      </c>
      <c r="L502" s="271">
        <v>-10748.0</v>
      </c>
      <c r="M502" s="271">
        <v>-19000.0</v>
      </c>
      <c r="N502" s="275">
        <v>12387.37</v>
      </c>
      <c r="O502" s="60"/>
      <c r="P502" s="109">
        <v>12387.0</v>
      </c>
      <c r="Q502" s="271">
        <v>-33468.0</v>
      </c>
      <c r="R502" s="276">
        <v>-0.0031</v>
      </c>
      <c r="S502" s="271">
        <v>-35228.0</v>
      </c>
      <c r="T502" s="271">
        <v>-22841.0</v>
      </c>
      <c r="U502" s="62">
        <v>1.0</v>
      </c>
      <c r="V502" s="277">
        <v>0.0</v>
      </c>
      <c r="W502" s="277">
        <v>0.125</v>
      </c>
      <c r="X502" s="271">
        <v>-19986.0</v>
      </c>
      <c r="Y502" s="271">
        <v>-2855.0</v>
      </c>
      <c r="Z502" s="50" t="b">
        <v>1</v>
      </c>
      <c r="AA502" s="50" t="s">
        <v>138</v>
      </c>
      <c r="AB502" s="50" t="s">
        <v>138</v>
      </c>
    </row>
    <row r="503">
      <c r="A503" s="101" t="s">
        <v>345</v>
      </c>
      <c r="B503" s="101" t="s">
        <v>981</v>
      </c>
      <c r="C503" s="278">
        <v>44105.0</v>
      </c>
      <c r="D503" s="278">
        <v>44135.0</v>
      </c>
      <c r="E503" s="271" t="s">
        <v>331</v>
      </c>
      <c r="F503" s="138" t="s">
        <v>4</v>
      </c>
      <c r="G503" s="271" t="s">
        <v>16</v>
      </c>
      <c r="H503" s="273" t="s">
        <v>85</v>
      </c>
      <c r="I503" s="274">
        <v>100.0</v>
      </c>
      <c r="J503" s="271">
        <v>45.0</v>
      </c>
      <c r="K503" s="271">
        <f t="shared" si="1"/>
        <v>4500</v>
      </c>
      <c r="L503" s="271">
        <v>854.0</v>
      </c>
      <c r="M503" s="271">
        <v>217.0</v>
      </c>
      <c r="N503" s="275"/>
      <c r="O503" s="60"/>
      <c r="P503" s="101"/>
      <c r="Q503" s="271">
        <v>90.0</v>
      </c>
      <c r="R503" s="276">
        <v>-0.0031</v>
      </c>
      <c r="S503" s="271">
        <v>76.0</v>
      </c>
      <c r="T503" s="271">
        <v>76.0</v>
      </c>
      <c r="U503" s="62">
        <v>1.0</v>
      </c>
      <c r="V503" s="277">
        <v>0.0</v>
      </c>
      <c r="W503" s="277">
        <v>0.125</v>
      </c>
      <c r="X503" s="271">
        <v>67.0</v>
      </c>
      <c r="Y503" s="271">
        <v>10.0</v>
      </c>
      <c r="Z503" s="50" t="b">
        <v>1</v>
      </c>
      <c r="AA503" s="50" t="s">
        <v>138</v>
      </c>
      <c r="AB503" s="50" t="s">
        <v>138</v>
      </c>
    </row>
    <row r="504">
      <c r="A504" s="101" t="s">
        <v>459</v>
      </c>
      <c r="B504" s="101" t="s">
        <v>912</v>
      </c>
      <c r="C504" s="278">
        <v>44105.0</v>
      </c>
      <c r="D504" s="278">
        <v>44135.0</v>
      </c>
      <c r="E504" s="271" t="s">
        <v>331</v>
      </c>
      <c r="F504" s="138" t="s">
        <v>8</v>
      </c>
      <c r="G504" s="280" t="s">
        <v>9</v>
      </c>
      <c r="H504" s="273" t="s">
        <v>68</v>
      </c>
      <c r="I504" s="274">
        <v>25.0</v>
      </c>
      <c r="J504" s="271">
        <v>1100.0</v>
      </c>
      <c r="K504" s="271">
        <f t="shared" si="1"/>
        <v>27500</v>
      </c>
      <c r="L504" s="271">
        <v>66863.0</v>
      </c>
      <c r="M504" s="271">
        <v>2075.0</v>
      </c>
      <c r="N504" s="275">
        <v>1030.0</v>
      </c>
      <c r="O504" s="60"/>
      <c r="P504" s="109">
        <v>1030.0</v>
      </c>
      <c r="Q504" s="271">
        <v>641.0</v>
      </c>
      <c r="R504" s="276">
        <v>-5.94E-4</v>
      </c>
      <c r="S504" s="271">
        <v>625.0</v>
      </c>
      <c r="T504" s="271">
        <v>1655.0</v>
      </c>
      <c r="U504" s="62">
        <v>1.0</v>
      </c>
      <c r="V504" s="277">
        <v>0.21</v>
      </c>
      <c r="W504" s="277">
        <v>0.11</v>
      </c>
      <c r="X504" s="271">
        <v>1125.0</v>
      </c>
      <c r="Y504" s="271">
        <v>530.0</v>
      </c>
      <c r="Z504" s="50" t="b">
        <v>1</v>
      </c>
      <c r="AA504" s="50" t="s">
        <v>140</v>
      </c>
      <c r="AB504" s="50" t="s">
        <v>140</v>
      </c>
    </row>
    <row r="505">
      <c r="A505" s="101" t="s">
        <v>459</v>
      </c>
      <c r="B505" s="101" t="s">
        <v>912</v>
      </c>
      <c r="C505" s="278">
        <v>44105.0</v>
      </c>
      <c r="D505" s="278">
        <v>44135.0</v>
      </c>
      <c r="E505" s="271" t="s">
        <v>331</v>
      </c>
      <c r="F505" s="138" t="s">
        <v>8</v>
      </c>
      <c r="G505" s="280" t="s">
        <v>9</v>
      </c>
      <c r="H505" s="273" t="s">
        <v>80</v>
      </c>
      <c r="I505" s="274">
        <v>50.0</v>
      </c>
      <c r="J505" s="271">
        <v>507.0</v>
      </c>
      <c r="K505" s="271">
        <f t="shared" si="1"/>
        <v>25350</v>
      </c>
      <c r="L505" s="271">
        <v>35535.0</v>
      </c>
      <c r="M505" s="271">
        <v>200.0</v>
      </c>
      <c r="N505" s="275">
        <v>700.0</v>
      </c>
      <c r="O505" s="60"/>
      <c r="P505" s="50">
        <v>700.0</v>
      </c>
      <c r="Q505" s="271">
        <v>1021.0</v>
      </c>
      <c r="R505" s="276">
        <v>-6.14E-4</v>
      </c>
      <c r="S505" s="271">
        <v>1005.0</v>
      </c>
      <c r="T505" s="271">
        <v>1705.0</v>
      </c>
      <c r="U505" s="62">
        <v>1.0</v>
      </c>
      <c r="V505" s="277">
        <v>0.21</v>
      </c>
      <c r="W505" s="277">
        <v>0.11</v>
      </c>
      <c r="X505" s="271">
        <v>1159.0</v>
      </c>
      <c r="Y505" s="271">
        <v>546.0</v>
      </c>
      <c r="Z505" s="50" t="b">
        <v>1</v>
      </c>
      <c r="AA505" s="50" t="s">
        <v>140</v>
      </c>
      <c r="AB505" s="50" t="s">
        <v>140</v>
      </c>
    </row>
    <row r="506">
      <c r="A506" s="101" t="s">
        <v>216</v>
      </c>
      <c r="B506" s="101" t="s">
        <v>985</v>
      </c>
      <c r="C506" s="278">
        <v>44105.0</v>
      </c>
      <c r="D506" s="278">
        <v>44135.0</v>
      </c>
      <c r="E506" s="271" t="s">
        <v>268</v>
      </c>
      <c r="F506" s="138" t="s">
        <v>4</v>
      </c>
      <c r="G506" s="101" t="s">
        <v>16</v>
      </c>
      <c r="H506" s="273" t="s">
        <v>85</v>
      </c>
      <c r="I506" s="63">
        <v>100.0</v>
      </c>
      <c r="J506" s="74">
        <v>2891.0</v>
      </c>
      <c r="K506" s="271">
        <f t="shared" si="1"/>
        <v>289100</v>
      </c>
      <c r="L506" s="271">
        <v>34097.0</v>
      </c>
      <c r="M506" s="271">
        <v>1600.0</v>
      </c>
      <c r="N506" s="275">
        <v>5840.0</v>
      </c>
      <c r="O506" s="60"/>
      <c r="P506" s="109">
        <v>5840.0</v>
      </c>
      <c r="Q506" s="271">
        <v>-9169.0</v>
      </c>
      <c r="R506" s="276">
        <v>-0.0031</v>
      </c>
      <c r="S506" s="271">
        <v>-10066.0</v>
      </c>
      <c r="T506" s="271">
        <v>-4226.0</v>
      </c>
      <c r="U506" s="62">
        <v>1.0</v>
      </c>
      <c r="V506" s="277">
        <v>0.22</v>
      </c>
      <c r="W506" s="277">
        <v>0.0</v>
      </c>
      <c r="X506" s="271">
        <v>-3296.0</v>
      </c>
      <c r="Y506" s="271">
        <v>-930.0</v>
      </c>
      <c r="Z506" s="50" t="b">
        <v>1</v>
      </c>
      <c r="AA506" s="50" t="s">
        <v>138</v>
      </c>
      <c r="AB506" s="50" t="s">
        <v>138</v>
      </c>
    </row>
    <row r="507">
      <c r="A507" s="101" t="s">
        <v>216</v>
      </c>
      <c r="B507" s="101" t="s">
        <v>985</v>
      </c>
      <c r="C507" s="278">
        <v>44105.0</v>
      </c>
      <c r="D507" s="278">
        <v>44135.0</v>
      </c>
      <c r="E507" s="271" t="s">
        <v>268</v>
      </c>
      <c r="F507" s="138" t="s">
        <v>4</v>
      </c>
      <c r="G507" s="101" t="s">
        <v>16</v>
      </c>
      <c r="H507" s="273" t="s">
        <v>88</v>
      </c>
      <c r="I507" s="63">
        <v>100.0</v>
      </c>
      <c r="J507" s="74">
        <v>534.0</v>
      </c>
      <c r="K507" s="271">
        <f t="shared" si="1"/>
        <v>53400</v>
      </c>
      <c r="L507" s="271">
        <v>-1329.0</v>
      </c>
      <c r="M507" s="271">
        <v>-7000.0</v>
      </c>
      <c r="N507" s="275">
        <v>1740.0</v>
      </c>
      <c r="O507" s="60"/>
      <c r="P507" s="109">
        <v>1740.0</v>
      </c>
      <c r="Q507" s="271">
        <v>-3302.0</v>
      </c>
      <c r="R507" s="276">
        <v>-0.0031</v>
      </c>
      <c r="S507" s="271">
        <v>-3468.0</v>
      </c>
      <c r="T507" s="271">
        <v>-1728.0</v>
      </c>
      <c r="U507" s="62">
        <v>1.0</v>
      </c>
      <c r="V507" s="277">
        <v>0.22</v>
      </c>
      <c r="W507" s="277">
        <v>0.0</v>
      </c>
      <c r="X507" s="271">
        <v>-1348.0</v>
      </c>
      <c r="Y507" s="271">
        <v>-380.0</v>
      </c>
      <c r="Z507" s="50" t="b">
        <v>1</v>
      </c>
      <c r="AA507" s="50" t="s">
        <v>138</v>
      </c>
      <c r="AB507" s="50" t="s">
        <v>138</v>
      </c>
    </row>
    <row r="508">
      <c r="A508" s="101" t="s">
        <v>216</v>
      </c>
      <c r="B508" s="101" t="s">
        <v>985</v>
      </c>
      <c r="C508" s="278">
        <v>44105.0</v>
      </c>
      <c r="D508" s="278">
        <v>44135.0</v>
      </c>
      <c r="E508" s="271" t="s">
        <v>268</v>
      </c>
      <c r="F508" s="138" t="s">
        <v>4</v>
      </c>
      <c r="G508" s="101" t="s">
        <v>16</v>
      </c>
      <c r="H508" s="273" t="s">
        <v>74</v>
      </c>
      <c r="I508" s="63">
        <v>50.0</v>
      </c>
      <c r="J508" s="74">
        <v>189.0</v>
      </c>
      <c r="K508" s="271">
        <f t="shared" si="1"/>
        <v>9450</v>
      </c>
      <c r="L508" s="271">
        <v>10866.0</v>
      </c>
      <c r="M508" s="271">
        <v>-700.0</v>
      </c>
      <c r="N508" s="275">
        <f>50*80</f>
        <v>4000</v>
      </c>
      <c r="O508" s="60"/>
      <c r="P508" s="109">
        <v>4000.0</v>
      </c>
      <c r="Q508" s="271">
        <v>516.0</v>
      </c>
      <c r="R508" s="276">
        <v>-0.0031</v>
      </c>
      <c r="S508" s="271">
        <v>487.0</v>
      </c>
      <c r="T508" s="271">
        <v>4487.0</v>
      </c>
      <c r="U508" s="62">
        <v>1.0</v>
      </c>
      <c r="V508" s="277">
        <v>0.22</v>
      </c>
      <c r="W508" s="277">
        <v>0.0</v>
      </c>
      <c r="X508" s="271">
        <v>3500.0</v>
      </c>
      <c r="Y508" s="271">
        <v>987.0</v>
      </c>
      <c r="Z508" s="50" t="b">
        <v>1</v>
      </c>
      <c r="AA508" s="50" t="s">
        <v>138</v>
      </c>
      <c r="AB508" s="50" t="s">
        <v>138</v>
      </c>
    </row>
    <row r="509">
      <c r="A509" s="101" t="s">
        <v>216</v>
      </c>
      <c r="B509" s="101" t="s">
        <v>985</v>
      </c>
      <c r="C509" s="278">
        <v>44105.0</v>
      </c>
      <c r="D509" s="278">
        <v>44135.0</v>
      </c>
      <c r="E509" s="271" t="s">
        <v>268</v>
      </c>
      <c r="F509" s="138" t="s">
        <v>4</v>
      </c>
      <c r="G509" s="101" t="s">
        <v>16</v>
      </c>
      <c r="H509" s="273" t="s">
        <v>76</v>
      </c>
      <c r="I509" s="63">
        <v>50.0</v>
      </c>
      <c r="J509" s="74">
        <v>55.0</v>
      </c>
      <c r="K509" s="271">
        <f t="shared" si="1"/>
        <v>2750</v>
      </c>
      <c r="L509" s="271">
        <v>-1220.0</v>
      </c>
      <c r="M509" s="271">
        <v>-1000.0</v>
      </c>
      <c r="N509" s="275">
        <v>300.0</v>
      </c>
      <c r="O509" s="60"/>
      <c r="P509" s="50">
        <v>300.0</v>
      </c>
      <c r="Q509" s="271">
        <v>-341.0</v>
      </c>
      <c r="R509" s="276">
        <v>-0.0031</v>
      </c>
      <c r="S509" s="271">
        <v>-349.0</v>
      </c>
      <c r="T509" s="271">
        <v>-49.0</v>
      </c>
      <c r="U509" s="62">
        <v>1.0</v>
      </c>
      <c r="V509" s="277">
        <v>0.22</v>
      </c>
      <c r="W509" s="277">
        <v>0.0</v>
      </c>
      <c r="X509" s="271">
        <v>-38.0</v>
      </c>
      <c r="Y509" s="271">
        <v>-11.0</v>
      </c>
      <c r="Z509" s="50" t="b">
        <v>1</v>
      </c>
      <c r="AA509" s="50" t="s">
        <v>138</v>
      </c>
      <c r="AB509" s="50" t="s">
        <v>138</v>
      </c>
    </row>
    <row r="510">
      <c r="A510" s="101" t="s">
        <v>267</v>
      </c>
      <c r="B510" s="101" t="s">
        <v>267</v>
      </c>
      <c r="C510" s="278">
        <v>44125.0</v>
      </c>
      <c r="D510" s="278">
        <v>44155.0</v>
      </c>
      <c r="E510" s="271" t="s">
        <v>268</v>
      </c>
      <c r="F510" s="138" t="s">
        <v>4</v>
      </c>
      <c r="G510" s="101" t="s">
        <v>5</v>
      </c>
      <c r="H510" s="114" t="s">
        <v>982</v>
      </c>
      <c r="I510" s="63">
        <v>10.0</v>
      </c>
      <c r="J510" s="74">
        <v>352.0</v>
      </c>
      <c r="K510" s="271">
        <f t="shared" si="1"/>
        <v>3520</v>
      </c>
      <c r="L510" s="271">
        <v>4875.0</v>
      </c>
      <c r="M510" s="271">
        <v>-230.0</v>
      </c>
      <c r="N510" s="275">
        <v>8.2</v>
      </c>
      <c r="O510" s="60"/>
      <c r="P510" s="50">
        <v>8.0</v>
      </c>
      <c r="Q510" s="271">
        <v>-135.0</v>
      </c>
      <c r="R510" s="276">
        <v>-0.00197</v>
      </c>
      <c r="S510" s="271">
        <v>-142.0</v>
      </c>
      <c r="T510" s="271">
        <v>-134.0</v>
      </c>
      <c r="U510" s="62">
        <v>1.0</v>
      </c>
      <c r="V510" s="277">
        <v>0.15</v>
      </c>
      <c r="W510" s="277">
        <v>0.0</v>
      </c>
      <c r="X510" s="271">
        <v>-114.0</v>
      </c>
      <c r="Y510" s="271">
        <v>-20.0</v>
      </c>
      <c r="Z510" s="50" t="b">
        <v>1</v>
      </c>
      <c r="AA510" s="50" t="s">
        <v>138</v>
      </c>
      <c r="AB510" s="50" t="s">
        <v>138</v>
      </c>
    </row>
    <row r="511">
      <c r="A511" s="101" t="s">
        <v>267</v>
      </c>
      <c r="B511" s="101" t="s">
        <v>267</v>
      </c>
      <c r="C511" s="278">
        <v>44125.0</v>
      </c>
      <c r="D511" s="278">
        <v>44155.0</v>
      </c>
      <c r="E511" s="271" t="s">
        <v>268</v>
      </c>
      <c r="F511" s="138" t="s">
        <v>4</v>
      </c>
      <c r="G511" s="101" t="s">
        <v>5</v>
      </c>
      <c r="H511" s="114" t="s">
        <v>62</v>
      </c>
      <c r="I511" s="63">
        <v>25.0</v>
      </c>
      <c r="J511" s="74">
        <v>398.0</v>
      </c>
      <c r="K511" s="271">
        <f t="shared" si="1"/>
        <v>9950</v>
      </c>
      <c r="L511" s="271">
        <v>9750.0</v>
      </c>
      <c r="M511" s="271">
        <v>-25.0</v>
      </c>
      <c r="N511" s="275">
        <v>17.0</v>
      </c>
      <c r="O511" s="60"/>
      <c r="P511" s="50">
        <v>17.0</v>
      </c>
      <c r="Q511" s="271">
        <v>-173.0</v>
      </c>
      <c r="R511" s="276">
        <v>-0.00197</v>
      </c>
      <c r="S511" s="271">
        <v>-192.0</v>
      </c>
      <c r="T511" s="271">
        <v>-175.0</v>
      </c>
      <c r="U511" s="62">
        <v>1.0</v>
      </c>
      <c r="V511" s="277">
        <v>0.15</v>
      </c>
      <c r="W511" s="277">
        <v>0.0</v>
      </c>
      <c r="X511" s="271">
        <v>-149.0</v>
      </c>
      <c r="Y511" s="271">
        <v>-26.0</v>
      </c>
      <c r="Z511" s="50" t="b">
        <v>1</v>
      </c>
      <c r="AA511" s="50" t="s">
        <v>138</v>
      </c>
      <c r="AB511" s="50" t="s">
        <v>138</v>
      </c>
    </row>
    <row r="512">
      <c r="A512" s="101" t="s">
        <v>267</v>
      </c>
      <c r="B512" s="101" t="s">
        <v>267</v>
      </c>
      <c r="C512" s="278">
        <v>44125.0</v>
      </c>
      <c r="D512" s="278">
        <v>44155.0</v>
      </c>
      <c r="E512" s="271" t="s">
        <v>268</v>
      </c>
      <c r="F512" s="138" t="s">
        <v>4</v>
      </c>
      <c r="G512" s="101" t="s">
        <v>5</v>
      </c>
      <c r="H512" s="114" t="s">
        <v>63</v>
      </c>
      <c r="I512" s="63">
        <v>25.0</v>
      </c>
      <c r="J512" s="74">
        <v>220.0</v>
      </c>
      <c r="K512" s="271">
        <f t="shared" si="1"/>
        <v>5500</v>
      </c>
      <c r="L512" s="271">
        <v>1367.0</v>
      </c>
      <c r="M512" s="271">
        <v>400.0</v>
      </c>
      <c r="N512" s="275">
        <v>9.7</v>
      </c>
      <c r="O512" s="60"/>
      <c r="P512" s="50">
        <v>10.0</v>
      </c>
      <c r="Q512" s="271">
        <v>-234.0</v>
      </c>
      <c r="R512" s="276">
        <v>-0.00197</v>
      </c>
      <c r="S512" s="271">
        <v>-245.0</v>
      </c>
      <c r="T512" s="271">
        <v>-236.0</v>
      </c>
      <c r="U512" s="62">
        <v>1.0</v>
      </c>
      <c r="V512" s="277">
        <v>0.15</v>
      </c>
      <c r="W512" s="277">
        <v>0.0</v>
      </c>
      <c r="X512" s="271">
        <v>-200.0</v>
      </c>
      <c r="Y512" s="271">
        <v>-35.0</v>
      </c>
      <c r="Z512" s="50" t="b">
        <v>1</v>
      </c>
      <c r="AA512" s="50" t="s">
        <v>138</v>
      </c>
      <c r="AB512" s="50" t="s">
        <v>138</v>
      </c>
    </row>
    <row r="513">
      <c r="A513" s="101" t="s">
        <v>267</v>
      </c>
      <c r="B513" s="101" t="s">
        <v>267</v>
      </c>
      <c r="C513" s="278">
        <v>44125.0</v>
      </c>
      <c r="D513" s="278">
        <v>44155.0</v>
      </c>
      <c r="E513" s="271" t="s">
        <v>268</v>
      </c>
      <c r="F513" s="138" t="s">
        <v>4</v>
      </c>
      <c r="G513" s="101" t="s">
        <v>5</v>
      </c>
      <c r="H513" s="273" t="s">
        <v>966</v>
      </c>
      <c r="I513" s="63">
        <v>50.0</v>
      </c>
      <c r="J513" s="74">
        <v>53.0</v>
      </c>
      <c r="K513" s="271">
        <f t="shared" si="1"/>
        <v>2650</v>
      </c>
      <c r="L513" s="271">
        <v>-2714.0</v>
      </c>
      <c r="M513" s="271">
        <v>-1150.0</v>
      </c>
      <c r="N513" s="275">
        <v>4.7</v>
      </c>
      <c r="O513" s="60"/>
      <c r="P513" s="50">
        <v>5.0</v>
      </c>
      <c r="Q513" s="271">
        <v>-425.0</v>
      </c>
      <c r="R513" s="276">
        <v>-0.00197</v>
      </c>
      <c r="S513" s="271">
        <v>-430.0</v>
      </c>
      <c r="T513" s="271">
        <v>-426.0</v>
      </c>
      <c r="U513" s="62">
        <v>1.0</v>
      </c>
      <c r="V513" s="277">
        <v>0.15</v>
      </c>
      <c r="W513" s="277">
        <v>0.0</v>
      </c>
      <c r="X513" s="271">
        <v>-362.0</v>
      </c>
      <c r="Y513" s="271">
        <v>-64.0</v>
      </c>
      <c r="Z513" s="50" t="b">
        <v>1</v>
      </c>
      <c r="AA513" s="50" t="s">
        <v>138</v>
      </c>
      <c r="AB513" s="50" t="s">
        <v>138</v>
      </c>
    </row>
    <row r="514">
      <c r="A514" s="101" t="s">
        <v>144</v>
      </c>
      <c r="B514" s="101" t="s">
        <v>144</v>
      </c>
      <c r="C514" s="278">
        <v>44125.0</v>
      </c>
      <c r="D514" s="278">
        <v>44155.0</v>
      </c>
      <c r="E514" s="271" t="s">
        <v>268</v>
      </c>
      <c r="F514" s="138" t="s">
        <v>4</v>
      </c>
      <c r="G514" s="271" t="s">
        <v>9</v>
      </c>
      <c r="H514" s="273" t="s">
        <v>55</v>
      </c>
      <c r="I514" s="274">
        <v>10.0</v>
      </c>
      <c r="J514" s="271">
        <v>1095.0</v>
      </c>
      <c r="K514" s="271">
        <f t="shared" si="1"/>
        <v>10950</v>
      </c>
      <c r="L514" s="271">
        <v>88695.0</v>
      </c>
      <c r="M514" s="271">
        <v>370.0</v>
      </c>
      <c r="N514" s="275">
        <v>300.0</v>
      </c>
      <c r="O514" s="60"/>
      <c r="P514" s="50">
        <v>300.0</v>
      </c>
      <c r="Q514" s="271">
        <v>658.0</v>
      </c>
      <c r="R514" s="276">
        <v>-0.00197</v>
      </c>
      <c r="S514" s="271">
        <v>637.0</v>
      </c>
      <c r="T514" s="271">
        <v>937.0</v>
      </c>
      <c r="U514" s="62">
        <v>1.0</v>
      </c>
      <c r="V514" s="277">
        <v>0.25</v>
      </c>
      <c r="W514" s="277">
        <v>0.0</v>
      </c>
      <c r="X514" s="271">
        <v>703.0</v>
      </c>
      <c r="Y514" s="271">
        <v>234.0</v>
      </c>
      <c r="Z514" s="50" t="b">
        <v>1</v>
      </c>
      <c r="AA514" s="50" t="s">
        <v>140</v>
      </c>
      <c r="AB514" s="50" t="s">
        <v>140</v>
      </c>
    </row>
    <row r="515">
      <c r="A515" s="101" t="s">
        <v>144</v>
      </c>
      <c r="B515" s="101" t="s">
        <v>144</v>
      </c>
      <c r="C515" s="278">
        <v>44125.0</v>
      </c>
      <c r="D515" s="278">
        <v>44155.0</v>
      </c>
      <c r="E515" s="271" t="s">
        <v>268</v>
      </c>
      <c r="F515" s="138" t="s">
        <v>4</v>
      </c>
      <c r="G515" s="271" t="s">
        <v>9</v>
      </c>
      <c r="H515" s="273" t="s">
        <v>68</v>
      </c>
      <c r="I515" s="274">
        <v>25.0</v>
      </c>
      <c r="J515" s="271">
        <v>169.0</v>
      </c>
      <c r="K515" s="271">
        <f t="shared" si="1"/>
        <v>4225</v>
      </c>
      <c r="L515" s="271">
        <v>16224.0</v>
      </c>
      <c r="M515" s="271">
        <v>350.0</v>
      </c>
      <c r="N515" s="275">
        <v>65.0</v>
      </c>
      <c r="O515" s="60"/>
      <c r="P515" s="50">
        <v>65.0</v>
      </c>
      <c r="Q515" s="271">
        <v>369.0</v>
      </c>
      <c r="R515" s="276">
        <v>-0.00197</v>
      </c>
      <c r="S515" s="271">
        <v>361.0</v>
      </c>
      <c r="T515" s="271">
        <v>426.0</v>
      </c>
      <c r="U515" s="62">
        <v>1.0</v>
      </c>
      <c r="V515" s="277">
        <v>0.25</v>
      </c>
      <c r="W515" s="277">
        <v>0.0</v>
      </c>
      <c r="X515" s="271">
        <v>320.0</v>
      </c>
      <c r="Y515" s="271">
        <v>107.0</v>
      </c>
      <c r="Z515" s="50" t="b">
        <v>1</v>
      </c>
      <c r="AA515" s="50" t="s">
        <v>140</v>
      </c>
      <c r="AB515" s="50" t="s">
        <v>140</v>
      </c>
    </row>
    <row r="516">
      <c r="A516" s="101" t="s">
        <v>148</v>
      </c>
      <c r="B516" s="101" t="s">
        <v>148</v>
      </c>
      <c r="C516" s="278">
        <v>44125.0</v>
      </c>
      <c r="D516" s="278">
        <v>44155.0</v>
      </c>
      <c r="E516" s="271" t="s">
        <v>331</v>
      </c>
      <c r="F516" s="138" t="s">
        <v>4</v>
      </c>
      <c r="G516" s="101" t="s">
        <v>5</v>
      </c>
      <c r="H516" s="273" t="s">
        <v>47</v>
      </c>
      <c r="I516" s="63">
        <v>10.0</v>
      </c>
      <c r="J516" s="74">
        <v>3.0</v>
      </c>
      <c r="K516" s="271">
        <f t="shared" si="1"/>
        <v>30</v>
      </c>
      <c r="L516" s="280">
        <v>1603.0</v>
      </c>
      <c r="M516" s="280">
        <v>10.0</v>
      </c>
      <c r="N516" s="275">
        <v>2.0</v>
      </c>
      <c r="O516" s="60"/>
      <c r="P516" s="50">
        <v>2.0</v>
      </c>
      <c r="Q516" s="280">
        <v>27.0</v>
      </c>
      <c r="R516" s="276">
        <v>-0.00197</v>
      </c>
      <c r="S516" s="280">
        <v>27.0</v>
      </c>
      <c r="T516" s="280">
        <v>29.0</v>
      </c>
      <c r="U516" s="62">
        <v>1.0</v>
      </c>
      <c r="V516" s="277">
        <v>0.25</v>
      </c>
      <c r="W516" s="277">
        <v>0.1</v>
      </c>
      <c r="X516" s="280">
        <v>19.0</v>
      </c>
      <c r="Y516" s="280">
        <v>10.0</v>
      </c>
      <c r="Z516" s="50" t="b">
        <v>1</v>
      </c>
      <c r="AA516" s="50" t="s">
        <v>138</v>
      </c>
      <c r="AB516" s="50" t="s">
        <v>138</v>
      </c>
    </row>
    <row r="517">
      <c r="A517" s="101" t="s">
        <v>148</v>
      </c>
      <c r="B517" s="101" t="s">
        <v>148</v>
      </c>
      <c r="C517" s="278">
        <v>44125.0</v>
      </c>
      <c r="D517" s="278">
        <v>44155.0</v>
      </c>
      <c r="E517" s="271" t="s">
        <v>331</v>
      </c>
      <c r="F517" s="138" t="s">
        <v>4</v>
      </c>
      <c r="G517" s="101" t="s">
        <v>5</v>
      </c>
      <c r="H517" s="273" t="s">
        <v>62</v>
      </c>
      <c r="I517" s="63">
        <v>25.0</v>
      </c>
      <c r="J517" s="74">
        <v>139.0</v>
      </c>
      <c r="K517" s="271">
        <f t="shared" si="1"/>
        <v>3475</v>
      </c>
      <c r="L517" s="280">
        <v>8463.0</v>
      </c>
      <c r="M517" s="280">
        <v>-375.0</v>
      </c>
      <c r="N517" s="275">
        <v>202.0</v>
      </c>
      <c r="O517" s="60"/>
      <c r="P517" s="50">
        <v>202.0</v>
      </c>
      <c r="Q517" s="280">
        <v>170.0</v>
      </c>
      <c r="R517" s="276">
        <v>-0.00197</v>
      </c>
      <c r="S517" s="280">
        <v>163.0</v>
      </c>
      <c r="T517" s="280">
        <v>365.0</v>
      </c>
      <c r="U517" s="62">
        <v>1.0</v>
      </c>
      <c r="V517" s="277">
        <v>0.25</v>
      </c>
      <c r="W517" s="277">
        <v>0.1</v>
      </c>
      <c r="X517" s="280">
        <v>237.0</v>
      </c>
      <c r="Y517" s="280">
        <v>128.0</v>
      </c>
      <c r="Z517" s="50" t="b">
        <v>1</v>
      </c>
      <c r="AA517" s="50" t="s">
        <v>138</v>
      </c>
      <c r="AB517" s="50" t="s">
        <v>138</v>
      </c>
    </row>
    <row r="518">
      <c r="A518" s="101" t="s">
        <v>148</v>
      </c>
      <c r="B518" s="101" t="s">
        <v>148</v>
      </c>
      <c r="C518" s="278">
        <v>44125.0</v>
      </c>
      <c r="D518" s="278">
        <v>44155.0</v>
      </c>
      <c r="E518" s="271" t="s">
        <v>331</v>
      </c>
      <c r="F518" s="138" t="s">
        <v>4</v>
      </c>
      <c r="G518" s="101" t="s">
        <v>5</v>
      </c>
      <c r="H518" s="273" t="s">
        <v>966</v>
      </c>
      <c r="I518" s="63">
        <v>50.0</v>
      </c>
      <c r="J518" s="74">
        <v>4611.0</v>
      </c>
      <c r="K518" s="271">
        <f t="shared" si="1"/>
        <v>230550</v>
      </c>
      <c r="L518" s="280">
        <v>136683.0</v>
      </c>
      <c r="M518" s="280">
        <v>-700.0</v>
      </c>
      <c r="N518" s="275">
        <v>13042.0</v>
      </c>
      <c r="O518" s="60"/>
      <c r="P518" s="109">
        <v>13042.0</v>
      </c>
      <c r="Q518" s="280">
        <v>-1883.0</v>
      </c>
      <c r="R518" s="276">
        <v>-0.00197</v>
      </c>
      <c r="S518" s="280">
        <v>-2337.0</v>
      </c>
      <c r="T518" s="280">
        <v>10705.0</v>
      </c>
      <c r="U518" s="62">
        <v>1.0</v>
      </c>
      <c r="V518" s="277">
        <v>0.25</v>
      </c>
      <c r="W518" s="277">
        <v>0.1</v>
      </c>
      <c r="X518" s="280">
        <v>6958.0</v>
      </c>
      <c r="Y518" s="280">
        <v>3747.0</v>
      </c>
      <c r="Z518" s="50" t="b">
        <v>1</v>
      </c>
      <c r="AA518" s="50" t="s">
        <v>138</v>
      </c>
      <c r="AB518" s="50" t="s">
        <v>138</v>
      </c>
    </row>
    <row r="519">
      <c r="A519" s="101" t="s">
        <v>148</v>
      </c>
      <c r="B519" s="101" t="s">
        <v>148</v>
      </c>
      <c r="C519" s="278">
        <v>44125.0</v>
      </c>
      <c r="D519" s="278">
        <v>44155.0</v>
      </c>
      <c r="E519" s="271" t="s">
        <v>331</v>
      </c>
      <c r="F519" s="138" t="s">
        <v>12</v>
      </c>
      <c r="G519" s="101" t="s">
        <v>5</v>
      </c>
      <c r="H519" s="114" t="s">
        <v>974</v>
      </c>
      <c r="I519" s="274">
        <v>50.0</v>
      </c>
      <c r="J519" s="271">
        <v>2.0</v>
      </c>
      <c r="K519" s="271">
        <f t="shared" si="1"/>
        <v>100</v>
      </c>
      <c r="L519" s="271"/>
      <c r="M519" s="271">
        <v>0.0</v>
      </c>
      <c r="N519" s="275">
        <v>5.0</v>
      </c>
      <c r="O519" s="60"/>
      <c r="P519" s="50">
        <v>5.0</v>
      </c>
      <c r="Q519" s="271"/>
      <c r="R519" s="276">
        <v>0.0</v>
      </c>
      <c r="S519" s="271"/>
      <c r="T519" s="271">
        <v>5.0</v>
      </c>
      <c r="U519" s="62">
        <v>1.0</v>
      </c>
      <c r="V519" s="277">
        <v>0.25</v>
      </c>
      <c r="W519" s="277">
        <v>0.1</v>
      </c>
      <c r="X519" s="271">
        <v>3.0</v>
      </c>
      <c r="Y519" s="271">
        <v>2.0</v>
      </c>
      <c r="Z519" s="50" t="b">
        <v>1</v>
      </c>
      <c r="AA519" s="50" t="s">
        <v>138</v>
      </c>
      <c r="AB519" s="50" t="s">
        <v>138</v>
      </c>
    </row>
    <row r="520">
      <c r="A520" s="101" t="s">
        <v>148</v>
      </c>
      <c r="B520" s="101" t="s">
        <v>148</v>
      </c>
      <c r="C520" s="278">
        <v>44125.0</v>
      </c>
      <c r="D520" s="278">
        <v>44155.0</v>
      </c>
      <c r="E520" s="271" t="s">
        <v>331</v>
      </c>
      <c r="F520" s="138" t="s">
        <v>12</v>
      </c>
      <c r="G520" s="101" t="s">
        <v>5</v>
      </c>
      <c r="H520" s="273" t="s">
        <v>63</v>
      </c>
      <c r="I520" s="274">
        <v>25.0</v>
      </c>
      <c r="J520" s="271">
        <v>8.0</v>
      </c>
      <c r="K520" s="271">
        <f t="shared" si="1"/>
        <v>200</v>
      </c>
      <c r="L520" s="271"/>
      <c r="M520" s="271">
        <v>-25.0</v>
      </c>
      <c r="N520" s="275">
        <v>11.0</v>
      </c>
      <c r="O520" s="60"/>
      <c r="P520" s="50">
        <v>11.0</v>
      </c>
      <c r="Q520" s="271"/>
      <c r="R520" s="276">
        <v>0.0</v>
      </c>
      <c r="S520" s="271"/>
      <c r="T520" s="271">
        <v>-14.0</v>
      </c>
      <c r="U520" s="62">
        <v>1.0</v>
      </c>
      <c r="V520" s="277">
        <v>0.25</v>
      </c>
      <c r="W520" s="277">
        <v>0.1</v>
      </c>
      <c r="X520" s="271">
        <v>-9.0</v>
      </c>
      <c r="Y520" s="271">
        <v>-5.0</v>
      </c>
      <c r="Z520" s="50" t="b">
        <v>1</v>
      </c>
      <c r="AA520" s="50" t="s">
        <v>138</v>
      </c>
      <c r="AB520" s="50" t="s">
        <v>138</v>
      </c>
    </row>
    <row r="521">
      <c r="A521" s="101" t="s">
        <v>182</v>
      </c>
      <c r="B521" s="101" t="s">
        <v>182</v>
      </c>
      <c r="C521" s="278">
        <v>44125.0</v>
      </c>
      <c r="D521" s="278">
        <v>44155.0</v>
      </c>
      <c r="E521" s="271" t="s">
        <v>268</v>
      </c>
      <c r="F521" s="101" t="s">
        <v>4</v>
      </c>
      <c r="G521" s="271" t="s">
        <v>5</v>
      </c>
      <c r="H521" s="273" t="s">
        <v>46</v>
      </c>
      <c r="I521" s="274">
        <v>10.0</v>
      </c>
      <c r="J521" s="271">
        <v>708.0</v>
      </c>
      <c r="K521" s="271">
        <f t="shared" si="1"/>
        <v>7080</v>
      </c>
      <c r="L521" s="271">
        <v>57557.0</v>
      </c>
      <c r="M521" s="271">
        <v>710.0</v>
      </c>
      <c r="N521" s="275">
        <v>29.0</v>
      </c>
      <c r="O521" s="60"/>
      <c r="P521" s="50">
        <v>29.0</v>
      </c>
      <c r="Q521" s="271">
        <v>433.0</v>
      </c>
      <c r="R521" s="276">
        <v>-0.00197</v>
      </c>
      <c r="S521" s="271">
        <v>419.0</v>
      </c>
      <c r="T521" s="271">
        <v>448.0</v>
      </c>
      <c r="U521" s="62">
        <v>1.0</v>
      </c>
      <c r="V521" s="277">
        <v>0.2</v>
      </c>
      <c r="W521" s="277">
        <v>0.0</v>
      </c>
      <c r="X521" s="271">
        <v>358.0</v>
      </c>
      <c r="Y521" s="271">
        <v>90.0</v>
      </c>
      <c r="Z521" s="50" t="b">
        <v>1</v>
      </c>
      <c r="AA521" s="50" t="s">
        <v>138</v>
      </c>
      <c r="AB521" s="50" t="s">
        <v>138</v>
      </c>
    </row>
    <row r="522">
      <c r="A522" s="101" t="s">
        <v>182</v>
      </c>
      <c r="B522" s="101" t="s">
        <v>182</v>
      </c>
      <c r="C522" s="278">
        <v>44125.0</v>
      </c>
      <c r="D522" s="278">
        <v>44155.0</v>
      </c>
      <c r="E522" s="271" t="s">
        <v>268</v>
      </c>
      <c r="F522" s="101" t="s">
        <v>4</v>
      </c>
      <c r="G522" s="271" t="s">
        <v>5</v>
      </c>
      <c r="H522" s="273" t="s">
        <v>62</v>
      </c>
      <c r="I522" s="274">
        <v>25.0</v>
      </c>
      <c r="J522" s="271">
        <v>2378.0</v>
      </c>
      <c r="K522" s="271">
        <f t="shared" si="1"/>
        <v>59450</v>
      </c>
      <c r="L522" s="271">
        <v>69375.0</v>
      </c>
      <c r="M522" s="271">
        <v>-675.0</v>
      </c>
      <c r="N522" s="275">
        <v>184.0</v>
      </c>
      <c r="O522" s="60"/>
      <c r="P522" s="50">
        <v>184.0</v>
      </c>
      <c r="Q522" s="271">
        <v>-689.0</v>
      </c>
      <c r="R522" s="276">
        <v>-0.00197</v>
      </c>
      <c r="S522" s="271">
        <v>-806.0</v>
      </c>
      <c r="T522" s="271">
        <v>-622.0</v>
      </c>
      <c r="U522" s="62">
        <v>1.0</v>
      </c>
      <c r="V522" s="277">
        <v>0.2</v>
      </c>
      <c r="W522" s="277">
        <v>0.0</v>
      </c>
      <c r="X522" s="271">
        <v>-497.0</v>
      </c>
      <c r="Y522" s="271">
        <v>-124.0</v>
      </c>
      <c r="Z522" s="50" t="b">
        <v>1</v>
      </c>
      <c r="AA522" s="50" t="s">
        <v>138</v>
      </c>
      <c r="AB522" s="50" t="s">
        <v>138</v>
      </c>
    </row>
    <row r="523">
      <c r="A523" s="101" t="s">
        <v>199</v>
      </c>
      <c r="B523" s="101" t="s">
        <v>199</v>
      </c>
      <c r="C523" s="278">
        <v>44125.0</v>
      </c>
      <c r="D523" s="278">
        <v>44155.0</v>
      </c>
      <c r="E523" s="271" t="s">
        <v>268</v>
      </c>
      <c r="F523" s="138" t="s">
        <v>4</v>
      </c>
      <c r="G523" s="101" t="s">
        <v>5</v>
      </c>
      <c r="H523" s="273" t="s">
        <v>34</v>
      </c>
      <c r="I523" s="63">
        <v>5.0</v>
      </c>
      <c r="J523" s="74">
        <v>594.0</v>
      </c>
      <c r="K523" s="271">
        <f t="shared" si="1"/>
        <v>2970</v>
      </c>
      <c r="L523" s="280">
        <v>25722.0</v>
      </c>
      <c r="M523" s="280">
        <v>-55.0</v>
      </c>
      <c r="N523" s="275"/>
      <c r="O523" s="60"/>
      <c r="P523" s="101"/>
      <c r="Q523" s="280">
        <v>16.0</v>
      </c>
      <c r="R523" s="276">
        <v>-0.00197</v>
      </c>
      <c r="S523" s="280">
        <v>10.0</v>
      </c>
      <c r="T523" s="280">
        <v>10.0</v>
      </c>
      <c r="U523" s="62">
        <v>1.0</v>
      </c>
      <c r="V523" s="277">
        <v>0.2</v>
      </c>
      <c r="W523" s="277">
        <v>0.0</v>
      </c>
      <c r="X523" s="280">
        <v>8.0</v>
      </c>
      <c r="Y523" s="280">
        <v>2.0</v>
      </c>
      <c r="Z523" s="50" t="b">
        <v>1</v>
      </c>
      <c r="AA523" s="50" t="s">
        <v>138</v>
      </c>
      <c r="AB523" s="50" t="s">
        <v>138</v>
      </c>
    </row>
    <row r="524">
      <c r="A524" s="101" t="s">
        <v>199</v>
      </c>
      <c r="B524" s="101" t="s">
        <v>924</v>
      </c>
      <c r="C524" s="278">
        <v>44125.0</v>
      </c>
      <c r="D524" s="278">
        <v>44155.0</v>
      </c>
      <c r="E524" s="271" t="s">
        <v>268</v>
      </c>
      <c r="F524" s="138" t="s">
        <v>4</v>
      </c>
      <c r="G524" s="101" t="s">
        <v>9</v>
      </c>
      <c r="H524" s="273" t="s">
        <v>983</v>
      </c>
      <c r="I524" s="63">
        <v>5.0</v>
      </c>
      <c r="J524" s="74">
        <v>1503.0</v>
      </c>
      <c r="K524" s="271">
        <f t="shared" si="1"/>
        <v>7515</v>
      </c>
      <c r="L524" s="280">
        <v>136465.0</v>
      </c>
      <c r="M524" s="280">
        <v>-160.0</v>
      </c>
      <c r="N524" s="275"/>
      <c r="O524" s="60"/>
      <c r="P524" s="101"/>
      <c r="Q524" s="280">
        <v>586.0</v>
      </c>
      <c r="R524" s="276">
        <v>-0.00197</v>
      </c>
      <c r="S524" s="280">
        <v>571.0</v>
      </c>
      <c r="T524" s="280">
        <v>571.0</v>
      </c>
      <c r="U524" s="62">
        <v>1.186</v>
      </c>
      <c r="V524" s="277">
        <v>0.2</v>
      </c>
      <c r="W524" s="277">
        <v>0.0</v>
      </c>
      <c r="X524" s="280">
        <v>542.0</v>
      </c>
      <c r="Y524" s="280">
        <v>135.0</v>
      </c>
      <c r="Z524" s="50" t="b">
        <v>1</v>
      </c>
      <c r="AA524" s="50" t="s">
        <v>138</v>
      </c>
      <c r="AB524" s="50" t="s">
        <v>140</v>
      </c>
    </row>
    <row r="525">
      <c r="A525" s="101" t="s">
        <v>546</v>
      </c>
      <c r="B525" s="101" t="s">
        <v>546</v>
      </c>
      <c r="C525" s="278">
        <v>44125.0</v>
      </c>
      <c r="D525" s="278">
        <v>44155.0</v>
      </c>
      <c r="E525" s="271" t="s">
        <v>331</v>
      </c>
      <c r="F525" s="101" t="s">
        <v>4</v>
      </c>
      <c r="G525" s="101" t="s">
        <v>5</v>
      </c>
      <c r="H525" s="273" t="s">
        <v>85</v>
      </c>
      <c r="I525" s="63">
        <v>100.0</v>
      </c>
      <c r="J525" s="74">
        <v>1997.0</v>
      </c>
      <c r="K525" s="271">
        <f t="shared" si="1"/>
        <v>199700</v>
      </c>
      <c r="L525" s="271">
        <v>81117.0</v>
      </c>
      <c r="M525" s="271">
        <v>-3300.0</v>
      </c>
      <c r="N525" s="275">
        <v>847.0</v>
      </c>
      <c r="O525" s="60"/>
      <c r="P525" s="50">
        <v>847.0</v>
      </c>
      <c r="Q525" s="271">
        <v>4420.0</v>
      </c>
      <c r="R525" s="276">
        <v>-0.00197</v>
      </c>
      <c r="S525" s="271">
        <v>4027.0</v>
      </c>
      <c r="T525" s="271">
        <v>4874.0</v>
      </c>
      <c r="U525" s="62">
        <v>1.0</v>
      </c>
      <c r="V525" s="277">
        <v>0.135</v>
      </c>
      <c r="W525" s="277">
        <v>0.045</v>
      </c>
      <c r="X525" s="271">
        <v>3996.0</v>
      </c>
      <c r="Y525" s="271">
        <v>877.0</v>
      </c>
      <c r="Z525" s="50" t="b">
        <v>1</v>
      </c>
      <c r="AA525" s="50" t="s">
        <v>138</v>
      </c>
      <c r="AB525" s="50" t="s">
        <v>138</v>
      </c>
    </row>
    <row r="526">
      <c r="A526" s="101" t="s">
        <v>546</v>
      </c>
      <c r="B526" s="101" t="s">
        <v>546</v>
      </c>
      <c r="C526" s="278">
        <v>44125.0</v>
      </c>
      <c r="D526" s="278">
        <v>44155.0</v>
      </c>
      <c r="E526" s="271" t="s">
        <v>331</v>
      </c>
      <c r="F526" s="101" t="s">
        <v>4</v>
      </c>
      <c r="G526" s="101" t="s">
        <v>5</v>
      </c>
      <c r="H526" s="273" t="s">
        <v>96</v>
      </c>
      <c r="I526" s="63">
        <v>250.0</v>
      </c>
      <c r="J526" s="74">
        <v>4.0</v>
      </c>
      <c r="K526" s="271">
        <f t="shared" si="1"/>
        <v>1000</v>
      </c>
      <c r="L526" s="271">
        <v>90.0</v>
      </c>
      <c r="M526" s="271">
        <v>250.0</v>
      </c>
      <c r="N526" s="275">
        <v>4.0</v>
      </c>
      <c r="O526" s="60"/>
      <c r="P526" s="50">
        <v>4.0</v>
      </c>
      <c r="Q526" s="271">
        <v>-9.0</v>
      </c>
      <c r="R526" s="276">
        <v>-0.00197</v>
      </c>
      <c r="S526" s="271">
        <v>-11.0</v>
      </c>
      <c r="T526" s="271">
        <v>-7.0</v>
      </c>
      <c r="U526" s="62">
        <v>1.0</v>
      </c>
      <c r="V526" s="277">
        <v>0.15</v>
      </c>
      <c r="W526" s="277">
        <v>0.05</v>
      </c>
      <c r="X526" s="271">
        <v>-6.0</v>
      </c>
      <c r="Y526" s="271">
        <v>-1.0</v>
      </c>
      <c r="Z526" s="50" t="b">
        <v>1</v>
      </c>
      <c r="AA526" s="50" t="s">
        <v>138</v>
      </c>
      <c r="AB526" s="50" t="s">
        <v>138</v>
      </c>
    </row>
    <row r="527">
      <c r="A527" s="101" t="s">
        <v>207</v>
      </c>
      <c r="B527" s="101" t="s">
        <v>207</v>
      </c>
      <c r="C527" s="278">
        <v>44125.0</v>
      </c>
      <c r="D527" s="278">
        <v>44155.0</v>
      </c>
      <c r="E527" s="271" t="s">
        <v>268</v>
      </c>
      <c r="F527" s="101" t="s">
        <v>4</v>
      </c>
      <c r="G527" s="271" t="s">
        <v>5</v>
      </c>
      <c r="H527" s="273" t="s">
        <v>34</v>
      </c>
      <c r="I527" s="274">
        <v>5.0</v>
      </c>
      <c r="J527" s="271">
        <v>2743.0</v>
      </c>
      <c r="K527" s="271">
        <f t="shared" si="1"/>
        <v>13715</v>
      </c>
      <c r="L527" s="271">
        <v>221428.0</v>
      </c>
      <c r="M527" s="271">
        <v>765.0</v>
      </c>
      <c r="N527" s="275">
        <v>42.0</v>
      </c>
      <c r="O527" s="60"/>
      <c r="P527" s="50">
        <v>42.0</v>
      </c>
      <c r="Q527" s="271">
        <v>1016.0</v>
      </c>
      <c r="R527" s="276">
        <v>-0.00197</v>
      </c>
      <c r="S527" s="271">
        <v>989.0</v>
      </c>
      <c r="T527" s="271">
        <v>1031.0</v>
      </c>
      <c r="U527" s="62">
        <v>1.0</v>
      </c>
      <c r="V527" s="277">
        <v>0.25</v>
      </c>
      <c r="W527" s="277">
        <v>0.0</v>
      </c>
      <c r="X527" s="271">
        <v>773.0</v>
      </c>
      <c r="Y527" s="271">
        <v>258.0</v>
      </c>
      <c r="Z527" s="50" t="b">
        <v>1</v>
      </c>
      <c r="AA527" s="50" t="s">
        <v>138</v>
      </c>
      <c r="AB527" s="50" t="s">
        <v>138</v>
      </c>
    </row>
    <row r="528">
      <c r="A528" s="101" t="s">
        <v>207</v>
      </c>
      <c r="B528" s="101" t="s">
        <v>207</v>
      </c>
      <c r="C528" s="278">
        <v>44125.0</v>
      </c>
      <c r="D528" s="278">
        <v>44155.0</v>
      </c>
      <c r="E528" s="271" t="s">
        <v>268</v>
      </c>
      <c r="F528" s="101" t="s">
        <v>4</v>
      </c>
      <c r="G528" s="271" t="s">
        <v>5</v>
      </c>
      <c r="H528" s="273" t="s">
        <v>46</v>
      </c>
      <c r="I528" s="274">
        <v>10.0</v>
      </c>
      <c r="J528" s="271">
        <v>504.0</v>
      </c>
      <c r="K528" s="271">
        <f t="shared" si="1"/>
        <v>5040</v>
      </c>
      <c r="L528" s="271">
        <v>5749.0</v>
      </c>
      <c r="M528" s="271">
        <v>-70.0</v>
      </c>
      <c r="N528" s="275">
        <v>18.0</v>
      </c>
      <c r="O528" s="60"/>
      <c r="P528" s="50">
        <v>18.0</v>
      </c>
      <c r="Q528" s="271">
        <v>-319.0</v>
      </c>
      <c r="R528" s="276">
        <v>-0.00197</v>
      </c>
      <c r="S528" s="271">
        <v>-329.0</v>
      </c>
      <c r="T528" s="271">
        <v>-311.0</v>
      </c>
      <c r="U528" s="62">
        <v>1.0</v>
      </c>
      <c r="V528" s="277">
        <v>0.25</v>
      </c>
      <c r="W528" s="277">
        <v>0.0</v>
      </c>
      <c r="X528" s="271">
        <v>-233.0</v>
      </c>
      <c r="Y528" s="271">
        <v>-78.0</v>
      </c>
      <c r="Z528" s="50" t="b">
        <v>1</v>
      </c>
      <c r="AA528" s="50" t="s">
        <v>138</v>
      </c>
      <c r="AB528" s="50" t="s">
        <v>138</v>
      </c>
    </row>
    <row r="529">
      <c r="A529" s="101" t="s">
        <v>216</v>
      </c>
      <c r="B529" s="101" t="s">
        <v>216</v>
      </c>
      <c r="C529" s="278">
        <v>44125.0</v>
      </c>
      <c r="D529" s="278">
        <v>44155.0</v>
      </c>
      <c r="E529" s="271" t="s">
        <v>268</v>
      </c>
      <c r="F529" s="138" t="s">
        <v>4</v>
      </c>
      <c r="G529" s="101" t="s">
        <v>5</v>
      </c>
      <c r="H529" s="273" t="s">
        <v>74</v>
      </c>
      <c r="I529" s="63">
        <v>50.0</v>
      </c>
      <c r="J529" s="74">
        <v>1.0</v>
      </c>
      <c r="K529" s="271">
        <f t="shared" si="1"/>
        <v>50</v>
      </c>
      <c r="L529" s="271">
        <v>-500.0</v>
      </c>
      <c r="M529" s="271">
        <v>-50.0</v>
      </c>
      <c r="N529" s="275"/>
      <c r="O529" s="60"/>
      <c r="P529" s="101"/>
      <c r="Q529" s="271">
        <v>-50.0</v>
      </c>
      <c r="R529" s="276">
        <v>-0.00197</v>
      </c>
      <c r="S529" s="271">
        <v>-50.0</v>
      </c>
      <c r="T529" s="271">
        <v>-50.0</v>
      </c>
      <c r="U529" s="62">
        <v>1.0</v>
      </c>
      <c r="V529" s="277">
        <v>0.22</v>
      </c>
      <c r="W529" s="277">
        <v>0.0</v>
      </c>
      <c r="X529" s="271">
        <v>-39.0</v>
      </c>
      <c r="Y529" s="271">
        <v>-11.0</v>
      </c>
      <c r="Z529" s="50" t="b">
        <v>1</v>
      </c>
      <c r="AA529" s="50" t="s">
        <v>138</v>
      </c>
      <c r="AB529" s="50" t="s">
        <v>138</v>
      </c>
    </row>
    <row r="530">
      <c r="A530" s="101" t="s">
        <v>216</v>
      </c>
      <c r="B530" s="101" t="s">
        <v>216</v>
      </c>
      <c r="C530" s="278">
        <v>44125.0</v>
      </c>
      <c r="D530" s="278">
        <v>44155.0</v>
      </c>
      <c r="E530" s="271" t="s">
        <v>268</v>
      </c>
      <c r="F530" s="138" t="s">
        <v>4</v>
      </c>
      <c r="G530" s="101" t="s">
        <v>5</v>
      </c>
      <c r="H530" s="273" t="s">
        <v>85</v>
      </c>
      <c r="I530" s="63">
        <v>100.0</v>
      </c>
      <c r="J530" s="74">
        <v>13.0</v>
      </c>
      <c r="K530" s="271">
        <f t="shared" si="1"/>
        <v>1300</v>
      </c>
      <c r="L530" s="271">
        <v>2706.0</v>
      </c>
      <c r="M530" s="271">
        <v>700.0</v>
      </c>
      <c r="N530" s="275"/>
      <c r="O530" s="60"/>
      <c r="P530" s="101"/>
      <c r="Q530" s="271">
        <v>437.0</v>
      </c>
      <c r="R530" s="276">
        <v>-0.00197</v>
      </c>
      <c r="S530" s="271">
        <v>434.0</v>
      </c>
      <c r="T530" s="271">
        <v>434.0</v>
      </c>
      <c r="U530" s="62">
        <v>1.0</v>
      </c>
      <c r="V530" s="277">
        <v>0.22</v>
      </c>
      <c r="W530" s="277">
        <v>0.0</v>
      </c>
      <c r="X530" s="271">
        <v>339.0</v>
      </c>
      <c r="Y530" s="271">
        <v>96.0</v>
      </c>
      <c r="Z530" s="50" t="b">
        <v>1</v>
      </c>
      <c r="AA530" s="50" t="s">
        <v>138</v>
      </c>
      <c r="AB530" s="50" t="s">
        <v>138</v>
      </c>
    </row>
    <row r="531">
      <c r="A531" s="101" t="s">
        <v>177</v>
      </c>
      <c r="B531" s="101" t="s">
        <v>177</v>
      </c>
      <c r="C531" s="278">
        <v>44136.0</v>
      </c>
      <c r="D531" s="278">
        <v>44165.0</v>
      </c>
      <c r="E531" s="271" t="s">
        <v>268</v>
      </c>
      <c r="F531" s="138" t="s">
        <v>8</v>
      </c>
      <c r="G531" s="280" t="s">
        <v>5</v>
      </c>
      <c r="H531" s="273" t="s">
        <v>85</v>
      </c>
      <c r="I531" s="274">
        <v>100.0</v>
      </c>
      <c r="J531" s="271">
        <v>2041.0</v>
      </c>
      <c r="K531" s="271">
        <f t="shared" si="1"/>
        <v>204100</v>
      </c>
      <c r="L531" s="271">
        <v>53946.0</v>
      </c>
      <c r="M531" s="271">
        <v>-6200.0</v>
      </c>
      <c r="N531" s="275">
        <v>850.0</v>
      </c>
      <c r="O531" s="60"/>
      <c r="P531" s="50">
        <v>850.0</v>
      </c>
      <c r="Q531" s="271">
        <v>-910.0</v>
      </c>
      <c r="R531" s="276">
        <v>-8.71E-4</v>
      </c>
      <c r="S531" s="271">
        <v>-1088.0</v>
      </c>
      <c r="T531" s="271">
        <v>-238.0</v>
      </c>
      <c r="U531" s="62">
        <v>1.0</v>
      </c>
      <c r="V531" s="277">
        <v>0.12</v>
      </c>
      <c r="W531" s="277">
        <v>0.0</v>
      </c>
      <c r="X531" s="271">
        <v>-209.0</v>
      </c>
      <c r="Y531" s="271">
        <v>-29.0</v>
      </c>
      <c r="Z531" s="50" t="b">
        <v>1</v>
      </c>
      <c r="AA531" s="50" t="s">
        <v>138</v>
      </c>
      <c r="AB531" s="50" t="s">
        <v>138</v>
      </c>
    </row>
    <row r="532">
      <c r="A532" s="101" t="s">
        <v>345</v>
      </c>
      <c r="B532" s="101" t="s">
        <v>981</v>
      </c>
      <c r="C532" s="278">
        <v>44136.0</v>
      </c>
      <c r="D532" s="278">
        <v>44165.0</v>
      </c>
      <c r="E532" s="271" t="s">
        <v>331</v>
      </c>
      <c r="F532" s="138" t="s">
        <v>12</v>
      </c>
      <c r="G532" s="271" t="s">
        <v>16</v>
      </c>
      <c r="H532" s="273" t="s">
        <v>85</v>
      </c>
      <c r="I532" s="274">
        <v>100.0</v>
      </c>
      <c r="J532" s="271">
        <v>1.0</v>
      </c>
      <c r="K532" s="271">
        <f t="shared" si="1"/>
        <v>100</v>
      </c>
      <c r="L532" s="271">
        <v>0.0</v>
      </c>
      <c r="M532" s="271">
        <v>0.0</v>
      </c>
      <c r="N532" s="275">
        <v>1606.0</v>
      </c>
      <c r="O532" s="60"/>
      <c r="P532" s="109">
        <v>1606.0</v>
      </c>
      <c r="Q532" s="271">
        <v>-5.0</v>
      </c>
      <c r="R532" s="276">
        <v>0.0</v>
      </c>
      <c r="S532" s="271">
        <v>-5.0</v>
      </c>
      <c r="T532" s="271">
        <v>1606.0</v>
      </c>
      <c r="U532" s="62">
        <v>1.0</v>
      </c>
      <c r="V532" s="277">
        <v>0.0</v>
      </c>
      <c r="W532" s="277">
        <v>0.125</v>
      </c>
      <c r="X532" s="271">
        <v>1405.0</v>
      </c>
      <c r="Y532" s="271">
        <v>201.0</v>
      </c>
      <c r="Z532" s="50" t="b">
        <v>1</v>
      </c>
      <c r="AA532" s="50" t="s">
        <v>138</v>
      </c>
      <c r="AB532" s="50" t="s">
        <v>138</v>
      </c>
    </row>
    <row r="533">
      <c r="A533" s="101" t="s">
        <v>345</v>
      </c>
      <c r="B533" s="101" t="s">
        <v>981</v>
      </c>
      <c r="C533" s="278">
        <v>44136.0</v>
      </c>
      <c r="D533" s="278">
        <v>44165.0</v>
      </c>
      <c r="E533" s="271" t="s">
        <v>331</v>
      </c>
      <c r="F533" s="138" t="s">
        <v>4</v>
      </c>
      <c r="G533" s="271" t="s">
        <v>16</v>
      </c>
      <c r="H533" s="273" t="s">
        <v>85</v>
      </c>
      <c r="I533" s="274">
        <v>100.0</v>
      </c>
      <c r="J533" s="271">
        <v>1372.0</v>
      </c>
      <c r="K533" s="271">
        <f t="shared" si="1"/>
        <v>137200</v>
      </c>
      <c r="L533" s="271">
        <v>30885.0</v>
      </c>
      <c r="M533" s="271">
        <v>9400.0</v>
      </c>
      <c r="N533" s="275">
        <v>4456.97</v>
      </c>
      <c r="O533" s="60"/>
      <c r="P533" s="109">
        <v>4457.0</v>
      </c>
      <c r="Q533" s="271">
        <v>-1574.0</v>
      </c>
      <c r="R533" s="276">
        <v>-5.3E-4</v>
      </c>
      <c r="S533" s="271">
        <v>-1646.0</v>
      </c>
      <c r="T533" s="271">
        <v>2811.0</v>
      </c>
      <c r="U533" s="62">
        <v>1.0</v>
      </c>
      <c r="V533" s="277">
        <v>0.0</v>
      </c>
      <c r="W533" s="277">
        <v>0.125</v>
      </c>
      <c r="X533" s="271">
        <v>2459.0</v>
      </c>
      <c r="Y533" s="271">
        <v>351.0</v>
      </c>
      <c r="Z533" s="50" t="b">
        <v>1</v>
      </c>
      <c r="AA533" s="50" t="s">
        <v>138</v>
      </c>
      <c r="AB533" s="50" t="s">
        <v>138</v>
      </c>
    </row>
    <row r="534">
      <c r="A534" s="101" t="s">
        <v>345</v>
      </c>
      <c r="B534" s="101" t="s">
        <v>981</v>
      </c>
      <c r="C534" s="278">
        <v>44136.0</v>
      </c>
      <c r="D534" s="278">
        <v>44165.0</v>
      </c>
      <c r="E534" s="271" t="s">
        <v>331</v>
      </c>
      <c r="F534" s="138" t="s">
        <v>4</v>
      </c>
      <c r="G534" s="271" t="s">
        <v>16</v>
      </c>
      <c r="H534" s="273" t="s">
        <v>88</v>
      </c>
      <c r="I534" s="274">
        <v>100.0</v>
      </c>
      <c r="J534" s="271">
        <v>1112.0</v>
      </c>
      <c r="K534" s="271">
        <f t="shared" si="1"/>
        <v>111200</v>
      </c>
      <c r="L534" s="271">
        <v>1981.0</v>
      </c>
      <c r="M534" s="271">
        <v>-5100.0</v>
      </c>
      <c r="N534" s="275">
        <v>3612.36</v>
      </c>
      <c r="O534" s="60"/>
      <c r="P534" s="109">
        <v>3612.0</v>
      </c>
      <c r="Q534" s="271">
        <v>-5381.0</v>
      </c>
      <c r="R534" s="276">
        <v>-5.3E-4</v>
      </c>
      <c r="S534" s="271">
        <v>-5440.0</v>
      </c>
      <c r="T534" s="271">
        <v>-1828.0</v>
      </c>
      <c r="U534" s="62">
        <v>1.0</v>
      </c>
      <c r="V534" s="277">
        <v>0.0</v>
      </c>
      <c r="W534" s="277">
        <v>0.125</v>
      </c>
      <c r="X534" s="271">
        <v>-1599.0</v>
      </c>
      <c r="Y534" s="271">
        <v>-228.0</v>
      </c>
      <c r="Z534" s="50" t="b">
        <v>1</v>
      </c>
      <c r="AA534" s="50" t="s">
        <v>138</v>
      </c>
      <c r="AB534" s="50" t="s">
        <v>138</v>
      </c>
    </row>
    <row r="535">
      <c r="A535" s="101" t="s">
        <v>345</v>
      </c>
      <c r="B535" s="101" t="s">
        <v>981</v>
      </c>
      <c r="C535" s="278">
        <v>44136.0</v>
      </c>
      <c r="D535" s="278">
        <v>44165.0</v>
      </c>
      <c r="E535" s="271" t="s">
        <v>331</v>
      </c>
      <c r="F535" s="138" t="s">
        <v>4</v>
      </c>
      <c r="G535" s="271" t="s">
        <v>16</v>
      </c>
      <c r="H535" s="273" t="s">
        <v>96</v>
      </c>
      <c r="I535" s="274">
        <v>250.0</v>
      </c>
      <c r="J535" s="271">
        <v>1527.0</v>
      </c>
      <c r="K535" s="271">
        <f t="shared" si="1"/>
        <v>381750</v>
      </c>
      <c r="L535" s="271">
        <v>30017.0</v>
      </c>
      <c r="M535" s="271">
        <v>40000.0</v>
      </c>
      <c r="N535" s="275">
        <v>9920.99</v>
      </c>
      <c r="O535" s="60"/>
      <c r="P535" s="109">
        <v>9921.0</v>
      </c>
      <c r="Q535" s="271">
        <v>-1517.0</v>
      </c>
      <c r="R535" s="276">
        <v>-5.3E-4</v>
      </c>
      <c r="S535" s="271">
        <v>-1719.0</v>
      </c>
      <c r="T535" s="271">
        <v>8202.0</v>
      </c>
      <c r="U535" s="62">
        <v>1.0</v>
      </c>
      <c r="V535" s="277">
        <v>0.0</v>
      </c>
      <c r="W535" s="277">
        <v>0.125</v>
      </c>
      <c r="X535" s="271">
        <v>7177.0</v>
      </c>
      <c r="Y535" s="271">
        <v>1025.0</v>
      </c>
      <c r="Z535" s="50" t="b">
        <v>1</v>
      </c>
      <c r="AA535" s="50" t="s">
        <v>138</v>
      </c>
      <c r="AB535" s="50" t="s">
        <v>138</v>
      </c>
    </row>
    <row r="536">
      <c r="A536" s="101" t="s">
        <v>345</v>
      </c>
      <c r="B536" s="101" t="s">
        <v>981</v>
      </c>
      <c r="C536" s="278">
        <v>44136.0</v>
      </c>
      <c r="D536" s="278">
        <v>44165.0</v>
      </c>
      <c r="E536" s="271" t="s">
        <v>331</v>
      </c>
      <c r="F536" s="138" t="s">
        <v>4</v>
      </c>
      <c r="G536" s="271" t="s">
        <v>16</v>
      </c>
      <c r="H536" s="273" t="s">
        <v>74</v>
      </c>
      <c r="I536" s="274">
        <v>50.0</v>
      </c>
      <c r="J536" s="271">
        <v>89.0</v>
      </c>
      <c r="K536" s="271">
        <f t="shared" si="1"/>
        <v>4450</v>
      </c>
      <c r="L536" s="271">
        <v>9264.0</v>
      </c>
      <c r="M536" s="271">
        <v>-150.0</v>
      </c>
      <c r="N536" s="275">
        <v>144.56</v>
      </c>
      <c r="O536" s="60"/>
      <c r="P536" s="50">
        <v>145.0</v>
      </c>
      <c r="Q536" s="271">
        <v>635.0</v>
      </c>
      <c r="R536" s="276">
        <v>-5.3E-4</v>
      </c>
      <c r="S536" s="271">
        <v>632.0</v>
      </c>
      <c r="T536" s="271">
        <v>777.0</v>
      </c>
      <c r="U536" s="62">
        <v>1.0</v>
      </c>
      <c r="V536" s="277">
        <v>0.0</v>
      </c>
      <c r="W536" s="277">
        <v>0.125</v>
      </c>
      <c r="X536" s="271">
        <v>680.0</v>
      </c>
      <c r="Y536" s="271">
        <v>97.0</v>
      </c>
      <c r="Z536" s="50" t="b">
        <v>1</v>
      </c>
      <c r="AA536" s="50" t="s">
        <v>138</v>
      </c>
      <c r="AB536" s="50" t="s">
        <v>138</v>
      </c>
    </row>
    <row r="537">
      <c r="A537" s="101" t="s">
        <v>345</v>
      </c>
      <c r="B537" s="101" t="s">
        <v>981</v>
      </c>
      <c r="C537" s="278">
        <v>44136.0</v>
      </c>
      <c r="D537" s="278">
        <v>44165.0</v>
      </c>
      <c r="E537" s="271" t="s">
        <v>331</v>
      </c>
      <c r="F537" s="138" t="s">
        <v>4</v>
      </c>
      <c r="G537" s="271" t="s">
        <v>16</v>
      </c>
      <c r="H537" s="273" t="s">
        <v>76</v>
      </c>
      <c r="I537" s="274">
        <v>50.0</v>
      </c>
      <c r="J537" s="271">
        <v>438.0</v>
      </c>
      <c r="K537" s="271">
        <f t="shared" si="1"/>
        <v>21900</v>
      </c>
      <c r="L537" s="271">
        <v>-867.0</v>
      </c>
      <c r="M537" s="271">
        <v>-150.0</v>
      </c>
      <c r="N537" s="275">
        <v>711.43</v>
      </c>
      <c r="O537" s="60"/>
      <c r="P537" s="50">
        <v>711.0</v>
      </c>
      <c r="Q537" s="271">
        <v>-1319.0</v>
      </c>
      <c r="R537" s="276">
        <v>-5.3E-4</v>
      </c>
      <c r="S537" s="271">
        <v>-1331.0</v>
      </c>
      <c r="T537" s="271">
        <v>-619.0</v>
      </c>
      <c r="U537" s="62">
        <v>1.0</v>
      </c>
      <c r="V537" s="277">
        <v>0.0</v>
      </c>
      <c r="W537" s="277">
        <v>0.125</v>
      </c>
      <c r="X537" s="271">
        <v>-542.0</v>
      </c>
      <c r="Y537" s="271">
        <v>-77.0</v>
      </c>
      <c r="Z537" s="50" t="b">
        <v>1</v>
      </c>
      <c r="AA537" s="50" t="s">
        <v>138</v>
      </c>
      <c r="AB537" s="50" t="s">
        <v>138</v>
      </c>
    </row>
    <row r="538">
      <c r="A538" s="101" t="s">
        <v>459</v>
      </c>
      <c r="B538" s="101" t="s">
        <v>912</v>
      </c>
      <c r="C538" s="278">
        <v>44136.0</v>
      </c>
      <c r="D538" s="278">
        <v>44165.0</v>
      </c>
      <c r="E538" s="271" t="s">
        <v>331</v>
      </c>
      <c r="F538" s="138" t="s">
        <v>8</v>
      </c>
      <c r="G538" s="280" t="s">
        <v>9</v>
      </c>
      <c r="H538" s="273" t="s">
        <v>80</v>
      </c>
      <c r="I538" s="274">
        <v>50.0</v>
      </c>
      <c r="J538" s="271">
        <v>1280.0</v>
      </c>
      <c r="K538" s="271">
        <f t="shared" si="1"/>
        <v>64000</v>
      </c>
      <c r="L538" s="271">
        <v>82098.0</v>
      </c>
      <c r="M538" s="271">
        <v>-1050.0</v>
      </c>
      <c r="N538" s="275">
        <v>1450.0</v>
      </c>
      <c r="O538" s="60"/>
      <c r="P538" s="109">
        <v>1450.0</v>
      </c>
      <c r="Q538" s="271">
        <v>1876.0</v>
      </c>
      <c r="R538" s="276">
        <v>-8.96E-4</v>
      </c>
      <c r="S538" s="271">
        <v>1819.0</v>
      </c>
      <c r="T538" s="271">
        <v>3269.0</v>
      </c>
      <c r="U538" s="62">
        <v>1.0</v>
      </c>
      <c r="V538" s="277">
        <v>0.21</v>
      </c>
      <c r="W538" s="277">
        <v>0.11</v>
      </c>
      <c r="X538" s="271">
        <v>2223.0</v>
      </c>
      <c r="Y538" s="271">
        <v>1046.0</v>
      </c>
      <c r="Z538" s="50" t="b">
        <v>1</v>
      </c>
      <c r="AA538" s="50" t="s">
        <v>140</v>
      </c>
      <c r="AB538" s="50" t="s">
        <v>140</v>
      </c>
    </row>
    <row r="539">
      <c r="A539" s="101" t="s">
        <v>216</v>
      </c>
      <c r="B539" s="101" t="s">
        <v>985</v>
      </c>
      <c r="C539" s="278">
        <v>44136.0</v>
      </c>
      <c r="D539" s="278">
        <v>44165.0</v>
      </c>
      <c r="E539" s="271" t="s">
        <v>268</v>
      </c>
      <c r="F539" s="138" t="s">
        <v>4</v>
      </c>
      <c r="G539" s="101" t="s">
        <v>16</v>
      </c>
      <c r="H539" s="273" t="s">
        <v>85</v>
      </c>
      <c r="I539" s="63">
        <v>100.0</v>
      </c>
      <c r="J539" s="74">
        <v>3385.0</v>
      </c>
      <c r="K539" s="271">
        <f t="shared" si="1"/>
        <v>338500</v>
      </c>
      <c r="L539" s="271">
        <v>49598.0</v>
      </c>
      <c r="M539" s="271">
        <v>-13500.0</v>
      </c>
      <c r="N539" s="275">
        <v>18850.85</v>
      </c>
      <c r="O539" s="60"/>
      <c r="P539" s="109">
        <v>18851.0</v>
      </c>
      <c r="Q539" s="271">
        <v>-8908.0</v>
      </c>
      <c r="R539" s="276">
        <v>-5.32E-4</v>
      </c>
      <c r="S539" s="271">
        <v>-9089.0</v>
      </c>
      <c r="T539" s="271">
        <v>9762.0</v>
      </c>
      <c r="U539" s="62">
        <v>1.0</v>
      </c>
      <c r="V539" s="277">
        <v>0.22</v>
      </c>
      <c r="W539" s="277">
        <v>0.0</v>
      </c>
      <c r="X539" s="271">
        <v>7615.0</v>
      </c>
      <c r="Y539" s="271">
        <v>2148.0</v>
      </c>
      <c r="Z539" s="50" t="b">
        <v>1</v>
      </c>
      <c r="AA539" s="50" t="s">
        <v>138</v>
      </c>
      <c r="AB539" s="50" t="s">
        <v>138</v>
      </c>
    </row>
    <row r="540">
      <c r="A540" s="101" t="s">
        <v>216</v>
      </c>
      <c r="B540" s="101" t="s">
        <v>985</v>
      </c>
      <c r="C540" s="278">
        <v>44136.0</v>
      </c>
      <c r="D540" s="278">
        <v>44165.0</v>
      </c>
      <c r="E540" s="271" t="s">
        <v>268</v>
      </c>
      <c r="F540" s="138" t="s">
        <v>4</v>
      </c>
      <c r="G540" s="101" t="s">
        <v>16</v>
      </c>
      <c r="H540" s="273" t="s">
        <v>88</v>
      </c>
      <c r="I540" s="63">
        <v>100.0</v>
      </c>
      <c r="J540" s="74">
        <v>1.0</v>
      </c>
      <c r="K540" s="271">
        <f t="shared" si="1"/>
        <v>100</v>
      </c>
      <c r="L540" s="271">
        <v>-109.0</v>
      </c>
      <c r="M540" s="271">
        <v>-100.0</v>
      </c>
      <c r="N540" s="275">
        <v>5.57</v>
      </c>
      <c r="O540" s="60"/>
      <c r="P540" s="50">
        <v>6.0</v>
      </c>
      <c r="Q540" s="271">
        <v>-40.0</v>
      </c>
      <c r="R540" s="276">
        <v>-5.32E-4</v>
      </c>
      <c r="S540" s="271">
        <v>-40.0</v>
      </c>
      <c r="T540" s="271">
        <v>-34.0</v>
      </c>
      <c r="U540" s="62">
        <v>1.0</v>
      </c>
      <c r="V540" s="277">
        <v>0.22</v>
      </c>
      <c r="W540" s="277">
        <v>0.0</v>
      </c>
      <c r="X540" s="271">
        <v>-27.0</v>
      </c>
      <c r="Y540" s="271">
        <v>-8.0</v>
      </c>
      <c r="Z540" s="50" t="b">
        <v>1</v>
      </c>
      <c r="AA540" s="50" t="s">
        <v>138</v>
      </c>
      <c r="AB540" s="50" t="s">
        <v>138</v>
      </c>
    </row>
    <row r="541">
      <c r="A541" s="101" t="s">
        <v>216</v>
      </c>
      <c r="B541" s="101" t="s">
        <v>985</v>
      </c>
      <c r="C541" s="278">
        <v>44136.0</v>
      </c>
      <c r="D541" s="278">
        <v>44165.0</v>
      </c>
      <c r="E541" s="271" t="s">
        <v>268</v>
      </c>
      <c r="F541" s="138" t="s">
        <v>4</v>
      </c>
      <c r="G541" s="101" t="s">
        <v>16</v>
      </c>
      <c r="H541" s="273" t="s">
        <v>74</v>
      </c>
      <c r="I541" s="63">
        <v>50.0</v>
      </c>
      <c r="J541" s="74">
        <v>94.0</v>
      </c>
      <c r="K541" s="271">
        <f t="shared" si="1"/>
        <v>4700</v>
      </c>
      <c r="L541" s="271">
        <v>-67.0</v>
      </c>
      <c r="M541" s="271">
        <v>850.0</v>
      </c>
      <c r="N541" s="275">
        <v>261.74</v>
      </c>
      <c r="O541" s="60"/>
      <c r="P541" s="50">
        <v>262.0</v>
      </c>
      <c r="Q541" s="271">
        <v>-260.0</v>
      </c>
      <c r="R541" s="276">
        <v>-5.32E-4</v>
      </c>
      <c r="S541" s="271">
        <v>-263.0</v>
      </c>
      <c r="T541" s="271">
        <v>-1.0</v>
      </c>
      <c r="U541" s="62">
        <v>1.0</v>
      </c>
      <c r="V541" s="277">
        <v>0.22</v>
      </c>
      <c r="W541" s="277">
        <v>0.0</v>
      </c>
      <c r="X541" s="271">
        <v>-1.0</v>
      </c>
      <c r="Y541" s="271">
        <v>0.0</v>
      </c>
      <c r="Z541" s="50" t="b">
        <v>1</v>
      </c>
      <c r="AA541" s="50" t="s">
        <v>138</v>
      </c>
      <c r="AB541" s="50" t="s">
        <v>138</v>
      </c>
    </row>
    <row r="542">
      <c r="A542" s="101" t="s">
        <v>216</v>
      </c>
      <c r="B542" s="101" t="s">
        <v>985</v>
      </c>
      <c r="C542" s="278">
        <v>44136.0</v>
      </c>
      <c r="D542" s="278">
        <v>44165.0</v>
      </c>
      <c r="E542" s="271" t="s">
        <v>268</v>
      </c>
      <c r="F542" s="138" t="s">
        <v>4</v>
      </c>
      <c r="G542" s="101" t="s">
        <v>16</v>
      </c>
      <c r="H542" s="273" t="s">
        <v>76</v>
      </c>
      <c r="I542" s="63">
        <v>50.0</v>
      </c>
      <c r="J542" s="74">
        <v>10.0</v>
      </c>
      <c r="K542" s="271">
        <f t="shared" si="1"/>
        <v>500</v>
      </c>
      <c r="L542" s="271">
        <v>173.0</v>
      </c>
      <c r="M542" s="271">
        <v>300.0</v>
      </c>
      <c r="N542" s="275">
        <v>27.84</v>
      </c>
      <c r="O542" s="60"/>
      <c r="P542" s="50">
        <v>28.0</v>
      </c>
      <c r="Q542" s="271">
        <v>0.0</v>
      </c>
      <c r="R542" s="276">
        <v>-5.32E-4</v>
      </c>
      <c r="S542" s="271">
        <v>0.0</v>
      </c>
      <c r="T542" s="271">
        <v>28.0</v>
      </c>
      <c r="U542" s="62">
        <v>1.0</v>
      </c>
      <c r="V542" s="277">
        <v>0.22</v>
      </c>
      <c r="W542" s="277">
        <v>0.0</v>
      </c>
      <c r="X542" s="271">
        <v>22.0</v>
      </c>
      <c r="Y542" s="271">
        <v>6.0</v>
      </c>
      <c r="Z542" s="50" t="b">
        <v>1</v>
      </c>
      <c r="AA542" s="50" t="s">
        <v>138</v>
      </c>
      <c r="AB542" s="50" t="s">
        <v>138</v>
      </c>
    </row>
    <row r="543">
      <c r="A543" s="101" t="s">
        <v>267</v>
      </c>
      <c r="B543" s="101" t="s">
        <v>267</v>
      </c>
      <c r="C543" s="278">
        <v>44156.0</v>
      </c>
      <c r="D543" s="278">
        <v>44185.0</v>
      </c>
      <c r="E543" s="271" t="s">
        <v>268</v>
      </c>
      <c r="F543" s="138" t="s">
        <v>4</v>
      </c>
      <c r="G543" s="101" t="s">
        <v>5</v>
      </c>
      <c r="H543" s="273" t="s">
        <v>37</v>
      </c>
      <c r="I543" s="63">
        <v>5.0</v>
      </c>
      <c r="J543" s="74">
        <v>562.0</v>
      </c>
      <c r="K543" s="271">
        <f t="shared" si="1"/>
        <v>2810</v>
      </c>
      <c r="L543" s="271">
        <v>21242.0</v>
      </c>
      <c r="M543" s="271">
        <v>145.0</v>
      </c>
      <c r="N543" s="275">
        <v>5.0</v>
      </c>
      <c r="O543" s="60"/>
      <c r="P543" s="50">
        <v>5.0</v>
      </c>
      <c r="Q543" s="271">
        <v>117.0</v>
      </c>
      <c r="R543" s="276">
        <v>-5.32E-4</v>
      </c>
      <c r="S543" s="271">
        <v>115.0</v>
      </c>
      <c r="T543" s="271">
        <v>120.0</v>
      </c>
      <c r="U543" s="62">
        <v>1.0</v>
      </c>
      <c r="V543" s="277">
        <v>0.15</v>
      </c>
      <c r="W543" s="277">
        <v>0.0</v>
      </c>
      <c r="X543" s="271">
        <v>102.0</v>
      </c>
      <c r="Y543" s="271">
        <v>18.0</v>
      </c>
      <c r="Z543" s="50" t="b">
        <v>1</v>
      </c>
      <c r="AA543" s="50" t="s">
        <v>138</v>
      </c>
      <c r="AB543" s="50" t="s">
        <v>138</v>
      </c>
    </row>
    <row r="544">
      <c r="A544" s="101" t="s">
        <v>267</v>
      </c>
      <c r="B544" s="101" t="s">
        <v>267</v>
      </c>
      <c r="C544" s="278">
        <v>44156.0</v>
      </c>
      <c r="D544" s="278">
        <v>44185.0</v>
      </c>
      <c r="E544" s="271" t="s">
        <v>268</v>
      </c>
      <c r="F544" s="138" t="s">
        <v>4</v>
      </c>
      <c r="G544" s="101" t="s">
        <v>5</v>
      </c>
      <c r="H544" s="273" t="s">
        <v>46</v>
      </c>
      <c r="I544" s="63">
        <v>10.0</v>
      </c>
      <c r="J544" s="74">
        <v>153.0</v>
      </c>
      <c r="K544" s="271">
        <f t="shared" si="1"/>
        <v>1530</v>
      </c>
      <c r="L544" s="271">
        <v>2715.0</v>
      </c>
      <c r="M544" s="271">
        <v>80.0</v>
      </c>
      <c r="N544" s="275">
        <v>3.0</v>
      </c>
      <c r="O544" s="60"/>
      <c r="P544" s="50">
        <v>3.0</v>
      </c>
      <c r="Q544" s="271">
        <v>-79.0</v>
      </c>
      <c r="R544" s="276">
        <v>-5.32E-4</v>
      </c>
      <c r="S544" s="271">
        <v>-80.0</v>
      </c>
      <c r="T544" s="271">
        <v>-77.0</v>
      </c>
      <c r="U544" s="62">
        <v>1.0</v>
      </c>
      <c r="V544" s="277">
        <v>0.15</v>
      </c>
      <c r="W544" s="277">
        <v>0.0</v>
      </c>
      <c r="X544" s="271">
        <v>-66.0</v>
      </c>
      <c r="Y544" s="271">
        <v>-12.0</v>
      </c>
      <c r="Z544" s="50" t="b">
        <v>1</v>
      </c>
      <c r="AA544" s="50" t="s">
        <v>138</v>
      </c>
      <c r="AB544" s="50" t="s">
        <v>138</v>
      </c>
    </row>
    <row r="545">
      <c r="A545" s="101" t="s">
        <v>267</v>
      </c>
      <c r="B545" s="101" t="s">
        <v>267</v>
      </c>
      <c r="C545" s="278">
        <v>44156.0</v>
      </c>
      <c r="D545" s="278">
        <v>44185.0</v>
      </c>
      <c r="E545" s="271" t="s">
        <v>268</v>
      </c>
      <c r="F545" s="138" t="s">
        <v>4</v>
      </c>
      <c r="G545" s="101" t="s">
        <v>5</v>
      </c>
      <c r="H545" s="273" t="s">
        <v>986</v>
      </c>
      <c r="I545" s="63">
        <v>10.0</v>
      </c>
      <c r="J545" s="74">
        <v>1431.0</v>
      </c>
      <c r="K545" s="271">
        <f t="shared" si="1"/>
        <v>14310</v>
      </c>
      <c r="L545" s="271">
        <v>47834.0</v>
      </c>
      <c r="M545" s="271">
        <v>700.0</v>
      </c>
      <c r="N545" s="275">
        <v>29.0</v>
      </c>
      <c r="O545" s="60"/>
      <c r="P545" s="50">
        <v>29.0</v>
      </c>
      <c r="Q545" s="271">
        <v>220.0</v>
      </c>
      <c r="R545" s="276">
        <v>-5.32E-4</v>
      </c>
      <c r="S545" s="271">
        <v>213.0</v>
      </c>
      <c r="T545" s="271">
        <v>242.0</v>
      </c>
      <c r="U545" s="62">
        <v>1.0</v>
      </c>
      <c r="V545" s="277">
        <v>0.15</v>
      </c>
      <c r="W545" s="277">
        <v>0.0</v>
      </c>
      <c r="X545" s="271">
        <v>206.0</v>
      </c>
      <c r="Y545" s="271">
        <v>36.0</v>
      </c>
      <c r="Z545" s="50" t="b">
        <v>1</v>
      </c>
      <c r="AA545" s="50" t="s">
        <v>138</v>
      </c>
      <c r="AB545" s="50" t="s">
        <v>138</v>
      </c>
    </row>
    <row r="546">
      <c r="A546" s="101" t="s">
        <v>267</v>
      </c>
      <c r="B546" s="101" t="s">
        <v>267</v>
      </c>
      <c r="C546" s="278">
        <v>44156.0</v>
      </c>
      <c r="D546" s="278">
        <v>44185.0</v>
      </c>
      <c r="E546" s="271" t="s">
        <v>268</v>
      </c>
      <c r="F546" s="138" t="s">
        <v>4</v>
      </c>
      <c r="G546" s="101" t="s">
        <v>5</v>
      </c>
      <c r="H546" s="273" t="s">
        <v>62</v>
      </c>
      <c r="I546" s="63">
        <v>25.0</v>
      </c>
      <c r="J546" s="74">
        <v>535.0</v>
      </c>
      <c r="K546" s="271">
        <f t="shared" si="1"/>
        <v>13375</v>
      </c>
      <c r="L546" s="271">
        <v>11966.0</v>
      </c>
      <c r="M546" s="271">
        <v>-1600.0</v>
      </c>
      <c r="N546" s="275">
        <v>20.0</v>
      </c>
      <c r="O546" s="60"/>
      <c r="P546" s="50">
        <v>20.0</v>
      </c>
      <c r="Q546" s="271">
        <v>-301.0</v>
      </c>
      <c r="R546" s="276">
        <v>-5.32E-4</v>
      </c>
      <c r="S546" s="271">
        <v>-308.0</v>
      </c>
      <c r="T546" s="271">
        <v>-288.0</v>
      </c>
      <c r="U546" s="62">
        <v>1.0</v>
      </c>
      <c r="V546" s="277">
        <v>0.15</v>
      </c>
      <c r="W546" s="277">
        <v>0.0</v>
      </c>
      <c r="X546" s="271">
        <v>-245.0</v>
      </c>
      <c r="Y546" s="271">
        <v>-43.0</v>
      </c>
      <c r="Z546" s="50" t="b">
        <v>1</v>
      </c>
      <c r="AA546" s="50" t="s">
        <v>138</v>
      </c>
      <c r="AB546" s="50" t="s">
        <v>138</v>
      </c>
    </row>
    <row r="547">
      <c r="A547" s="101" t="s">
        <v>267</v>
      </c>
      <c r="B547" s="101" t="s">
        <v>267</v>
      </c>
      <c r="C547" s="278">
        <v>44156.0</v>
      </c>
      <c r="D547" s="278">
        <v>44185.0</v>
      </c>
      <c r="E547" s="271" t="s">
        <v>268</v>
      </c>
      <c r="F547" s="138" t="s">
        <v>4</v>
      </c>
      <c r="G547" s="101" t="s">
        <v>5</v>
      </c>
      <c r="H547" s="273" t="s">
        <v>63</v>
      </c>
      <c r="I547" s="63">
        <v>25.0</v>
      </c>
      <c r="J547" s="74">
        <v>214.0</v>
      </c>
      <c r="K547" s="271">
        <f t="shared" si="1"/>
        <v>5350</v>
      </c>
      <c r="L547" s="271">
        <v>4264.0</v>
      </c>
      <c r="M547" s="271">
        <v>-175.0</v>
      </c>
      <c r="N547" s="275">
        <v>8.0</v>
      </c>
      <c r="O547" s="60"/>
      <c r="P547" s="50">
        <v>8.0</v>
      </c>
      <c r="Q547" s="271">
        <v>-13.0</v>
      </c>
      <c r="R547" s="276">
        <v>-5.32E-4</v>
      </c>
      <c r="S547" s="271">
        <v>-16.0</v>
      </c>
      <c r="T547" s="271">
        <v>-8.0</v>
      </c>
      <c r="U547" s="62">
        <v>1.0</v>
      </c>
      <c r="V547" s="277">
        <v>0.15</v>
      </c>
      <c r="W547" s="277">
        <v>0.0</v>
      </c>
      <c r="X547" s="271">
        <v>-7.0</v>
      </c>
      <c r="Y547" s="271">
        <v>-1.0</v>
      </c>
      <c r="Z547" s="50" t="b">
        <v>1</v>
      </c>
      <c r="AA547" s="50" t="s">
        <v>138</v>
      </c>
      <c r="AB547" s="50" t="s">
        <v>138</v>
      </c>
    </row>
    <row r="548">
      <c r="A548" s="101" t="s">
        <v>144</v>
      </c>
      <c r="B548" s="101" t="s">
        <v>144</v>
      </c>
      <c r="C548" s="278">
        <v>44156.0</v>
      </c>
      <c r="D548" s="278">
        <v>44185.0</v>
      </c>
      <c r="E548" s="271" t="s">
        <v>268</v>
      </c>
      <c r="F548" s="138" t="s">
        <v>4</v>
      </c>
      <c r="G548" s="271" t="s">
        <v>9</v>
      </c>
      <c r="H548" s="273" t="s">
        <v>55</v>
      </c>
      <c r="I548" s="274">
        <v>10.0</v>
      </c>
      <c r="J548" s="271">
        <v>1525.0</v>
      </c>
      <c r="K548" s="271">
        <f t="shared" si="1"/>
        <v>15250</v>
      </c>
      <c r="L548" s="271">
        <v>115900.0</v>
      </c>
      <c r="M548" s="271">
        <v>1520.0</v>
      </c>
      <c r="N548" s="275">
        <v>400.0</v>
      </c>
      <c r="O548" s="60"/>
      <c r="P548" s="50">
        <v>400.0</v>
      </c>
      <c r="Q548" s="271">
        <v>786.0</v>
      </c>
      <c r="R548" s="276">
        <v>-5.32E-4</v>
      </c>
      <c r="S548" s="271">
        <v>778.0</v>
      </c>
      <c r="T548" s="271">
        <v>1178.0</v>
      </c>
      <c r="U548" s="62">
        <v>1.0</v>
      </c>
      <c r="V548" s="277">
        <v>0.25</v>
      </c>
      <c r="W548" s="277">
        <v>0.0</v>
      </c>
      <c r="X548" s="271">
        <v>883.0</v>
      </c>
      <c r="Y548" s="271">
        <v>294.0</v>
      </c>
      <c r="Z548" s="50" t="b">
        <v>1</v>
      </c>
      <c r="AA548" s="50" t="s">
        <v>140</v>
      </c>
      <c r="AB548" s="50" t="s">
        <v>140</v>
      </c>
    </row>
    <row r="549">
      <c r="A549" s="101" t="s">
        <v>144</v>
      </c>
      <c r="B549" s="101" t="s">
        <v>144</v>
      </c>
      <c r="C549" s="278">
        <v>44156.0</v>
      </c>
      <c r="D549" s="278">
        <v>44185.0</v>
      </c>
      <c r="E549" s="271" t="s">
        <v>268</v>
      </c>
      <c r="F549" s="138" t="s">
        <v>4</v>
      </c>
      <c r="G549" s="271" t="s">
        <v>9</v>
      </c>
      <c r="H549" s="273" t="s">
        <v>68</v>
      </c>
      <c r="I549" s="274">
        <v>25.0</v>
      </c>
      <c r="J549" s="271">
        <v>780.0</v>
      </c>
      <c r="K549" s="271">
        <f t="shared" si="1"/>
        <v>19500</v>
      </c>
      <c r="L549" s="271">
        <v>49140.0</v>
      </c>
      <c r="M549" s="271">
        <v>475.0</v>
      </c>
      <c r="N549" s="275">
        <v>295.0</v>
      </c>
      <c r="O549" s="60"/>
      <c r="P549" s="50">
        <v>295.0</v>
      </c>
      <c r="Q549" s="271">
        <v>516.0</v>
      </c>
      <c r="R549" s="276">
        <v>-5.32E-4</v>
      </c>
      <c r="S549" s="271">
        <v>506.0</v>
      </c>
      <c r="T549" s="271">
        <v>801.0</v>
      </c>
      <c r="U549" s="62">
        <v>1.0</v>
      </c>
      <c r="V549" s="277">
        <v>0.25</v>
      </c>
      <c r="W549" s="277">
        <v>0.0</v>
      </c>
      <c r="X549" s="271">
        <v>601.0</v>
      </c>
      <c r="Y549" s="271">
        <v>200.0</v>
      </c>
      <c r="Z549" s="50" t="b">
        <v>1</v>
      </c>
      <c r="AA549" s="50" t="s">
        <v>140</v>
      </c>
      <c r="AB549" s="50" t="s">
        <v>140</v>
      </c>
    </row>
    <row r="550">
      <c r="A550" s="101" t="s">
        <v>148</v>
      </c>
      <c r="B550" s="101" t="s">
        <v>148</v>
      </c>
      <c r="C550" s="278">
        <v>44156.0</v>
      </c>
      <c r="D550" s="278">
        <v>44185.0</v>
      </c>
      <c r="E550" s="271" t="s">
        <v>331</v>
      </c>
      <c r="F550" s="138" t="s">
        <v>4</v>
      </c>
      <c r="G550" s="101" t="s">
        <v>5</v>
      </c>
      <c r="H550" s="273" t="s">
        <v>46</v>
      </c>
      <c r="I550" s="63">
        <v>10.0</v>
      </c>
      <c r="J550" s="74">
        <v>6.0</v>
      </c>
      <c r="K550" s="271">
        <f t="shared" si="1"/>
        <v>60</v>
      </c>
      <c r="L550" s="280">
        <v>-564.0</v>
      </c>
      <c r="M550" s="280">
        <v>20.0</v>
      </c>
      <c r="N550" s="275"/>
      <c r="O550" s="60"/>
      <c r="P550" s="101"/>
      <c r="Q550" s="280">
        <v>-15.0</v>
      </c>
      <c r="R550" s="276">
        <v>-5.32E-4</v>
      </c>
      <c r="S550" s="280">
        <v>-15.0</v>
      </c>
      <c r="T550" s="280">
        <v>-15.0</v>
      </c>
      <c r="U550" s="62">
        <v>1.0</v>
      </c>
      <c r="V550" s="277">
        <v>0.25</v>
      </c>
      <c r="W550" s="277">
        <v>0.1</v>
      </c>
      <c r="X550" s="280">
        <v>-10.0</v>
      </c>
      <c r="Y550" s="280">
        <v>-5.0</v>
      </c>
      <c r="Z550" s="50" t="b">
        <v>1</v>
      </c>
      <c r="AA550" s="50" t="s">
        <v>138</v>
      </c>
      <c r="AB550" s="50" t="s">
        <v>138</v>
      </c>
    </row>
    <row r="551">
      <c r="A551" s="101" t="s">
        <v>148</v>
      </c>
      <c r="B551" s="101" t="s">
        <v>148</v>
      </c>
      <c r="C551" s="278">
        <v>44156.0</v>
      </c>
      <c r="D551" s="278">
        <v>44185.0</v>
      </c>
      <c r="E551" s="271" t="s">
        <v>331</v>
      </c>
      <c r="F551" s="138" t="s">
        <v>4</v>
      </c>
      <c r="G551" s="101" t="s">
        <v>5</v>
      </c>
      <c r="H551" s="273" t="s">
        <v>62</v>
      </c>
      <c r="I551" s="63">
        <v>25.0</v>
      </c>
      <c r="J551" s="74">
        <v>51.0</v>
      </c>
      <c r="K551" s="271">
        <f t="shared" si="1"/>
        <v>1275</v>
      </c>
      <c r="L551" s="280">
        <v>1914.0</v>
      </c>
      <c r="M551" s="280">
        <v>175.0</v>
      </c>
      <c r="N551" s="275">
        <v>7.0</v>
      </c>
      <c r="O551" s="60"/>
      <c r="P551" s="50">
        <v>7.0</v>
      </c>
      <c r="Q551" s="280">
        <v>7.0</v>
      </c>
      <c r="R551" s="276">
        <v>-5.32E-4</v>
      </c>
      <c r="S551" s="280">
        <v>6.0</v>
      </c>
      <c r="T551" s="280">
        <v>13.0</v>
      </c>
      <c r="U551" s="62">
        <v>1.0</v>
      </c>
      <c r="V551" s="277">
        <v>0.25</v>
      </c>
      <c r="W551" s="277">
        <v>0.1</v>
      </c>
      <c r="X551" s="280">
        <v>9.0</v>
      </c>
      <c r="Y551" s="280">
        <v>5.0</v>
      </c>
      <c r="Z551" s="50" t="b">
        <v>1</v>
      </c>
      <c r="AA551" s="50" t="s">
        <v>138</v>
      </c>
      <c r="AB551" s="50" t="s">
        <v>138</v>
      </c>
    </row>
    <row r="552">
      <c r="A552" s="101" t="s">
        <v>148</v>
      </c>
      <c r="B552" s="101" t="s">
        <v>148</v>
      </c>
      <c r="C552" s="278">
        <v>44156.0</v>
      </c>
      <c r="D552" s="278">
        <v>44185.0</v>
      </c>
      <c r="E552" s="271" t="s">
        <v>331</v>
      </c>
      <c r="F552" s="138" t="s">
        <v>4</v>
      </c>
      <c r="G552" s="101" t="s">
        <v>5</v>
      </c>
      <c r="H552" s="273" t="s">
        <v>74</v>
      </c>
      <c r="I552" s="63">
        <v>50.0</v>
      </c>
      <c r="J552" s="74">
        <v>2980.0</v>
      </c>
      <c r="K552" s="271">
        <f t="shared" si="1"/>
        <v>149000</v>
      </c>
      <c r="L552" s="280">
        <v>40579.0</v>
      </c>
      <c r="M552" s="280">
        <v>-8000.0</v>
      </c>
      <c r="N552" s="275">
        <v>796.0</v>
      </c>
      <c r="O552" s="60"/>
      <c r="P552" s="50">
        <v>796.0</v>
      </c>
      <c r="Q552" s="280">
        <v>-6039.0</v>
      </c>
      <c r="R552" s="276">
        <v>-5.32E-4</v>
      </c>
      <c r="S552" s="280">
        <v>-6118.0</v>
      </c>
      <c r="T552" s="280">
        <v>-5322.0</v>
      </c>
      <c r="U552" s="62">
        <v>1.0</v>
      </c>
      <c r="V552" s="277">
        <v>0.25</v>
      </c>
      <c r="W552" s="277">
        <v>0.1</v>
      </c>
      <c r="X552" s="280">
        <v>-3459.0</v>
      </c>
      <c r="Y552" s="280">
        <v>-1863.0</v>
      </c>
      <c r="Z552" s="50" t="b">
        <v>1</v>
      </c>
      <c r="AA552" s="50" t="s">
        <v>138</v>
      </c>
      <c r="AB552" s="50" t="s">
        <v>138</v>
      </c>
    </row>
    <row r="553">
      <c r="A553" s="101" t="s">
        <v>148</v>
      </c>
      <c r="B553" s="101" t="s">
        <v>148</v>
      </c>
      <c r="C553" s="278">
        <v>44156.0</v>
      </c>
      <c r="D553" s="278">
        <v>44185.0</v>
      </c>
      <c r="E553" s="271" t="s">
        <v>331</v>
      </c>
      <c r="F553" s="138" t="s">
        <v>12</v>
      </c>
      <c r="G553" s="101" t="s">
        <v>5</v>
      </c>
      <c r="H553" s="273" t="s">
        <v>63</v>
      </c>
      <c r="I553" s="274">
        <v>25.0</v>
      </c>
      <c r="J553" s="271">
        <v>6.0</v>
      </c>
      <c r="K553" s="271">
        <f t="shared" si="1"/>
        <v>150</v>
      </c>
      <c r="L553" s="271"/>
      <c r="M553" s="271">
        <v>175.0</v>
      </c>
      <c r="N553" s="275">
        <v>1.0</v>
      </c>
      <c r="O553" s="60"/>
      <c r="P553" s="50">
        <v>1.0</v>
      </c>
      <c r="Q553" s="271"/>
      <c r="R553" s="276">
        <v>0.0</v>
      </c>
      <c r="S553" s="271"/>
      <c r="T553" s="271">
        <v>176.0</v>
      </c>
      <c r="U553" s="62">
        <v>1.0</v>
      </c>
      <c r="V553" s="277">
        <v>0.25</v>
      </c>
      <c r="W553" s="277">
        <v>0.1</v>
      </c>
      <c r="X553" s="271">
        <v>114.0</v>
      </c>
      <c r="Y553" s="271">
        <v>62.0</v>
      </c>
      <c r="Z553" s="50" t="b">
        <v>1</v>
      </c>
      <c r="AA553" s="50" t="s">
        <v>138</v>
      </c>
      <c r="AB553" s="50" t="s">
        <v>138</v>
      </c>
    </row>
    <row r="554">
      <c r="A554" s="101" t="s">
        <v>182</v>
      </c>
      <c r="B554" s="101" t="s">
        <v>182</v>
      </c>
      <c r="C554" s="278">
        <v>44156.0</v>
      </c>
      <c r="D554" s="278">
        <v>44185.0</v>
      </c>
      <c r="E554" s="271" t="s">
        <v>268</v>
      </c>
      <c r="F554" s="101" t="s">
        <v>4</v>
      </c>
      <c r="G554" s="271" t="s">
        <v>5</v>
      </c>
      <c r="H554" s="273" t="s">
        <v>46</v>
      </c>
      <c r="I554" s="274">
        <v>10.0</v>
      </c>
      <c r="J554" s="271">
        <v>1439.0</v>
      </c>
      <c r="K554" s="271">
        <f t="shared" si="1"/>
        <v>14390</v>
      </c>
      <c r="L554" s="271">
        <v>87200.0</v>
      </c>
      <c r="M554" s="271">
        <v>210.0</v>
      </c>
      <c r="N554" s="275">
        <v>72.0</v>
      </c>
      <c r="O554" s="60"/>
      <c r="P554" s="50">
        <v>72.0</v>
      </c>
      <c r="Q554" s="271">
        <v>298.0</v>
      </c>
      <c r="R554" s="276">
        <v>-5.32E-4</v>
      </c>
      <c r="S554" s="271">
        <v>291.0</v>
      </c>
      <c r="T554" s="271">
        <v>363.0</v>
      </c>
      <c r="U554" s="62">
        <v>1.0</v>
      </c>
      <c r="V554" s="277">
        <v>0.2</v>
      </c>
      <c r="W554" s="277">
        <v>0.0</v>
      </c>
      <c r="X554" s="271">
        <v>290.0</v>
      </c>
      <c r="Y554" s="271">
        <v>73.0</v>
      </c>
      <c r="Z554" s="50" t="b">
        <v>1</v>
      </c>
      <c r="AA554" s="50" t="s">
        <v>138</v>
      </c>
      <c r="AB554" s="50" t="s">
        <v>138</v>
      </c>
    </row>
    <row r="555">
      <c r="A555" s="101" t="s">
        <v>182</v>
      </c>
      <c r="B555" s="101" t="s">
        <v>182</v>
      </c>
      <c r="C555" s="278">
        <v>44156.0</v>
      </c>
      <c r="D555" s="278">
        <v>44185.0</v>
      </c>
      <c r="E555" s="271" t="s">
        <v>268</v>
      </c>
      <c r="F555" s="101" t="s">
        <v>4</v>
      </c>
      <c r="G555" s="271" t="s">
        <v>5</v>
      </c>
      <c r="H555" s="273" t="s">
        <v>62</v>
      </c>
      <c r="I555" s="274">
        <v>25.0</v>
      </c>
      <c r="J555" s="271">
        <v>580.0</v>
      </c>
      <c r="K555" s="271">
        <f t="shared" si="1"/>
        <v>14500</v>
      </c>
      <c r="L555" s="271">
        <v>12870.0</v>
      </c>
      <c r="M555" s="271">
        <v>-950.0</v>
      </c>
      <c r="N555" s="275">
        <v>55.0</v>
      </c>
      <c r="O555" s="60"/>
      <c r="P555" s="50">
        <v>55.0</v>
      </c>
      <c r="Q555" s="271">
        <v>-331.0</v>
      </c>
      <c r="R555" s="276">
        <v>-5.32E-4</v>
      </c>
      <c r="S555" s="271">
        <v>-339.0</v>
      </c>
      <c r="T555" s="271">
        <v>-284.0</v>
      </c>
      <c r="U555" s="62">
        <v>1.0</v>
      </c>
      <c r="V555" s="277">
        <v>0.2</v>
      </c>
      <c r="W555" s="277">
        <v>0.0</v>
      </c>
      <c r="X555" s="271">
        <v>-227.0</v>
      </c>
      <c r="Y555" s="271">
        <v>-57.0</v>
      </c>
      <c r="Z555" s="50" t="b">
        <v>1</v>
      </c>
      <c r="AA555" s="50" t="s">
        <v>138</v>
      </c>
      <c r="AB555" s="50" t="s">
        <v>138</v>
      </c>
    </row>
    <row r="556">
      <c r="A556" s="101" t="s">
        <v>177</v>
      </c>
      <c r="B556" s="101" t="s">
        <v>177</v>
      </c>
      <c r="C556" s="278">
        <v>44166.0</v>
      </c>
      <c r="D556" s="278">
        <v>44185.0</v>
      </c>
      <c r="E556" s="271" t="s">
        <v>268</v>
      </c>
      <c r="F556" s="138" t="s">
        <v>8</v>
      </c>
      <c r="G556" s="280" t="s">
        <v>5</v>
      </c>
      <c r="H556" s="273" t="s">
        <v>85</v>
      </c>
      <c r="I556" s="274">
        <v>100.0</v>
      </c>
      <c r="J556" s="271">
        <v>2165.0</v>
      </c>
      <c r="K556" s="271">
        <f t="shared" si="1"/>
        <v>216500</v>
      </c>
      <c r="L556" s="271">
        <v>77964.0</v>
      </c>
      <c r="M556" s="271">
        <v>15700.0</v>
      </c>
      <c r="N556" s="275">
        <v>2047.0</v>
      </c>
      <c r="O556" s="60"/>
      <c r="P556" s="109">
        <v>2047.0</v>
      </c>
      <c r="Q556" s="271">
        <v>2922.0</v>
      </c>
      <c r="R556" s="276">
        <v>-0.003061</v>
      </c>
      <c r="S556" s="271">
        <v>2259.0</v>
      </c>
      <c r="T556" s="271">
        <v>4306.0</v>
      </c>
      <c r="U556" s="62">
        <v>1.0</v>
      </c>
      <c r="V556" s="277">
        <v>0.12</v>
      </c>
      <c r="W556" s="277">
        <v>0.0</v>
      </c>
      <c r="X556" s="271">
        <v>3789.0</v>
      </c>
      <c r="Y556" s="271">
        <v>517.0</v>
      </c>
      <c r="Z556" s="50" t="b">
        <v>1</v>
      </c>
      <c r="AA556" s="50" t="s">
        <v>138</v>
      </c>
      <c r="AB556" s="50" t="s">
        <v>138</v>
      </c>
    </row>
    <row r="557">
      <c r="A557" s="101" t="s">
        <v>459</v>
      </c>
      <c r="B557" s="101" t="s">
        <v>912</v>
      </c>
      <c r="C557" s="278">
        <v>44166.0</v>
      </c>
      <c r="D557" s="278">
        <v>44185.0</v>
      </c>
      <c r="E557" s="271" t="s">
        <v>331</v>
      </c>
      <c r="F557" s="138" t="s">
        <v>8</v>
      </c>
      <c r="G557" s="280" t="s">
        <v>9</v>
      </c>
      <c r="H557" s="273" t="s">
        <v>80</v>
      </c>
      <c r="I557" s="274">
        <v>50.0</v>
      </c>
      <c r="J557" s="271">
        <v>1280.0</v>
      </c>
      <c r="K557" s="271">
        <f t="shared" si="1"/>
        <v>64000</v>
      </c>
      <c r="L557" s="271">
        <v>42447.0</v>
      </c>
      <c r="M557" s="271">
        <v>5000.0</v>
      </c>
      <c r="N557" s="275">
        <v>1650.0</v>
      </c>
      <c r="O557" s="60"/>
      <c r="P557" s="109">
        <v>1650.0</v>
      </c>
      <c r="Q557" s="271">
        <v>-1726.0</v>
      </c>
      <c r="R557" s="276">
        <v>-0.002942</v>
      </c>
      <c r="S557" s="271">
        <v>-1914.0</v>
      </c>
      <c r="T557" s="271">
        <v>-264.0</v>
      </c>
      <c r="U557" s="62">
        <v>1.0</v>
      </c>
      <c r="V557" s="277">
        <v>0.21</v>
      </c>
      <c r="W557" s="277">
        <v>0.11</v>
      </c>
      <c r="X557" s="271">
        <v>-180.0</v>
      </c>
      <c r="Y557" s="271">
        <v>-84.0</v>
      </c>
      <c r="Z557" s="50" t="b">
        <v>1</v>
      </c>
      <c r="AA557" s="50" t="s">
        <v>140</v>
      </c>
      <c r="AB557" s="50" t="s">
        <v>140</v>
      </c>
    </row>
    <row r="558">
      <c r="A558" s="101" t="s">
        <v>199</v>
      </c>
      <c r="B558" s="101" t="s">
        <v>924</v>
      </c>
      <c r="C558" s="278">
        <v>44156.0</v>
      </c>
      <c r="D558" s="278">
        <v>44185.0</v>
      </c>
      <c r="E558" s="271" t="s">
        <v>268</v>
      </c>
      <c r="F558" s="138" t="s">
        <v>4</v>
      </c>
      <c r="G558" s="101" t="s">
        <v>9</v>
      </c>
      <c r="H558" s="273" t="s">
        <v>983</v>
      </c>
      <c r="I558" s="63">
        <v>5.0</v>
      </c>
      <c r="J558" s="74">
        <v>113.0</v>
      </c>
      <c r="K558" s="271">
        <f t="shared" si="1"/>
        <v>565</v>
      </c>
      <c r="L558" s="280">
        <v>14664.0</v>
      </c>
      <c r="M558" s="280">
        <v>140.0</v>
      </c>
      <c r="N558" s="275"/>
      <c r="O558" s="60"/>
      <c r="P558" s="101"/>
      <c r="Q558" s="280">
        <v>84.0</v>
      </c>
      <c r="R558" s="276">
        <v>-5.32E-4</v>
      </c>
      <c r="S558" s="280">
        <v>84.0</v>
      </c>
      <c r="T558" s="280">
        <v>84.0</v>
      </c>
      <c r="U558" s="62">
        <v>1.0</v>
      </c>
      <c r="V558" s="277">
        <v>0.2</v>
      </c>
      <c r="W558" s="277">
        <v>0.0</v>
      </c>
      <c r="X558" s="280">
        <v>67.0</v>
      </c>
      <c r="Y558" s="280">
        <v>17.0</v>
      </c>
      <c r="Z558" s="50" t="b">
        <v>1</v>
      </c>
      <c r="AA558" s="50" t="s">
        <v>140</v>
      </c>
      <c r="AB558" s="50" t="s">
        <v>140</v>
      </c>
    </row>
    <row r="559">
      <c r="A559" s="101" t="s">
        <v>199</v>
      </c>
      <c r="B559" s="101" t="s">
        <v>924</v>
      </c>
      <c r="C559" s="278">
        <v>44156.0</v>
      </c>
      <c r="D559" s="278">
        <v>44185.0</v>
      </c>
      <c r="E559" s="271" t="s">
        <v>268</v>
      </c>
      <c r="F559" s="138" t="s">
        <v>4</v>
      </c>
      <c r="G559" s="101" t="s">
        <v>9</v>
      </c>
      <c r="H559" s="273" t="s">
        <v>55</v>
      </c>
      <c r="I559" s="63">
        <v>10.0</v>
      </c>
      <c r="J559" s="74">
        <v>1526.0</v>
      </c>
      <c r="K559" s="271">
        <f t="shared" si="1"/>
        <v>15260</v>
      </c>
      <c r="L559" s="280">
        <v>132279.0</v>
      </c>
      <c r="M559" s="280">
        <v>760.0</v>
      </c>
      <c r="N559" s="275"/>
      <c r="O559" s="60"/>
      <c r="P559" s="101"/>
      <c r="Q559" s="280">
        <v>1060.0</v>
      </c>
      <c r="R559" s="276">
        <v>-5.32E-4</v>
      </c>
      <c r="S559" s="280">
        <v>1052.0</v>
      </c>
      <c r="T559" s="280">
        <v>1052.0</v>
      </c>
      <c r="U559" s="62">
        <v>1.0</v>
      </c>
      <c r="V559" s="277">
        <v>0.2</v>
      </c>
      <c r="W559" s="277">
        <v>0.0</v>
      </c>
      <c r="X559" s="280">
        <v>842.0</v>
      </c>
      <c r="Y559" s="280">
        <v>210.0</v>
      </c>
      <c r="Z559" s="50" t="b">
        <v>1</v>
      </c>
      <c r="AA559" s="50" t="s">
        <v>140</v>
      </c>
      <c r="AB559" s="50" t="s">
        <v>140</v>
      </c>
    </row>
    <row r="560">
      <c r="A560" s="101" t="s">
        <v>546</v>
      </c>
      <c r="B560" s="101" t="s">
        <v>546</v>
      </c>
      <c r="C560" s="278">
        <v>44156.0</v>
      </c>
      <c r="D560" s="278">
        <v>44185.0</v>
      </c>
      <c r="E560" s="271" t="s">
        <v>331</v>
      </c>
      <c r="F560" s="101" t="s">
        <v>4</v>
      </c>
      <c r="G560" s="101" t="s">
        <v>5</v>
      </c>
      <c r="H560" s="273" t="s">
        <v>85</v>
      </c>
      <c r="I560" s="63">
        <v>100.0</v>
      </c>
      <c r="J560" s="74">
        <v>3000.0</v>
      </c>
      <c r="K560" s="271">
        <f t="shared" si="1"/>
        <v>300000</v>
      </c>
      <c r="L560" s="271">
        <v>139749.0</v>
      </c>
      <c r="M560" s="271">
        <v>26600.0</v>
      </c>
      <c r="N560" s="275">
        <v>4693.0</v>
      </c>
      <c r="O560" s="60"/>
      <c r="P560" s="109">
        <v>4693.0</v>
      </c>
      <c r="Q560" s="271">
        <v>9764.0</v>
      </c>
      <c r="R560" s="276">
        <v>-5.32E-4</v>
      </c>
      <c r="S560" s="271">
        <v>9605.0</v>
      </c>
      <c r="T560" s="271">
        <v>14298.0</v>
      </c>
      <c r="U560" s="62">
        <v>1.0</v>
      </c>
      <c r="V560" s="277">
        <v>0.135</v>
      </c>
      <c r="W560" s="277">
        <v>0.045</v>
      </c>
      <c r="X560" s="271">
        <v>11724.0</v>
      </c>
      <c r="Y560" s="271">
        <v>2574.0</v>
      </c>
      <c r="Z560" s="50" t="b">
        <v>1</v>
      </c>
      <c r="AA560" s="50" t="s">
        <v>138</v>
      </c>
      <c r="AB560" s="50" t="s">
        <v>138</v>
      </c>
    </row>
    <row r="561">
      <c r="A561" s="101" t="s">
        <v>207</v>
      </c>
      <c r="B561" s="101" t="s">
        <v>207</v>
      </c>
      <c r="C561" s="278">
        <v>44156.0</v>
      </c>
      <c r="D561" s="278">
        <v>44185.0</v>
      </c>
      <c r="E561" s="271" t="s">
        <v>268</v>
      </c>
      <c r="F561" s="101" t="s">
        <v>4</v>
      </c>
      <c r="G561" s="271" t="s">
        <v>5</v>
      </c>
      <c r="H561" s="273" t="s">
        <v>34</v>
      </c>
      <c r="I561" s="274">
        <v>5.0</v>
      </c>
      <c r="J561" s="271">
        <v>2490.0</v>
      </c>
      <c r="K561" s="271">
        <f t="shared" si="1"/>
        <v>12450</v>
      </c>
      <c r="L561" s="271">
        <v>146059.0</v>
      </c>
      <c r="M561" s="271">
        <v>1180.0</v>
      </c>
      <c r="N561" s="275">
        <v>57.0</v>
      </c>
      <c r="O561" s="60"/>
      <c r="P561" s="50">
        <v>57.0</v>
      </c>
      <c r="Q561" s="271">
        <v>397.0</v>
      </c>
      <c r="R561" s="276">
        <v>-5.32E-4</v>
      </c>
      <c r="S561" s="271">
        <v>391.0</v>
      </c>
      <c r="T561" s="271">
        <v>448.0</v>
      </c>
      <c r="U561" s="62">
        <v>1.0</v>
      </c>
      <c r="V561" s="277">
        <v>0.25</v>
      </c>
      <c r="W561" s="277">
        <v>0.0</v>
      </c>
      <c r="X561" s="271">
        <v>336.0</v>
      </c>
      <c r="Y561" s="271">
        <v>112.0</v>
      </c>
      <c r="Z561" s="50" t="b">
        <v>1</v>
      </c>
      <c r="AA561" s="50" t="s">
        <v>138</v>
      </c>
      <c r="AB561" s="50" t="s">
        <v>138</v>
      </c>
    </row>
    <row r="562">
      <c r="A562" s="101" t="s">
        <v>207</v>
      </c>
      <c r="B562" s="101" t="s">
        <v>207</v>
      </c>
      <c r="C562" s="278">
        <v>44156.0</v>
      </c>
      <c r="D562" s="278">
        <v>44185.0</v>
      </c>
      <c r="E562" s="271" t="s">
        <v>268</v>
      </c>
      <c r="F562" s="101" t="s">
        <v>4</v>
      </c>
      <c r="G562" s="271" t="s">
        <v>5</v>
      </c>
      <c r="H562" s="273" t="s">
        <v>46</v>
      </c>
      <c r="I562" s="274">
        <v>10.0</v>
      </c>
      <c r="J562" s="271">
        <v>140.0</v>
      </c>
      <c r="K562" s="271">
        <f t="shared" si="1"/>
        <v>1400</v>
      </c>
      <c r="L562" s="271">
        <v>1525.0</v>
      </c>
      <c r="M562" s="271">
        <v>-50.0</v>
      </c>
      <c r="N562" s="275">
        <v>7.0</v>
      </c>
      <c r="O562" s="60"/>
      <c r="P562" s="50">
        <v>7.0</v>
      </c>
      <c r="Q562" s="271">
        <v>-90.0</v>
      </c>
      <c r="R562" s="276">
        <v>-5.32E-4</v>
      </c>
      <c r="S562" s="271">
        <v>-91.0</v>
      </c>
      <c r="T562" s="271">
        <v>-84.0</v>
      </c>
      <c r="U562" s="62">
        <v>1.0</v>
      </c>
      <c r="V562" s="277">
        <v>0.25</v>
      </c>
      <c r="W562" s="277">
        <v>0.0</v>
      </c>
      <c r="X562" s="271">
        <v>-63.0</v>
      </c>
      <c r="Y562" s="271">
        <v>-21.0</v>
      </c>
      <c r="Z562" s="50" t="b">
        <v>1</v>
      </c>
      <c r="AA562" s="50" t="s">
        <v>138</v>
      </c>
      <c r="AB562" s="50" t="s">
        <v>138</v>
      </c>
    </row>
    <row r="563">
      <c r="A563" s="101" t="s">
        <v>345</v>
      </c>
      <c r="B563" s="101" t="s">
        <v>981</v>
      </c>
      <c r="C563" s="278">
        <v>44166.0</v>
      </c>
      <c r="D563" s="278">
        <v>44196.0</v>
      </c>
      <c r="E563" s="271" t="s">
        <v>331</v>
      </c>
      <c r="F563" s="138" t="s">
        <v>4</v>
      </c>
      <c r="G563" s="271" t="s">
        <v>16</v>
      </c>
      <c r="H563" s="273" t="s">
        <v>85</v>
      </c>
      <c r="I563" s="274">
        <v>100.0</v>
      </c>
      <c r="J563" s="271">
        <v>785.0</v>
      </c>
      <c r="K563" s="271">
        <f t="shared" si="1"/>
        <v>78500</v>
      </c>
      <c r="L563" s="271">
        <v>6525.0</v>
      </c>
      <c r="M563" s="271">
        <v>-6400.0</v>
      </c>
      <c r="N563" s="275">
        <v>10036.19</v>
      </c>
      <c r="O563" s="60"/>
      <c r="P563" s="109">
        <v>10036.0</v>
      </c>
      <c r="Q563" s="271">
        <v>-3006.0</v>
      </c>
      <c r="R563" s="276">
        <v>-0.00389</v>
      </c>
      <c r="S563" s="271">
        <v>-3312.0</v>
      </c>
      <c r="T563" s="271">
        <v>6725.0</v>
      </c>
      <c r="U563" s="62">
        <v>1.0</v>
      </c>
      <c r="V563" s="277">
        <v>0.0</v>
      </c>
      <c r="W563" s="277">
        <v>0.125</v>
      </c>
      <c r="X563" s="271">
        <v>5884.0</v>
      </c>
      <c r="Y563" s="271">
        <v>841.0</v>
      </c>
      <c r="Z563" s="50" t="b">
        <v>1</v>
      </c>
      <c r="AA563" s="50" t="s">
        <v>138</v>
      </c>
      <c r="AB563" s="50" t="s">
        <v>138</v>
      </c>
    </row>
    <row r="564">
      <c r="A564" s="101" t="s">
        <v>345</v>
      </c>
      <c r="B564" s="101" t="s">
        <v>981</v>
      </c>
      <c r="C564" s="278">
        <v>44166.0</v>
      </c>
      <c r="D564" s="278">
        <v>44196.0</v>
      </c>
      <c r="E564" s="271" t="s">
        <v>331</v>
      </c>
      <c r="F564" s="138" t="s">
        <v>4</v>
      </c>
      <c r="G564" s="271" t="s">
        <v>16</v>
      </c>
      <c r="H564" s="273" t="s">
        <v>88</v>
      </c>
      <c r="I564" s="274">
        <v>100.0</v>
      </c>
      <c r="J564" s="271">
        <v>587.0</v>
      </c>
      <c r="K564" s="271">
        <f t="shared" si="1"/>
        <v>58700</v>
      </c>
      <c r="L564" s="271">
        <v>-2389.0</v>
      </c>
      <c r="M564" s="271">
        <v>-6200.0</v>
      </c>
      <c r="N564" s="275">
        <v>7504.77</v>
      </c>
      <c r="O564" s="60"/>
      <c r="P564" s="109">
        <v>7505.0</v>
      </c>
      <c r="Q564" s="271">
        <v>-3922.0</v>
      </c>
      <c r="R564" s="276">
        <v>-0.00389</v>
      </c>
      <c r="S564" s="271">
        <v>-4150.0</v>
      </c>
      <c r="T564" s="271">
        <v>3354.0</v>
      </c>
      <c r="U564" s="62">
        <v>1.0</v>
      </c>
      <c r="V564" s="277">
        <v>0.0</v>
      </c>
      <c r="W564" s="277">
        <v>0.125</v>
      </c>
      <c r="X564" s="271">
        <v>2935.0</v>
      </c>
      <c r="Y564" s="271">
        <v>419.0</v>
      </c>
      <c r="Z564" s="50" t="b">
        <v>1</v>
      </c>
      <c r="AA564" s="50" t="s">
        <v>138</v>
      </c>
      <c r="AB564" s="50" t="s">
        <v>138</v>
      </c>
    </row>
    <row r="565">
      <c r="A565" s="101" t="s">
        <v>345</v>
      </c>
      <c r="B565" s="101" t="s">
        <v>981</v>
      </c>
      <c r="C565" s="278">
        <v>44166.0</v>
      </c>
      <c r="D565" s="278">
        <v>44196.0</v>
      </c>
      <c r="E565" s="271" t="s">
        <v>331</v>
      </c>
      <c r="F565" s="138" t="s">
        <v>4</v>
      </c>
      <c r="G565" s="271" t="s">
        <v>16</v>
      </c>
      <c r="H565" s="273" t="s">
        <v>96</v>
      </c>
      <c r="I565" s="274">
        <v>250.0</v>
      </c>
      <c r="J565" s="271">
        <v>305.0</v>
      </c>
      <c r="K565" s="271">
        <f t="shared" si="1"/>
        <v>76250</v>
      </c>
      <c r="L565" s="271">
        <v>-1878.0</v>
      </c>
      <c r="M565" s="271">
        <v>-8000.0</v>
      </c>
      <c r="N565" s="275">
        <v>7798.82</v>
      </c>
      <c r="O565" s="60"/>
      <c r="P565" s="109">
        <v>7799.0</v>
      </c>
      <c r="Q565" s="271">
        <v>-4071.0</v>
      </c>
      <c r="R565" s="276">
        <v>-0.00389</v>
      </c>
      <c r="S565" s="271">
        <v>-4367.0</v>
      </c>
      <c r="T565" s="271">
        <v>3432.0</v>
      </c>
      <c r="U565" s="62">
        <v>1.0</v>
      </c>
      <c r="V565" s="277">
        <v>0.0</v>
      </c>
      <c r="W565" s="277">
        <v>0.125</v>
      </c>
      <c r="X565" s="271">
        <v>3003.0</v>
      </c>
      <c r="Y565" s="271">
        <v>429.0</v>
      </c>
      <c r="Z565" s="50" t="b">
        <v>1</v>
      </c>
      <c r="AA565" s="50" t="s">
        <v>138</v>
      </c>
      <c r="AB565" s="50" t="s">
        <v>138</v>
      </c>
    </row>
    <row r="566">
      <c r="A566" s="101" t="s">
        <v>345</v>
      </c>
      <c r="B566" s="101" t="s">
        <v>981</v>
      </c>
      <c r="C566" s="278">
        <v>44166.0</v>
      </c>
      <c r="D566" s="278">
        <v>44196.0</v>
      </c>
      <c r="E566" s="271" t="s">
        <v>331</v>
      </c>
      <c r="F566" s="138" t="s">
        <v>4</v>
      </c>
      <c r="G566" s="271" t="s">
        <v>16</v>
      </c>
      <c r="H566" s="273" t="s">
        <v>74</v>
      </c>
      <c r="I566" s="274">
        <v>50.0</v>
      </c>
      <c r="J566" s="271">
        <v>76.0</v>
      </c>
      <c r="K566" s="271">
        <f t="shared" si="1"/>
        <v>3800</v>
      </c>
      <c r="L566" s="271">
        <v>7694.0</v>
      </c>
      <c r="M566" s="271">
        <v>1350.0</v>
      </c>
      <c r="N566" s="275">
        <v>485.83</v>
      </c>
      <c r="O566" s="60"/>
      <c r="P566" s="50">
        <v>486.0</v>
      </c>
      <c r="Q566" s="271">
        <v>522.0</v>
      </c>
      <c r="R566" s="276">
        <v>-0.00389</v>
      </c>
      <c r="S566" s="271">
        <v>507.0</v>
      </c>
      <c r="T566" s="271">
        <v>993.0</v>
      </c>
      <c r="U566" s="62">
        <v>1.0</v>
      </c>
      <c r="V566" s="277">
        <v>0.0</v>
      </c>
      <c r="W566" s="277">
        <v>0.125</v>
      </c>
      <c r="X566" s="271">
        <v>869.0</v>
      </c>
      <c r="Y566" s="271">
        <v>124.0</v>
      </c>
      <c r="Z566" s="50" t="b">
        <v>1</v>
      </c>
      <c r="AA566" s="50" t="s">
        <v>138</v>
      </c>
      <c r="AB566" s="50" t="s">
        <v>138</v>
      </c>
    </row>
    <row r="567">
      <c r="A567" s="101" t="s">
        <v>345</v>
      </c>
      <c r="B567" s="101" t="s">
        <v>981</v>
      </c>
      <c r="C567" s="278">
        <v>44166.0</v>
      </c>
      <c r="D567" s="278">
        <v>44196.0</v>
      </c>
      <c r="E567" s="271" t="s">
        <v>331</v>
      </c>
      <c r="F567" s="138" t="s">
        <v>4</v>
      </c>
      <c r="G567" s="271" t="s">
        <v>16</v>
      </c>
      <c r="H567" s="273" t="s">
        <v>76</v>
      </c>
      <c r="I567" s="274">
        <v>50.0</v>
      </c>
      <c r="J567" s="271">
        <v>108.0</v>
      </c>
      <c r="K567" s="271">
        <f t="shared" si="1"/>
        <v>5400</v>
      </c>
      <c r="L567" s="271">
        <v>885.0</v>
      </c>
      <c r="M567" s="271">
        <v>-1350.0</v>
      </c>
      <c r="N567" s="275">
        <v>690.39</v>
      </c>
      <c r="O567" s="60"/>
      <c r="P567" s="50">
        <v>690.0</v>
      </c>
      <c r="Q567" s="271">
        <v>-152.0</v>
      </c>
      <c r="R567" s="276">
        <v>-0.00389</v>
      </c>
      <c r="S567" s="271">
        <v>-173.0</v>
      </c>
      <c r="T567" s="271">
        <v>517.0</v>
      </c>
      <c r="U567" s="62">
        <v>1.0</v>
      </c>
      <c r="V567" s="277">
        <v>0.0</v>
      </c>
      <c r="W567" s="277">
        <v>0.125</v>
      </c>
      <c r="X567" s="271">
        <v>452.0</v>
      </c>
      <c r="Y567" s="271">
        <v>65.0</v>
      </c>
      <c r="Z567" s="50" t="b">
        <v>1</v>
      </c>
      <c r="AA567" s="50" t="s">
        <v>138</v>
      </c>
      <c r="AB567" s="50" t="s">
        <v>138</v>
      </c>
    </row>
    <row r="568">
      <c r="A568" s="101" t="s">
        <v>216</v>
      </c>
      <c r="B568" s="101" t="s">
        <v>985</v>
      </c>
      <c r="C568" s="278">
        <v>44166.0</v>
      </c>
      <c r="D568" s="278">
        <v>44196.0</v>
      </c>
      <c r="E568" s="271" t="s">
        <v>268</v>
      </c>
      <c r="F568" s="138" t="s">
        <v>4</v>
      </c>
      <c r="G568" s="101" t="s">
        <v>16</v>
      </c>
      <c r="H568" s="273" t="s">
        <v>85</v>
      </c>
      <c r="I568" s="63">
        <v>100.0</v>
      </c>
      <c r="J568" s="74">
        <v>3507.0</v>
      </c>
      <c r="K568" s="271">
        <f t="shared" si="1"/>
        <v>350700</v>
      </c>
      <c r="L568" s="271">
        <v>104514.0</v>
      </c>
      <c r="M568" s="271">
        <v>1100.0</v>
      </c>
      <c r="N568" s="275">
        <v>12000.0</v>
      </c>
      <c r="O568" s="60"/>
      <c r="P568" s="109">
        <v>12000.0</v>
      </c>
      <c r="Q568" s="271">
        <v>808.0</v>
      </c>
      <c r="R568" s="276">
        <v>-0.003888</v>
      </c>
      <c r="S568" s="271">
        <v>-555.0</v>
      </c>
      <c r="T568" s="271">
        <v>11445.0</v>
      </c>
      <c r="U568" s="62">
        <v>1.0</v>
      </c>
      <c r="V568" s="277">
        <v>0.22</v>
      </c>
      <c r="W568" s="277">
        <v>0.0</v>
      </c>
      <c r="X568" s="271">
        <v>8927.0</v>
      </c>
      <c r="Y568" s="271">
        <v>2518.0</v>
      </c>
      <c r="Z568" s="50" t="b">
        <v>1</v>
      </c>
      <c r="AA568" s="50" t="s">
        <v>138</v>
      </c>
      <c r="AB568" s="50" t="s">
        <v>138</v>
      </c>
    </row>
    <row r="569">
      <c r="A569" s="101" t="s">
        <v>216</v>
      </c>
      <c r="B569" s="101" t="s">
        <v>985</v>
      </c>
      <c r="C569" s="278">
        <v>44166.0</v>
      </c>
      <c r="D569" s="278">
        <v>44196.0</v>
      </c>
      <c r="E569" s="271" t="s">
        <v>268</v>
      </c>
      <c r="F569" s="138" t="s">
        <v>4</v>
      </c>
      <c r="G569" s="101" t="s">
        <v>16</v>
      </c>
      <c r="H569" s="273" t="s">
        <v>74</v>
      </c>
      <c r="I569" s="63">
        <v>50.0</v>
      </c>
      <c r="J569" s="74">
        <v>64.0</v>
      </c>
      <c r="K569" s="271">
        <f t="shared" si="1"/>
        <v>3200</v>
      </c>
      <c r="L569" s="271">
        <v>1630.0</v>
      </c>
      <c r="M569" s="271">
        <v>-50.0</v>
      </c>
      <c r="N569" s="275">
        <v>350.0</v>
      </c>
      <c r="O569" s="60"/>
      <c r="P569" s="50">
        <v>350.0</v>
      </c>
      <c r="Q569" s="271">
        <v>-19.0</v>
      </c>
      <c r="R569" s="276">
        <v>-0.003888</v>
      </c>
      <c r="S569" s="271">
        <v>-31.0</v>
      </c>
      <c r="T569" s="271">
        <v>319.0</v>
      </c>
      <c r="U569" s="62">
        <v>1.0</v>
      </c>
      <c r="V569" s="277">
        <v>0.22</v>
      </c>
      <c r="W569" s="277">
        <v>0.0</v>
      </c>
      <c r="X569" s="271">
        <v>249.0</v>
      </c>
      <c r="Y569" s="271">
        <v>70.0</v>
      </c>
      <c r="Z569" s="50" t="b">
        <v>1</v>
      </c>
      <c r="AA569" s="50" t="s">
        <v>138</v>
      </c>
      <c r="AB569" s="50" t="s">
        <v>138</v>
      </c>
    </row>
    <row r="570">
      <c r="A570" s="101" t="s">
        <v>267</v>
      </c>
      <c r="B570" s="101" t="s">
        <v>267</v>
      </c>
      <c r="C570" s="278">
        <v>44186.0</v>
      </c>
      <c r="D570" s="278">
        <v>44216.0</v>
      </c>
      <c r="E570" s="271" t="s">
        <v>268</v>
      </c>
      <c r="F570" s="138" t="s">
        <v>4</v>
      </c>
      <c r="G570" s="101" t="s">
        <v>5</v>
      </c>
      <c r="H570" s="273" t="s">
        <v>34</v>
      </c>
      <c r="I570" s="63">
        <v>5.0</v>
      </c>
      <c r="J570" s="74">
        <v>202.0</v>
      </c>
      <c r="K570" s="271">
        <f t="shared" si="1"/>
        <v>1010</v>
      </c>
      <c r="L570" s="271">
        <v>22329.0</v>
      </c>
      <c r="M570" s="271">
        <v>-25.0</v>
      </c>
      <c r="N570" s="275">
        <v>1.0</v>
      </c>
      <c r="O570" s="60"/>
      <c r="P570" s="50">
        <v>1.0</v>
      </c>
      <c r="Q570" s="271">
        <v>130.0</v>
      </c>
      <c r="R570" s="276">
        <v>-0.003888</v>
      </c>
      <c r="S570" s="271">
        <v>126.0</v>
      </c>
      <c r="T570" s="271">
        <v>127.0</v>
      </c>
      <c r="U570" s="62">
        <v>1.0</v>
      </c>
      <c r="V570" s="277">
        <v>0.15</v>
      </c>
      <c r="W570" s="277">
        <v>0.0</v>
      </c>
      <c r="X570" s="271">
        <v>108.0</v>
      </c>
      <c r="Y570" s="271">
        <v>19.0</v>
      </c>
      <c r="Z570" s="50" t="b">
        <v>1</v>
      </c>
      <c r="AA570" s="50" t="s">
        <v>138</v>
      </c>
      <c r="AB570" s="50" t="s">
        <v>138</v>
      </c>
    </row>
    <row r="571">
      <c r="A571" s="101" t="s">
        <v>267</v>
      </c>
      <c r="B571" s="101" t="s">
        <v>267</v>
      </c>
      <c r="C571" s="278">
        <v>44186.0</v>
      </c>
      <c r="D571" s="278">
        <v>44216.0</v>
      </c>
      <c r="E571" s="271" t="s">
        <v>268</v>
      </c>
      <c r="F571" s="138" t="s">
        <v>4</v>
      </c>
      <c r="G571" s="101" t="s">
        <v>5</v>
      </c>
      <c r="H571" s="273" t="s">
        <v>37</v>
      </c>
      <c r="I571" s="63">
        <v>5.0</v>
      </c>
      <c r="J571" s="74">
        <v>476.0</v>
      </c>
      <c r="K571" s="271">
        <f t="shared" si="1"/>
        <v>2380</v>
      </c>
      <c r="L571" s="271">
        <v>13281.0</v>
      </c>
      <c r="M571" s="271">
        <v>-15.0</v>
      </c>
      <c r="N571" s="275">
        <v>2.0</v>
      </c>
      <c r="O571" s="60"/>
      <c r="P571" s="50">
        <v>2.0</v>
      </c>
      <c r="Q571" s="271">
        <v>27.0</v>
      </c>
      <c r="R571" s="276">
        <v>-0.003888</v>
      </c>
      <c r="S571" s="271">
        <v>18.0</v>
      </c>
      <c r="T571" s="271">
        <v>20.0</v>
      </c>
      <c r="U571" s="62">
        <v>1.0</v>
      </c>
      <c r="V571" s="277">
        <v>0.15</v>
      </c>
      <c r="W571" s="277">
        <v>0.0</v>
      </c>
      <c r="X571" s="271">
        <v>17.0</v>
      </c>
      <c r="Y571" s="271">
        <v>3.0</v>
      </c>
      <c r="Z571" s="50" t="b">
        <v>1</v>
      </c>
      <c r="AA571" s="50" t="s">
        <v>138</v>
      </c>
      <c r="AB571" s="50" t="s">
        <v>138</v>
      </c>
    </row>
    <row r="572">
      <c r="A572" s="101" t="s">
        <v>267</v>
      </c>
      <c r="B572" s="101" t="s">
        <v>267</v>
      </c>
      <c r="C572" s="278">
        <v>44186.0</v>
      </c>
      <c r="D572" s="278">
        <v>44216.0</v>
      </c>
      <c r="E572" s="271" t="s">
        <v>268</v>
      </c>
      <c r="F572" s="138" t="s">
        <v>4</v>
      </c>
      <c r="G572" s="101" t="s">
        <v>5</v>
      </c>
      <c r="H572" s="273" t="s">
        <v>46</v>
      </c>
      <c r="I572" s="63">
        <v>10.0</v>
      </c>
      <c r="J572" s="74">
        <v>673.0</v>
      </c>
      <c r="K572" s="271">
        <f t="shared" si="1"/>
        <v>6730</v>
      </c>
      <c r="L572" s="271">
        <v>25187.0</v>
      </c>
      <c r="M572" s="271">
        <v>250.0</v>
      </c>
      <c r="N572" s="275">
        <v>7.0</v>
      </c>
      <c r="O572" s="60"/>
      <c r="P572" s="50">
        <v>7.0</v>
      </c>
      <c r="Q572" s="271">
        <v>-108.0</v>
      </c>
      <c r="R572" s="276">
        <v>-0.003888</v>
      </c>
      <c r="S572" s="271">
        <v>-135.0</v>
      </c>
      <c r="T572" s="271">
        <v>-128.0</v>
      </c>
      <c r="U572" s="62">
        <v>1.0</v>
      </c>
      <c r="V572" s="277">
        <v>0.15</v>
      </c>
      <c r="W572" s="277">
        <v>0.0</v>
      </c>
      <c r="X572" s="271">
        <v>-108.0</v>
      </c>
      <c r="Y572" s="271">
        <v>-19.0</v>
      </c>
      <c r="Z572" s="50" t="b">
        <v>1</v>
      </c>
      <c r="AA572" s="50" t="s">
        <v>138</v>
      </c>
      <c r="AB572" s="50" t="s">
        <v>138</v>
      </c>
    </row>
    <row r="573">
      <c r="A573" s="101" t="s">
        <v>267</v>
      </c>
      <c r="B573" s="101" t="s">
        <v>267</v>
      </c>
      <c r="C573" s="278">
        <v>44186.0</v>
      </c>
      <c r="D573" s="278">
        <v>44216.0</v>
      </c>
      <c r="E573" s="271" t="s">
        <v>268</v>
      </c>
      <c r="F573" s="138" t="s">
        <v>4</v>
      </c>
      <c r="G573" s="101" t="s">
        <v>5</v>
      </c>
      <c r="H573" s="273" t="s">
        <v>986</v>
      </c>
      <c r="I573" s="63">
        <v>10.0</v>
      </c>
      <c r="J573" s="74">
        <v>231.0</v>
      </c>
      <c r="K573" s="271">
        <f t="shared" si="1"/>
        <v>2310</v>
      </c>
      <c r="L573" s="271">
        <v>3812.0</v>
      </c>
      <c r="M573" s="271">
        <v>90.0</v>
      </c>
      <c r="N573" s="275">
        <v>2.0</v>
      </c>
      <c r="O573" s="60"/>
      <c r="P573" s="50">
        <v>2.0</v>
      </c>
      <c r="Q573" s="271">
        <v>-79.0</v>
      </c>
      <c r="R573" s="276">
        <v>-0.003888</v>
      </c>
      <c r="S573" s="271">
        <v>-88.0</v>
      </c>
      <c r="T573" s="271">
        <v>-86.0</v>
      </c>
      <c r="U573" s="62">
        <v>1.0</v>
      </c>
      <c r="V573" s="277">
        <v>0.15</v>
      </c>
      <c r="W573" s="277">
        <v>0.0</v>
      </c>
      <c r="X573" s="271">
        <v>-73.0</v>
      </c>
      <c r="Y573" s="271">
        <v>-13.0</v>
      </c>
      <c r="Z573" s="50" t="b">
        <v>1</v>
      </c>
      <c r="AA573" s="50" t="s">
        <v>138</v>
      </c>
      <c r="AB573" s="50" t="s">
        <v>138</v>
      </c>
    </row>
    <row r="574">
      <c r="A574" s="101" t="s">
        <v>267</v>
      </c>
      <c r="B574" s="101" t="s">
        <v>267</v>
      </c>
      <c r="C574" s="278">
        <v>44186.0</v>
      </c>
      <c r="D574" s="278">
        <v>44216.0</v>
      </c>
      <c r="E574" s="271" t="s">
        <v>268</v>
      </c>
      <c r="F574" s="138" t="s">
        <v>4</v>
      </c>
      <c r="G574" s="101" t="s">
        <v>5</v>
      </c>
      <c r="H574" s="273" t="s">
        <v>62</v>
      </c>
      <c r="I574" s="63">
        <v>25.0</v>
      </c>
      <c r="J574" s="74">
        <v>181.0</v>
      </c>
      <c r="K574" s="271">
        <f t="shared" si="1"/>
        <v>4525</v>
      </c>
      <c r="L574" s="271">
        <v>7959.0</v>
      </c>
      <c r="M574" s="271">
        <v>-175.0</v>
      </c>
      <c r="N574" s="275">
        <v>3.0</v>
      </c>
      <c r="O574" s="60"/>
      <c r="P574" s="50">
        <v>3.0</v>
      </c>
      <c r="Q574" s="271">
        <v>79.0</v>
      </c>
      <c r="R574" s="276">
        <v>-0.003888</v>
      </c>
      <c r="S574" s="271">
        <v>62.0</v>
      </c>
      <c r="T574" s="271">
        <v>65.0</v>
      </c>
      <c r="U574" s="62">
        <v>1.0</v>
      </c>
      <c r="V574" s="277">
        <v>0.15</v>
      </c>
      <c r="W574" s="277">
        <v>0.0</v>
      </c>
      <c r="X574" s="271">
        <v>55.0</v>
      </c>
      <c r="Y574" s="271">
        <v>10.0</v>
      </c>
      <c r="Z574" s="50" t="b">
        <v>1</v>
      </c>
      <c r="AA574" s="50" t="s">
        <v>138</v>
      </c>
      <c r="AB574" s="50" t="s">
        <v>138</v>
      </c>
    </row>
    <row r="575">
      <c r="A575" s="101" t="s">
        <v>267</v>
      </c>
      <c r="B575" s="101" t="s">
        <v>267</v>
      </c>
      <c r="C575" s="278">
        <v>44186.0</v>
      </c>
      <c r="D575" s="278">
        <v>44216.0</v>
      </c>
      <c r="E575" s="271" t="s">
        <v>268</v>
      </c>
      <c r="F575" s="138" t="s">
        <v>4</v>
      </c>
      <c r="G575" s="101" t="s">
        <v>5</v>
      </c>
      <c r="H575" s="273" t="s">
        <v>63</v>
      </c>
      <c r="I575" s="63">
        <v>25.0</v>
      </c>
      <c r="J575" s="74">
        <v>4.0</v>
      </c>
      <c r="K575" s="271">
        <f t="shared" si="1"/>
        <v>100</v>
      </c>
      <c r="L575" s="271">
        <v>-809.0</v>
      </c>
      <c r="M575" s="271">
        <v>-25.0</v>
      </c>
      <c r="N575" s="275"/>
      <c r="O575" s="60"/>
      <c r="P575" s="101"/>
      <c r="Q575" s="271">
        <v>-69.0</v>
      </c>
      <c r="R575" s="276">
        <v>-0.003888</v>
      </c>
      <c r="S575" s="271">
        <v>-69.0</v>
      </c>
      <c r="T575" s="271">
        <v>-69.0</v>
      </c>
      <c r="U575" s="62">
        <v>1.0</v>
      </c>
      <c r="V575" s="277">
        <v>0.15</v>
      </c>
      <c r="W575" s="277">
        <v>0.0</v>
      </c>
      <c r="X575" s="271">
        <v>-59.0</v>
      </c>
      <c r="Y575" s="271">
        <v>-10.0</v>
      </c>
      <c r="Z575" s="50" t="b">
        <v>1</v>
      </c>
      <c r="AA575" s="50" t="s">
        <v>138</v>
      </c>
      <c r="AB575" s="50" t="s">
        <v>138</v>
      </c>
    </row>
    <row r="576">
      <c r="A576" s="101" t="s">
        <v>144</v>
      </c>
      <c r="B576" s="101" t="s">
        <v>144</v>
      </c>
      <c r="C576" s="278">
        <v>44186.0</v>
      </c>
      <c r="D576" s="278">
        <v>44216.0</v>
      </c>
      <c r="E576" s="271" t="s">
        <v>268</v>
      </c>
      <c r="F576" s="138" t="s">
        <v>4</v>
      </c>
      <c r="G576" s="271" t="s">
        <v>9</v>
      </c>
      <c r="H576" s="273" t="s">
        <v>55</v>
      </c>
      <c r="I576" s="274">
        <v>10.0</v>
      </c>
      <c r="J576" s="271">
        <v>834.0</v>
      </c>
      <c r="K576" s="271">
        <f t="shared" si="1"/>
        <v>8340</v>
      </c>
      <c r="L576" s="271">
        <v>65052.0</v>
      </c>
      <c r="M576" s="271">
        <v>140.0</v>
      </c>
      <c r="N576" s="275">
        <v>400.0</v>
      </c>
      <c r="O576" s="60"/>
      <c r="P576" s="50">
        <v>400.0</v>
      </c>
      <c r="Q576" s="271">
        <v>456.0</v>
      </c>
      <c r="R576" s="276">
        <v>-0.003888</v>
      </c>
      <c r="S576" s="271">
        <v>423.0</v>
      </c>
      <c r="T576" s="271">
        <v>823.0</v>
      </c>
      <c r="U576" s="62">
        <v>1.0</v>
      </c>
      <c r="V576" s="277">
        <v>0.25</v>
      </c>
      <c r="W576" s="277">
        <v>0.0</v>
      </c>
      <c r="X576" s="271">
        <v>618.0</v>
      </c>
      <c r="Y576" s="271">
        <v>206.0</v>
      </c>
      <c r="Z576" s="50" t="b">
        <v>1</v>
      </c>
      <c r="AA576" s="50" t="s">
        <v>140</v>
      </c>
      <c r="AB576" s="50" t="s">
        <v>140</v>
      </c>
    </row>
    <row r="577">
      <c r="A577" s="101" t="s">
        <v>144</v>
      </c>
      <c r="B577" s="101" t="s">
        <v>144</v>
      </c>
      <c r="C577" s="278">
        <v>44186.0</v>
      </c>
      <c r="D577" s="278">
        <v>44216.0</v>
      </c>
      <c r="E577" s="271" t="s">
        <v>268</v>
      </c>
      <c r="F577" s="138" t="s">
        <v>4</v>
      </c>
      <c r="G577" s="271" t="s">
        <v>9</v>
      </c>
      <c r="H577" s="273" t="s">
        <v>68</v>
      </c>
      <c r="I577" s="274">
        <v>25.0</v>
      </c>
      <c r="J577" s="271">
        <v>444.0</v>
      </c>
      <c r="K577" s="271">
        <f t="shared" si="1"/>
        <v>11100</v>
      </c>
      <c r="L577" s="271">
        <v>28416.0</v>
      </c>
      <c r="M577" s="271">
        <v>500.0</v>
      </c>
      <c r="N577" s="275">
        <v>20.0</v>
      </c>
      <c r="O577" s="60"/>
      <c r="P577" s="50">
        <v>20.0</v>
      </c>
      <c r="Q577" s="271">
        <v>324.0</v>
      </c>
      <c r="R577" s="276">
        <v>-0.003888</v>
      </c>
      <c r="S577" s="271">
        <v>281.0</v>
      </c>
      <c r="T577" s="271">
        <v>301.0</v>
      </c>
      <c r="U577" s="62">
        <v>1.0</v>
      </c>
      <c r="V577" s="277">
        <v>0.25</v>
      </c>
      <c r="W577" s="277">
        <v>0.0</v>
      </c>
      <c r="X577" s="271">
        <v>226.0</v>
      </c>
      <c r="Y577" s="271">
        <v>75.0</v>
      </c>
      <c r="Z577" s="50" t="b">
        <v>1</v>
      </c>
      <c r="AA577" s="50" t="s">
        <v>140</v>
      </c>
      <c r="AB577" s="50" t="s">
        <v>140</v>
      </c>
    </row>
    <row r="578">
      <c r="A578" s="101" t="s">
        <v>148</v>
      </c>
      <c r="B578" s="101" t="s">
        <v>148</v>
      </c>
      <c r="C578" s="278">
        <v>44186.0</v>
      </c>
      <c r="D578" s="278">
        <v>44216.0</v>
      </c>
      <c r="E578" s="271" t="s">
        <v>331</v>
      </c>
      <c r="F578" s="138" t="s">
        <v>4</v>
      </c>
      <c r="G578" s="101" t="s">
        <v>5</v>
      </c>
      <c r="H578" s="273" t="s">
        <v>62</v>
      </c>
      <c r="I578" s="63">
        <v>25.0</v>
      </c>
      <c r="J578" s="74">
        <v>4356.0</v>
      </c>
      <c r="K578" s="271">
        <f t="shared" si="1"/>
        <v>108900</v>
      </c>
      <c r="L578" s="280">
        <v>176005.0</v>
      </c>
      <c r="M578" s="280">
        <v>3725.0</v>
      </c>
      <c r="N578" s="275">
        <v>6395.0</v>
      </c>
      <c r="O578" s="60"/>
      <c r="P578" s="109">
        <v>6395.0</v>
      </c>
      <c r="Q578" s="280">
        <v>1170.0</v>
      </c>
      <c r="R578" s="276">
        <v>-0.003888</v>
      </c>
      <c r="S578" s="280">
        <v>746.0</v>
      </c>
      <c r="T578" s="280">
        <v>7141.0</v>
      </c>
      <c r="U578" s="62">
        <v>1.0</v>
      </c>
      <c r="V578" s="277">
        <v>0.25</v>
      </c>
      <c r="W578" s="277">
        <v>0.1</v>
      </c>
      <c r="X578" s="280">
        <v>4642.0</v>
      </c>
      <c r="Y578" s="280">
        <v>2499.0</v>
      </c>
      <c r="Z578" s="50" t="b">
        <v>1</v>
      </c>
      <c r="AA578" s="50" t="s">
        <v>138</v>
      </c>
      <c r="AB578" s="50" t="s">
        <v>138</v>
      </c>
    </row>
    <row r="579">
      <c r="A579" s="101" t="s">
        <v>148</v>
      </c>
      <c r="B579" s="101" t="s">
        <v>148</v>
      </c>
      <c r="C579" s="278">
        <v>44186.0</v>
      </c>
      <c r="D579" s="278">
        <v>44216.0</v>
      </c>
      <c r="E579" s="271" t="s">
        <v>331</v>
      </c>
      <c r="F579" s="138" t="s">
        <v>4</v>
      </c>
      <c r="G579" s="101" t="s">
        <v>5</v>
      </c>
      <c r="H579" s="273" t="s">
        <v>74</v>
      </c>
      <c r="I579" s="63">
        <v>50.0</v>
      </c>
      <c r="J579" s="74">
        <v>1475.0</v>
      </c>
      <c r="K579" s="271">
        <f t="shared" si="1"/>
        <v>73750</v>
      </c>
      <c r="L579" s="280">
        <v>32762.0</v>
      </c>
      <c r="M579" s="280">
        <v>-6000.0</v>
      </c>
      <c r="N579" s="275">
        <v>4331.0</v>
      </c>
      <c r="O579" s="60"/>
      <c r="P579" s="109">
        <v>4331.0</v>
      </c>
      <c r="Q579" s="280">
        <v>-1691.0</v>
      </c>
      <c r="R579" s="276">
        <v>-0.003888</v>
      </c>
      <c r="S579" s="280">
        <v>-1978.0</v>
      </c>
      <c r="T579" s="280">
        <v>2353.0</v>
      </c>
      <c r="U579" s="62">
        <v>1.0</v>
      </c>
      <c r="V579" s="277">
        <v>0.25</v>
      </c>
      <c r="W579" s="277">
        <v>0.1</v>
      </c>
      <c r="X579" s="280">
        <v>1529.0</v>
      </c>
      <c r="Y579" s="280">
        <v>823.0</v>
      </c>
      <c r="Z579" s="50" t="b">
        <v>1</v>
      </c>
      <c r="AA579" s="50" t="s">
        <v>138</v>
      </c>
      <c r="AB579" s="50" t="s">
        <v>138</v>
      </c>
    </row>
    <row r="580">
      <c r="A580" s="101" t="s">
        <v>148</v>
      </c>
      <c r="B580" s="101" t="s">
        <v>148</v>
      </c>
      <c r="C580" s="278">
        <v>44186.0</v>
      </c>
      <c r="D580" s="278">
        <v>44216.0</v>
      </c>
      <c r="E580" s="271" t="s">
        <v>331</v>
      </c>
      <c r="F580" s="138" t="s">
        <v>12</v>
      </c>
      <c r="G580" s="101" t="s">
        <v>5</v>
      </c>
      <c r="H580" s="273" t="s">
        <v>63</v>
      </c>
      <c r="I580" s="274">
        <v>25.0</v>
      </c>
      <c r="J580" s="271">
        <v>17.0</v>
      </c>
      <c r="K580" s="271">
        <f t="shared" si="1"/>
        <v>425</v>
      </c>
      <c r="L580" s="271"/>
      <c r="M580" s="271">
        <v>-125.0</v>
      </c>
      <c r="N580" s="275">
        <v>25.0</v>
      </c>
      <c r="O580" s="60"/>
      <c r="P580" s="50">
        <v>25.0</v>
      </c>
      <c r="Q580" s="271"/>
      <c r="R580" s="276">
        <v>0.0</v>
      </c>
      <c r="S580" s="271"/>
      <c r="T580" s="271">
        <v>-100.0</v>
      </c>
      <c r="U580" s="62">
        <v>1.0</v>
      </c>
      <c r="V580" s="277">
        <v>0.25</v>
      </c>
      <c r="W580" s="277">
        <v>0.1</v>
      </c>
      <c r="X580" s="271">
        <v>-65.0</v>
      </c>
      <c r="Y580" s="271">
        <v>-35.0</v>
      </c>
      <c r="Z580" s="50" t="b">
        <v>1</v>
      </c>
      <c r="AA580" s="50" t="s">
        <v>138</v>
      </c>
      <c r="AB580" s="50" t="s">
        <v>138</v>
      </c>
    </row>
    <row r="581">
      <c r="A581" s="101" t="s">
        <v>148</v>
      </c>
      <c r="B581" s="101" t="s">
        <v>148</v>
      </c>
      <c r="C581" s="278">
        <v>44186.0</v>
      </c>
      <c r="D581" s="278">
        <v>44216.0</v>
      </c>
      <c r="E581" s="271" t="s">
        <v>331</v>
      </c>
      <c r="F581" s="138" t="s">
        <v>12</v>
      </c>
      <c r="G581" s="101" t="s">
        <v>5</v>
      </c>
      <c r="H581" s="273" t="s">
        <v>75</v>
      </c>
      <c r="I581" s="274">
        <v>50.0</v>
      </c>
      <c r="J581" s="271">
        <v>5.0</v>
      </c>
      <c r="K581" s="271">
        <f t="shared" si="1"/>
        <v>250</v>
      </c>
      <c r="L581" s="271"/>
      <c r="M581" s="271">
        <v>50.0</v>
      </c>
      <c r="N581" s="275">
        <v>15.0</v>
      </c>
      <c r="O581" s="60"/>
      <c r="P581" s="50">
        <v>15.0</v>
      </c>
      <c r="Q581" s="271"/>
      <c r="R581" s="276">
        <v>0.0</v>
      </c>
      <c r="S581" s="271"/>
      <c r="T581" s="271">
        <v>65.0</v>
      </c>
      <c r="U581" s="62">
        <v>1.0</v>
      </c>
      <c r="V581" s="277">
        <v>0.25</v>
      </c>
      <c r="W581" s="277">
        <v>0.1</v>
      </c>
      <c r="X581" s="271">
        <v>42.0</v>
      </c>
      <c r="Y581" s="271">
        <v>23.0</v>
      </c>
      <c r="Z581" s="50" t="b">
        <v>1</v>
      </c>
      <c r="AA581" s="50" t="s">
        <v>138</v>
      </c>
      <c r="AB581" s="50" t="s">
        <v>138</v>
      </c>
    </row>
    <row r="582">
      <c r="A582" s="101" t="s">
        <v>182</v>
      </c>
      <c r="B582" s="101" t="s">
        <v>182</v>
      </c>
      <c r="C582" s="278">
        <v>44186.0</v>
      </c>
      <c r="D582" s="278">
        <v>44216.0</v>
      </c>
      <c r="E582" s="271" t="s">
        <v>268</v>
      </c>
      <c r="F582" s="101" t="s">
        <v>4</v>
      </c>
      <c r="G582" s="271" t="s">
        <v>5</v>
      </c>
      <c r="H582" s="273" t="s">
        <v>46</v>
      </c>
      <c r="I582" s="274">
        <v>10.0</v>
      </c>
      <c r="J582" s="271">
        <v>426.0</v>
      </c>
      <c r="K582" s="271">
        <f t="shared" si="1"/>
        <v>4260</v>
      </c>
      <c r="L582" s="271">
        <v>82.0</v>
      </c>
      <c r="M582" s="271">
        <v>390.0</v>
      </c>
      <c r="N582" s="275">
        <v>6.0</v>
      </c>
      <c r="O582" s="60"/>
      <c r="P582" s="50">
        <v>6.0</v>
      </c>
      <c r="Q582" s="271">
        <v>-356.0</v>
      </c>
      <c r="R582" s="276">
        <v>-0.003888</v>
      </c>
      <c r="S582" s="271">
        <v>-373.0</v>
      </c>
      <c r="T582" s="271">
        <v>-367.0</v>
      </c>
      <c r="U582" s="62">
        <v>1.0</v>
      </c>
      <c r="V582" s="277">
        <v>0.2</v>
      </c>
      <c r="W582" s="277">
        <v>0.0</v>
      </c>
      <c r="X582" s="271">
        <v>-294.0</v>
      </c>
      <c r="Y582" s="271">
        <v>-73.0</v>
      </c>
      <c r="Z582" s="50" t="b">
        <v>1</v>
      </c>
      <c r="AA582" s="50" t="s">
        <v>138</v>
      </c>
      <c r="AB582" s="50" t="s">
        <v>138</v>
      </c>
    </row>
    <row r="583">
      <c r="A583" s="101" t="s">
        <v>199</v>
      </c>
      <c r="B583" s="101" t="s">
        <v>924</v>
      </c>
      <c r="C583" s="278">
        <v>44186.0</v>
      </c>
      <c r="D583" s="278">
        <v>44216.0</v>
      </c>
      <c r="E583" s="271" t="s">
        <v>268</v>
      </c>
      <c r="F583" s="138" t="s">
        <v>4</v>
      </c>
      <c r="G583" s="101" t="s">
        <v>9</v>
      </c>
      <c r="H583" s="273" t="s">
        <v>55</v>
      </c>
      <c r="I583" s="63">
        <v>10.0</v>
      </c>
      <c r="J583" s="74">
        <v>1412.0</v>
      </c>
      <c r="K583" s="271">
        <f t="shared" si="1"/>
        <v>14120</v>
      </c>
      <c r="L583" s="280">
        <v>144663.0</v>
      </c>
      <c r="M583" s="280">
        <v>1100.0</v>
      </c>
      <c r="N583" s="275"/>
      <c r="O583" s="60"/>
      <c r="P583" s="101"/>
      <c r="Q583" s="280">
        <v>1400.0</v>
      </c>
      <c r="R583" s="276">
        <v>-0.003888</v>
      </c>
      <c r="S583" s="280">
        <v>1345.0</v>
      </c>
      <c r="T583" s="280">
        <v>1345.0</v>
      </c>
      <c r="U583" s="62">
        <v>1.0</v>
      </c>
      <c r="V583" s="277">
        <v>0.2</v>
      </c>
      <c r="W583" s="277">
        <v>0.0</v>
      </c>
      <c r="X583" s="280">
        <v>1076.0</v>
      </c>
      <c r="Y583" s="280">
        <v>269.0</v>
      </c>
      <c r="Z583" s="50" t="b">
        <v>1</v>
      </c>
      <c r="AA583" s="50" t="s">
        <v>140</v>
      </c>
      <c r="AB583" s="50" t="s">
        <v>140</v>
      </c>
    </row>
    <row r="584">
      <c r="A584" s="101" t="s">
        <v>546</v>
      </c>
      <c r="B584" s="101" t="s">
        <v>546</v>
      </c>
      <c r="C584" s="278">
        <v>44186.0</v>
      </c>
      <c r="D584" s="278">
        <v>44216.0</v>
      </c>
      <c r="E584" s="271" t="s">
        <v>331</v>
      </c>
      <c r="F584" s="101" t="s">
        <v>4</v>
      </c>
      <c r="G584" s="101" t="s">
        <v>5</v>
      </c>
      <c r="H584" s="273" t="s">
        <v>85</v>
      </c>
      <c r="I584" s="63">
        <v>100.0</v>
      </c>
      <c r="J584" s="74">
        <v>1197.0</v>
      </c>
      <c r="K584" s="271">
        <f t="shared" si="1"/>
        <v>119700</v>
      </c>
      <c r="L584" s="271">
        <v>44269.0</v>
      </c>
      <c r="M584" s="271">
        <v>-1400.0</v>
      </c>
      <c r="N584" s="275">
        <v>462.0</v>
      </c>
      <c r="O584" s="60"/>
      <c r="P584" s="50">
        <v>462.0</v>
      </c>
      <c r="Q584" s="271">
        <v>1834.0</v>
      </c>
      <c r="R584" s="276">
        <v>-0.003888</v>
      </c>
      <c r="S584" s="271">
        <v>1368.0</v>
      </c>
      <c r="T584" s="271">
        <v>1830.0</v>
      </c>
      <c r="U584" s="62">
        <v>1.0</v>
      </c>
      <c r="V584" s="277">
        <v>0.135</v>
      </c>
      <c r="W584" s="277">
        <v>0.045</v>
      </c>
      <c r="X584" s="271">
        <v>1501.0</v>
      </c>
      <c r="Y584" s="271">
        <v>329.0</v>
      </c>
      <c r="Z584" s="50" t="b">
        <v>1</v>
      </c>
      <c r="AA584" s="50" t="s">
        <v>138</v>
      </c>
      <c r="AB584" s="50" t="s">
        <v>138</v>
      </c>
    </row>
    <row r="585">
      <c r="A585" s="101" t="s">
        <v>207</v>
      </c>
      <c r="B585" s="101" t="s">
        <v>207</v>
      </c>
      <c r="C585" s="278">
        <v>44186.0</v>
      </c>
      <c r="D585" s="278">
        <v>44216.0</v>
      </c>
      <c r="E585" s="271" t="s">
        <v>268</v>
      </c>
      <c r="F585" s="101" t="s">
        <v>4</v>
      </c>
      <c r="G585" s="271" t="s">
        <v>5</v>
      </c>
      <c r="H585" s="273" t="s">
        <v>34</v>
      </c>
      <c r="I585" s="274">
        <v>5.0</v>
      </c>
      <c r="J585" s="271">
        <v>948.0</v>
      </c>
      <c r="K585" s="271">
        <f t="shared" si="1"/>
        <v>4740</v>
      </c>
      <c r="L585" s="271">
        <v>67343.0</v>
      </c>
      <c r="M585" s="271">
        <v>115.0</v>
      </c>
      <c r="N585" s="275">
        <v>16.0</v>
      </c>
      <c r="O585" s="60"/>
      <c r="P585" s="50">
        <v>16.0</v>
      </c>
      <c r="Q585" s="271">
        <v>267.0</v>
      </c>
      <c r="R585" s="276">
        <v>-0.003888</v>
      </c>
      <c r="S585" s="271">
        <v>248.0</v>
      </c>
      <c r="T585" s="271">
        <v>264.0</v>
      </c>
      <c r="U585" s="62">
        <v>1.0</v>
      </c>
      <c r="V585" s="277">
        <v>0.3</v>
      </c>
      <c r="W585" s="277">
        <v>0.0</v>
      </c>
      <c r="X585" s="271">
        <v>185.0</v>
      </c>
      <c r="Y585" s="271">
        <v>79.0</v>
      </c>
      <c r="Z585" s="50" t="b">
        <v>1</v>
      </c>
      <c r="AA585" s="50" t="s">
        <v>138</v>
      </c>
      <c r="AB585" s="50" t="s">
        <v>138</v>
      </c>
    </row>
    <row r="586">
      <c r="A586" s="101" t="s">
        <v>207</v>
      </c>
      <c r="B586" s="101" t="s">
        <v>207</v>
      </c>
      <c r="C586" s="278">
        <v>44186.0</v>
      </c>
      <c r="D586" s="278">
        <v>44216.0</v>
      </c>
      <c r="E586" s="271" t="s">
        <v>268</v>
      </c>
      <c r="F586" s="101" t="s">
        <v>4</v>
      </c>
      <c r="G586" s="271" t="s">
        <v>5</v>
      </c>
      <c r="H586" s="273" t="s">
        <v>46</v>
      </c>
      <c r="I586" s="274">
        <v>10.0</v>
      </c>
      <c r="J586" s="271">
        <v>212.0</v>
      </c>
      <c r="K586" s="271">
        <f t="shared" si="1"/>
        <v>2120</v>
      </c>
      <c r="L586" s="271">
        <v>21704.0</v>
      </c>
      <c r="M586" s="271">
        <v>340.0</v>
      </c>
      <c r="N586" s="275">
        <v>31.0</v>
      </c>
      <c r="O586" s="60"/>
      <c r="P586" s="50">
        <v>31.0</v>
      </c>
      <c r="Q586" s="271">
        <v>216.0</v>
      </c>
      <c r="R586" s="276">
        <v>-0.003888</v>
      </c>
      <c r="S586" s="271">
        <v>207.0</v>
      </c>
      <c r="T586" s="271">
        <v>238.0</v>
      </c>
      <c r="U586" s="62">
        <v>1.0</v>
      </c>
      <c r="V586" s="277">
        <v>0.3</v>
      </c>
      <c r="W586" s="277">
        <v>0.0</v>
      </c>
      <c r="X586" s="271">
        <v>167.0</v>
      </c>
      <c r="Y586" s="271">
        <v>72.0</v>
      </c>
      <c r="Z586" s="50" t="b">
        <v>1</v>
      </c>
      <c r="AA586" s="50" t="s">
        <v>138</v>
      </c>
      <c r="AB586" s="50" t="s">
        <v>138</v>
      </c>
    </row>
    <row r="587">
      <c r="A587" s="101" t="s">
        <v>177</v>
      </c>
      <c r="B587" s="101" t="s">
        <v>177</v>
      </c>
      <c r="C587" s="278">
        <v>44186.0</v>
      </c>
      <c r="D587" s="278">
        <v>44227.0</v>
      </c>
      <c r="E587" s="271" t="s">
        <v>268</v>
      </c>
      <c r="F587" s="138" t="s">
        <v>8</v>
      </c>
      <c r="G587" s="280" t="s">
        <v>5</v>
      </c>
      <c r="H587" s="273" t="s">
        <v>85</v>
      </c>
      <c r="I587" s="274">
        <v>100.0</v>
      </c>
      <c r="J587" s="271">
        <v>2566.0</v>
      </c>
      <c r="K587" s="271">
        <f t="shared" si="1"/>
        <v>256600</v>
      </c>
      <c r="L587" s="271">
        <v>123778.0</v>
      </c>
      <c r="M587" s="271">
        <v>1300.0</v>
      </c>
      <c r="N587" s="275">
        <v>4517.0</v>
      </c>
      <c r="O587" s="60"/>
      <c r="P587" s="109">
        <v>4517.0</v>
      </c>
      <c r="Q587" s="271">
        <v>9468.0</v>
      </c>
      <c r="R587" s="276">
        <v>-4.92E-4</v>
      </c>
      <c r="S587" s="271">
        <v>9342.0</v>
      </c>
      <c r="T587" s="271">
        <v>13859.0</v>
      </c>
      <c r="U587" s="62">
        <v>1.0</v>
      </c>
      <c r="V587" s="277">
        <v>0.12</v>
      </c>
      <c r="W587" s="277">
        <v>0.0</v>
      </c>
      <c r="X587" s="271">
        <v>12196.0</v>
      </c>
      <c r="Y587" s="271">
        <v>1663.0</v>
      </c>
      <c r="Z587" s="50" t="b">
        <v>1</v>
      </c>
      <c r="AA587" s="50" t="s">
        <v>138</v>
      </c>
      <c r="AB587" s="50" t="s">
        <v>138</v>
      </c>
    </row>
    <row r="588">
      <c r="A588" s="101" t="s">
        <v>345</v>
      </c>
      <c r="B588" s="101" t="s">
        <v>981</v>
      </c>
      <c r="C588" s="278">
        <v>44197.0</v>
      </c>
      <c r="D588" s="278">
        <v>44227.0</v>
      </c>
      <c r="E588" s="271" t="s">
        <v>331</v>
      </c>
      <c r="F588" s="138" t="s">
        <v>4</v>
      </c>
      <c r="G588" s="271" t="s">
        <v>16</v>
      </c>
      <c r="H588" s="273" t="s">
        <v>85</v>
      </c>
      <c r="I588" s="274">
        <v>100.0</v>
      </c>
      <c r="J588" s="271">
        <v>982.0</v>
      </c>
      <c r="K588" s="271">
        <f t="shared" si="1"/>
        <v>98200</v>
      </c>
      <c r="L588" s="271">
        <v>23662.0</v>
      </c>
      <c r="M588" s="271">
        <v>-2200.0</v>
      </c>
      <c r="N588" s="275">
        <v>2971.7</v>
      </c>
      <c r="O588" s="60"/>
      <c r="P588" s="109">
        <v>2972.0</v>
      </c>
      <c r="Q588" s="271">
        <v>-832.0</v>
      </c>
      <c r="R588" s="276">
        <v>-0.00331</v>
      </c>
      <c r="S588" s="271">
        <v>-1157.0</v>
      </c>
      <c r="T588" s="271">
        <v>1814.0</v>
      </c>
      <c r="U588" s="62">
        <v>1.0</v>
      </c>
      <c r="V588" s="277">
        <v>0.15</v>
      </c>
      <c r="W588" s="277">
        <v>0.05</v>
      </c>
      <c r="X588" s="271">
        <v>1451.0</v>
      </c>
      <c r="Y588" s="271">
        <v>363.0</v>
      </c>
      <c r="Z588" s="50" t="b">
        <v>1</v>
      </c>
      <c r="AA588" s="50" t="s">
        <v>138</v>
      </c>
      <c r="AB588" s="50" t="s">
        <v>138</v>
      </c>
    </row>
    <row r="589">
      <c r="A589" s="101" t="s">
        <v>345</v>
      </c>
      <c r="B589" s="101" t="s">
        <v>981</v>
      </c>
      <c r="C589" s="278">
        <v>44197.0</v>
      </c>
      <c r="D589" s="278">
        <v>44227.0</v>
      </c>
      <c r="E589" s="271" t="s">
        <v>331</v>
      </c>
      <c r="F589" s="138" t="s">
        <v>4</v>
      </c>
      <c r="G589" s="271" t="s">
        <v>16</v>
      </c>
      <c r="H589" s="273" t="s">
        <v>59</v>
      </c>
      <c r="I589" s="274">
        <v>20.0</v>
      </c>
      <c r="J589" s="271">
        <v>1.0</v>
      </c>
      <c r="K589" s="271">
        <f t="shared" si="1"/>
        <v>20</v>
      </c>
      <c r="L589" s="271">
        <v>-1031.0</v>
      </c>
      <c r="M589" s="271">
        <v>-20.0</v>
      </c>
      <c r="N589" s="275">
        <v>0.73</v>
      </c>
      <c r="O589" s="60"/>
      <c r="P589" s="50">
        <v>1.0</v>
      </c>
      <c r="Q589" s="271">
        <v>-40.0</v>
      </c>
      <c r="R589" s="276">
        <v>-0.00331</v>
      </c>
      <c r="S589" s="271">
        <v>-40.0</v>
      </c>
      <c r="T589" s="271">
        <v>-39.0</v>
      </c>
      <c r="U589" s="62">
        <v>1.0</v>
      </c>
      <c r="V589" s="277">
        <v>0.15</v>
      </c>
      <c r="W589" s="277">
        <v>0.05</v>
      </c>
      <c r="X589" s="271">
        <v>-31.0</v>
      </c>
      <c r="Y589" s="271">
        <v>-8.0</v>
      </c>
      <c r="Z589" s="50" t="b">
        <v>1</v>
      </c>
      <c r="AA589" s="50" t="s">
        <v>138</v>
      </c>
      <c r="AB589" s="50" t="s">
        <v>138</v>
      </c>
    </row>
    <row r="590">
      <c r="A590" s="101" t="s">
        <v>345</v>
      </c>
      <c r="B590" s="101" t="s">
        <v>981</v>
      </c>
      <c r="C590" s="278">
        <v>44197.0</v>
      </c>
      <c r="D590" s="278">
        <v>44227.0</v>
      </c>
      <c r="E590" s="271" t="s">
        <v>331</v>
      </c>
      <c r="F590" s="138" t="s">
        <v>4</v>
      </c>
      <c r="G590" s="271" t="s">
        <v>16</v>
      </c>
      <c r="H590" s="273" t="s">
        <v>96</v>
      </c>
      <c r="I590" s="274">
        <v>250.0</v>
      </c>
      <c r="J590" s="271">
        <v>69.0</v>
      </c>
      <c r="K590" s="271">
        <f t="shared" si="1"/>
        <v>17250</v>
      </c>
      <c r="L590" s="271">
        <v>7390.0</v>
      </c>
      <c r="M590" s="271">
        <v>4750.0</v>
      </c>
      <c r="N590" s="275">
        <v>417.61</v>
      </c>
      <c r="O590" s="60"/>
      <c r="P590" s="50">
        <v>418.0</v>
      </c>
      <c r="Q590" s="271">
        <v>2821.0</v>
      </c>
      <c r="R590" s="276">
        <v>-0.00331</v>
      </c>
      <c r="S590" s="271">
        <v>2764.0</v>
      </c>
      <c r="T590" s="271">
        <v>3181.0</v>
      </c>
      <c r="U590" s="62">
        <v>1.0</v>
      </c>
      <c r="V590" s="277">
        <v>0.15</v>
      </c>
      <c r="W590" s="277">
        <v>0.05</v>
      </c>
      <c r="X590" s="271">
        <v>2545.0</v>
      </c>
      <c r="Y590" s="271">
        <v>636.0</v>
      </c>
      <c r="Z590" s="50" t="b">
        <v>1</v>
      </c>
      <c r="AA590" s="50" t="s">
        <v>138</v>
      </c>
      <c r="AB590" s="50" t="s">
        <v>138</v>
      </c>
    </row>
    <row r="591">
      <c r="A591" s="101" t="s">
        <v>345</v>
      </c>
      <c r="B591" s="101" t="s">
        <v>981</v>
      </c>
      <c r="C591" s="278">
        <v>44197.0</v>
      </c>
      <c r="D591" s="278">
        <v>44227.0</v>
      </c>
      <c r="E591" s="271" t="s">
        <v>331</v>
      </c>
      <c r="F591" s="138" t="s">
        <v>12</v>
      </c>
      <c r="G591" s="271" t="s">
        <v>16</v>
      </c>
      <c r="H591" s="273" t="s">
        <v>33</v>
      </c>
      <c r="I591" s="274">
        <v>3.0</v>
      </c>
      <c r="J591" s="271">
        <v>12.0</v>
      </c>
      <c r="K591" s="271">
        <f t="shared" si="1"/>
        <v>36</v>
      </c>
      <c r="L591" s="271"/>
      <c r="M591" s="271">
        <v>9.0</v>
      </c>
      <c r="N591" s="275">
        <v>1.74</v>
      </c>
      <c r="O591" s="60"/>
      <c r="P591" s="50">
        <v>2.0</v>
      </c>
      <c r="Q591" s="271"/>
      <c r="R591" s="276">
        <v>0.0</v>
      </c>
      <c r="S591" s="271"/>
      <c r="T591" s="271">
        <v>11.0</v>
      </c>
      <c r="U591" s="62">
        <v>1.0</v>
      </c>
      <c r="V591" s="277">
        <v>0.15</v>
      </c>
      <c r="W591" s="277">
        <v>0.05</v>
      </c>
      <c r="X591" s="271">
        <v>9.0</v>
      </c>
      <c r="Y591" s="271">
        <v>2.0</v>
      </c>
      <c r="Z591" s="50" t="b">
        <v>1</v>
      </c>
      <c r="AA591" s="50" t="s">
        <v>138</v>
      </c>
      <c r="AB591" s="50" t="s">
        <v>138</v>
      </c>
    </row>
    <row r="592">
      <c r="A592" s="101" t="s">
        <v>345</v>
      </c>
      <c r="B592" s="101" t="s">
        <v>981</v>
      </c>
      <c r="C592" s="278">
        <v>44197.0</v>
      </c>
      <c r="D592" s="278">
        <v>44227.0</v>
      </c>
      <c r="E592" s="271" t="s">
        <v>331</v>
      </c>
      <c r="F592" s="138" t="s">
        <v>12</v>
      </c>
      <c r="G592" s="271" t="s">
        <v>16</v>
      </c>
      <c r="H592" s="273" t="s">
        <v>987</v>
      </c>
      <c r="I592" s="274">
        <v>5.0</v>
      </c>
      <c r="J592" s="271">
        <v>3.0</v>
      </c>
      <c r="K592" s="271">
        <f t="shared" si="1"/>
        <v>15</v>
      </c>
      <c r="L592" s="271"/>
      <c r="M592" s="271">
        <v>0.0</v>
      </c>
      <c r="N592" s="275">
        <v>0.73</v>
      </c>
      <c r="O592" s="60"/>
      <c r="P592" s="50">
        <v>1.0</v>
      </c>
      <c r="Q592" s="271"/>
      <c r="R592" s="276">
        <v>0.0</v>
      </c>
      <c r="S592" s="271"/>
      <c r="T592" s="271">
        <v>1.0</v>
      </c>
      <c r="U592" s="62">
        <v>1.0</v>
      </c>
      <c r="V592" s="277">
        <v>0.15</v>
      </c>
      <c r="W592" s="277">
        <v>0.05</v>
      </c>
      <c r="X592" s="271">
        <v>1.0</v>
      </c>
      <c r="Y592" s="271">
        <v>0.0</v>
      </c>
      <c r="Z592" s="50" t="b">
        <v>1</v>
      </c>
      <c r="AA592" s="50" t="s">
        <v>138</v>
      </c>
      <c r="AB592" s="50" t="s">
        <v>138</v>
      </c>
    </row>
    <row r="593">
      <c r="A593" s="101" t="s">
        <v>345</v>
      </c>
      <c r="B593" s="101" t="s">
        <v>981</v>
      </c>
      <c r="C593" s="278">
        <v>44197.0</v>
      </c>
      <c r="D593" s="278">
        <v>44227.0</v>
      </c>
      <c r="E593" s="271" t="s">
        <v>331</v>
      </c>
      <c r="F593" s="138" t="s">
        <v>4</v>
      </c>
      <c r="G593" s="271" t="s">
        <v>16</v>
      </c>
      <c r="H593" s="273" t="s">
        <v>76</v>
      </c>
      <c r="I593" s="274">
        <v>50.0</v>
      </c>
      <c r="J593" s="271">
        <v>2.0</v>
      </c>
      <c r="K593" s="271">
        <f t="shared" si="1"/>
        <v>100</v>
      </c>
      <c r="L593" s="271">
        <v>-247.0</v>
      </c>
      <c r="M593" s="271">
        <v>0.0</v>
      </c>
      <c r="N593" s="275">
        <v>3.03</v>
      </c>
      <c r="O593" s="60"/>
      <c r="P593" s="50">
        <v>3.0</v>
      </c>
      <c r="Q593" s="271">
        <v>-43.0</v>
      </c>
      <c r="R593" s="276">
        <v>-0.00331</v>
      </c>
      <c r="S593" s="271">
        <v>-44.0</v>
      </c>
      <c r="T593" s="271">
        <v>-41.0</v>
      </c>
      <c r="U593" s="62">
        <v>1.0</v>
      </c>
      <c r="V593" s="277">
        <v>0.15</v>
      </c>
      <c r="W593" s="277">
        <v>0.05</v>
      </c>
      <c r="X593" s="271">
        <v>-32.0</v>
      </c>
      <c r="Y593" s="271">
        <v>-8.0</v>
      </c>
      <c r="Z593" s="50" t="b">
        <v>1</v>
      </c>
      <c r="AA593" s="50" t="s">
        <v>138</v>
      </c>
      <c r="AB593" s="50" t="s">
        <v>138</v>
      </c>
    </row>
    <row r="594">
      <c r="A594" s="101" t="s">
        <v>345</v>
      </c>
      <c r="B594" s="101" t="s">
        <v>981</v>
      </c>
      <c r="C594" s="278">
        <v>44197.0</v>
      </c>
      <c r="D594" s="278">
        <v>44227.0</v>
      </c>
      <c r="E594" s="271" t="s">
        <v>331</v>
      </c>
      <c r="F594" s="138" t="s">
        <v>4</v>
      </c>
      <c r="G594" s="271" t="s">
        <v>16</v>
      </c>
      <c r="H594" s="273" t="s">
        <v>74</v>
      </c>
      <c r="I594" s="274">
        <v>50.0</v>
      </c>
      <c r="J594" s="271">
        <v>112.0</v>
      </c>
      <c r="K594" s="271">
        <f t="shared" si="1"/>
        <v>5600</v>
      </c>
      <c r="L594" s="271">
        <v>4779.0</v>
      </c>
      <c r="M594" s="271">
        <v>1300.0</v>
      </c>
      <c r="N594" s="275">
        <v>169.47</v>
      </c>
      <c r="O594" s="60"/>
      <c r="P594" s="50">
        <v>169.0</v>
      </c>
      <c r="Q594" s="271">
        <v>148.0</v>
      </c>
      <c r="R594" s="276">
        <v>-0.00331</v>
      </c>
      <c r="S594" s="271">
        <v>130.0</v>
      </c>
      <c r="T594" s="271">
        <v>299.0</v>
      </c>
      <c r="U594" s="62">
        <v>1.0</v>
      </c>
      <c r="V594" s="277">
        <v>0.15</v>
      </c>
      <c r="W594" s="277">
        <v>0.05</v>
      </c>
      <c r="X594" s="271">
        <v>239.0</v>
      </c>
      <c r="Y594" s="271">
        <v>60.0</v>
      </c>
      <c r="Z594" s="50" t="b">
        <v>1</v>
      </c>
      <c r="AA594" s="50" t="s">
        <v>138</v>
      </c>
      <c r="AB594" s="50" t="s">
        <v>138</v>
      </c>
    </row>
    <row r="595">
      <c r="A595" s="101" t="s">
        <v>459</v>
      </c>
      <c r="B595" s="101" t="s">
        <v>912</v>
      </c>
      <c r="C595" s="278">
        <v>44186.0</v>
      </c>
      <c r="D595" s="278">
        <v>44227.0</v>
      </c>
      <c r="E595" s="271" t="s">
        <v>331</v>
      </c>
      <c r="F595" s="138" t="s">
        <v>8</v>
      </c>
      <c r="G595" s="280" t="s">
        <v>9</v>
      </c>
      <c r="H595" s="273" t="s">
        <v>80</v>
      </c>
      <c r="I595" s="274">
        <v>50.0</v>
      </c>
      <c r="J595" s="271">
        <v>3100.0</v>
      </c>
      <c r="K595" s="271">
        <f t="shared" si="1"/>
        <v>155000</v>
      </c>
      <c r="L595" s="271">
        <v>186997.0</v>
      </c>
      <c r="M595" s="271">
        <v>5700.0</v>
      </c>
      <c r="N595" s="275">
        <v>4225.0</v>
      </c>
      <c r="O595" s="60"/>
      <c r="P595" s="109">
        <v>4225.0</v>
      </c>
      <c r="Q595" s="271">
        <v>3436.0</v>
      </c>
      <c r="R595" s="276">
        <v>-4.85E-4</v>
      </c>
      <c r="S595" s="271">
        <v>3361.0</v>
      </c>
      <c r="T595" s="271">
        <v>7586.0</v>
      </c>
      <c r="U595" s="62">
        <v>1.0</v>
      </c>
      <c r="V595" s="277">
        <v>0.21</v>
      </c>
      <c r="W595" s="277">
        <v>0.11</v>
      </c>
      <c r="X595" s="271">
        <v>5158.0</v>
      </c>
      <c r="Y595" s="271">
        <v>2428.0</v>
      </c>
      <c r="Z595" s="50" t="b">
        <v>1</v>
      </c>
      <c r="AA595" s="50" t="s">
        <v>140</v>
      </c>
      <c r="AB595" s="50" t="s">
        <v>140</v>
      </c>
    </row>
    <row r="596">
      <c r="A596" s="101" t="s">
        <v>505</v>
      </c>
      <c r="B596" s="271" t="s">
        <v>165</v>
      </c>
      <c r="C596" s="278">
        <v>44197.0</v>
      </c>
      <c r="D596" s="278">
        <v>44227.0</v>
      </c>
      <c r="E596" s="271" t="s">
        <v>268</v>
      </c>
      <c r="F596" s="101" t="s">
        <v>12</v>
      </c>
      <c r="G596" s="271" t="s">
        <v>16</v>
      </c>
      <c r="H596" s="273" t="s">
        <v>59</v>
      </c>
      <c r="I596" s="274">
        <v>20.0</v>
      </c>
      <c r="J596" s="271">
        <v>1.0</v>
      </c>
      <c r="K596" s="271">
        <f t="shared" si="1"/>
        <v>20</v>
      </c>
      <c r="L596" s="271"/>
      <c r="M596" s="271">
        <v>-3014.0</v>
      </c>
      <c r="N596" s="275">
        <v>1740.0</v>
      </c>
      <c r="O596" s="60"/>
      <c r="P596" s="109">
        <v>1740.0</v>
      </c>
      <c r="Q596" s="271"/>
      <c r="R596" s="276">
        <v>0.0</v>
      </c>
      <c r="S596" s="271"/>
      <c r="T596" s="271">
        <v>-1274.0</v>
      </c>
      <c r="U596" s="62">
        <v>1.0</v>
      </c>
      <c r="V596" s="277">
        <v>0.3</v>
      </c>
      <c r="W596" s="277">
        <v>0.0</v>
      </c>
      <c r="X596" s="271">
        <v>-892.0</v>
      </c>
      <c r="Y596" s="271">
        <v>-382.0</v>
      </c>
      <c r="Z596" s="50" t="b">
        <v>1</v>
      </c>
      <c r="AA596" s="50" t="s">
        <v>138</v>
      </c>
      <c r="AB596" s="50" t="s">
        <v>138</v>
      </c>
    </row>
    <row r="597">
      <c r="A597" s="101" t="s">
        <v>216</v>
      </c>
      <c r="B597" s="101" t="s">
        <v>985</v>
      </c>
      <c r="C597" s="278">
        <v>44197.0</v>
      </c>
      <c r="D597" s="278">
        <v>44227.0</v>
      </c>
      <c r="E597" s="271" t="s">
        <v>268</v>
      </c>
      <c r="F597" s="138" t="s">
        <v>12</v>
      </c>
      <c r="G597" s="101" t="s">
        <v>16</v>
      </c>
      <c r="H597" s="273" t="s">
        <v>45</v>
      </c>
      <c r="I597" s="63">
        <v>10.0</v>
      </c>
      <c r="J597" s="74">
        <v>1.0</v>
      </c>
      <c r="K597" s="271">
        <f t="shared" si="1"/>
        <v>10</v>
      </c>
      <c r="L597" s="271"/>
      <c r="M597" s="271">
        <v>20.0</v>
      </c>
      <c r="N597" s="275">
        <v>0.42</v>
      </c>
      <c r="O597" s="60"/>
      <c r="P597" s="50">
        <v>0.0</v>
      </c>
      <c r="Q597" s="271"/>
      <c r="R597" s="276">
        <v>0.0</v>
      </c>
      <c r="S597" s="271"/>
      <c r="T597" s="271">
        <v>20.0</v>
      </c>
      <c r="U597" s="62">
        <v>1.0</v>
      </c>
      <c r="V597" s="277">
        <v>0.22</v>
      </c>
      <c r="W597" s="277">
        <v>0.0</v>
      </c>
      <c r="X597" s="271">
        <v>16.0</v>
      </c>
      <c r="Y597" s="271">
        <v>4.0</v>
      </c>
      <c r="Z597" s="50" t="b">
        <v>1</v>
      </c>
      <c r="AA597" s="50" t="s">
        <v>138</v>
      </c>
      <c r="AB597" s="50" t="s">
        <v>138</v>
      </c>
    </row>
    <row r="598">
      <c r="A598" s="101" t="s">
        <v>216</v>
      </c>
      <c r="B598" s="101" t="s">
        <v>985</v>
      </c>
      <c r="C598" s="278">
        <v>44197.0</v>
      </c>
      <c r="D598" s="278">
        <v>44227.0</v>
      </c>
      <c r="E598" s="271" t="s">
        <v>268</v>
      </c>
      <c r="F598" s="138" t="s">
        <v>4</v>
      </c>
      <c r="G598" s="101" t="s">
        <v>16</v>
      </c>
      <c r="H598" s="273" t="s">
        <v>85</v>
      </c>
      <c r="I598" s="63">
        <v>100.0</v>
      </c>
      <c r="J598" s="74">
        <v>3863.0</v>
      </c>
      <c r="K598" s="271">
        <f t="shared" si="1"/>
        <v>386300</v>
      </c>
      <c r="L598" s="271">
        <v>38078.0</v>
      </c>
      <c r="M598" s="271">
        <v>-13600.0</v>
      </c>
      <c r="N598" s="275">
        <v>13413.58</v>
      </c>
      <c r="O598" s="60"/>
      <c r="P598" s="109">
        <v>13414.0</v>
      </c>
      <c r="Q598" s="271">
        <v>-13671.0</v>
      </c>
      <c r="R598" s="276">
        <v>-0.00331</v>
      </c>
      <c r="S598" s="271">
        <v>-14950.0</v>
      </c>
      <c r="T598" s="271">
        <v>-1536.0</v>
      </c>
      <c r="U598" s="62">
        <v>1.0</v>
      </c>
      <c r="V598" s="277">
        <v>0.22</v>
      </c>
      <c r="W598" s="277">
        <v>0.0</v>
      </c>
      <c r="X598" s="271">
        <v>-1198.0</v>
      </c>
      <c r="Y598" s="271">
        <v>-338.0</v>
      </c>
      <c r="Z598" s="50" t="b">
        <v>1</v>
      </c>
      <c r="AA598" s="50" t="s">
        <v>138</v>
      </c>
      <c r="AB598" s="50" t="s">
        <v>138</v>
      </c>
    </row>
    <row r="599">
      <c r="A599" s="101" t="s">
        <v>267</v>
      </c>
      <c r="B599" s="101" t="s">
        <v>267</v>
      </c>
      <c r="C599" s="278">
        <v>44217.0</v>
      </c>
      <c r="D599" s="278">
        <v>44247.0</v>
      </c>
      <c r="E599" s="271" t="s">
        <v>268</v>
      </c>
      <c r="F599" s="138" t="s">
        <v>4</v>
      </c>
      <c r="G599" s="101" t="s">
        <v>5</v>
      </c>
      <c r="H599" s="273" t="s">
        <v>34</v>
      </c>
      <c r="I599" s="63">
        <v>5.0</v>
      </c>
      <c r="J599" s="74">
        <v>292.0</v>
      </c>
      <c r="K599" s="271">
        <f t="shared" si="1"/>
        <v>1460</v>
      </c>
      <c r="L599" s="271">
        <v>27513.0</v>
      </c>
      <c r="M599" s="271">
        <v>55.0</v>
      </c>
      <c r="N599" s="275">
        <v>20.0</v>
      </c>
      <c r="O599" s="60"/>
      <c r="P599" s="50">
        <v>20.0</v>
      </c>
      <c r="Q599" s="271">
        <v>147.0</v>
      </c>
      <c r="R599" s="276">
        <v>-0.00269</v>
      </c>
      <c r="S599" s="271">
        <v>143.0</v>
      </c>
      <c r="T599" s="271">
        <v>163.0</v>
      </c>
      <c r="U599" s="62">
        <v>1.0</v>
      </c>
      <c r="V599" s="277">
        <v>0.15</v>
      </c>
      <c r="W599" s="277">
        <v>0.0</v>
      </c>
      <c r="X599" s="271">
        <v>139.0</v>
      </c>
      <c r="Y599" s="271">
        <v>25.0</v>
      </c>
      <c r="Z599" s="50" t="b">
        <v>1</v>
      </c>
      <c r="AA599" s="50" t="s">
        <v>138</v>
      </c>
      <c r="AB599" s="50" t="s">
        <v>138</v>
      </c>
    </row>
    <row r="600">
      <c r="A600" s="101" t="s">
        <v>267</v>
      </c>
      <c r="B600" s="101" t="s">
        <v>267</v>
      </c>
      <c r="C600" s="278">
        <v>44217.0</v>
      </c>
      <c r="D600" s="278">
        <v>44247.0</v>
      </c>
      <c r="E600" s="271" t="s">
        <v>268</v>
      </c>
      <c r="F600" s="138" t="s">
        <v>4</v>
      </c>
      <c r="G600" s="101" t="s">
        <v>5</v>
      </c>
      <c r="H600" s="273" t="s">
        <v>37</v>
      </c>
      <c r="I600" s="63">
        <v>5.0</v>
      </c>
      <c r="J600" s="74">
        <v>312.0</v>
      </c>
      <c r="K600" s="271">
        <f t="shared" si="1"/>
        <v>1560</v>
      </c>
      <c r="L600" s="271">
        <v>10616.0</v>
      </c>
      <c r="M600" s="271">
        <v>95.0</v>
      </c>
      <c r="N600" s="275">
        <v>21.0</v>
      </c>
      <c r="O600" s="60"/>
      <c r="P600" s="50">
        <v>21.0</v>
      </c>
      <c r="Q600" s="271">
        <v>50.0</v>
      </c>
      <c r="R600" s="276">
        <v>-0.00269</v>
      </c>
      <c r="S600" s="271">
        <v>46.0</v>
      </c>
      <c r="T600" s="271">
        <v>67.0</v>
      </c>
      <c r="U600" s="62">
        <v>1.0</v>
      </c>
      <c r="V600" s="277">
        <v>0.15</v>
      </c>
      <c r="W600" s="277">
        <v>0.0</v>
      </c>
      <c r="X600" s="271">
        <v>57.0</v>
      </c>
      <c r="Y600" s="271">
        <v>10.0</v>
      </c>
      <c r="Z600" s="50" t="b">
        <v>1</v>
      </c>
      <c r="AA600" s="50" t="s">
        <v>138</v>
      </c>
      <c r="AB600" s="50" t="s">
        <v>138</v>
      </c>
    </row>
    <row r="601">
      <c r="A601" s="101" t="s">
        <v>267</v>
      </c>
      <c r="B601" s="101" t="s">
        <v>267</v>
      </c>
      <c r="C601" s="278">
        <v>44217.0</v>
      </c>
      <c r="D601" s="278">
        <v>44247.0</v>
      </c>
      <c r="E601" s="271" t="s">
        <v>268</v>
      </c>
      <c r="F601" s="138" t="s">
        <v>4</v>
      </c>
      <c r="G601" s="101" t="s">
        <v>5</v>
      </c>
      <c r="H601" s="273" t="s">
        <v>46</v>
      </c>
      <c r="I601" s="63">
        <v>10.0</v>
      </c>
      <c r="J601" s="74">
        <v>664.0</v>
      </c>
      <c r="K601" s="271">
        <f t="shared" si="1"/>
        <v>6640</v>
      </c>
      <c r="L601" s="271">
        <v>52177.0</v>
      </c>
      <c r="M601" s="271">
        <v>900.0</v>
      </c>
      <c r="N601" s="275">
        <v>103.0</v>
      </c>
      <c r="O601" s="60"/>
      <c r="P601" s="50">
        <v>103.0</v>
      </c>
      <c r="Q601" s="271">
        <v>392.0</v>
      </c>
      <c r="R601" s="276">
        <v>-0.00269</v>
      </c>
      <c r="S601" s="271">
        <v>374.0</v>
      </c>
      <c r="T601" s="271">
        <v>477.0</v>
      </c>
      <c r="U601" s="62">
        <v>1.0</v>
      </c>
      <c r="V601" s="277">
        <v>0.15</v>
      </c>
      <c r="W601" s="277">
        <v>0.0</v>
      </c>
      <c r="X601" s="271">
        <v>405.0</v>
      </c>
      <c r="Y601" s="271">
        <v>72.0</v>
      </c>
      <c r="Z601" s="50" t="b">
        <v>1</v>
      </c>
      <c r="AA601" s="50" t="s">
        <v>138</v>
      </c>
      <c r="AB601" s="50" t="s">
        <v>138</v>
      </c>
    </row>
    <row r="602">
      <c r="A602" s="101" t="s">
        <v>267</v>
      </c>
      <c r="B602" s="101" t="s">
        <v>267</v>
      </c>
      <c r="C602" s="278">
        <v>44217.0</v>
      </c>
      <c r="D602" s="278">
        <v>44247.0</v>
      </c>
      <c r="E602" s="271" t="s">
        <v>268</v>
      </c>
      <c r="F602" s="138" t="s">
        <v>4</v>
      </c>
      <c r="G602" s="101" t="s">
        <v>5</v>
      </c>
      <c r="H602" s="273" t="s">
        <v>986</v>
      </c>
      <c r="I602" s="63">
        <v>10.0</v>
      </c>
      <c r="J602" s="74">
        <v>108.0</v>
      </c>
      <c r="K602" s="271">
        <f t="shared" si="1"/>
        <v>1080</v>
      </c>
      <c r="L602" s="271">
        <v>357.0</v>
      </c>
      <c r="M602" s="271">
        <v>-300.0</v>
      </c>
      <c r="N602" s="275">
        <v>17.0</v>
      </c>
      <c r="O602" s="60"/>
      <c r="P602" s="50">
        <v>17.0</v>
      </c>
      <c r="Q602" s="271">
        <v>-77.0</v>
      </c>
      <c r="R602" s="276">
        <v>-0.00269</v>
      </c>
      <c r="S602" s="271">
        <v>-80.0</v>
      </c>
      <c r="T602" s="271">
        <v>-63.0</v>
      </c>
      <c r="U602" s="62">
        <v>1.0</v>
      </c>
      <c r="V602" s="277">
        <v>0.15</v>
      </c>
      <c r="W602" s="277">
        <v>0.0</v>
      </c>
      <c r="X602" s="271">
        <v>-53.0</v>
      </c>
      <c r="Y602" s="271">
        <v>-9.0</v>
      </c>
      <c r="Z602" s="50" t="b">
        <v>1</v>
      </c>
      <c r="AA602" s="50" t="s">
        <v>138</v>
      </c>
      <c r="AB602" s="50" t="s">
        <v>138</v>
      </c>
    </row>
    <row r="603">
      <c r="A603" s="101" t="s">
        <v>267</v>
      </c>
      <c r="B603" s="101" t="s">
        <v>267</v>
      </c>
      <c r="C603" s="278">
        <v>44217.0</v>
      </c>
      <c r="D603" s="278">
        <v>44247.0</v>
      </c>
      <c r="E603" s="271" t="s">
        <v>268</v>
      </c>
      <c r="F603" s="138" t="s">
        <v>4</v>
      </c>
      <c r="G603" s="101" t="s">
        <v>5</v>
      </c>
      <c r="H603" s="273" t="s">
        <v>62</v>
      </c>
      <c r="I603" s="63">
        <v>25.0</v>
      </c>
      <c r="J603" s="74">
        <v>450.0</v>
      </c>
      <c r="K603" s="271">
        <f t="shared" si="1"/>
        <v>11250</v>
      </c>
      <c r="L603" s="271">
        <v>46168.0</v>
      </c>
      <c r="M603" s="271">
        <v>1125.0</v>
      </c>
      <c r="N603" s="275">
        <v>131.0</v>
      </c>
      <c r="O603" s="60"/>
      <c r="P603" s="50">
        <v>131.0</v>
      </c>
      <c r="Q603" s="271">
        <v>1423.0</v>
      </c>
      <c r="R603" s="276">
        <v>-0.00269</v>
      </c>
      <c r="S603" s="271">
        <v>1393.0</v>
      </c>
      <c r="T603" s="271">
        <v>1524.0</v>
      </c>
      <c r="U603" s="62">
        <v>1.0</v>
      </c>
      <c r="V603" s="277">
        <v>0.15</v>
      </c>
      <c r="W603" s="277">
        <v>0.0</v>
      </c>
      <c r="X603" s="271">
        <v>1295.0</v>
      </c>
      <c r="Y603" s="271">
        <v>229.0</v>
      </c>
      <c r="Z603" s="50" t="b">
        <v>1</v>
      </c>
      <c r="AA603" s="50" t="s">
        <v>138</v>
      </c>
      <c r="AB603" s="50" t="s">
        <v>138</v>
      </c>
    </row>
    <row r="604">
      <c r="A604" s="101" t="s">
        <v>267</v>
      </c>
      <c r="B604" s="101" t="s">
        <v>267</v>
      </c>
      <c r="C604" s="278">
        <v>44217.0</v>
      </c>
      <c r="D604" s="278">
        <v>44247.0</v>
      </c>
      <c r="E604" s="271" t="s">
        <v>268</v>
      </c>
      <c r="F604" s="138" t="s">
        <v>4</v>
      </c>
      <c r="G604" s="101" t="s">
        <v>5</v>
      </c>
      <c r="H604" s="273" t="s">
        <v>63</v>
      </c>
      <c r="I604" s="63">
        <v>25.0</v>
      </c>
      <c r="J604" s="74">
        <v>97.0</v>
      </c>
      <c r="K604" s="271">
        <f t="shared" si="1"/>
        <v>2425</v>
      </c>
      <c r="L604" s="271">
        <v>-3062.0</v>
      </c>
      <c r="M604" s="271">
        <v>-400.0</v>
      </c>
      <c r="N604" s="275">
        <v>28.0</v>
      </c>
      <c r="O604" s="60"/>
      <c r="P604" s="50">
        <v>28.0</v>
      </c>
      <c r="Q604" s="271">
        <v>-389.0</v>
      </c>
      <c r="R604" s="276">
        <v>-0.00269</v>
      </c>
      <c r="S604" s="271">
        <v>-395.0</v>
      </c>
      <c r="T604" s="271">
        <v>-367.0</v>
      </c>
      <c r="U604" s="62">
        <v>1.0</v>
      </c>
      <c r="V604" s="277">
        <v>0.15</v>
      </c>
      <c r="W604" s="277">
        <v>0.0</v>
      </c>
      <c r="X604" s="271">
        <v>-312.0</v>
      </c>
      <c r="Y604" s="271">
        <v>-55.0</v>
      </c>
      <c r="Z604" s="50" t="b">
        <v>1</v>
      </c>
      <c r="AA604" s="50" t="s">
        <v>138</v>
      </c>
      <c r="AB604" s="50" t="s">
        <v>138</v>
      </c>
    </row>
    <row r="605">
      <c r="A605" s="101" t="s">
        <v>267</v>
      </c>
      <c r="B605" s="101" t="s">
        <v>267</v>
      </c>
      <c r="C605" s="278">
        <v>44217.0</v>
      </c>
      <c r="D605" s="278">
        <v>44247.0</v>
      </c>
      <c r="E605" s="271" t="s">
        <v>268</v>
      </c>
      <c r="F605" s="138" t="s">
        <v>4</v>
      </c>
      <c r="G605" s="101" t="s">
        <v>5</v>
      </c>
      <c r="H605" s="273" t="s">
        <v>74</v>
      </c>
      <c r="I605" s="63">
        <v>50.0</v>
      </c>
      <c r="J605" s="74">
        <v>46.0</v>
      </c>
      <c r="K605" s="271">
        <f t="shared" si="1"/>
        <v>2300</v>
      </c>
      <c r="L605" s="271">
        <v>-1000.0</v>
      </c>
      <c r="M605" s="271">
        <v>100.0</v>
      </c>
      <c r="N605" s="275">
        <v>26.0</v>
      </c>
      <c r="O605" s="60"/>
      <c r="P605" s="50">
        <v>26.0</v>
      </c>
      <c r="Q605" s="271">
        <v>-237.0</v>
      </c>
      <c r="R605" s="276">
        <v>-0.00269</v>
      </c>
      <c r="S605" s="271">
        <v>-243.0</v>
      </c>
      <c r="T605" s="271">
        <v>-217.0</v>
      </c>
      <c r="U605" s="62">
        <v>1.0</v>
      </c>
      <c r="V605" s="277">
        <v>0.15</v>
      </c>
      <c r="W605" s="277">
        <v>0.0</v>
      </c>
      <c r="X605" s="271">
        <v>-185.0</v>
      </c>
      <c r="Y605" s="271">
        <v>-33.0</v>
      </c>
      <c r="Z605" s="50" t="b">
        <v>1</v>
      </c>
      <c r="AA605" s="50" t="s">
        <v>138</v>
      </c>
      <c r="AB605" s="50" t="s">
        <v>138</v>
      </c>
    </row>
    <row r="606">
      <c r="A606" s="101" t="s">
        <v>267</v>
      </c>
      <c r="B606" s="101" t="s">
        <v>267</v>
      </c>
      <c r="C606" s="278">
        <v>44217.0</v>
      </c>
      <c r="D606" s="278">
        <v>44247.0</v>
      </c>
      <c r="E606" s="271" t="s">
        <v>268</v>
      </c>
      <c r="F606" s="138" t="s">
        <v>4</v>
      </c>
      <c r="G606" s="101" t="s">
        <v>5</v>
      </c>
      <c r="H606" s="273" t="s">
        <v>75</v>
      </c>
      <c r="I606" s="63">
        <v>50.0</v>
      </c>
      <c r="J606" s="74">
        <v>32.0</v>
      </c>
      <c r="K606" s="271">
        <f t="shared" si="1"/>
        <v>1600</v>
      </c>
      <c r="L606" s="271">
        <v>304.0</v>
      </c>
      <c r="M606" s="271">
        <v>-300.0</v>
      </c>
      <c r="N606" s="275">
        <v>19.0</v>
      </c>
      <c r="O606" s="60"/>
      <c r="P606" s="50">
        <v>19.0</v>
      </c>
      <c r="Q606" s="271">
        <v>-52.0</v>
      </c>
      <c r="R606" s="276">
        <v>-0.00269</v>
      </c>
      <c r="S606" s="271">
        <v>-57.0</v>
      </c>
      <c r="T606" s="271">
        <v>-38.0</v>
      </c>
      <c r="U606" s="62">
        <v>1.0</v>
      </c>
      <c r="V606" s="277">
        <v>0.15</v>
      </c>
      <c r="W606" s="277">
        <v>0.0</v>
      </c>
      <c r="X606" s="271">
        <v>-32.0</v>
      </c>
      <c r="Y606" s="271">
        <v>-6.0</v>
      </c>
      <c r="Z606" s="50" t="b">
        <v>1</v>
      </c>
      <c r="AA606" s="50" t="s">
        <v>138</v>
      </c>
      <c r="AB606" s="50" t="s">
        <v>138</v>
      </c>
    </row>
    <row r="607">
      <c r="A607" s="101" t="s">
        <v>144</v>
      </c>
      <c r="B607" s="101" t="s">
        <v>144</v>
      </c>
      <c r="C607" s="278">
        <v>44217.0</v>
      </c>
      <c r="D607" s="278">
        <v>44247.0</v>
      </c>
      <c r="E607" s="271" t="s">
        <v>268</v>
      </c>
      <c r="F607" s="138" t="s">
        <v>4</v>
      </c>
      <c r="G607" s="271" t="s">
        <v>9</v>
      </c>
      <c r="H607" s="273" t="s">
        <v>55</v>
      </c>
      <c r="I607" s="274">
        <v>10.0</v>
      </c>
      <c r="J607" s="271">
        <v>1187.0</v>
      </c>
      <c r="K607" s="271">
        <f t="shared" si="1"/>
        <v>11870</v>
      </c>
      <c r="L607" s="271">
        <v>98521.0</v>
      </c>
      <c r="M607" s="271">
        <v>350.0</v>
      </c>
      <c r="N607" s="275">
        <v>40.0</v>
      </c>
      <c r="O607" s="60"/>
      <c r="P607" s="50">
        <v>40.0</v>
      </c>
      <c r="Q607" s="271">
        <v>755.0</v>
      </c>
      <c r="R607" s="276">
        <v>-0.00269</v>
      </c>
      <c r="S607" s="271">
        <v>723.0</v>
      </c>
      <c r="T607" s="271">
        <v>763.0</v>
      </c>
      <c r="U607" s="62">
        <v>1.0</v>
      </c>
      <c r="V607" s="277">
        <v>0.25</v>
      </c>
      <c r="W607" s="277">
        <v>0.0</v>
      </c>
      <c r="X607" s="271">
        <v>572.0</v>
      </c>
      <c r="Y607" s="271">
        <v>191.0</v>
      </c>
      <c r="Z607" s="50" t="b">
        <v>1</v>
      </c>
      <c r="AA607" s="50" t="s">
        <v>140</v>
      </c>
      <c r="AB607" s="50" t="s">
        <v>140</v>
      </c>
    </row>
    <row r="608">
      <c r="A608" s="101" t="s">
        <v>148</v>
      </c>
      <c r="B608" s="101" t="s">
        <v>148</v>
      </c>
      <c r="C608" s="278">
        <v>44217.0</v>
      </c>
      <c r="D608" s="278">
        <v>44247.0</v>
      </c>
      <c r="E608" s="271" t="s">
        <v>331</v>
      </c>
      <c r="F608" s="138" t="s">
        <v>4</v>
      </c>
      <c r="G608" s="101" t="s">
        <v>5</v>
      </c>
      <c r="H608" s="273" t="s">
        <v>46</v>
      </c>
      <c r="I608" s="63">
        <v>10.0</v>
      </c>
      <c r="J608" s="74">
        <v>15.0</v>
      </c>
      <c r="K608" s="271">
        <f t="shared" si="1"/>
        <v>150</v>
      </c>
      <c r="L608" s="280">
        <v>2156.0</v>
      </c>
      <c r="M608" s="280">
        <v>-30.0</v>
      </c>
      <c r="N608" s="275">
        <v>8.0</v>
      </c>
      <c r="O608" s="60"/>
      <c r="P608" s="50">
        <v>8.0</v>
      </c>
      <c r="Q608" s="280">
        <v>27.0</v>
      </c>
      <c r="R608" s="276">
        <v>-0.00269</v>
      </c>
      <c r="S608" s="280">
        <v>26.0</v>
      </c>
      <c r="T608" s="280">
        <v>34.0</v>
      </c>
      <c r="U608" s="62">
        <v>1.0</v>
      </c>
      <c r="V608" s="277">
        <v>0.15</v>
      </c>
      <c r="W608" s="277">
        <v>0.05</v>
      </c>
      <c r="X608" s="280">
        <v>27.0</v>
      </c>
      <c r="Y608" s="280">
        <v>7.0</v>
      </c>
      <c r="Z608" s="50" t="b">
        <v>1</v>
      </c>
      <c r="AA608" s="50" t="s">
        <v>138</v>
      </c>
      <c r="AB608" s="50" t="s">
        <v>138</v>
      </c>
    </row>
    <row r="609">
      <c r="A609" s="101" t="s">
        <v>148</v>
      </c>
      <c r="B609" s="101" t="s">
        <v>148</v>
      </c>
      <c r="C609" s="278">
        <v>44217.0</v>
      </c>
      <c r="D609" s="278">
        <v>44247.0</v>
      </c>
      <c r="E609" s="271" t="s">
        <v>331</v>
      </c>
      <c r="F609" s="138" t="s">
        <v>4</v>
      </c>
      <c r="G609" s="101" t="s">
        <v>5</v>
      </c>
      <c r="H609" s="273" t="s">
        <v>62</v>
      </c>
      <c r="I609" s="63">
        <v>25.0</v>
      </c>
      <c r="J609" s="74">
        <v>332.0</v>
      </c>
      <c r="K609" s="271">
        <f t="shared" si="1"/>
        <v>8300</v>
      </c>
      <c r="L609" s="280">
        <v>17620.0</v>
      </c>
      <c r="M609" s="280">
        <v>200.0</v>
      </c>
      <c r="N609" s="275">
        <v>329.0</v>
      </c>
      <c r="O609" s="60"/>
      <c r="P609" s="50">
        <v>329.0</v>
      </c>
      <c r="Q609" s="280">
        <v>286.0</v>
      </c>
      <c r="R609" s="276">
        <v>-0.00269</v>
      </c>
      <c r="S609" s="280">
        <v>263.0</v>
      </c>
      <c r="T609" s="280">
        <v>592.0</v>
      </c>
      <c r="U609" s="62">
        <v>1.0</v>
      </c>
      <c r="V609" s="277">
        <v>0.15</v>
      </c>
      <c r="W609" s="277">
        <v>0.05</v>
      </c>
      <c r="X609" s="280">
        <v>474.0</v>
      </c>
      <c r="Y609" s="280">
        <v>118.0</v>
      </c>
      <c r="Z609" s="50" t="b">
        <v>1</v>
      </c>
      <c r="AA609" s="50" t="s">
        <v>138</v>
      </c>
      <c r="AB609" s="50" t="s">
        <v>138</v>
      </c>
    </row>
    <row r="610">
      <c r="A610" s="101" t="s">
        <v>148</v>
      </c>
      <c r="B610" s="101" t="s">
        <v>148</v>
      </c>
      <c r="C610" s="278">
        <v>44217.0</v>
      </c>
      <c r="D610" s="278">
        <v>44247.0</v>
      </c>
      <c r="E610" s="271" t="s">
        <v>331</v>
      </c>
      <c r="F610" s="138" t="s">
        <v>4</v>
      </c>
      <c r="G610" s="101" t="s">
        <v>5</v>
      </c>
      <c r="H610" s="273" t="s">
        <v>74</v>
      </c>
      <c r="I610" s="63">
        <v>50.0</v>
      </c>
      <c r="J610" s="74">
        <v>3383.0</v>
      </c>
      <c r="K610" s="271">
        <f t="shared" si="1"/>
        <v>169150</v>
      </c>
      <c r="L610" s="280">
        <v>80626.0</v>
      </c>
      <c r="M610" s="280">
        <v>-850.0</v>
      </c>
      <c r="N610" s="275">
        <v>6560.0</v>
      </c>
      <c r="O610" s="60"/>
      <c r="P610" s="109">
        <v>6560.0</v>
      </c>
      <c r="Q610" s="280">
        <v>-3350.0</v>
      </c>
      <c r="R610" s="276">
        <v>-0.00269</v>
      </c>
      <c r="S610" s="280">
        <v>-3805.0</v>
      </c>
      <c r="T610" s="280">
        <v>2755.0</v>
      </c>
      <c r="U610" s="62">
        <v>1.0</v>
      </c>
      <c r="V610" s="277">
        <v>0.15</v>
      </c>
      <c r="W610" s="277">
        <v>0.05</v>
      </c>
      <c r="X610" s="280">
        <v>2204.0</v>
      </c>
      <c r="Y610" s="280">
        <v>551.0</v>
      </c>
      <c r="Z610" s="50" t="b">
        <v>1</v>
      </c>
      <c r="AA610" s="50" t="s">
        <v>138</v>
      </c>
      <c r="AB610" s="50" t="s">
        <v>138</v>
      </c>
    </row>
    <row r="611">
      <c r="A611" s="101" t="s">
        <v>148</v>
      </c>
      <c r="B611" s="101" t="s">
        <v>148</v>
      </c>
      <c r="C611" s="278">
        <v>44217.0</v>
      </c>
      <c r="D611" s="278">
        <v>44247.0</v>
      </c>
      <c r="E611" s="271" t="s">
        <v>331</v>
      </c>
      <c r="F611" s="138" t="s">
        <v>12</v>
      </c>
      <c r="G611" s="101" t="s">
        <v>5</v>
      </c>
      <c r="H611" s="273" t="s">
        <v>86</v>
      </c>
      <c r="I611" s="274">
        <v>100.0</v>
      </c>
      <c r="J611" s="271">
        <v>2.0</v>
      </c>
      <c r="K611" s="271">
        <f t="shared" si="1"/>
        <v>200</v>
      </c>
      <c r="L611" s="271"/>
      <c r="M611" s="271">
        <v>100.0</v>
      </c>
      <c r="N611" s="275">
        <v>6.0</v>
      </c>
      <c r="O611" s="60"/>
      <c r="P611" s="50">
        <v>6.0</v>
      </c>
      <c r="Q611" s="271"/>
      <c r="R611" s="276">
        <v>0.0</v>
      </c>
      <c r="S611" s="271"/>
      <c r="T611" s="271">
        <v>106.0</v>
      </c>
      <c r="U611" s="62">
        <v>1.0</v>
      </c>
      <c r="V611" s="277">
        <v>0.15</v>
      </c>
      <c r="W611" s="277">
        <v>0.05</v>
      </c>
      <c r="X611" s="271">
        <v>85.0</v>
      </c>
      <c r="Y611" s="271">
        <v>21.0</v>
      </c>
      <c r="Z611" s="50" t="b">
        <v>1</v>
      </c>
      <c r="AA611" s="50" t="s">
        <v>138</v>
      </c>
      <c r="AB611" s="50" t="s">
        <v>138</v>
      </c>
    </row>
    <row r="612">
      <c r="A612" s="101" t="s">
        <v>148</v>
      </c>
      <c r="B612" s="101" t="s">
        <v>148</v>
      </c>
      <c r="C612" s="278">
        <v>44217.0</v>
      </c>
      <c r="D612" s="278">
        <v>44247.0</v>
      </c>
      <c r="E612" s="271" t="s">
        <v>331</v>
      </c>
      <c r="F612" s="138" t="s">
        <v>12</v>
      </c>
      <c r="G612" s="101" t="s">
        <v>5</v>
      </c>
      <c r="H612" s="273" t="s">
        <v>75</v>
      </c>
      <c r="I612" s="274">
        <v>50.0</v>
      </c>
      <c r="J612" s="271">
        <v>2.0</v>
      </c>
      <c r="K612" s="271">
        <f t="shared" si="1"/>
        <v>100</v>
      </c>
      <c r="L612" s="271"/>
      <c r="M612" s="271">
        <v>-300.0</v>
      </c>
      <c r="N612" s="275">
        <v>6.0</v>
      </c>
      <c r="O612" s="60"/>
      <c r="P612" s="50">
        <v>6.0</v>
      </c>
      <c r="Q612" s="271"/>
      <c r="R612" s="276">
        <v>0.0</v>
      </c>
      <c r="S612" s="271"/>
      <c r="T612" s="271">
        <v>-294.0</v>
      </c>
      <c r="U612" s="62">
        <v>1.0</v>
      </c>
      <c r="V612" s="277">
        <v>0.15</v>
      </c>
      <c r="W612" s="277">
        <v>0.05</v>
      </c>
      <c r="X612" s="271">
        <v>-235.0</v>
      </c>
      <c r="Y612" s="271">
        <v>-59.0</v>
      </c>
      <c r="Z612" s="50" t="b">
        <v>1</v>
      </c>
      <c r="AA612" s="50" t="s">
        <v>138</v>
      </c>
      <c r="AB612" s="50" t="s">
        <v>138</v>
      </c>
    </row>
    <row r="613">
      <c r="A613" s="101" t="s">
        <v>182</v>
      </c>
      <c r="B613" s="101" t="s">
        <v>182</v>
      </c>
      <c r="C613" s="278">
        <v>44217.0</v>
      </c>
      <c r="D613" s="278">
        <v>44247.0</v>
      </c>
      <c r="E613" s="271" t="s">
        <v>268</v>
      </c>
      <c r="F613" s="101" t="s">
        <v>4</v>
      </c>
      <c r="G613" s="271" t="s">
        <v>5</v>
      </c>
      <c r="H613" s="273" t="s">
        <v>46</v>
      </c>
      <c r="I613" s="274">
        <v>10.0</v>
      </c>
      <c r="J613" s="271">
        <v>458.0</v>
      </c>
      <c r="K613" s="271">
        <f t="shared" si="1"/>
        <v>4580</v>
      </c>
      <c r="L613" s="271">
        <v>32732.0</v>
      </c>
      <c r="M613" s="271">
        <v>80.0</v>
      </c>
      <c r="N613" s="275">
        <v>2.0</v>
      </c>
      <c r="O613" s="60"/>
      <c r="P613" s="50">
        <v>2.0</v>
      </c>
      <c r="Q613" s="271">
        <v>782.0</v>
      </c>
      <c r="R613" s="276">
        <v>-0.00269</v>
      </c>
      <c r="S613" s="271">
        <v>770.0</v>
      </c>
      <c r="T613" s="271">
        <v>772.0</v>
      </c>
      <c r="U613" s="62">
        <v>1.0</v>
      </c>
      <c r="V613" s="277">
        <v>0.2</v>
      </c>
      <c r="W613" s="277">
        <v>0.0</v>
      </c>
      <c r="X613" s="271">
        <v>617.0</v>
      </c>
      <c r="Y613" s="271">
        <v>154.0</v>
      </c>
      <c r="Z613" s="50" t="b">
        <v>1</v>
      </c>
      <c r="AA613" s="50" t="s">
        <v>138</v>
      </c>
      <c r="AB613" s="50" t="s">
        <v>138</v>
      </c>
    </row>
    <row r="614">
      <c r="A614" s="101" t="s">
        <v>199</v>
      </c>
      <c r="B614" s="101" t="s">
        <v>924</v>
      </c>
      <c r="C614" s="278">
        <v>44217.0</v>
      </c>
      <c r="D614" s="278">
        <v>44247.0</v>
      </c>
      <c r="E614" s="271" t="s">
        <v>268</v>
      </c>
      <c r="F614" s="138" t="s">
        <v>4</v>
      </c>
      <c r="G614" s="101" t="s">
        <v>9</v>
      </c>
      <c r="H614" s="273" t="s">
        <v>55</v>
      </c>
      <c r="I614" s="63">
        <v>10.0</v>
      </c>
      <c r="J614" s="74">
        <v>1782.0</v>
      </c>
      <c r="K614" s="271">
        <f t="shared" si="1"/>
        <v>17820</v>
      </c>
      <c r="L614" s="280">
        <v>162010.0</v>
      </c>
      <c r="M614" s="280">
        <v>1020.0</v>
      </c>
      <c r="N614" s="275"/>
      <c r="O614" s="60"/>
      <c r="P614" s="101"/>
      <c r="Q614" s="280">
        <v>1339.0</v>
      </c>
      <c r="R614" s="276">
        <v>-0.00269</v>
      </c>
      <c r="S614" s="280">
        <v>1291.0</v>
      </c>
      <c r="T614" s="280">
        <v>1291.0</v>
      </c>
      <c r="U614" s="62">
        <v>1.0</v>
      </c>
      <c r="V614" s="277">
        <v>0.2</v>
      </c>
      <c r="W614" s="277">
        <v>0.0</v>
      </c>
      <c r="X614" s="280">
        <v>1033.0</v>
      </c>
      <c r="Y614" s="280">
        <v>258.0</v>
      </c>
      <c r="Z614" s="50" t="b">
        <v>1</v>
      </c>
      <c r="AA614" s="50" t="s">
        <v>140</v>
      </c>
      <c r="AB614" s="50" t="s">
        <v>140</v>
      </c>
    </row>
    <row r="615">
      <c r="A615" s="101" t="s">
        <v>546</v>
      </c>
      <c r="B615" s="101" t="s">
        <v>546</v>
      </c>
      <c r="C615" s="278">
        <v>44217.0</v>
      </c>
      <c r="D615" s="278">
        <v>44247.0</v>
      </c>
      <c r="E615" s="271" t="s">
        <v>331</v>
      </c>
      <c r="F615" s="101" t="s">
        <v>4</v>
      </c>
      <c r="G615" s="101" t="s">
        <v>5</v>
      </c>
      <c r="H615" s="273" t="s">
        <v>85</v>
      </c>
      <c r="I615" s="63">
        <v>100.0</v>
      </c>
      <c r="J615" s="74">
        <v>2594.0</v>
      </c>
      <c r="K615" s="271">
        <f t="shared" si="1"/>
        <v>259400</v>
      </c>
      <c r="L615" s="271">
        <v>78025.0</v>
      </c>
      <c r="M615" s="271">
        <v>1600.0</v>
      </c>
      <c r="N615" s="275">
        <v>3492.0</v>
      </c>
      <c r="O615" s="60"/>
      <c r="P615" s="109">
        <v>3492.0</v>
      </c>
      <c r="Q615" s="271">
        <v>617.0</v>
      </c>
      <c r="R615" s="276">
        <v>-0.00269</v>
      </c>
      <c r="S615" s="271">
        <v>-81.0</v>
      </c>
      <c r="T615" s="271">
        <v>3411.0</v>
      </c>
      <c r="U615" s="62">
        <v>1.0</v>
      </c>
      <c r="V615" s="277">
        <v>0.135</v>
      </c>
      <c r="W615" s="277">
        <v>0.045</v>
      </c>
      <c r="X615" s="271">
        <v>2797.0</v>
      </c>
      <c r="Y615" s="271">
        <v>614.0</v>
      </c>
      <c r="Z615" s="50" t="b">
        <v>1</v>
      </c>
      <c r="AA615" s="50" t="s">
        <v>138</v>
      </c>
      <c r="AB615" s="50" t="s">
        <v>138</v>
      </c>
    </row>
    <row r="616">
      <c r="A616" s="101" t="s">
        <v>546</v>
      </c>
      <c r="B616" s="101" t="s">
        <v>546</v>
      </c>
      <c r="C616" s="278">
        <v>44217.0</v>
      </c>
      <c r="D616" s="278">
        <v>44247.0</v>
      </c>
      <c r="E616" s="271" t="s">
        <v>331</v>
      </c>
      <c r="F616" s="101" t="s">
        <v>12</v>
      </c>
      <c r="G616" s="101" t="s">
        <v>5</v>
      </c>
      <c r="H616" s="273" t="s">
        <v>74</v>
      </c>
      <c r="I616" s="63">
        <v>50.0</v>
      </c>
      <c r="J616" s="74">
        <v>6.0</v>
      </c>
      <c r="K616" s="271">
        <f t="shared" si="1"/>
        <v>300</v>
      </c>
      <c r="L616" s="271"/>
      <c r="M616" s="271">
        <v>100.0</v>
      </c>
      <c r="N616" s="275">
        <v>5.0</v>
      </c>
      <c r="O616" s="60"/>
      <c r="P616" s="50">
        <v>5.0</v>
      </c>
      <c r="Q616" s="271"/>
      <c r="R616" s="276">
        <v>0.0</v>
      </c>
      <c r="S616" s="271"/>
      <c r="T616" s="271">
        <v>105.0</v>
      </c>
      <c r="U616" s="62">
        <v>1.0</v>
      </c>
      <c r="V616" s="277">
        <v>0.135</v>
      </c>
      <c r="W616" s="277">
        <v>0.045</v>
      </c>
      <c r="X616" s="271">
        <v>86.0</v>
      </c>
      <c r="Y616" s="271">
        <v>19.0</v>
      </c>
      <c r="Z616" s="50" t="b">
        <v>1</v>
      </c>
      <c r="AA616" s="50" t="s">
        <v>138</v>
      </c>
      <c r="AB616" s="50" t="s">
        <v>138</v>
      </c>
    </row>
    <row r="617">
      <c r="A617" s="101" t="s">
        <v>546</v>
      </c>
      <c r="B617" s="101" t="s">
        <v>546</v>
      </c>
      <c r="C617" s="278">
        <v>44217.0</v>
      </c>
      <c r="D617" s="278">
        <v>44247.0</v>
      </c>
      <c r="E617" s="271" t="s">
        <v>331</v>
      </c>
      <c r="F617" s="101" t="s">
        <v>12</v>
      </c>
      <c r="G617" s="101" t="s">
        <v>5</v>
      </c>
      <c r="H617" s="273" t="s">
        <v>62</v>
      </c>
      <c r="I617" s="274">
        <v>25.0</v>
      </c>
      <c r="J617" s="271">
        <v>7.0</v>
      </c>
      <c r="K617" s="271">
        <f t="shared" si="1"/>
        <v>175</v>
      </c>
      <c r="L617" s="271"/>
      <c r="M617" s="271">
        <v>-75.0</v>
      </c>
      <c r="N617" s="275">
        <v>3.0</v>
      </c>
      <c r="O617" s="60"/>
      <c r="P617" s="50">
        <v>3.0</v>
      </c>
      <c r="Q617" s="271"/>
      <c r="R617" s="276">
        <v>0.0</v>
      </c>
      <c r="S617" s="271"/>
      <c r="T617" s="271">
        <v>-72.0</v>
      </c>
      <c r="U617" s="62">
        <v>1.0</v>
      </c>
      <c r="V617" s="277">
        <v>0.135</v>
      </c>
      <c r="W617" s="277">
        <v>0.045</v>
      </c>
      <c r="X617" s="271">
        <v>-59.0</v>
      </c>
      <c r="Y617" s="271">
        <v>-13.0</v>
      </c>
      <c r="Z617" s="50" t="b">
        <v>1</v>
      </c>
      <c r="AA617" s="50" t="s">
        <v>138</v>
      </c>
      <c r="AB617" s="50" t="s">
        <v>138</v>
      </c>
    </row>
    <row r="618">
      <c r="A618" s="101" t="s">
        <v>207</v>
      </c>
      <c r="B618" s="101" t="s">
        <v>207</v>
      </c>
      <c r="C618" s="278">
        <v>44217.0</v>
      </c>
      <c r="D618" s="278">
        <v>44247.0</v>
      </c>
      <c r="E618" s="271" t="s">
        <v>268</v>
      </c>
      <c r="F618" s="101" t="s">
        <v>4</v>
      </c>
      <c r="G618" s="271" t="s">
        <v>5</v>
      </c>
      <c r="H618" s="273" t="s">
        <v>28</v>
      </c>
      <c r="I618" s="274">
        <v>2.0</v>
      </c>
      <c r="J618" s="271">
        <v>40.0</v>
      </c>
      <c r="K618" s="271">
        <f t="shared" si="1"/>
        <v>80</v>
      </c>
      <c r="L618" s="271">
        <v>7000.0</v>
      </c>
      <c r="M618" s="271">
        <v>18.0</v>
      </c>
      <c r="N618" s="275">
        <v>2.0</v>
      </c>
      <c r="O618" s="60"/>
      <c r="P618" s="50">
        <v>2.0</v>
      </c>
      <c r="Q618" s="271">
        <v>19.0</v>
      </c>
      <c r="R618" s="276">
        <v>-0.00269</v>
      </c>
      <c r="S618" s="271">
        <v>18.0</v>
      </c>
      <c r="T618" s="271">
        <v>20.0</v>
      </c>
      <c r="U618" s="62">
        <v>1.0</v>
      </c>
      <c r="V618" s="277">
        <v>0.25</v>
      </c>
      <c r="W618" s="277">
        <v>0.0</v>
      </c>
      <c r="X618" s="271">
        <v>15.0</v>
      </c>
      <c r="Y618" s="271">
        <v>5.0</v>
      </c>
      <c r="Z618" s="50" t="b">
        <v>1</v>
      </c>
      <c r="AA618" s="50" t="s">
        <v>138</v>
      </c>
      <c r="AB618" s="50" t="s">
        <v>138</v>
      </c>
    </row>
    <row r="619">
      <c r="A619" s="101" t="s">
        <v>207</v>
      </c>
      <c r="B619" s="101" t="s">
        <v>207</v>
      </c>
      <c r="C619" s="278">
        <v>44217.0</v>
      </c>
      <c r="D619" s="278">
        <v>44247.0</v>
      </c>
      <c r="E619" s="271" t="s">
        <v>268</v>
      </c>
      <c r="F619" s="101" t="s">
        <v>4</v>
      </c>
      <c r="G619" s="271" t="s">
        <v>5</v>
      </c>
      <c r="H619" s="273" t="s">
        <v>34</v>
      </c>
      <c r="I619" s="274">
        <v>5.0</v>
      </c>
      <c r="J619" s="271">
        <v>1844.0</v>
      </c>
      <c r="K619" s="271">
        <f t="shared" si="1"/>
        <v>9220</v>
      </c>
      <c r="L619" s="271">
        <v>159087.0</v>
      </c>
      <c r="M619" s="271">
        <v>665.0</v>
      </c>
      <c r="N619" s="275">
        <v>200.0</v>
      </c>
      <c r="O619" s="60"/>
      <c r="P619" s="50">
        <v>200.0</v>
      </c>
      <c r="Q619" s="271">
        <v>790.0</v>
      </c>
      <c r="R619" s="276">
        <v>-0.00269</v>
      </c>
      <c r="S619" s="271">
        <v>765.0</v>
      </c>
      <c r="T619" s="271">
        <v>965.0</v>
      </c>
      <c r="U619" s="62">
        <v>1.0</v>
      </c>
      <c r="V619" s="277">
        <v>0.25</v>
      </c>
      <c r="W619" s="277">
        <v>0.0</v>
      </c>
      <c r="X619" s="271">
        <v>724.0</v>
      </c>
      <c r="Y619" s="271">
        <v>241.0</v>
      </c>
      <c r="Z619" s="50" t="b">
        <v>1</v>
      </c>
      <c r="AA619" s="50" t="s">
        <v>138</v>
      </c>
      <c r="AB619" s="50" t="s">
        <v>138</v>
      </c>
    </row>
    <row r="620">
      <c r="A620" s="101" t="s">
        <v>207</v>
      </c>
      <c r="B620" s="101" t="s">
        <v>207</v>
      </c>
      <c r="C620" s="278">
        <v>44217.0</v>
      </c>
      <c r="D620" s="278">
        <v>44247.0</v>
      </c>
      <c r="E620" s="271" t="s">
        <v>268</v>
      </c>
      <c r="F620" s="101" t="s">
        <v>4</v>
      </c>
      <c r="G620" s="271" t="s">
        <v>5</v>
      </c>
      <c r="H620" s="273" t="s">
        <v>46</v>
      </c>
      <c r="I620" s="274">
        <v>10.0</v>
      </c>
      <c r="J620" s="271">
        <v>127.0</v>
      </c>
      <c r="K620" s="271">
        <f t="shared" si="1"/>
        <v>1270</v>
      </c>
      <c r="L620" s="271">
        <v>16650.0</v>
      </c>
      <c r="M620" s="271">
        <v>40.0</v>
      </c>
      <c r="N620" s="275">
        <v>31.0</v>
      </c>
      <c r="O620" s="60"/>
      <c r="P620" s="50">
        <v>31.0</v>
      </c>
      <c r="Q620" s="271">
        <v>195.0</v>
      </c>
      <c r="R620" s="276">
        <v>-0.00269</v>
      </c>
      <c r="S620" s="271">
        <v>192.0</v>
      </c>
      <c r="T620" s="271">
        <v>223.0</v>
      </c>
      <c r="U620" s="62">
        <v>1.0</v>
      </c>
      <c r="V620" s="277">
        <v>0.25</v>
      </c>
      <c r="W620" s="277">
        <v>0.0</v>
      </c>
      <c r="X620" s="271">
        <v>167.0</v>
      </c>
      <c r="Y620" s="271">
        <v>56.0</v>
      </c>
      <c r="Z620" s="50" t="b">
        <v>1</v>
      </c>
      <c r="AA620" s="50" t="s">
        <v>138</v>
      </c>
      <c r="AB620" s="50" t="s">
        <v>138</v>
      </c>
    </row>
    <row r="621">
      <c r="A621" s="101" t="s">
        <v>177</v>
      </c>
      <c r="B621" s="101" t="s">
        <v>177</v>
      </c>
      <c r="C621" s="278">
        <v>44228.0</v>
      </c>
      <c r="D621" s="278">
        <v>44255.0</v>
      </c>
      <c r="E621" s="271" t="s">
        <v>268</v>
      </c>
      <c r="F621" s="138" t="s">
        <v>8</v>
      </c>
      <c r="G621" s="280" t="s">
        <v>5</v>
      </c>
      <c r="H621" s="273" t="s">
        <v>85</v>
      </c>
      <c r="I621" s="274">
        <v>100.0</v>
      </c>
      <c r="J621" s="271">
        <v>2609.0</v>
      </c>
      <c r="K621" s="271">
        <f t="shared" si="1"/>
        <v>260900</v>
      </c>
      <c r="L621" s="271">
        <v>105457.0</v>
      </c>
      <c r="M621" s="271">
        <v>-1300.0</v>
      </c>
      <c r="N621" s="275">
        <v>522.0</v>
      </c>
      <c r="O621" s="60"/>
      <c r="P621" s="50">
        <v>522.0</v>
      </c>
      <c r="Q621" s="271">
        <v>5677.0</v>
      </c>
      <c r="R621" s="276">
        <v>0.002211</v>
      </c>
      <c r="S621" s="271">
        <v>6254.0</v>
      </c>
      <c r="T621" s="271">
        <v>6776.0</v>
      </c>
      <c r="U621" s="62">
        <v>1.0</v>
      </c>
      <c r="V621" s="277">
        <v>0.12</v>
      </c>
      <c r="W621" s="277">
        <v>0.0</v>
      </c>
      <c r="X621" s="271">
        <v>5963.0</v>
      </c>
      <c r="Y621" s="271">
        <v>813.0</v>
      </c>
      <c r="Z621" s="50" t="b">
        <v>1</v>
      </c>
      <c r="AA621" s="50" t="s">
        <v>138</v>
      </c>
      <c r="AB621" s="50" t="s">
        <v>138</v>
      </c>
    </row>
    <row r="622">
      <c r="A622" s="101" t="s">
        <v>345</v>
      </c>
      <c r="B622" s="101" t="s">
        <v>981</v>
      </c>
      <c r="C622" s="278">
        <v>44228.0</v>
      </c>
      <c r="D622" s="278">
        <v>44255.0</v>
      </c>
      <c r="E622" s="271" t="s">
        <v>331</v>
      </c>
      <c r="F622" s="138" t="s">
        <v>4</v>
      </c>
      <c r="G622" s="271" t="s">
        <v>16</v>
      </c>
      <c r="H622" s="273" t="s">
        <v>85</v>
      </c>
      <c r="I622" s="274">
        <v>100.0</v>
      </c>
      <c r="J622" s="271">
        <v>527.0</v>
      </c>
      <c r="K622" s="271">
        <f t="shared" si="1"/>
        <v>52700</v>
      </c>
      <c r="L622" s="271">
        <v>19.0</v>
      </c>
      <c r="M622" s="271">
        <v>-4000.0</v>
      </c>
      <c r="N622" s="275">
        <v>1279.26</v>
      </c>
      <c r="O622" s="60"/>
      <c r="P622" s="109">
        <v>1279.0</v>
      </c>
      <c r="Q622" s="271">
        <v>-2842.0</v>
      </c>
      <c r="R622" s="276">
        <v>-0.00331</v>
      </c>
      <c r="S622" s="271">
        <v>-3017.0</v>
      </c>
      <c r="T622" s="271">
        <v>-1737.0</v>
      </c>
      <c r="U622" s="62">
        <v>1.0</v>
      </c>
      <c r="V622" s="277">
        <v>0.15</v>
      </c>
      <c r="W622" s="277">
        <v>0.05</v>
      </c>
      <c r="X622" s="271">
        <v>-1390.0</v>
      </c>
      <c r="Y622" s="271">
        <v>-347.0</v>
      </c>
      <c r="Z622" s="50" t="b">
        <v>1</v>
      </c>
      <c r="AA622" s="50" t="s">
        <v>138</v>
      </c>
      <c r="AB622" s="50" t="s">
        <v>138</v>
      </c>
    </row>
    <row r="623">
      <c r="A623" s="101" t="s">
        <v>345</v>
      </c>
      <c r="B623" s="101" t="s">
        <v>981</v>
      </c>
      <c r="C623" s="278">
        <v>44228.0</v>
      </c>
      <c r="D623" s="278">
        <v>44255.0</v>
      </c>
      <c r="E623" s="271" t="s">
        <v>331</v>
      </c>
      <c r="F623" s="138" t="s">
        <v>4</v>
      </c>
      <c r="G623" s="271" t="s">
        <v>16</v>
      </c>
      <c r="H623" s="273" t="s">
        <v>96</v>
      </c>
      <c r="I623" s="274">
        <v>250.0</v>
      </c>
      <c r="J623" s="271">
        <v>355.0</v>
      </c>
      <c r="K623" s="271">
        <f t="shared" si="1"/>
        <v>88750</v>
      </c>
      <c r="L623" s="271">
        <v>-8122.0</v>
      </c>
      <c r="M623" s="271">
        <v>-5500.0</v>
      </c>
      <c r="N623" s="275">
        <v>1788.06</v>
      </c>
      <c r="O623" s="60"/>
      <c r="P623" s="109">
        <v>1788.0</v>
      </c>
      <c r="Q623" s="271">
        <v>-7583.0</v>
      </c>
      <c r="R623" s="276">
        <v>-0.00331</v>
      </c>
      <c r="S623" s="271">
        <v>-7876.0</v>
      </c>
      <c r="T623" s="271">
        <v>-6088.0</v>
      </c>
      <c r="U623" s="62">
        <v>1.0</v>
      </c>
      <c r="V623" s="277">
        <v>0.15</v>
      </c>
      <c r="W623" s="277">
        <v>0.05</v>
      </c>
      <c r="X623" s="271">
        <v>-4871.0</v>
      </c>
      <c r="Y623" s="271">
        <v>-1218.0</v>
      </c>
      <c r="Z623" s="50" t="b">
        <v>1</v>
      </c>
      <c r="AA623" s="50" t="s">
        <v>138</v>
      </c>
      <c r="AB623" s="50" t="s">
        <v>138</v>
      </c>
    </row>
    <row r="624">
      <c r="A624" s="101" t="s">
        <v>345</v>
      </c>
      <c r="B624" s="101" t="s">
        <v>981</v>
      </c>
      <c r="C624" s="278">
        <v>44228.0</v>
      </c>
      <c r="D624" s="278">
        <v>44255.0</v>
      </c>
      <c r="E624" s="271" t="s">
        <v>331</v>
      </c>
      <c r="F624" s="138" t="s">
        <v>12</v>
      </c>
      <c r="G624" s="271" t="s">
        <v>16</v>
      </c>
      <c r="H624" s="273" t="s">
        <v>33</v>
      </c>
      <c r="I624" s="274">
        <v>3.0</v>
      </c>
      <c r="J624" s="271">
        <v>1.0</v>
      </c>
      <c r="K624" s="271">
        <f t="shared" si="1"/>
        <v>3</v>
      </c>
      <c r="L624" s="271"/>
      <c r="M624" s="271">
        <v>0.0</v>
      </c>
      <c r="N624" s="275">
        <v>0.12</v>
      </c>
      <c r="O624" s="60"/>
      <c r="P624" s="50">
        <v>0.0</v>
      </c>
      <c r="Q624" s="271"/>
      <c r="R624" s="276">
        <v>0.0</v>
      </c>
      <c r="S624" s="271"/>
      <c r="T624" s="271">
        <v>0.0</v>
      </c>
      <c r="U624" s="62">
        <v>1.0</v>
      </c>
      <c r="V624" s="277">
        <v>0.15</v>
      </c>
      <c r="W624" s="277">
        <v>0.05</v>
      </c>
      <c r="X624" s="271">
        <v>0.0</v>
      </c>
      <c r="Y624" s="271">
        <v>0.0</v>
      </c>
      <c r="Z624" s="50" t="b">
        <v>1</v>
      </c>
      <c r="AA624" s="50" t="s">
        <v>138</v>
      </c>
      <c r="AB624" s="50" t="s">
        <v>138</v>
      </c>
    </row>
    <row r="625">
      <c r="A625" s="101" t="s">
        <v>345</v>
      </c>
      <c r="B625" s="101" t="s">
        <v>981</v>
      </c>
      <c r="C625" s="278">
        <v>44228.0</v>
      </c>
      <c r="D625" s="278">
        <v>44255.0</v>
      </c>
      <c r="E625" s="271" t="s">
        <v>331</v>
      </c>
      <c r="F625" s="138" t="s">
        <v>4</v>
      </c>
      <c r="G625" s="271" t="s">
        <v>16</v>
      </c>
      <c r="H625" s="273" t="s">
        <v>76</v>
      </c>
      <c r="I625" s="274">
        <v>50.0</v>
      </c>
      <c r="J625" s="271">
        <v>8.0</v>
      </c>
      <c r="K625" s="271">
        <f t="shared" si="1"/>
        <v>400</v>
      </c>
      <c r="L625" s="271">
        <v>300.0</v>
      </c>
      <c r="M625" s="271">
        <v>150.0</v>
      </c>
      <c r="N625" s="275">
        <v>9.69</v>
      </c>
      <c r="O625" s="60"/>
      <c r="P625" s="50">
        <v>10.0</v>
      </c>
      <c r="Q625" s="271">
        <v>27.0</v>
      </c>
      <c r="R625" s="276">
        <v>-0.00331</v>
      </c>
      <c r="S625" s="271">
        <v>25.0</v>
      </c>
      <c r="T625" s="271">
        <v>35.0</v>
      </c>
      <c r="U625" s="62">
        <v>1.0</v>
      </c>
      <c r="V625" s="277">
        <v>0.15</v>
      </c>
      <c r="W625" s="277">
        <v>0.05</v>
      </c>
      <c r="X625" s="271">
        <v>28.0</v>
      </c>
      <c r="Y625" s="271">
        <v>7.0</v>
      </c>
      <c r="Z625" s="50" t="b">
        <v>1</v>
      </c>
      <c r="AA625" s="50" t="s">
        <v>138</v>
      </c>
      <c r="AB625" s="50" t="s">
        <v>138</v>
      </c>
    </row>
    <row r="626">
      <c r="A626" s="101" t="s">
        <v>345</v>
      </c>
      <c r="B626" s="101" t="s">
        <v>981</v>
      </c>
      <c r="C626" s="278">
        <v>44228.0</v>
      </c>
      <c r="D626" s="278">
        <v>44255.0</v>
      </c>
      <c r="E626" s="271" t="s">
        <v>331</v>
      </c>
      <c r="F626" s="138" t="s">
        <v>4</v>
      </c>
      <c r="G626" s="271" t="s">
        <v>16</v>
      </c>
      <c r="H626" s="273" t="s">
        <v>74</v>
      </c>
      <c r="I626" s="274">
        <v>50.0</v>
      </c>
      <c r="J626" s="271">
        <v>94.0</v>
      </c>
      <c r="K626" s="271">
        <f t="shared" si="1"/>
        <v>4700</v>
      </c>
      <c r="L626" s="271">
        <v>9563.0</v>
      </c>
      <c r="M626" s="271">
        <v>600.0</v>
      </c>
      <c r="N626" s="275">
        <v>113.87</v>
      </c>
      <c r="O626" s="60"/>
      <c r="P626" s="50">
        <v>114.0</v>
      </c>
      <c r="Q626" s="271">
        <v>650.0</v>
      </c>
      <c r="R626" s="276">
        <v>-0.00331</v>
      </c>
      <c r="S626" s="271">
        <v>634.0</v>
      </c>
      <c r="T626" s="271">
        <v>748.0</v>
      </c>
      <c r="U626" s="62">
        <v>1.0</v>
      </c>
      <c r="V626" s="277">
        <v>0.15</v>
      </c>
      <c r="W626" s="277">
        <v>0.05</v>
      </c>
      <c r="X626" s="271">
        <v>598.0</v>
      </c>
      <c r="Y626" s="271">
        <v>150.0</v>
      </c>
      <c r="Z626" s="50" t="b">
        <v>1</v>
      </c>
      <c r="AA626" s="50" t="s">
        <v>138</v>
      </c>
      <c r="AB626" s="50" t="s">
        <v>138</v>
      </c>
    </row>
    <row r="627">
      <c r="A627" s="101" t="s">
        <v>459</v>
      </c>
      <c r="B627" s="101" t="s">
        <v>912</v>
      </c>
      <c r="C627" s="278">
        <v>44228.0</v>
      </c>
      <c r="D627" s="278">
        <v>44255.0</v>
      </c>
      <c r="E627" s="271" t="s">
        <v>331</v>
      </c>
      <c r="F627" s="138" t="s">
        <v>8</v>
      </c>
      <c r="G627" s="280" t="s">
        <v>9</v>
      </c>
      <c r="H627" s="273" t="s">
        <v>80</v>
      </c>
      <c r="I627" s="274">
        <v>50.0</v>
      </c>
      <c r="J627" s="271">
        <v>2061.0</v>
      </c>
      <c r="K627" s="271">
        <f t="shared" si="1"/>
        <v>103050</v>
      </c>
      <c r="L627" s="271">
        <v>95202.0</v>
      </c>
      <c r="M627" s="271">
        <v>-4300.0</v>
      </c>
      <c r="N627" s="275">
        <v>2150.0</v>
      </c>
      <c r="O627" s="60"/>
      <c r="P627" s="109">
        <v>2150.0</v>
      </c>
      <c r="Q627" s="271">
        <v>-346.0</v>
      </c>
      <c r="R627" s="276">
        <v>0.002157</v>
      </c>
      <c r="S627" s="271">
        <v>-124.0</v>
      </c>
      <c r="T627" s="271">
        <v>2026.0</v>
      </c>
      <c r="U627" s="62">
        <v>1.0</v>
      </c>
      <c r="V627" s="277">
        <v>0.15</v>
      </c>
      <c r="W627" s="277">
        <v>0.1</v>
      </c>
      <c r="X627" s="271">
        <v>1520.0</v>
      </c>
      <c r="Y627" s="271">
        <v>507.0</v>
      </c>
      <c r="Z627" s="50" t="b">
        <v>1</v>
      </c>
      <c r="AA627" s="50" t="s">
        <v>140</v>
      </c>
      <c r="AB627" s="50" t="s">
        <v>140</v>
      </c>
    </row>
    <row r="628">
      <c r="A628" s="101" t="s">
        <v>505</v>
      </c>
      <c r="B628" s="271" t="s">
        <v>165</v>
      </c>
      <c r="C628" s="278">
        <v>44228.0</v>
      </c>
      <c r="D628" s="278">
        <v>44255.0</v>
      </c>
      <c r="E628" s="271" t="s">
        <v>268</v>
      </c>
      <c r="F628" s="101" t="s">
        <v>4</v>
      </c>
      <c r="G628" s="271" t="s">
        <v>16</v>
      </c>
      <c r="H628" s="273" t="s">
        <v>59</v>
      </c>
      <c r="I628" s="274">
        <v>20.0</v>
      </c>
      <c r="J628" s="271">
        <v>3439.0</v>
      </c>
      <c r="K628" s="271">
        <f t="shared" si="1"/>
        <v>68780</v>
      </c>
      <c r="L628" s="271">
        <v>43187.0</v>
      </c>
      <c r="M628" s="271">
        <v>-1300.0</v>
      </c>
      <c r="N628" s="275">
        <v>3380.0</v>
      </c>
      <c r="O628" s="60"/>
      <c r="P628" s="109">
        <v>3380.0</v>
      </c>
      <c r="Q628" s="271">
        <v>-2787.0</v>
      </c>
      <c r="R628" s="276">
        <v>-0.00331</v>
      </c>
      <c r="S628" s="271">
        <v>-3015.0</v>
      </c>
      <c r="T628" s="271">
        <v>365.0</v>
      </c>
      <c r="U628" s="62">
        <v>1.0</v>
      </c>
      <c r="V628" s="277">
        <v>0.3</v>
      </c>
      <c r="W628" s="277">
        <v>0.0</v>
      </c>
      <c r="X628" s="271">
        <v>256.0</v>
      </c>
      <c r="Y628" s="271">
        <v>110.0</v>
      </c>
      <c r="Z628" s="50" t="b">
        <v>1</v>
      </c>
      <c r="AA628" s="50" t="s">
        <v>138</v>
      </c>
      <c r="AB628" s="50" t="s">
        <v>138</v>
      </c>
    </row>
    <row r="629">
      <c r="A629" s="101" t="s">
        <v>216</v>
      </c>
      <c r="B629" s="101" t="s">
        <v>985</v>
      </c>
      <c r="C629" s="278">
        <v>44228.0</v>
      </c>
      <c r="D629" s="278">
        <v>44255.0</v>
      </c>
      <c r="E629" s="271" t="s">
        <v>268</v>
      </c>
      <c r="F629" s="138" t="s">
        <v>12</v>
      </c>
      <c r="G629" s="101" t="s">
        <v>16</v>
      </c>
      <c r="H629" s="273" t="s">
        <v>45</v>
      </c>
      <c r="I629" s="63">
        <v>10.0</v>
      </c>
      <c r="J629" s="74">
        <v>6.0</v>
      </c>
      <c r="K629" s="271">
        <f t="shared" si="1"/>
        <v>60</v>
      </c>
      <c r="L629" s="271"/>
      <c r="M629" s="271">
        <v>40.0</v>
      </c>
      <c r="N629" s="275">
        <v>5.47</v>
      </c>
      <c r="O629" s="60"/>
      <c r="P629" s="50">
        <v>5.0</v>
      </c>
      <c r="Q629" s="271"/>
      <c r="R629" s="276">
        <v>0.0</v>
      </c>
      <c r="S629" s="271"/>
      <c r="T629" s="271">
        <v>45.0</v>
      </c>
      <c r="U629" s="62">
        <v>1.0</v>
      </c>
      <c r="V629" s="277">
        <v>0.22</v>
      </c>
      <c r="W629" s="277">
        <v>0.0</v>
      </c>
      <c r="X629" s="271">
        <v>35.0</v>
      </c>
      <c r="Y629" s="271">
        <v>10.0</v>
      </c>
      <c r="Z629" s="50" t="b">
        <v>1</v>
      </c>
      <c r="AA629" s="50" t="s">
        <v>138</v>
      </c>
      <c r="AB629" s="50" t="s">
        <v>138</v>
      </c>
    </row>
    <row r="630">
      <c r="A630" s="101" t="s">
        <v>216</v>
      </c>
      <c r="B630" s="101" t="s">
        <v>985</v>
      </c>
      <c r="C630" s="278">
        <v>44228.0</v>
      </c>
      <c r="D630" s="278">
        <v>44255.0</v>
      </c>
      <c r="E630" s="271" t="s">
        <v>268</v>
      </c>
      <c r="F630" s="138" t="s">
        <v>4</v>
      </c>
      <c r="G630" s="101" t="s">
        <v>16</v>
      </c>
      <c r="H630" s="273" t="s">
        <v>85</v>
      </c>
      <c r="I630" s="63">
        <v>100.0</v>
      </c>
      <c r="J630" s="74">
        <v>2398.0</v>
      </c>
      <c r="K630" s="271">
        <f t="shared" si="1"/>
        <v>239800</v>
      </c>
      <c r="L630" s="271">
        <v>40051.0</v>
      </c>
      <c r="M630" s="271">
        <v>-9600.0</v>
      </c>
      <c r="N630" s="275">
        <v>18298.14</v>
      </c>
      <c r="O630" s="60"/>
      <c r="P630" s="109">
        <v>18298.0</v>
      </c>
      <c r="Q630" s="271">
        <v>-5377.0</v>
      </c>
      <c r="R630" s="276">
        <v>-0.00331</v>
      </c>
      <c r="S630" s="271">
        <v>-6171.0</v>
      </c>
      <c r="T630" s="271">
        <v>12127.0</v>
      </c>
      <c r="U630" s="62">
        <v>1.0</v>
      </c>
      <c r="V630" s="277">
        <v>0.22</v>
      </c>
      <c r="W630" s="277">
        <v>0.0</v>
      </c>
      <c r="X630" s="271">
        <v>9459.0</v>
      </c>
      <c r="Y630" s="271">
        <v>2668.0</v>
      </c>
      <c r="Z630" s="50" t="b">
        <v>1</v>
      </c>
      <c r="AA630" s="50" t="s">
        <v>138</v>
      </c>
      <c r="AB630" s="50" t="s">
        <v>138</v>
      </c>
    </row>
    <row r="631">
      <c r="A631" s="101" t="s">
        <v>216</v>
      </c>
      <c r="B631" s="101" t="s">
        <v>985</v>
      </c>
      <c r="C631" s="278">
        <v>44228.0</v>
      </c>
      <c r="D631" s="278">
        <v>44255.0</v>
      </c>
      <c r="E631" s="271" t="s">
        <v>268</v>
      </c>
      <c r="F631" s="138" t="s">
        <v>4</v>
      </c>
      <c r="G631" s="101" t="s">
        <v>16</v>
      </c>
      <c r="H631" s="273" t="s">
        <v>74</v>
      </c>
      <c r="I631" s="63">
        <v>50.0</v>
      </c>
      <c r="J631" s="74">
        <v>3.0</v>
      </c>
      <c r="K631" s="271">
        <f t="shared" si="1"/>
        <v>150</v>
      </c>
      <c r="L631" s="271">
        <v>1447.0</v>
      </c>
      <c r="M631" s="271">
        <v>0.0</v>
      </c>
      <c r="N631" s="275">
        <v>11.39</v>
      </c>
      <c r="O631" s="60"/>
      <c r="P631" s="50">
        <v>11.0</v>
      </c>
      <c r="Q631" s="271">
        <v>130.0</v>
      </c>
      <c r="R631" s="276">
        <v>-0.00331</v>
      </c>
      <c r="S631" s="271">
        <v>129.0</v>
      </c>
      <c r="T631" s="271">
        <v>140.0</v>
      </c>
      <c r="U631" s="62">
        <v>1.0</v>
      </c>
      <c r="V631" s="277">
        <v>0.22</v>
      </c>
      <c r="W631" s="277">
        <v>0.0</v>
      </c>
      <c r="X631" s="271">
        <v>110.0</v>
      </c>
      <c r="Y631" s="271">
        <v>31.0</v>
      </c>
      <c r="Z631" s="50" t="b">
        <v>1</v>
      </c>
      <c r="AA631" s="50" t="s">
        <v>138</v>
      </c>
      <c r="AB631" s="50" t="s">
        <v>138</v>
      </c>
    </row>
    <row r="632">
      <c r="A632" s="101" t="s">
        <v>345</v>
      </c>
      <c r="B632" s="271" t="s">
        <v>905</v>
      </c>
      <c r="C632" s="278">
        <v>44244.0</v>
      </c>
      <c r="D632" s="278">
        <v>44271.0</v>
      </c>
      <c r="E632" s="271" t="s">
        <v>331</v>
      </c>
      <c r="F632" s="138" t="s">
        <v>4</v>
      </c>
      <c r="G632" s="271" t="s">
        <v>13</v>
      </c>
      <c r="H632" s="273" t="s">
        <v>59</v>
      </c>
      <c r="I632" s="274">
        <v>20.0</v>
      </c>
      <c r="J632" s="271">
        <v>2.0</v>
      </c>
      <c r="K632" s="271">
        <f t="shared" si="1"/>
        <v>40</v>
      </c>
      <c r="L632" s="271">
        <v>38.0</v>
      </c>
      <c r="M632" s="271">
        <v>20.0</v>
      </c>
      <c r="N632" s="275">
        <v>2.38</v>
      </c>
      <c r="O632" s="60"/>
      <c r="P632" s="50">
        <v>2.0</v>
      </c>
      <c r="Q632" s="271">
        <v>-1.0</v>
      </c>
      <c r="R632" s="276">
        <v>-0.00331</v>
      </c>
      <c r="S632" s="271">
        <v>-1.0</v>
      </c>
      <c r="T632" s="271">
        <v>2.0</v>
      </c>
      <c r="U632" s="62">
        <v>1.0</v>
      </c>
      <c r="V632" s="277">
        <v>0.15</v>
      </c>
      <c r="W632" s="277">
        <v>0.05</v>
      </c>
      <c r="X632" s="271">
        <v>1.0</v>
      </c>
      <c r="Y632" s="271">
        <v>0.0</v>
      </c>
      <c r="Z632" s="50" t="b">
        <v>1</v>
      </c>
      <c r="AA632" s="50" t="s">
        <v>138</v>
      </c>
      <c r="AB632" s="50" t="s">
        <v>138</v>
      </c>
    </row>
    <row r="633">
      <c r="A633" s="101" t="s">
        <v>345</v>
      </c>
      <c r="B633" s="271" t="s">
        <v>905</v>
      </c>
      <c r="C633" s="278">
        <v>44244.0</v>
      </c>
      <c r="D633" s="278">
        <v>44271.0</v>
      </c>
      <c r="E633" s="271" t="s">
        <v>331</v>
      </c>
      <c r="F633" s="138" t="s">
        <v>4</v>
      </c>
      <c r="G633" s="271" t="s">
        <v>13</v>
      </c>
      <c r="H633" s="273" t="s">
        <v>74</v>
      </c>
      <c r="I633" s="274">
        <v>50.0</v>
      </c>
      <c r="J633" s="271">
        <v>1399.0</v>
      </c>
      <c r="K633" s="271">
        <f t="shared" si="1"/>
        <v>69950</v>
      </c>
      <c r="L633" s="271">
        <v>26134.0</v>
      </c>
      <c r="M633" s="271">
        <v>4700.0</v>
      </c>
      <c r="N633" s="275">
        <v>4169.17</v>
      </c>
      <c r="O633" s="60"/>
      <c r="P633" s="109">
        <v>4169.0</v>
      </c>
      <c r="Q633" s="271">
        <v>-2785.0</v>
      </c>
      <c r="R633" s="276">
        <v>-0.00331</v>
      </c>
      <c r="S633" s="271">
        <v>-3016.0</v>
      </c>
      <c r="T633" s="271">
        <v>1153.0</v>
      </c>
      <c r="U633" s="62">
        <v>1.0</v>
      </c>
      <c r="V633" s="277">
        <v>0.15</v>
      </c>
      <c r="W633" s="277">
        <v>0.05</v>
      </c>
      <c r="X633" s="271">
        <v>922.0</v>
      </c>
      <c r="Y633" s="271">
        <v>231.0</v>
      </c>
      <c r="Z633" s="50" t="b">
        <v>1</v>
      </c>
      <c r="AA633" s="50" t="s">
        <v>138</v>
      </c>
      <c r="AB633" s="50" t="s">
        <v>138</v>
      </c>
    </row>
    <row r="634">
      <c r="A634" s="101" t="s">
        <v>345</v>
      </c>
      <c r="B634" s="271" t="s">
        <v>905</v>
      </c>
      <c r="C634" s="278">
        <v>44244.0</v>
      </c>
      <c r="D634" s="278">
        <v>44271.0</v>
      </c>
      <c r="E634" s="271" t="s">
        <v>331</v>
      </c>
      <c r="F634" s="138" t="s">
        <v>4</v>
      </c>
      <c r="G634" s="271" t="s">
        <v>13</v>
      </c>
      <c r="H634" s="273" t="s">
        <v>85</v>
      </c>
      <c r="I634" s="274">
        <v>100.0</v>
      </c>
      <c r="J634" s="271">
        <v>2255.0</v>
      </c>
      <c r="K634" s="271">
        <f t="shared" si="1"/>
        <v>225500</v>
      </c>
      <c r="L634" s="271">
        <v>-2410.0</v>
      </c>
      <c r="M634" s="271">
        <v>-2800.0</v>
      </c>
      <c r="N634" s="275">
        <v>13440.28</v>
      </c>
      <c r="O634" s="60"/>
      <c r="P634" s="109">
        <v>13440.0</v>
      </c>
      <c r="Q634" s="271">
        <v>-15461.0</v>
      </c>
      <c r="R634" s="276">
        <v>-0.00331</v>
      </c>
      <c r="S634" s="271">
        <v>-16207.0</v>
      </c>
      <c r="T634" s="271">
        <v>-2767.0</v>
      </c>
      <c r="U634" s="62">
        <v>1.0</v>
      </c>
      <c r="V634" s="277">
        <v>0.15</v>
      </c>
      <c r="W634" s="277">
        <v>0.05</v>
      </c>
      <c r="X634" s="271">
        <v>-2214.0</v>
      </c>
      <c r="Y634" s="271">
        <v>-553.0</v>
      </c>
      <c r="Z634" s="50" t="b">
        <v>1</v>
      </c>
      <c r="AA634" s="50" t="s">
        <v>138</v>
      </c>
      <c r="AB634" s="50" t="s">
        <v>138</v>
      </c>
    </row>
    <row r="635">
      <c r="A635" s="101" t="s">
        <v>345</v>
      </c>
      <c r="B635" s="271" t="s">
        <v>905</v>
      </c>
      <c r="C635" s="278">
        <v>44244.0</v>
      </c>
      <c r="D635" s="278">
        <v>44271.0</v>
      </c>
      <c r="E635" s="271" t="s">
        <v>331</v>
      </c>
      <c r="F635" s="138" t="s">
        <v>4</v>
      </c>
      <c r="G635" s="271" t="s">
        <v>13</v>
      </c>
      <c r="H635" s="273" t="s">
        <v>93</v>
      </c>
      <c r="I635" s="274">
        <v>200.0</v>
      </c>
      <c r="J635" s="271">
        <v>375.0</v>
      </c>
      <c r="K635" s="271">
        <f t="shared" si="1"/>
        <v>75000</v>
      </c>
      <c r="L635" s="271">
        <v>728.0</v>
      </c>
      <c r="M635" s="271">
        <v>-4200.0</v>
      </c>
      <c r="N635" s="275">
        <v>4470.16</v>
      </c>
      <c r="O635" s="60"/>
      <c r="P635" s="109">
        <v>4470.0</v>
      </c>
      <c r="Q635" s="271">
        <v>-4929.0</v>
      </c>
      <c r="R635" s="276">
        <v>-0.00331</v>
      </c>
      <c r="S635" s="271">
        <v>-5177.0</v>
      </c>
      <c r="T635" s="271">
        <v>-707.0</v>
      </c>
      <c r="U635" s="62">
        <v>1.0</v>
      </c>
      <c r="V635" s="277">
        <v>0.15</v>
      </c>
      <c r="W635" s="277">
        <v>0.05</v>
      </c>
      <c r="X635" s="271">
        <v>-566.0</v>
      </c>
      <c r="Y635" s="271">
        <v>-141.0</v>
      </c>
      <c r="Z635" s="50" t="b">
        <v>1</v>
      </c>
      <c r="AA635" s="50" t="s">
        <v>138</v>
      </c>
      <c r="AB635" s="50" t="s">
        <v>138</v>
      </c>
    </row>
    <row r="636">
      <c r="A636" s="101" t="s">
        <v>267</v>
      </c>
      <c r="B636" s="101" t="s">
        <v>267</v>
      </c>
      <c r="C636" s="278">
        <v>44248.0</v>
      </c>
      <c r="D636" s="278">
        <v>44275.0</v>
      </c>
      <c r="E636" s="271" t="s">
        <v>268</v>
      </c>
      <c r="F636" s="138" t="s">
        <v>4</v>
      </c>
      <c r="G636" s="101" t="s">
        <v>5</v>
      </c>
      <c r="H636" s="273" t="s">
        <v>37</v>
      </c>
      <c r="I636" s="274">
        <v>5.0</v>
      </c>
      <c r="J636" s="271">
        <v>82.0</v>
      </c>
      <c r="K636" s="271">
        <f t="shared" si="1"/>
        <v>410</v>
      </c>
      <c r="L636" s="271">
        <v>1444.0</v>
      </c>
      <c r="M636" s="271">
        <v>0.0</v>
      </c>
      <c r="N636" s="275">
        <v>4.0</v>
      </c>
      <c r="O636" s="60"/>
      <c r="P636" s="50">
        <v>4.0</v>
      </c>
      <c r="Q636" s="271">
        <v>-3.0</v>
      </c>
      <c r="R636" s="276">
        <v>-0.00331</v>
      </c>
      <c r="S636" s="271">
        <v>-5.0</v>
      </c>
      <c r="T636" s="271">
        <v>-1.0</v>
      </c>
      <c r="U636" s="62">
        <v>1.0</v>
      </c>
      <c r="V636" s="277">
        <v>0.15</v>
      </c>
      <c r="W636" s="277">
        <v>0.0</v>
      </c>
      <c r="X636" s="271">
        <v>-1.0</v>
      </c>
      <c r="Y636" s="271">
        <v>0.0</v>
      </c>
      <c r="Z636" s="50" t="b">
        <v>1</v>
      </c>
      <c r="AA636" s="50" t="s">
        <v>138</v>
      </c>
      <c r="AB636" s="50" t="s">
        <v>138</v>
      </c>
    </row>
    <row r="637">
      <c r="A637" s="101" t="s">
        <v>267</v>
      </c>
      <c r="B637" s="101" t="s">
        <v>267</v>
      </c>
      <c r="C637" s="278">
        <v>44248.0</v>
      </c>
      <c r="D637" s="278">
        <v>44275.0</v>
      </c>
      <c r="E637" s="271" t="s">
        <v>268</v>
      </c>
      <c r="F637" s="138" t="s">
        <v>4</v>
      </c>
      <c r="G637" s="101" t="s">
        <v>5</v>
      </c>
      <c r="H637" s="273" t="s">
        <v>46</v>
      </c>
      <c r="I637" s="274">
        <v>10.0</v>
      </c>
      <c r="J637" s="271">
        <v>59.0</v>
      </c>
      <c r="K637" s="271">
        <f t="shared" si="1"/>
        <v>590</v>
      </c>
      <c r="L637" s="271">
        <v>987.0</v>
      </c>
      <c r="M637" s="271">
        <v>-80.0</v>
      </c>
      <c r="N637" s="275">
        <v>7.0</v>
      </c>
      <c r="O637" s="60"/>
      <c r="P637" s="50">
        <v>7.0</v>
      </c>
      <c r="Q637" s="271">
        <v>-30.0</v>
      </c>
      <c r="R637" s="276">
        <v>-0.00331</v>
      </c>
      <c r="S637" s="271">
        <v>-32.0</v>
      </c>
      <c r="T637" s="271">
        <v>-25.0</v>
      </c>
      <c r="U637" s="62">
        <v>1.0</v>
      </c>
      <c r="V637" s="277">
        <v>0.15</v>
      </c>
      <c r="W637" s="277">
        <v>0.0</v>
      </c>
      <c r="X637" s="271">
        <v>-21.0</v>
      </c>
      <c r="Y637" s="271">
        <v>-4.0</v>
      </c>
      <c r="Z637" s="50" t="b">
        <v>1</v>
      </c>
      <c r="AA637" s="50" t="s">
        <v>138</v>
      </c>
      <c r="AB637" s="50" t="s">
        <v>138</v>
      </c>
    </row>
    <row r="638">
      <c r="A638" s="101" t="s">
        <v>267</v>
      </c>
      <c r="B638" s="101" t="s">
        <v>267</v>
      </c>
      <c r="C638" s="278">
        <v>44248.0</v>
      </c>
      <c r="D638" s="278">
        <v>44275.0</v>
      </c>
      <c r="E638" s="271" t="s">
        <v>268</v>
      </c>
      <c r="F638" s="138" t="s">
        <v>4</v>
      </c>
      <c r="G638" s="101" t="s">
        <v>5</v>
      </c>
      <c r="H638" s="273" t="s">
        <v>986</v>
      </c>
      <c r="I638" s="274">
        <v>10.0</v>
      </c>
      <c r="J638" s="271">
        <v>368.0</v>
      </c>
      <c r="K638" s="271">
        <f t="shared" si="1"/>
        <v>3680</v>
      </c>
      <c r="L638" s="271">
        <v>14489.0</v>
      </c>
      <c r="M638" s="271">
        <v>220.0</v>
      </c>
      <c r="N638" s="275">
        <v>41.0</v>
      </c>
      <c r="O638" s="60"/>
      <c r="P638" s="50">
        <v>41.0</v>
      </c>
      <c r="Q638" s="271">
        <v>131.0</v>
      </c>
      <c r="R638" s="276">
        <v>-0.00331</v>
      </c>
      <c r="S638" s="271">
        <v>119.0</v>
      </c>
      <c r="T638" s="271">
        <v>160.0</v>
      </c>
      <c r="U638" s="62">
        <v>1.0</v>
      </c>
      <c r="V638" s="277">
        <v>0.15</v>
      </c>
      <c r="W638" s="277">
        <v>0.0</v>
      </c>
      <c r="X638" s="271">
        <v>136.0</v>
      </c>
      <c r="Y638" s="271">
        <v>24.0</v>
      </c>
      <c r="Z638" s="50" t="b">
        <v>1</v>
      </c>
      <c r="AA638" s="50" t="s">
        <v>138</v>
      </c>
      <c r="AB638" s="50" t="s">
        <v>138</v>
      </c>
    </row>
    <row r="639">
      <c r="A639" s="101" t="s">
        <v>267</v>
      </c>
      <c r="B639" s="101" t="s">
        <v>267</v>
      </c>
      <c r="C639" s="278">
        <v>44248.0</v>
      </c>
      <c r="D639" s="278">
        <v>44275.0</v>
      </c>
      <c r="E639" s="271" t="s">
        <v>268</v>
      </c>
      <c r="F639" s="138" t="s">
        <v>4</v>
      </c>
      <c r="G639" s="101" t="s">
        <v>5</v>
      </c>
      <c r="H639" s="273" t="s">
        <v>62</v>
      </c>
      <c r="I639" s="274">
        <v>25.0</v>
      </c>
      <c r="J639" s="271">
        <v>341.0</v>
      </c>
      <c r="K639" s="271">
        <f t="shared" si="1"/>
        <v>8525</v>
      </c>
      <c r="L639" s="271">
        <v>23169.0</v>
      </c>
      <c r="M639" s="271">
        <v>700.0</v>
      </c>
      <c r="N639" s="275">
        <v>72.0</v>
      </c>
      <c r="O639" s="60"/>
      <c r="P639" s="50">
        <v>72.0</v>
      </c>
      <c r="Q639" s="271">
        <v>530.0</v>
      </c>
      <c r="R639" s="276">
        <v>-0.00331</v>
      </c>
      <c r="S639" s="271">
        <v>502.0</v>
      </c>
      <c r="T639" s="271">
        <v>574.0</v>
      </c>
      <c r="U639" s="62">
        <v>1.0</v>
      </c>
      <c r="V639" s="277">
        <v>0.15</v>
      </c>
      <c r="W639" s="277">
        <v>0.0</v>
      </c>
      <c r="X639" s="271">
        <v>488.0</v>
      </c>
      <c r="Y639" s="271">
        <v>86.0</v>
      </c>
      <c r="Z639" s="50" t="b">
        <v>1</v>
      </c>
      <c r="AA639" s="50" t="s">
        <v>138</v>
      </c>
      <c r="AB639" s="50" t="s">
        <v>138</v>
      </c>
    </row>
    <row r="640">
      <c r="A640" s="101" t="s">
        <v>267</v>
      </c>
      <c r="B640" s="101" t="s">
        <v>267</v>
      </c>
      <c r="C640" s="278">
        <v>44248.0</v>
      </c>
      <c r="D640" s="278">
        <v>44275.0</v>
      </c>
      <c r="E640" s="271" t="s">
        <v>268</v>
      </c>
      <c r="F640" s="138" t="s">
        <v>4</v>
      </c>
      <c r="G640" s="101" t="s">
        <v>5</v>
      </c>
      <c r="H640" s="273" t="s">
        <v>63</v>
      </c>
      <c r="I640" s="274">
        <v>25.0</v>
      </c>
      <c r="J640" s="271">
        <v>199.0</v>
      </c>
      <c r="K640" s="271">
        <f t="shared" si="1"/>
        <v>4975</v>
      </c>
      <c r="L640" s="271">
        <v>4881.0</v>
      </c>
      <c r="M640" s="271">
        <v>-50.0</v>
      </c>
      <c r="N640" s="275">
        <v>42.0</v>
      </c>
      <c r="O640" s="60"/>
      <c r="P640" s="50">
        <v>42.0</v>
      </c>
      <c r="Q640" s="271">
        <v>61.0</v>
      </c>
      <c r="R640" s="276">
        <v>-0.00331</v>
      </c>
      <c r="S640" s="271">
        <v>44.0</v>
      </c>
      <c r="T640" s="271">
        <v>86.0</v>
      </c>
      <c r="U640" s="62">
        <v>1.0</v>
      </c>
      <c r="V640" s="277">
        <v>0.15</v>
      </c>
      <c r="W640" s="277">
        <v>0.0</v>
      </c>
      <c r="X640" s="271">
        <v>73.0</v>
      </c>
      <c r="Y640" s="271">
        <v>13.0</v>
      </c>
      <c r="Z640" s="50" t="b">
        <v>1</v>
      </c>
      <c r="AA640" s="50" t="s">
        <v>138</v>
      </c>
      <c r="AB640" s="50" t="s">
        <v>138</v>
      </c>
    </row>
    <row r="641">
      <c r="A641" s="101" t="s">
        <v>267</v>
      </c>
      <c r="B641" s="101" t="s">
        <v>267</v>
      </c>
      <c r="C641" s="278">
        <v>44248.0</v>
      </c>
      <c r="D641" s="278">
        <v>44275.0</v>
      </c>
      <c r="E641" s="271" t="s">
        <v>268</v>
      </c>
      <c r="F641" s="138" t="s">
        <v>4</v>
      </c>
      <c r="G641" s="101" t="s">
        <v>5</v>
      </c>
      <c r="H641" s="273" t="s">
        <v>74</v>
      </c>
      <c r="I641" s="274">
        <v>50.0</v>
      </c>
      <c r="J641" s="271">
        <v>151.0</v>
      </c>
      <c r="K641" s="271">
        <f t="shared" si="1"/>
        <v>7550</v>
      </c>
      <c r="L641" s="271">
        <v>-1371.0</v>
      </c>
      <c r="M641" s="271">
        <v>-2200.0</v>
      </c>
      <c r="N641" s="275">
        <v>64.0</v>
      </c>
      <c r="O641" s="60"/>
      <c r="P641" s="50">
        <v>64.0</v>
      </c>
      <c r="Q641" s="271">
        <v>-608.0</v>
      </c>
      <c r="R641" s="276">
        <v>-0.00331</v>
      </c>
      <c r="S641" s="271">
        <v>-633.0</v>
      </c>
      <c r="T641" s="271">
        <v>-569.0</v>
      </c>
      <c r="U641" s="62">
        <v>1.0</v>
      </c>
      <c r="V641" s="277">
        <v>0.15</v>
      </c>
      <c r="W641" s="277">
        <v>0.0</v>
      </c>
      <c r="X641" s="271">
        <v>-484.0</v>
      </c>
      <c r="Y641" s="271">
        <v>-85.0</v>
      </c>
      <c r="Z641" s="50" t="b">
        <v>1</v>
      </c>
      <c r="AA641" s="50" t="s">
        <v>138</v>
      </c>
      <c r="AB641" s="50" t="s">
        <v>138</v>
      </c>
    </row>
    <row r="642">
      <c r="A642" s="101" t="s">
        <v>267</v>
      </c>
      <c r="B642" s="101" t="s">
        <v>267</v>
      </c>
      <c r="C642" s="278">
        <v>44248.0</v>
      </c>
      <c r="D642" s="278">
        <v>44275.0</v>
      </c>
      <c r="E642" s="271" t="s">
        <v>268</v>
      </c>
      <c r="F642" s="138" t="s">
        <v>4</v>
      </c>
      <c r="G642" s="101" t="s">
        <v>5</v>
      </c>
      <c r="H642" s="273" t="s">
        <v>75</v>
      </c>
      <c r="I642" s="274">
        <v>50.0</v>
      </c>
      <c r="J642" s="271">
        <v>166.0</v>
      </c>
      <c r="K642" s="271">
        <f t="shared" si="1"/>
        <v>8300</v>
      </c>
      <c r="L642" s="271">
        <v>591.0</v>
      </c>
      <c r="M642" s="271">
        <v>-1650.0</v>
      </c>
      <c r="N642" s="275">
        <v>70.0</v>
      </c>
      <c r="O642" s="60"/>
      <c r="P642" s="50">
        <v>70.0</v>
      </c>
      <c r="Q642" s="271">
        <v>-438.0</v>
      </c>
      <c r="R642" s="276">
        <v>-0.00331</v>
      </c>
      <c r="S642" s="271">
        <v>-465.0</v>
      </c>
      <c r="T642" s="271">
        <v>-395.0</v>
      </c>
      <c r="U642" s="62">
        <v>1.0</v>
      </c>
      <c r="V642" s="277">
        <v>0.15</v>
      </c>
      <c r="W642" s="277">
        <v>0.0</v>
      </c>
      <c r="X642" s="271">
        <v>-336.0</v>
      </c>
      <c r="Y642" s="271">
        <v>-59.0</v>
      </c>
      <c r="Z642" s="50" t="b">
        <v>1</v>
      </c>
      <c r="AA642" s="50" t="s">
        <v>138</v>
      </c>
      <c r="AB642" s="50" t="s">
        <v>138</v>
      </c>
    </row>
    <row r="643">
      <c r="A643" s="101" t="s">
        <v>144</v>
      </c>
      <c r="B643" s="101" t="s">
        <v>144</v>
      </c>
      <c r="C643" s="278">
        <v>44248.0</v>
      </c>
      <c r="D643" s="278">
        <v>44275.0</v>
      </c>
      <c r="E643" s="271" t="s">
        <v>268</v>
      </c>
      <c r="F643" s="138" t="s">
        <v>4</v>
      </c>
      <c r="G643" s="101" t="s">
        <v>9</v>
      </c>
      <c r="H643" s="273" t="s">
        <v>55</v>
      </c>
      <c r="I643" s="274">
        <v>10.0</v>
      </c>
      <c r="J643" s="271">
        <v>1342.0</v>
      </c>
      <c r="K643" s="271">
        <f t="shared" si="1"/>
        <v>13420</v>
      </c>
      <c r="L643" s="271">
        <v>64416.0</v>
      </c>
      <c r="M643" s="271">
        <v>890.0</v>
      </c>
      <c r="N643" s="275">
        <v>147.53</v>
      </c>
      <c r="O643" s="60"/>
      <c r="P643" s="50">
        <v>148.0</v>
      </c>
      <c r="Q643" s="271">
        <v>-2.0</v>
      </c>
      <c r="R643" s="276">
        <v>-0.00331</v>
      </c>
      <c r="S643" s="271">
        <v>-47.0</v>
      </c>
      <c r="T643" s="271">
        <v>101.0</v>
      </c>
      <c r="U643" s="62">
        <v>1.0</v>
      </c>
      <c r="V643" s="277">
        <v>0.25</v>
      </c>
      <c r="W643" s="277">
        <v>0.0</v>
      </c>
      <c r="X643" s="271">
        <v>76.0</v>
      </c>
      <c r="Y643" s="271">
        <v>25.0</v>
      </c>
      <c r="Z643" s="50" t="b">
        <v>1</v>
      </c>
      <c r="AA643" s="50" t="s">
        <v>140</v>
      </c>
      <c r="AB643" s="50" t="s">
        <v>140</v>
      </c>
    </row>
    <row r="644">
      <c r="A644" s="101" t="s">
        <v>144</v>
      </c>
      <c r="B644" s="101" t="s">
        <v>144</v>
      </c>
      <c r="C644" s="278">
        <v>44248.0</v>
      </c>
      <c r="D644" s="278">
        <v>44275.0</v>
      </c>
      <c r="E644" s="271" t="s">
        <v>268</v>
      </c>
      <c r="F644" s="138" t="s">
        <v>4</v>
      </c>
      <c r="G644" s="101" t="s">
        <v>9</v>
      </c>
      <c r="H644" s="273" t="s">
        <v>68</v>
      </c>
      <c r="I644" s="274">
        <v>25.0</v>
      </c>
      <c r="J644" s="271">
        <v>482.0</v>
      </c>
      <c r="K644" s="271">
        <f t="shared" si="1"/>
        <v>12050</v>
      </c>
      <c r="L644" s="271">
        <v>18316.0</v>
      </c>
      <c r="M644" s="271">
        <v>-575.0</v>
      </c>
      <c r="N644" s="275">
        <v>132.47</v>
      </c>
      <c r="O644" s="60"/>
      <c r="P644" s="50">
        <v>132.0</v>
      </c>
      <c r="Q644" s="271">
        <v>-227.0</v>
      </c>
      <c r="R644" s="276">
        <v>-0.00331</v>
      </c>
      <c r="S644" s="271">
        <v>-267.0</v>
      </c>
      <c r="T644" s="271">
        <v>-134.0</v>
      </c>
      <c r="U644" s="62">
        <v>1.0</v>
      </c>
      <c r="V644" s="277">
        <v>0.25</v>
      </c>
      <c r="W644" s="277">
        <v>0.0</v>
      </c>
      <c r="X644" s="271">
        <v>-101.0</v>
      </c>
      <c r="Y644" s="271">
        <v>-34.0</v>
      </c>
      <c r="Z644" s="50" t="b">
        <v>1</v>
      </c>
      <c r="AA644" s="50" t="s">
        <v>140</v>
      </c>
      <c r="AB644" s="50" t="s">
        <v>140</v>
      </c>
    </row>
    <row r="645">
      <c r="A645" s="101" t="s">
        <v>148</v>
      </c>
      <c r="B645" s="101" t="s">
        <v>148</v>
      </c>
      <c r="C645" s="278">
        <v>44248.0</v>
      </c>
      <c r="D645" s="278">
        <v>44275.0</v>
      </c>
      <c r="E645" s="271" t="s">
        <v>331</v>
      </c>
      <c r="F645" s="138" t="s">
        <v>4</v>
      </c>
      <c r="G645" s="101" t="s">
        <v>5</v>
      </c>
      <c r="H645" s="273" t="s">
        <v>62</v>
      </c>
      <c r="I645" s="274">
        <v>25.0</v>
      </c>
      <c r="J645" s="271">
        <v>1069.0</v>
      </c>
      <c r="K645" s="271">
        <f t="shared" si="1"/>
        <v>26725</v>
      </c>
      <c r="L645" s="271">
        <v>19568.0</v>
      </c>
      <c r="M645" s="271">
        <v>-1450.0</v>
      </c>
      <c r="N645" s="275">
        <v>785.0</v>
      </c>
      <c r="O645" s="60"/>
      <c r="P645" s="50">
        <v>785.0</v>
      </c>
      <c r="Q645" s="271">
        <v>-818.0</v>
      </c>
      <c r="R645" s="276">
        <v>-0.00331</v>
      </c>
      <c r="S645" s="271">
        <v>-907.0</v>
      </c>
      <c r="T645" s="271">
        <v>-122.0</v>
      </c>
      <c r="U645" s="62">
        <v>1.0</v>
      </c>
      <c r="V645" s="277">
        <v>0.15</v>
      </c>
      <c r="W645" s="277">
        <v>0.05</v>
      </c>
      <c r="X645" s="271">
        <v>-97.0</v>
      </c>
      <c r="Y645" s="271">
        <v>-24.0</v>
      </c>
      <c r="Z645" s="50" t="b">
        <v>1</v>
      </c>
      <c r="AA645" s="50" t="s">
        <v>138</v>
      </c>
      <c r="AB645" s="50" t="s">
        <v>138</v>
      </c>
    </row>
    <row r="646">
      <c r="A646" s="101" t="s">
        <v>148</v>
      </c>
      <c r="B646" s="101" t="s">
        <v>148</v>
      </c>
      <c r="C646" s="278">
        <v>44248.0</v>
      </c>
      <c r="D646" s="278">
        <v>44275.0</v>
      </c>
      <c r="E646" s="271" t="s">
        <v>331</v>
      </c>
      <c r="F646" s="138" t="s">
        <v>4</v>
      </c>
      <c r="G646" s="101" t="s">
        <v>5</v>
      </c>
      <c r="H646" s="273" t="s">
        <v>74</v>
      </c>
      <c r="I646" s="274">
        <v>50.0</v>
      </c>
      <c r="J646" s="271">
        <v>3025.0</v>
      </c>
      <c r="K646" s="271">
        <f t="shared" si="1"/>
        <v>151250</v>
      </c>
      <c r="L646" s="271">
        <v>78243.0</v>
      </c>
      <c r="M646" s="271">
        <v>5000.0</v>
      </c>
      <c r="N646" s="275">
        <v>4425.0</v>
      </c>
      <c r="O646" s="60"/>
      <c r="P646" s="109">
        <v>4425.0</v>
      </c>
      <c r="Q646" s="271">
        <v>-2526.0</v>
      </c>
      <c r="R646" s="276">
        <v>-0.00331</v>
      </c>
      <c r="S646" s="271">
        <v>-3026.0</v>
      </c>
      <c r="T646" s="271">
        <v>1399.0</v>
      </c>
      <c r="U646" s="62">
        <v>1.0</v>
      </c>
      <c r="V646" s="277">
        <v>0.15</v>
      </c>
      <c r="W646" s="277">
        <v>0.05</v>
      </c>
      <c r="X646" s="271">
        <v>1119.0</v>
      </c>
      <c r="Y646" s="271">
        <v>280.0</v>
      </c>
      <c r="Z646" s="50" t="b">
        <v>1</v>
      </c>
      <c r="AA646" s="50" t="s">
        <v>138</v>
      </c>
      <c r="AB646" s="50" t="s">
        <v>138</v>
      </c>
    </row>
    <row r="647">
      <c r="A647" s="101" t="s">
        <v>148</v>
      </c>
      <c r="B647" s="101" t="s">
        <v>148</v>
      </c>
      <c r="C647" s="278">
        <v>44248.0</v>
      </c>
      <c r="D647" s="278">
        <v>44275.0</v>
      </c>
      <c r="E647" s="271" t="s">
        <v>331</v>
      </c>
      <c r="F647" s="138" t="s">
        <v>12</v>
      </c>
      <c r="G647" s="101" t="s">
        <v>5</v>
      </c>
      <c r="H647" s="273" t="s">
        <v>34</v>
      </c>
      <c r="I647" s="274">
        <v>5.0</v>
      </c>
      <c r="J647" s="271">
        <v>5.0</v>
      </c>
      <c r="K647" s="271">
        <f t="shared" si="1"/>
        <v>25</v>
      </c>
      <c r="L647" s="271"/>
      <c r="M647" s="271">
        <v>5.0</v>
      </c>
      <c r="N647" s="275">
        <v>1.0</v>
      </c>
      <c r="O647" s="60"/>
      <c r="P647" s="50">
        <v>1.0</v>
      </c>
      <c r="Q647" s="271"/>
      <c r="R647" s="276">
        <v>0.0</v>
      </c>
      <c r="S647" s="271"/>
      <c r="T647" s="271">
        <v>6.0</v>
      </c>
      <c r="U647" s="62">
        <v>1.0</v>
      </c>
      <c r="V647" s="277">
        <v>0.15</v>
      </c>
      <c r="W647" s="277">
        <v>0.05</v>
      </c>
      <c r="X647" s="271">
        <v>5.0</v>
      </c>
      <c r="Y647" s="271">
        <v>1.0</v>
      </c>
      <c r="Z647" s="50" t="b">
        <v>1</v>
      </c>
      <c r="AA647" s="50" t="s">
        <v>138</v>
      </c>
      <c r="AB647" s="50" t="s">
        <v>138</v>
      </c>
    </row>
    <row r="648">
      <c r="A648" s="101" t="s">
        <v>182</v>
      </c>
      <c r="B648" s="101" t="s">
        <v>182</v>
      </c>
      <c r="C648" s="278">
        <v>44248.0</v>
      </c>
      <c r="D648" s="278">
        <v>44275.0</v>
      </c>
      <c r="E648" s="271" t="s">
        <v>268</v>
      </c>
      <c r="F648" s="138" t="s">
        <v>4</v>
      </c>
      <c r="G648" s="101" t="s">
        <v>5</v>
      </c>
      <c r="H648" s="273" t="s">
        <v>46</v>
      </c>
      <c r="I648" s="274">
        <v>10.0</v>
      </c>
      <c r="J648" s="271">
        <v>873.0</v>
      </c>
      <c r="K648" s="271">
        <f t="shared" si="1"/>
        <v>8730</v>
      </c>
      <c r="L648" s="271">
        <v>48781.0</v>
      </c>
      <c r="M648" s="271">
        <v>-120.0</v>
      </c>
      <c r="N648" s="275">
        <v>70.0</v>
      </c>
      <c r="O648" s="60"/>
      <c r="P648" s="50">
        <v>70.0</v>
      </c>
      <c r="Q648" s="271">
        <v>149.0</v>
      </c>
      <c r="R648" s="276">
        <v>-0.00331</v>
      </c>
      <c r="S648" s="271">
        <v>120.0</v>
      </c>
      <c r="T648" s="271">
        <v>190.0</v>
      </c>
      <c r="U648" s="62">
        <v>1.0</v>
      </c>
      <c r="V648" s="277">
        <v>0.2</v>
      </c>
      <c r="W648" s="277">
        <v>0.0</v>
      </c>
      <c r="X648" s="271">
        <v>152.0</v>
      </c>
      <c r="Y648" s="271">
        <v>38.0</v>
      </c>
      <c r="Z648" s="50" t="b">
        <v>1</v>
      </c>
      <c r="AA648" s="50" t="s">
        <v>138</v>
      </c>
      <c r="AB648" s="50" t="s">
        <v>138</v>
      </c>
    </row>
    <row r="649">
      <c r="A649" s="101" t="s">
        <v>416</v>
      </c>
      <c r="B649" s="101" t="s">
        <v>416</v>
      </c>
      <c r="C649" s="278">
        <v>44248.0</v>
      </c>
      <c r="D649" s="278">
        <v>44275.0</v>
      </c>
      <c r="E649" s="271" t="s">
        <v>268</v>
      </c>
      <c r="F649" s="138" t="s">
        <v>4</v>
      </c>
      <c r="G649" s="101" t="s">
        <v>22</v>
      </c>
      <c r="H649" s="273" t="s">
        <v>50</v>
      </c>
      <c r="I649" s="274">
        <v>10.0</v>
      </c>
      <c r="J649" s="271">
        <v>2572.0</v>
      </c>
      <c r="K649" s="271">
        <f t="shared" si="1"/>
        <v>25720</v>
      </c>
      <c r="L649" s="271">
        <v>140432.0</v>
      </c>
      <c r="M649" s="271">
        <v>1460.0</v>
      </c>
      <c r="N649" s="275"/>
      <c r="O649" s="60"/>
      <c r="P649" s="101"/>
      <c r="Q649" s="271">
        <v>641.0</v>
      </c>
      <c r="R649" s="276">
        <v>-0.00331</v>
      </c>
      <c r="S649" s="271">
        <v>556.0</v>
      </c>
      <c r="T649" s="271">
        <v>556.0</v>
      </c>
      <c r="U649" s="62">
        <v>1.195</v>
      </c>
      <c r="V649" s="277">
        <v>0.3</v>
      </c>
      <c r="W649" s="277">
        <v>0.0</v>
      </c>
      <c r="X649" s="271">
        <v>465.0</v>
      </c>
      <c r="Y649" s="271">
        <v>199.0</v>
      </c>
      <c r="Z649" s="50" t="b">
        <v>1</v>
      </c>
      <c r="AA649" s="50" t="s">
        <v>138</v>
      </c>
      <c r="AB649" s="50" t="s">
        <v>140</v>
      </c>
    </row>
    <row r="650">
      <c r="A650" s="101" t="s">
        <v>181</v>
      </c>
      <c r="B650" s="101" t="s">
        <v>181</v>
      </c>
      <c r="C650" s="285">
        <v>43976.0</v>
      </c>
      <c r="D650" s="278">
        <v>44275.0</v>
      </c>
      <c r="E650" s="271" t="s">
        <v>881</v>
      </c>
      <c r="F650" s="138" t="s">
        <v>12</v>
      </c>
      <c r="G650" s="280" t="s">
        <v>5</v>
      </c>
      <c r="H650" s="114" t="s">
        <v>85</v>
      </c>
      <c r="I650" s="63">
        <v>100.0</v>
      </c>
      <c r="J650" s="74">
        <v>6365.0</v>
      </c>
      <c r="K650" s="271">
        <f t="shared" si="1"/>
        <v>636500</v>
      </c>
      <c r="L650" s="271">
        <v>215000.0</v>
      </c>
      <c r="M650" s="271">
        <v>11300.0</v>
      </c>
      <c r="N650" s="275">
        <v>0.0</v>
      </c>
      <c r="O650" s="60"/>
      <c r="P650" s="50">
        <v>0.0</v>
      </c>
      <c r="Q650" s="271">
        <v>5926.0</v>
      </c>
      <c r="R650" s="276">
        <v>0.0</v>
      </c>
      <c r="S650" s="271">
        <v>5926.0</v>
      </c>
      <c r="T650" s="271">
        <v>11300.0</v>
      </c>
      <c r="U650" s="62">
        <v>1.0</v>
      </c>
      <c r="V650" s="277">
        <v>0.0</v>
      </c>
      <c r="W650" s="277">
        <v>0.12</v>
      </c>
      <c r="X650" s="271">
        <v>9944.0</v>
      </c>
      <c r="Y650" s="271">
        <v>1356.0</v>
      </c>
      <c r="Z650" s="50" t="b">
        <v>1</v>
      </c>
      <c r="AA650" s="50" t="s">
        <v>138</v>
      </c>
      <c r="AB650" s="50" t="s">
        <v>138</v>
      </c>
    </row>
    <row r="651">
      <c r="A651" s="101" t="s">
        <v>199</v>
      </c>
      <c r="B651" s="101" t="s">
        <v>924</v>
      </c>
      <c r="C651" s="278">
        <v>44248.0</v>
      </c>
      <c r="D651" s="278">
        <v>44275.0</v>
      </c>
      <c r="E651" s="271" t="s">
        <v>268</v>
      </c>
      <c r="F651" s="138" t="s">
        <v>4</v>
      </c>
      <c r="G651" s="101" t="s">
        <v>9</v>
      </c>
      <c r="H651" s="273" t="s">
        <v>55</v>
      </c>
      <c r="I651" s="274">
        <v>10.0</v>
      </c>
      <c r="J651" s="271">
        <v>781.0</v>
      </c>
      <c r="K651" s="271">
        <f t="shared" si="1"/>
        <v>7810</v>
      </c>
      <c r="L651" s="271">
        <v>44704.0</v>
      </c>
      <c r="M651" s="271">
        <v>230.0</v>
      </c>
      <c r="N651" s="275">
        <v>100.0</v>
      </c>
      <c r="O651" s="60"/>
      <c r="P651" s="50">
        <v>100.0</v>
      </c>
      <c r="Q651" s="271">
        <v>95.0</v>
      </c>
      <c r="R651" s="276">
        <v>-0.00331</v>
      </c>
      <c r="S651" s="271">
        <v>69.0</v>
      </c>
      <c r="T651" s="271">
        <v>169.0</v>
      </c>
      <c r="U651" s="62">
        <v>1.0</v>
      </c>
      <c r="V651" s="277">
        <v>0.2</v>
      </c>
      <c r="W651" s="277">
        <v>0.0</v>
      </c>
      <c r="X651" s="271">
        <v>135.0</v>
      </c>
      <c r="Y651" s="271">
        <v>34.0</v>
      </c>
      <c r="Z651" s="50" t="b">
        <v>1</v>
      </c>
      <c r="AA651" s="50" t="s">
        <v>140</v>
      </c>
      <c r="AB651" s="50" t="s">
        <v>140</v>
      </c>
    </row>
    <row r="652">
      <c r="A652" s="101" t="s">
        <v>546</v>
      </c>
      <c r="B652" s="101" t="s">
        <v>546</v>
      </c>
      <c r="C652" s="278">
        <v>44248.0</v>
      </c>
      <c r="D652" s="278">
        <v>44275.0</v>
      </c>
      <c r="E652" s="271" t="s">
        <v>331</v>
      </c>
      <c r="F652" s="138" t="s">
        <v>4</v>
      </c>
      <c r="G652" s="101" t="s">
        <v>5</v>
      </c>
      <c r="H652" s="273" t="s">
        <v>85</v>
      </c>
      <c r="I652" s="274">
        <v>100.0</v>
      </c>
      <c r="J652" s="271">
        <v>2045.0</v>
      </c>
      <c r="K652" s="271">
        <f t="shared" si="1"/>
        <v>204500</v>
      </c>
      <c r="L652" s="271">
        <v>85245.0</v>
      </c>
      <c r="M652" s="271">
        <v>0.0</v>
      </c>
      <c r="N652" s="275">
        <v>1547.0</v>
      </c>
      <c r="O652" s="60"/>
      <c r="P652" s="109">
        <v>1547.0</v>
      </c>
      <c r="Q652" s="271">
        <v>4530.0</v>
      </c>
      <c r="R652" s="276">
        <v>-0.00331</v>
      </c>
      <c r="S652" s="271">
        <v>3854.0</v>
      </c>
      <c r="T652" s="271">
        <v>5401.0</v>
      </c>
      <c r="U652" s="62">
        <v>1.0</v>
      </c>
      <c r="V652" s="277">
        <v>0.135</v>
      </c>
      <c r="W652" s="277">
        <v>0.045</v>
      </c>
      <c r="X652" s="271">
        <v>4428.0</v>
      </c>
      <c r="Y652" s="271">
        <v>972.0</v>
      </c>
      <c r="Z652" s="50" t="b">
        <v>1</v>
      </c>
      <c r="AA652" s="50" t="s">
        <v>138</v>
      </c>
      <c r="AB652" s="50" t="s">
        <v>138</v>
      </c>
    </row>
    <row r="653">
      <c r="A653" s="101" t="s">
        <v>207</v>
      </c>
      <c r="B653" s="101" t="s">
        <v>207</v>
      </c>
      <c r="C653" s="278">
        <v>44248.0</v>
      </c>
      <c r="D653" s="278">
        <v>44275.0</v>
      </c>
      <c r="E653" s="271" t="s">
        <v>268</v>
      </c>
      <c r="F653" s="138" t="s">
        <v>4</v>
      </c>
      <c r="G653" s="101" t="s">
        <v>5</v>
      </c>
      <c r="H653" s="273" t="s">
        <v>34</v>
      </c>
      <c r="I653" s="274">
        <v>5.0</v>
      </c>
      <c r="J653" s="271">
        <v>156.0</v>
      </c>
      <c r="K653" s="271">
        <f t="shared" si="1"/>
        <v>780</v>
      </c>
      <c r="L653" s="271">
        <v>15627.0</v>
      </c>
      <c r="M653" s="271">
        <v>20.0</v>
      </c>
      <c r="N653" s="275">
        <v>17.0</v>
      </c>
      <c r="O653" s="60"/>
      <c r="P653" s="50">
        <v>17.0</v>
      </c>
      <c r="Q653" s="271">
        <v>83.0</v>
      </c>
      <c r="R653" s="276">
        <v>-0.00331</v>
      </c>
      <c r="S653" s="271">
        <v>80.0</v>
      </c>
      <c r="T653" s="271">
        <v>97.0</v>
      </c>
      <c r="U653" s="62">
        <v>1.0</v>
      </c>
      <c r="V653" s="277">
        <v>0.22</v>
      </c>
      <c r="W653" s="277">
        <v>0.0</v>
      </c>
      <c r="X653" s="271">
        <v>76.0</v>
      </c>
      <c r="Y653" s="271">
        <v>21.0</v>
      </c>
      <c r="Z653" s="50" t="b">
        <v>1</v>
      </c>
      <c r="AA653" s="50" t="s">
        <v>138</v>
      </c>
      <c r="AB653" s="50" t="s">
        <v>138</v>
      </c>
    </row>
    <row r="654">
      <c r="A654" s="101" t="s">
        <v>207</v>
      </c>
      <c r="B654" s="101" t="s">
        <v>207</v>
      </c>
      <c r="C654" s="278">
        <v>44248.0</v>
      </c>
      <c r="D654" s="278">
        <v>44275.0</v>
      </c>
      <c r="E654" s="271" t="s">
        <v>268</v>
      </c>
      <c r="F654" s="138" t="s">
        <v>4</v>
      </c>
      <c r="G654" s="101" t="s">
        <v>5</v>
      </c>
      <c r="H654" s="273" t="s">
        <v>46</v>
      </c>
      <c r="I654" s="274">
        <v>10.0</v>
      </c>
      <c r="J654" s="271">
        <v>135.0</v>
      </c>
      <c r="K654" s="271">
        <f t="shared" si="1"/>
        <v>1350</v>
      </c>
      <c r="L654" s="271">
        <v>8810.0</v>
      </c>
      <c r="M654" s="271">
        <v>150.0</v>
      </c>
      <c r="N654" s="275">
        <v>35.0</v>
      </c>
      <c r="O654" s="60"/>
      <c r="P654" s="50">
        <v>35.0</v>
      </c>
      <c r="Q654" s="271">
        <v>42.0</v>
      </c>
      <c r="R654" s="276">
        <v>-0.00331</v>
      </c>
      <c r="S654" s="271">
        <v>38.0</v>
      </c>
      <c r="T654" s="271">
        <v>73.0</v>
      </c>
      <c r="U654" s="62">
        <v>1.0</v>
      </c>
      <c r="V654" s="277">
        <v>0.22</v>
      </c>
      <c r="W654" s="277">
        <v>0.0</v>
      </c>
      <c r="X654" s="271">
        <v>57.0</v>
      </c>
      <c r="Y654" s="271">
        <v>16.0</v>
      </c>
      <c r="Z654" s="50" t="b">
        <v>1</v>
      </c>
      <c r="AA654" s="50" t="s">
        <v>138</v>
      </c>
      <c r="AB654" s="50" t="s">
        <v>138</v>
      </c>
    </row>
    <row r="655">
      <c r="A655" s="101" t="s">
        <v>207</v>
      </c>
      <c r="B655" s="101" t="s">
        <v>208</v>
      </c>
      <c r="C655" s="278">
        <v>44248.0</v>
      </c>
      <c r="D655" s="278">
        <v>44275.0</v>
      </c>
      <c r="E655" s="271" t="s">
        <v>268</v>
      </c>
      <c r="F655" s="138" t="s">
        <v>4</v>
      </c>
      <c r="G655" s="101" t="s">
        <v>13</v>
      </c>
      <c r="H655" s="273" t="s">
        <v>45</v>
      </c>
      <c r="I655" s="274">
        <v>10.0</v>
      </c>
      <c r="J655" s="271">
        <v>4477.0</v>
      </c>
      <c r="K655" s="271">
        <f t="shared" si="1"/>
        <v>44770</v>
      </c>
      <c r="L655" s="271">
        <v>141045.0</v>
      </c>
      <c r="M655" s="271">
        <v>-960.0</v>
      </c>
      <c r="N655" s="275">
        <v>3164.6</v>
      </c>
      <c r="O655" s="60"/>
      <c r="P655" s="109">
        <v>3165.0</v>
      </c>
      <c r="Q655" s="271">
        <v>-699.0</v>
      </c>
      <c r="R655" s="276">
        <v>-0.00331</v>
      </c>
      <c r="S655" s="271">
        <v>-847.0</v>
      </c>
      <c r="T655" s="271">
        <v>2318.0</v>
      </c>
      <c r="U655" s="62">
        <v>1.0</v>
      </c>
      <c r="V655" s="277">
        <v>0.22</v>
      </c>
      <c r="W655" s="277">
        <v>0.0</v>
      </c>
      <c r="X655" s="271">
        <v>1808.0</v>
      </c>
      <c r="Y655" s="271">
        <v>510.0</v>
      </c>
      <c r="Z655" s="50" t="b">
        <v>1</v>
      </c>
      <c r="AA655" s="50" t="s">
        <v>138</v>
      </c>
      <c r="AB655" s="50" t="s">
        <v>138</v>
      </c>
    </row>
    <row r="656">
      <c r="A656" s="101" t="s">
        <v>207</v>
      </c>
      <c r="B656" s="101" t="s">
        <v>208</v>
      </c>
      <c r="C656" s="278">
        <v>44248.0</v>
      </c>
      <c r="D656" s="278">
        <v>44275.0</v>
      </c>
      <c r="E656" s="271" t="s">
        <v>268</v>
      </c>
      <c r="F656" s="138" t="s">
        <v>4</v>
      </c>
      <c r="G656" s="101" t="s">
        <v>13</v>
      </c>
      <c r="H656" s="273" t="s">
        <v>45</v>
      </c>
      <c r="I656" s="274">
        <v>10.0</v>
      </c>
      <c r="J656" s="271">
        <v>3939.0</v>
      </c>
      <c r="K656" s="271">
        <f t="shared" si="1"/>
        <v>39390</v>
      </c>
      <c r="L656" s="271">
        <v>49163.0</v>
      </c>
      <c r="M656" s="271">
        <v>-2210.0</v>
      </c>
      <c r="N656" s="275">
        <v>2784.31</v>
      </c>
      <c r="O656" s="60"/>
      <c r="P656" s="109">
        <v>2784.0</v>
      </c>
      <c r="Q656" s="271">
        <v>-1500.0</v>
      </c>
      <c r="R656" s="276">
        <v>-0.00331</v>
      </c>
      <c r="S656" s="271">
        <v>-1631.0</v>
      </c>
      <c r="T656" s="271">
        <v>1154.0</v>
      </c>
      <c r="U656" s="62">
        <v>1.0</v>
      </c>
      <c r="V656" s="277">
        <v>0.22</v>
      </c>
      <c r="W656" s="277">
        <v>0.0</v>
      </c>
      <c r="X656" s="271">
        <v>900.0</v>
      </c>
      <c r="Y656" s="271">
        <v>254.0</v>
      </c>
      <c r="Z656" s="50" t="b">
        <v>1</v>
      </c>
      <c r="AA656" s="50" t="s">
        <v>138</v>
      </c>
      <c r="AB656" s="50" t="s">
        <v>138</v>
      </c>
    </row>
    <row r="657">
      <c r="A657" s="101" t="s">
        <v>207</v>
      </c>
      <c r="B657" s="101" t="s">
        <v>208</v>
      </c>
      <c r="C657" s="278">
        <v>44248.0</v>
      </c>
      <c r="D657" s="278">
        <v>44275.0</v>
      </c>
      <c r="E657" s="271" t="s">
        <v>268</v>
      </c>
      <c r="F657" s="138" t="s">
        <v>4</v>
      </c>
      <c r="G657" s="101" t="s">
        <v>13</v>
      </c>
      <c r="H657" s="273" t="s">
        <v>59</v>
      </c>
      <c r="I657" s="274">
        <v>20.0</v>
      </c>
      <c r="J657" s="271">
        <v>49.0</v>
      </c>
      <c r="K657" s="271">
        <f t="shared" si="1"/>
        <v>980</v>
      </c>
      <c r="L657" s="271">
        <v>369.0</v>
      </c>
      <c r="M657" s="271">
        <v>380.0</v>
      </c>
      <c r="N657" s="275">
        <v>69.27</v>
      </c>
      <c r="O657" s="60"/>
      <c r="P657" s="50">
        <v>69.0</v>
      </c>
      <c r="Q657" s="271">
        <v>-58.0</v>
      </c>
      <c r="R657" s="276">
        <v>-0.00331</v>
      </c>
      <c r="S657" s="271">
        <v>-61.0</v>
      </c>
      <c r="T657" s="271">
        <v>8.0</v>
      </c>
      <c r="U657" s="62">
        <v>1.0</v>
      </c>
      <c r="V657" s="277">
        <v>0.22</v>
      </c>
      <c r="W657" s="277">
        <v>0.0</v>
      </c>
      <c r="X657" s="271">
        <v>7.0</v>
      </c>
      <c r="Y657" s="271">
        <v>2.0</v>
      </c>
      <c r="Z657" s="50" t="b">
        <v>1</v>
      </c>
      <c r="AA657" s="50" t="s">
        <v>138</v>
      </c>
      <c r="AB657" s="50" t="s">
        <v>138</v>
      </c>
    </row>
    <row r="658">
      <c r="A658" s="101" t="s">
        <v>207</v>
      </c>
      <c r="B658" s="101" t="s">
        <v>208</v>
      </c>
      <c r="C658" s="278">
        <v>44248.0</v>
      </c>
      <c r="D658" s="278">
        <v>44275.0</v>
      </c>
      <c r="E658" s="271" t="s">
        <v>268</v>
      </c>
      <c r="F658" s="138" t="s">
        <v>4</v>
      </c>
      <c r="G658" s="101" t="s">
        <v>13</v>
      </c>
      <c r="H658" s="273" t="s">
        <v>59</v>
      </c>
      <c r="I658" s="274">
        <v>20.0</v>
      </c>
      <c r="J658" s="271">
        <v>89.0</v>
      </c>
      <c r="K658" s="271">
        <f t="shared" si="1"/>
        <v>1780</v>
      </c>
      <c r="L658" s="271">
        <v>-2422.0</v>
      </c>
      <c r="M658" s="271">
        <v>-20.0</v>
      </c>
      <c r="N658" s="275">
        <v>125.82</v>
      </c>
      <c r="O658" s="60"/>
      <c r="P658" s="50">
        <v>126.0</v>
      </c>
      <c r="Q658" s="271">
        <v>-272.0</v>
      </c>
      <c r="R658" s="276">
        <v>-0.00331</v>
      </c>
      <c r="S658" s="271">
        <v>-278.0</v>
      </c>
      <c r="T658" s="271">
        <v>-152.0</v>
      </c>
      <c r="U658" s="62">
        <v>1.0</v>
      </c>
      <c r="V658" s="277">
        <v>0.22</v>
      </c>
      <c r="W658" s="277">
        <v>0.0</v>
      </c>
      <c r="X658" s="271">
        <v>-119.0</v>
      </c>
      <c r="Y658" s="271">
        <v>-33.0</v>
      </c>
      <c r="Z658" s="50" t="b">
        <v>1</v>
      </c>
      <c r="AA658" s="50" t="s">
        <v>138</v>
      </c>
      <c r="AB658" s="50" t="s">
        <v>138</v>
      </c>
    </row>
    <row r="659">
      <c r="A659" s="101" t="s">
        <v>216</v>
      </c>
      <c r="B659" s="101" t="s">
        <v>216</v>
      </c>
      <c r="C659" s="278">
        <v>44248.0</v>
      </c>
      <c r="D659" s="278">
        <v>44275.0</v>
      </c>
      <c r="E659" s="271" t="s">
        <v>268</v>
      </c>
      <c r="F659" s="138" t="s">
        <v>4</v>
      </c>
      <c r="G659" s="101" t="s">
        <v>5</v>
      </c>
      <c r="H659" s="273" t="s">
        <v>46</v>
      </c>
      <c r="I659" s="274">
        <v>10.0</v>
      </c>
      <c r="J659" s="271">
        <v>3.0</v>
      </c>
      <c r="K659" s="271">
        <f t="shared" si="1"/>
        <v>30</v>
      </c>
      <c r="L659" s="271">
        <v>-630.0</v>
      </c>
      <c r="M659" s="271">
        <v>-30.0</v>
      </c>
      <c r="N659" s="275"/>
      <c r="O659" s="60"/>
      <c r="P659" s="101"/>
      <c r="Q659" s="271">
        <v>-14.0</v>
      </c>
      <c r="R659" s="276">
        <v>-0.00331</v>
      </c>
      <c r="S659" s="271">
        <v>-14.0</v>
      </c>
      <c r="T659" s="271">
        <v>-14.0</v>
      </c>
      <c r="U659" s="62">
        <v>1.0</v>
      </c>
      <c r="V659" s="277">
        <v>0.22</v>
      </c>
      <c r="W659" s="277">
        <v>0.0</v>
      </c>
      <c r="X659" s="271">
        <v>-11.0</v>
      </c>
      <c r="Y659" s="271">
        <v>-3.0</v>
      </c>
      <c r="Z659" s="50" t="b">
        <v>1</v>
      </c>
      <c r="AA659" s="50" t="s">
        <v>138</v>
      </c>
      <c r="AB659" s="50" t="s">
        <v>138</v>
      </c>
    </row>
    <row r="660">
      <c r="A660" s="101" t="s">
        <v>216</v>
      </c>
      <c r="B660" s="101" t="s">
        <v>216</v>
      </c>
      <c r="C660" s="278">
        <v>44248.0</v>
      </c>
      <c r="D660" s="278">
        <v>44275.0</v>
      </c>
      <c r="E660" s="271" t="s">
        <v>268</v>
      </c>
      <c r="F660" s="138" t="s">
        <v>4</v>
      </c>
      <c r="G660" s="101" t="s">
        <v>5</v>
      </c>
      <c r="H660" s="273" t="s">
        <v>74</v>
      </c>
      <c r="I660" s="274">
        <v>50.0</v>
      </c>
      <c r="J660" s="271">
        <v>19.0</v>
      </c>
      <c r="K660" s="271">
        <f t="shared" si="1"/>
        <v>950</v>
      </c>
      <c r="L660" s="271">
        <v>788.0</v>
      </c>
      <c r="M660" s="271">
        <v>-50.0</v>
      </c>
      <c r="N660" s="275"/>
      <c r="O660" s="60"/>
      <c r="P660" s="101"/>
      <c r="Q660" s="271">
        <v>7.0</v>
      </c>
      <c r="R660" s="276">
        <v>-0.00331</v>
      </c>
      <c r="S660" s="271">
        <v>4.0</v>
      </c>
      <c r="T660" s="271">
        <v>4.0</v>
      </c>
      <c r="U660" s="62">
        <v>1.0</v>
      </c>
      <c r="V660" s="277">
        <v>0.22</v>
      </c>
      <c r="W660" s="277">
        <v>0.0</v>
      </c>
      <c r="X660" s="271">
        <v>3.0</v>
      </c>
      <c r="Y660" s="271">
        <v>1.0</v>
      </c>
      <c r="Z660" s="50" t="b">
        <v>1</v>
      </c>
      <c r="AA660" s="50" t="s">
        <v>138</v>
      </c>
      <c r="AB660" s="50" t="s">
        <v>138</v>
      </c>
    </row>
    <row r="661">
      <c r="A661" s="101" t="s">
        <v>216</v>
      </c>
      <c r="B661" s="101" t="s">
        <v>216</v>
      </c>
      <c r="C661" s="278">
        <v>44248.0</v>
      </c>
      <c r="D661" s="278">
        <v>44275.0</v>
      </c>
      <c r="E661" s="271" t="s">
        <v>268</v>
      </c>
      <c r="F661" s="138" t="s">
        <v>4</v>
      </c>
      <c r="G661" s="101" t="s">
        <v>5</v>
      </c>
      <c r="H661" s="273" t="s">
        <v>85</v>
      </c>
      <c r="I661" s="274">
        <v>100.0</v>
      </c>
      <c r="J661" s="271">
        <v>60.0</v>
      </c>
      <c r="K661" s="271">
        <f t="shared" si="1"/>
        <v>6000</v>
      </c>
      <c r="L661" s="271">
        <v>-911.0</v>
      </c>
      <c r="M661" s="271">
        <v>-2100.0</v>
      </c>
      <c r="N661" s="275">
        <v>2.0</v>
      </c>
      <c r="O661" s="60"/>
      <c r="P661" s="50">
        <v>2.0</v>
      </c>
      <c r="Q661" s="271">
        <v>-524.0</v>
      </c>
      <c r="R661" s="276">
        <v>-0.00331</v>
      </c>
      <c r="S661" s="271">
        <v>-544.0</v>
      </c>
      <c r="T661" s="271">
        <v>-542.0</v>
      </c>
      <c r="U661" s="62">
        <v>1.0</v>
      </c>
      <c r="V661" s="277">
        <v>0.22</v>
      </c>
      <c r="W661" s="277">
        <v>0.0</v>
      </c>
      <c r="X661" s="271">
        <v>-423.0</v>
      </c>
      <c r="Y661" s="271">
        <v>-119.0</v>
      </c>
      <c r="Z661" s="50" t="b">
        <v>1</v>
      </c>
      <c r="AA661" s="50" t="s">
        <v>138</v>
      </c>
      <c r="AB661" s="50" t="s">
        <v>138</v>
      </c>
    </row>
    <row r="662">
      <c r="A662" s="101" t="s">
        <v>177</v>
      </c>
      <c r="B662" s="101" t="s">
        <v>177</v>
      </c>
      <c r="C662" s="278">
        <v>44256.0</v>
      </c>
      <c r="D662" s="278">
        <v>44286.0</v>
      </c>
      <c r="E662" s="271" t="s">
        <v>268</v>
      </c>
      <c r="F662" s="138" t="s">
        <v>8</v>
      </c>
      <c r="G662" s="280" t="s">
        <v>5</v>
      </c>
      <c r="H662" s="273" t="s">
        <v>85</v>
      </c>
      <c r="I662" s="274">
        <v>100.0</v>
      </c>
      <c r="J662" s="271">
        <v>2158.0</v>
      </c>
      <c r="K662" s="271">
        <f t="shared" si="1"/>
        <v>215800</v>
      </c>
      <c r="L662" s="271">
        <v>66214.0</v>
      </c>
      <c r="M662" s="271">
        <v>400.0</v>
      </c>
      <c r="N662" s="275">
        <v>2078.0</v>
      </c>
      <c r="O662" s="60"/>
      <c r="P662" s="109">
        <v>2078.0</v>
      </c>
      <c r="Q662" s="271">
        <v>757.0</v>
      </c>
      <c r="R662" s="276">
        <v>0.003368</v>
      </c>
      <c r="S662" s="271">
        <v>1484.0</v>
      </c>
      <c r="T662" s="271">
        <v>3562.0</v>
      </c>
      <c r="U662" s="62">
        <v>1.0</v>
      </c>
      <c r="V662" s="277">
        <v>0.12</v>
      </c>
      <c r="W662" s="277">
        <v>0.0</v>
      </c>
      <c r="X662" s="271">
        <v>3135.0</v>
      </c>
      <c r="Y662" s="271">
        <v>427.0</v>
      </c>
      <c r="Z662" s="50" t="b">
        <v>1</v>
      </c>
      <c r="AA662" s="50" t="s">
        <v>138</v>
      </c>
      <c r="AB662" s="50" t="s">
        <v>138</v>
      </c>
    </row>
    <row r="663">
      <c r="A663" s="101" t="s">
        <v>345</v>
      </c>
      <c r="B663" s="271" t="s">
        <v>988</v>
      </c>
      <c r="C663" s="278">
        <v>44256.0</v>
      </c>
      <c r="D663" s="278">
        <v>44286.0</v>
      </c>
      <c r="E663" s="271" t="s">
        <v>331</v>
      </c>
      <c r="F663" s="138" t="s">
        <v>12</v>
      </c>
      <c r="G663" s="271" t="s">
        <v>16</v>
      </c>
      <c r="H663" s="273" t="s">
        <v>85</v>
      </c>
      <c r="I663" s="274">
        <v>100.0</v>
      </c>
      <c r="J663" s="271">
        <v>1.0</v>
      </c>
      <c r="K663" s="271">
        <f t="shared" si="1"/>
        <v>100</v>
      </c>
      <c r="L663" s="271">
        <v>0.0</v>
      </c>
      <c r="M663" s="271">
        <v>0.0</v>
      </c>
      <c r="N663" s="275">
        <v>228.0</v>
      </c>
      <c r="O663" s="60"/>
      <c r="P663" s="50">
        <v>228.0</v>
      </c>
      <c r="Q663" s="271">
        <v>-5.0</v>
      </c>
      <c r="R663" s="276">
        <v>0.0</v>
      </c>
      <c r="S663" s="271">
        <v>-5.0</v>
      </c>
      <c r="T663" s="271">
        <v>228.0</v>
      </c>
      <c r="U663" s="62">
        <v>1.0</v>
      </c>
      <c r="V663" s="277">
        <v>0.15</v>
      </c>
      <c r="W663" s="277">
        <v>0.05</v>
      </c>
      <c r="X663" s="271">
        <v>182.0</v>
      </c>
      <c r="Y663" s="271">
        <v>46.0</v>
      </c>
      <c r="Z663" s="50" t="b">
        <v>1</v>
      </c>
      <c r="AA663" s="50" t="s">
        <v>138</v>
      </c>
      <c r="AB663" s="50" t="s">
        <v>138</v>
      </c>
    </row>
    <row r="664">
      <c r="A664" s="271" t="s">
        <v>459</v>
      </c>
      <c r="B664" s="101" t="s">
        <v>912</v>
      </c>
      <c r="C664" s="278">
        <v>44256.0</v>
      </c>
      <c r="D664" s="278">
        <v>44286.0</v>
      </c>
      <c r="E664" s="271" t="s">
        <v>331</v>
      </c>
      <c r="F664" s="101" t="s">
        <v>8</v>
      </c>
      <c r="G664" s="271" t="s">
        <v>9</v>
      </c>
      <c r="H664" s="273" t="s">
        <v>80</v>
      </c>
      <c r="I664" s="274">
        <v>50.0</v>
      </c>
      <c r="J664" s="271">
        <v>2346.0</v>
      </c>
      <c r="K664" s="271">
        <f t="shared" si="1"/>
        <v>117300</v>
      </c>
      <c r="L664" s="271">
        <v>101782.0</v>
      </c>
      <c r="M664" s="271">
        <v>1000.0</v>
      </c>
      <c r="N664" s="275">
        <v>3000.0</v>
      </c>
      <c r="O664" s="60"/>
      <c r="P664" s="109">
        <v>3000.0</v>
      </c>
      <c r="Q664" s="271">
        <v>-1056.0</v>
      </c>
      <c r="R664" s="276">
        <v>0.0034</v>
      </c>
      <c r="S664" s="271">
        <v>-657.0</v>
      </c>
      <c r="T664" s="271">
        <v>2343.0</v>
      </c>
      <c r="U664" s="62">
        <v>1.0</v>
      </c>
      <c r="V664" s="277">
        <v>0.15</v>
      </c>
      <c r="W664" s="277">
        <v>0.1</v>
      </c>
      <c r="X664" s="271">
        <v>1757.0</v>
      </c>
      <c r="Y664" s="271">
        <v>586.0</v>
      </c>
      <c r="Z664" s="50" t="b">
        <v>1</v>
      </c>
      <c r="AA664" s="50" t="s">
        <v>140</v>
      </c>
      <c r="AB664" s="50" t="s">
        <v>140</v>
      </c>
    </row>
    <row r="665">
      <c r="A665" s="101" t="s">
        <v>505</v>
      </c>
      <c r="B665" s="271" t="s">
        <v>165</v>
      </c>
      <c r="C665" s="278">
        <v>44256.0</v>
      </c>
      <c r="D665" s="278">
        <v>44286.0</v>
      </c>
      <c r="E665" s="271" t="s">
        <v>268</v>
      </c>
      <c r="F665" s="101" t="s">
        <v>4</v>
      </c>
      <c r="G665" s="271" t="s">
        <v>16</v>
      </c>
      <c r="H665" s="273" t="s">
        <v>59</v>
      </c>
      <c r="I665" s="274">
        <v>20.0</v>
      </c>
      <c r="J665" s="271">
        <v>2026.0</v>
      </c>
      <c r="K665" s="271">
        <f t="shared" si="1"/>
        <v>40520</v>
      </c>
      <c r="L665" s="271">
        <v>89727.0</v>
      </c>
      <c r="M665" s="271">
        <v>2660.0</v>
      </c>
      <c r="N665" s="275">
        <v>2280.0</v>
      </c>
      <c r="O665" s="60"/>
      <c r="P665" s="109">
        <v>2280.0</v>
      </c>
      <c r="Q665" s="271">
        <v>764.0</v>
      </c>
      <c r="R665" s="276">
        <v>-0.00312</v>
      </c>
      <c r="S665" s="271">
        <v>638.0</v>
      </c>
      <c r="T665" s="271">
        <v>2918.0</v>
      </c>
      <c r="U665" s="62">
        <v>1.0</v>
      </c>
      <c r="V665" s="277">
        <v>0.22</v>
      </c>
      <c r="W665" s="277">
        <v>0.0</v>
      </c>
      <c r="X665" s="271">
        <v>2276.0</v>
      </c>
      <c r="Y665" s="271">
        <v>642.0</v>
      </c>
      <c r="Z665" s="50" t="b">
        <v>1</v>
      </c>
      <c r="AA665" s="50" t="s">
        <v>138</v>
      </c>
      <c r="AB665" s="50" t="s">
        <v>138</v>
      </c>
    </row>
    <row r="666">
      <c r="A666" s="101" t="s">
        <v>216</v>
      </c>
      <c r="B666" s="101" t="s">
        <v>985</v>
      </c>
      <c r="C666" s="278">
        <v>44256.0</v>
      </c>
      <c r="D666" s="278">
        <v>44286.0</v>
      </c>
      <c r="E666" s="271" t="s">
        <v>268</v>
      </c>
      <c r="F666" s="138" t="s">
        <v>4</v>
      </c>
      <c r="G666" s="101" t="s">
        <v>16</v>
      </c>
      <c r="H666" s="273" t="s">
        <v>88</v>
      </c>
      <c r="I666" s="274">
        <v>100.0</v>
      </c>
      <c r="J666" s="271">
        <v>130.0</v>
      </c>
      <c r="K666" s="271">
        <f t="shared" si="1"/>
        <v>13000</v>
      </c>
      <c r="L666" s="271">
        <v>3914.0</v>
      </c>
      <c r="M666" s="271">
        <v>4000.0</v>
      </c>
      <c r="N666" s="275">
        <v>680.0</v>
      </c>
      <c r="O666" s="60"/>
      <c r="P666" s="50">
        <v>680.0</v>
      </c>
      <c r="Q666" s="271">
        <v>532.0</v>
      </c>
      <c r="R666" s="276">
        <v>-0.00312</v>
      </c>
      <c r="S666" s="271">
        <v>492.0</v>
      </c>
      <c r="T666" s="271">
        <v>1172.0</v>
      </c>
      <c r="U666" s="62">
        <v>1.0</v>
      </c>
      <c r="V666" s="277">
        <v>0.22</v>
      </c>
      <c r="W666" s="277">
        <v>0.0</v>
      </c>
      <c r="X666" s="271">
        <v>914.0</v>
      </c>
      <c r="Y666" s="271">
        <v>258.0</v>
      </c>
      <c r="Z666" s="50" t="b">
        <v>1</v>
      </c>
      <c r="AA666" s="50" t="s">
        <v>138</v>
      </c>
      <c r="AB666" s="50" t="s">
        <v>138</v>
      </c>
    </row>
    <row r="667">
      <c r="A667" s="101" t="s">
        <v>216</v>
      </c>
      <c r="B667" s="101" t="s">
        <v>985</v>
      </c>
      <c r="C667" s="278">
        <v>44256.0</v>
      </c>
      <c r="D667" s="278">
        <v>44286.0</v>
      </c>
      <c r="E667" s="271" t="s">
        <v>268</v>
      </c>
      <c r="F667" s="138" t="s">
        <v>4</v>
      </c>
      <c r="G667" s="101" t="s">
        <v>16</v>
      </c>
      <c r="H667" s="273" t="s">
        <v>85</v>
      </c>
      <c r="I667" s="274">
        <v>100.0</v>
      </c>
      <c r="J667" s="271">
        <v>4276.0</v>
      </c>
      <c r="K667" s="271">
        <f t="shared" si="1"/>
        <v>427600</v>
      </c>
      <c r="L667" s="271">
        <v>86451.0</v>
      </c>
      <c r="M667" s="271">
        <v>-15400.0</v>
      </c>
      <c r="N667" s="275">
        <v>14703.0</v>
      </c>
      <c r="O667" s="60"/>
      <c r="P667" s="109">
        <v>14703.0</v>
      </c>
      <c r="Q667" s="271">
        <v>-6743.0</v>
      </c>
      <c r="R667" s="276">
        <v>-0.00312</v>
      </c>
      <c r="S667" s="271">
        <v>-8077.0</v>
      </c>
      <c r="T667" s="271">
        <v>6626.0</v>
      </c>
      <c r="U667" s="62">
        <v>1.0</v>
      </c>
      <c r="V667" s="277">
        <v>0.22</v>
      </c>
      <c r="W667" s="277">
        <v>0.0</v>
      </c>
      <c r="X667" s="271">
        <v>5168.0</v>
      </c>
      <c r="Y667" s="271">
        <v>1458.0</v>
      </c>
      <c r="Z667" s="50" t="b">
        <v>1</v>
      </c>
      <c r="AA667" s="50" t="s">
        <v>138</v>
      </c>
      <c r="AB667" s="50" t="s">
        <v>138</v>
      </c>
    </row>
    <row r="668">
      <c r="A668" s="101" t="s">
        <v>216</v>
      </c>
      <c r="B668" s="101" t="s">
        <v>985</v>
      </c>
      <c r="C668" s="278">
        <v>44256.0</v>
      </c>
      <c r="D668" s="278">
        <v>44286.0</v>
      </c>
      <c r="E668" s="271" t="s">
        <v>268</v>
      </c>
      <c r="F668" s="138" t="s">
        <v>4</v>
      </c>
      <c r="G668" s="101" t="s">
        <v>16</v>
      </c>
      <c r="H668" s="273" t="s">
        <v>74</v>
      </c>
      <c r="I668" s="274">
        <v>50.0</v>
      </c>
      <c r="J668" s="271">
        <v>30.0</v>
      </c>
      <c r="K668" s="271">
        <f t="shared" si="1"/>
        <v>1500</v>
      </c>
      <c r="L668" s="271">
        <v>-239.0</v>
      </c>
      <c r="M668" s="271">
        <v>50.0</v>
      </c>
      <c r="N668" s="275">
        <v>3.0</v>
      </c>
      <c r="O668" s="60"/>
      <c r="P668" s="50">
        <v>3.0</v>
      </c>
      <c r="Q668" s="271">
        <v>-104.0</v>
      </c>
      <c r="R668" s="276">
        <v>-0.00312</v>
      </c>
      <c r="S668" s="271">
        <v>-108.0</v>
      </c>
      <c r="T668" s="271">
        <v>-105.0</v>
      </c>
      <c r="U668" s="62">
        <v>1.0</v>
      </c>
      <c r="V668" s="277">
        <v>0.22</v>
      </c>
      <c r="W668" s="277">
        <v>0.0</v>
      </c>
      <c r="X668" s="271">
        <v>-82.0</v>
      </c>
      <c r="Y668" s="271">
        <v>-23.0</v>
      </c>
      <c r="Z668" s="50" t="b">
        <v>1</v>
      </c>
      <c r="AA668" s="50" t="s">
        <v>138</v>
      </c>
      <c r="AB668" s="50" t="s">
        <v>138</v>
      </c>
    </row>
    <row r="669">
      <c r="A669" s="101" t="s">
        <v>216</v>
      </c>
      <c r="B669" s="101" t="s">
        <v>985</v>
      </c>
      <c r="C669" s="278">
        <v>44256.0</v>
      </c>
      <c r="D669" s="278">
        <v>44286.0</v>
      </c>
      <c r="E669" s="271" t="s">
        <v>268</v>
      </c>
      <c r="F669" s="138" t="s">
        <v>12</v>
      </c>
      <c r="G669" s="101" t="s">
        <v>16</v>
      </c>
      <c r="H669" s="273" t="s">
        <v>60</v>
      </c>
      <c r="I669" s="274">
        <v>20.0</v>
      </c>
      <c r="J669" s="271">
        <v>5.0</v>
      </c>
      <c r="K669" s="271">
        <f t="shared" si="1"/>
        <v>100</v>
      </c>
      <c r="L669" s="271"/>
      <c r="M669" s="271">
        <v>-100.0</v>
      </c>
      <c r="N669" s="275">
        <v>19.0</v>
      </c>
      <c r="O669" s="60"/>
      <c r="P669" s="50">
        <v>19.0</v>
      </c>
      <c r="Q669" s="271"/>
      <c r="R669" s="276">
        <v>0.0</v>
      </c>
      <c r="S669" s="271"/>
      <c r="T669" s="271">
        <v>-81.0</v>
      </c>
      <c r="U669" s="62">
        <v>1.0</v>
      </c>
      <c r="V669" s="277">
        <v>0.22</v>
      </c>
      <c r="W669" s="277">
        <v>0.0</v>
      </c>
      <c r="X669" s="271">
        <v>-63.0</v>
      </c>
      <c r="Y669" s="271">
        <v>-18.0</v>
      </c>
      <c r="Z669" s="50" t="b">
        <v>1</v>
      </c>
      <c r="AA669" s="50" t="s">
        <v>138</v>
      </c>
      <c r="AB669" s="50" t="s">
        <v>138</v>
      </c>
    </row>
    <row r="670">
      <c r="A670" s="101" t="s">
        <v>267</v>
      </c>
      <c r="B670" s="101" t="s">
        <v>267</v>
      </c>
      <c r="C670" s="278">
        <v>44276.0</v>
      </c>
      <c r="D670" s="278">
        <v>44306.0</v>
      </c>
      <c r="E670" s="271" t="s">
        <v>268</v>
      </c>
      <c r="F670" s="138" t="s">
        <v>4</v>
      </c>
      <c r="G670" s="101" t="s">
        <v>5</v>
      </c>
      <c r="H670" s="273" t="s">
        <v>37</v>
      </c>
      <c r="I670" s="274">
        <v>5.0</v>
      </c>
      <c r="J670" s="271">
        <v>12.0</v>
      </c>
      <c r="K670" s="271">
        <f t="shared" si="1"/>
        <v>60</v>
      </c>
      <c r="L670" s="271">
        <v>800.0</v>
      </c>
      <c r="M670" s="271">
        <v>60.0</v>
      </c>
      <c r="N670" s="275">
        <v>2.0</v>
      </c>
      <c r="O670" s="60"/>
      <c r="P670" s="50">
        <v>2.0</v>
      </c>
      <c r="Q670" s="271">
        <v>8.0</v>
      </c>
      <c r="R670" s="276">
        <v>-0.00312</v>
      </c>
      <c r="S670" s="271">
        <v>8.0</v>
      </c>
      <c r="T670" s="271">
        <v>10.0</v>
      </c>
      <c r="U670" s="62">
        <v>1.0</v>
      </c>
      <c r="V670" s="277">
        <v>0.15</v>
      </c>
      <c r="W670" s="277">
        <v>0.0</v>
      </c>
      <c r="X670" s="271">
        <v>8.0</v>
      </c>
      <c r="Y670" s="271">
        <v>1.0</v>
      </c>
      <c r="Z670" s="50" t="b">
        <v>1</v>
      </c>
      <c r="AA670" s="50" t="s">
        <v>138</v>
      </c>
      <c r="AB670" s="50" t="s">
        <v>138</v>
      </c>
    </row>
    <row r="671">
      <c r="A671" s="101" t="s">
        <v>267</v>
      </c>
      <c r="B671" s="101" t="s">
        <v>267</v>
      </c>
      <c r="C671" s="278">
        <v>44276.0</v>
      </c>
      <c r="D671" s="278">
        <v>44306.0</v>
      </c>
      <c r="E671" s="271" t="s">
        <v>268</v>
      </c>
      <c r="F671" s="138" t="s">
        <v>4</v>
      </c>
      <c r="G671" s="101" t="s">
        <v>5</v>
      </c>
      <c r="H671" s="273" t="s">
        <v>986</v>
      </c>
      <c r="I671" s="274">
        <v>10.0</v>
      </c>
      <c r="J671" s="271">
        <v>224.0</v>
      </c>
      <c r="K671" s="271">
        <f t="shared" si="1"/>
        <v>2240</v>
      </c>
      <c r="L671" s="271">
        <v>1693.0</v>
      </c>
      <c r="M671" s="271">
        <v>-70.0</v>
      </c>
      <c r="N671" s="275">
        <v>96.0</v>
      </c>
      <c r="O671" s="60"/>
      <c r="P671" s="50">
        <v>96.0</v>
      </c>
      <c r="Q671" s="271">
        <v>-137.0</v>
      </c>
      <c r="R671" s="276">
        <v>-0.00312</v>
      </c>
      <c r="S671" s="271">
        <v>-144.0</v>
      </c>
      <c r="T671" s="271">
        <v>-48.0</v>
      </c>
      <c r="U671" s="62">
        <v>1.0</v>
      </c>
      <c r="V671" s="277">
        <v>0.15</v>
      </c>
      <c r="W671" s="277">
        <v>0.0</v>
      </c>
      <c r="X671" s="271">
        <v>-41.0</v>
      </c>
      <c r="Y671" s="271">
        <v>-7.0</v>
      </c>
      <c r="Z671" s="50" t="b">
        <v>1</v>
      </c>
      <c r="AA671" s="50" t="s">
        <v>138</v>
      </c>
      <c r="AB671" s="50" t="s">
        <v>138</v>
      </c>
    </row>
    <row r="672">
      <c r="A672" s="101" t="s">
        <v>267</v>
      </c>
      <c r="B672" s="101" t="s">
        <v>267</v>
      </c>
      <c r="C672" s="278">
        <v>44276.0</v>
      </c>
      <c r="D672" s="278">
        <v>44306.0</v>
      </c>
      <c r="E672" s="271" t="s">
        <v>268</v>
      </c>
      <c r="F672" s="138" t="s">
        <v>4</v>
      </c>
      <c r="G672" s="101" t="s">
        <v>5</v>
      </c>
      <c r="H672" s="273" t="s">
        <v>62</v>
      </c>
      <c r="I672" s="274">
        <v>25.0</v>
      </c>
      <c r="J672" s="271">
        <v>384.0</v>
      </c>
      <c r="K672" s="271">
        <f t="shared" si="1"/>
        <v>9600</v>
      </c>
      <c r="L672" s="271">
        <v>18774.0</v>
      </c>
      <c r="M672" s="271">
        <v>475.0</v>
      </c>
      <c r="N672" s="275">
        <v>307.0</v>
      </c>
      <c r="O672" s="60"/>
      <c r="P672" s="50">
        <v>307.0</v>
      </c>
      <c r="Q672" s="271">
        <v>256.0</v>
      </c>
      <c r="R672" s="276">
        <v>-0.00312</v>
      </c>
      <c r="S672" s="271">
        <v>226.0</v>
      </c>
      <c r="T672" s="271">
        <v>533.0</v>
      </c>
      <c r="U672" s="62">
        <v>1.0</v>
      </c>
      <c r="V672" s="277">
        <v>0.15</v>
      </c>
      <c r="W672" s="277">
        <v>0.0</v>
      </c>
      <c r="X672" s="271">
        <v>453.0</v>
      </c>
      <c r="Y672" s="271">
        <v>80.0</v>
      </c>
      <c r="Z672" s="50" t="b">
        <v>1</v>
      </c>
      <c r="AA672" s="50" t="s">
        <v>138</v>
      </c>
      <c r="AB672" s="50" t="s">
        <v>138</v>
      </c>
    </row>
    <row r="673">
      <c r="A673" s="101" t="s">
        <v>267</v>
      </c>
      <c r="B673" s="101" t="s">
        <v>267</v>
      </c>
      <c r="C673" s="278">
        <v>44276.0</v>
      </c>
      <c r="D673" s="278">
        <v>44306.0</v>
      </c>
      <c r="E673" s="271" t="s">
        <v>268</v>
      </c>
      <c r="F673" s="138" t="s">
        <v>4</v>
      </c>
      <c r="G673" s="101" t="s">
        <v>5</v>
      </c>
      <c r="H673" s="273" t="s">
        <v>63</v>
      </c>
      <c r="I673" s="274">
        <v>25.0</v>
      </c>
      <c r="J673" s="271">
        <v>2489.0</v>
      </c>
      <c r="K673" s="271">
        <f t="shared" si="1"/>
        <v>62225</v>
      </c>
      <c r="L673" s="271">
        <v>65491.0</v>
      </c>
      <c r="M673" s="271">
        <v>3150.0</v>
      </c>
      <c r="N673" s="275">
        <v>2016.0</v>
      </c>
      <c r="O673" s="60"/>
      <c r="P673" s="109">
        <v>2016.0</v>
      </c>
      <c r="Q673" s="271">
        <v>1078.0</v>
      </c>
      <c r="R673" s="276">
        <v>-0.00312</v>
      </c>
      <c r="S673" s="271">
        <v>883.0</v>
      </c>
      <c r="T673" s="271">
        <v>2899.0</v>
      </c>
      <c r="U673" s="62">
        <v>1.0</v>
      </c>
      <c r="V673" s="277">
        <v>0.15</v>
      </c>
      <c r="W673" s="277">
        <v>0.0</v>
      </c>
      <c r="X673" s="271">
        <v>2465.0</v>
      </c>
      <c r="Y673" s="271">
        <v>435.0</v>
      </c>
      <c r="Z673" s="50" t="b">
        <v>1</v>
      </c>
      <c r="AA673" s="50" t="s">
        <v>138</v>
      </c>
      <c r="AB673" s="50" t="s">
        <v>138</v>
      </c>
    </row>
    <row r="674">
      <c r="A674" s="101" t="s">
        <v>267</v>
      </c>
      <c r="B674" s="101" t="s">
        <v>267</v>
      </c>
      <c r="C674" s="278">
        <v>44276.0</v>
      </c>
      <c r="D674" s="278">
        <v>44306.0</v>
      </c>
      <c r="E674" s="271" t="s">
        <v>268</v>
      </c>
      <c r="F674" s="138" t="s">
        <v>4</v>
      </c>
      <c r="G674" s="101" t="s">
        <v>5</v>
      </c>
      <c r="H674" s="273" t="s">
        <v>74</v>
      </c>
      <c r="I674" s="274">
        <v>50.0</v>
      </c>
      <c r="J674" s="271">
        <v>380.0</v>
      </c>
      <c r="K674" s="271">
        <f t="shared" si="1"/>
        <v>19000</v>
      </c>
      <c r="L674" s="271">
        <v>16474.0</v>
      </c>
      <c r="M674" s="271">
        <v>-2200.0</v>
      </c>
      <c r="N674" s="275">
        <v>610.0</v>
      </c>
      <c r="O674" s="60"/>
      <c r="P674" s="50">
        <v>610.0</v>
      </c>
      <c r="Q674" s="271">
        <v>311.0</v>
      </c>
      <c r="R674" s="276">
        <v>-0.00312</v>
      </c>
      <c r="S674" s="271">
        <v>252.0</v>
      </c>
      <c r="T674" s="271">
        <v>862.0</v>
      </c>
      <c r="U674" s="62">
        <v>1.0</v>
      </c>
      <c r="V674" s="277">
        <v>0.15</v>
      </c>
      <c r="W674" s="277">
        <v>0.0</v>
      </c>
      <c r="X674" s="271">
        <v>733.0</v>
      </c>
      <c r="Y674" s="271">
        <v>129.0</v>
      </c>
      <c r="Z674" s="50" t="b">
        <v>1</v>
      </c>
      <c r="AA674" s="50" t="s">
        <v>138</v>
      </c>
      <c r="AB674" s="50" t="s">
        <v>138</v>
      </c>
    </row>
    <row r="675">
      <c r="A675" s="101" t="s">
        <v>267</v>
      </c>
      <c r="B675" s="101" t="s">
        <v>267</v>
      </c>
      <c r="C675" s="278">
        <v>44276.0</v>
      </c>
      <c r="D675" s="278">
        <v>44306.0</v>
      </c>
      <c r="E675" s="271" t="s">
        <v>268</v>
      </c>
      <c r="F675" s="138" t="s">
        <v>4</v>
      </c>
      <c r="G675" s="101" t="s">
        <v>5</v>
      </c>
      <c r="H675" s="273" t="s">
        <v>75</v>
      </c>
      <c r="I675" s="274">
        <v>50.0</v>
      </c>
      <c r="J675" s="271">
        <v>2864.0</v>
      </c>
      <c r="K675" s="271">
        <f t="shared" si="1"/>
        <v>143200</v>
      </c>
      <c r="L675" s="271">
        <v>46916.0</v>
      </c>
      <c r="M675" s="271">
        <v>-3175.0</v>
      </c>
      <c r="N675" s="275">
        <v>4608.0</v>
      </c>
      <c r="O675" s="60"/>
      <c r="P675" s="109">
        <v>4608.0</v>
      </c>
      <c r="Q675" s="271">
        <v>-1915.0</v>
      </c>
      <c r="R675" s="276">
        <v>-0.00312</v>
      </c>
      <c r="S675" s="271">
        <v>-2362.0</v>
      </c>
      <c r="T675" s="271">
        <v>2246.0</v>
      </c>
      <c r="U675" s="62">
        <v>1.0</v>
      </c>
      <c r="V675" s="277">
        <v>0.15</v>
      </c>
      <c r="W675" s="277">
        <v>0.0</v>
      </c>
      <c r="X675" s="271">
        <v>1909.0</v>
      </c>
      <c r="Y675" s="271">
        <v>337.0</v>
      </c>
      <c r="Z675" s="50" t="b">
        <v>1</v>
      </c>
      <c r="AA675" s="50" t="s">
        <v>138</v>
      </c>
      <c r="AB675" s="50" t="s">
        <v>138</v>
      </c>
    </row>
    <row r="676">
      <c r="A676" s="271" t="s">
        <v>144</v>
      </c>
      <c r="B676" s="271" t="s">
        <v>144</v>
      </c>
      <c r="C676" s="278">
        <v>44276.0</v>
      </c>
      <c r="D676" s="278">
        <v>44306.0</v>
      </c>
      <c r="E676" s="271" t="s">
        <v>268</v>
      </c>
      <c r="F676" s="101" t="s">
        <v>4</v>
      </c>
      <c r="G676" s="271" t="s">
        <v>9</v>
      </c>
      <c r="H676" s="273" t="s">
        <v>55</v>
      </c>
      <c r="I676" s="274">
        <v>10.0</v>
      </c>
      <c r="J676" s="271">
        <v>2124.0</v>
      </c>
      <c r="K676" s="271">
        <f t="shared" si="1"/>
        <v>21240</v>
      </c>
      <c r="L676" s="271">
        <v>178768.0</v>
      </c>
      <c r="M676" s="271">
        <v>1950.0</v>
      </c>
      <c r="N676" s="275">
        <v>438.0</v>
      </c>
      <c r="O676" s="60"/>
      <c r="P676" s="50">
        <v>438.0</v>
      </c>
      <c r="Q676" s="271">
        <v>1401.0</v>
      </c>
      <c r="R676" s="276">
        <v>-0.00312</v>
      </c>
      <c r="S676" s="271">
        <v>1335.0</v>
      </c>
      <c r="T676" s="271">
        <v>1773.0</v>
      </c>
      <c r="U676" s="62">
        <v>1.0</v>
      </c>
      <c r="V676" s="277">
        <v>0.25</v>
      </c>
      <c r="W676" s="277">
        <v>0.0</v>
      </c>
      <c r="X676" s="271">
        <v>1330.0</v>
      </c>
      <c r="Y676" s="271">
        <v>443.0</v>
      </c>
      <c r="Z676" s="50" t="b">
        <v>1</v>
      </c>
      <c r="AA676" s="50" t="s">
        <v>140</v>
      </c>
      <c r="AB676" s="50" t="s">
        <v>140</v>
      </c>
    </row>
    <row r="677">
      <c r="A677" s="271" t="s">
        <v>144</v>
      </c>
      <c r="B677" s="271" t="s">
        <v>144</v>
      </c>
      <c r="C677" s="278">
        <v>44276.0</v>
      </c>
      <c r="D677" s="278">
        <v>44306.0</v>
      </c>
      <c r="E677" s="271" t="s">
        <v>268</v>
      </c>
      <c r="F677" s="101" t="s">
        <v>4</v>
      </c>
      <c r="G677" s="271" t="s">
        <v>9</v>
      </c>
      <c r="H677" s="273" t="s">
        <v>68</v>
      </c>
      <c r="I677" s="274">
        <v>25.0</v>
      </c>
      <c r="J677" s="271">
        <v>376.0</v>
      </c>
      <c r="K677" s="271">
        <f t="shared" si="1"/>
        <v>9400</v>
      </c>
      <c r="L677" s="271">
        <v>10447.0</v>
      </c>
      <c r="M677" s="271">
        <v>-950.0</v>
      </c>
      <c r="N677" s="275">
        <v>51.0</v>
      </c>
      <c r="O677" s="60"/>
      <c r="P677" s="50">
        <v>51.0</v>
      </c>
      <c r="Q677" s="271">
        <v>-345.0</v>
      </c>
      <c r="R677" s="276">
        <v>-0.00312</v>
      </c>
      <c r="S677" s="271">
        <v>-375.0</v>
      </c>
      <c r="T677" s="271">
        <v>-324.0</v>
      </c>
      <c r="U677" s="62">
        <v>1.0</v>
      </c>
      <c r="V677" s="277">
        <v>0.25</v>
      </c>
      <c r="W677" s="277">
        <v>0.0</v>
      </c>
      <c r="X677" s="271">
        <v>-243.0</v>
      </c>
      <c r="Y677" s="271">
        <v>-81.0</v>
      </c>
      <c r="Z677" s="50" t="b">
        <v>1</v>
      </c>
      <c r="AA677" s="50" t="s">
        <v>140</v>
      </c>
      <c r="AB677" s="50" t="s">
        <v>140</v>
      </c>
    </row>
    <row r="678">
      <c r="A678" s="271" t="s">
        <v>144</v>
      </c>
      <c r="B678" s="271" t="s">
        <v>144</v>
      </c>
      <c r="C678" s="278">
        <v>44276.0</v>
      </c>
      <c r="D678" s="278">
        <v>44306.0</v>
      </c>
      <c r="E678" s="271" t="s">
        <v>268</v>
      </c>
      <c r="F678" s="101" t="s">
        <v>12</v>
      </c>
      <c r="G678" s="271" t="s">
        <v>9</v>
      </c>
      <c r="H678" s="273" t="s">
        <v>80</v>
      </c>
      <c r="I678" s="274">
        <v>50.0</v>
      </c>
      <c r="J678" s="271">
        <v>5.0</v>
      </c>
      <c r="K678" s="271">
        <f t="shared" si="1"/>
        <v>250</v>
      </c>
      <c r="L678" s="271"/>
      <c r="M678" s="271">
        <v>-100.0</v>
      </c>
      <c r="N678" s="275">
        <v>1.0</v>
      </c>
      <c r="O678" s="60"/>
      <c r="P678" s="50">
        <v>1.0</v>
      </c>
      <c r="Q678" s="271"/>
      <c r="R678" s="276">
        <v>0.0</v>
      </c>
      <c r="S678" s="271"/>
      <c r="T678" s="271">
        <v>-99.0</v>
      </c>
      <c r="U678" s="62">
        <v>1.0</v>
      </c>
      <c r="V678" s="277">
        <v>0.25</v>
      </c>
      <c r="W678" s="277">
        <v>0.0</v>
      </c>
      <c r="X678" s="271">
        <v>-74.0</v>
      </c>
      <c r="Y678" s="271">
        <v>-25.0</v>
      </c>
      <c r="Z678" s="50" t="b">
        <v>1</v>
      </c>
      <c r="AA678" s="50" t="s">
        <v>140</v>
      </c>
      <c r="AB678" s="50" t="s">
        <v>140</v>
      </c>
    </row>
    <row r="679">
      <c r="A679" s="101" t="s">
        <v>148</v>
      </c>
      <c r="B679" s="101" t="s">
        <v>148</v>
      </c>
      <c r="C679" s="278">
        <v>44276.0</v>
      </c>
      <c r="D679" s="278">
        <v>44306.0</v>
      </c>
      <c r="E679" s="271" t="s">
        <v>331</v>
      </c>
      <c r="F679" s="138" t="s">
        <v>4</v>
      </c>
      <c r="G679" s="101" t="s">
        <v>5</v>
      </c>
      <c r="H679" s="273" t="s">
        <v>62</v>
      </c>
      <c r="I679" s="274">
        <v>25.0</v>
      </c>
      <c r="J679" s="271">
        <v>7097.0</v>
      </c>
      <c r="K679" s="271">
        <f t="shared" si="1"/>
        <v>177425</v>
      </c>
      <c r="L679" s="271">
        <v>226843.0</v>
      </c>
      <c r="M679" s="271">
        <v>-975.0</v>
      </c>
      <c r="N679" s="275">
        <v>4438.0</v>
      </c>
      <c r="O679" s="60"/>
      <c r="P679" s="109">
        <v>4438.0</v>
      </c>
      <c r="Q679" s="271">
        <v>-839.0</v>
      </c>
      <c r="R679" s="276">
        <v>-0.00312</v>
      </c>
      <c r="S679" s="271">
        <v>-1393.0</v>
      </c>
      <c r="T679" s="271">
        <v>3045.0</v>
      </c>
      <c r="U679" s="62">
        <v>1.0</v>
      </c>
      <c r="V679" s="277">
        <v>0.15</v>
      </c>
      <c r="W679" s="277">
        <v>0.05</v>
      </c>
      <c r="X679" s="271">
        <v>2436.0</v>
      </c>
      <c r="Y679" s="271">
        <v>609.0</v>
      </c>
      <c r="Z679" s="50" t="b">
        <v>1</v>
      </c>
      <c r="AA679" s="50" t="s">
        <v>138</v>
      </c>
      <c r="AB679" s="50" t="s">
        <v>138</v>
      </c>
    </row>
    <row r="680">
      <c r="A680" s="101" t="s">
        <v>148</v>
      </c>
      <c r="B680" s="101" t="s">
        <v>148</v>
      </c>
      <c r="C680" s="278">
        <v>44276.0</v>
      </c>
      <c r="D680" s="278">
        <v>44306.0</v>
      </c>
      <c r="E680" s="271" t="s">
        <v>331</v>
      </c>
      <c r="F680" s="138" t="s">
        <v>4</v>
      </c>
      <c r="G680" s="101" t="s">
        <v>5</v>
      </c>
      <c r="H680" s="273" t="s">
        <v>74</v>
      </c>
      <c r="I680" s="274">
        <v>50.0</v>
      </c>
      <c r="J680" s="271">
        <v>309.0</v>
      </c>
      <c r="K680" s="271">
        <f t="shared" si="1"/>
        <v>15450</v>
      </c>
      <c r="L680" s="271">
        <v>13097.0</v>
      </c>
      <c r="M680" s="271">
        <v>-700.0</v>
      </c>
      <c r="N680" s="275">
        <v>387.0</v>
      </c>
      <c r="O680" s="60"/>
      <c r="P680" s="50">
        <v>387.0</v>
      </c>
      <c r="Q680" s="271">
        <v>225.0</v>
      </c>
      <c r="R680" s="276">
        <v>-0.00312</v>
      </c>
      <c r="S680" s="271">
        <v>177.0</v>
      </c>
      <c r="T680" s="271">
        <v>564.0</v>
      </c>
      <c r="U680" s="62">
        <v>1.0</v>
      </c>
      <c r="V680" s="277">
        <v>0.15</v>
      </c>
      <c r="W680" s="277">
        <v>0.05</v>
      </c>
      <c r="X680" s="271">
        <v>451.0</v>
      </c>
      <c r="Y680" s="271">
        <v>113.0</v>
      </c>
      <c r="Z680" s="50" t="b">
        <v>1</v>
      </c>
      <c r="AA680" s="50" t="s">
        <v>138</v>
      </c>
      <c r="AB680" s="50" t="s">
        <v>138</v>
      </c>
    </row>
    <row r="681">
      <c r="A681" s="101" t="s">
        <v>148</v>
      </c>
      <c r="B681" s="101" t="s">
        <v>148</v>
      </c>
      <c r="C681" s="278">
        <v>44276.0</v>
      </c>
      <c r="D681" s="278">
        <v>44306.0</v>
      </c>
      <c r="E681" s="271" t="s">
        <v>331</v>
      </c>
      <c r="F681" s="138" t="s">
        <v>12</v>
      </c>
      <c r="G681" s="101" t="s">
        <v>5</v>
      </c>
      <c r="H681" s="273" t="s">
        <v>34</v>
      </c>
      <c r="I681" s="274">
        <v>5.0</v>
      </c>
      <c r="J681" s="271">
        <v>22.0</v>
      </c>
      <c r="K681" s="271">
        <f t="shared" si="1"/>
        <v>110</v>
      </c>
      <c r="L681" s="271"/>
      <c r="M681" s="271">
        <v>30.0</v>
      </c>
      <c r="N681" s="275">
        <v>3.0</v>
      </c>
      <c r="O681" s="60"/>
      <c r="P681" s="50">
        <v>3.0</v>
      </c>
      <c r="Q681" s="271"/>
      <c r="R681" s="276">
        <v>0.0</v>
      </c>
      <c r="S681" s="271"/>
      <c r="T681" s="271">
        <v>33.0</v>
      </c>
      <c r="U681" s="62">
        <v>1.0</v>
      </c>
      <c r="V681" s="277">
        <v>0.15</v>
      </c>
      <c r="W681" s="277">
        <v>0.05</v>
      </c>
      <c r="X681" s="271">
        <v>26.0</v>
      </c>
      <c r="Y681" s="271">
        <v>7.0</v>
      </c>
      <c r="Z681" s="50" t="b">
        <v>1</v>
      </c>
      <c r="AA681" s="50" t="s">
        <v>138</v>
      </c>
      <c r="AB681" s="50" t="s">
        <v>138</v>
      </c>
    </row>
    <row r="682">
      <c r="A682" s="101" t="s">
        <v>148</v>
      </c>
      <c r="B682" s="101" t="s">
        <v>148</v>
      </c>
      <c r="C682" s="278">
        <v>44276.0</v>
      </c>
      <c r="D682" s="278">
        <v>44306.0</v>
      </c>
      <c r="E682" s="271" t="s">
        <v>331</v>
      </c>
      <c r="F682" s="138" t="s">
        <v>12</v>
      </c>
      <c r="G682" s="101" t="s">
        <v>5</v>
      </c>
      <c r="H682" s="273" t="s">
        <v>75</v>
      </c>
      <c r="I682" s="274">
        <v>50.0</v>
      </c>
      <c r="J682" s="271">
        <v>2.0</v>
      </c>
      <c r="K682" s="271">
        <f t="shared" si="1"/>
        <v>100</v>
      </c>
      <c r="L682" s="271"/>
      <c r="M682" s="271">
        <v>200.0</v>
      </c>
      <c r="N682" s="275">
        <v>5.0</v>
      </c>
      <c r="O682" s="60"/>
      <c r="P682" s="50">
        <v>5.0</v>
      </c>
      <c r="Q682" s="271"/>
      <c r="R682" s="276">
        <v>0.0</v>
      </c>
      <c r="S682" s="271"/>
      <c r="T682" s="271">
        <v>205.0</v>
      </c>
      <c r="U682" s="62">
        <v>1.0</v>
      </c>
      <c r="V682" s="277">
        <v>0.15</v>
      </c>
      <c r="W682" s="277">
        <v>0.05</v>
      </c>
      <c r="X682" s="271">
        <v>164.0</v>
      </c>
      <c r="Y682" s="271">
        <v>41.0</v>
      </c>
      <c r="Z682" s="50" t="b">
        <v>1</v>
      </c>
      <c r="AA682" s="50" t="s">
        <v>138</v>
      </c>
      <c r="AB682" s="50" t="s">
        <v>138</v>
      </c>
    </row>
    <row r="683">
      <c r="A683" s="101" t="s">
        <v>182</v>
      </c>
      <c r="B683" s="101">
        <v>66.5622</v>
      </c>
      <c r="C683" s="278">
        <v>44276.0</v>
      </c>
      <c r="D683" s="278">
        <v>44306.0</v>
      </c>
      <c r="E683" s="271" t="s">
        <v>268</v>
      </c>
      <c r="F683" s="101" t="s">
        <v>4</v>
      </c>
      <c r="G683" s="271" t="s">
        <v>9</v>
      </c>
      <c r="H683" s="273" t="s">
        <v>55</v>
      </c>
      <c r="I683" s="274">
        <v>10.0</v>
      </c>
      <c r="J683" s="271">
        <v>884.0</v>
      </c>
      <c r="K683" s="271">
        <f t="shared" si="1"/>
        <v>8840</v>
      </c>
      <c r="L683" s="271">
        <v>45968.0</v>
      </c>
      <c r="M683" s="271">
        <v>-550.0</v>
      </c>
      <c r="N683" s="275"/>
      <c r="O683" s="60"/>
      <c r="P683" s="101"/>
      <c r="Q683" s="271">
        <v>65.0</v>
      </c>
      <c r="R683" s="276">
        <v>-0.00312</v>
      </c>
      <c r="S683" s="271">
        <v>37.0</v>
      </c>
      <c r="T683" s="271">
        <v>37.0</v>
      </c>
      <c r="U683" s="62">
        <v>1.203</v>
      </c>
      <c r="V683" s="277">
        <v>0.2</v>
      </c>
      <c r="W683" s="277">
        <v>0.0</v>
      </c>
      <c r="X683" s="271">
        <v>36.0</v>
      </c>
      <c r="Y683" s="271">
        <v>9.0</v>
      </c>
      <c r="Z683" s="50" t="b">
        <v>1</v>
      </c>
      <c r="AA683" s="50" t="s">
        <v>138</v>
      </c>
      <c r="AB683" s="50" t="s">
        <v>140</v>
      </c>
    </row>
    <row r="684">
      <c r="A684" s="101" t="s">
        <v>182</v>
      </c>
      <c r="B684" s="101" t="s">
        <v>182</v>
      </c>
      <c r="C684" s="278">
        <v>44276.0</v>
      </c>
      <c r="D684" s="278">
        <v>44306.0</v>
      </c>
      <c r="E684" s="271" t="s">
        <v>268</v>
      </c>
      <c r="F684" s="101" t="s">
        <v>4</v>
      </c>
      <c r="G684" s="271" t="s">
        <v>5</v>
      </c>
      <c r="H684" s="273" t="s">
        <v>34</v>
      </c>
      <c r="I684" s="274">
        <v>5.0</v>
      </c>
      <c r="J684" s="271">
        <v>1.0</v>
      </c>
      <c r="K684" s="271">
        <f t="shared" si="1"/>
        <v>5</v>
      </c>
      <c r="L684" s="271">
        <v>-217.0</v>
      </c>
      <c r="M684" s="271">
        <v>-5.0</v>
      </c>
      <c r="N684" s="275"/>
      <c r="O684" s="60"/>
      <c r="P684" s="101"/>
      <c r="Q684" s="271">
        <v>-2.0</v>
      </c>
      <c r="R684" s="276">
        <v>-0.00312</v>
      </c>
      <c r="S684" s="271">
        <v>-2.0</v>
      </c>
      <c r="T684" s="271">
        <v>-2.0</v>
      </c>
      <c r="U684" s="62">
        <v>1.0</v>
      </c>
      <c r="V684" s="277">
        <v>0.2</v>
      </c>
      <c r="W684" s="277">
        <v>0.0</v>
      </c>
      <c r="X684" s="271">
        <v>-2.0</v>
      </c>
      <c r="Y684" s="271">
        <v>0.0</v>
      </c>
      <c r="Z684" s="50" t="b">
        <v>1</v>
      </c>
      <c r="AA684" s="50" t="s">
        <v>138</v>
      </c>
      <c r="AB684" s="50" t="s">
        <v>138</v>
      </c>
    </row>
    <row r="685">
      <c r="A685" s="101" t="s">
        <v>182</v>
      </c>
      <c r="B685" s="101" t="s">
        <v>182</v>
      </c>
      <c r="C685" s="278">
        <v>44276.0</v>
      </c>
      <c r="D685" s="278">
        <v>44306.0</v>
      </c>
      <c r="E685" s="271" t="s">
        <v>268</v>
      </c>
      <c r="F685" s="101" t="s">
        <v>4</v>
      </c>
      <c r="G685" s="271" t="s">
        <v>5</v>
      </c>
      <c r="H685" s="273" t="s">
        <v>46</v>
      </c>
      <c r="I685" s="274">
        <v>10.0</v>
      </c>
      <c r="J685" s="271">
        <v>357.0</v>
      </c>
      <c r="K685" s="271">
        <f t="shared" si="1"/>
        <v>3570</v>
      </c>
      <c r="L685" s="271">
        <v>5006.0</v>
      </c>
      <c r="M685" s="271">
        <v>-210.0</v>
      </c>
      <c r="N685" s="275">
        <v>61.0</v>
      </c>
      <c r="O685" s="60"/>
      <c r="P685" s="50">
        <v>61.0</v>
      </c>
      <c r="Q685" s="271">
        <v>-209.0</v>
      </c>
      <c r="R685" s="276">
        <v>-0.00312</v>
      </c>
      <c r="S685" s="271">
        <v>-220.0</v>
      </c>
      <c r="T685" s="271">
        <v>-159.0</v>
      </c>
      <c r="U685" s="62">
        <v>1.0</v>
      </c>
      <c r="V685" s="277">
        <v>0.2</v>
      </c>
      <c r="W685" s="277">
        <v>0.0</v>
      </c>
      <c r="X685" s="271">
        <v>-127.0</v>
      </c>
      <c r="Y685" s="271">
        <v>-32.0</v>
      </c>
      <c r="Z685" s="50" t="b">
        <v>1</v>
      </c>
      <c r="AA685" s="50" t="s">
        <v>138</v>
      </c>
      <c r="AB685" s="50" t="s">
        <v>138</v>
      </c>
    </row>
    <row r="686">
      <c r="A686" s="101" t="s">
        <v>345</v>
      </c>
      <c r="B686" s="271" t="s">
        <v>905</v>
      </c>
      <c r="C686" s="278">
        <v>44272.0</v>
      </c>
      <c r="D686" s="278">
        <v>44306.0</v>
      </c>
      <c r="E686" s="271" t="s">
        <v>331</v>
      </c>
      <c r="F686" s="138" t="s">
        <v>4</v>
      </c>
      <c r="G686" s="271" t="s">
        <v>13</v>
      </c>
      <c r="H686" s="273" t="s">
        <v>59</v>
      </c>
      <c r="I686" s="274">
        <v>20.0</v>
      </c>
      <c r="J686" s="271">
        <v>1641.0</v>
      </c>
      <c r="K686" s="271">
        <f t="shared" si="1"/>
        <v>32820</v>
      </c>
      <c r="L686" s="271">
        <v>32358.0</v>
      </c>
      <c r="M686" s="271">
        <v>-800.0</v>
      </c>
      <c r="N686" s="275">
        <v>2103.51</v>
      </c>
      <c r="O686" s="60"/>
      <c r="P686" s="109">
        <v>2104.0</v>
      </c>
      <c r="Q686" s="271">
        <v>-545.0</v>
      </c>
      <c r="R686" s="276">
        <v>-0.00312</v>
      </c>
      <c r="S686" s="271">
        <v>-647.0</v>
      </c>
      <c r="T686" s="271">
        <v>1456.0</v>
      </c>
      <c r="U686" s="62">
        <v>1.0</v>
      </c>
      <c r="V686" s="277">
        <v>0.15</v>
      </c>
      <c r="W686" s="277">
        <v>0.05</v>
      </c>
      <c r="X686" s="271">
        <v>1165.0</v>
      </c>
      <c r="Y686" s="271">
        <v>291.0</v>
      </c>
      <c r="Z686" s="50" t="b">
        <v>1</v>
      </c>
      <c r="AA686" s="50" t="s">
        <v>138</v>
      </c>
      <c r="AB686" s="50" t="s">
        <v>138</v>
      </c>
    </row>
    <row r="687">
      <c r="A687" s="101" t="s">
        <v>345</v>
      </c>
      <c r="B687" s="271" t="s">
        <v>905</v>
      </c>
      <c r="C687" s="278">
        <v>44272.0</v>
      </c>
      <c r="D687" s="278">
        <v>44306.0</v>
      </c>
      <c r="E687" s="271" t="s">
        <v>331</v>
      </c>
      <c r="F687" s="138" t="s">
        <v>4</v>
      </c>
      <c r="G687" s="271" t="s">
        <v>13</v>
      </c>
      <c r="H687" s="273" t="s">
        <v>74</v>
      </c>
      <c r="I687" s="274">
        <v>50.0</v>
      </c>
      <c r="J687" s="271">
        <v>448.0</v>
      </c>
      <c r="K687" s="271">
        <f t="shared" si="1"/>
        <v>22400</v>
      </c>
      <c r="L687" s="271">
        <v>-4515.0</v>
      </c>
      <c r="M687" s="271">
        <v>-950.0</v>
      </c>
      <c r="N687" s="275">
        <v>1435.67</v>
      </c>
      <c r="O687" s="60"/>
      <c r="P687" s="109">
        <v>1436.0</v>
      </c>
      <c r="Q687" s="271">
        <v>-2292.0</v>
      </c>
      <c r="R687" s="276">
        <v>-0.00312</v>
      </c>
      <c r="S687" s="271">
        <v>-2362.0</v>
      </c>
      <c r="T687" s="271">
        <v>-926.0</v>
      </c>
      <c r="U687" s="62">
        <v>1.0</v>
      </c>
      <c r="V687" s="277">
        <v>0.15</v>
      </c>
      <c r="W687" s="277">
        <v>0.05</v>
      </c>
      <c r="X687" s="271">
        <v>-741.0</v>
      </c>
      <c r="Y687" s="271">
        <v>-185.0</v>
      </c>
      <c r="Z687" s="50" t="b">
        <v>1</v>
      </c>
      <c r="AA687" s="50" t="s">
        <v>138</v>
      </c>
      <c r="AB687" s="50" t="s">
        <v>138</v>
      </c>
    </row>
    <row r="688">
      <c r="A688" s="101" t="s">
        <v>345</v>
      </c>
      <c r="B688" s="271" t="s">
        <v>905</v>
      </c>
      <c r="C688" s="278">
        <v>44272.0</v>
      </c>
      <c r="D688" s="278">
        <v>44306.0</v>
      </c>
      <c r="E688" s="271" t="s">
        <v>331</v>
      </c>
      <c r="F688" s="138" t="s">
        <v>4</v>
      </c>
      <c r="G688" s="271" t="s">
        <v>13</v>
      </c>
      <c r="H688" s="273" t="s">
        <v>85</v>
      </c>
      <c r="I688" s="274">
        <v>100.0</v>
      </c>
      <c r="J688" s="271">
        <v>445.0</v>
      </c>
      <c r="K688" s="271">
        <f t="shared" si="1"/>
        <v>44500</v>
      </c>
      <c r="L688" s="271">
        <v>-2.0</v>
      </c>
      <c r="M688" s="271">
        <v>-5300.0</v>
      </c>
      <c r="N688" s="275">
        <v>2852.11</v>
      </c>
      <c r="O688" s="60"/>
      <c r="P688" s="109">
        <v>2852.0</v>
      </c>
      <c r="Q688" s="271">
        <v>-3264.0</v>
      </c>
      <c r="R688" s="276">
        <v>-0.00312</v>
      </c>
      <c r="S688" s="271">
        <v>-3403.0</v>
      </c>
      <c r="T688" s="271">
        <v>-551.0</v>
      </c>
      <c r="U688" s="62">
        <v>1.0</v>
      </c>
      <c r="V688" s="277">
        <v>0.15</v>
      </c>
      <c r="W688" s="277">
        <v>0.05</v>
      </c>
      <c r="X688" s="271">
        <v>-441.0</v>
      </c>
      <c r="Y688" s="271">
        <v>-110.0</v>
      </c>
      <c r="Z688" s="50" t="b">
        <v>1</v>
      </c>
      <c r="AA688" s="50" t="s">
        <v>138</v>
      </c>
      <c r="AB688" s="50" t="s">
        <v>138</v>
      </c>
    </row>
    <row r="689">
      <c r="A689" s="101" t="s">
        <v>345</v>
      </c>
      <c r="B689" s="271" t="s">
        <v>905</v>
      </c>
      <c r="C689" s="278">
        <v>44272.0</v>
      </c>
      <c r="D689" s="278">
        <v>44306.0</v>
      </c>
      <c r="E689" s="271" t="s">
        <v>331</v>
      </c>
      <c r="F689" s="138" t="s">
        <v>4</v>
      </c>
      <c r="G689" s="271" t="s">
        <v>13</v>
      </c>
      <c r="H689" s="273" t="s">
        <v>93</v>
      </c>
      <c r="I689" s="274">
        <v>200.0</v>
      </c>
      <c r="J689" s="271">
        <v>3.0</v>
      </c>
      <c r="K689" s="271">
        <f t="shared" si="1"/>
        <v>600</v>
      </c>
      <c r="L689" s="271">
        <v>-410.0</v>
      </c>
      <c r="M689" s="271">
        <v>-600.0</v>
      </c>
      <c r="N689" s="275">
        <v>38.46</v>
      </c>
      <c r="O689" s="60"/>
      <c r="P689" s="50">
        <v>38.0</v>
      </c>
      <c r="Q689" s="271">
        <v>-280.0</v>
      </c>
      <c r="R689" s="276">
        <v>-0.00312</v>
      </c>
      <c r="S689" s="271">
        <v>-282.0</v>
      </c>
      <c r="T689" s="271">
        <v>-243.0</v>
      </c>
      <c r="U689" s="62">
        <v>1.0</v>
      </c>
      <c r="V689" s="277">
        <v>0.15</v>
      </c>
      <c r="W689" s="277">
        <v>0.05</v>
      </c>
      <c r="X689" s="271">
        <v>-195.0</v>
      </c>
      <c r="Y689" s="271">
        <v>-49.0</v>
      </c>
      <c r="Z689" s="50" t="b">
        <v>1</v>
      </c>
      <c r="AA689" s="50" t="s">
        <v>138</v>
      </c>
      <c r="AB689" s="50" t="s">
        <v>138</v>
      </c>
    </row>
    <row r="690">
      <c r="A690" s="101" t="s">
        <v>416</v>
      </c>
      <c r="B690" s="101" t="s">
        <v>416</v>
      </c>
      <c r="C690" s="278">
        <v>44276.0</v>
      </c>
      <c r="D690" s="278">
        <v>44306.0</v>
      </c>
      <c r="E690" s="271" t="s">
        <v>268</v>
      </c>
      <c r="F690" s="138" t="s">
        <v>4</v>
      </c>
      <c r="G690" s="101" t="s">
        <v>22</v>
      </c>
      <c r="H690" s="273" t="s">
        <v>40</v>
      </c>
      <c r="I690" s="274">
        <v>5.0</v>
      </c>
      <c r="J690" s="271">
        <v>104.0</v>
      </c>
      <c r="K690" s="271">
        <f t="shared" si="1"/>
        <v>520</v>
      </c>
      <c r="L690" s="271">
        <v>13082.0</v>
      </c>
      <c r="M690" s="271">
        <v>25.0</v>
      </c>
      <c r="N690" s="275"/>
      <c r="O690" s="60"/>
      <c r="P690" s="101"/>
      <c r="Q690" s="271">
        <v>78.0</v>
      </c>
      <c r="R690" s="276">
        <v>-0.00312</v>
      </c>
      <c r="S690" s="271">
        <v>76.0</v>
      </c>
      <c r="T690" s="271">
        <v>76.0</v>
      </c>
      <c r="U690" s="62">
        <v>1.203</v>
      </c>
      <c r="V690" s="277">
        <v>0.3</v>
      </c>
      <c r="W690" s="277">
        <v>0.0</v>
      </c>
      <c r="X690" s="271">
        <v>64.0</v>
      </c>
      <c r="Y690" s="271">
        <v>28.0</v>
      </c>
      <c r="Z690" s="50" t="b">
        <v>1</v>
      </c>
      <c r="AA690" s="50" t="s">
        <v>138</v>
      </c>
      <c r="AB690" s="50" t="s">
        <v>140</v>
      </c>
    </row>
    <row r="691">
      <c r="A691" s="101" t="s">
        <v>416</v>
      </c>
      <c r="B691" s="101" t="s">
        <v>416</v>
      </c>
      <c r="C691" s="278">
        <v>44276.0</v>
      </c>
      <c r="D691" s="278">
        <v>44306.0</v>
      </c>
      <c r="E691" s="271" t="s">
        <v>268</v>
      </c>
      <c r="F691" s="138" t="s">
        <v>4</v>
      </c>
      <c r="G691" s="101" t="s">
        <v>22</v>
      </c>
      <c r="H691" s="273" t="s">
        <v>51</v>
      </c>
      <c r="I691" s="274">
        <v>10.0</v>
      </c>
      <c r="J691" s="271">
        <v>1526.0</v>
      </c>
      <c r="K691" s="271">
        <f t="shared" si="1"/>
        <v>15260</v>
      </c>
      <c r="L691" s="271">
        <v>92960.0</v>
      </c>
      <c r="M691" s="271">
        <v>150.0</v>
      </c>
      <c r="N691" s="275"/>
      <c r="O691" s="60"/>
      <c r="P691" s="101"/>
      <c r="Q691" s="271">
        <v>554.0</v>
      </c>
      <c r="R691" s="276">
        <v>-0.00312</v>
      </c>
      <c r="S691" s="271">
        <v>506.0</v>
      </c>
      <c r="T691" s="271">
        <v>506.0</v>
      </c>
      <c r="U691" s="62">
        <v>1.203</v>
      </c>
      <c r="V691" s="277">
        <v>0.3</v>
      </c>
      <c r="W691" s="277">
        <v>0.0</v>
      </c>
      <c r="X691" s="271">
        <v>426.0</v>
      </c>
      <c r="Y691" s="271">
        <v>183.0</v>
      </c>
      <c r="Z691" s="50" t="b">
        <v>1</v>
      </c>
      <c r="AA691" s="50" t="s">
        <v>138</v>
      </c>
      <c r="AB691" s="50" t="s">
        <v>140</v>
      </c>
    </row>
    <row r="692">
      <c r="A692" s="101" t="s">
        <v>199</v>
      </c>
      <c r="B692" s="101" t="s">
        <v>199</v>
      </c>
      <c r="C692" s="278">
        <v>44276.0</v>
      </c>
      <c r="D692" s="278">
        <v>44306.0</v>
      </c>
      <c r="E692" s="271" t="s">
        <v>268</v>
      </c>
      <c r="F692" s="138" t="s">
        <v>4</v>
      </c>
      <c r="G692" s="101" t="s">
        <v>9</v>
      </c>
      <c r="H692" s="273" t="s">
        <v>55</v>
      </c>
      <c r="I692" s="274">
        <v>10.0</v>
      </c>
      <c r="J692" s="271">
        <v>1057.0</v>
      </c>
      <c r="K692" s="271">
        <f t="shared" si="1"/>
        <v>10570</v>
      </c>
      <c r="L692" s="271">
        <v>53907.0</v>
      </c>
      <c r="M692" s="271">
        <v>490.0</v>
      </c>
      <c r="N692" s="275">
        <v>80.0</v>
      </c>
      <c r="O692" s="60"/>
      <c r="P692" s="50">
        <v>80.0</v>
      </c>
      <c r="Q692" s="271">
        <v>38.0</v>
      </c>
      <c r="R692" s="276">
        <v>-0.00312</v>
      </c>
      <c r="S692" s="271">
        <v>5.0</v>
      </c>
      <c r="T692" s="271">
        <v>85.0</v>
      </c>
      <c r="U692" s="62">
        <v>1.0</v>
      </c>
      <c r="V692" s="277">
        <v>0.2</v>
      </c>
      <c r="W692" s="277">
        <v>0.0</v>
      </c>
      <c r="X692" s="271">
        <v>68.0</v>
      </c>
      <c r="Y692" s="271">
        <v>17.0</v>
      </c>
      <c r="Z692" s="50" t="b">
        <v>1</v>
      </c>
      <c r="AA692" s="50" t="s">
        <v>140</v>
      </c>
      <c r="AB692" s="50" t="s">
        <v>140</v>
      </c>
    </row>
    <row r="693">
      <c r="A693" s="101" t="s">
        <v>546</v>
      </c>
      <c r="B693" s="101" t="s">
        <v>546</v>
      </c>
      <c r="C693" s="278">
        <v>44276.0</v>
      </c>
      <c r="D693" s="278">
        <v>44306.0</v>
      </c>
      <c r="E693" s="271" t="s">
        <v>331</v>
      </c>
      <c r="F693" s="138" t="s">
        <v>4</v>
      </c>
      <c r="G693" s="101" t="s">
        <v>5</v>
      </c>
      <c r="H693" s="273" t="s">
        <v>85</v>
      </c>
      <c r="I693" s="274">
        <v>100.0</v>
      </c>
      <c r="J693" s="271">
        <v>2350.0</v>
      </c>
      <c r="K693" s="271">
        <f t="shared" si="1"/>
        <v>235000</v>
      </c>
      <c r="L693" s="271">
        <v>116456.0</v>
      </c>
      <c r="M693" s="271">
        <v>8800.0</v>
      </c>
      <c r="N693" s="275">
        <v>956.0</v>
      </c>
      <c r="O693" s="60"/>
      <c r="P693" s="50">
        <v>956.0</v>
      </c>
      <c r="Q693" s="271">
        <v>9137.0</v>
      </c>
      <c r="R693" s="276">
        <v>-0.00312</v>
      </c>
      <c r="S693" s="271">
        <v>8404.0</v>
      </c>
      <c r="T693" s="271">
        <v>9360.0</v>
      </c>
      <c r="U693" s="62">
        <v>1.0</v>
      </c>
      <c r="V693" s="277">
        <v>0.135</v>
      </c>
      <c r="W693" s="277">
        <v>0.045</v>
      </c>
      <c r="X693" s="271">
        <v>7675.0</v>
      </c>
      <c r="Y693" s="271">
        <v>1685.0</v>
      </c>
      <c r="Z693" s="50" t="b">
        <v>1</v>
      </c>
      <c r="AA693" s="50" t="s">
        <v>138</v>
      </c>
      <c r="AB693" s="50" t="s">
        <v>138</v>
      </c>
    </row>
    <row r="694">
      <c r="A694" s="101" t="s">
        <v>207</v>
      </c>
      <c r="B694" s="101" t="s">
        <v>208</v>
      </c>
      <c r="C694" s="278">
        <v>44276.0</v>
      </c>
      <c r="D694" s="278">
        <v>44306.0</v>
      </c>
      <c r="E694" s="271" t="s">
        <v>268</v>
      </c>
      <c r="F694" s="138" t="s">
        <v>4</v>
      </c>
      <c r="G694" s="101" t="s">
        <v>13</v>
      </c>
      <c r="H694" s="273" t="s">
        <v>45</v>
      </c>
      <c r="I694" s="274">
        <v>10.0</v>
      </c>
      <c r="J694" s="271">
        <v>4690.0</v>
      </c>
      <c r="K694" s="271">
        <f t="shared" si="1"/>
        <v>46900</v>
      </c>
      <c r="L694" s="271">
        <v>30700.0</v>
      </c>
      <c r="M694" s="271">
        <v>-1660.0</v>
      </c>
      <c r="N694" s="275">
        <v>2840.1</v>
      </c>
      <c r="O694" s="60"/>
      <c r="P694" s="109">
        <v>2840.0</v>
      </c>
      <c r="Q694" s="271">
        <v>-2556.0</v>
      </c>
      <c r="R694" s="276">
        <v>-0.00312</v>
      </c>
      <c r="S694" s="271">
        <v>-2702.0</v>
      </c>
      <c r="T694" s="271">
        <v>138.0</v>
      </c>
      <c r="U694" s="62">
        <v>1.0</v>
      </c>
      <c r="V694" s="277">
        <v>0.3</v>
      </c>
      <c r="W694" s="277">
        <v>0.0</v>
      </c>
      <c r="X694" s="271">
        <v>96.0</v>
      </c>
      <c r="Y694" s="271">
        <v>41.0</v>
      </c>
      <c r="Z694" s="50" t="b">
        <v>1</v>
      </c>
      <c r="AA694" s="50" t="s">
        <v>138</v>
      </c>
      <c r="AB694" s="50" t="s">
        <v>138</v>
      </c>
    </row>
    <row r="695">
      <c r="A695" s="101" t="s">
        <v>207</v>
      </c>
      <c r="B695" s="101" t="s">
        <v>208</v>
      </c>
      <c r="C695" s="278">
        <v>44276.0</v>
      </c>
      <c r="D695" s="278">
        <v>44306.0</v>
      </c>
      <c r="E695" s="271" t="s">
        <v>268</v>
      </c>
      <c r="F695" s="138" t="s">
        <v>4</v>
      </c>
      <c r="G695" s="101" t="s">
        <v>13</v>
      </c>
      <c r="H695" s="273" t="s">
        <v>59</v>
      </c>
      <c r="I695" s="274">
        <v>20.0</v>
      </c>
      <c r="J695" s="271">
        <v>4826.0</v>
      </c>
      <c r="K695" s="271">
        <f t="shared" si="1"/>
        <v>96520</v>
      </c>
      <c r="L695" s="271">
        <v>17633.0</v>
      </c>
      <c r="M695" s="271">
        <v>-9200.0</v>
      </c>
      <c r="N695" s="275">
        <v>5844.9</v>
      </c>
      <c r="O695" s="60"/>
      <c r="P695" s="109">
        <v>5845.0</v>
      </c>
      <c r="Q695" s="271">
        <v>-6064.0</v>
      </c>
      <c r="R695" s="276">
        <v>-0.00312</v>
      </c>
      <c r="S695" s="271">
        <v>-6365.0</v>
      </c>
      <c r="T695" s="271">
        <v>-520.0</v>
      </c>
      <c r="U695" s="62">
        <v>1.0</v>
      </c>
      <c r="V695" s="277">
        <v>0.3</v>
      </c>
      <c r="W695" s="277">
        <v>0.0</v>
      </c>
      <c r="X695" s="271">
        <v>-364.0</v>
      </c>
      <c r="Y695" s="271">
        <v>-156.0</v>
      </c>
      <c r="Z695" s="50" t="b">
        <v>1</v>
      </c>
      <c r="AA695" s="50" t="s">
        <v>138</v>
      </c>
      <c r="AB695" s="50" t="s">
        <v>138</v>
      </c>
    </row>
    <row r="696">
      <c r="A696" s="101" t="s">
        <v>177</v>
      </c>
      <c r="B696" s="101" t="s">
        <v>177</v>
      </c>
      <c r="C696" s="278">
        <v>44287.0</v>
      </c>
      <c r="D696" s="278">
        <v>44316.0</v>
      </c>
      <c r="E696" s="271" t="s">
        <v>268</v>
      </c>
      <c r="F696" s="138" t="s">
        <v>8</v>
      </c>
      <c r="G696" s="280" t="s">
        <v>5</v>
      </c>
      <c r="H696" s="273" t="s">
        <v>85</v>
      </c>
      <c r="I696" s="274">
        <v>100.0</v>
      </c>
      <c r="J696" s="271">
        <v>2208.0</v>
      </c>
      <c r="K696" s="271">
        <f t="shared" si="1"/>
        <v>220800</v>
      </c>
      <c r="L696" s="271">
        <v>59584.0</v>
      </c>
      <c r="M696" s="271">
        <v>1400.0</v>
      </c>
      <c r="N696" s="275">
        <v>1755.0</v>
      </c>
      <c r="O696" s="60"/>
      <c r="P696" s="109">
        <v>1755.0</v>
      </c>
      <c r="Q696" s="271">
        <v>-755.0</v>
      </c>
      <c r="R696" s="276">
        <v>3.87E-4</v>
      </c>
      <c r="S696" s="271">
        <v>-670.0</v>
      </c>
      <c r="T696" s="271">
        <v>1085.0</v>
      </c>
      <c r="U696" s="62">
        <v>1.0</v>
      </c>
      <c r="V696" s="277">
        <v>0.12</v>
      </c>
      <c r="W696" s="277">
        <v>0.0</v>
      </c>
      <c r="X696" s="271">
        <v>955.0</v>
      </c>
      <c r="Y696" s="271">
        <v>130.0</v>
      </c>
      <c r="Z696" s="50" t="b">
        <v>1</v>
      </c>
      <c r="AA696" s="50" t="s">
        <v>138</v>
      </c>
      <c r="AB696" s="50" t="s">
        <v>138</v>
      </c>
    </row>
    <row r="697">
      <c r="A697" s="101" t="s">
        <v>345</v>
      </c>
      <c r="B697" s="271" t="s">
        <v>988</v>
      </c>
      <c r="C697" s="278">
        <v>44287.0</v>
      </c>
      <c r="D697" s="278">
        <v>44316.0</v>
      </c>
      <c r="E697" s="271" t="s">
        <v>331</v>
      </c>
      <c r="F697" s="138" t="s">
        <v>4</v>
      </c>
      <c r="G697" s="271" t="s">
        <v>16</v>
      </c>
      <c r="H697" s="273" t="s">
        <v>85</v>
      </c>
      <c r="I697" s="274">
        <v>100.0</v>
      </c>
      <c r="J697" s="271">
        <v>509.0</v>
      </c>
      <c r="K697" s="271">
        <f t="shared" si="1"/>
        <v>50900</v>
      </c>
      <c r="L697" s="271">
        <v>-11527.0</v>
      </c>
      <c r="M697" s="271">
        <v>-5500.0</v>
      </c>
      <c r="N697" s="275">
        <v>1640.62</v>
      </c>
      <c r="O697" s="60"/>
      <c r="P697" s="109">
        <v>1641.0</v>
      </c>
      <c r="Q697" s="271">
        <v>-4928.0</v>
      </c>
      <c r="R697" s="276">
        <v>-0.00314</v>
      </c>
      <c r="S697" s="271">
        <v>-5088.0</v>
      </c>
      <c r="T697" s="271">
        <v>-3448.0</v>
      </c>
      <c r="U697" s="62">
        <v>1.0</v>
      </c>
      <c r="V697" s="277">
        <v>0.15</v>
      </c>
      <c r="W697" s="277">
        <v>0.05</v>
      </c>
      <c r="X697" s="271">
        <v>-2758.0</v>
      </c>
      <c r="Y697" s="271">
        <v>-690.0</v>
      </c>
      <c r="Z697" s="50" t="b">
        <v>1</v>
      </c>
      <c r="AA697" s="50" t="s">
        <v>138</v>
      </c>
      <c r="AB697" s="50" t="s">
        <v>138</v>
      </c>
    </row>
    <row r="698">
      <c r="A698" s="101" t="s">
        <v>345</v>
      </c>
      <c r="B698" s="271" t="s">
        <v>988</v>
      </c>
      <c r="C698" s="278">
        <v>44287.0</v>
      </c>
      <c r="D698" s="278">
        <v>44316.0</v>
      </c>
      <c r="E698" s="271" t="s">
        <v>331</v>
      </c>
      <c r="F698" s="138" t="s">
        <v>4</v>
      </c>
      <c r="G698" s="271" t="s">
        <v>16</v>
      </c>
      <c r="H698" s="273" t="s">
        <v>59</v>
      </c>
      <c r="I698" s="274">
        <v>20.0</v>
      </c>
      <c r="J698" s="271">
        <v>16.0</v>
      </c>
      <c r="K698" s="271">
        <f t="shared" si="1"/>
        <v>320</v>
      </c>
      <c r="L698" s="271">
        <v>1680.0</v>
      </c>
      <c r="M698" s="271">
        <v>20.0</v>
      </c>
      <c r="N698" s="275">
        <v>12.38</v>
      </c>
      <c r="O698" s="60"/>
      <c r="P698" s="50">
        <v>12.0</v>
      </c>
      <c r="Q698" s="271">
        <v>42.0</v>
      </c>
      <c r="R698" s="276">
        <v>-0.00314</v>
      </c>
      <c r="S698" s="271">
        <v>41.0</v>
      </c>
      <c r="T698" s="271">
        <v>54.0</v>
      </c>
      <c r="U698" s="62">
        <v>1.0</v>
      </c>
      <c r="V698" s="277">
        <v>0.15</v>
      </c>
      <c r="W698" s="277">
        <v>0.05</v>
      </c>
      <c r="X698" s="271">
        <v>43.0</v>
      </c>
      <c r="Y698" s="271">
        <v>11.0</v>
      </c>
      <c r="Z698" s="50" t="b">
        <v>1</v>
      </c>
      <c r="AA698" s="50" t="s">
        <v>138</v>
      </c>
      <c r="AB698" s="50" t="s">
        <v>138</v>
      </c>
    </row>
    <row r="699">
      <c r="A699" s="101" t="s">
        <v>345</v>
      </c>
      <c r="B699" s="271" t="s">
        <v>988</v>
      </c>
      <c r="C699" s="278">
        <v>44287.0</v>
      </c>
      <c r="D699" s="278">
        <v>44316.0</v>
      </c>
      <c r="E699" s="271" t="s">
        <v>331</v>
      </c>
      <c r="F699" s="138" t="s">
        <v>4</v>
      </c>
      <c r="G699" s="271" t="s">
        <v>16</v>
      </c>
      <c r="H699" s="273" t="s">
        <v>74</v>
      </c>
      <c r="I699" s="274">
        <v>50.0</v>
      </c>
      <c r="J699" s="271">
        <v>213.0</v>
      </c>
      <c r="K699" s="271">
        <f t="shared" si="1"/>
        <v>10650</v>
      </c>
      <c r="L699" s="271">
        <v>5100.0</v>
      </c>
      <c r="M699" s="271">
        <v>-600.0</v>
      </c>
      <c r="N699" s="275">
        <v>0.0</v>
      </c>
      <c r="O699" s="60"/>
      <c r="P699" s="50">
        <v>0.0</v>
      </c>
      <c r="Q699" s="271">
        <v>-92.0</v>
      </c>
      <c r="R699" s="276">
        <v>-0.00314</v>
      </c>
      <c r="S699" s="271">
        <v>-126.0</v>
      </c>
      <c r="T699" s="271">
        <v>-126.0</v>
      </c>
      <c r="U699" s="62">
        <v>1.0</v>
      </c>
      <c r="V699" s="277">
        <v>0.15</v>
      </c>
      <c r="W699" s="277">
        <v>0.05</v>
      </c>
      <c r="X699" s="271">
        <v>-101.0</v>
      </c>
      <c r="Y699" s="271">
        <v>-25.0</v>
      </c>
      <c r="Z699" s="50" t="b">
        <v>1</v>
      </c>
      <c r="AA699" s="50" t="s">
        <v>138</v>
      </c>
      <c r="AB699" s="50" t="s">
        <v>138</v>
      </c>
    </row>
    <row r="700">
      <c r="A700" s="101" t="s">
        <v>459</v>
      </c>
      <c r="B700" s="101" t="s">
        <v>912</v>
      </c>
      <c r="C700" s="278">
        <v>44287.0</v>
      </c>
      <c r="D700" s="278">
        <v>44316.0</v>
      </c>
      <c r="E700" s="271" t="s">
        <v>331</v>
      </c>
      <c r="F700" s="138" t="s">
        <v>8</v>
      </c>
      <c r="G700" s="280" t="s">
        <v>9</v>
      </c>
      <c r="H700" s="273" t="s">
        <v>80</v>
      </c>
      <c r="I700" s="274">
        <v>50.0</v>
      </c>
      <c r="J700" s="271">
        <v>486.0</v>
      </c>
      <c r="K700" s="271">
        <f t="shared" si="1"/>
        <v>24300</v>
      </c>
      <c r="L700" s="271">
        <v>16280.0</v>
      </c>
      <c r="M700" s="271">
        <v>1150.0</v>
      </c>
      <c r="N700" s="275">
        <v>581.77</v>
      </c>
      <c r="O700" s="60"/>
      <c r="P700" s="50">
        <v>582.0</v>
      </c>
      <c r="Q700" s="271">
        <v>-658.0</v>
      </c>
      <c r="R700" s="276">
        <v>3.85E-4</v>
      </c>
      <c r="S700" s="271">
        <v>-649.0</v>
      </c>
      <c r="T700" s="271">
        <v>-67.0</v>
      </c>
      <c r="U700" s="62">
        <v>1.0</v>
      </c>
      <c r="V700" s="277">
        <v>0.15</v>
      </c>
      <c r="W700" s="277">
        <v>0.1</v>
      </c>
      <c r="X700" s="271">
        <v>-50.0</v>
      </c>
      <c r="Y700" s="271">
        <v>-17.0</v>
      </c>
      <c r="Z700" s="50" t="b">
        <v>1</v>
      </c>
      <c r="AA700" s="50" t="s">
        <v>140</v>
      </c>
      <c r="AB700" s="50" t="s">
        <v>140</v>
      </c>
    </row>
    <row r="701">
      <c r="A701" s="271" t="s">
        <v>459</v>
      </c>
      <c r="B701" s="101" t="s">
        <v>912</v>
      </c>
      <c r="C701" s="278">
        <v>44287.0</v>
      </c>
      <c r="D701" s="278">
        <v>44316.0</v>
      </c>
      <c r="E701" s="271" t="s">
        <v>331</v>
      </c>
      <c r="F701" s="101" t="s">
        <v>8</v>
      </c>
      <c r="G701" s="271" t="s">
        <v>9</v>
      </c>
      <c r="H701" s="273" t="s">
        <v>90</v>
      </c>
      <c r="I701" s="274">
        <v>100.0</v>
      </c>
      <c r="J701" s="271">
        <v>300.0</v>
      </c>
      <c r="K701" s="271">
        <f t="shared" si="1"/>
        <v>30000</v>
      </c>
      <c r="L701" s="271">
        <v>21335.0</v>
      </c>
      <c r="M701" s="271">
        <v>1800.0</v>
      </c>
      <c r="N701" s="275">
        <v>718.23</v>
      </c>
      <c r="O701" s="60"/>
      <c r="P701" s="50">
        <v>718.0</v>
      </c>
      <c r="Q701" s="271">
        <v>1244.0</v>
      </c>
      <c r="R701" s="276">
        <v>4.04E-4</v>
      </c>
      <c r="S701" s="271">
        <v>1256.0</v>
      </c>
      <c r="T701" s="271">
        <v>1974.0</v>
      </c>
      <c r="U701" s="62">
        <v>1.0</v>
      </c>
      <c r="V701" s="277">
        <v>0.15</v>
      </c>
      <c r="W701" s="277">
        <v>0.1</v>
      </c>
      <c r="X701" s="271">
        <v>1481.0</v>
      </c>
      <c r="Y701" s="271">
        <v>494.0</v>
      </c>
      <c r="Z701" s="50" t="b">
        <v>1</v>
      </c>
      <c r="AA701" s="50" t="s">
        <v>140</v>
      </c>
      <c r="AB701" s="50" t="s">
        <v>140</v>
      </c>
    </row>
    <row r="702">
      <c r="A702" s="101" t="s">
        <v>505</v>
      </c>
      <c r="B702" s="271" t="s">
        <v>165</v>
      </c>
      <c r="C702" s="278">
        <v>44287.0</v>
      </c>
      <c r="D702" s="278">
        <v>44316.0</v>
      </c>
      <c r="E702" s="271" t="s">
        <v>268</v>
      </c>
      <c r="F702" s="101" t="s">
        <v>4</v>
      </c>
      <c r="G702" s="271" t="s">
        <v>16</v>
      </c>
      <c r="H702" s="273" t="s">
        <v>59</v>
      </c>
      <c r="I702" s="274">
        <v>20.0</v>
      </c>
      <c r="J702" s="271">
        <v>1466.0</v>
      </c>
      <c r="K702" s="271">
        <f t="shared" si="1"/>
        <v>29320</v>
      </c>
      <c r="L702" s="271">
        <v>12717.0</v>
      </c>
      <c r="M702" s="271">
        <v>-2180.0</v>
      </c>
      <c r="N702" s="282">
        <v>773.0</v>
      </c>
      <c r="O702" s="60"/>
      <c r="P702" s="50">
        <v>773.0</v>
      </c>
      <c r="Q702" s="271">
        <v>-1401.0</v>
      </c>
      <c r="R702" s="276">
        <v>-0.00314</v>
      </c>
      <c r="S702" s="271">
        <v>-1493.0</v>
      </c>
      <c r="T702" s="271">
        <v>-720.0</v>
      </c>
      <c r="U702" s="62">
        <v>1.0</v>
      </c>
      <c r="V702" s="277">
        <v>0.3</v>
      </c>
      <c r="W702" s="277">
        <v>0.0</v>
      </c>
      <c r="X702" s="271">
        <v>-504.0</v>
      </c>
      <c r="Y702" s="271">
        <v>-216.0</v>
      </c>
      <c r="Z702" s="50" t="b">
        <v>1</v>
      </c>
      <c r="AA702" s="50" t="s">
        <v>138</v>
      </c>
      <c r="AB702" s="50" t="s">
        <v>138</v>
      </c>
    </row>
    <row r="703">
      <c r="A703" s="101" t="s">
        <v>505</v>
      </c>
      <c r="B703" s="271" t="s">
        <v>165</v>
      </c>
      <c r="C703" s="278">
        <v>44287.0</v>
      </c>
      <c r="D703" s="278">
        <v>44316.0</v>
      </c>
      <c r="E703" s="271" t="s">
        <v>268</v>
      </c>
      <c r="F703" s="101" t="s">
        <v>12</v>
      </c>
      <c r="G703" s="271" t="s">
        <v>16</v>
      </c>
      <c r="H703" s="273" t="s">
        <v>74</v>
      </c>
      <c r="I703" s="274">
        <v>50.0</v>
      </c>
      <c r="J703" s="271">
        <v>20.0</v>
      </c>
      <c r="K703" s="271">
        <f t="shared" si="1"/>
        <v>1000</v>
      </c>
      <c r="L703" s="271"/>
      <c r="M703" s="271">
        <v>150.0</v>
      </c>
      <c r="N703" s="275"/>
      <c r="O703" s="60"/>
      <c r="P703" s="101"/>
      <c r="Q703" s="271"/>
      <c r="R703" s="276">
        <v>0.0</v>
      </c>
      <c r="S703" s="271"/>
      <c r="T703" s="271">
        <v>150.0</v>
      </c>
      <c r="U703" s="62">
        <v>1.0</v>
      </c>
      <c r="V703" s="277">
        <v>0.3</v>
      </c>
      <c r="W703" s="277">
        <v>0.0</v>
      </c>
      <c r="X703" s="271">
        <v>105.0</v>
      </c>
      <c r="Y703" s="271">
        <v>45.0</v>
      </c>
      <c r="Z703" s="50" t="b">
        <v>1</v>
      </c>
      <c r="AA703" s="50" t="s">
        <v>138</v>
      </c>
      <c r="AB703" s="50" t="s">
        <v>138</v>
      </c>
    </row>
    <row r="704">
      <c r="A704" s="101" t="s">
        <v>216</v>
      </c>
      <c r="B704" s="101" t="s">
        <v>943</v>
      </c>
      <c r="C704" s="278">
        <v>44287.0</v>
      </c>
      <c r="D704" s="278">
        <v>44316.0</v>
      </c>
      <c r="E704" s="271" t="s">
        <v>268</v>
      </c>
      <c r="F704" s="138" t="s">
        <v>4</v>
      </c>
      <c r="G704" s="101" t="s">
        <v>16</v>
      </c>
      <c r="H704" s="273" t="s">
        <v>49</v>
      </c>
      <c r="I704" s="274">
        <v>10.0</v>
      </c>
      <c r="J704" s="271">
        <v>5.0</v>
      </c>
      <c r="K704" s="271">
        <f t="shared" si="1"/>
        <v>50</v>
      </c>
      <c r="L704" s="271">
        <v>50.0</v>
      </c>
      <c r="M704" s="271">
        <v>20.0</v>
      </c>
      <c r="N704" s="275">
        <v>2.63</v>
      </c>
      <c r="O704" s="60"/>
      <c r="P704" s="50">
        <v>3.0</v>
      </c>
      <c r="Q704" s="271">
        <v>-2.0</v>
      </c>
      <c r="R704" s="276">
        <v>-0.00314</v>
      </c>
      <c r="S704" s="271">
        <v>-2.0</v>
      </c>
      <c r="T704" s="271">
        <v>1.0</v>
      </c>
      <c r="U704" s="62">
        <v>1.0</v>
      </c>
      <c r="V704" s="277">
        <v>0.22</v>
      </c>
      <c r="W704" s="277">
        <v>0.0</v>
      </c>
      <c r="X704" s="271">
        <v>1.0</v>
      </c>
      <c r="Y704" s="271">
        <v>0.0</v>
      </c>
      <c r="Z704" s="50" t="b">
        <v>1</v>
      </c>
      <c r="AA704" s="50" t="s">
        <v>138</v>
      </c>
      <c r="AB704" s="50" t="s">
        <v>138</v>
      </c>
    </row>
    <row r="705">
      <c r="A705" s="101" t="s">
        <v>216</v>
      </c>
      <c r="B705" s="101" t="s">
        <v>943</v>
      </c>
      <c r="C705" s="278">
        <v>44287.0</v>
      </c>
      <c r="D705" s="278">
        <v>44316.0</v>
      </c>
      <c r="E705" s="271" t="s">
        <v>268</v>
      </c>
      <c r="F705" s="138" t="s">
        <v>4</v>
      </c>
      <c r="G705" s="101" t="s">
        <v>16</v>
      </c>
      <c r="H705" s="273" t="s">
        <v>85</v>
      </c>
      <c r="I705" s="274">
        <v>100.0</v>
      </c>
      <c r="J705" s="271">
        <v>2543.0</v>
      </c>
      <c r="K705" s="271">
        <f t="shared" si="1"/>
        <v>254300</v>
      </c>
      <c r="L705" s="271">
        <v>-731.0</v>
      </c>
      <c r="M705" s="271">
        <v>-8900.0</v>
      </c>
      <c r="N705" s="275">
        <v>11166.1</v>
      </c>
      <c r="O705" s="60"/>
      <c r="P705" s="109">
        <v>11166.0</v>
      </c>
      <c r="Q705" s="271">
        <v>-13870.0</v>
      </c>
      <c r="R705" s="276">
        <v>-0.00314</v>
      </c>
      <c r="S705" s="271">
        <v>-14669.0</v>
      </c>
      <c r="T705" s="271">
        <v>-3503.0</v>
      </c>
      <c r="U705" s="62">
        <v>1.0</v>
      </c>
      <c r="V705" s="277">
        <v>0.22</v>
      </c>
      <c r="W705" s="277">
        <v>0.0</v>
      </c>
      <c r="X705" s="271">
        <v>-2732.0</v>
      </c>
      <c r="Y705" s="271">
        <v>-771.0</v>
      </c>
      <c r="Z705" s="50" t="b">
        <v>1</v>
      </c>
      <c r="AA705" s="50" t="s">
        <v>138</v>
      </c>
      <c r="AB705" s="50" t="s">
        <v>138</v>
      </c>
    </row>
    <row r="706">
      <c r="A706" s="101" t="s">
        <v>216</v>
      </c>
      <c r="B706" s="101" t="s">
        <v>943</v>
      </c>
      <c r="C706" s="278">
        <v>44287.0</v>
      </c>
      <c r="D706" s="278">
        <v>44316.0</v>
      </c>
      <c r="E706" s="271" t="s">
        <v>268</v>
      </c>
      <c r="F706" s="138" t="s">
        <v>4</v>
      </c>
      <c r="G706" s="101" t="s">
        <v>16</v>
      </c>
      <c r="H706" s="273" t="s">
        <v>60</v>
      </c>
      <c r="I706" s="274">
        <v>20.0</v>
      </c>
      <c r="J706" s="271">
        <v>76.0</v>
      </c>
      <c r="K706" s="271">
        <f t="shared" si="1"/>
        <v>1520</v>
      </c>
      <c r="L706" s="271">
        <v>3546.0</v>
      </c>
      <c r="M706" s="271">
        <v>300.0</v>
      </c>
      <c r="N706" s="275">
        <v>0.0</v>
      </c>
      <c r="O706" s="60"/>
      <c r="P706" s="50">
        <v>0.0</v>
      </c>
      <c r="Q706" s="271">
        <v>124.0</v>
      </c>
      <c r="R706" s="276">
        <v>-0.00314</v>
      </c>
      <c r="S706" s="271">
        <v>119.0</v>
      </c>
      <c r="T706" s="271">
        <v>119.0</v>
      </c>
      <c r="U706" s="62">
        <v>1.0</v>
      </c>
      <c r="V706" s="277">
        <v>0.22</v>
      </c>
      <c r="W706" s="277">
        <v>0.0</v>
      </c>
      <c r="X706" s="271">
        <v>93.0</v>
      </c>
      <c r="Y706" s="271">
        <v>26.0</v>
      </c>
      <c r="Z706" s="50" t="b">
        <v>1</v>
      </c>
      <c r="AA706" s="50" t="s">
        <v>138</v>
      </c>
      <c r="AB706" s="50" t="s">
        <v>138</v>
      </c>
    </row>
    <row r="707">
      <c r="A707" s="101" t="s">
        <v>216</v>
      </c>
      <c r="B707" s="101" t="s">
        <v>943</v>
      </c>
      <c r="C707" s="278">
        <v>44287.0</v>
      </c>
      <c r="D707" s="278">
        <v>44316.0</v>
      </c>
      <c r="E707" s="271" t="s">
        <v>268</v>
      </c>
      <c r="F707" s="138" t="s">
        <v>4</v>
      </c>
      <c r="G707" s="101" t="s">
        <v>16</v>
      </c>
      <c r="H707" s="273" t="s">
        <v>96</v>
      </c>
      <c r="I707" s="274">
        <v>250.0</v>
      </c>
      <c r="J707" s="271">
        <v>201.0</v>
      </c>
      <c r="K707" s="271">
        <f t="shared" si="1"/>
        <v>50250</v>
      </c>
      <c r="L707" s="271">
        <v>3737.0</v>
      </c>
      <c r="M707" s="271">
        <v>3500.0</v>
      </c>
      <c r="N707" s="275">
        <v>1765.15</v>
      </c>
      <c r="O707" s="60"/>
      <c r="P707" s="109">
        <v>1765.0</v>
      </c>
      <c r="Q707" s="271">
        <v>-302.0</v>
      </c>
      <c r="R707" s="276">
        <v>-0.00314</v>
      </c>
      <c r="S707" s="271">
        <v>-460.0</v>
      </c>
      <c r="T707" s="271">
        <v>1305.0</v>
      </c>
      <c r="U707" s="62">
        <v>1.0</v>
      </c>
      <c r="V707" s="277">
        <v>0.22</v>
      </c>
      <c r="W707" s="277">
        <v>0.0</v>
      </c>
      <c r="X707" s="271">
        <v>1018.0</v>
      </c>
      <c r="Y707" s="271">
        <v>287.0</v>
      </c>
      <c r="Z707" s="50" t="b">
        <v>1</v>
      </c>
      <c r="AA707" s="50" t="s">
        <v>138</v>
      </c>
      <c r="AB707" s="50" t="s">
        <v>138</v>
      </c>
    </row>
    <row r="708">
      <c r="A708" s="101" t="s">
        <v>216</v>
      </c>
      <c r="B708" s="101" t="s">
        <v>943</v>
      </c>
      <c r="C708" s="278">
        <v>44287.0</v>
      </c>
      <c r="D708" s="278">
        <v>44316.0</v>
      </c>
      <c r="E708" s="271" t="s">
        <v>268</v>
      </c>
      <c r="F708" s="138" t="s">
        <v>12</v>
      </c>
      <c r="G708" s="101" t="s">
        <v>16</v>
      </c>
      <c r="H708" s="273" t="s">
        <v>987</v>
      </c>
      <c r="I708" s="274">
        <v>5.0</v>
      </c>
      <c r="J708" s="271">
        <v>1.0</v>
      </c>
      <c r="K708" s="271">
        <f t="shared" si="1"/>
        <v>5</v>
      </c>
      <c r="L708" s="271"/>
      <c r="M708" s="271">
        <v>-5.0</v>
      </c>
      <c r="N708" s="275">
        <v>0.35</v>
      </c>
      <c r="O708" s="60"/>
      <c r="P708" s="50">
        <v>0.0</v>
      </c>
      <c r="Q708" s="271"/>
      <c r="R708" s="276">
        <v>-0.00314</v>
      </c>
      <c r="S708" s="271"/>
      <c r="T708" s="271">
        <v>-5.0</v>
      </c>
      <c r="U708" s="62">
        <v>1.0</v>
      </c>
      <c r="V708" s="277">
        <v>0.22</v>
      </c>
      <c r="W708" s="277">
        <v>0.0</v>
      </c>
      <c r="X708" s="271">
        <v>-4.0</v>
      </c>
      <c r="Y708" s="271">
        <v>-1.0</v>
      </c>
      <c r="Z708" s="50" t="b">
        <v>1</v>
      </c>
      <c r="AA708" s="50" t="s">
        <v>138</v>
      </c>
      <c r="AB708" s="50" t="s">
        <v>138</v>
      </c>
    </row>
    <row r="709">
      <c r="A709" s="101" t="s">
        <v>216</v>
      </c>
      <c r="B709" s="101" t="s">
        <v>943</v>
      </c>
      <c r="C709" s="278">
        <v>44287.0</v>
      </c>
      <c r="D709" s="278">
        <v>44316.0</v>
      </c>
      <c r="E709" s="271" t="s">
        <v>268</v>
      </c>
      <c r="F709" s="138" t="s">
        <v>4</v>
      </c>
      <c r="G709" s="101" t="s">
        <v>16</v>
      </c>
      <c r="H709" s="273" t="s">
        <v>35</v>
      </c>
      <c r="I709" s="274">
        <v>5.0</v>
      </c>
      <c r="J709" s="271">
        <v>1.0</v>
      </c>
      <c r="K709" s="271">
        <f t="shared" si="1"/>
        <v>5</v>
      </c>
      <c r="L709" s="271">
        <v>-155.0</v>
      </c>
      <c r="M709" s="271">
        <v>5.0</v>
      </c>
      <c r="N709" s="275">
        <v>0.35</v>
      </c>
      <c r="O709" s="60"/>
      <c r="P709" s="50">
        <v>0.0</v>
      </c>
      <c r="Q709" s="271">
        <v>-2.0</v>
      </c>
      <c r="R709" s="276">
        <v>-0.00314</v>
      </c>
      <c r="S709" s="271">
        <v>-2.0</v>
      </c>
      <c r="T709" s="271">
        <v>-2.0</v>
      </c>
      <c r="U709" s="62">
        <v>1.0</v>
      </c>
      <c r="V709" s="277">
        <v>0.22</v>
      </c>
      <c r="W709" s="277">
        <v>0.0</v>
      </c>
      <c r="X709" s="271">
        <v>-1.0</v>
      </c>
      <c r="Y709" s="271">
        <v>0.0</v>
      </c>
      <c r="Z709" s="50" t="b">
        <v>1</v>
      </c>
      <c r="AA709" s="50" t="s">
        <v>138</v>
      </c>
      <c r="AB709" s="50" t="s">
        <v>138</v>
      </c>
    </row>
    <row r="710">
      <c r="A710" s="101" t="s">
        <v>216</v>
      </c>
      <c r="B710" s="101" t="s">
        <v>943</v>
      </c>
      <c r="C710" s="278">
        <v>44287.0</v>
      </c>
      <c r="D710" s="278">
        <v>44316.0</v>
      </c>
      <c r="E710" s="271" t="s">
        <v>268</v>
      </c>
      <c r="F710" s="138" t="s">
        <v>4</v>
      </c>
      <c r="G710" s="101" t="s">
        <v>16</v>
      </c>
      <c r="H710" s="273" t="s">
        <v>74</v>
      </c>
      <c r="I710" s="274">
        <v>50.0</v>
      </c>
      <c r="J710" s="271">
        <v>4.0</v>
      </c>
      <c r="K710" s="271">
        <f t="shared" si="1"/>
        <v>200</v>
      </c>
      <c r="L710" s="271">
        <v>625.0</v>
      </c>
      <c r="M710" s="271">
        <v>-100.0</v>
      </c>
      <c r="N710" s="275">
        <v>8.78</v>
      </c>
      <c r="O710" s="60"/>
      <c r="P710" s="50">
        <v>9.0</v>
      </c>
      <c r="Q710" s="271">
        <v>48.0</v>
      </c>
      <c r="R710" s="276">
        <v>-0.00314</v>
      </c>
      <c r="S710" s="271">
        <v>48.0</v>
      </c>
      <c r="T710" s="271">
        <v>56.0</v>
      </c>
      <c r="U710" s="62">
        <v>1.0</v>
      </c>
      <c r="V710" s="277">
        <v>0.22</v>
      </c>
      <c r="W710" s="277">
        <v>0.0</v>
      </c>
      <c r="X710" s="271">
        <v>44.0</v>
      </c>
      <c r="Y710" s="271">
        <v>12.0</v>
      </c>
      <c r="Z710" s="50" t="b">
        <v>1</v>
      </c>
      <c r="AA710" s="50" t="s">
        <v>138</v>
      </c>
      <c r="AB710" s="50" t="s">
        <v>138</v>
      </c>
    </row>
    <row r="711">
      <c r="A711" s="101" t="s">
        <v>216</v>
      </c>
      <c r="B711" s="101" t="s">
        <v>943</v>
      </c>
      <c r="C711" s="278">
        <v>44287.0</v>
      </c>
      <c r="D711" s="278">
        <v>44316.0</v>
      </c>
      <c r="E711" s="271" t="s">
        <v>268</v>
      </c>
      <c r="F711" s="138" t="s">
        <v>4</v>
      </c>
      <c r="G711" s="101" t="s">
        <v>16</v>
      </c>
      <c r="H711" s="273" t="s">
        <v>101</v>
      </c>
      <c r="I711" s="274">
        <v>500.0</v>
      </c>
      <c r="J711" s="271">
        <v>10.0</v>
      </c>
      <c r="K711" s="271">
        <f t="shared" si="1"/>
        <v>5000</v>
      </c>
      <c r="L711" s="271">
        <v>405.0</v>
      </c>
      <c r="M711" s="271">
        <v>-2500.0</v>
      </c>
      <c r="N711" s="275">
        <v>175.64</v>
      </c>
      <c r="O711" s="60"/>
      <c r="P711" s="50">
        <v>176.0</v>
      </c>
      <c r="Q711" s="271">
        <v>184.0</v>
      </c>
      <c r="R711" s="276">
        <v>-0.00314</v>
      </c>
      <c r="S711" s="271">
        <v>168.0</v>
      </c>
      <c r="T711" s="271">
        <v>344.0</v>
      </c>
      <c r="U711" s="62">
        <v>1.0</v>
      </c>
      <c r="V711" s="277">
        <v>0.22</v>
      </c>
      <c r="W711" s="277">
        <v>0.0</v>
      </c>
      <c r="X711" s="271">
        <v>268.0</v>
      </c>
      <c r="Y711" s="271">
        <v>76.0</v>
      </c>
      <c r="Z711" s="50" t="b">
        <v>1</v>
      </c>
      <c r="AA711" s="50" t="s">
        <v>138</v>
      </c>
      <c r="AB711" s="50" t="s">
        <v>138</v>
      </c>
    </row>
    <row r="712">
      <c r="A712" s="101" t="s">
        <v>267</v>
      </c>
      <c r="B712" s="101" t="s">
        <v>267</v>
      </c>
      <c r="C712" s="278">
        <v>44307.0</v>
      </c>
      <c r="D712" s="278">
        <v>44336.0</v>
      </c>
      <c r="E712" s="271" t="s">
        <v>268</v>
      </c>
      <c r="F712" s="138" t="s">
        <v>4</v>
      </c>
      <c r="G712" s="101" t="s">
        <v>5</v>
      </c>
      <c r="H712" s="273" t="s">
        <v>986</v>
      </c>
      <c r="I712" s="274">
        <v>10.0</v>
      </c>
      <c r="J712" s="271">
        <v>37.0</v>
      </c>
      <c r="K712" s="271">
        <f t="shared" si="1"/>
        <v>370</v>
      </c>
      <c r="L712" s="271">
        <v>-227.0</v>
      </c>
      <c r="M712" s="271">
        <v>-80.0</v>
      </c>
      <c r="N712" s="275">
        <v>17.0</v>
      </c>
      <c r="O712" s="60"/>
      <c r="P712" s="50">
        <v>17.0</v>
      </c>
      <c r="Q712" s="271">
        <v>-38.0</v>
      </c>
      <c r="R712" s="276">
        <v>-0.00314</v>
      </c>
      <c r="S712" s="271">
        <v>-39.0</v>
      </c>
      <c r="T712" s="271">
        <v>-22.0</v>
      </c>
      <c r="U712" s="62">
        <v>1.0</v>
      </c>
      <c r="V712" s="277">
        <v>0.15</v>
      </c>
      <c r="W712" s="277">
        <v>0.0</v>
      </c>
      <c r="X712" s="271">
        <v>-19.0</v>
      </c>
      <c r="Y712" s="271">
        <v>-3.0</v>
      </c>
      <c r="Z712" s="50" t="b">
        <v>1</v>
      </c>
      <c r="AA712" s="50" t="s">
        <v>138</v>
      </c>
      <c r="AB712" s="50" t="s">
        <v>138</v>
      </c>
    </row>
    <row r="713">
      <c r="A713" s="101" t="s">
        <v>267</v>
      </c>
      <c r="B713" s="101" t="s">
        <v>267</v>
      </c>
      <c r="C713" s="278">
        <v>44307.0</v>
      </c>
      <c r="D713" s="278">
        <v>44336.0</v>
      </c>
      <c r="E713" s="271" t="s">
        <v>268</v>
      </c>
      <c r="F713" s="138" t="s">
        <v>4</v>
      </c>
      <c r="G713" s="101" t="s">
        <v>5</v>
      </c>
      <c r="H713" s="273" t="s">
        <v>62</v>
      </c>
      <c r="I713" s="274">
        <v>25.0</v>
      </c>
      <c r="J713" s="271">
        <v>228.0</v>
      </c>
      <c r="K713" s="271">
        <f t="shared" si="1"/>
        <v>5700</v>
      </c>
      <c r="L713" s="271">
        <v>22238.0</v>
      </c>
      <c r="M713" s="271">
        <v>1125.0</v>
      </c>
      <c r="N713" s="275">
        <v>194.0</v>
      </c>
      <c r="O713" s="60"/>
      <c r="P713" s="50">
        <v>194.0</v>
      </c>
      <c r="Q713" s="271">
        <v>666.0</v>
      </c>
      <c r="R713" s="276">
        <v>-0.00314</v>
      </c>
      <c r="S713" s="271">
        <v>648.0</v>
      </c>
      <c r="T713" s="271">
        <v>842.0</v>
      </c>
      <c r="U713" s="62">
        <v>1.0</v>
      </c>
      <c r="V713" s="277">
        <v>0.15</v>
      </c>
      <c r="W713" s="277">
        <v>0.0</v>
      </c>
      <c r="X713" s="271">
        <v>716.0</v>
      </c>
      <c r="Y713" s="271">
        <v>126.0</v>
      </c>
      <c r="Z713" s="50" t="b">
        <v>1</v>
      </c>
      <c r="AA713" s="50" t="s">
        <v>138</v>
      </c>
      <c r="AB713" s="50" t="s">
        <v>138</v>
      </c>
    </row>
    <row r="714">
      <c r="A714" s="101" t="s">
        <v>267</v>
      </c>
      <c r="B714" s="101" t="s">
        <v>267</v>
      </c>
      <c r="C714" s="278">
        <v>44307.0</v>
      </c>
      <c r="D714" s="278">
        <v>44336.0</v>
      </c>
      <c r="E714" s="271" t="s">
        <v>268</v>
      </c>
      <c r="F714" s="138" t="s">
        <v>4</v>
      </c>
      <c r="G714" s="101" t="s">
        <v>5</v>
      </c>
      <c r="H714" s="273" t="s">
        <v>63</v>
      </c>
      <c r="I714" s="274">
        <v>25.0</v>
      </c>
      <c r="J714" s="271">
        <v>1021.0</v>
      </c>
      <c r="K714" s="271">
        <f t="shared" si="1"/>
        <v>25525</v>
      </c>
      <c r="L714" s="271">
        <v>22873.0</v>
      </c>
      <c r="M714" s="271">
        <v>-125.0</v>
      </c>
      <c r="N714" s="275">
        <v>870.0</v>
      </c>
      <c r="O714" s="60"/>
      <c r="P714" s="50">
        <v>870.0</v>
      </c>
      <c r="Q714" s="271">
        <v>134.0</v>
      </c>
      <c r="R714" s="276">
        <v>-0.00314</v>
      </c>
      <c r="S714" s="271">
        <v>53.0</v>
      </c>
      <c r="T714" s="271">
        <v>923.0</v>
      </c>
      <c r="U714" s="62">
        <v>1.0</v>
      </c>
      <c r="V714" s="277">
        <v>0.15</v>
      </c>
      <c r="W714" s="277">
        <v>0.0</v>
      </c>
      <c r="X714" s="271">
        <v>785.0</v>
      </c>
      <c r="Y714" s="271">
        <v>139.0</v>
      </c>
      <c r="Z714" s="50" t="b">
        <v>1</v>
      </c>
      <c r="AA714" s="50" t="s">
        <v>138</v>
      </c>
      <c r="AB714" s="50" t="s">
        <v>138</v>
      </c>
    </row>
    <row r="715">
      <c r="A715" s="101" t="s">
        <v>267</v>
      </c>
      <c r="B715" s="101" t="s">
        <v>267</v>
      </c>
      <c r="C715" s="278">
        <v>44307.0</v>
      </c>
      <c r="D715" s="278">
        <v>44336.0</v>
      </c>
      <c r="E715" s="271" t="s">
        <v>268</v>
      </c>
      <c r="F715" s="138" t="s">
        <v>4</v>
      </c>
      <c r="G715" s="101" t="s">
        <v>5</v>
      </c>
      <c r="H715" s="273" t="s">
        <v>74</v>
      </c>
      <c r="I715" s="274">
        <v>50.0</v>
      </c>
      <c r="J715" s="271">
        <v>227.0</v>
      </c>
      <c r="K715" s="271">
        <f t="shared" si="1"/>
        <v>11350</v>
      </c>
      <c r="L715" s="271">
        <v>3711.0</v>
      </c>
      <c r="M715" s="271">
        <v>-550.0</v>
      </c>
      <c r="N715" s="275">
        <v>399.0</v>
      </c>
      <c r="O715" s="60"/>
      <c r="P715" s="50">
        <v>399.0</v>
      </c>
      <c r="Q715" s="271">
        <v>-382.0</v>
      </c>
      <c r="R715" s="276">
        <v>-0.00314</v>
      </c>
      <c r="S715" s="271">
        <v>-418.0</v>
      </c>
      <c r="T715" s="271">
        <v>-19.0</v>
      </c>
      <c r="U715" s="62">
        <v>1.0</v>
      </c>
      <c r="V715" s="277">
        <v>0.15</v>
      </c>
      <c r="W715" s="277">
        <v>0.0</v>
      </c>
      <c r="X715" s="271">
        <v>-16.0</v>
      </c>
      <c r="Y715" s="271">
        <v>-3.0</v>
      </c>
      <c r="Z715" s="50" t="b">
        <v>1</v>
      </c>
      <c r="AA715" s="50" t="s">
        <v>138</v>
      </c>
      <c r="AB715" s="50" t="s">
        <v>138</v>
      </c>
    </row>
    <row r="716">
      <c r="A716" s="101" t="s">
        <v>267</v>
      </c>
      <c r="B716" s="101" t="s">
        <v>267</v>
      </c>
      <c r="C716" s="278">
        <v>44307.0</v>
      </c>
      <c r="D716" s="278">
        <v>44336.0</v>
      </c>
      <c r="E716" s="271" t="s">
        <v>268</v>
      </c>
      <c r="F716" s="138" t="s">
        <v>4</v>
      </c>
      <c r="G716" s="101" t="s">
        <v>5</v>
      </c>
      <c r="H716" s="273" t="s">
        <v>75</v>
      </c>
      <c r="I716" s="274">
        <v>50.0</v>
      </c>
      <c r="J716" s="271">
        <v>1080.0</v>
      </c>
      <c r="K716" s="271">
        <f t="shared" si="1"/>
        <v>54000</v>
      </c>
      <c r="L716" s="271">
        <v>2470.0</v>
      </c>
      <c r="M716" s="271">
        <v>-3350.0</v>
      </c>
      <c r="N716" s="275">
        <v>1850.0</v>
      </c>
      <c r="O716" s="60"/>
      <c r="P716" s="109">
        <v>1850.0</v>
      </c>
      <c r="Q716" s="271">
        <v>-3074.0</v>
      </c>
      <c r="R716" s="276">
        <v>-0.00314</v>
      </c>
      <c r="S716" s="271">
        <v>-3244.0</v>
      </c>
      <c r="T716" s="271">
        <v>-1394.0</v>
      </c>
      <c r="U716" s="62">
        <v>1.0</v>
      </c>
      <c r="V716" s="277">
        <v>0.15</v>
      </c>
      <c r="W716" s="277">
        <v>0.0</v>
      </c>
      <c r="X716" s="271">
        <v>-1185.0</v>
      </c>
      <c r="Y716" s="271">
        <v>-209.0</v>
      </c>
      <c r="Z716" s="50" t="b">
        <v>1</v>
      </c>
      <c r="AA716" s="50" t="s">
        <v>138</v>
      </c>
      <c r="AB716" s="50" t="s">
        <v>138</v>
      </c>
    </row>
    <row r="717">
      <c r="A717" s="101" t="s">
        <v>267</v>
      </c>
      <c r="B717" s="101" t="s">
        <v>267</v>
      </c>
      <c r="C717" s="278">
        <v>44307.0</v>
      </c>
      <c r="D717" s="278">
        <v>44336.0</v>
      </c>
      <c r="E717" s="271" t="s">
        <v>268</v>
      </c>
      <c r="F717" s="138" t="s">
        <v>4</v>
      </c>
      <c r="G717" s="101" t="s">
        <v>5</v>
      </c>
      <c r="H717" s="273" t="s">
        <v>86</v>
      </c>
      <c r="I717" s="274">
        <v>100.0</v>
      </c>
      <c r="J717" s="271">
        <v>96.0</v>
      </c>
      <c r="K717" s="271">
        <f t="shared" si="1"/>
        <v>9600</v>
      </c>
      <c r="L717" s="271">
        <v>1789.0</v>
      </c>
      <c r="M717" s="271">
        <v>-1600.0</v>
      </c>
      <c r="N717" s="275">
        <v>272.0</v>
      </c>
      <c r="O717" s="60"/>
      <c r="P717" s="50">
        <v>272.0</v>
      </c>
      <c r="Q717" s="271">
        <v>40.0</v>
      </c>
      <c r="R717" s="276">
        <v>-0.00314</v>
      </c>
      <c r="S717" s="271">
        <v>10.0</v>
      </c>
      <c r="T717" s="271">
        <v>282.0</v>
      </c>
      <c r="U717" s="62">
        <v>1.0</v>
      </c>
      <c r="V717" s="277">
        <v>0.15</v>
      </c>
      <c r="W717" s="277">
        <v>0.0</v>
      </c>
      <c r="X717" s="271">
        <v>240.0</v>
      </c>
      <c r="Y717" s="271">
        <v>42.0</v>
      </c>
      <c r="Z717" s="50" t="b">
        <v>1</v>
      </c>
      <c r="AA717" s="50" t="s">
        <v>138</v>
      </c>
      <c r="AB717" s="50" t="s">
        <v>138</v>
      </c>
    </row>
    <row r="718">
      <c r="A718" s="271" t="s">
        <v>144</v>
      </c>
      <c r="B718" s="271" t="s">
        <v>144</v>
      </c>
      <c r="C718" s="278">
        <v>44307.0</v>
      </c>
      <c r="D718" s="278">
        <v>44336.0</v>
      </c>
      <c r="E718" s="271" t="s">
        <v>268</v>
      </c>
      <c r="F718" s="101" t="s">
        <v>4</v>
      </c>
      <c r="G718" s="271" t="s">
        <v>9</v>
      </c>
      <c r="H718" s="273" t="s">
        <v>55</v>
      </c>
      <c r="I718" s="274">
        <v>10.0</v>
      </c>
      <c r="J718" s="271">
        <v>2013.0</v>
      </c>
      <c r="K718" s="271">
        <f t="shared" si="1"/>
        <v>20130</v>
      </c>
      <c r="L718" s="271">
        <v>158346.0</v>
      </c>
      <c r="M718" s="271">
        <v>2715.0</v>
      </c>
      <c r="N718" s="275">
        <v>53.67</v>
      </c>
      <c r="O718" s="60"/>
      <c r="P718" s="50">
        <v>54.0</v>
      </c>
      <c r="Q718" s="271">
        <v>1125.0</v>
      </c>
      <c r="R718" s="276">
        <v>-0.00314</v>
      </c>
      <c r="S718" s="271">
        <v>1061.0</v>
      </c>
      <c r="T718" s="271">
        <v>1115.0</v>
      </c>
      <c r="U718" s="62">
        <v>1.0</v>
      </c>
      <c r="V718" s="277">
        <v>0.25</v>
      </c>
      <c r="W718" s="277">
        <v>0.0</v>
      </c>
      <c r="X718" s="271">
        <v>836.0</v>
      </c>
      <c r="Y718" s="271">
        <v>279.0</v>
      </c>
      <c r="Z718" s="50" t="b">
        <v>1</v>
      </c>
      <c r="AA718" s="50" t="s">
        <v>140</v>
      </c>
      <c r="AB718" s="50" t="s">
        <v>140</v>
      </c>
    </row>
    <row r="719">
      <c r="A719" s="271" t="s">
        <v>144</v>
      </c>
      <c r="B719" s="271" t="s">
        <v>144</v>
      </c>
      <c r="C719" s="278">
        <v>44307.0</v>
      </c>
      <c r="D719" s="278">
        <v>44336.0</v>
      </c>
      <c r="E719" s="271" t="s">
        <v>268</v>
      </c>
      <c r="F719" s="101" t="s">
        <v>4</v>
      </c>
      <c r="G719" s="271" t="s">
        <v>9</v>
      </c>
      <c r="H719" s="273" t="s">
        <v>68</v>
      </c>
      <c r="I719" s="274">
        <v>25.0</v>
      </c>
      <c r="J719" s="271">
        <v>20.0</v>
      </c>
      <c r="K719" s="271">
        <f t="shared" si="1"/>
        <v>500</v>
      </c>
      <c r="L719" s="271">
        <v>1964.0</v>
      </c>
      <c r="M719" s="271">
        <v>-183.0</v>
      </c>
      <c r="N719" s="275">
        <v>1.33</v>
      </c>
      <c r="O719" s="60"/>
      <c r="P719" s="50">
        <v>1.0</v>
      </c>
      <c r="Q719" s="271">
        <v>46.0</v>
      </c>
      <c r="R719" s="276">
        <v>-0.00314</v>
      </c>
      <c r="S719" s="271">
        <v>44.0</v>
      </c>
      <c r="T719" s="271">
        <v>45.0</v>
      </c>
      <c r="U719" s="62">
        <v>1.0</v>
      </c>
      <c r="V719" s="277">
        <v>0.25</v>
      </c>
      <c r="W719" s="277">
        <v>0.0</v>
      </c>
      <c r="X719" s="271">
        <v>34.0</v>
      </c>
      <c r="Y719" s="271">
        <v>11.0</v>
      </c>
      <c r="Z719" s="50" t="b">
        <v>1</v>
      </c>
      <c r="AA719" s="50" t="s">
        <v>140</v>
      </c>
      <c r="AB719" s="50" t="s">
        <v>140</v>
      </c>
    </row>
    <row r="720">
      <c r="A720" s="101" t="s">
        <v>148</v>
      </c>
      <c r="B720" s="101" t="s">
        <v>148</v>
      </c>
      <c r="C720" s="278">
        <v>44307.0</v>
      </c>
      <c r="D720" s="278">
        <v>44336.0</v>
      </c>
      <c r="E720" s="271" t="s">
        <v>331</v>
      </c>
      <c r="F720" s="138" t="s">
        <v>4</v>
      </c>
      <c r="G720" s="101" t="s">
        <v>5</v>
      </c>
      <c r="H720" s="273" t="s">
        <v>46</v>
      </c>
      <c r="I720" s="274">
        <v>10.0</v>
      </c>
      <c r="J720" s="271">
        <v>1.0</v>
      </c>
      <c r="K720" s="271">
        <f t="shared" si="1"/>
        <v>10</v>
      </c>
      <c r="L720" s="271">
        <v>-272.0</v>
      </c>
      <c r="M720" s="271">
        <v>-10.0</v>
      </c>
      <c r="N720" s="275"/>
      <c r="O720" s="60"/>
      <c r="P720" s="101"/>
      <c r="Q720" s="271">
        <v>-6.0</v>
      </c>
      <c r="R720" s="276">
        <v>-0.00314</v>
      </c>
      <c r="S720" s="271">
        <v>-6.0</v>
      </c>
      <c r="T720" s="271">
        <v>-6.0</v>
      </c>
      <c r="U720" s="62">
        <v>1.0</v>
      </c>
      <c r="V720" s="277">
        <v>0.15</v>
      </c>
      <c r="W720" s="277">
        <v>0.05</v>
      </c>
      <c r="X720" s="271">
        <v>-5.0</v>
      </c>
      <c r="Y720" s="271">
        <v>-1.0</v>
      </c>
      <c r="Z720" s="50" t="b">
        <v>1</v>
      </c>
      <c r="AA720" s="50" t="s">
        <v>138</v>
      </c>
      <c r="AB720" s="50" t="s">
        <v>138</v>
      </c>
    </row>
    <row r="721">
      <c r="A721" s="101" t="s">
        <v>148</v>
      </c>
      <c r="B721" s="101" t="s">
        <v>148</v>
      </c>
      <c r="C721" s="278">
        <v>44307.0</v>
      </c>
      <c r="D721" s="278">
        <v>44336.0</v>
      </c>
      <c r="E721" s="271" t="s">
        <v>331</v>
      </c>
      <c r="F721" s="138" t="s">
        <v>4</v>
      </c>
      <c r="G721" s="101" t="s">
        <v>5</v>
      </c>
      <c r="H721" s="273" t="s">
        <v>62</v>
      </c>
      <c r="I721" s="274">
        <v>25.0</v>
      </c>
      <c r="J721" s="271">
        <v>170.0</v>
      </c>
      <c r="K721" s="271">
        <f t="shared" si="1"/>
        <v>4250</v>
      </c>
      <c r="L721" s="271">
        <v>3099.0</v>
      </c>
      <c r="M721" s="271">
        <v>-350.0</v>
      </c>
      <c r="N721" s="275">
        <v>128.0</v>
      </c>
      <c r="O721" s="60"/>
      <c r="P721" s="50">
        <v>128.0</v>
      </c>
      <c r="Q721" s="271">
        <v>-160.0</v>
      </c>
      <c r="R721" s="276">
        <v>-0.00314</v>
      </c>
      <c r="S721" s="271">
        <v>-174.0</v>
      </c>
      <c r="T721" s="271">
        <v>-46.0</v>
      </c>
      <c r="U721" s="62">
        <v>1.0</v>
      </c>
      <c r="V721" s="277">
        <v>0.15</v>
      </c>
      <c r="W721" s="277">
        <v>0.05</v>
      </c>
      <c r="X721" s="271">
        <v>-37.0</v>
      </c>
      <c r="Y721" s="271">
        <v>-9.0</v>
      </c>
      <c r="Z721" s="50" t="b">
        <v>1</v>
      </c>
      <c r="AA721" s="50" t="s">
        <v>138</v>
      </c>
      <c r="AB721" s="50" t="s">
        <v>138</v>
      </c>
    </row>
    <row r="722">
      <c r="A722" s="101" t="s">
        <v>148</v>
      </c>
      <c r="B722" s="101" t="s">
        <v>148</v>
      </c>
      <c r="C722" s="278">
        <v>44307.0</v>
      </c>
      <c r="D722" s="278">
        <v>44336.0</v>
      </c>
      <c r="E722" s="271" t="s">
        <v>331</v>
      </c>
      <c r="F722" s="138" t="s">
        <v>4</v>
      </c>
      <c r="G722" s="101" t="s">
        <v>5</v>
      </c>
      <c r="H722" s="273" t="s">
        <v>74</v>
      </c>
      <c r="I722" s="274">
        <v>50.0</v>
      </c>
      <c r="J722" s="271">
        <v>3021.0</v>
      </c>
      <c r="K722" s="271">
        <f t="shared" si="1"/>
        <v>151050</v>
      </c>
      <c r="L722" s="271">
        <v>66771.0</v>
      </c>
      <c r="M722" s="271">
        <v>250.0</v>
      </c>
      <c r="N722" s="275">
        <v>4570.0</v>
      </c>
      <c r="O722" s="60"/>
      <c r="P722" s="109">
        <v>4570.0</v>
      </c>
      <c r="Q722" s="271">
        <v>-3777.0</v>
      </c>
      <c r="R722" s="276">
        <v>-0.00314</v>
      </c>
      <c r="S722" s="271">
        <v>-4251.0</v>
      </c>
      <c r="T722" s="271">
        <v>319.0</v>
      </c>
      <c r="U722" s="62">
        <v>1.0</v>
      </c>
      <c r="V722" s="277">
        <v>0.15</v>
      </c>
      <c r="W722" s="277">
        <v>0.05</v>
      </c>
      <c r="X722" s="271">
        <v>255.0</v>
      </c>
      <c r="Y722" s="271">
        <v>64.0</v>
      </c>
      <c r="Z722" s="50" t="b">
        <v>1</v>
      </c>
      <c r="AA722" s="50" t="s">
        <v>138</v>
      </c>
      <c r="AB722" s="50" t="s">
        <v>138</v>
      </c>
    </row>
    <row r="723">
      <c r="A723" s="101" t="s">
        <v>182</v>
      </c>
      <c r="B723" s="101" t="s">
        <v>182</v>
      </c>
      <c r="C723" s="278">
        <v>44307.0</v>
      </c>
      <c r="D723" s="278">
        <v>44336.0</v>
      </c>
      <c r="E723" s="271" t="s">
        <v>268</v>
      </c>
      <c r="F723" s="101" t="s">
        <v>4</v>
      </c>
      <c r="G723" s="271" t="s">
        <v>5</v>
      </c>
      <c r="H723" s="273" t="s">
        <v>46</v>
      </c>
      <c r="I723" s="274">
        <v>10.0</v>
      </c>
      <c r="J723" s="271">
        <v>87.0</v>
      </c>
      <c r="K723" s="271">
        <f t="shared" si="1"/>
        <v>870</v>
      </c>
      <c r="L723" s="271">
        <v>5868.0</v>
      </c>
      <c r="M723" s="271">
        <v>160.0</v>
      </c>
      <c r="N723" s="275"/>
      <c r="O723" s="60"/>
      <c r="P723" s="101"/>
      <c r="Q723" s="271">
        <v>33.0</v>
      </c>
      <c r="R723" s="276">
        <v>-0.00314</v>
      </c>
      <c r="S723" s="271">
        <v>31.0</v>
      </c>
      <c r="T723" s="271">
        <v>31.0</v>
      </c>
      <c r="U723" s="62">
        <v>1.0</v>
      </c>
      <c r="V723" s="277">
        <v>0.2</v>
      </c>
      <c r="W723" s="277">
        <v>0.0</v>
      </c>
      <c r="X723" s="271">
        <v>25.0</v>
      </c>
      <c r="Y723" s="271">
        <v>6.0</v>
      </c>
      <c r="Z723" s="50" t="b">
        <v>1</v>
      </c>
      <c r="AA723" s="50" t="s">
        <v>138</v>
      </c>
      <c r="AB723" s="50" t="s">
        <v>138</v>
      </c>
    </row>
    <row r="724">
      <c r="A724" s="101" t="s">
        <v>182</v>
      </c>
      <c r="B724" s="101">
        <v>66.5622</v>
      </c>
      <c r="C724" s="278">
        <v>44307.0</v>
      </c>
      <c r="D724" s="278">
        <v>44336.0</v>
      </c>
      <c r="E724" s="271" t="s">
        <v>268</v>
      </c>
      <c r="F724" s="101" t="s">
        <v>4</v>
      </c>
      <c r="G724" s="271" t="s">
        <v>9</v>
      </c>
      <c r="H724" s="273" t="s">
        <v>55</v>
      </c>
      <c r="I724" s="274">
        <v>10.0</v>
      </c>
      <c r="J724" s="271">
        <v>1820.0</v>
      </c>
      <c r="K724" s="271">
        <f t="shared" si="1"/>
        <v>18200</v>
      </c>
      <c r="L724" s="271">
        <v>109232.0</v>
      </c>
      <c r="M724" s="271">
        <v>367.0</v>
      </c>
      <c r="N724" s="275">
        <v>35.0</v>
      </c>
      <c r="O724" s="60"/>
      <c r="P724" s="50">
        <v>35.0</v>
      </c>
      <c r="Q724" s="271">
        <v>399.0</v>
      </c>
      <c r="R724" s="276">
        <v>-0.00314</v>
      </c>
      <c r="S724" s="271">
        <v>342.0</v>
      </c>
      <c r="T724" s="271">
        <v>377.0</v>
      </c>
      <c r="U724" s="62">
        <v>1.223</v>
      </c>
      <c r="V724" s="277">
        <v>0.2</v>
      </c>
      <c r="W724" s="277">
        <v>0.0</v>
      </c>
      <c r="X724" s="271">
        <v>369.0</v>
      </c>
      <c r="Y724" s="271">
        <v>92.0</v>
      </c>
      <c r="Z724" s="50" t="b">
        <v>1</v>
      </c>
      <c r="AA724" s="50" t="s">
        <v>138</v>
      </c>
      <c r="AB724" s="50" t="s">
        <v>140</v>
      </c>
    </row>
    <row r="725">
      <c r="A725" s="101" t="s">
        <v>416</v>
      </c>
      <c r="B725" s="101" t="s">
        <v>416</v>
      </c>
      <c r="C725" s="278">
        <v>44307.0</v>
      </c>
      <c r="D725" s="278">
        <v>44336.0</v>
      </c>
      <c r="E725" s="271" t="s">
        <v>268</v>
      </c>
      <c r="F725" s="138" t="s">
        <v>4</v>
      </c>
      <c r="G725" s="101" t="s">
        <v>22</v>
      </c>
      <c r="H725" s="273" t="s">
        <v>51</v>
      </c>
      <c r="I725" s="274">
        <v>10.0</v>
      </c>
      <c r="J725" s="271">
        <v>2522.0</v>
      </c>
      <c r="K725" s="271">
        <f t="shared" si="1"/>
        <v>25220</v>
      </c>
      <c r="L725" s="271">
        <v>175502.0</v>
      </c>
      <c r="M725" s="271">
        <v>4310.0</v>
      </c>
      <c r="N725" s="275"/>
      <c r="O725" s="60"/>
      <c r="P725" s="101"/>
      <c r="Q725" s="271">
        <v>1316.0</v>
      </c>
      <c r="R725" s="276">
        <v>-0.00314</v>
      </c>
      <c r="S725" s="271">
        <v>1237.0</v>
      </c>
      <c r="T725" s="271">
        <v>1237.0</v>
      </c>
      <c r="U725" s="62">
        <v>1.223</v>
      </c>
      <c r="V725" s="277">
        <v>0.25</v>
      </c>
      <c r="W725" s="277">
        <v>0.0</v>
      </c>
      <c r="X725" s="271">
        <v>1135.0</v>
      </c>
      <c r="Y725" s="271">
        <v>378.0</v>
      </c>
      <c r="Z725" s="50" t="b">
        <v>1</v>
      </c>
      <c r="AA725" s="50" t="s">
        <v>138</v>
      </c>
      <c r="AB725" s="50" t="s">
        <v>140</v>
      </c>
    </row>
    <row r="726">
      <c r="A726" s="101" t="s">
        <v>199</v>
      </c>
      <c r="B726" s="101" t="s">
        <v>199</v>
      </c>
      <c r="C726" s="278">
        <v>44307.0</v>
      </c>
      <c r="D726" s="278">
        <v>44336.0</v>
      </c>
      <c r="E726" s="271" t="s">
        <v>268</v>
      </c>
      <c r="F726" s="138" t="s">
        <v>4</v>
      </c>
      <c r="G726" s="101" t="s">
        <v>9</v>
      </c>
      <c r="H726" s="273" t="s">
        <v>983</v>
      </c>
      <c r="I726" s="274">
        <v>5.0</v>
      </c>
      <c r="J726" s="271">
        <v>205.0</v>
      </c>
      <c r="K726" s="271">
        <f t="shared" si="1"/>
        <v>1025</v>
      </c>
      <c r="L726" s="271">
        <v>30553.0</v>
      </c>
      <c r="M726" s="271">
        <v>312.0</v>
      </c>
      <c r="N726" s="275">
        <v>17.2</v>
      </c>
      <c r="O726" s="60"/>
      <c r="P726" s="50">
        <v>17.0</v>
      </c>
      <c r="Q726" s="271">
        <v>189.0</v>
      </c>
      <c r="R726" s="276">
        <v>-0.00314</v>
      </c>
      <c r="S726" s="271">
        <v>185.0</v>
      </c>
      <c r="T726" s="271">
        <v>203.0</v>
      </c>
      <c r="U726" s="62">
        <v>1.0</v>
      </c>
      <c r="V726" s="277">
        <v>0.2</v>
      </c>
      <c r="W726" s="277">
        <v>0.0</v>
      </c>
      <c r="X726" s="271">
        <v>162.0</v>
      </c>
      <c r="Y726" s="271">
        <v>41.0</v>
      </c>
      <c r="Z726" s="50" t="b">
        <v>1</v>
      </c>
      <c r="AA726" s="50" t="s">
        <v>140</v>
      </c>
      <c r="AB726" s="50" t="s">
        <v>140</v>
      </c>
    </row>
    <row r="727">
      <c r="A727" s="101" t="s">
        <v>199</v>
      </c>
      <c r="B727" s="101" t="s">
        <v>199</v>
      </c>
      <c r="C727" s="278">
        <v>44307.0</v>
      </c>
      <c r="D727" s="278">
        <v>44336.0</v>
      </c>
      <c r="E727" s="271" t="s">
        <v>268</v>
      </c>
      <c r="F727" s="138" t="s">
        <v>4</v>
      </c>
      <c r="G727" s="101" t="s">
        <v>9</v>
      </c>
      <c r="H727" s="273" t="s">
        <v>55</v>
      </c>
      <c r="I727" s="274">
        <v>10.0</v>
      </c>
      <c r="J727" s="271">
        <v>1298.0</v>
      </c>
      <c r="K727" s="271">
        <f t="shared" si="1"/>
        <v>12980</v>
      </c>
      <c r="L727" s="271">
        <v>74505.0</v>
      </c>
      <c r="M727" s="271">
        <v>770.0</v>
      </c>
      <c r="N727" s="275">
        <v>217.8</v>
      </c>
      <c r="O727" s="60"/>
      <c r="P727" s="50">
        <v>218.0</v>
      </c>
      <c r="Q727" s="271">
        <v>223.0</v>
      </c>
      <c r="R727" s="276">
        <v>-0.00314</v>
      </c>
      <c r="S727" s="271">
        <v>182.0</v>
      </c>
      <c r="T727" s="271">
        <v>400.0</v>
      </c>
      <c r="U727" s="62">
        <v>1.0</v>
      </c>
      <c r="V727" s="277">
        <v>0.2</v>
      </c>
      <c r="W727" s="277">
        <v>0.0</v>
      </c>
      <c r="X727" s="271">
        <v>320.0</v>
      </c>
      <c r="Y727" s="271">
        <v>80.0</v>
      </c>
      <c r="Z727" s="50" t="b">
        <v>1</v>
      </c>
      <c r="AA727" s="50" t="s">
        <v>140</v>
      </c>
      <c r="AB727" s="50" t="s">
        <v>140</v>
      </c>
    </row>
    <row r="728">
      <c r="A728" s="101" t="s">
        <v>546</v>
      </c>
      <c r="B728" s="101" t="s">
        <v>546</v>
      </c>
      <c r="C728" s="278">
        <v>44307.0</v>
      </c>
      <c r="D728" s="278">
        <v>44336.0</v>
      </c>
      <c r="E728" s="271" t="s">
        <v>331</v>
      </c>
      <c r="F728" s="138" t="s">
        <v>4</v>
      </c>
      <c r="G728" s="101" t="s">
        <v>5</v>
      </c>
      <c r="H728" s="273" t="s">
        <v>85</v>
      </c>
      <c r="I728" s="274">
        <v>100.0</v>
      </c>
      <c r="J728" s="271">
        <v>2426.0</v>
      </c>
      <c r="K728" s="271">
        <f t="shared" si="1"/>
        <v>242600</v>
      </c>
      <c r="L728" s="271">
        <v>111919.0</v>
      </c>
      <c r="M728" s="271">
        <v>15600.0</v>
      </c>
      <c r="N728" s="275">
        <v>2175.0</v>
      </c>
      <c r="O728" s="60"/>
      <c r="P728" s="109">
        <v>2175.0</v>
      </c>
      <c r="Q728" s="271">
        <v>7877.0</v>
      </c>
      <c r="R728" s="276">
        <v>-0.00314</v>
      </c>
      <c r="S728" s="271">
        <v>7115.0</v>
      </c>
      <c r="T728" s="271">
        <v>9290.0</v>
      </c>
      <c r="U728" s="62">
        <v>1.0</v>
      </c>
      <c r="V728" s="277">
        <v>0.135</v>
      </c>
      <c r="W728" s="277">
        <v>0.045</v>
      </c>
      <c r="X728" s="271">
        <v>7618.0</v>
      </c>
      <c r="Y728" s="271">
        <v>1672.0</v>
      </c>
      <c r="Z728" s="50" t="b">
        <v>1</v>
      </c>
      <c r="AA728" s="50" t="s">
        <v>138</v>
      </c>
      <c r="AB728" s="50" t="s">
        <v>138</v>
      </c>
    </row>
    <row r="729">
      <c r="A729" s="101" t="s">
        <v>207</v>
      </c>
      <c r="B729" s="101" t="s">
        <v>208</v>
      </c>
      <c r="C729" s="278">
        <v>44307.0</v>
      </c>
      <c r="D729" s="278">
        <v>44336.0</v>
      </c>
      <c r="E729" s="271" t="s">
        <v>268</v>
      </c>
      <c r="F729" s="138" t="s">
        <v>4</v>
      </c>
      <c r="G729" s="101" t="s">
        <v>13</v>
      </c>
      <c r="H729" s="273" t="s">
        <v>59</v>
      </c>
      <c r="I729" s="274">
        <v>20.0</v>
      </c>
      <c r="J729" s="271">
        <v>7498.0</v>
      </c>
      <c r="K729" s="271">
        <f t="shared" si="1"/>
        <v>149960</v>
      </c>
      <c r="L729" s="271">
        <v>12652.0</v>
      </c>
      <c r="M729" s="271">
        <v>-11900.0</v>
      </c>
      <c r="N729" s="275">
        <v>8029.0</v>
      </c>
      <c r="O729" s="60"/>
      <c r="P729" s="109">
        <v>8029.0</v>
      </c>
      <c r="Q729" s="271">
        <v>-10269.0</v>
      </c>
      <c r="R729" s="276">
        <v>-0.00314</v>
      </c>
      <c r="S729" s="271">
        <v>-10740.0</v>
      </c>
      <c r="T729" s="271">
        <v>-2711.0</v>
      </c>
      <c r="U729" s="62">
        <v>1.0</v>
      </c>
      <c r="V729" s="277">
        <v>0.3</v>
      </c>
      <c r="W729" s="277">
        <v>0.0</v>
      </c>
      <c r="X729" s="271">
        <v>-1898.0</v>
      </c>
      <c r="Y729" s="271">
        <v>-813.0</v>
      </c>
      <c r="Z729" s="50" t="b">
        <v>1</v>
      </c>
      <c r="AA729" s="50" t="s">
        <v>138</v>
      </c>
      <c r="AB729" s="50" t="s">
        <v>138</v>
      </c>
    </row>
    <row r="730">
      <c r="A730" s="101" t="s">
        <v>207</v>
      </c>
      <c r="B730" s="101" t="s">
        <v>208</v>
      </c>
      <c r="C730" s="278">
        <v>44307.0</v>
      </c>
      <c r="D730" s="278">
        <v>44336.0</v>
      </c>
      <c r="E730" s="271" t="s">
        <v>268</v>
      </c>
      <c r="F730" s="138" t="s">
        <v>4</v>
      </c>
      <c r="G730" s="101" t="s">
        <v>13</v>
      </c>
      <c r="H730" s="273" t="s">
        <v>74</v>
      </c>
      <c r="I730" s="274">
        <v>50.0</v>
      </c>
      <c r="J730" s="271">
        <v>67.0</v>
      </c>
      <c r="K730" s="271">
        <f t="shared" si="1"/>
        <v>3350</v>
      </c>
      <c r="L730" s="271">
        <v>1355.0</v>
      </c>
      <c r="M730" s="271">
        <v>750.0</v>
      </c>
      <c r="N730" s="275">
        <f>179+3350</f>
        <v>3529</v>
      </c>
      <c r="O730" s="60"/>
      <c r="P730" s="109">
        <v>3529.0</v>
      </c>
      <c r="Q730" s="271">
        <v>-51.0</v>
      </c>
      <c r="R730" s="276">
        <v>-0.00314</v>
      </c>
      <c r="S730" s="271">
        <v>-61.0</v>
      </c>
      <c r="T730" s="271">
        <v>3468.0</v>
      </c>
      <c r="U730" s="62">
        <v>1.0</v>
      </c>
      <c r="V730" s="277">
        <v>0.3</v>
      </c>
      <c r="W730" s="277">
        <v>0.0</v>
      </c>
      <c r="X730" s="271">
        <v>2427.0</v>
      </c>
      <c r="Y730" s="271">
        <v>1040.0</v>
      </c>
      <c r="Z730" s="50" t="b">
        <v>1</v>
      </c>
      <c r="AA730" s="50" t="s">
        <v>138</v>
      </c>
      <c r="AB730" s="50" t="s">
        <v>138</v>
      </c>
    </row>
    <row r="731">
      <c r="A731" s="101" t="s">
        <v>216</v>
      </c>
      <c r="B731" s="101" t="s">
        <v>216</v>
      </c>
      <c r="C731" s="278">
        <v>44307.0</v>
      </c>
      <c r="D731" s="278">
        <v>44336.0</v>
      </c>
      <c r="E731" s="271" t="s">
        <v>268</v>
      </c>
      <c r="F731" s="138" t="s">
        <v>4</v>
      </c>
      <c r="G731" s="101" t="s">
        <v>5</v>
      </c>
      <c r="H731" s="273" t="s">
        <v>34</v>
      </c>
      <c r="I731" s="274">
        <v>5.0</v>
      </c>
      <c r="J731" s="271">
        <v>12.0</v>
      </c>
      <c r="K731" s="271">
        <f t="shared" si="1"/>
        <v>60</v>
      </c>
      <c r="L731" s="271">
        <v>1328.0</v>
      </c>
      <c r="M731" s="271">
        <v>-5.0</v>
      </c>
      <c r="N731" s="275">
        <v>6.0</v>
      </c>
      <c r="O731" s="60"/>
      <c r="P731" s="50">
        <v>6.0</v>
      </c>
      <c r="Q731" s="271">
        <v>8.0</v>
      </c>
      <c r="R731" s="276">
        <v>-0.00314</v>
      </c>
      <c r="S731" s="271">
        <v>7.0</v>
      </c>
      <c r="T731" s="271">
        <v>13.0</v>
      </c>
      <c r="U731" s="62">
        <v>1.0</v>
      </c>
      <c r="V731" s="277">
        <v>0.22</v>
      </c>
      <c r="W731" s="277">
        <v>0.0</v>
      </c>
      <c r="X731" s="271">
        <v>11.0</v>
      </c>
      <c r="Y731" s="271">
        <v>3.0</v>
      </c>
      <c r="Z731" s="50" t="b">
        <v>1</v>
      </c>
      <c r="AA731" s="50" t="s">
        <v>138</v>
      </c>
      <c r="AB731" s="50" t="s">
        <v>138</v>
      </c>
    </row>
    <row r="732">
      <c r="A732" s="101" t="s">
        <v>216</v>
      </c>
      <c r="B732" s="101" t="s">
        <v>216</v>
      </c>
      <c r="C732" s="278">
        <v>44307.0</v>
      </c>
      <c r="D732" s="278">
        <v>44336.0</v>
      </c>
      <c r="E732" s="271" t="s">
        <v>268</v>
      </c>
      <c r="F732" s="138" t="s">
        <v>4</v>
      </c>
      <c r="G732" s="101" t="s">
        <v>5</v>
      </c>
      <c r="H732" s="273" t="s">
        <v>46</v>
      </c>
      <c r="I732" s="274">
        <v>10.0</v>
      </c>
      <c r="J732" s="271">
        <v>18.0</v>
      </c>
      <c r="K732" s="271">
        <f t="shared" si="1"/>
        <v>180</v>
      </c>
      <c r="L732" s="271">
        <v>3989.0</v>
      </c>
      <c r="M732" s="271">
        <v>40.0</v>
      </c>
      <c r="N732" s="275">
        <v>12.0</v>
      </c>
      <c r="O732" s="60"/>
      <c r="P732" s="50">
        <v>12.0</v>
      </c>
      <c r="Q732" s="271">
        <v>57.0</v>
      </c>
      <c r="R732" s="276">
        <v>-0.00314</v>
      </c>
      <c r="S732" s="271">
        <v>56.0</v>
      </c>
      <c r="T732" s="271">
        <v>68.0</v>
      </c>
      <c r="U732" s="62">
        <v>1.0</v>
      </c>
      <c r="V732" s="277">
        <v>0.22</v>
      </c>
      <c r="W732" s="277">
        <v>0.0</v>
      </c>
      <c r="X732" s="271">
        <v>53.0</v>
      </c>
      <c r="Y732" s="271">
        <v>15.0</v>
      </c>
      <c r="Z732" s="50" t="b">
        <v>1</v>
      </c>
      <c r="AA732" s="50" t="s">
        <v>138</v>
      </c>
      <c r="AB732" s="50" t="s">
        <v>138</v>
      </c>
    </row>
    <row r="733">
      <c r="A733" s="101" t="s">
        <v>216</v>
      </c>
      <c r="B733" s="101" t="s">
        <v>216</v>
      </c>
      <c r="C733" s="278">
        <v>44307.0</v>
      </c>
      <c r="D733" s="278">
        <v>44336.0</v>
      </c>
      <c r="E733" s="271" t="s">
        <v>268</v>
      </c>
      <c r="F733" s="138" t="s">
        <v>4</v>
      </c>
      <c r="G733" s="101" t="s">
        <v>5</v>
      </c>
      <c r="H733" s="273" t="s">
        <v>74</v>
      </c>
      <c r="I733" s="274">
        <v>50.0</v>
      </c>
      <c r="J733" s="271">
        <v>56.0</v>
      </c>
      <c r="K733" s="271">
        <f t="shared" si="1"/>
        <v>2800</v>
      </c>
      <c r="L733" s="271">
        <v>-4279.0</v>
      </c>
      <c r="M733" s="271">
        <v>-400.0</v>
      </c>
      <c r="N733" s="275">
        <v>142.0</v>
      </c>
      <c r="O733" s="60"/>
      <c r="P733" s="50">
        <v>142.0</v>
      </c>
      <c r="Q733" s="271">
        <v>-579.0</v>
      </c>
      <c r="R733" s="276">
        <v>-0.00314</v>
      </c>
      <c r="S733" s="271">
        <v>-587.0</v>
      </c>
      <c r="T733" s="271">
        <v>-445.0</v>
      </c>
      <c r="U733" s="62">
        <v>1.0</v>
      </c>
      <c r="V733" s="277">
        <v>0.22</v>
      </c>
      <c r="W733" s="277">
        <v>0.0</v>
      </c>
      <c r="X733" s="271">
        <v>-347.0</v>
      </c>
      <c r="Y733" s="271">
        <v>-98.0</v>
      </c>
      <c r="Z733" s="50" t="b">
        <v>1</v>
      </c>
      <c r="AA733" s="50" t="s">
        <v>138</v>
      </c>
      <c r="AB733" s="50" t="s">
        <v>138</v>
      </c>
    </row>
    <row r="734">
      <c r="A734" s="101" t="s">
        <v>216</v>
      </c>
      <c r="B734" s="101" t="s">
        <v>216</v>
      </c>
      <c r="C734" s="278">
        <v>44307.0</v>
      </c>
      <c r="D734" s="278">
        <v>44336.0</v>
      </c>
      <c r="E734" s="271" t="s">
        <v>268</v>
      </c>
      <c r="F734" s="138" t="s">
        <v>4</v>
      </c>
      <c r="G734" s="101" t="s">
        <v>5</v>
      </c>
      <c r="H734" s="273" t="s">
        <v>85</v>
      </c>
      <c r="I734" s="274">
        <v>100.0</v>
      </c>
      <c r="J734" s="271">
        <v>1998.0</v>
      </c>
      <c r="K734" s="271">
        <f t="shared" si="1"/>
        <v>199800</v>
      </c>
      <c r="L734" s="271">
        <v>51769.0</v>
      </c>
      <c r="M734" s="271">
        <v>-10800.0</v>
      </c>
      <c r="N734" s="275">
        <v>8360.0</v>
      </c>
      <c r="O734" s="60"/>
      <c r="P734" s="109">
        <v>8360.0</v>
      </c>
      <c r="Q734" s="271">
        <v>-1311.0</v>
      </c>
      <c r="R734" s="276">
        <v>-0.00314</v>
      </c>
      <c r="S734" s="271">
        <v>-1939.0</v>
      </c>
      <c r="T734" s="271">
        <v>6421.0</v>
      </c>
      <c r="U734" s="62">
        <v>1.0</v>
      </c>
      <c r="V734" s="277">
        <v>0.22</v>
      </c>
      <c r="W734" s="277">
        <v>0.0</v>
      </c>
      <c r="X734" s="271">
        <v>5009.0</v>
      </c>
      <c r="Y734" s="271">
        <v>1413.0</v>
      </c>
      <c r="Z734" s="50" t="b">
        <v>1</v>
      </c>
      <c r="AA734" s="50" t="s">
        <v>138</v>
      </c>
      <c r="AB734" s="50" t="s">
        <v>138</v>
      </c>
    </row>
    <row r="735">
      <c r="A735" s="101" t="s">
        <v>177</v>
      </c>
      <c r="B735" s="101" t="s">
        <v>177</v>
      </c>
      <c r="C735" s="278">
        <v>44317.0</v>
      </c>
      <c r="D735" s="278">
        <v>44347.0</v>
      </c>
      <c r="E735" s="271" t="s">
        <v>268</v>
      </c>
      <c r="F735" s="138" t="s">
        <v>8</v>
      </c>
      <c r="G735" s="280" t="s">
        <v>5</v>
      </c>
      <c r="H735" s="273" t="s">
        <v>85</v>
      </c>
      <c r="I735" s="274">
        <v>100.0</v>
      </c>
      <c r="J735" s="271">
        <v>2093.0</v>
      </c>
      <c r="K735" s="271">
        <f t="shared" si="1"/>
        <v>209300</v>
      </c>
      <c r="L735" s="271">
        <v>55932.0</v>
      </c>
      <c r="M735" s="271">
        <v>1200.0</v>
      </c>
      <c r="N735" s="275">
        <v>2383.0</v>
      </c>
      <c r="O735" s="60"/>
      <c r="P735" s="109">
        <v>2383.0</v>
      </c>
      <c r="Q735" s="271">
        <v>-856.0</v>
      </c>
      <c r="R735" s="276">
        <v>8.4E-4</v>
      </c>
      <c r="S735" s="271">
        <v>-680.0</v>
      </c>
      <c r="T735" s="271">
        <v>1703.0</v>
      </c>
      <c r="U735" s="62">
        <v>1.0</v>
      </c>
      <c r="V735" s="277">
        <v>0.12</v>
      </c>
      <c r="W735" s="277">
        <v>0.0</v>
      </c>
      <c r="X735" s="271">
        <v>1499.0</v>
      </c>
      <c r="Y735" s="271">
        <v>204.0</v>
      </c>
      <c r="Z735" s="50" t="b">
        <v>1</v>
      </c>
      <c r="AA735" s="50" t="s">
        <v>138</v>
      </c>
      <c r="AB735" s="50" t="s">
        <v>138</v>
      </c>
    </row>
    <row r="736">
      <c r="A736" s="101" t="s">
        <v>177</v>
      </c>
      <c r="B736" s="101" t="s">
        <v>177</v>
      </c>
      <c r="C736" s="278">
        <v>44317.0</v>
      </c>
      <c r="D736" s="278">
        <v>44347.0</v>
      </c>
      <c r="E736" s="271" t="s">
        <v>268</v>
      </c>
      <c r="F736" s="138" t="s">
        <v>12</v>
      </c>
      <c r="G736" s="280" t="s">
        <v>5</v>
      </c>
      <c r="H736" s="273" t="s">
        <v>74</v>
      </c>
      <c r="I736" s="274">
        <v>50.0</v>
      </c>
      <c r="J736" s="271">
        <v>29.0</v>
      </c>
      <c r="K736" s="271">
        <f t="shared" si="1"/>
        <v>1450</v>
      </c>
      <c r="L736" s="271"/>
      <c r="M736" s="271">
        <v>-400.0</v>
      </c>
      <c r="N736" s="275">
        <v>20.0</v>
      </c>
      <c r="O736" s="60"/>
      <c r="P736" s="50">
        <v>20.0</v>
      </c>
      <c r="Q736" s="271"/>
      <c r="R736" s="276">
        <v>0.0</v>
      </c>
      <c r="S736" s="271"/>
      <c r="T736" s="271">
        <v>-380.0</v>
      </c>
      <c r="U736" s="62">
        <v>1.0</v>
      </c>
      <c r="V736" s="277">
        <v>0.12</v>
      </c>
      <c r="W736" s="277">
        <v>0.0</v>
      </c>
      <c r="X736" s="271">
        <v>-334.0</v>
      </c>
      <c r="Y736" s="271">
        <v>-46.0</v>
      </c>
      <c r="Z736" s="50" t="b">
        <v>1</v>
      </c>
      <c r="AA736" s="50" t="s">
        <v>138</v>
      </c>
      <c r="AB736" s="50" t="s">
        <v>138</v>
      </c>
    </row>
    <row r="737">
      <c r="A737" s="101" t="s">
        <v>177</v>
      </c>
      <c r="B737" s="101" t="s">
        <v>177</v>
      </c>
      <c r="C737" s="278">
        <v>44317.0</v>
      </c>
      <c r="D737" s="278">
        <v>44347.0</v>
      </c>
      <c r="E737" s="271" t="s">
        <v>268</v>
      </c>
      <c r="F737" s="138" t="s">
        <v>12</v>
      </c>
      <c r="G737" s="280" t="s">
        <v>5</v>
      </c>
      <c r="H737" s="273" t="s">
        <v>62</v>
      </c>
      <c r="I737" s="274">
        <v>25.0</v>
      </c>
      <c r="J737" s="271">
        <v>19.0</v>
      </c>
      <c r="K737" s="271">
        <f t="shared" si="1"/>
        <v>475</v>
      </c>
      <c r="L737" s="271"/>
      <c r="M737" s="271">
        <v>250.0</v>
      </c>
      <c r="N737" s="275">
        <v>7.0</v>
      </c>
      <c r="O737" s="60"/>
      <c r="P737" s="50">
        <v>7.0</v>
      </c>
      <c r="Q737" s="271"/>
      <c r="R737" s="276">
        <v>0.0</v>
      </c>
      <c r="S737" s="271"/>
      <c r="T737" s="271">
        <v>257.0</v>
      </c>
      <c r="U737" s="62">
        <v>1.0</v>
      </c>
      <c r="V737" s="277">
        <v>0.12</v>
      </c>
      <c r="W737" s="277">
        <v>0.0</v>
      </c>
      <c r="X737" s="271">
        <v>226.0</v>
      </c>
      <c r="Y737" s="271">
        <v>31.0</v>
      </c>
      <c r="Z737" s="50" t="b">
        <v>1</v>
      </c>
      <c r="AA737" s="50" t="s">
        <v>138</v>
      </c>
      <c r="AB737" s="50" t="s">
        <v>138</v>
      </c>
    </row>
    <row r="738">
      <c r="A738" s="101" t="s">
        <v>177</v>
      </c>
      <c r="B738" s="101" t="s">
        <v>177</v>
      </c>
      <c r="C738" s="278">
        <v>44317.0</v>
      </c>
      <c r="D738" s="278">
        <v>44347.0</v>
      </c>
      <c r="E738" s="271" t="s">
        <v>268</v>
      </c>
      <c r="F738" s="138" t="s">
        <v>12</v>
      </c>
      <c r="G738" s="280" t="s">
        <v>5</v>
      </c>
      <c r="H738" s="273" t="s">
        <v>34</v>
      </c>
      <c r="I738" s="274">
        <v>5.0</v>
      </c>
      <c r="J738" s="271">
        <v>1.0</v>
      </c>
      <c r="K738" s="271">
        <f t="shared" si="1"/>
        <v>5</v>
      </c>
      <c r="L738" s="271"/>
      <c r="M738" s="271">
        <v>-5.0</v>
      </c>
      <c r="N738" s="275"/>
      <c r="O738" s="60"/>
      <c r="P738" s="101"/>
      <c r="Q738" s="271"/>
      <c r="R738" s="276">
        <v>0.0</v>
      </c>
      <c r="S738" s="271"/>
      <c r="T738" s="271">
        <v>-5.0</v>
      </c>
      <c r="U738" s="62">
        <v>1.0</v>
      </c>
      <c r="V738" s="277">
        <v>0.12</v>
      </c>
      <c r="W738" s="277">
        <v>0.0</v>
      </c>
      <c r="X738" s="271">
        <v>-4.0</v>
      </c>
      <c r="Y738" s="271">
        <v>-1.0</v>
      </c>
      <c r="Z738" s="50" t="b">
        <v>1</v>
      </c>
      <c r="AA738" s="50" t="s">
        <v>138</v>
      </c>
      <c r="AB738" s="50" t="s">
        <v>138</v>
      </c>
    </row>
    <row r="739">
      <c r="A739" s="101" t="s">
        <v>345</v>
      </c>
      <c r="B739" s="271" t="s">
        <v>988</v>
      </c>
      <c r="C739" s="278">
        <v>44317.0</v>
      </c>
      <c r="D739" s="278">
        <v>44347.0</v>
      </c>
      <c r="E739" s="271" t="s">
        <v>331</v>
      </c>
      <c r="F739" s="138" t="s">
        <v>4</v>
      </c>
      <c r="G739" s="271" t="s">
        <v>16</v>
      </c>
      <c r="H739" s="273" t="s">
        <v>85</v>
      </c>
      <c r="I739" s="274">
        <v>100.0</v>
      </c>
      <c r="J739" s="271">
        <v>94.0</v>
      </c>
      <c r="K739" s="271">
        <f t="shared" si="1"/>
        <v>9400</v>
      </c>
      <c r="L739" s="271">
        <v>-4008.0</v>
      </c>
      <c r="M739" s="271">
        <v>-1800.0</v>
      </c>
      <c r="N739" s="275">
        <v>377.16</v>
      </c>
      <c r="O739" s="60"/>
      <c r="P739" s="50">
        <v>377.0</v>
      </c>
      <c r="Q739" s="271">
        <v>-1265.0</v>
      </c>
      <c r="R739" s="276">
        <v>0.00193</v>
      </c>
      <c r="S739" s="271">
        <v>-1247.0</v>
      </c>
      <c r="T739" s="271">
        <v>-870.0</v>
      </c>
      <c r="U739" s="62">
        <v>1.0</v>
      </c>
      <c r="V739" s="277">
        <v>0.15</v>
      </c>
      <c r="W739" s="277">
        <v>0.05</v>
      </c>
      <c r="X739" s="271">
        <v>-696.0</v>
      </c>
      <c r="Y739" s="271">
        <v>-174.0</v>
      </c>
      <c r="Z739" s="50" t="b">
        <v>1</v>
      </c>
      <c r="AA739" s="50" t="s">
        <v>138</v>
      </c>
      <c r="AB739" s="50" t="s">
        <v>138</v>
      </c>
    </row>
    <row r="740">
      <c r="A740" s="101" t="s">
        <v>345</v>
      </c>
      <c r="B740" s="271" t="s">
        <v>988</v>
      </c>
      <c r="C740" s="278">
        <v>44317.0</v>
      </c>
      <c r="D740" s="278">
        <v>44347.0</v>
      </c>
      <c r="E740" s="271" t="s">
        <v>331</v>
      </c>
      <c r="F740" s="138" t="s">
        <v>4</v>
      </c>
      <c r="G740" s="271" t="s">
        <v>16</v>
      </c>
      <c r="H740" s="273" t="s">
        <v>59</v>
      </c>
      <c r="I740" s="274">
        <v>20.0</v>
      </c>
      <c r="J740" s="271">
        <v>5.0</v>
      </c>
      <c r="K740" s="271">
        <f t="shared" si="1"/>
        <v>100</v>
      </c>
      <c r="L740" s="271">
        <v>-2002.0</v>
      </c>
      <c r="M740" s="271">
        <v>-100.0</v>
      </c>
      <c r="N740" s="275">
        <v>4.81</v>
      </c>
      <c r="O740" s="60"/>
      <c r="P740" s="50">
        <v>5.0</v>
      </c>
      <c r="Q740" s="271">
        <v>-81.0</v>
      </c>
      <c r="R740" s="276">
        <v>0.00193</v>
      </c>
      <c r="S740" s="271">
        <v>-81.0</v>
      </c>
      <c r="T740" s="271">
        <v>-76.0</v>
      </c>
      <c r="U740" s="62">
        <v>1.0</v>
      </c>
      <c r="V740" s="277">
        <v>0.15</v>
      </c>
      <c r="W740" s="277">
        <v>0.05</v>
      </c>
      <c r="X740" s="271">
        <v>-61.0</v>
      </c>
      <c r="Y740" s="271">
        <v>-15.0</v>
      </c>
      <c r="Z740" s="50" t="b">
        <v>1</v>
      </c>
      <c r="AA740" s="50" t="s">
        <v>138</v>
      </c>
      <c r="AB740" s="50" t="s">
        <v>138</v>
      </c>
    </row>
    <row r="741">
      <c r="A741" s="101" t="s">
        <v>345</v>
      </c>
      <c r="B741" s="271" t="s">
        <v>988</v>
      </c>
      <c r="C741" s="278">
        <v>44317.0</v>
      </c>
      <c r="D741" s="278">
        <v>44347.0</v>
      </c>
      <c r="E741" s="271" t="s">
        <v>331</v>
      </c>
      <c r="F741" s="138" t="s">
        <v>4</v>
      </c>
      <c r="G741" s="271" t="s">
        <v>16</v>
      </c>
      <c r="H741" s="273" t="s">
        <v>60</v>
      </c>
      <c r="I741" s="274">
        <v>20.0</v>
      </c>
      <c r="J741" s="271">
        <v>12.0</v>
      </c>
      <c r="K741" s="271">
        <f t="shared" si="1"/>
        <v>240</v>
      </c>
      <c r="L741" s="271">
        <v>328.0</v>
      </c>
      <c r="M741" s="271">
        <v>60.0</v>
      </c>
      <c r="N741" s="275">
        <v>0.0</v>
      </c>
      <c r="O741" s="60"/>
      <c r="P741" s="50">
        <v>0.0</v>
      </c>
      <c r="Q741" s="271">
        <v>5.0</v>
      </c>
      <c r="R741" s="276">
        <v>0.00193</v>
      </c>
      <c r="S741" s="271">
        <v>6.0</v>
      </c>
      <c r="T741" s="271">
        <v>6.0</v>
      </c>
      <c r="U741" s="62">
        <v>1.0</v>
      </c>
      <c r="V741" s="277">
        <v>0.15</v>
      </c>
      <c r="W741" s="277">
        <v>0.05</v>
      </c>
      <c r="X741" s="271">
        <v>4.0</v>
      </c>
      <c r="Y741" s="271">
        <v>1.0</v>
      </c>
      <c r="Z741" s="50" t="b">
        <v>1</v>
      </c>
      <c r="AA741" s="50" t="s">
        <v>138</v>
      </c>
      <c r="AB741" s="50" t="s">
        <v>138</v>
      </c>
    </row>
    <row r="742">
      <c r="A742" s="101" t="s">
        <v>345</v>
      </c>
      <c r="B742" s="271" t="s">
        <v>988</v>
      </c>
      <c r="C742" s="278">
        <v>44317.0</v>
      </c>
      <c r="D742" s="278">
        <v>44347.0</v>
      </c>
      <c r="E742" s="271" t="s">
        <v>331</v>
      </c>
      <c r="F742" s="138" t="s">
        <v>4</v>
      </c>
      <c r="G742" s="271" t="s">
        <v>16</v>
      </c>
      <c r="H742" s="273" t="s">
        <v>74</v>
      </c>
      <c r="I742" s="274">
        <v>50.0</v>
      </c>
      <c r="J742" s="271">
        <v>4.0</v>
      </c>
      <c r="K742" s="271">
        <f t="shared" si="1"/>
        <v>200</v>
      </c>
      <c r="L742" s="271">
        <v>2326.0</v>
      </c>
      <c r="M742" s="271">
        <v>250.0</v>
      </c>
      <c r="N742" s="275">
        <v>8.02</v>
      </c>
      <c r="O742" s="60"/>
      <c r="P742" s="50">
        <v>8.0</v>
      </c>
      <c r="Q742" s="271">
        <v>209.0</v>
      </c>
      <c r="R742" s="276">
        <v>0.00193</v>
      </c>
      <c r="S742" s="271">
        <v>209.0</v>
      </c>
      <c r="T742" s="271">
        <v>217.0</v>
      </c>
      <c r="U742" s="62">
        <v>1.0</v>
      </c>
      <c r="V742" s="277">
        <v>0.15</v>
      </c>
      <c r="W742" s="277">
        <v>0.05</v>
      </c>
      <c r="X742" s="271">
        <v>174.0</v>
      </c>
      <c r="Y742" s="271">
        <v>43.0</v>
      </c>
      <c r="Z742" s="50" t="b">
        <v>1</v>
      </c>
      <c r="AA742" s="50" t="s">
        <v>138</v>
      </c>
      <c r="AB742" s="50" t="s">
        <v>138</v>
      </c>
    </row>
    <row r="743">
      <c r="A743" s="271" t="s">
        <v>459</v>
      </c>
      <c r="B743" s="101" t="s">
        <v>145</v>
      </c>
      <c r="C743" s="278">
        <v>44317.0</v>
      </c>
      <c r="D743" s="278">
        <v>44347.0</v>
      </c>
      <c r="E743" s="271" t="s">
        <v>331</v>
      </c>
      <c r="F743" s="101" t="s">
        <v>8</v>
      </c>
      <c r="G743" s="271" t="s">
        <v>9</v>
      </c>
      <c r="H743" s="273" t="s">
        <v>80</v>
      </c>
      <c r="I743" s="274">
        <v>50.0</v>
      </c>
      <c r="J743" s="271">
        <v>1882.0</v>
      </c>
      <c r="K743" s="271">
        <f t="shared" si="1"/>
        <v>94100</v>
      </c>
      <c r="L743" s="271">
        <v>91626.0</v>
      </c>
      <c r="M743" s="271">
        <v>950.0</v>
      </c>
      <c r="N743" s="275">
        <v>2250.0</v>
      </c>
      <c r="O743" s="60"/>
      <c r="P743" s="109">
        <v>2250.0</v>
      </c>
      <c r="Q743" s="271">
        <v>122.0</v>
      </c>
      <c r="R743" s="276">
        <v>8.51E-4</v>
      </c>
      <c r="S743" s="271">
        <v>202.0</v>
      </c>
      <c r="T743" s="271">
        <v>2452.0</v>
      </c>
      <c r="U743" s="62">
        <v>1.0</v>
      </c>
      <c r="V743" s="277">
        <v>0.15</v>
      </c>
      <c r="W743" s="277">
        <v>0.1</v>
      </c>
      <c r="X743" s="271">
        <v>1839.0</v>
      </c>
      <c r="Y743" s="271">
        <v>613.0</v>
      </c>
      <c r="Z743" s="50" t="b">
        <v>1</v>
      </c>
      <c r="AA743" s="50" t="s">
        <v>140</v>
      </c>
      <c r="AB743" s="50" t="s">
        <v>140</v>
      </c>
    </row>
    <row r="744">
      <c r="A744" s="101" t="s">
        <v>505</v>
      </c>
      <c r="B744" s="271" t="s">
        <v>166</v>
      </c>
      <c r="C744" s="278">
        <v>44317.0</v>
      </c>
      <c r="D744" s="278">
        <v>44347.0</v>
      </c>
      <c r="E744" s="271" t="s">
        <v>268</v>
      </c>
      <c r="F744" s="101" t="s">
        <v>4</v>
      </c>
      <c r="G744" s="271" t="s">
        <v>16</v>
      </c>
      <c r="H744" s="273" t="s">
        <v>59</v>
      </c>
      <c r="I744" s="274">
        <v>20.0</v>
      </c>
      <c r="J744" s="271">
        <v>408.0</v>
      </c>
      <c r="K744" s="271">
        <f t="shared" si="1"/>
        <v>8160</v>
      </c>
      <c r="L744" s="271">
        <v>9051.0</v>
      </c>
      <c r="M744" s="271">
        <v>-640.0</v>
      </c>
      <c r="N744" s="282">
        <v>998.0</v>
      </c>
      <c r="O744" s="60"/>
      <c r="P744" s="50">
        <v>998.0</v>
      </c>
      <c r="Q744" s="271">
        <v>-184.0</v>
      </c>
      <c r="R744" s="276">
        <v>0.00193</v>
      </c>
      <c r="S744" s="271">
        <v>-168.0</v>
      </c>
      <c r="T744" s="271">
        <v>830.0</v>
      </c>
      <c r="U744" s="62">
        <v>1.0</v>
      </c>
      <c r="V744" s="277">
        <v>0.3</v>
      </c>
      <c r="W744" s="277">
        <v>0.0</v>
      </c>
      <c r="X744" s="271">
        <v>581.0</v>
      </c>
      <c r="Y744" s="271">
        <v>249.0</v>
      </c>
      <c r="Z744" s="50" t="b">
        <v>1</v>
      </c>
      <c r="AA744" s="50" t="s">
        <v>138</v>
      </c>
      <c r="AB744" s="50" t="s">
        <v>138</v>
      </c>
    </row>
    <row r="745">
      <c r="A745" s="101" t="s">
        <v>216</v>
      </c>
      <c r="B745" s="101" t="s">
        <v>943</v>
      </c>
      <c r="C745" s="278">
        <v>44317.0</v>
      </c>
      <c r="D745" s="278">
        <v>44347.0</v>
      </c>
      <c r="E745" s="271" t="s">
        <v>268</v>
      </c>
      <c r="F745" s="138" t="s">
        <v>12</v>
      </c>
      <c r="G745" s="101" t="s">
        <v>16</v>
      </c>
      <c r="H745" s="273" t="s">
        <v>45</v>
      </c>
      <c r="I745" s="274">
        <v>10.0</v>
      </c>
      <c r="J745" s="271">
        <v>1.0</v>
      </c>
      <c r="K745" s="271">
        <f t="shared" si="1"/>
        <v>10</v>
      </c>
      <c r="L745" s="271"/>
      <c r="M745" s="271">
        <v>30.0</v>
      </c>
      <c r="N745" s="275">
        <v>0.57</v>
      </c>
      <c r="O745" s="60"/>
      <c r="P745" s="50">
        <v>1.0</v>
      </c>
      <c r="Q745" s="271"/>
      <c r="R745" s="276">
        <v>0.0</v>
      </c>
      <c r="S745" s="271"/>
      <c r="T745" s="271">
        <v>31.0</v>
      </c>
      <c r="U745" s="62">
        <v>1.0</v>
      </c>
      <c r="V745" s="277">
        <v>0.22</v>
      </c>
      <c r="W745" s="277">
        <v>0.0</v>
      </c>
      <c r="X745" s="271">
        <v>24.0</v>
      </c>
      <c r="Y745" s="271">
        <v>7.0</v>
      </c>
      <c r="Z745" s="50" t="b">
        <v>1</v>
      </c>
      <c r="AA745" s="50" t="s">
        <v>138</v>
      </c>
      <c r="AB745" s="50" t="s">
        <v>138</v>
      </c>
    </row>
    <row r="746">
      <c r="A746" s="101" t="s">
        <v>216</v>
      </c>
      <c r="B746" s="101" t="s">
        <v>943</v>
      </c>
      <c r="C746" s="278">
        <v>44317.0</v>
      </c>
      <c r="D746" s="278">
        <v>44347.0</v>
      </c>
      <c r="E746" s="271" t="s">
        <v>268</v>
      </c>
      <c r="F746" s="138" t="s">
        <v>4</v>
      </c>
      <c r="G746" s="101" t="s">
        <v>16</v>
      </c>
      <c r="H746" s="273" t="s">
        <v>85</v>
      </c>
      <c r="I746" s="274">
        <v>100.0</v>
      </c>
      <c r="J746" s="271">
        <v>3366.0</v>
      </c>
      <c r="K746" s="271">
        <f t="shared" si="1"/>
        <v>336600</v>
      </c>
      <c r="L746" s="271">
        <v>59137.0</v>
      </c>
      <c r="M746" s="271">
        <v>-12700.0</v>
      </c>
      <c r="N746" s="275">
        <v>16100.03</v>
      </c>
      <c r="O746" s="60"/>
      <c r="P746" s="109">
        <v>16100.0</v>
      </c>
      <c r="Q746" s="271">
        <v>-6994.0</v>
      </c>
      <c r="R746" s="276">
        <v>0.00193</v>
      </c>
      <c r="S746" s="271">
        <v>-6344.0</v>
      </c>
      <c r="T746" s="271">
        <v>9756.0</v>
      </c>
      <c r="U746" s="62">
        <v>1.0</v>
      </c>
      <c r="V746" s="277">
        <v>0.22</v>
      </c>
      <c r="W746" s="277">
        <v>0.0</v>
      </c>
      <c r="X746" s="271">
        <v>7610.0</v>
      </c>
      <c r="Y746" s="271">
        <v>2146.0</v>
      </c>
      <c r="Z746" s="50" t="b">
        <v>1</v>
      </c>
      <c r="AA746" s="50" t="s">
        <v>138</v>
      </c>
      <c r="AB746" s="50" t="s">
        <v>138</v>
      </c>
    </row>
    <row r="747">
      <c r="A747" s="101" t="s">
        <v>216</v>
      </c>
      <c r="B747" s="101" t="s">
        <v>943</v>
      </c>
      <c r="C747" s="278">
        <v>44317.0</v>
      </c>
      <c r="D747" s="278">
        <v>44347.0</v>
      </c>
      <c r="E747" s="271" t="s">
        <v>268</v>
      </c>
      <c r="F747" s="138" t="s">
        <v>4</v>
      </c>
      <c r="G747" s="101" t="s">
        <v>16</v>
      </c>
      <c r="H747" s="273" t="s">
        <v>96</v>
      </c>
      <c r="I747" s="274">
        <v>250.0</v>
      </c>
      <c r="J747" s="271">
        <v>452.0</v>
      </c>
      <c r="K747" s="271">
        <f t="shared" si="1"/>
        <v>113000</v>
      </c>
      <c r="L747" s="271">
        <v>3289.0</v>
      </c>
      <c r="M747" s="271">
        <v>2000.0</v>
      </c>
      <c r="N747" s="275">
        <v>0.0</v>
      </c>
      <c r="O747" s="60"/>
      <c r="P747" s="50">
        <v>0.0</v>
      </c>
      <c r="Q747" s="271">
        <v>-3126.0</v>
      </c>
      <c r="R747" s="276">
        <v>0.00193</v>
      </c>
      <c r="S747" s="271">
        <v>-2908.0</v>
      </c>
      <c r="T747" s="271">
        <v>-2908.0</v>
      </c>
      <c r="U747" s="62">
        <v>1.0</v>
      </c>
      <c r="V747" s="277">
        <v>0.22</v>
      </c>
      <c r="W747" s="277">
        <v>0.0</v>
      </c>
      <c r="X747" s="271">
        <v>-2268.0</v>
      </c>
      <c r="Y747" s="271">
        <v>-640.0</v>
      </c>
      <c r="Z747" s="50" t="b">
        <v>1</v>
      </c>
      <c r="AA747" s="50" t="s">
        <v>138</v>
      </c>
      <c r="AB747" s="50" t="s">
        <v>138</v>
      </c>
    </row>
    <row r="748">
      <c r="A748" s="101" t="s">
        <v>216</v>
      </c>
      <c r="B748" s="101" t="s">
        <v>943</v>
      </c>
      <c r="C748" s="278">
        <v>44317.0</v>
      </c>
      <c r="D748" s="278">
        <v>44347.0</v>
      </c>
      <c r="E748" s="271" t="s">
        <v>268</v>
      </c>
      <c r="F748" s="138" t="s">
        <v>4</v>
      </c>
      <c r="G748" s="101" t="s">
        <v>16</v>
      </c>
      <c r="H748" s="273" t="s">
        <v>74</v>
      </c>
      <c r="I748" s="274">
        <v>50.0</v>
      </c>
      <c r="J748" s="271">
        <v>24.0</v>
      </c>
      <c r="K748" s="271">
        <f t="shared" si="1"/>
        <v>1200</v>
      </c>
      <c r="L748" s="271">
        <v>-4081.0</v>
      </c>
      <c r="M748" s="271">
        <v>0.0</v>
      </c>
      <c r="N748" s="275">
        <v>57.4</v>
      </c>
      <c r="O748" s="60"/>
      <c r="P748" s="50">
        <v>57.0</v>
      </c>
      <c r="Q748" s="271">
        <v>-451.0</v>
      </c>
      <c r="R748" s="276">
        <v>0.00193</v>
      </c>
      <c r="S748" s="271">
        <v>-449.0</v>
      </c>
      <c r="T748" s="271">
        <v>-392.0</v>
      </c>
      <c r="U748" s="62">
        <v>1.0</v>
      </c>
      <c r="V748" s="277">
        <v>0.22</v>
      </c>
      <c r="W748" s="277">
        <v>0.0</v>
      </c>
      <c r="X748" s="271">
        <v>-305.0</v>
      </c>
      <c r="Y748" s="271">
        <v>-86.0</v>
      </c>
      <c r="Z748" s="50" t="b">
        <v>1</v>
      </c>
      <c r="AA748" s="50" t="s">
        <v>138</v>
      </c>
      <c r="AB748" s="50" t="s">
        <v>138</v>
      </c>
    </row>
    <row r="749">
      <c r="A749" s="101" t="s">
        <v>267</v>
      </c>
      <c r="B749" s="101" t="s">
        <v>267</v>
      </c>
      <c r="C749" s="278">
        <v>44337.0</v>
      </c>
      <c r="D749" s="278">
        <v>44367.0</v>
      </c>
      <c r="E749" s="271" t="s">
        <v>268</v>
      </c>
      <c r="F749" s="138" t="s">
        <v>4</v>
      </c>
      <c r="G749" s="101" t="s">
        <v>5</v>
      </c>
      <c r="H749" s="273" t="s">
        <v>34</v>
      </c>
      <c r="I749" s="274">
        <v>5.0</v>
      </c>
      <c r="J749" s="271">
        <v>1.0</v>
      </c>
      <c r="K749" s="271">
        <f t="shared" si="1"/>
        <v>5</v>
      </c>
      <c r="L749" s="271">
        <v>0.0</v>
      </c>
      <c r="M749" s="271">
        <v>-5.0</v>
      </c>
      <c r="N749" s="275"/>
      <c r="O749" s="60"/>
      <c r="P749" s="101"/>
      <c r="Q749" s="271">
        <v>0.0</v>
      </c>
      <c r="R749" s="276">
        <v>-0.0015</v>
      </c>
      <c r="S749" s="271">
        <v>0.0</v>
      </c>
      <c r="T749" s="271">
        <v>0.0</v>
      </c>
      <c r="U749" s="62">
        <v>1.0</v>
      </c>
      <c r="V749" s="277">
        <v>0.15</v>
      </c>
      <c r="W749" s="277">
        <v>0.0</v>
      </c>
      <c r="X749" s="271">
        <v>0.0</v>
      </c>
      <c r="Y749" s="271">
        <v>0.0</v>
      </c>
      <c r="Z749" s="50" t="b">
        <v>1</v>
      </c>
      <c r="AA749" s="50" t="s">
        <v>138</v>
      </c>
      <c r="AB749" s="50" t="s">
        <v>138</v>
      </c>
    </row>
    <row r="750">
      <c r="A750" s="101" t="s">
        <v>267</v>
      </c>
      <c r="B750" s="101" t="s">
        <v>267</v>
      </c>
      <c r="C750" s="278">
        <v>44337.0</v>
      </c>
      <c r="D750" s="278">
        <v>44367.0</v>
      </c>
      <c r="E750" s="271" t="s">
        <v>268</v>
      </c>
      <c r="F750" s="138" t="s">
        <v>4</v>
      </c>
      <c r="G750" s="101" t="s">
        <v>5</v>
      </c>
      <c r="H750" s="273" t="s">
        <v>38</v>
      </c>
      <c r="I750" s="274">
        <v>5.0</v>
      </c>
      <c r="J750" s="271">
        <v>14.0</v>
      </c>
      <c r="K750" s="271">
        <f t="shared" si="1"/>
        <v>70</v>
      </c>
      <c r="L750" s="271">
        <v>2000.0</v>
      </c>
      <c r="M750" s="271">
        <v>20.0</v>
      </c>
      <c r="N750" s="275"/>
      <c r="O750" s="60"/>
      <c r="P750" s="101"/>
      <c r="Q750" s="271">
        <v>25.0</v>
      </c>
      <c r="R750" s="276">
        <v>-0.0015</v>
      </c>
      <c r="S750" s="271">
        <v>25.0</v>
      </c>
      <c r="T750" s="271">
        <v>25.0</v>
      </c>
      <c r="U750" s="62">
        <v>1.0</v>
      </c>
      <c r="V750" s="277">
        <v>0.15</v>
      </c>
      <c r="W750" s="277">
        <v>0.0</v>
      </c>
      <c r="X750" s="271">
        <v>21.0</v>
      </c>
      <c r="Y750" s="271">
        <v>4.0</v>
      </c>
      <c r="Z750" s="50" t="b">
        <v>1</v>
      </c>
      <c r="AA750" s="50" t="s">
        <v>138</v>
      </c>
      <c r="AB750" s="50" t="s">
        <v>138</v>
      </c>
    </row>
    <row r="751">
      <c r="A751" s="101" t="s">
        <v>267</v>
      </c>
      <c r="B751" s="101" t="s">
        <v>267</v>
      </c>
      <c r="C751" s="278">
        <v>44337.0</v>
      </c>
      <c r="D751" s="278">
        <v>44367.0</v>
      </c>
      <c r="E751" s="271" t="s">
        <v>268</v>
      </c>
      <c r="F751" s="138" t="s">
        <v>4</v>
      </c>
      <c r="G751" s="101" t="s">
        <v>5</v>
      </c>
      <c r="H751" s="273" t="s">
        <v>46</v>
      </c>
      <c r="I751" s="274">
        <v>10.0</v>
      </c>
      <c r="J751" s="271">
        <v>4.0</v>
      </c>
      <c r="K751" s="271">
        <f t="shared" si="1"/>
        <v>40</v>
      </c>
      <c r="L751" s="271">
        <v>900.0</v>
      </c>
      <c r="M751" s="271">
        <v>0.0</v>
      </c>
      <c r="N751" s="275"/>
      <c r="O751" s="60"/>
      <c r="P751" s="101"/>
      <c r="Q751" s="271">
        <v>13.0</v>
      </c>
      <c r="R751" s="276">
        <v>-0.0015</v>
      </c>
      <c r="S751" s="271">
        <v>13.0</v>
      </c>
      <c r="T751" s="271">
        <v>13.0</v>
      </c>
      <c r="U751" s="62">
        <v>1.0</v>
      </c>
      <c r="V751" s="277">
        <v>0.15</v>
      </c>
      <c r="W751" s="277">
        <v>0.0</v>
      </c>
      <c r="X751" s="271">
        <v>11.0</v>
      </c>
      <c r="Y751" s="271">
        <v>2.0</v>
      </c>
      <c r="Z751" s="50" t="b">
        <v>1</v>
      </c>
      <c r="AA751" s="50" t="s">
        <v>138</v>
      </c>
      <c r="AB751" s="50" t="s">
        <v>138</v>
      </c>
    </row>
    <row r="752">
      <c r="A752" s="101" t="s">
        <v>267</v>
      </c>
      <c r="B752" s="101" t="s">
        <v>267</v>
      </c>
      <c r="C752" s="278">
        <v>44337.0</v>
      </c>
      <c r="D752" s="278">
        <v>44367.0</v>
      </c>
      <c r="E752" s="271" t="s">
        <v>268</v>
      </c>
      <c r="F752" s="138" t="s">
        <v>4</v>
      </c>
      <c r="G752" s="101" t="s">
        <v>5</v>
      </c>
      <c r="H752" s="273" t="s">
        <v>986</v>
      </c>
      <c r="I752" s="274">
        <v>10.0</v>
      </c>
      <c r="J752" s="271">
        <v>10.0</v>
      </c>
      <c r="K752" s="271">
        <f t="shared" si="1"/>
        <v>100</v>
      </c>
      <c r="L752" s="271">
        <v>-700.0</v>
      </c>
      <c r="M752" s="271">
        <v>-40.0</v>
      </c>
      <c r="N752" s="275">
        <v>1.0</v>
      </c>
      <c r="O752" s="60"/>
      <c r="P752" s="50">
        <v>1.0</v>
      </c>
      <c r="Q752" s="271">
        <v>-28.0</v>
      </c>
      <c r="R752" s="276">
        <v>-0.0015</v>
      </c>
      <c r="S752" s="271">
        <v>-28.0</v>
      </c>
      <c r="T752" s="271">
        <v>-27.0</v>
      </c>
      <c r="U752" s="62">
        <v>1.0</v>
      </c>
      <c r="V752" s="277">
        <v>0.15</v>
      </c>
      <c r="W752" s="277">
        <v>0.0</v>
      </c>
      <c r="X752" s="271">
        <v>-23.0</v>
      </c>
      <c r="Y752" s="271">
        <v>-4.0</v>
      </c>
      <c r="Z752" s="50" t="b">
        <v>1</v>
      </c>
      <c r="AA752" s="50" t="s">
        <v>138</v>
      </c>
      <c r="AB752" s="50" t="s">
        <v>138</v>
      </c>
    </row>
    <row r="753">
      <c r="A753" s="101" t="s">
        <v>267</v>
      </c>
      <c r="B753" s="101" t="s">
        <v>267</v>
      </c>
      <c r="C753" s="278">
        <v>44337.0</v>
      </c>
      <c r="D753" s="278">
        <v>44367.0</v>
      </c>
      <c r="E753" s="271" t="s">
        <v>268</v>
      </c>
      <c r="F753" s="138" t="s">
        <v>4</v>
      </c>
      <c r="G753" s="101" t="s">
        <v>5</v>
      </c>
      <c r="H753" s="273" t="s">
        <v>62</v>
      </c>
      <c r="I753" s="274">
        <v>25.0</v>
      </c>
      <c r="J753" s="271">
        <v>446.0</v>
      </c>
      <c r="K753" s="271">
        <f t="shared" si="1"/>
        <v>11150</v>
      </c>
      <c r="L753" s="271">
        <v>18000.0</v>
      </c>
      <c r="M753" s="271">
        <v>950.0</v>
      </c>
      <c r="N753" s="275">
        <v>61.0</v>
      </c>
      <c r="O753" s="60"/>
      <c r="P753" s="50">
        <v>61.0</v>
      </c>
      <c r="Q753" s="271">
        <v>223.0</v>
      </c>
      <c r="R753" s="276">
        <v>-0.0015</v>
      </c>
      <c r="S753" s="271">
        <v>206.0</v>
      </c>
      <c r="T753" s="271">
        <v>267.0</v>
      </c>
      <c r="U753" s="62">
        <v>1.0</v>
      </c>
      <c r="V753" s="277">
        <v>0.15</v>
      </c>
      <c r="W753" s="277">
        <v>0.0</v>
      </c>
      <c r="X753" s="271">
        <v>227.0</v>
      </c>
      <c r="Y753" s="271">
        <v>40.0</v>
      </c>
      <c r="Z753" s="50" t="b">
        <v>1</v>
      </c>
      <c r="AA753" s="50" t="s">
        <v>138</v>
      </c>
      <c r="AB753" s="50" t="s">
        <v>138</v>
      </c>
    </row>
    <row r="754">
      <c r="A754" s="101" t="s">
        <v>267</v>
      </c>
      <c r="B754" s="101" t="s">
        <v>267</v>
      </c>
      <c r="C754" s="278">
        <v>44337.0</v>
      </c>
      <c r="D754" s="278">
        <v>44367.0</v>
      </c>
      <c r="E754" s="271" t="s">
        <v>268</v>
      </c>
      <c r="F754" s="138" t="s">
        <v>4</v>
      </c>
      <c r="G754" s="101" t="s">
        <v>5</v>
      </c>
      <c r="H754" s="273" t="s">
        <v>63</v>
      </c>
      <c r="I754" s="274">
        <v>25.0</v>
      </c>
      <c r="J754" s="271">
        <v>870.0</v>
      </c>
      <c r="K754" s="271">
        <f t="shared" si="1"/>
        <v>21750</v>
      </c>
      <c r="L754" s="271">
        <v>10000.0</v>
      </c>
      <c r="M754" s="271">
        <v>-1700.0</v>
      </c>
      <c r="N754" s="275">
        <v>119.0</v>
      </c>
      <c r="O754" s="60"/>
      <c r="P754" s="50">
        <v>119.0</v>
      </c>
      <c r="Q754" s="271">
        <v>-421.0</v>
      </c>
      <c r="R754" s="276">
        <v>-0.0015</v>
      </c>
      <c r="S754" s="271">
        <v>-453.0</v>
      </c>
      <c r="T754" s="271">
        <v>-334.0</v>
      </c>
      <c r="U754" s="62">
        <v>1.0</v>
      </c>
      <c r="V754" s="277">
        <v>0.15</v>
      </c>
      <c r="W754" s="277">
        <v>0.0</v>
      </c>
      <c r="X754" s="271">
        <v>-284.0</v>
      </c>
      <c r="Y754" s="271">
        <v>-50.0</v>
      </c>
      <c r="Z754" s="50" t="b">
        <v>1</v>
      </c>
      <c r="AA754" s="50" t="s">
        <v>138</v>
      </c>
      <c r="AB754" s="50" t="s">
        <v>138</v>
      </c>
    </row>
    <row r="755">
      <c r="A755" s="101" t="s">
        <v>267</v>
      </c>
      <c r="B755" s="101" t="s">
        <v>267</v>
      </c>
      <c r="C755" s="278">
        <v>44337.0</v>
      </c>
      <c r="D755" s="278">
        <v>44367.0</v>
      </c>
      <c r="E755" s="271" t="s">
        <v>268</v>
      </c>
      <c r="F755" s="138" t="s">
        <v>4</v>
      </c>
      <c r="G755" s="101" t="s">
        <v>5</v>
      </c>
      <c r="H755" s="273" t="s">
        <v>74</v>
      </c>
      <c r="I755" s="274">
        <v>50.0</v>
      </c>
      <c r="J755" s="271">
        <v>379.0</v>
      </c>
      <c r="K755" s="271">
        <f t="shared" si="1"/>
        <v>18950</v>
      </c>
      <c r="L755" s="271">
        <v>16000.0</v>
      </c>
      <c r="M755" s="271">
        <v>50.0</v>
      </c>
      <c r="N755" s="275">
        <v>105.0</v>
      </c>
      <c r="O755" s="60"/>
      <c r="P755" s="50">
        <v>105.0</v>
      </c>
      <c r="Q755" s="271">
        <v>444.0</v>
      </c>
      <c r="R755" s="276">
        <v>-0.0015</v>
      </c>
      <c r="S755" s="271">
        <v>415.0</v>
      </c>
      <c r="T755" s="271">
        <v>520.0</v>
      </c>
      <c r="U755" s="62">
        <v>1.0</v>
      </c>
      <c r="V755" s="277">
        <v>0.15</v>
      </c>
      <c r="W755" s="277">
        <v>0.0</v>
      </c>
      <c r="X755" s="271">
        <v>442.0</v>
      </c>
      <c r="Y755" s="271">
        <v>78.0</v>
      </c>
      <c r="Z755" s="50" t="b">
        <v>1</v>
      </c>
      <c r="AA755" s="50" t="s">
        <v>138</v>
      </c>
      <c r="AB755" s="50" t="s">
        <v>138</v>
      </c>
    </row>
    <row r="756">
      <c r="A756" s="101" t="s">
        <v>267</v>
      </c>
      <c r="B756" s="101" t="s">
        <v>267</v>
      </c>
      <c r="C756" s="278">
        <v>44337.0</v>
      </c>
      <c r="D756" s="278">
        <v>44367.0</v>
      </c>
      <c r="E756" s="271" t="s">
        <v>268</v>
      </c>
      <c r="F756" s="138" t="s">
        <v>4</v>
      </c>
      <c r="G756" s="101" t="s">
        <v>5</v>
      </c>
      <c r="H756" s="273" t="s">
        <v>75</v>
      </c>
      <c r="I756" s="274">
        <v>50.0</v>
      </c>
      <c r="J756" s="271">
        <v>480.0</v>
      </c>
      <c r="K756" s="271">
        <f t="shared" si="1"/>
        <v>24000</v>
      </c>
      <c r="L756" s="271">
        <v>5000.0</v>
      </c>
      <c r="M756" s="271">
        <v>-2550.0</v>
      </c>
      <c r="N756" s="275">
        <v>132.0</v>
      </c>
      <c r="O756" s="60"/>
      <c r="P756" s="50">
        <v>132.0</v>
      </c>
      <c r="Q756" s="271">
        <v>-544.0</v>
      </c>
      <c r="R756" s="276">
        <v>-0.0015</v>
      </c>
      <c r="S756" s="271">
        <v>-580.0</v>
      </c>
      <c r="T756" s="271">
        <v>-448.0</v>
      </c>
      <c r="U756" s="62">
        <v>1.0</v>
      </c>
      <c r="V756" s="277">
        <v>0.15</v>
      </c>
      <c r="W756" s="277">
        <v>0.0</v>
      </c>
      <c r="X756" s="271">
        <v>-381.0</v>
      </c>
      <c r="Y756" s="271">
        <v>-67.0</v>
      </c>
      <c r="Z756" s="50" t="b">
        <v>1</v>
      </c>
      <c r="AA756" s="50" t="s">
        <v>138</v>
      </c>
      <c r="AB756" s="50" t="s">
        <v>138</v>
      </c>
    </row>
    <row r="757">
      <c r="A757" s="271" t="s">
        <v>144</v>
      </c>
      <c r="B757" s="271" t="s">
        <v>144</v>
      </c>
      <c r="C757" s="278">
        <v>44337.0</v>
      </c>
      <c r="D757" s="278">
        <v>44367.0</v>
      </c>
      <c r="E757" s="271" t="s">
        <v>268</v>
      </c>
      <c r="F757" s="101" t="s">
        <v>4</v>
      </c>
      <c r="G757" s="271" t="s">
        <v>9</v>
      </c>
      <c r="H757" s="273" t="s">
        <v>68</v>
      </c>
      <c r="I757" s="274">
        <v>25.0</v>
      </c>
      <c r="J757" s="271">
        <v>596.0</v>
      </c>
      <c r="K757" s="271">
        <f t="shared" si="1"/>
        <v>14900</v>
      </c>
      <c r="L757" s="271">
        <v>49814.0</v>
      </c>
      <c r="M757" s="271">
        <v>1896.0</v>
      </c>
      <c r="N757" s="275">
        <v>44.02</v>
      </c>
      <c r="O757" s="60"/>
      <c r="P757" s="50">
        <v>44.0</v>
      </c>
      <c r="Q757" s="271">
        <v>966.0</v>
      </c>
      <c r="R757" s="276">
        <v>0.00193</v>
      </c>
      <c r="S757" s="271">
        <v>995.0</v>
      </c>
      <c r="T757" s="271">
        <v>1039.0</v>
      </c>
      <c r="U757" s="62">
        <v>1.0</v>
      </c>
      <c r="V757" s="277">
        <v>0.3</v>
      </c>
      <c r="W757" s="277">
        <v>0.0</v>
      </c>
      <c r="X757" s="271">
        <v>727.0</v>
      </c>
      <c r="Y757" s="271">
        <v>312.0</v>
      </c>
      <c r="Z757" s="50" t="b">
        <v>1</v>
      </c>
      <c r="AA757" s="50" t="s">
        <v>140</v>
      </c>
      <c r="AB757" s="50" t="s">
        <v>140</v>
      </c>
    </row>
    <row r="758">
      <c r="A758" s="271" t="s">
        <v>144</v>
      </c>
      <c r="B758" s="271" t="s">
        <v>144</v>
      </c>
      <c r="C758" s="278">
        <v>44337.0</v>
      </c>
      <c r="D758" s="278">
        <v>44367.0</v>
      </c>
      <c r="E758" s="271" t="s">
        <v>268</v>
      </c>
      <c r="F758" s="101" t="s">
        <v>12</v>
      </c>
      <c r="G758" s="271" t="s">
        <v>9</v>
      </c>
      <c r="H758" s="273" t="s">
        <v>80</v>
      </c>
      <c r="I758" s="274">
        <v>50.0</v>
      </c>
      <c r="J758" s="271">
        <v>130.0</v>
      </c>
      <c r="K758" s="271">
        <f t="shared" si="1"/>
        <v>6500</v>
      </c>
      <c r="L758" s="271">
        <v>6593.0</v>
      </c>
      <c r="M758" s="271">
        <v>-350.0</v>
      </c>
      <c r="N758" s="275">
        <v>19.2</v>
      </c>
      <c r="O758" s="60"/>
      <c r="P758" s="50">
        <v>19.0</v>
      </c>
      <c r="Q758" s="271">
        <v>32.0</v>
      </c>
      <c r="R758" s="276">
        <v>0.00193</v>
      </c>
      <c r="S758" s="271">
        <v>45.0</v>
      </c>
      <c r="T758" s="271">
        <v>-331.0</v>
      </c>
      <c r="U758" s="62">
        <v>1.0</v>
      </c>
      <c r="V758" s="277">
        <v>0.3</v>
      </c>
      <c r="W758" s="277">
        <v>0.0</v>
      </c>
      <c r="X758" s="271">
        <v>-232.0</v>
      </c>
      <c r="Y758" s="271">
        <v>-99.0</v>
      </c>
      <c r="Z758" s="50" t="b">
        <v>1</v>
      </c>
      <c r="AA758" s="50" t="s">
        <v>140</v>
      </c>
      <c r="AB758" s="50" t="s">
        <v>140</v>
      </c>
    </row>
    <row r="759">
      <c r="A759" s="271" t="s">
        <v>144</v>
      </c>
      <c r="B759" s="271" t="s">
        <v>144</v>
      </c>
      <c r="C759" s="278">
        <v>44337.0</v>
      </c>
      <c r="D759" s="278">
        <v>44367.0</v>
      </c>
      <c r="E759" s="271" t="s">
        <v>268</v>
      </c>
      <c r="F759" s="101" t="s">
        <v>12</v>
      </c>
      <c r="G759" s="271" t="s">
        <v>9</v>
      </c>
      <c r="H759" s="273" t="s">
        <v>90</v>
      </c>
      <c r="I759" s="274">
        <v>100.0</v>
      </c>
      <c r="J759" s="271">
        <v>22.0</v>
      </c>
      <c r="K759" s="271">
        <f t="shared" si="1"/>
        <v>2200</v>
      </c>
      <c r="L759" s="271">
        <v>-273.0</v>
      </c>
      <c r="M759" s="271">
        <v>700.0</v>
      </c>
      <c r="N759" s="275">
        <v>0.0</v>
      </c>
      <c r="O759" s="60"/>
      <c r="P759" s="50">
        <v>0.0</v>
      </c>
      <c r="Q759" s="271">
        <v>-242.0</v>
      </c>
      <c r="R759" s="276">
        <v>0.00193</v>
      </c>
      <c r="S759" s="271">
        <v>-238.0</v>
      </c>
      <c r="T759" s="271">
        <v>700.0</v>
      </c>
      <c r="U759" s="62">
        <v>1.0</v>
      </c>
      <c r="V759" s="277">
        <v>0.3</v>
      </c>
      <c r="W759" s="277">
        <v>0.0</v>
      </c>
      <c r="X759" s="271">
        <v>490.0</v>
      </c>
      <c r="Y759" s="271">
        <v>210.0</v>
      </c>
      <c r="Z759" s="50" t="b">
        <v>1</v>
      </c>
      <c r="AA759" s="50" t="s">
        <v>140</v>
      </c>
      <c r="AB759" s="50" t="s">
        <v>140</v>
      </c>
    </row>
    <row r="760">
      <c r="A760" s="271" t="s">
        <v>144</v>
      </c>
      <c r="B760" s="271" t="s">
        <v>144</v>
      </c>
      <c r="C760" s="278">
        <v>44337.0</v>
      </c>
      <c r="D760" s="278">
        <v>44367.0</v>
      </c>
      <c r="E760" s="271" t="s">
        <v>268</v>
      </c>
      <c r="F760" s="101" t="s">
        <v>4</v>
      </c>
      <c r="G760" s="271" t="s">
        <v>9</v>
      </c>
      <c r="H760" s="273" t="s">
        <v>55</v>
      </c>
      <c r="I760" s="274">
        <v>10.0</v>
      </c>
      <c r="J760" s="271">
        <v>568.0</v>
      </c>
      <c r="K760" s="271">
        <f t="shared" si="1"/>
        <v>5680</v>
      </c>
      <c r="L760" s="271">
        <v>36524.0</v>
      </c>
      <c r="M760" s="271">
        <v>924.0</v>
      </c>
      <c r="N760" s="275">
        <v>16.78</v>
      </c>
      <c r="O760" s="60"/>
      <c r="P760" s="50">
        <v>17.0</v>
      </c>
      <c r="Q760" s="271">
        <v>169.0</v>
      </c>
      <c r="R760" s="276">
        <v>0.00193</v>
      </c>
      <c r="S760" s="271">
        <v>180.0</v>
      </c>
      <c r="T760" s="271">
        <v>197.0</v>
      </c>
      <c r="U760" s="62">
        <v>1.0</v>
      </c>
      <c r="V760" s="277">
        <v>0.3</v>
      </c>
      <c r="W760" s="277">
        <v>0.0</v>
      </c>
      <c r="X760" s="271">
        <v>138.0</v>
      </c>
      <c r="Y760" s="271">
        <v>59.0</v>
      </c>
      <c r="Z760" s="50" t="b">
        <v>1</v>
      </c>
      <c r="AA760" s="50" t="s">
        <v>140</v>
      </c>
      <c r="AB760" s="50" t="s">
        <v>140</v>
      </c>
    </row>
    <row r="761">
      <c r="A761" s="101" t="s">
        <v>148</v>
      </c>
      <c r="B761" s="101" t="s">
        <v>148</v>
      </c>
      <c r="C761" s="278">
        <v>44337.0</v>
      </c>
      <c r="D761" s="278">
        <v>44367.0</v>
      </c>
      <c r="E761" s="271" t="s">
        <v>331</v>
      </c>
      <c r="F761" s="138" t="s">
        <v>4</v>
      </c>
      <c r="G761" s="101" t="s">
        <v>5</v>
      </c>
      <c r="H761" s="273" t="s">
        <v>62</v>
      </c>
      <c r="I761" s="274">
        <v>25.0</v>
      </c>
      <c r="J761" s="271">
        <v>4562.0</v>
      </c>
      <c r="K761" s="271">
        <f t="shared" si="1"/>
        <v>114050</v>
      </c>
      <c r="L761" s="271">
        <v>154632.0</v>
      </c>
      <c r="M761" s="271">
        <v>300.0</v>
      </c>
      <c r="N761" s="275">
        <v>3016.0</v>
      </c>
      <c r="O761" s="60"/>
      <c r="P761" s="109">
        <v>3016.0</v>
      </c>
      <c r="Q761" s="271">
        <v>-281.0</v>
      </c>
      <c r="R761" s="276">
        <v>0.00193</v>
      </c>
      <c r="S761" s="271">
        <v>-61.0</v>
      </c>
      <c r="T761" s="271">
        <v>2955.0</v>
      </c>
      <c r="U761" s="62">
        <v>1.0</v>
      </c>
      <c r="V761" s="277">
        <v>0.15</v>
      </c>
      <c r="W761" s="277">
        <v>0.05</v>
      </c>
      <c r="X761" s="271">
        <v>2364.0</v>
      </c>
      <c r="Y761" s="271">
        <v>591.0</v>
      </c>
      <c r="Z761" s="50" t="b">
        <v>1</v>
      </c>
      <c r="AA761" s="50" t="s">
        <v>138</v>
      </c>
      <c r="AB761" s="50" t="s">
        <v>138</v>
      </c>
    </row>
    <row r="762">
      <c r="A762" s="101" t="s">
        <v>148</v>
      </c>
      <c r="B762" s="101" t="s">
        <v>148</v>
      </c>
      <c r="C762" s="278">
        <v>44337.0</v>
      </c>
      <c r="D762" s="278">
        <v>44367.0</v>
      </c>
      <c r="E762" s="271" t="s">
        <v>331</v>
      </c>
      <c r="F762" s="138" t="s">
        <v>4</v>
      </c>
      <c r="G762" s="101" t="s">
        <v>5</v>
      </c>
      <c r="H762" s="273" t="s">
        <v>74</v>
      </c>
      <c r="I762" s="274">
        <v>50.0</v>
      </c>
      <c r="J762" s="271">
        <v>979.0</v>
      </c>
      <c r="K762" s="271">
        <f t="shared" si="1"/>
        <v>48950</v>
      </c>
      <c r="L762" s="271">
        <v>20855.0</v>
      </c>
      <c r="M762" s="271">
        <v>-3250.0</v>
      </c>
      <c r="N762" s="275">
        <v>1295.0</v>
      </c>
      <c r="O762" s="60"/>
      <c r="P762" s="109">
        <v>1295.0</v>
      </c>
      <c r="Q762" s="271">
        <v>-1228.0</v>
      </c>
      <c r="R762" s="276">
        <v>0.00193</v>
      </c>
      <c r="S762" s="271">
        <v>-1134.0</v>
      </c>
      <c r="T762" s="271">
        <v>161.0</v>
      </c>
      <c r="U762" s="62">
        <v>1.0</v>
      </c>
      <c r="V762" s="277">
        <v>0.15</v>
      </c>
      <c r="W762" s="277">
        <v>0.05</v>
      </c>
      <c r="X762" s="271">
        <v>129.0</v>
      </c>
      <c r="Y762" s="271">
        <v>32.0</v>
      </c>
      <c r="Z762" s="50" t="b">
        <v>1</v>
      </c>
      <c r="AA762" s="50" t="s">
        <v>138</v>
      </c>
      <c r="AB762" s="50" t="s">
        <v>138</v>
      </c>
    </row>
    <row r="763">
      <c r="A763" s="101" t="s">
        <v>182</v>
      </c>
      <c r="B763" s="101">
        <v>66.5622</v>
      </c>
      <c r="C763" s="278">
        <v>44337.0</v>
      </c>
      <c r="D763" s="278">
        <v>44367.0</v>
      </c>
      <c r="E763" s="271" t="s">
        <v>268</v>
      </c>
      <c r="F763" s="101" t="s">
        <v>12</v>
      </c>
      <c r="G763" s="271" t="s">
        <v>9</v>
      </c>
      <c r="H763" s="273" t="s">
        <v>57</v>
      </c>
      <c r="I763" s="274">
        <v>10.0</v>
      </c>
      <c r="J763" s="271">
        <v>1.0</v>
      </c>
      <c r="K763" s="271">
        <f t="shared" si="1"/>
        <v>10</v>
      </c>
      <c r="L763" s="271">
        <v>674.0</v>
      </c>
      <c r="M763" s="271">
        <v>10.0</v>
      </c>
      <c r="N763" s="275">
        <v>0.01</v>
      </c>
      <c r="O763" s="60"/>
      <c r="P763" s="50">
        <v>0.0</v>
      </c>
      <c r="Q763" s="271">
        <v>20.0</v>
      </c>
      <c r="R763" s="276">
        <v>0.00193</v>
      </c>
      <c r="S763" s="271">
        <v>20.0</v>
      </c>
      <c r="T763" s="271">
        <v>10.0</v>
      </c>
      <c r="U763" s="62">
        <v>1.185</v>
      </c>
      <c r="V763" s="277">
        <v>0.2</v>
      </c>
      <c r="W763" s="277">
        <v>0.0</v>
      </c>
      <c r="X763" s="271">
        <v>9.0</v>
      </c>
      <c r="Y763" s="271">
        <v>2.0</v>
      </c>
      <c r="Z763" s="50" t="b">
        <v>1</v>
      </c>
      <c r="AA763" s="50" t="s">
        <v>138</v>
      </c>
      <c r="AB763" s="50" t="s">
        <v>140</v>
      </c>
    </row>
    <row r="764">
      <c r="A764" s="101" t="s">
        <v>182</v>
      </c>
      <c r="B764" s="101">
        <v>66.5622</v>
      </c>
      <c r="C764" s="278">
        <v>44337.0</v>
      </c>
      <c r="D764" s="278">
        <v>44367.0</v>
      </c>
      <c r="E764" s="271" t="s">
        <v>268</v>
      </c>
      <c r="F764" s="101" t="s">
        <v>4</v>
      </c>
      <c r="G764" s="271" t="s">
        <v>9</v>
      </c>
      <c r="H764" s="273" t="s">
        <v>55</v>
      </c>
      <c r="I764" s="274">
        <v>10.0</v>
      </c>
      <c r="J764" s="271">
        <v>2244.0</v>
      </c>
      <c r="K764" s="271">
        <f t="shared" si="1"/>
        <v>22440</v>
      </c>
      <c r="L764" s="271">
        <v>119252.0</v>
      </c>
      <c r="M764" s="271">
        <v>-249.0</v>
      </c>
      <c r="N764" s="275">
        <v>64.99</v>
      </c>
      <c r="O764" s="60"/>
      <c r="P764" s="50">
        <v>65.0</v>
      </c>
      <c r="Q764" s="271">
        <v>211.0</v>
      </c>
      <c r="R764" s="276">
        <v>0.00193</v>
      </c>
      <c r="S764" s="271">
        <v>254.0</v>
      </c>
      <c r="T764" s="271">
        <v>319.0</v>
      </c>
      <c r="U764" s="62">
        <v>1.185</v>
      </c>
      <c r="V764" s="277">
        <v>0.2</v>
      </c>
      <c r="W764" s="277">
        <v>0.0</v>
      </c>
      <c r="X764" s="271">
        <v>303.0</v>
      </c>
      <c r="Y764" s="271">
        <v>76.0</v>
      </c>
      <c r="Z764" s="50" t="b">
        <v>1</v>
      </c>
      <c r="AA764" s="50" t="s">
        <v>138</v>
      </c>
      <c r="AB764" s="50" t="s">
        <v>140</v>
      </c>
    </row>
    <row r="765">
      <c r="A765" s="101" t="s">
        <v>416</v>
      </c>
      <c r="B765" s="101" t="s">
        <v>416</v>
      </c>
      <c r="C765" s="278">
        <v>44337.0</v>
      </c>
      <c r="D765" s="278">
        <v>44367.0</v>
      </c>
      <c r="E765" s="271" t="s">
        <v>268</v>
      </c>
      <c r="F765" s="138" t="s">
        <v>4</v>
      </c>
      <c r="G765" s="101" t="s">
        <v>22</v>
      </c>
      <c r="H765" s="273" t="s">
        <v>40</v>
      </c>
      <c r="I765" s="274">
        <v>5.0</v>
      </c>
      <c r="J765" s="271">
        <v>8.0</v>
      </c>
      <c r="K765" s="271">
        <f t="shared" si="1"/>
        <v>40</v>
      </c>
      <c r="L765" s="271">
        <v>-1041.0</v>
      </c>
      <c r="M765" s="271">
        <v>-15.0</v>
      </c>
      <c r="N765" s="275"/>
      <c r="O765" s="60"/>
      <c r="P765" s="101"/>
      <c r="Q765" s="271">
        <v>-13.0</v>
      </c>
      <c r="R765" s="276">
        <v>0.00193</v>
      </c>
      <c r="S765" s="271">
        <v>-13.0</v>
      </c>
      <c r="T765" s="271">
        <v>-13.0</v>
      </c>
      <c r="U765" s="62">
        <v>1.185</v>
      </c>
      <c r="V765" s="277">
        <v>0.3</v>
      </c>
      <c r="W765" s="277">
        <v>0.0</v>
      </c>
      <c r="X765" s="271">
        <v>-10.0</v>
      </c>
      <c r="Y765" s="271">
        <v>-4.0</v>
      </c>
      <c r="Z765" s="50" t="b">
        <v>1</v>
      </c>
      <c r="AA765" s="50" t="s">
        <v>138</v>
      </c>
      <c r="AB765" s="50" t="s">
        <v>140</v>
      </c>
    </row>
    <row r="766">
      <c r="A766" s="101" t="s">
        <v>416</v>
      </c>
      <c r="B766" s="101" t="s">
        <v>416</v>
      </c>
      <c r="C766" s="278">
        <v>44337.0</v>
      </c>
      <c r="D766" s="278">
        <v>44367.0</v>
      </c>
      <c r="E766" s="271" t="s">
        <v>268</v>
      </c>
      <c r="F766" s="138" t="s">
        <v>4</v>
      </c>
      <c r="G766" s="101" t="s">
        <v>22</v>
      </c>
      <c r="H766" s="273" t="s">
        <v>51</v>
      </c>
      <c r="I766" s="274">
        <v>10.0</v>
      </c>
      <c r="J766" s="271">
        <v>1835.0</v>
      </c>
      <c r="K766" s="271">
        <f t="shared" si="1"/>
        <v>18350</v>
      </c>
      <c r="L766" s="271">
        <v>109807.0</v>
      </c>
      <c r="M766" s="271">
        <v>850.0</v>
      </c>
      <c r="N766" s="275"/>
      <c r="O766" s="60"/>
      <c r="P766" s="101"/>
      <c r="Q766" s="271">
        <v>630.0</v>
      </c>
      <c r="R766" s="276">
        <v>0.00193</v>
      </c>
      <c r="S766" s="271">
        <v>665.0</v>
      </c>
      <c r="T766" s="271">
        <v>665.0</v>
      </c>
      <c r="U766" s="62">
        <v>1.185</v>
      </c>
      <c r="V766" s="277">
        <v>0.3</v>
      </c>
      <c r="W766" s="277">
        <v>0.0</v>
      </c>
      <c r="X766" s="271">
        <v>552.0</v>
      </c>
      <c r="Y766" s="271">
        <v>237.0</v>
      </c>
      <c r="Z766" s="50" t="b">
        <v>1</v>
      </c>
      <c r="AA766" s="50" t="s">
        <v>138</v>
      </c>
      <c r="AB766" s="50" t="s">
        <v>140</v>
      </c>
    </row>
    <row r="767">
      <c r="A767" s="101" t="s">
        <v>199</v>
      </c>
      <c r="B767" s="101" t="s">
        <v>199</v>
      </c>
      <c r="C767" s="278">
        <v>44337.0</v>
      </c>
      <c r="D767" s="278">
        <v>44367.0</v>
      </c>
      <c r="E767" s="271" t="s">
        <v>268</v>
      </c>
      <c r="F767" s="138" t="s">
        <v>12</v>
      </c>
      <c r="G767" s="101" t="s">
        <v>9</v>
      </c>
      <c r="H767" s="273" t="s">
        <v>55</v>
      </c>
      <c r="I767" s="274">
        <v>10.0</v>
      </c>
      <c r="J767" s="271">
        <v>0.0</v>
      </c>
      <c r="K767" s="271">
        <f t="shared" si="1"/>
        <v>0</v>
      </c>
      <c r="L767" s="271">
        <v>0.0</v>
      </c>
      <c r="M767" s="271">
        <v>6000.0</v>
      </c>
      <c r="N767" s="275"/>
      <c r="O767" s="60"/>
      <c r="P767" s="101"/>
      <c r="Q767" s="271"/>
      <c r="R767" s="276">
        <v>0.0</v>
      </c>
      <c r="S767" s="271"/>
      <c r="T767" s="271">
        <v>6000.0</v>
      </c>
      <c r="U767" s="62">
        <v>1.0</v>
      </c>
      <c r="V767" s="277">
        <v>0.15</v>
      </c>
      <c r="W767" s="277">
        <v>0.0</v>
      </c>
      <c r="X767" s="271">
        <v>5100.0</v>
      </c>
      <c r="Y767" s="271">
        <v>900.0</v>
      </c>
      <c r="Z767" s="50" t="b">
        <v>1</v>
      </c>
      <c r="AA767" s="50" t="s">
        <v>140</v>
      </c>
      <c r="AB767" s="50" t="s">
        <v>140</v>
      </c>
    </row>
    <row r="768">
      <c r="A768" s="101" t="s">
        <v>199</v>
      </c>
      <c r="B768" s="101" t="s">
        <v>199</v>
      </c>
      <c r="C768" s="278">
        <v>44337.0</v>
      </c>
      <c r="D768" s="278">
        <v>44367.0</v>
      </c>
      <c r="E768" s="271" t="s">
        <v>268</v>
      </c>
      <c r="F768" s="138" t="s">
        <v>4</v>
      </c>
      <c r="G768" s="101" t="s">
        <v>9</v>
      </c>
      <c r="H768" s="273" t="s">
        <v>55</v>
      </c>
      <c r="I768" s="274">
        <v>10.0</v>
      </c>
      <c r="J768" s="271">
        <v>840.0</v>
      </c>
      <c r="K768" s="271">
        <f t="shared" si="1"/>
        <v>8400</v>
      </c>
      <c r="L768" s="271">
        <v>31688.0</v>
      </c>
      <c r="M768" s="271">
        <v>1718.0</v>
      </c>
      <c r="N768" s="275">
        <v>17.28</v>
      </c>
      <c r="O768" s="60"/>
      <c r="P768" s="50">
        <v>17.0</v>
      </c>
      <c r="Q768" s="271">
        <v>-157.0</v>
      </c>
      <c r="R768" s="276">
        <v>0.00193</v>
      </c>
      <c r="S768" s="271">
        <v>-141.0</v>
      </c>
      <c r="T768" s="271">
        <v>-123.0</v>
      </c>
      <c r="U768" s="62">
        <v>1.0</v>
      </c>
      <c r="V768" s="277">
        <v>0.25</v>
      </c>
      <c r="W768" s="277">
        <v>0.0</v>
      </c>
      <c r="X768" s="271">
        <v>-92.0</v>
      </c>
      <c r="Y768" s="271">
        <v>-31.0</v>
      </c>
      <c r="Z768" s="50" t="b">
        <v>1</v>
      </c>
      <c r="AA768" s="50" t="s">
        <v>140</v>
      </c>
      <c r="AB768" s="50" t="s">
        <v>140</v>
      </c>
    </row>
    <row r="769">
      <c r="A769" s="101" t="s">
        <v>199</v>
      </c>
      <c r="B769" s="101" t="s">
        <v>199</v>
      </c>
      <c r="C769" s="278">
        <v>44337.0</v>
      </c>
      <c r="D769" s="278">
        <v>44367.0</v>
      </c>
      <c r="E769" s="271" t="s">
        <v>268</v>
      </c>
      <c r="F769" s="138" t="s">
        <v>4</v>
      </c>
      <c r="G769" s="101" t="s">
        <v>9</v>
      </c>
      <c r="H769" s="273" t="s">
        <v>983</v>
      </c>
      <c r="I769" s="274">
        <v>5.0</v>
      </c>
      <c r="J769" s="271">
        <v>264.0</v>
      </c>
      <c r="K769" s="271">
        <f t="shared" si="1"/>
        <v>1320</v>
      </c>
      <c r="L769" s="271">
        <v>24334.0</v>
      </c>
      <c r="M769" s="271">
        <v>545.0</v>
      </c>
      <c r="N769" s="275">
        <v>2.72</v>
      </c>
      <c r="O769" s="60"/>
      <c r="P769" s="50">
        <v>3.0</v>
      </c>
      <c r="Q769" s="271">
        <v>106.0</v>
      </c>
      <c r="R769" s="276">
        <v>0.00193</v>
      </c>
      <c r="S769" s="271">
        <v>109.0</v>
      </c>
      <c r="T769" s="271">
        <v>111.0</v>
      </c>
      <c r="U769" s="62">
        <v>1.0</v>
      </c>
      <c r="V769" s="277">
        <v>0.25</v>
      </c>
      <c r="W769" s="277">
        <v>0.0</v>
      </c>
      <c r="X769" s="271">
        <v>84.0</v>
      </c>
      <c r="Y769" s="271">
        <v>28.0</v>
      </c>
      <c r="Z769" s="50" t="b">
        <v>1</v>
      </c>
      <c r="AA769" s="50" t="s">
        <v>140</v>
      </c>
      <c r="AB769" s="50" t="s">
        <v>140</v>
      </c>
    </row>
    <row r="770">
      <c r="A770" s="101" t="s">
        <v>546</v>
      </c>
      <c r="B770" s="101" t="s">
        <v>546</v>
      </c>
      <c r="C770" s="278">
        <v>44337.0</v>
      </c>
      <c r="D770" s="278">
        <v>44367.0</v>
      </c>
      <c r="E770" s="271" t="s">
        <v>331</v>
      </c>
      <c r="F770" s="138" t="s">
        <v>4</v>
      </c>
      <c r="G770" s="101" t="s">
        <v>5</v>
      </c>
      <c r="H770" s="273" t="s">
        <v>85</v>
      </c>
      <c r="I770" s="274">
        <v>100.0</v>
      </c>
      <c r="J770" s="271">
        <v>2071.0</v>
      </c>
      <c r="K770" s="271">
        <f t="shared" si="1"/>
        <v>207100</v>
      </c>
      <c r="L770" s="271">
        <v>74573.0</v>
      </c>
      <c r="M770" s="271">
        <v>-3700.0</v>
      </c>
      <c r="N770" s="275">
        <v>593.0</v>
      </c>
      <c r="O770" s="60"/>
      <c r="P770" s="50">
        <v>593.0</v>
      </c>
      <c r="Q770" s="271">
        <v>2599.0</v>
      </c>
      <c r="R770" s="276">
        <v>0.00193</v>
      </c>
      <c r="S770" s="271">
        <v>2999.0</v>
      </c>
      <c r="T770" s="271">
        <v>3592.0</v>
      </c>
      <c r="U770" s="62">
        <v>1.0</v>
      </c>
      <c r="V770" s="277">
        <v>0.135</v>
      </c>
      <c r="W770" s="277">
        <v>0.045</v>
      </c>
      <c r="X770" s="271">
        <v>2945.0</v>
      </c>
      <c r="Y770" s="271">
        <v>646.0</v>
      </c>
      <c r="Z770" s="50" t="b">
        <v>1</v>
      </c>
      <c r="AA770" s="50" t="s">
        <v>138</v>
      </c>
      <c r="AB770" s="50" t="s">
        <v>138</v>
      </c>
    </row>
    <row r="771">
      <c r="A771" s="101" t="s">
        <v>546</v>
      </c>
      <c r="B771" s="101" t="s">
        <v>546</v>
      </c>
      <c r="C771" s="278">
        <v>44337.0</v>
      </c>
      <c r="D771" s="278">
        <v>44367.0</v>
      </c>
      <c r="E771" s="271" t="s">
        <v>331</v>
      </c>
      <c r="F771" s="138" t="s">
        <v>12</v>
      </c>
      <c r="G771" s="101" t="s">
        <v>5</v>
      </c>
      <c r="H771" s="273" t="s">
        <v>62</v>
      </c>
      <c r="I771" s="274">
        <v>25.0</v>
      </c>
      <c r="J771" s="271">
        <v>8.0</v>
      </c>
      <c r="K771" s="271">
        <f t="shared" si="1"/>
        <v>200</v>
      </c>
      <c r="L771" s="271"/>
      <c r="M771" s="271">
        <v>250.0</v>
      </c>
      <c r="N771" s="275">
        <v>1.0</v>
      </c>
      <c r="O771" s="60"/>
      <c r="P771" s="50">
        <v>1.0</v>
      </c>
      <c r="Q771" s="271"/>
      <c r="R771" s="276">
        <v>0.0</v>
      </c>
      <c r="S771" s="271"/>
      <c r="T771" s="271">
        <v>251.0</v>
      </c>
      <c r="U771" s="62">
        <v>1.0</v>
      </c>
      <c r="V771" s="277">
        <v>0.135</v>
      </c>
      <c r="W771" s="277">
        <v>0.045</v>
      </c>
      <c r="X771" s="271">
        <v>206.0</v>
      </c>
      <c r="Y771" s="271">
        <v>45.0</v>
      </c>
      <c r="Z771" s="50" t="b">
        <v>1</v>
      </c>
      <c r="AA771" s="50" t="s">
        <v>138</v>
      </c>
      <c r="AB771" s="50" t="s">
        <v>138</v>
      </c>
    </row>
    <row r="772">
      <c r="A772" s="101" t="s">
        <v>160</v>
      </c>
      <c r="B772" s="101" t="s">
        <v>160</v>
      </c>
      <c r="C772" s="278">
        <v>44337.0</v>
      </c>
      <c r="D772" s="278">
        <v>44367.0</v>
      </c>
      <c r="E772" s="271" t="s">
        <v>268</v>
      </c>
      <c r="F772" s="138" t="s">
        <v>4</v>
      </c>
      <c r="G772" s="101" t="s">
        <v>5</v>
      </c>
      <c r="H772" s="273" t="s">
        <v>34</v>
      </c>
      <c r="I772" s="274">
        <v>5.0</v>
      </c>
      <c r="J772" s="271">
        <v>1.0</v>
      </c>
      <c r="K772" s="271">
        <f t="shared" si="1"/>
        <v>5</v>
      </c>
      <c r="L772" s="271">
        <v>376.0</v>
      </c>
      <c r="M772" s="271">
        <v>5.0</v>
      </c>
      <c r="N772" s="275"/>
      <c r="O772" s="60"/>
      <c r="P772" s="101"/>
      <c r="Q772" s="271">
        <v>3.0</v>
      </c>
      <c r="R772" s="276">
        <v>0.00193</v>
      </c>
      <c r="S772" s="271">
        <v>3.0</v>
      </c>
      <c r="T772" s="271">
        <v>3.0</v>
      </c>
      <c r="U772" s="62">
        <v>1.0</v>
      </c>
      <c r="V772" s="277">
        <v>0.3</v>
      </c>
      <c r="W772" s="277">
        <v>0.0</v>
      </c>
      <c r="X772" s="271">
        <v>2.0</v>
      </c>
      <c r="Y772" s="271">
        <v>1.0</v>
      </c>
      <c r="Z772" s="50" t="b">
        <v>1</v>
      </c>
      <c r="AA772" s="50" t="s">
        <v>138</v>
      </c>
      <c r="AB772" s="50" t="s">
        <v>138</v>
      </c>
    </row>
    <row r="773">
      <c r="A773" s="101" t="s">
        <v>160</v>
      </c>
      <c r="B773" s="101" t="s">
        <v>160</v>
      </c>
      <c r="C773" s="278">
        <v>44337.0</v>
      </c>
      <c r="D773" s="278">
        <v>44367.0</v>
      </c>
      <c r="E773" s="271" t="s">
        <v>268</v>
      </c>
      <c r="F773" s="138" t="s">
        <v>4</v>
      </c>
      <c r="G773" s="101" t="s">
        <v>5</v>
      </c>
      <c r="H773" s="273" t="s">
        <v>45</v>
      </c>
      <c r="I773" s="274">
        <v>10.0</v>
      </c>
      <c r="J773" s="271">
        <v>1132.0</v>
      </c>
      <c r="K773" s="271">
        <f t="shared" si="1"/>
        <v>11320</v>
      </c>
      <c r="L773" s="271">
        <v>64596.0</v>
      </c>
      <c r="M773" s="271">
        <v>370.0</v>
      </c>
      <c r="N773" s="275">
        <v>14.0</v>
      </c>
      <c r="O773" s="60"/>
      <c r="P773" s="50">
        <v>14.0</v>
      </c>
      <c r="Q773" s="271">
        <v>337.0</v>
      </c>
      <c r="R773" s="276">
        <v>0.00193</v>
      </c>
      <c r="S773" s="271">
        <v>359.0</v>
      </c>
      <c r="T773" s="271">
        <v>373.0</v>
      </c>
      <c r="U773" s="62">
        <v>1.0</v>
      </c>
      <c r="V773" s="277">
        <v>0.3</v>
      </c>
      <c r="W773" s="277">
        <v>0.0</v>
      </c>
      <c r="X773" s="271">
        <v>261.0</v>
      </c>
      <c r="Y773" s="271">
        <v>112.0</v>
      </c>
      <c r="Z773" s="50" t="b">
        <v>1</v>
      </c>
      <c r="AA773" s="50" t="s">
        <v>138</v>
      </c>
      <c r="AB773" s="50" t="s">
        <v>138</v>
      </c>
    </row>
    <row r="774">
      <c r="A774" s="101" t="s">
        <v>160</v>
      </c>
      <c r="B774" s="101" t="s">
        <v>160</v>
      </c>
      <c r="C774" s="278">
        <v>44337.0</v>
      </c>
      <c r="D774" s="278">
        <v>44367.0</v>
      </c>
      <c r="E774" s="271" t="s">
        <v>268</v>
      </c>
      <c r="F774" s="138" t="s">
        <v>4</v>
      </c>
      <c r="G774" s="101" t="s">
        <v>5</v>
      </c>
      <c r="H774" s="273" t="s">
        <v>46</v>
      </c>
      <c r="I774" s="274">
        <v>10.0</v>
      </c>
      <c r="J774" s="271">
        <v>689.0</v>
      </c>
      <c r="K774" s="271">
        <f t="shared" si="1"/>
        <v>6890</v>
      </c>
      <c r="L774" s="271">
        <v>31360.0</v>
      </c>
      <c r="M774" s="271">
        <v>-110.0</v>
      </c>
      <c r="N774" s="275">
        <v>10.0</v>
      </c>
      <c r="O774" s="60"/>
      <c r="P774" s="50">
        <v>10.0</v>
      </c>
      <c r="Q774" s="271">
        <v>-15.0</v>
      </c>
      <c r="R774" s="276">
        <v>0.00193</v>
      </c>
      <c r="S774" s="271">
        <v>-1.0</v>
      </c>
      <c r="T774" s="271">
        <v>9.0</v>
      </c>
      <c r="U774" s="62">
        <v>1.0</v>
      </c>
      <c r="V774" s="277">
        <v>0.3</v>
      </c>
      <c r="W774" s="277">
        <v>0.0</v>
      </c>
      <c r="X774" s="271">
        <v>6.0</v>
      </c>
      <c r="Y774" s="271">
        <v>3.0</v>
      </c>
      <c r="Z774" s="50" t="b">
        <v>1</v>
      </c>
      <c r="AA774" s="50" t="s">
        <v>138</v>
      </c>
      <c r="AB774" s="50" t="s">
        <v>138</v>
      </c>
    </row>
    <row r="775">
      <c r="A775" s="101" t="s">
        <v>207</v>
      </c>
      <c r="B775" s="101" t="s">
        <v>208</v>
      </c>
      <c r="C775" s="278">
        <v>44337.0</v>
      </c>
      <c r="D775" s="278">
        <v>44367.0</v>
      </c>
      <c r="E775" s="271" t="s">
        <v>268</v>
      </c>
      <c r="F775" s="138" t="s">
        <v>4</v>
      </c>
      <c r="G775" s="101" t="s">
        <v>13</v>
      </c>
      <c r="H775" s="273" t="s">
        <v>59</v>
      </c>
      <c r="I775" s="274">
        <v>20.0</v>
      </c>
      <c r="J775" s="271">
        <v>5029.0</v>
      </c>
      <c r="K775" s="271">
        <f t="shared" si="1"/>
        <v>100580</v>
      </c>
      <c r="L775" s="271">
        <v>33583.0</v>
      </c>
      <c r="M775" s="271">
        <v>-3900.0</v>
      </c>
      <c r="N775" s="275">
        <v>6944.12</v>
      </c>
      <c r="O775" s="60"/>
      <c r="P775" s="109">
        <v>6944.0</v>
      </c>
      <c r="Q775" s="271">
        <v>-5444.0</v>
      </c>
      <c r="R775" s="276">
        <v>0.00193</v>
      </c>
      <c r="S775" s="271">
        <v>-5250.0</v>
      </c>
      <c r="T775" s="271">
        <v>1695.0</v>
      </c>
      <c r="U775" s="62">
        <v>1.0</v>
      </c>
      <c r="V775" s="277">
        <v>0.22</v>
      </c>
      <c r="W775" s="277">
        <v>0.0</v>
      </c>
      <c r="X775" s="271">
        <v>1322.0</v>
      </c>
      <c r="Y775" s="271">
        <v>373.0</v>
      </c>
      <c r="Z775" s="50" t="b">
        <v>1</v>
      </c>
      <c r="AA775" s="50" t="s">
        <v>138</v>
      </c>
      <c r="AB775" s="50" t="s">
        <v>138</v>
      </c>
    </row>
    <row r="776">
      <c r="A776" s="101" t="s">
        <v>207</v>
      </c>
      <c r="B776" s="101" t="s">
        <v>208</v>
      </c>
      <c r="C776" s="278">
        <v>44337.0</v>
      </c>
      <c r="D776" s="278">
        <v>44367.0</v>
      </c>
      <c r="E776" s="271" t="s">
        <v>268</v>
      </c>
      <c r="F776" s="138" t="s">
        <v>4</v>
      </c>
      <c r="G776" s="101" t="s">
        <v>13</v>
      </c>
      <c r="H776" s="273" t="s">
        <v>74</v>
      </c>
      <c r="I776" s="274">
        <v>50.0</v>
      </c>
      <c r="J776" s="271">
        <v>13.0</v>
      </c>
      <c r="K776" s="271">
        <f t="shared" si="1"/>
        <v>650</v>
      </c>
      <c r="L776" s="271">
        <v>672.0</v>
      </c>
      <c r="M776" s="271">
        <v>100.0</v>
      </c>
      <c r="N776" s="275">
        <v>44.88</v>
      </c>
      <c r="O776" s="60"/>
      <c r="P776" s="50">
        <v>45.0</v>
      </c>
      <c r="Q776" s="271">
        <v>49.0</v>
      </c>
      <c r="R776" s="276">
        <v>0.00193</v>
      </c>
      <c r="S776" s="271">
        <v>50.0</v>
      </c>
      <c r="T776" s="271">
        <v>95.0</v>
      </c>
      <c r="U776" s="62">
        <v>1.0</v>
      </c>
      <c r="V776" s="277">
        <v>0.22</v>
      </c>
      <c r="W776" s="277">
        <v>0.0</v>
      </c>
      <c r="X776" s="271">
        <v>74.0</v>
      </c>
      <c r="Y776" s="271">
        <v>21.0</v>
      </c>
      <c r="Z776" s="50" t="b">
        <v>1</v>
      </c>
      <c r="AA776" s="50" t="s">
        <v>138</v>
      </c>
      <c r="AB776" s="50" t="s">
        <v>138</v>
      </c>
    </row>
    <row r="777">
      <c r="A777" s="101" t="s">
        <v>216</v>
      </c>
      <c r="B777" s="101" t="s">
        <v>216</v>
      </c>
      <c r="C777" s="278">
        <v>44337.0</v>
      </c>
      <c r="D777" s="278">
        <v>44367.0</v>
      </c>
      <c r="E777" s="271" t="s">
        <v>268</v>
      </c>
      <c r="F777" s="138" t="s">
        <v>4</v>
      </c>
      <c r="G777" s="101" t="s">
        <v>5</v>
      </c>
      <c r="H777" s="273" t="s">
        <v>35</v>
      </c>
      <c r="I777" s="274">
        <v>5.0</v>
      </c>
      <c r="J777" s="271">
        <v>4.0</v>
      </c>
      <c r="K777" s="271">
        <f t="shared" si="1"/>
        <v>20</v>
      </c>
      <c r="L777" s="271">
        <v>0.0</v>
      </c>
      <c r="M777" s="271">
        <v>-5.0</v>
      </c>
      <c r="N777" s="275"/>
      <c r="O777" s="60"/>
      <c r="P777" s="101"/>
      <c r="Q777" s="271">
        <v>-73.0</v>
      </c>
      <c r="R777" s="276">
        <v>0.00193</v>
      </c>
      <c r="S777" s="271">
        <v>-73.0</v>
      </c>
      <c r="T777" s="271">
        <v>-73.0</v>
      </c>
      <c r="U777" s="62">
        <v>1.0</v>
      </c>
      <c r="V777" s="277">
        <v>0.22</v>
      </c>
      <c r="W777" s="277">
        <v>0.0</v>
      </c>
      <c r="X777" s="271">
        <v>-57.0</v>
      </c>
      <c r="Y777" s="271">
        <v>-16.0</v>
      </c>
      <c r="Z777" s="50" t="b">
        <v>1</v>
      </c>
      <c r="AA777" s="50" t="s">
        <v>138</v>
      </c>
      <c r="AB777" s="50" t="s">
        <v>138</v>
      </c>
    </row>
    <row r="778">
      <c r="A778" s="101" t="s">
        <v>181</v>
      </c>
      <c r="B778" s="101" t="s">
        <v>181</v>
      </c>
      <c r="C778" s="278">
        <v>44276.0</v>
      </c>
      <c r="D778" s="278">
        <v>44369.0</v>
      </c>
      <c r="E778" s="271" t="s">
        <v>881</v>
      </c>
      <c r="F778" s="138" t="s">
        <v>12</v>
      </c>
      <c r="G778" s="280" t="s">
        <v>5</v>
      </c>
      <c r="H778" s="114" t="s">
        <v>85</v>
      </c>
      <c r="I778" s="274">
        <v>100.0</v>
      </c>
      <c r="J778" s="271">
        <v>9358.0</v>
      </c>
      <c r="K778" s="271">
        <f t="shared" si="1"/>
        <v>935800</v>
      </c>
      <c r="L778" s="271">
        <v>316100.0</v>
      </c>
      <c r="M778" s="271">
        <v>14500.0</v>
      </c>
      <c r="N778" s="275"/>
      <c r="O778" s="60"/>
      <c r="P778" s="101"/>
      <c r="Q778" s="271">
        <v>8713.0</v>
      </c>
      <c r="R778" s="276">
        <v>0.0</v>
      </c>
      <c r="S778" s="271">
        <v>8713.0</v>
      </c>
      <c r="T778" s="271">
        <v>14500.0</v>
      </c>
      <c r="U778" s="62">
        <v>1.0</v>
      </c>
      <c r="V778" s="277">
        <v>0.0</v>
      </c>
      <c r="W778" s="277">
        <v>0.12</v>
      </c>
      <c r="X778" s="271">
        <v>12760.0</v>
      </c>
      <c r="Y778" s="271">
        <v>1740.0</v>
      </c>
      <c r="Z778" s="50" t="b">
        <v>1</v>
      </c>
      <c r="AA778" s="50" t="s">
        <v>138</v>
      </c>
      <c r="AB778" s="50" t="s">
        <v>138</v>
      </c>
    </row>
    <row r="779">
      <c r="A779" s="101" t="s">
        <v>177</v>
      </c>
      <c r="B779" s="101" t="s">
        <v>177</v>
      </c>
      <c r="C779" s="278">
        <v>44348.0</v>
      </c>
      <c r="D779" s="278">
        <v>44377.0</v>
      </c>
      <c r="E779" s="271" t="s">
        <v>268</v>
      </c>
      <c r="F779" s="138" t="s">
        <v>8</v>
      </c>
      <c r="G779" s="280" t="s">
        <v>13</v>
      </c>
      <c r="H779" s="273" t="s">
        <v>85</v>
      </c>
      <c r="I779" s="274">
        <v>100.0</v>
      </c>
      <c r="J779" s="271">
        <v>962.0</v>
      </c>
      <c r="K779" s="271">
        <f t="shared" si="1"/>
        <v>96200</v>
      </c>
      <c r="L779" s="271">
        <v>7322.0</v>
      </c>
      <c r="M779" s="271">
        <v>-1200.0</v>
      </c>
      <c r="N779" s="275">
        <f>1656+2186</f>
        <v>3842</v>
      </c>
      <c r="O779" s="60"/>
      <c r="P779" s="109">
        <v>3842.0</v>
      </c>
      <c r="Q779" s="271">
        <v>-5292.0</v>
      </c>
      <c r="R779" s="276">
        <v>-7.95E-4</v>
      </c>
      <c r="S779" s="271">
        <v>-5368.0</v>
      </c>
      <c r="T779" s="271">
        <v>-1526.0</v>
      </c>
      <c r="U779" s="62">
        <v>1.0</v>
      </c>
      <c r="V779" s="277">
        <v>0.12</v>
      </c>
      <c r="W779" s="277">
        <v>0.0</v>
      </c>
      <c r="X779" s="271">
        <v>-1343.0</v>
      </c>
      <c r="Y779" s="271">
        <v>-183.0</v>
      </c>
      <c r="Z779" s="50" t="b">
        <v>1</v>
      </c>
      <c r="AA779" s="50" t="s">
        <v>138</v>
      </c>
      <c r="AB779" s="50" t="s">
        <v>138</v>
      </c>
    </row>
    <row r="780">
      <c r="A780" s="101" t="s">
        <v>345</v>
      </c>
      <c r="B780" s="271" t="s">
        <v>989</v>
      </c>
      <c r="C780" s="278">
        <v>44348.0</v>
      </c>
      <c r="D780" s="278">
        <v>44377.0</v>
      </c>
      <c r="E780" s="271" t="s">
        <v>331</v>
      </c>
      <c r="F780" s="138" t="s">
        <v>12</v>
      </c>
      <c r="G780" s="271" t="s">
        <v>9</v>
      </c>
      <c r="H780" s="273" t="s">
        <v>68</v>
      </c>
      <c r="I780" s="274">
        <v>25.0</v>
      </c>
      <c r="J780" s="271">
        <v>274.0</v>
      </c>
      <c r="K780" s="271">
        <f t="shared" si="1"/>
        <v>6850</v>
      </c>
      <c r="L780" s="271">
        <v>29136.0</v>
      </c>
      <c r="M780" s="271">
        <v>1175.0</v>
      </c>
      <c r="N780" s="275">
        <v>26.62</v>
      </c>
      <c r="O780" s="60"/>
      <c r="P780" s="50">
        <v>27.0</v>
      </c>
      <c r="Q780" s="271">
        <v>717.0</v>
      </c>
      <c r="R780" s="276">
        <v>0.0</v>
      </c>
      <c r="S780" s="271">
        <v>717.0</v>
      </c>
      <c r="T780" s="271">
        <v>1202.0</v>
      </c>
      <c r="U780" s="62">
        <v>1.185</v>
      </c>
      <c r="V780" s="277">
        <v>0.15</v>
      </c>
      <c r="W780" s="277">
        <v>0.05</v>
      </c>
      <c r="X780" s="271">
        <v>1139.0</v>
      </c>
      <c r="Y780" s="271">
        <v>285.0</v>
      </c>
      <c r="Z780" s="50" t="b">
        <v>1</v>
      </c>
      <c r="AA780" s="50" t="s">
        <v>138</v>
      </c>
      <c r="AB780" s="50" t="s">
        <v>140</v>
      </c>
    </row>
    <row r="781">
      <c r="A781" s="101" t="s">
        <v>345</v>
      </c>
      <c r="B781" s="271" t="s">
        <v>989</v>
      </c>
      <c r="C781" s="278">
        <v>44348.0</v>
      </c>
      <c r="D781" s="278">
        <v>44377.0</v>
      </c>
      <c r="E781" s="271" t="s">
        <v>331</v>
      </c>
      <c r="F781" s="138" t="s">
        <v>12</v>
      </c>
      <c r="G781" s="271" t="s">
        <v>9</v>
      </c>
      <c r="H781" s="273" t="s">
        <v>80</v>
      </c>
      <c r="I781" s="274">
        <v>50.0</v>
      </c>
      <c r="J781" s="271">
        <v>899.0</v>
      </c>
      <c r="K781" s="271">
        <f t="shared" si="1"/>
        <v>44950</v>
      </c>
      <c r="L781" s="271">
        <v>26147.0</v>
      </c>
      <c r="M781" s="271">
        <v>-1250.0</v>
      </c>
      <c r="N781" s="275">
        <f>183.38+420</f>
        <v>603.38</v>
      </c>
      <c r="O781" s="60"/>
      <c r="P781" s="50">
        <v>603.0</v>
      </c>
      <c r="Q781" s="271">
        <v>-1608.0</v>
      </c>
      <c r="R781" s="276">
        <v>0.0</v>
      </c>
      <c r="S781" s="271">
        <v>-1608.0</v>
      </c>
      <c r="T781" s="271">
        <v>-647.0</v>
      </c>
      <c r="U781" s="62">
        <v>1.185</v>
      </c>
      <c r="V781" s="277">
        <v>0.15</v>
      </c>
      <c r="W781" s="277">
        <v>0.05</v>
      </c>
      <c r="X781" s="271">
        <v>-613.0</v>
      </c>
      <c r="Y781" s="271">
        <v>-153.0</v>
      </c>
      <c r="Z781" s="50" t="b">
        <v>1</v>
      </c>
      <c r="AA781" s="50" t="s">
        <v>138</v>
      </c>
      <c r="AB781" s="50" t="s">
        <v>140</v>
      </c>
    </row>
    <row r="782">
      <c r="A782" s="271" t="s">
        <v>459</v>
      </c>
      <c r="B782" s="101" t="s">
        <v>145</v>
      </c>
      <c r="C782" s="278">
        <v>44348.0</v>
      </c>
      <c r="D782" s="278">
        <v>44377.0</v>
      </c>
      <c r="E782" s="271" t="s">
        <v>268</v>
      </c>
      <c r="F782" s="101" t="s">
        <v>12</v>
      </c>
      <c r="G782" s="271" t="s">
        <v>9</v>
      </c>
      <c r="H782" s="273" t="s">
        <v>990</v>
      </c>
      <c r="I782" s="274">
        <v>50.0</v>
      </c>
      <c r="J782" s="271">
        <v>1.0</v>
      </c>
      <c r="K782" s="271">
        <f t="shared" si="1"/>
        <v>50</v>
      </c>
      <c r="L782" s="271">
        <v>75.0</v>
      </c>
      <c r="M782" s="271">
        <v>50.0</v>
      </c>
      <c r="N782" s="275">
        <f>1.04+50</f>
        <v>51.04</v>
      </c>
      <c r="O782" s="60"/>
      <c r="P782" s="50">
        <v>51.0</v>
      </c>
      <c r="Q782" s="271">
        <v>7.0</v>
      </c>
      <c r="R782" s="276">
        <v>0.0</v>
      </c>
      <c r="S782" s="271">
        <v>7.0</v>
      </c>
      <c r="T782" s="271">
        <v>101.0</v>
      </c>
      <c r="U782" s="62">
        <v>1.0</v>
      </c>
      <c r="V782" s="277">
        <v>0.15</v>
      </c>
      <c r="W782" s="277">
        <v>0.0</v>
      </c>
      <c r="X782" s="271">
        <v>86.0</v>
      </c>
      <c r="Y782" s="271">
        <v>15.0</v>
      </c>
      <c r="Z782" s="50" t="b">
        <v>1</v>
      </c>
      <c r="AA782" s="50" t="s">
        <v>140</v>
      </c>
      <c r="AB782" s="50" t="s">
        <v>140</v>
      </c>
    </row>
    <row r="783">
      <c r="A783" s="271" t="s">
        <v>459</v>
      </c>
      <c r="B783" s="101" t="s">
        <v>145</v>
      </c>
      <c r="C783" s="278">
        <v>44348.0</v>
      </c>
      <c r="D783" s="278">
        <v>44377.0</v>
      </c>
      <c r="E783" s="271" t="s">
        <v>268</v>
      </c>
      <c r="F783" s="101" t="s">
        <v>8</v>
      </c>
      <c r="G783" s="271" t="s">
        <v>9</v>
      </c>
      <c r="H783" s="273" t="s">
        <v>80</v>
      </c>
      <c r="I783" s="274">
        <v>50.0</v>
      </c>
      <c r="J783" s="271">
        <v>1216.0</v>
      </c>
      <c r="K783" s="271">
        <f t="shared" si="1"/>
        <v>60800</v>
      </c>
      <c r="L783" s="271">
        <v>52179.0</v>
      </c>
      <c r="M783" s="271">
        <v>350.0</v>
      </c>
      <c r="N783" s="275">
        <v>1268.96</v>
      </c>
      <c r="O783" s="60"/>
      <c r="P783" s="109">
        <v>1269.0</v>
      </c>
      <c r="Q783" s="271">
        <v>-560.0</v>
      </c>
      <c r="R783" s="276">
        <v>-8.31E-4</v>
      </c>
      <c r="S783" s="271">
        <v>-611.0</v>
      </c>
      <c r="T783" s="271">
        <v>658.0</v>
      </c>
      <c r="U783" s="62">
        <v>1.0</v>
      </c>
      <c r="V783" s="277">
        <v>0.15</v>
      </c>
      <c r="W783" s="277">
        <v>0.0</v>
      </c>
      <c r="X783" s="271">
        <v>559.0</v>
      </c>
      <c r="Y783" s="271">
        <v>99.0</v>
      </c>
      <c r="Z783" s="50" t="b">
        <v>1</v>
      </c>
      <c r="AA783" s="50" t="s">
        <v>140</v>
      </c>
      <c r="AB783" s="50" t="s">
        <v>140</v>
      </c>
    </row>
    <row r="784">
      <c r="A784" s="280" t="s">
        <v>505</v>
      </c>
      <c r="B784" s="280" t="s">
        <v>167</v>
      </c>
      <c r="C784" s="283">
        <v>44348.0</v>
      </c>
      <c r="D784" s="283">
        <v>44377.0</v>
      </c>
      <c r="E784" s="280" t="s">
        <v>268</v>
      </c>
      <c r="F784" s="138" t="s">
        <v>12</v>
      </c>
      <c r="G784" s="280" t="s">
        <v>16</v>
      </c>
      <c r="H784" s="273" t="s">
        <v>20</v>
      </c>
      <c r="I784" s="281">
        <v>1.0</v>
      </c>
      <c r="J784" s="280">
        <v>26.0</v>
      </c>
      <c r="K784" s="271">
        <f t="shared" si="1"/>
        <v>26</v>
      </c>
      <c r="L784" s="280"/>
      <c r="M784" s="280">
        <v>10.0</v>
      </c>
      <c r="N784" s="282">
        <v>0.53</v>
      </c>
      <c r="O784" s="60"/>
      <c r="P784" s="50">
        <v>1.0</v>
      </c>
      <c r="Q784" s="280"/>
      <c r="R784" s="276">
        <v>0.0</v>
      </c>
      <c r="S784" s="280"/>
      <c r="T784" s="280">
        <v>11.0</v>
      </c>
      <c r="U784" s="62">
        <v>1.0</v>
      </c>
      <c r="V784" s="277">
        <v>0.3</v>
      </c>
      <c r="W784" s="277">
        <v>0.0</v>
      </c>
      <c r="X784" s="280">
        <v>7.0</v>
      </c>
      <c r="Y784" s="280">
        <v>3.0</v>
      </c>
      <c r="Z784" s="50" t="b">
        <v>1</v>
      </c>
      <c r="AA784" s="50" t="s">
        <v>138</v>
      </c>
      <c r="AB784" s="50" t="s">
        <v>138</v>
      </c>
    </row>
    <row r="785">
      <c r="A785" s="280" t="s">
        <v>505</v>
      </c>
      <c r="B785" s="280" t="s">
        <v>167</v>
      </c>
      <c r="C785" s="283">
        <v>44348.0</v>
      </c>
      <c r="D785" s="283">
        <v>44377.0</v>
      </c>
      <c r="E785" s="280" t="s">
        <v>268</v>
      </c>
      <c r="F785" s="138" t="s">
        <v>12</v>
      </c>
      <c r="G785" s="280" t="s">
        <v>16</v>
      </c>
      <c r="H785" s="273" t="s">
        <v>45</v>
      </c>
      <c r="I785" s="281">
        <v>10.0</v>
      </c>
      <c r="J785" s="280">
        <v>803.0</v>
      </c>
      <c r="K785" s="271">
        <f t="shared" si="1"/>
        <v>8030</v>
      </c>
      <c r="L785" s="280"/>
      <c r="M785" s="280">
        <v>-520.0</v>
      </c>
      <c r="N785" s="282">
        <v>122.84</v>
      </c>
      <c r="O785" s="60"/>
      <c r="P785" s="50">
        <v>123.0</v>
      </c>
      <c r="Q785" s="280"/>
      <c r="R785" s="276">
        <v>0.0</v>
      </c>
      <c r="S785" s="280"/>
      <c r="T785" s="280">
        <v>-397.0</v>
      </c>
      <c r="U785" s="62">
        <v>1.0</v>
      </c>
      <c r="V785" s="277">
        <v>0.3</v>
      </c>
      <c r="W785" s="277">
        <v>0.0</v>
      </c>
      <c r="X785" s="280">
        <v>-278.0</v>
      </c>
      <c r="Y785" s="280">
        <v>-119.0</v>
      </c>
      <c r="Z785" s="50" t="b">
        <v>1</v>
      </c>
      <c r="AA785" s="50" t="s">
        <v>138</v>
      </c>
      <c r="AB785" s="50" t="s">
        <v>138</v>
      </c>
    </row>
    <row r="786">
      <c r="A786" s="280" t="s">
        <v>505</v>
      </c>
      <c r="B786" s="280" t="s">
        <v>167</v>
      </c>
      <c r="C786" s="283">
        <v>44348.0</v>
      </c>
      <c r="D786" s="283">
        <v>44377.0</v>
      </c>
      <c r="E786" s="280" t="s">
        <v>268</v>
      </c>
      <c r="F786" s="138" t="s">
        <v>12</v>
      </c>
      <c r="G786" s="280" t="s">
        <v>16</v>
      </c>
      <c r="H786" s="273" t="s">
        <v>59</v>
      </c>
      <c r="I786" s="281">
        <v>20.0</v>
      </c>
      <c r="J786" s="280">
        <v>180.0</v>
      </c>
      <c r="K786" s="271">
        <f t="shared" si="1"/>
        <v>3600</v>
      </c>
      <c r="L786" s="280"/>
      <c r="M786" s="280">
        <v>-460.0</v>
      </c>
      <c r="N786" s="282">
        <v>0.0</v>
      </c>
      <c r="O786" s="60"/>
      <c r="P786" s="50">
        <v>0.0</v>
      </c>
      <c r="Q786" s="280"/>
      <c r="R786" s="276">
        <v>0.0</v>
      </c>
      <c r="S786" s="280"/>
      <c r="T786" s="280">
        <v>-460.0</v>
      </c>
      <c r="U786" s="62">
        <v>1.0</v>
      </c>
      <c r="V786" s="277">
        <v>0.3</v>
      </c>
      <c r="W786" s="277">
        <v>0.0</v>
      </c>
      <c r="X786" s="280">
        <v>-322.0</v>
      </c>
      <c r="Y786" s="280">
        <v>-138.0</v>
      </c>
      <c r="Z786" s="50" t="b">
        <v>1</v>
      </c>
      <c r="AA786" s="50" t="s">
        <v>138</v>
      </c>
      <c r="AB786" s="50" t="s">
        <v>138</v>
      </c>
    </row>
    <row r="787">
      <c r="A787" s="280" t="s">
        <v>505</v>
      </c>
      <c r="B787" s="280" t="s">
        <v>167</v>
      </c>
      <c r="C787" s="283">
        <v>44348.0</v>
      </c>
      <c r="D787" s="283">
        <v>44377.0</v>
      </c>
      <c r="E787" s="280" t="s">
        <v>268</v>
      </c>
      <c r="F787" s="138" t="s">
        <v>12</v>
      </c>
      <c r="G787" s="280" t="s">
        <v>16</v>
      </c>
      <c r="H787" s="273" t="s">
        <v>32</v>
      </c>
      <c r="I787" s="281">
        <v>3.0</v>
      </c>
      <c r="J787" s="280">
        <v>74.0</v>
      </c>
      <c r="K787" s="271">
        <f t="shared" si="1"/>
        <v>222</v>
      </c>
      <c r="L787" s="280"/>
      <c r="M787" s="280">
        <v>87.0</v>
      </c>
      <c r="N787" s="282">
        <v>4.53</v>
      </c>
      <c r="O787" s="60"/>
      <c r="P787" s="50">
        <v>5.0</v>
      </c>
      <c r="Q787" s="280"/>
      <c r="R787" s="276">
        <v>0.0</v>
      </c>
      <c r="S787" s="280"/>
      <c r="T787" s="280">
        <v>92.0</v>
      </c>
      <c r="U787" s="62">
        <v>1.0</v>
      </c>
      <c r="V787" s="277">
        <v>0.3</v>
      </c>
      <c r="W787" s="277">
        <v>0.0</v>
      </c>
      <c r="X787" s="280">
        <v>64.0</v>
      </c>
      <c r="Y787" s="280">
        <v>27.0</v>
      </c>
      <c r="Z787" s="50" t="b">
        <v>1</v>
      </c>
      <c r="AA787" s="50" t="s">
        <v>138</v>
      </c>
      <c r="AB787" s="50" t="s">
        <v>138</v>
      </c>
    </row>
    <row r="788">
      <c r="A788" s="280" t="s">
        <v>505</v>
      </c>
      <c r="B788" s="280" t="s">
        <v>167</v>
      </c>
      <c r="C788" s="283">
        <v>44348.0</v>
      </c>
      <c r="D788" s="283">
        <v>44377.0</v>
      </c>
      <c r="E788" s="280" t="s">
        <v>268</v>
      </c>
      <c r="F788" s="138" t="s">
        <v>12</v>
      </c>
      <c r="G788" s="280" t="s">
        <v>16</v>
      </c>
      <c r="H788" s="273" t="s">
        <v>35</v>
      </c>
      <c r="I788" s="281">
        <v>5.0</v>
      </c>
      <c r="J788" s="280">
        <v>1.0</v>
      </c>
      <c r="K788" s="271">
        <f t="shared" si="1"/>
        <v>5</v>
      </c>
      <c r="L788" s="280"/>
      <c r="M788" s="280">
        <v>-5.0</v>
      </c>
      <c r="N788" s="282">
        <v>0.1</v>
      </c>
      <c r="O788" s="60"/>
      <c r="P788" s="50">
        <v>0.0</v>
      </c>
      <c r="Q788" s="280"/>
      <c r="R788" s="276">
        <v>0.0</v>
      </c>
      <c r="S788" s="280"/>
      <c r="T788" s="280">
        <v>-5.0</v>
      </c>
      <c r="U788" s="62">
        <v>1.0</v>
      </c>
      <c r="V788" s="277">
        <v>0.3</v>
      </c>
      <c r="W788" s="277">
        <v>0.0</v>
      </c>
      <c r="X788" s="280">
        <v>-3.0</v>
      </c>
      <c r="Y788" s="280">
        <v>-1.0</v>
      </c>
      <c r="Z788" s="50" t="b">
        <v>1</v>
      </c>
      <c r="AA788" s="50" t="s">
        <v>138</v>
      </c>
      <c r="AB788" s="50" t="s">
        <v>138</v>
      </c>
    </row>
    <row r="789">
      <c r="A789" s="101" t="s">
        <v>267</v>
      </c>
      <c r="B789" s="101" t="s">
        <v>267</v>
      </c>
      <c r="C789" s="278">
        <v>44368.0</v>
      </c>
      <c r="D789" s="278">
        <v>44397.0</v>
      </c>
      <c r="E789" s="271" t="s">
        <v>268</v>
      </c>
      <c r="F789" s="138" t="s">
        <v>4</v>
      </c>
      <c r="G789" s="101" t="s">
        <v>5</v>
      </c>
      <c r="H789" s="273" t="s">
        <v>45</v>
      </c>
      <c r="I789" s="274">
        <v>10.0</v>
      </c>
      <c r="J789" s="271">
        <v>56.0</v>
      </c>
      <c r="K789" s="271">
        <f t="shared" si="1"/>
        <v>560</v>
      </c>
      <c r="L789" s="271">
        <v>5497.0</v>
      </c>
      <c r="M789" s="271">
        <v>0.0</v>
      </c>
      <c r="N789" s="275">
        <v>7.0</v>
      </c>
      <c r="O789" s="60"/>
      <c r="P789" s="50">
        <v>7.0</v>
      </c>
      <c r="Q789" s="271">
        <v>114.0</v>
      </c>
      <c r="R789" s="276">
        <v>-0.0015</v>
      </c>
      <c r="S789" s="271">
        <v>113.0</v>
      </c>
      <c r="T789" s="271">
        <v>120.0</v>
      </c>
      <c r="U789" s="62">
        <v>1.0</v>
      </c>
      <c r="V789" s="277">
        <v>0.15</v>
      </c>
      <c r="W789" s="277">
        <v>0.0</v>
      </c>
      <c r="X789" s="271">
        <v>102.0</v>
      </c>
      <c r="Y789" s="271">
        <v>18.0</v>
      </c>
      <c r="Z789" s="50" t="b">
        <v>1</v>
      </c>
      <c r="AA789" s="50" t="s">
        <v>138</v>
      </c>
      <c r="AB789" s="50" t="s">
        <v>138</v>
      </c>
    </row>
    <row r="790">
      <c r="A790" s="101" t="s">
        <v>267</v>
      </c>
      <c r="B790" s="101" t="s">
        <v>267</v>
      </c>
      <c r="C790" s="278">
        <v>44368.0</v>
      </c>
      <c r="D790" s="278">
        <v>44397.0</v>
      </c>
      <c r="E790" s="271" t="s">
        <v>268</v>
      </c>
      <c r="F790" s="138" t="s">
        <v>4</v>
      </c>
      <c r="G790" s="101" t="s">
        <v>5</v>
      </c>
      <c r="H790" s="273" t="s">
        <v>62</v>
      </c>
      <c r="I790" s="274">
        <v>25.0</v>
      </c>
      <c r="J790" s="271">
        <v>421.0</v>
      </c>
      <c r="K790" s="271">
        <f t="shared" si="1"/>
        <v>10525</v>
      </c>
      <c r="L790" s="271">
        <v>16792.0</v>
      </c>
      <c r="M790" s="271">
        <v>1500.0</v>
      </c>
      <c r="N790" s="275">
        <v>112.0</v>
      </c>
      <c r="O790" s="60"/>
      <c r="P790" s="50">
        <v>112.0</v>
      </c>
      <c r="Q790" s="271">
        <v>986.0</v>
      </c>
      <c r="R790" s="276">
        <v>-0.0015</v>
      </c>
      <c r="S790" s="271">
        <v>970.0</v>
      </c>
      <c r="T790" s="271">
        <v>1082.0</v>
      </c>
      <c r="U790" s="62">
        <v>1.0</v>
      </c>
      <c r="V790" s="277">
        <v>0.15</v>
      </c>
      <c r="W790" s="277">
        <v>0.0</v>
      </c>
      <c r="X790" s="271">
        <v>920.0</v>
      </c>
      <c r="Y790" s="271">
        <v>162.0</v>
      </c>
      <c r="Z790" s="50" t="b">
        <v>1</v>
      </c>
      <c r="AA790" s="50" t="s">
        <v>138</v>
      </c>
      <c r="AB790" s="50" t="s">
        <v>138</v>
      </c>
    </row>
    <row r="791">
      <c r="A791" s="101" t="s">
        <v>267</v>
      </c>
      <c r="B791" s="101" t="s">
        <v>267</v>
      </c>
      <c r="C791" s="278">
        <v>44368.0</v>
      </c>
      <c r="D791" s="278">
        <v>44397.0</v>
      </c>
      <c r="E791" s="271" t="s">
        <v>268</v>
      </c>
      <c r="F791" s="138" t="s">
        <v>4</v>
      </c>
      <c r="G791" s="101" t="s">
        <v>5</v>
      </c>
      <c r="H791" s="273" t="s">
        <v>63</v>
      </c>
      <c r="I791" s="274">
        <v>25.0</v>
      </c>
      <c r="J791" s="271">
        <v>1.0</v>
      </c>
      <c r="K791" s="271">
        <f t="shared" si="1"/>
        <v>25</v>
      </c>
      <c r="L791" s="271">
        <v>277.0</v>
      </c>
      <c r="M791" s="271">
        <v>50.0</v>
      </c>
      <c r="N791" s="275"/>
      <c r="O791" s="60"/>
      <c r="P791" s="101"/>
      <c r="Q791" s="271">
        <v>22.0</v>
      </c>
      <c r="R791" s="276">
        <v>-0.0015</v>
      </c>
      <c r="S791" s="271">
        <v>22.0</v>
      </c>
      <c r="T791" s="271">
        <v>22.0</v>
      </c>
      <c r="U791" s="62">
        <v>1.0</v>
      </c>
      <c r="V791" s="277">
        <v>0.15</v>
      </c>
      <c r="W791" s="277">
        <v>0.0</v>
      </c>
      <c r="X791" s="271">
        <v>19.0</v>
      </c>
      <c r="Y791" s="271">
        <v>3.0</v>
      </c>
      <c r="Z791" s="50" t="b">
        <v>1</v>
      </c>
      <c r="AA791" s="50" t="s">
        <v>138</v>
      </c>
      <c r="AB791" s="50" t="s">
        <v>138</v>
      </c>
    </row>
    <row r="792">
      <c r="A792" s="101" t="s">
        <v>267</v>
      </c>
      <c r="B792" s="101" t="s">
        <v>267</v>
      </c>
      <c r="C792" s="278">
        <v>44368.0</v>
      </c>
      <c r="D792" s="278">
        <v>44397.0</v>
      </c>
      <c r="E792" s="271" t="s">
        <v>268</v>
      </c>
      <c r="F792" s="138" t="s">
        <v>4</v>
      </c>
      <c r="G792" s="101" t="s">
        <v>5</v>
      </c>
      <c r="H792" s="273" t="s">
        <v>74</v>
      </c>
      <c r="I792" s="274">
        <v>50.0</v>
      </c>
      <c r="J792" s="271">
        <v>26.0</v>
      </c>
      <c r="K792" s="271">
        <f t="shared" si="1"/>
        <v>1300</v>
      </c>
      <c r="L792" s="271">
        <v>-127.0</v>
      </c>
      <c r="M792" s="271">
        <v>-450.0</v>
      </c>
      <c r="N792" s="275">
        <v>15.0</v>
      </c>
      <c r="O792" s="60"/>
      <c r="P792" s="50">
        <v>15.0</v>
      </c>
      <c r="Q792" s="271">
        <v>14.0</v>
      </c>
      <c r="R792" s="276">
        <v>-0.0015</v>
      </c>
      <c r="S792" s="271">
        <v>12.0</v>
      </c>
      <c r="T792" s="271">
        <v>27.0</v>
      </c>
      <c r="U792" s="62">
        <v>1.0</v>
      </c>
      <c r="V792" s="277">
        <v>0.15</v>
      </c>
      <c r="W792" s="277">
        <v>0.0</v>
      </c>
      <c r="X792" s="271">
        <v>23.0</v>
      </c>
      <c r="Y792" s="271">
        <v>4.0</v>
      </c>
      <c r="Z792" s="50" t="b">
        <v>1</v>
      </c>
      <c r="AA792" s="50" t="s">
        <v>138</v>
      </c>
      <c r="AB792" s="50" t="s">
        <v>138</v>
      </c>
    </row>
    <row r="793">
      <c r="A793" s="271" t="s">
        <v>144</v>
      </c>
      <c r="B793" s="271" t="s">
        <v>144</v>
      </c>
      <c r="C793" s="278">
        <v>44368.0</v>
      </c>
      <c r="D793" s="278">
        <v>44397.0</v>
      </c>
      <c r="E793" s="271" t="s">
        <v>268</v>
      </c>
      <c r="F793" s="101" t="s">
        <v>4</v>
      </c>
      <c r="G793" s="271" t="s">
        <v>9</v>
      </c>
      <c r="H793" s="273" t="s">
        <v>68</v>
      </c>
      <c r="I793" s="274">
        <v>25.0</v>
      </c>
      <c r="J793" s="271">
        <v>1430.0</v>
      </c>
      <c r="K793" s="271">
        <f t="shared" si="1"/>
        <v>35750</v>
      </c>
      <c r="L793" s="271">
        <v>70987.0</v>
      </c>
      <c r="M793" s="271">
        <v>2091.0</v>
      </c>
      <c r="N793" s="275">
        <v>954.73</v>
      </c>
      <c r="O793" s="60"/>
      <c r="P793" s="50">
        <v>955.0</v>
      </c>
      <c r="Q793" s="271">
        <v>109.0</v>
      </c>
      <c r="R793" s="276">
        <v>-8.7E-4</v>
      </c>
      <c r="S793" s="271">
        <v>77.0</v>
      </c>
      <c r="T793" s="271">
        <v>1032.0</v>
      </c>
      <c r="U793" s="62">
        <v>1.0</v>
      </c>
      <c r="V793" s="277">
        <v>0.3</v>
      </c>
      <c r="W793" s="277">
        <v>0.0</v>
      </c>
      <c r="X793" s="271">
        <v>722.0</v>
      </c>
      <c r="Y793" s="271">
        <v>310.0</v>
      </c>
      <c r="Z793" s="50" t="b">
        <v>1</v>
      </c>
      <c r="AA793" s="50" t="s">
        <v>140</v>
      </c>
      <c r="AB793" s="50" t="s">
        <v>140</v>
      </c>
    </row>
    <row r="794">
      <c r="A794" s="271" t="s">
        <v>144</v>
      </c>
      <c r="B794" s="271" t="s">
        <v>144</v>
      </c>
      <c r="C794" s="278">
        <v>44368.0</v>
      </c>
      <c r="D794" s="278">
        <v>44397.0</v>
      </c>
      <c r="E794" s="271" t="s">
        <v>268</v>
      </c>
      <c r="F794" s="101" t="s">
        <v>4</v>
      </c>
      <c r="G794" s="271" t="s">
        <v>9</v>
      </c>
      <c r="H794" s="273" t="s">
        <v>55</v>
      </c>
      <c r="I794" s="274">
        <v>10.0</v>
      </c>
      <c r="J794" s="271">
        <v>1.0</v>
      </c>
      <c r="K794" s="271">
        <f t="shared" si="1"/>
        <v>10</v>
      </c>
      <c r="L794" s="271">
        <v>300.0</v>
      </c>
      <c r="M794" s="271">
        <v>12.0</v>
      </c>
      <c r="N794" s="275">
        <v>0.27</v>
      </c>
      <c r="O794" s="60"/>
      <c r="P794" s="50">
        <v>0.0</v>
      </c>
      <c r="Q794" s="271">
        <v>5.0</v>
      </c>
      <c r="R794" s="276">
        <v>-8.7E-4</v>
      </c>
      <c r="S794" s="271">
        <v>5.0</v>
      </c>
      <c r="T794" s="271">
        <v>5.0</v>
      </c>
      <c r="U794" s="62">
        <v>1.0</v>
      </c>
      <c r="V794" s="277">
        <v>0.3</v>
      </c>
      <c r="W794" s="277">
        <v>0.0</v>
      </c>
      <c r="X794" s="271">
        <v>3.0</v>
      </c>
      <c r="Y794" s="271">
        <v>1.0</v>
      </c>
      <c r="Z794" s="50" t="b">
        <v>1</v>
      </c>
      <c r="AA794" s="50" t="s">
        <v>140</v>
      </c>
      <c r="AB794" s="50" t="s">
        <v>140</v>
      </c>
    </row>
    <row r="795">
      <c r="A795" s="101" t="s">
        <v>148</v>
      </c>
      <c r="B795" s="101" t="s">
        <v>148</v>
      </c>
      <c r="C795" s="278">
        <v>44368.0</v>
      </c>
      <c r="D795" s="278">
        <v>44397.0</v>
      </c>
      <c r="E795" s="271" t="s">
        <v>331</v>
      </c>
      <c r="F795" s="138" t="s">
        <v>4</v>
      </c>
      <c r="G795" s="101" t="s">
        <v>5</v>
      </c>
      <c r="H795" s="273" t="s">
        <v>62</v>
      </c>
      <c r="I795" s="274">
        <v>25.0</v>
      </c>
      <c r="J795" s="271">
        <v>1044.0</v>
      </c>
      <c r="K795" s="271">
        <f t="shared" si="1"/>
        <v>26100</v>
      </c>
      <c r="L795" s="271">
        <v>40921.0</v>
      </c>
      <c r="M795" s="271">
        <v>3150.0</v>
      </c>
      <c r="N795" s="275">
        <v>48.0</v>
      </c>
      <c r="O795" s="60"/>
      <c r="P795" s="50">
        <v>48.0</v>
      </c>
      <c r="Q795" s="271">
        <v>298.0</v>
      </c>
      <c r="R795" s="276">
        <v>-8.7E-4</v>
      </c>
      <c r="S795" s="271">
        <v>275.0</v>
      </c>
      <c r="T795" s="271">
        <v>323.0</v>
      </c>
      <c r="U795" s="62">
        <v>1.0</v>
      </c>
      <c r="V795" s="277">
        <v>0.15</v>
      </c>
      <c r="W795" s="277">
        <v>0.05</v>
      </c>
      <c r="X795" s="271">
        <v>259.0</v>
      </c>
      <c r="Y795" s="271">
        <v>65.0</v>
      </c>
      <c r="Z795" s="50" t="b">
        <v>1</v>
      </c>
      <c r="AA795" s="50" t="s">
        <v>138</v>
      </c>
      <c r="AB795" s="50" t="s">
        <v>138</v>
      </c>
    </row>
    <row r="796">
      <c r="A796" s="101" t="s">
        <v>148</v>
      </c>
      <c r="B796" s="101" t="s">
        <v>148</v>
      </c>
      <c r="C796" s="278">
        <v>44368.0</v>
      </c>
      <c r="D796" s="278">
        <v>44397.0</v>
      </c>
      <c r="E796" s="271" t="s">
        <v>331</v>
      </c>
      <c r="F796" s="138" t="s">
        <v>4</v>
      </c>
      <c r="G796" s="101" t="s">
        <v>5</v>
      </c>
      <c r="H796" s="273" t="s">
        <v>74</v>
      </c>
      <c r="I796" s="274">
        <v>50.0</v>
      </c>
      <c r="J796" s="271">
        <v>1901.0</v>
      </c>
      <c r="K796" s="271">
        <f t="shared" si="1"/>
        <v>95050</v>
      </c>
      <c r="L796" s="271">
        <v>52670.0</v>
      </c>
      <c r="M796" s="271">
        <v>-1250.0</v>
      </c>
      <c r="N796" s="275">
        <v>174.0</v>
      </c>
      <c r="O796" s="60"/>
      <c r="P796" s="50">
        <v>174.0</v>
      </c>
      <c r="Q796" s="271">
        <v>-939.0</v>
      </c>
      <c r="R796" s="276">
        <v>-8.7E-4</v>
      </c>
      <c r="S796" s="271">
        <v>-1022.0</v>
      </c>
      <c r="T796" s="271">
        <v>-848.0</v>
      </c>
      <c r="U796" s="62">
        <v>1.0</v>
      </c>
      <c r="V796" s="277">
        <v>0.15</v>
      </c>
      <c r="W796" s="277">
        <v>0.05</v>
      </c>
      <c r="X796" s="271">
        <v>-678.0</v>
      </c>
      <c r="Y796" s="271">
        <v>-170.0</v>
      </c>
      <c r="Z796" s="50" t="b">
        <v>1</v>
      </c>
      <c r="AA796" s="50" t="s">
        <v>138</v>
      </c>
      <c r="AB796" s="50" t="s">
        <v>138</v>
      </c>
    </row>
    <row r="797">
      <c r="A797" s="101" t="s">
        <v>148</v>
      </c>
      <c r="B797" s="101" t="s">
        <v>148</v>
      </c>
      <c r="C797" s="278">
        <v>44368.0</v>
      </c>
      <c r="D797" s="278">
        <v>44397.0</v>
      </c>
      <c r="E797" s="271" t="s">
        <v>331</v>
      </c>
      <c r="F797" s="138" t="s">
        <v>12</v>
      </c>
      <c r="G797" s="101" t="s">
        <v>5</v>
      </c>
      <c r="H797" s="273" t="s">
        <v>63</v>
      </c>
      <c r="I797" s="274">
        <v>25.0</v>
      </c>
      <c r="J797" s="271">
        <v>1.0</v>
      </c>
      <c r="K797" s="271">
        <f t="shared" si="1"/>
        <v>25</v>
      </c>
      <c r="L797" s="271"/>
      <c r="M797" s="271">
        <v>50.0</v>
      </c>
      <c r="N797" s="275"/>
      <c r="O797" s="60"/>
      <c r="P797" s="101"/>
      <c r="Q797" s="271"/>
      <c r="R797" s="276">
        <v>0.0</v>
      </c>
      <c r="S797" s="271"/>
      <c r="T797" s="271">
        <v>50.0</v>
      </c>
      <c r="U797" s="62">
        <v>1.0</v>
      </c>
      <c r="V797" s="277">
        <v>0.15</v>
      </c>
      <c r="W797" s="277">
        <v>0.05</v>
      </c>
      <c r="X797" s="271">
        <v>40.0</v>
      </c>
      <c r="Y797" s="271">
        <v>10.0</v>
      </c>
      <c r="Z797" s="50" t="b">
        <v>1</v>
      </c>
      <c r="AA797" s="50" t="s">
        <v>138</v>
      </c>
      <c r="AB797" s="50" t="s">
        <v>138</v>
      </c>
    </row>
    <row r="798">
      <c r="A798" s="101" t="s">
        <v>182</v>
      </c>
      <c r="B798" s="101">
        <v>66.5622</v>
      </c>
      <c r="C798" s="278">
        <v>44368.0</v>
      </c>
      <c r="D798" s="278">
        <v>44397.0</v>
      </c>
      <c r="E798" s="271" t="s">
        <v>268</v>
      </c>
      <c r="F798" s="101" t="s">
        <v>4</v>
      </c>
      <c r="G798" s="271" t="s">
        <v>9</v>
      </c>
      <c r="H798" s="273" t="s">
        <v>55</v>
      </c>
      <c r="I798" s="274">
        <v>10.0</v>
      </c>
      <c r="J798" s="271">
        <v>1458.0</v>
      </c>
      <c r="K798" s="271">
        <f t="shared" si="1"/>
        <v>14580</v>
      </c>
      <c r="L798" s="271">
        <v>97256.0</v>
      </c>
      <c r="M798" s="271">
        <v>82.0</v>
      </c>
      <c r="N798" s="275">
        <v>110.49</v>
      </c>
      <c r="O798" s="60"/>
      <c r="P798" s="50">
        <v>110.0</v>
      </c>
      <c r="Q798" s="271">
        <v>473.0</v>
      </c>
      <c r="R798" s="276">
        <v>-8.7E-4</v>
      </c>
      <c r="S798" s="271">
        <v>460.0</v>
      </c>
      <c r="T798" s="271">
        <v>571.0</v>
      </c>
      <c r="U798" s="62">
        <v>1.178</v>
      </c>
      <c r="V798" s="277">
        <v>0.2</v>
      </c>
      <c r="W798" s="277">
        <v>0.0</v>
      </c>
      <c r="X798" s="271">
        <v>538.0</v>
      </c>
      <c r="Y798" s="271">
        <v>134.0</v>
      </c>
      <c r="Z798" s="50" t="b">
        <v>1</v>
      </c>
      <c r="AA798" s="50" t="s">
        <v>138</v>
      </c>
      <c r="AB798" s="50" t="s">
        <v>140</v>
      </c>
    </row>
    <row r="799">
      <c r="A799" s="101" t="s">
        <v>182</v>
      </c>
      <c r="B799" s="101">
        <v>66.5622</v>
      </c>
      <c r="C799" s="278">
        <v>44368.0</v>
      </c>
      <c r="D799" s="278">
        <v>44397.0</v>
      </c>
      <c r="E799" s="271" t="s">
        <v>268</v>
      </c>
      <c r="F799" s="101" t="s">
        <v>4</v>
      </c>
      <c r="G799" s="271" t="s">
        <v>9</v>
      </c>
      <c r="H799" s="273" t="s">
        <v>68</v>
      </c>
      <c r="I799" s="274">
        <v>25.0</v>
      </c>
      <c r="J799" s="271">
        <v>103.0</v>
      </c>
      <c r="K799" s="271">
        <f t="shared" si="1"/>
        <v>2575</v>
      </c>
      <c r="L799" s="271">
        <v>2361.0</v>
      </c>
      <c r="M799" s="271">
        <v>-88.0</v>
      </c>
      <c r="N799" s="275">
        <v>19.51</v>
      </c>
      <c r="O799" s="60"/>
      <c r="P799" s="50">
        <v>20.0</v>
      </c>
      <c r="Q799" s="271">
        <v>-122.0</v>
      </c>
      <c r="R799" s="276">
        <v>-8.7E-4</v>
      </c>
      <c r="S799" s="271">
        <v>-124.0</v>
      </c>
      <c r="T799" s="271">
        <v>-104.0</v>
      </c>
      <c r="U799" s="62">
        <v>1.178</v>
      </c>
      <c r="V799" s="277">
        <v>0.2</v>
      </c>
      <c r="W799" s="277">
        <v>0.0</v>
      </c>
      <c r="X799" s="271">
        <v>-98.0</v>
      </c>
      <c r="Y799" s="271">
        <v>-25.0</v>
      </c>
      <c r="Z799" s="50" t="b">
        <v>1</v>
      </c>
      <c r="AA799" s="50" t="s">
        <v>138</v>
      </c>
      <c r="AB799" s="50" t="s">
        <v>140</v>
      </c>
    </row>
    <row r="800">
      <c r="A800" s="101" t="s">
        <v>182</v>
      </c>
      <c r="B800" s="101" t="s">
        <v>182</v>
      </c>
      <c r="C800" s="278">
        <v>44368.0</v>
      </c>
      <c r="D800" s="278">
        <v>44397.0</v>
      </c>
      <c r="E800" s="271" t="s">
        <v>268</v>
      </c>
      <c r="F800" s="101" t="s">
        <v>4</v>
      </c>
      <c r="G800" s="271" t="s">
        <v>5</v>
      </c>
      <c r="H800" s="273" t="s">
        <v>45</v>
      </c>
      <c r="I800" s="274">
        <v>10.0</v>
      </c>
      <c r="J800" s="271">
        <v>19.0</v>
      </c>
      <c r="K800" s="271">
        <f t="shared" si="1"/>
        <v>190</v>
      </c>
      <c r="L800" s="271">
        <v>-40.0</v>
      </c>
      <c r="M800" s="271">
        <v>100.0</v>
      </c>
      <c r="N800" s="275"/>
      <c r="O800" s="60"/>
      <c r="P800" s="101"/>
      <c r="Q800" s="271">
        <v>-15.0</v>
      </c>
      <c r="R800" s="276">
        <v>-8.7E-4</v>
      </c>
      <c r="S800" s="271">
        <v>-15.0</v>
      </c>
      <c r="T800" s="271">
        <v>-15.0</v>
      </c>
      <c r="U800" s="62">
        <v>1.0</v>
      </c>
      <c r="V800" s="277">
        <v>0.2</v>
      </c>
      <c r="W800" s="277">
        <v>0.0</v>
      </c>
      <c r="X800" s="271">
        <v>-12.0</v>
      </c>
      <c r="Y800" s="271">
        <v>-3.0</v>
      </c>
      <c r="Z800" s="50" t="b">
        <v>1</v>
      </c>
      <c r="AA800" s="50" t="s">
        <v>138</v>
      </c>
      <c r="AB800" s="50" t="s">
        <v>138</v>
      </c>
    </row>
    <row r="801">
      <c r="A801" s="101" t="s">
        <v>182</v>
      </c>
      <c r="B801" s="101" t="s">
        <v>182</v>
      </c>
      <c r="C801" s="278">
        <v>44368.0</v>
      </c>
      <c r="D801" s="278">
        <v>44397.0</v>
      </c>
      <c r="E801" s="271" t="s">
        <v>268</v>
      </c>
      <c r="F801" s="101" t="s">
        <v>4</v>
      </c>
      <c r="G801" s="271" t="s">
        <v>5</v>
      </c>
      <c r="H801" s="273" t="s">
        <v>62</v>
      </c>
      <c r="I801" s="274">
        <v>25.0</v>
      </c>
      <c r="J801" s="271">
        <v>1175.0</v>
      </c>
      <c r="K801" s="271">
        <f t="shared" si="1"/>
        <v>29375</v>
      </c>
      <c r="L801" s="271">
        <v>28658.0</v>
      </c>
      <c r="M801" s="271">
        <v>1150.0</v>
      </c>
      <c r="N801" s="275">
        <v>94.0</v>
      </c>
      <c r="O801" s="60"/>
      <c r="P801" s="50">
        <v>94.0</v>
      </c>
      <c r="Q801" s="271">
        <v>-601.0</v>
      </c>
      <c r="R801" s="276">
        <v>-8.7E-4</v>
      </c>
      <c r="S801" s="271">
        <v>-626.0</v>
      </c>
      <c r="T801" s="271">
        <v>-532.0</v>
      </c>
      <c r="U801" s="62">
        <v>1.0</v>
      </c>
      <c r="V801" s="277">
        <v>0.2</v>
      </c>
      <c r="W801" s="277">
        <v>0.0</v>
      </c>
      <c r="X801" s="271">
        <v>-426.0</v>
      </c>
      <c r="Y801" s="271">
        <v>-106.0</v>
      </c>
      <c r="Z801" s="50" t="b">
        <v>1</v>
      </c>
      <c r="AA801" s="50" t="s">
        <v>138</v>
      </c>
      <c r="AB801" s="50" t="s">
        <v>138</v>
      </c>
    </row>
    <row r="802">
      <c r="A802" s="101" t="s">
        <v>345</v>
      </c>
      <c r="B802" s="271" t="s">
        <v>989</v>
      </c>
      <c r="C802" s="278">
        <v>44378.0</v>
      </c>
      <c r="D802" s="278">
        <v>44397.0</v>
      </c>
      <c r="E802" s="271" t="s">
        <v>331</v>
      </c>
      <c r="F802" s="138" t="s">
        <v>12</v>
      </c>
      <c r="G802" s="271" t="s">
        <v>9</v>
      </c>
      <c r="H802" s="273" t="s">
        <v>80</v>
      </c>
      <c r="I802" s="274">
        <v>50.0</v>
      </c>
      <c r="J802" s="271">
        <v>244.0</v>
      </c>
      <c r="K802" s="271">
        <f t="shared" si="1"/>
        <v>12200</v>
      </c>
      <c r="L802" s="271">
        <v>6894.0</v>
      </c>
      <c r="M802" s="271">
        <v>-2650.0</v>
      </c>
      <c r="N802" s="275">
        <v>460.17</v>
      </c>
      <c r="O802" s="60"/>
      <c r="P802" s="50">
        <v>460.0</v>
      </c>
      <c r="Q802" s="271">
        <v>-455.0</v>
      </c>
      <c r="R802" s="276">
        <v>0.0</v>
      </c>
      <c r="S802" s="271">
        <v>-455.0</v>
      </c>
      <c r="T802" s="271">
        <v>-2190.0</v>
      </c>
      <c r="U802" s="62">
        <v>1.178</v>
      </c>
      <c r="V802" s="277">
        <v>0.15</v>
      </c>
      <c r="W802" s="277">
        <v>0.05</v>
      </c>
      <c r="X802" s="271">
        <v>-2064.0</v>
      </c>
      <c r="Y802" s="271">
        <v>-516.0</v>
      </c>
      <c r="Z802" s="50" t="b">
        <v>1</v>
      </c>
      <c r="AA802" s="50" t="s">
        <v>138</v>
      </c>
      <c r="AB802" s="50" t="s">
        <v>140</v>
      </c>
    </row>
    <row r="803">
      <c r="A803" s="101" t="s">
        <v>345</v>
      </c>
      <c r="B803" s="271" t="s">
        <v>989</v>
      </c>
      <c r="C803" s="278">
        <v>44378.0</v>
      </c>
      <c r="D803" s="278">
        <v>44397.0</v>
      </c>
      <c r="E803" s="271" t="s">
        <v>331</v>
      </c>
      <c r="F803" s="138" t="s">
        <v>12</v>
      </c>
      <c r="G803" s="271" t="s">
        <v>9</v>
      </c>
      <c r="H803" s="273" t="s">
        <v>68</v>
      </c>
      <c r="I803" s="274">
        <v>25.0</v>
      </c>
      <c r="J803" s="271">
        <v>185.0</v>
      </c>
      <c r="K803" s="271">
        <f t="shared" si="1"/>
        <v>4625</v>
      </c>
      <c r="L803" s="271">
        <v>3674.0</v>
      </c>
      <c r="M803" s="271">
        <v>-25.0</v>
      </c>
      <c r="N803" s="275">
        <v>174.45</v>
      </c>
      <c r="O803" s="60"/>
      <c r="P803" s="50">
        <v>174.0</v>
      </c>
      <c r="Q803" s="271">
        <v>-243.0</v>
      </c>
      <c r="R803" s="276">
        <v>0.0</v>
      </c>
      <c r="S803" s="271">
        <v>-243.0</v>
      </c>
      <c r="T803" s="271">
        <v>149.0</v>
      </c>
      <c r="U803" s="62">
        <v>1.178</v>
      </c>
      <c r="V803" s="277">
        <v>0.15</v>
      </c>
      <c r="W803" s="277">
        <v>0.05</v>
      </c>
      <c r="X803" s="271">
        <v>141.0</v>
      </c>
      <c r="Y803" s="271">
        <v>35.0</v>
      </c>
      <c r="Z803" s="50" t="b">
        <v>1</v>
      </c>
      <c r="AA803" s="50" t="s">
        <v>138</v>
      </c>
      <c r="AB803" s="50" t="s">
        <v>140</v>
      </c>
    </row>
    <row r="804">
      <c r="A804" s="101" t="s">
        <v>345</v>
      </c>
      <c r="B804" s="271" t="s">
        <v>989</v>
      </c>
      <c r="C804" s="278">
        <v>44378.0</v>
      </c>
      <c r="D804" s="278">
        <v>44397.0</v>
      </c>
      <c r="E804" s="271" t="s">
        <v>331</v>
      </c>
      <c r="F804" s="138" t="s">
        <v>12</v>
      </c>
      <c r="G804" s="271" t="s">
        <v>9</v>
      </c>
      <c r="H804" s="273" t="s">
        <v>983</v>
      </c>
      <c r="I804" s="274">
        <v>5.0</v>
      </c>
      <c r="J804" s="271">
        <v>1.0</v>
      </c>
      <c r="K804" s="271">
        <f t="shared" si="1"/>
        <v>5</v>
      </c>
      <c r="L804" s="271">
        <v>-307.0</v>
      </c>
      <c r="M804" s="271">
        <v>-5.0</v>
      </c>
      <c r="N804" s="275">
        <v>0.0</v>
      </c>
      <c r="O804" s="60"/>
      <c r="P804" s="50">
        <v>0.0</v>
      </c>
      <c r="Q804" s="271">
        <v>-3.0</v>
      </c>
      <c r="R804" s="276">
        <v>0.0</v>
      </c>
      <c r="S804" s="271">
        <v>-3.0</v>
      </c>
      <c r="T804" s="271">
        <v>-5.0</v>
      </c>
      <c r="U804" s="62">
        <v>1.178</v>
      </c>
      <c r="V804" s="277">
        <v>0.15</v>
      </c>
      <c r="W804" s="277">
        <v>0.05</v>
      </c>
      <c r="X804" s="271">
        <v>-5.0</v>
      </c>
      <c r="Y804" s="271">
        <v>-1.0</v>
      </c>
      <c r="Z804" s="50" t="b">
        <v>1</v>
      </c>
      <c r="AA804" s="50" t="s">
        <v>138</v>
      </c>
      <c r="AB804" s="50" t="s">
        <v>140</v>
      </c>
    </row>
    <row r="805">
      <c r="A805" s="101" t="s">
        <v>345</v>
      </c>
      <c r="B805" s="271" t="s">
        <v>989</v>
      </c>
      <c r="C805" s="278">
        <v>44378.0</v>
      </c>
      <c r="D805" s="278">
        <v>44397.0</v>
      </c>
      <c r="E805" s="271" t="s">
        <v>331</v>
      </c>
      <c r="F805" s="138" t="s">
        <v>12</v>
      </c>
      <c r="G805" s="271" t="s">
        <v>9</v>
      </c>
      <c r="H805" s="273" t="s">
        <v>55</v>
      </c>
      <c r="I805" s="274">
        <v>10.0</v>
      </c>
      <c r="J805" s="271">
        <v>1.0</v>
      </c>
      <c r="K805" s="271">
        <f t="shared" si="1"/>
        <v>10</v>
      </c>
      <c r="L805" s="271">
        <v>389.0</v>
      </c>
      <c r="M805" s="271">
        <v>-10.0</v>
      </c>
      <c r="N805" s="275">
        <v>0.38</v>
      </c>
      <c r="O805" s="60"/>
      <c r="P805" s="50">
        <v>0.0</v>
      </c>
      <c r="Q805" s="271">
        <v>6.0</v>
      </c>
      <c r="R805" s="276">
        <v>0.0</v>
      </c>
      <c r="S805" s="271">
        <v>6.0</v>
      </c>
      <c r="T805" s="271">
        <v>-10.0</v>
      </c>
      <c r="U805" s="62">
        <v>1.178</v>
      </c>
      <c r="V805" s="277">
        <v>0.15</v>
      </c>
      <c r="W805" s="277">
        <v>0.05</v>
      </c>
      <c r="X805" s="271">
        <v>-9.0</v>
      </c>
      <c r="Y805" s="271">
        <v>-2.0</v>
      </c>
      <c r="Z805" s="50" t="b">
        <v>1</v>
      </c>
      <c r="AA805" s="50" t="s">
        <v>138</v>
      </c>
      <c r="AB805" s="50" t="s">
        <v>140</v>
      </c>
    </row>
    <row r="806">
      <c r="A806" s="101" t="s">
        <v>416</v>
      </c>
      <c r="B806" s="101" t="s">
        <v>416</v>
      </c>
      <c r="C806" s="278">
        <v>44368.0</v>
      </c>
      <c r="D806" s="278">
        <v>44397.0</v>
      </c>
      <c r="E806" s="271" t="s">
        <v>268</v>
      </c>
      <c r="F806" s="138" t="s">
        <v>4</v>
      </c>
      <c r="G806" s="101" t="s">
        <v>22</v>
      </c>
      <c r="H806" s="273" t="s">
        <v>51</v>
      </c>
      <c r="I806" s="274">
        <v>10.0</v>
      </c>
      <c r="J806" s="271">
        <v>2485.0</v>
      </c>
      <c r="K806" s="271">
        <f t="shared" si="1"/>
        <v>24850</v>
      </c>
      <c r="L806" s="271">
        <v>157180.0</v>
      </c>
      <c r="M806" s="271">
        <v>1130.0</v>
      </c>
      <c r="N806" s="275"/>
      <c r="O806" s="60"/>
      <c r="P806" s="101"/>
      <c r="Q806" s="271">
        <v>975.0</v>
      </c>
      <c r="R806" s="276">
        <v>-8.7E-4</v>
      </c>
      <c r="S806" s="271">
        <v>954.0</v>
      </c>
      <c r="T806" s="271">
        <v>954.0</v>
      </c>
      <c r="U806" s="62">
        <v>1.178</v>
      </c>
      <c r="V806" s="277">
        <v>0.25</v>
      </c>
      <c r="W806" s="277">
        <v>0.0</v>
      </c>
      <c r="X806" s="271">
        <v>843.0</v>
      </c>
      <c r="Y806" s="271">
        <v>281.0</v>
      </c>
      <c r="Z806" s="50" t="b">
        <v>1</v>
      </c>
      <c r="AA806" s="50" t="s">
        <v>138</v>
      </c>
      <c r="AB806" s="50" t="s">
        <v>140</v>
      </c>
    </row>
    <row r="807">
      <c r="A807" s="271" t="s">
        <v>150</v>
      </c>
      <c r="B807" s="271" t="s">
        <v>150</v>
      </c>
      <c r="C807" s="278">
        <v>44368.0</v>
      </c>
      <c r="D807" s="278">
        <v>44397.0</v>
      </c>
      <c r="E807" s="271" t="s">
        <v>268</v>
      </c>
      <c r="F807" s="101" t="s">
        <v>4</v>
      </c>
      <c r="G807" s="271" t="s">
        <v>9</v>
      </c>
      <c r="H807" s="273" t="s">
        <v>55</v>
      </c>
      <c r="I807" s="274">
        <v>10.0</v>
      </c>
      <c r="J807" s="271">
        <v>1033.0</v>
      </c>
      <c r="K807" s="271">
        <f t="shared" si="1"/>
        <v>10330</v>
      </c>
      <c r="L807" s="271">
        <v>22907.0</v>
      </c>
      <c r="M807" s="271">
        <v>-554.0</v>
      </c>
      <c r="N807" s="275">
        <v>99.61</v>
      </c>
      <c r="O807" s="60"/>
      <c r="P807" s="50">
        <v>100.0</v>
      </c>
      <c r="Q807" s="271">
        <v>-485.0</v>
      </c>
      <c r="R807" s="276">
        <v>-8.7E-4</v>
      </c>
      <c r="S807" s="271">
        <v>-494.0</v>
      </c>
      <c r="T807" s="271">
        <v>-395.0</v>
      </c>
      <c r="U807" s="62">
        <v>1.0</v>
      </c>
      <c r="V807" s="277">
        <v>0.3</v>
      </c>
      <c r="W807" s="277">
        <v>0.0</v>
      </c>
      <c r="X807" s="271">
        <v>-276.0</v>
      </c>
      <c r="Y807" s="271">
        <v>-118.0</v>
      </c>
      <c r="Z807" s="50" t="b">
        <v>1</v>
      </c>
      <c r="AA807" s="50" t="s">
        <v>140</v>
      </c>
      <c r="AB807" s="50" t="s">
        <v>140</v>
      </c>
    </row>
    <row r="808">
      <c r="A808" s="271" t="s">
        <v>150</v>
      </c>
      <c r="B808" s="271" t="s">
        <v>150</v>
      </c>
      <c r="C808" s="278">
        <v>44368.0</v>
      </c>
      <c r="D808" s="278">
        <v>44397.0</v>
      </c>
      <c r="E808" s="271" t="s">
        <v>268</v>
      </c>
      <c r="F808" s="101" t="s">
        <v>12</v>
      </c>
      <c r="G808" s="271" t="s">
        <v>9</v>
      </c>
      <c r="H808" s="273" t="s">
        <v>57</v>
      </c>
      <c r="I808" s="274">
        <v>10.0</v>
      </c>
      <c r="J808" s="271">
        <v>4.0</v>
      </c>
      <c r="K808" s="271">
        <f t="shared" si="1"/>
        <v>40</v>
      </c>
      <c r="L808" s="271">
        <v>-178.0</v>
      </c>
      <c r="M808" s="271">
        <v>0.0</v>
      </c>
      <c r="N808" s="275">
        <v>0.39</v>
      </c>
      <c r="O808" s="60"/>
      <c r="P808" s="50">
        <v>0.0</v>
      </c>
      <c r="Q808" s="271">
        <v>-9.0</v>
      </c>
      <c r="R808" s="276">
        <v>-8.7E-4</v>
      </c>
      <c r="S808" s="271">
        <v>-9.0</v>
      </c>
      <c r="T808" s="271">
        <v>0.0</v>
      </c>
      <c r="U808" s="62">
        <v>1.0</v>
      </c>
      <c r="V808" s="277">
        <v>0.3</v>
      </c>
      <c r="W808" s="277">
        <v>0.0</v>
      </c>
      <c r="X808" s="271">
        <v>0.0</v>
      </c>
      <c r="Y808" s="271">
        <v>0.0</v>
      </c>
      <c r="Z808" s="50" t="b">
        <v>1</v>
      </c>
      <c r="AA808" s="50" t="s">
        <v>140</v>
      </c>
      <c r="AB808" s="50" t="s">
        <v>140</v>
      </c>
    </row>
    <row r="809">
      <c r="A809" s="101" t="s">
        <v>199</v>
      </c>
      <c r="B809" s="101" t="s">
        <v>199</v>
      </c>
      <c r="C809" s="278">
        <v>44368.0</v>
      </c>
      <c r="D809" s="278">
        <v>44397.0</v>
      </c>
      <c r="E809" s="271" t="s">
        <v>268</v>
      </c>
      <c r="F809" s="138" t="s">
        <v>4</v>
      </c>
      <c r="G809" s="101" t="s">
        <v>9</v>
      </c>
      <c r="H809" s="273" t="s">
        <v>55</v>
      </c>
      <c r="I809" s="274">
        <v>10.0</v>
      </c>
      <c r="J809" s="271">
        <v>1378.0</v>
      </c>
      <c r="K809" s="271">
        <f t="shared" si="1"/>
        <v>13780</v>
      </c>
      <c r="L809" s="271">
        <v>101601.0</v>
      </c>
      <c r="M809" s="271">
        <v>1166.0</v>
      </c>
      <c r="N809" s="275">
        <v>358.96</v>
      </c>
      <c r="O809" s="60"/>
      <c r="P809" s="50">
        <v>359.0</v>
      </c>
      <c r="Q809" s="271">
        <v>646.0</v>
      </c>
      <c r="R809" s="276">
        <v>-8.7E-4</v>
      </c>
      <c r="S809" s="271">
        <v>634.0</v>
      </c>
      <c r="T809" s="271">
        <v>993.0</v>
      </c>
      <c r="U809" s="62">
        <v>1.0</v>
      </c>
      <c r="V809" s="277">
        <v>0.2</v>
      </c>
      <c r="W809" s="277">
        <v>0.0</v>
      </c>
      <c r="X809" s="271">
        <v>794.0</v>
      </c>
      <c r="Y809" s="271">
        <v>199.0</v>
      </c>
      <c r="Z809" s="50" t="b">
        <v>1</v>
      </c>
      <c r="AA809" s="50" t="s">
        <v>140</v>
      </c>
      <c r="AB809" s="50" t="s">
        <v>140</v>
      </c>
    </row>
    <row r="810">
      <c r="A810" s="101" t="s">
        <v>199</v>
      </c>
      <c r="B810" s="101" t="s">
        <v>199</v>
      </c>
      <c r="C810" s="278">
        <v>44368.0</v>
      </c>
      <c r="D810" s="278">
        <v>44397.0</v>
      </c>
      <c r="E810" s="271" t="s">
        <v>268</v>
      </c>
      <c r="F810" s="138" t="s">
        <v>4</v>
      </c>
      <c r="G810" s="101" t="s">
        <v>9</v>
      </c>
      <c r="H810" s="273" t="s">
        <v>983</v>
      </c>
      <c r="I810" s="274">
        <v>5.0</v>
      </c>
      <c r="J810" s="271">
        <v>8.0</v>
      </c>
      <c r="K810" s="271">
        <f t="shared" si="1"/>
        <v>40</v>
      </c>
      <c r="L810" s="271">
        <v>521.0</v>
      </c>
      <c r="M810" s="271">
        <v>-35.0</v>
      </c>
      <c r="N810" s="275">
        <v>1.04</v>
      </c>
      <c r="O810" s="60"/>
      <c r="P810" s="50">
        <v>1.0</v>
      </c>
      <c r="Q810" s="271">
        <v>1.0</v>
      </c>
      <c r="R810" s="276">
        <v>-8.7E-4</v>
      </c>
      <c r="S810" s="271">
        <v>1.0</v>
      </c>
      <c r="T810" s="271">
        <v>2.0</v>
      </c>
      <c r="U810" s="62">
        <v>1.0</v>
      </c>
      <c r="V810" s="277">
        <v>0.2</v>
      </c>
      <c r="W810" s="277">
        <v>0.0</v>
      </c>
      <c r="X810" s="271">
        <v>2.0</v>
      </c>
      <c r="Y810" s="271">
        <v>0.0</v>
      </c>
      <c r="Z810" s="50" t="b">
        <v>1</v>
      </c>
      <c r="AA810" s="50" t="s">
        <v>140</v>
      </c>
      <c r="AB810" s="50" t="s">
        <v>140</v>
      </c>
    </row>
    <row r="811">
      <c r="A811" s="101" t="s">
        <v>546</v>
      </c>
      <c r="B811" s="101" t="s">
        <v>546</v>
      </c>
      <c r="C811" s="278">
        <v>44368.0</v>
      </c>
      <c r="D811" s="278">
        <v>44397.0</v>
      </c>
      <c r="E811" s="271" t="s">
        <v>331</v>
      </c>
      <c r="F811" s="138" t="s">
        <v>4</v>
      </c>
      <c r="G811" s="101" t="s">
        <v>5</v>
      </c>
      <c r="H811" s="273" t="s">
        <v>85</v>
      </c>
      <c r="I811" s="274">
        <v>100.0</v>
      </c>
      <c r="J811" s="271">
        <v>2022.0</v>
      </c>
      <c r="K811" s="271">
        <f t="shared" si="1"/>
        <v>202200</v>
      </c>
      <c r="L811" s="271">
        <v>62927.0</v>
      </c>
      <c r="M811" s="271">
        <v>-7600.0</v>
      </c>
      <c r="N811" s="275">
        <v>316.0</v>
      </c>
      <c r="O811" s="60"/>
      <c r="P811" s="50">
        <v>316.0</v>
      </c>
      <c r="Q811" s="271">
        <v>875.0</v>
      </c>
      <c r="R811" s="276">
        <v>-8.7E-4</v>
      </c>
      <c r="S811" s="271">
        <v>699.0</v>
      </c>
      <c r="T811" s="271">
        <v>1015.0</v>
      </c>
      <c r="U811" s="62">
        <v>1.0</v>
      </c>
      <c r="V811" s="277">
        <v>0.135</v>
      </c>
      <c r="W811" s="277">
        <v>0.045</v>
      </c>
      <c r="X811" s="271">
        <v>832.0</v>
      </c>
      <c r="Y811" s="271">
        <v>183.0</v>
      </c>
      <c r="Z811" s="50" t="b">
        <v>1</v>
      </c>
      <c r="AA811" s="50" t="s">
        <v>138</v>
      </c>
      <c r="AB811" s="50" t="s">
        <v>138</v>
      </c>
    </row>
    <row r="812">
      <c r="A812" s="101" t="s">
        <v>160</v>
      </c>
      <c r="B812" s="101" t="s">
        <v>160</v>
      </c>
      <c r="C812" s="278">
        <v>44368.0</v>
      </c>
      <c r="D812" s="278">
        <v>44397.0</v>
      </c>
      <c r="E812" s="271" t="s">
        <v>268</v>
      </c>
      <c r="F812" s="138" t="s">
        <v>4</v>
      </c>
      <c r="G812" s="101" t="s">
        <v>5</v>
      </c>
      <c r="H812" s="273" t="s">
        <v>35</v>
      </c>
      <c r="I812" s="274">
        <v>5.0</v>
      </c>
      <c r="J812" s="271">
        <v>1.0</v>
      </c>
      <c r="K812" s="271">
        <f t="shared" si="1"/>
        <v>5</v>
      </c>
      <c r="L812" s="271">
        <v>474.0</v>
      </c>
      <c r="M812" s="271">
        <v>5.0</v>
      </c>
      <c r="N812" s="275"/>
      <c r="O812" s="60"/>
      <c r="P812" s="101"/>
      <c r="Q812" s="271">
        <v>4.0</v>
      </c>
      <c r="R812" s="276">
        <v>-8.7E-4</v>
      </c>
      <c r="S812" s="271">
        <v>4.0</v>
      </c>
      <c r="T812" s="271">
        <v>4.0</v>
      </c>
      <c r="U812" s="62">
        <v>1.0</v>
      </c>
      <c r="V812" s="277">
        <v>0.3</v>
      </c>
      <c r="W812" s="277">
        <v>0.0</v>
      </c>
      <c r="X812" s="271">
        <v>3.0</v>
      </c>
      <c r="Y812" s="271">
        <v>1.0</v>
      </c>
      <c r="Z812" s="50" t="b">
        <v>1</v>
      </c>
      <c r="AA812" s="50" t="s">
        <v>138</v>
      </c>
      <c r="AB812" s="50" t="s">
        <v>138</v>
      </c>
    </row>
    <row r="813">
      <c r="A813" s="101" t="s">
        <v>160</v>
      </c>
      <c r="B813" s="101" t="s">
        <v>160</v>
      </c>
      <c r="C813" s="278">
        <v>44368.0</v>
      </c>
      <c r="D813" s="278">
        <v>44397.0</v>
      </c>
      <c r="E813" s="271" t="s">
        <v>268</v>
      </c>
      <c r="F813" s="138" t="s">
        <v>4</v>
      </c>
      <c r="G813" s="101" t="s">
        <v>5</v>
      </c>
      <c r="H813" s="273" t="s">
        <v>45</v>
      </c>
      <c r="I813" s="274">
        <v>10.0</v>
      </c>
      <c r="J813" s="271">
        <v>1504.0</v>
      </c>
      <c r="K813" s="271">
        <f t="shared" si="1"/>
        <v>15040</v>
      </c>
      <c r="L813" s="271">
        <v>77133.0</v>
      </c>
      <c r="M813" s="271">
        <v>310.0</v>
      </c>
      <c r="N813" s="275">
        <v>284.0</v>
      </c>
      <c r="O813" s="60"/>
      <c r="P813" s="50">
        <v>284.0</v>
      </c>
      <c r="Q813" s="271">
        <v>305.0</v>
      </c>
      <c r="R813" s="276">
        <v>-8.7E-4</v>
      </c>
      <c r="S813" s="271">
        <v>292.0</v>
      </c>
      <c r="T813" s="271">
        <v>576.0</v>
      </c>
      <c r="U813" s="62">
        <v>1.0</v>
      </c>
      <c r="V813" s="277">
        <v>0.3</v>
      </c>
      <c r="W813" s="277">
        <v>0.0</v>
      </c>
      <c r="X813" s="271">
        <v>403.0</v>
      </c>
      <c r="Y813" s="271">
        <v>173.0</v>
      </c>
      <c r="Z813" s="50" t="b">
        <v>1</v>
      </c>
      <c r="AA813" s="50" t="s">
        <v>138</v>
      </c>
      <c r="AB813" s="50" t="s">
        <v>138</v>
      </c>
    </row>
    <row r="814">
      <c r="A814" s="101" t="s">
        <v>207</v>
      </c>
      <c r="B814" s="101" t="s">
        <v>208</v>
      </c>
      <c r="C814" s="278">
        <v>44368.0</v>
      </c>
      <c r="D814" s="278">
        <v>44397.0</v>
      </c>
      <c r="E814" s="271" t="s">
        <v>268</v>
      </c>
      <c r="F814" s="138" t="s">
        <v>4</v>
      </c>
      <c r="G814" s="101" t="s">
        <v>13</v>
      </c>
      <c r="H814" s="273" t="s">
        <v>45</v>
      </c>
      <c r="I814" s="274">
        <v>10.0</v>
      </c>
      <c r="J814" s="271">
        <v>3263.0</v>
      </c>
      <c r="K814" s="271">
        <f t="shared" si="1"/>
        <v>32630</v>
      </c>
      <c r="L814" s="271">
        <v>13784.0</v>
      </c>
      <c r="M814" s="271">
        <v>-2270.0</v>
      </c>
      <c r="N814" s="275">
        <v>1640.83</v>
      </c>
      <c r="O814" s="60"/>
      <c r="P814" s="109">
        <v>1641.0</v>
      </c>
      <c r="Q814" s="271">
        <v>-1996.0</v>
      </c>
      <c r="R814" s="276">
        <v>-8.7E-4</v>
      </c>
      <c r="S814" s="271">
        <v>-2025.0</v>
      </c>
      <c r="T814" s="271">
        <v>-384.0</v>
      </c>
      <c r="U814" s="62">
        <v>1.0</v>
      </c>
      <c r="V814" s="277">
        <v>0.22</v>
      </c>
      <c r="W814" s="277">
        <v>0.0</v>
      </c>
      <c r="X814" s="271">
        <v>-299.0</v>
      </c>
      <c r="Y814" s="271">
        <v>-84.0</v>
      </c>
      <c r="Z814" s="50" t="b">
        <v>1</v>
      </c>
      <c r="AA814" s="50" t="s">
        <v>138</v>
      </c>
      <c r="AB814" s="50" t="s">
        <v>138</v>
      </c>
    </row>
    <row r="815">
      <c r="A815" s="101" t="s">
        <v>207</v>
      </c>
      <c r="B815" s="101" t="s">
        <v>208</v>
      </c>
      <c r="C815" s="278">
        <v>44368.0</v>
      </c>
      <c r="D815" s="278">
        <v>44397.0</v>
      </c>
      <c r="E815" s="271" t="s">
        <v>268</v>
      </c>
      <c r="F815" s="138" t="s">
        <v>4</v>
      </c>
      <c r="G815" s="101" t="s">
        <v>13</v>
      </c>
      <c r="H815" s="273" t="s">
        <v>59</v>
      </c>
      <c r="I815" s="274">
        <v>20.0</v>
      </c>
      <c r="J815" s="271">
        <v>889.0</v>
      </c>
      <c r="K815" s="271">
        <f t="shared" si="1"/>
        <v>17780</v>
      </c>
      <c r="L815" s="271">
        <v>1845.0</v>
      </c>
      <c r="M815" s="271">
        <v>-2100.0</v>
      </c>
      <c r="N815" s="275">
        <v>894.08</v>
      </c>
      <c r="O815" s="60"/>
      <c r="P815" s="50">
        <v>894.0</v>
      </c>
      <c r="Q815" s="271">
        <v>-1198.0</v>
      </c>
      <c r="R815" s="276">
        <v>-8.7E-4</v>
      </c>
      <c r="S815" s="271">
        <v>-1213.0</v>
      </c>
      <c r="T815" s="271">
        <v>-319.0</v>
      </c>
      <c r="U815" s="62">
        <v>1.0</v>
      </c>
      <c r="V815" s="277">
        <v>0.22</v>
      </c>
      <c r="W815" s="277">
        <v>0.0</v>
      </c>
      <c r="X815" s="271">
        <v>-249.0</v>
      </c>
      <c r="Y815" s="271">
        <v>-70.0</v>
      </c>
      <c r="Z815" s="50" t="b">
        <v>1</v>
      </c>
      <c r="AA815" s="50" t="s">
        <v>138</v>
      </c>
      <c r="AB815" s="50" t="s">
        <v>138</v>
      </c>
    </row>
    <row r="816">
      <c r="A816" s="101" t="s">
        <v>207</v>
      </c>
      <c r="B816" s="101" t="s">
        <v>208</v>
      </c>
      <c r="C816" s="278">
        <v>44368.0</v>
      </c>
      <c r="D816" s="278">
        <v>44397.0</v>
      </c>
      <c r="E816" s="271" t="s">
        <v>268</v>
      </c>
      <c r="F816" s="138" t="s">
        <v>4</v>
      </c>
      <c r="G816" s="101" t="s">
        <v>13</v>
      </c>
      <c r="H816" s="273" t="s">
        <v>74</v>
      </c>
      <c r="I816" s="274">
        <v>50.0</v>
      </c>
      <c r="J816" s="271">
        <v>6.0</v>
      </c>
      <c r="K816" s="271">
        <f t="shared" si="1"/>
        <v>300</v>
      </c>
      <c r="L816" s="271">
        <v>-348.0</v>
      </c>
      <c r="M816" s="271">
        <v>-150.0</v>
      </c>
      <c r="N816" s="275">
        <v>15.09</v>
      </c>
      <c r="O816" s="60"/>
      <c r="P816" s="50">
        <v>15.0</v>
      </c>
      <c r="Q816" s="271">
        <v>-72.0</v>
      </c>
      <c r="R816" s="276">
        <v>-8.7E-4</v>
      </c>
      <c r="S816" s="271">
        <v>-72.0</v>
      </c>
      <c r="T816" s="271">
        <v>-57.0</v>
      </c>
      <c r="U816" s="62">
        <v>1.0</v>
      </c>
      <c r="V816" s="277">
        <v>0.22</v>
      </c>
      <c r="W816" s="277">
        <v>0.0</v>
      </c>
      <c r="X816" s="271">
        <v>-45.0</v>
      </c>
      <c r="Y816" s="271">
        <v>-13.0</v>
      </c>
      <c r="Z816" s="50" t="b">
        <v>1</v>
      </c>
      <c r="AA816" s="50" t="s">
        <v>138</v>
      </c>
      <c r="AB816" s="50" t="s">
        <v>138</v>
      </c>
    </row>
    <row r="817">
      <c r="A817" s="280" t="s">
        <v>177</v>
      </c>
      <c r="B817" s="280" t="s">
        <v>903</v>
      </c>
      <c r="C817" s="283">
        <v>44378.0</v>
      </c>
      <c r="D817" s="283">
        <v>44408.0</v>
      </c>
      <c r="E817" s="280" t="s">
        <v>268</v>
      </c>
      <c r="F817" s="138" t="s">
        <v>8</v>
      </c>
      <c r="G817" s="280" t="s">
        <v>16</v>
      </c>
      <c r="H817" s="273" t="s">
        <v>85</v>
      </c>
      <c r="I817" s="281">
        <v>100.0</v>
      </c>
      <c r="J817" s="280">
        <v>1324.0</v>
      </c>
      <c r="K817" s="271">
        <f t="shared" si="1"/>
        <v>132400</v>
      </c>
      <c r="L817" s="280">
        <v>10368.0</v>
      </c>
      <c r="M817" s="280">
        <v>-10700.0</v>
      </c>
      <c r="N817" s="282">
        <v>3940.57</v>
      </c>
      <c r="O817" s="60"/>
      <c r="P817" s="109">
        <v>3941.0</v>
      </c>
      <c r="Q817" s="280">
        <v>-5189.0</v>
      </c>
      <c r="R817" s="276">
        <v>-0.002955</v>
      </c>
      <c r="S817" s="280">
        <v>-5580.0</v>
      </c>
      <c r="T817" s="280">
        <v>-1639.0</v>
      </c>
      <c r="U817" s="62">
        <v>1.0</v>
      </c>
      <c r="V817" s="277">
        <v>0.12</v>
      </c>
      <c r="W817" s="277">
        <v>0.0</v>
      </c>
      <c r="X817" s="280">
        <v>-1443.0</v>
      </c>
      <c r="Y817" s="280">
        <v>-197.0</v>
      </c>
      <c r="Z817" s="50" t="b">
        <v>1</v>
      </c>
      <c r="AA817" s="50" t="s">
        <v>138</v>
      </c>
      <c r="AB817" s="50" t="s">
        <v>138</v>
      </c>
    </row>
    <row r="818">
      <c r="A818" s="280" t="s">
        <v>177</v>
      </c>
      <c r="B818" s="280" t="s">
        <v>903</v>
      </c>
      <c r="C818" s="283">
        <v>44378.0</v>
      </c>
      <c r="D818" s="283">
        <v>44408.0</v>
      </c>
      <c r="E818" s="280" t="s">
        <v>268</v>
      </c>
      <c r="F818" s="138" t="s">
        <v>8</v>
      </c>
      <c r="G818" s="280" t="s">
        <v>16</v>
      </c>
      <c r="H818" s="273" t="s">
        <v>74</v>
      </c>
      <c r="I818" s="281">
        <v>50.0</v>
      </c>
      <c r="J818" s="280">
        <v>87.0</v>
      </c>
      <c r="K818" s="271">
        <f t="shared" si="1"/>
        <v>4350</v>
      </c>
      <c r="L818" s="280">
        <v>733.0</v>
      </c>
      <c r="M818" s="280">
        <v>500.0</v>
      </c>
      <c r="N818" s="282">
        <v>7.43</v>
      </c>
      <c r="O818" s="60"/>
      <c r="P818" s="50">
        <v>7.0</v>
      </c>
      <c r="Q818" s="280">
        <v>-168.0</v>
      </c>
      <c r="R818" s="276">
        <v>-0.002378</v>
      </c>
      <c r="S818" s="280">
        <v>-178.0</v>
      </c>
      <c r="T818" s="280">
        <v>-171.0</v>
      </c>
      <c r="U818" s="62">
        <v>1.0</v>
      </c>
      <c r="V818" s="277">
        <v>0.12</v>
      </c>
      <c r="W818" s="277">
        <v>0.0</v>
      </c>
      <c r="X818" s="280">
        <v>-150.0</v>
      </c>
      <c r="Y818" s="280">
        <v>-20.0</v>
      </c>
      <c r="Z818" s="50" t="b">
        <v>1</v>
      </c>
      <c r="AA818" s="50" t="s">
        <v>138</v>
      </c>
      <c r="AB818" s="50" t="s">
        <v>138</v>
      </c>
    </row>
    <row r="819">
      <c r="A819" s="271" t="s">
        <v>459</v>
      </c>
      <c r="B819" s="101" t="s">
        <v>145</v>
      </c>
      <c r="C819" s="278">
        <v>44378.0</v>
      </c>
      <c r="D819" s="278">
        <v>44408.0</v>
      </c>
      <c r="E819" s="271" t="s">
        <v>331</v>
      </c>
      <c r="F819" s="101" t="s">
        <v>8</v>
      </c>
      <c r="G819" s="271" t="s">
        <v>9</v>
      </c>
      <c r="H819" s="273" t="s">
        <v>90</v>
      </c>
      <c r="I819" s="274">
        <v>100.0</v>
      </c>
      <c r="J819" s="271">
        <v>1718.0</v>
      </c>
      <c r="K819" s="271">
        <f t="shared" si="1"/>
        <v>171800</v>
      </c>
      <c r="L819" s="271">
        <v>71351.0</v>
      </c>
      <c r="M819" s="271">
        <v>5100.0</v>
      </c>
      <c r="N819" s="275">
        <v>5520.0</v>
      </c>
      <c r="O819" s="60"/>
      <c r="P819" s="109">
        <v>5520.0</v>
      </c>
      <c r="Q819" s="271">
        <v>-2015.0</v>
      </c>
      <c r="R819" s="276">
        <v>-2.04E-4</v>
      </c>
      <c r="S819" s="271">
        <v>-2050.0</v>
      </c>
      <c r="T819" s="271">
        <v>3470.0</v>
      </c>
      <c r="U819" s="62">
        <v>1.0</v>
      </c>
      <c r="V819" s="277">
        <v>0.15</v>
      </c>
      <c r="W819" s="277">
        <v>0.1</v>
      </c>
      <c r="X819" s="271">
        <v>2603.0</v>
      </c>
      <c r="Y819" s="271">
        <v>868.0</v>
      </c>
      <c r="Z819" s="50" t="b">
        <v>1</v>
      </c>
      <c r="AA819" s="50" t="s">
        <v>140</v>
      </c>
      <c r="AB819" s="50" t="s">
        <v>140</v>
      </c>
    </row>
    <row r="820">
      <c r="A820" s="101" t="s">
        <v>459</v>
      </c>
      <c r="B820" s="101" t="s">
        <v>145</v>
      </c>
      <c r="C820" s="278">
        <v>44378.0</v>
      </c>
      <c r="D820" s="278">
        <v>44408.0</v>
      </c>
      <c r="E820" s="271" t="s">
        <v>331</v>
      </c>
      <c r="F820" s="138" t="s">
        <v>12</v>
      </c>
      <c r="G820" s="271" t="s">
        <v>9</v>
      </c>
      <c r="H820" s="273" t="s">
        <v>92</v>
      </c>
      <c r="I820" s="274">
        <v>100.0</v>
      </c>
      <c r="J820" s="271">
        <v>2.0</v>
      </c>
      <c r="K820" s="271">
        <f t="shared" si="1"/>
        <v>200</v>
      </c>
      <c r="L820" s="271">
        <v>78.0</v>
      </c>
      <c r="M820" s="271">
        <v>100.0</v>
      </c>
      <c r="N820" s="275">
        <v>0.0</v>
      </c>
      <c r="O820" s="60"/>
      <c r="P820" s="50">
        <v>0.0</v>
      </c>
      <c r="Q820" s="271">
        <v>6.0</v>
      </c>
      <c r="R820" s="276">
        <v>0.0</v>
      </c>
      <c r="S820" s="271">
        <v>6.0</v>
      </c>
      <c r="T820" s="271">
        <v>100.0</v>
      </c>
      <c r="U820" s="62">
        <v>1.0</v>
      </c>
      <c r="V820" s="277">
        <v>0.15</v>
      </c>
      <c r="W820" s="277">
        <v>0.1</v>
      </c>
      <c r="X820" s="271">
        <v>75.0</v>
      </c>
      <c r="Y820" s="271">
        <v>25.0</v>
      </c>
      <c r="Z820" s="50" t="b">
        <v>1</v>
      </c>
      <c r="AA820" s="50" t="s">
        <v>140</v>
      </c>
      <c r="AB820" s="50" t="s">
        <v>140</v>
      </c>
    </row>
    <row r="821">
      <c r="A821" s="101" t="s">
        <v>267</v>
      </c>
      <c r="B821" s="101" t="s">
        <v>267</v>
      </c>
      <c r="C821" s="278">
        <v>44398.0</v>
      </c>
      <c r="D821" s="278">
        <v>44428.0</v>
      </c>
      <c r="E821" s="271" t="s">
        <v>268</v>
      </c>
      <c r="F821" s="138" t="s">
        <v>4</v>
      </c>
      <c r="G821" s="101" t="s">
        <v>5</v>
      </c>
      <c r="H821" s="273" t="s">
        <v>38</v>
      </c>
      <c r="I821" s="274">
        <v>5.0</v>
      </c>
      <c r="J821" s="271">
        <v>15.0</v>
      </c>
      <c r="K821" s="271">
        <f t="shared" si="1"/>
        <v>75</v>
      </c>
      <c r="L821" s="271">
        <v>463.0</v>
      </c>
      <c r="M821" s="271">
        <v>-25.0</v>
      </c>
      <c r="N821" s="275">
        <v>3.0</v>
      </c>
      <c r="O821" s="60"/>
      <c r="P821" s="50">
        <v>3.0</v>
      </c>
      <c r="Q821" s="271">
        <v>0.0</v>
      </c>
      <c r="R821" s="276">
        <v>-0.0015</v>
      </c>
      <c r="S821" s="271">
        <v>0.0</v>
      </c>
      <c r="T821" s="271">
        <v>3.0</v>
      </c>
      <c r="U821" s="62">
        <v>1.0</v>
      </c>
      <c r="V821" s="277">
        <v>0.15</v>
      </c>
      <c r="W821" s="277">
        <v>0.0</v>
      </c>
      <c r="X821" s="271">
        <v>3.0</v>
      </c>
      <c r="Y821" s="271">
        <v>0.0</v>
      </c>
      <c r="Z821" s="50" t="b">
        <v>1</v>
      </c>
      <c r="AA821" s="50" t="s">
        <v>138</v>
      </c>
      <c r="AB821" s="50" t="s">
        <v>138</v>
      </c>
    </row>
    <row r="822">
      <c r="A822" s="101" t="s">
        <v>267</v>
      </c>
      <c r="B822" s="101" t="s">
        <v>267</v>
      </c>
      <c r="C822" s="278">
        <v>44398.0</v>
      </c>
      <c r="D822" s="278">
        <v>44428.0</v>
      </c>
      <c r="E822" s="271" t="s">
        <v>268</v>
      </c>
      <c r="F822" s="138" t="s">
        <v>4</v>
      </c>
      <c r="G822" s="101" t="s">
        <v>5</v>
      </c>
      <c r="H822" s="273" t="s">
        <v>45</v>
      </c>
      <c r="I822" s="274">
        <v>10.0</v>
      </c>
      <c r="J822" s="271">
        <v>199.0</v>
      </c>
      <c r="K822" s="271">
        <f t="shared" si="1"/>
        <v>1990</v>
      </c>
      <c r="L822" s="271">
        <v>11544.0</v>
      </c>
      <c r="M822" s="271">
        <v>-60.0</v>
      </c>
      <c r="N822" s="275">
        <v>63.0</v>
      </c>
      <c r="O822" s="60"/>
      <c r="P822" s="50">
        <v>63.0</v>
      </c>
      <c r="Q822" s="271">
        <v>64.0</v>
      </c>
      <c r="R822" s="276">
        <v>-0.0015</v>
      </c>
      <c r="S822" s="271">
        <v>62.0</v>
      </c>
      <c r="T822" s="271">
        <v>125.0</v>
      </c>
      <c r="U822" s="62">
        <v>1.0</v>
      </c>
      <c r="V822" s="277">
        <v>0.15</v>
      </c>
      <c r="W822" s="277">
        <v>0.0</v>
      </c>
      <c r="X822" s="271">
        <v>106.0</v>
      </c>
      <c r="Y822" s="271">
        <v>19.0</v>
      </c>
      <c r="Z822" s="50" t="b">
        <v>1</v>
      </c>
      <c r="AA822" s="50" t="s">
        <v>138</v>
      </c>
      <c r="AB822" s="50" t="s">
        <v>138</v>
      </c>
    </row>
    <row r="823">
      <c r="A823" s="101" t="s">
        <v>267</v>
      </c>
      <c r="B823" s="101" t="s">
        <v>267</v>
      </c>
      <c r="C823" s="278">
        <v>44398.0</v>
      </c>
      <c r="D823" s="278">
        <v>44428.0</v>
      </c>
      <c r="E823" s="271" t="s">
        <v>268</v>
      </c>
      <c r="F823" s="138" t="s">
        <v>4</v>
      </c>
      <c r="G823" s="101" t="s">
        <v>5</v>
      </c>
      <c r="H823" s="273" t="s">
        <v>48</v>
      </c>
      <c r="I823" s="274">
        <v>10.0</v>
      </c>
      <c r="J823" s="271">
        <v>82.0</v>
      </c>
      <c r="K823" s="271">
        <f t="shared" si="1"/>
        <v>820</v>
      </c>
      <c r="L823" s="271">
        <v>2251.0</v>
      </c>
      <c r="M823" s="271">
        <v>70.0</v>
      </c>
      <c r="N823" s="275">
        <v>26.0</v>
      </c>
      <c r="O823" s="60"/>
      <c r="P823" s="50">
        <v>26.0</v>
      </c>
      <c r="Q823" s="271">
        <v>8.0</v>
      </c>
      <c r="R823" s="276">
        <v>-0.0015</v>
      </c>
      <c r="S823" s="271">
        <v>7.0</v>
      </c>
      <c r="T823" s="271">
        <v>33.0</v>
      </c>
      <c r="U823" s="62">
        <v>1.0</v>
      </c>
      <c r="V823" s="277">
        <v>0.15</v>
      </c>
      <c r="W823" s="277">
        <v>0.0</v>
      </c>
      <c r="X823" s="271">
        <v>28.0</v>
      </c>
      <c r="Y823" s="271">
        <v>5.0</v>
      </c>
      <c r="Z823" s="50" t="b">
        <v>1</v>
      </c>
      <c r="AA823" s="50" t="s">
        <v>138</v>
      </c>
      <c r="AB823" s="50" t="s">
        <v>138</v>
      </c>
    </row>
    <row r="824">
      <c r="A824" s="101" t="s">
        <v>267</v>
      </c>
      <c r="B824" s="101" t="s">
        <v>267</v>
      </c>
      <c r="C824" s="278">
        <v>44398.0</v>
      </c>
      <c r="D824" s="278">
        <v>44428.0</v>
      </c>
      <c r="E824" s="271" t="s">
        <v>268</v>
      </c>
      <c r="F824" s="138" t="s">
        <v>4</v>
      </c>
      <c r="G824" s="101" t="s">
        <v>5</v>
      </c>
      <c r="H824" s="273" t="s">
        <v>62</v>
      </c>
      <c r="I824" s="274">
        <v>25.0</v>
      </c>
      <c r="J824" s="271">
        <v>443.0</v>
      </c>
      <c r="K824" s="271">
        <f t="shared" si="1"/>
        <v>11075</v>
      </c>
      <c r="L824" s="271">
        <v>7027.0</v>
      </c>
      <c r="M824" s="271">
        <v>400.0</v>
      </c>
      <c r="N824" s="275">
        <v>309.0</v>
      </c>
      <c r="O824" s="60"/>
      <c r="P824" s="50">
        <v>309.0</v>
      </c>
      <c r="Q824" s="271">
        <v>-383.0</v>
      </c>
      <c r="R824" s="276">
        <v>-0.0015</v>
      </c>
      <c r="S824" s="271">
        <v>-400.0</v>
      </c>
      <c r="T824" s="271">
        <v>-91.0</v>
      </c>
      <c r="U824" s="62">
        <v>1.0</v>
      </c>
      <c r="V824" s="277">
        <v>0.15</v>
      </c>
      <c r="W824" s="277">
        <v>0.0</v>
      </c>
      <c r="X824" s="271">
        <v>-77.0</v>
      </c>
      <c r="Y824" s="271">
        <v>-14.0</v>
      </c>
      <c r="Z824" s="50" t="b">
        <v>1</v>
      </c>
      <c r="AA824" s="50" t="s">
        <v>138</v>
      </c>
      <c r="AB824" s="50" t="s">
        <v>138</v>
      </c>
    </row>
    <row r="825">
      <c r="A825" s="101" t="s">
        <v>267</v>
      </c>
      <c r="B825" s="101" t="s">
        <v>267</v>
      </c>
      <c r="C825" s="278">
        <v>44398.0</v>
      </c>
      <c r="D825" s="278">
        <v>44428.0</v>
      </c>
      <c r="E825" s="271" t="s">
        <v>268</v>
      </c>
      <c r="F825" s="138" t="s">
        <v>4</v>
      </c>
      <c r="G825" s="101" t="s">
        <v>5</v>
      </c>
      <c r="H825" s="273" t="s">
        <v>63</v>
      </c>
      <c r="I825" s="274">
        <v>25.0</v>
      </c>
      <c r="J825" s="271">
        <v>6.0</v>
      </c>
      <c r="K825" s="271">
        <f t="shared" si="1"/>
        <v>150</v>
      </c>
      <c r="L825" s="271">
        <v>-105.0</v>
      </c>
      <c r="M825" s="271">
        <v>-75.0</v>
      </c>
      <c r="N825" s="275">
        <v>4.0</v>
      </c>
      <c r="O825" s="60"/>
      <c r="P825" s="50">
        <v>4.0</v>
      </c>
      <c r="Q825" s="271">
        <v>-18.0</v>
      </c>
      <c r="R825" s="276">
        <v>-0.0015</v>
      </c>
      <c r="S825" s="271">
        <v>-18.0</v>
      </c>
      <c r="T825" s="271">
        <v>-14.0</v>
      </c>
      <c r="U825" s="62">
        <v>1.0</v>
      </c>
      <c r="V825" s="277">
        <v>0.15</v>
      </c>
      <c r="W825" s="277">
        <v>0.0</v>
      </c>
      <c r="X825" s="271">
        <v>-12.0</v>
      </c>
      <c r="Y825" s="271">
        <v>-2.0</v>
      </c>
      <c r="Z825" s="50" t="b">
        <v>1</v>
      </c>
      <c r="AA825" s="50" t="s">
        <v>138</v>
      </c>
      <c r="AB825" s="50" t="s">
        <v>138</v>
      </c>
    </row>
    <row r="826">
      <c r="A826" s="101" t="s">
        <v>267</v>
      </c>
      <c r="B826" s="101" t="s">
        <v>267</v>
      </c>
      <c r="C826" s="278">
        <v>44398.0</v>
      </c>
      <c r="D826" s="278">
        <v>44428.0</v>
      </c>
      <c r="E826" s="271" t="s">
        <v>268</v>
      </c>
      <c r="F826" s="138" t="s">
        <v>4</v>
      </c>
      <c r="G826" s="101" t="s">
        <v>5</v>
      </c>
      <c r="H826" s="273" t="s">
        <v>74</v>
      </c>
      <c r="I826" s="274">
        <v>50.0</v>
      </c>
      <c r="J826" s="271">
        <v>256.0</v>
      </c>
      <c r="K826" s="271">
        <f t="shared" si="1"/>
        <v>12800</v>
      </c>
      <c r="L826" s="271">
        <v>6045.0</v>
      </c>
      <c r="M826" s="271">
        <v>750.0</v>
      </c>
      <c r="N826" s="275">
        <v>350.0</v>
      </c>
      <c r="O826" s="60"/>
      <c r="P826" s="50">
        <v>350.0</v>
      </c>
      <c r="Q826" s="271">
        <v>-259.0</v>
      </c>
      <c r="R826" s="276">
        <v>-0.0015</v>
      </c>
      <c r="S826" s="271">
        <v>-278.0</v>
      </c>
      <c r="T826" s="271">
        <v>72.0</v>
      </c>
      <c r="U826" s="62">
        <v>1.0</v>
      </c>
      <c r="V826" s="277">
        <v>0.15</v>
      </c>
      <c r="W826" s="277">
        <v>0.0</v>
      </c>
      <c r="X826" s="271">
        <v>61.0</v>
      </c>
      <c r="Y826" s="271">
        <v>11.0</v>
      </c>
      <c r="Z826" s="50" t="b">
        <v>1</v>
      </c>
      <c r="AA826" s="50" t="s">
        <v>138</v>
      </c>
      <c r="AB826" s="50" t="s">
        <v>138</v>
      </c>
    </row>
    <row r="827">
      <c r="A827" s="101" t="s">
        <v>267</v>
      </c>
      <c r="B827" s="101" t="s">
        <v>991</v>
      </c>
      <c r="C827" s="278">
        <v>44398.0</v>
      </c>
      <c r="D827" s="278">
        <v>44428.0</v>
      </c>
      <c r="E827" s="271" t="s">
        <v>268</v>
      </c>
      <c r="F827" s="138" t="s">
        <v>4</v>
      </c>
      <c r="G827" s="271" t="s">
        <v>13</v>
      </c>
      <c r="H827" s="273" t="s">
        <v>20</v>
      </c>
      <c r="I827" s="274">
        <v>1.0</v>
      </c>
      <c r="J827" s="271">
        <v>6.0</v>
      </c>
      <c r="K827" s="271">
        <f t="shared" si="1"/>
        <v>6</v>
      </c>
      <c r="L827" s="271">
        <v>-157.0</v>
      </c>
      <c r="M827" s="271">
        <v>-1.0</v>
      </c>
      <c r="N827" s="275"/>
      <c r="O827" s="60"/>
      <c r="P827" s="101"/>
      <c r="Q827" s="271">
        <v>-1.0</v>
      </c>
      <c r="R827" s="276">
        <v>-0.0015</v>
      </c>
      <c r="S827" s="271">
        <v>-1.0</v>
      </c>
      <c r="T827" s="271">
        <v>-1.0</v>
      </c>
      <c r="U827" s="62">
        <v>1.0</v>
      </c>
      <c r="V827" s="277">
        <v>0.15</v>
      </c>
      <c r="W827" s="277">
        <v>0.0</v>
      </c>
      <c r="X827" s="271">
        <v>-1.0</v>
      </c>
      <c r="Y827" s="271">
        <v>0.0</v>
      </c>
      <c r="Z827" s="50" t="b">
        <v>1</v>
      </c>
      <c r="AA827" s="50" t="s">
        <v>138</v>
      </c>
      <c r="AB827" s="50" t="s">
        <v>138</v>
      </c>
    </row>
    <row r="828">
      <c r="A828" s="101" t="s">
        <v>267</v>
      </c>
      <c r="B828" s="101" t="s">
        <v>991</v>
      </c>
      <c r="C828" s="278">
        <v>44398.0</v>
      </c>
      <c r="D828" s="278">
        <v>44428.0</v>
      </c>
      <c r="E828" s="271" t="s">
        <v>268</v>
      </c>
      <c r="F828" s="138" t="s">
        <v>4</v>
      </c>
      <c r="G828" s="271" t="s">
        <v>13</v>
      </c>
      <c r="H828" s="273" t="s">
        <v>34</v>
      </c>
      <c r="I828" s="274">
        <v>5.0</v>
      </c>
      <c r="J828" s="271">
        <v>1.0</v>
      </c>
      <c r="K828" s="271">
        <f t="shared" si="1"/>
        <v>5</v>
      </c>
      <c r="L828" s="271">
        <v>-128.0</v>
      </c>
      <c r="M828" s="271">
        <v>-5.0</v>
      </c>
      <c r="N828" s="275"/>
      <c r="O828" s="60"/>
      <c r="P828" s="101"/>
      <c r="Q828" s="271">
        <v>-2.0</v>
      </c>
      <c r="R828" s="276">
        <v>-0.0015</v>
      </c>
      <c r="S828" s="271">
        <v>-2.0</v>
      </c>
      <c r="T828" s="271">
        <v>-2.0</v>
      </c>
      <c r="U828" s="62">
        <v>1.0</v>
      </c>
      <c r="V828" s="277">
        <v>0.15</v>
      </c>
      <c r="W828" s="277">
        <v>0.0</v>
      </c>
      <c r="X828" s="271">
        <v>-2.0</v>
      </c>
      <c r="Y828" s="271">
        <v>0.0</v>
      </c>
      <c r="Z828" s="50" t="b">
        <v>1</v>
      </c>
      <c r="AA828" s="50" t="s">
        <v>138</v>
      </c>
      <c r="AB828" s="50" t="s">
        <v>138</v>
      </c>
    </row>
    <row r="829">
      <c r="A829" s="101" t="s">
        <v>267</v>
      </c>
      <c r="B829" s="101" t="s">
        <v>991</v>
      </c>
      <c r="C829" s="278">
        <v>44398.0</v>
      </c>
      <c r="D829" s="278">
        <v>44428.0</v>
      </c>
      <c r="E829" s="271" t="s">
        <v>268</v>
      </c>
      <c r="F829" s="138" t="s">
        <v>4</v>
      </c>
      <c r="G829" s="271" t="s">
        <v>13</v>
      </c>
      <c r="H829" s="273" t="s">
        <v>45</v>
      </c>
      <c r="I829" s="274">
        <v>10.0</v>
      </c>
      <c r="J829" s="271">
        <v>521.0</v>
      </c>
      <c r="K829" s="271">
        <f t="shared" si="1"/>
        <v>5210</v>
      </c>
      <c r="L829" s="271">
        <v>-1687.0</v>
      </c>
      <c r="M829" s="271">
        <v>-300.0</v>
      </c>
      <c r="N829" s="275">
        <v>122.28</v>
      </c>
      <c r="O829" s="60"/>
      <c r="P829" s="50">
        <v>122.0</v>
      </c>
      <c r="Q829" s="271">
        <v>-431.0</v>
      </c>
      <c r="R829" s="276">
        <v>-0.0015</v>
      </c>
      <c r="S829" s="271">
        <v>-438.0</v>
      </c>
      <c r="T829" s="271">
        <v>-316.0</v>
      </c>
      <c r="U829" s="62">
        <v>1.0</v>
      </c>
      <c r="V829" s="277">
        <v>0.15</v>
      </c>
      <c r="W829" s="277">
        <v>0.0</v>
      </c>
      <c r="X829" s="271">
        <v>-269.0</v>
      </c>
      <c r="Y829" s="271">
        <v>-47.0</v>
      </c>
      <c r="Z829" s="50" t="b">
        <v>1</v>
      </c>
      <c r="AA829" s="50" t="s">
        <v>138</v>
      </c>
      <c r="AB829" s="50" t="s">
        <v>138</v>
      </c>
    </row>
    <row r="830">
      <c r="A830" s="101" t="s">
        <v>267</v>
      </c>
      <c r="B830" s="101" t="s">
        <v>991</v>
      </c>
      <c r="C830" s="278">
        <v>44398.0</v>
      </c>
      <c r="D830" s="278">
        <v>44428.0</v>
      </c>
      <c r="E830" s="271" t="s">
        <v>268</v>
      </c>
      <c r="F830" s="138" t="s">
        <v>4</v>
      </c>
      <c r="G830" s="271" t="s">
        <v>13</v>
      </c>
      <c r="H830" s="273" t="s">
        <v>59</v>
      </c>
      <c r="I830" s="274">
        <v>20.0</v>
      </c>
      <c r="J830" s="271">
        <v>312.0</v>
      </c>
      <c r="K830" s="271">
        <f t="shared" si="1"/>
        <v>6240</v>
      </c>
      <c r="L830" s="271">
        <v>-3554.0</v>
      </c>
      <c r="M830" s="271">
        <v>-980.0</v>
      </c>
      <c r="N830" s="275">
        <v>146.46</v>
      </c>
      <c r="O830" s="60"/>
      <c r="P830" s="50">
        <v>146.0</v>
      </c>
      <c r="Q830" s="271">
        <v>-662.0</v>
      </c>
      <c r="R830" s="276">
        <v>-0.0015</v>
      </c>
      <c r="S830" s="271">
        <v>-671.0</v>
      </c>
      <c r="T830" s="271">
        <v>-525.0</v>
      </c>
      <c r="U830" s="62">
        <v>1.0</v>
      </c>
      <c r="V830" s="277">
        <v>0.15</v>
      </c>
      <c r="W830" s="277">
        <v>0.0</v>
      </c>
      <c r="X830" s="271">
        <v>-446.0</v>
      </c>
      <c r="Y830" s="271">
        <v>-79.0</v>
      </c>
      <c r="Z830" s="50" t="b">
        <v>1</v>
      </c>
      <c r="AA830" s="50" t="s">
        <v>138</v>
      </c>
      <c r="AB830" s="50" t="s">
        <v>138</v>
      </c>
    </row>
    <row r="831">
      <c r="A831" s="271" t="s">
        <v>144</v>
      </c>
      <c r="B831" s="271" t="s">
        <v>144</v>
      </c>
      <c r="C831" s="283">
        <v>44398.0</v>
      </c>
      <c r="D831" s="283">
        <v>44428.0</v>
      </c>
      <c r="E831" s="271" t="s">
        <v>268</v>
      </c>
      <c r="F831" s="101" t="s">
        <v>4</v>
      </c>
      <c r="G831" s="271" t="s">
        <v>9</v>
      </c>
      <c r="H831" s="273" t="s">
        <v>68</v>
      </c>
      <c r="I831" s="274">
        <v>25.0</v>
      </c>
      <c r="J831" s="271">
        <v>1895.0</v>
      </c>
      <c r="K831" s="271">
        <f t="shared" si="1"/>
        <v>47375</v>
      </c>
      <c r="L831" s="271">
        <v>111920.0</v>
      </c>
      <c r="M831" s="271">
        <v>1960.0</v>
      </c>
      <c r="N831" s="275">
        <v>150.0</v>
      </c>
      <c r="O831" s="60"/>
      <c r="P831" s="50">
        <v>150.0</v>
      </c>
      <c r="Q831" s="271">
        <v>956.0</v>
      </c>
      <c r="R831" s="276">
        <v>-0.00294</v>
      </c>
      <c r="S831" s="271">
        <v>817.0</v>
      </c>
      <c r="T831" s="271">
        <v>967.0</v>
      </c>
      <c r="U831" s="62">
        <v>1.0</v>
      </c>
      <c r="V831" s="277">
        <v>0.3</v>
      </c>
      <c r="W831" s="277">
        <v>0.0</v>
      </c>
      <c r="X831" s="271">
        <v>677.0</v>
      </c>
      <c r="Y831" s="271">
        <v>290.0</v>
      </c>
      <c r="Z831" s="50" t="b">
        <v>1</v>
      </c>
      <c r="AA831" s="50" t="s">
        <v>140</v>
      </c>
      <c r="AB831" s="50" t="s">
        <v>140</v>
      </c>
    </row>
    <row r="832">
      <c r="A832" s="101" t="s">
        <v>148</v>
      </c>
      <c r="B832" s="101" t="s">
        <v>148</v>
      </c>
      <c r="C832" s="278">
        <v>44398.0</v>
      </c>
      <c r="D832" s="278">
        <v>44428.0</v>
      </c>
      <c r="E832" s="271" t="s">
        <v>331</v>
      </c>
      <c r="F832" s="138" t="s">
        <v>4</v>
      </c>
      <c r="G832" s="101" t="s">
        <v>5</v>
      </c>
      <c r="H832" s="273" t="s">
        <v>62</v>
      </c>
      <c r="I832" s="274">
        <v>25.0</v>
      </c>
      <c r="J832" s="271">
        <v>1323.0</v>
      </c>
      <c r="K832" s="271">
        <f t="shared" si="1"/>
        <v>33075</v>
      </c>
      <c r="L832" s="271">
        <v>67344.0</v>
      </c>
      <c r="M832" s="271">
        <v>875.0</v>
      </c>
      <c r="N832" s="275">
        <v>1105.0</v>
      </c>
      <c r="O832" s="60"/>
      <c r="P832" s="109">
        <v>1105.0</v>
      </c>
      <c r="Q832" s="271">
        <v>1001.0</v>
      </c>
      <c r="R832" s="276">
        <v>-0.00294</v>
      </c>
      <c r="S832" s="271">
        <v>904.0</v>
      </c>
      <c r="T832" s="271">
        <v>2009.0</v>
      </c>
      <c r="U832" s="62">
        <v>1.0</v>
      </c>
      <c r="V832" s="277">
        <v>0.15</v>
      </c>
      <c r="W832" s="277">
        <v>0.05</v>
      </c>
      <c r="X832" s="271">
        <v>1607.0</v>
      </c>
      <c r="Y832" s="271">
        <v>402.0</v>
      </c>
      <c r="Z832" s="50" t="b">
        <v>1</v>
      </c>
      <c r="AA832" s="50" t="s">
        <v>138</v>
      </c>
      <c r="AB832" s="50" t="s">
        <v>138</v>
      </c>
    </row>
    <row r="833">
      <c r="A833" s="101" t="s">
        <v>148</v>
      </c>
      <c r="B833" s="101" t="s">
        <v>148</v>
      </c>
      <c r="C833" s="278">
        <v>44398.0</v>
      </c>
      <c r="D833" s="278">
        <v>44428.0</v>
      </c>
      <c r="E833" s="271" t="s">
        <v>331</v>
      </c>
      <c r="F833" s="138" t="s">
        <v>4</v>
      </c>
      <c r="G833" s="101" t="s">
        <v>5</v>
      </c>
      <c r="H833" s="273" t="s">
        <v>74</v>
      </c>
      <c r="I833" s="274">
        <v>50.0</v>
      </c>
      <c r="J833" s="271">
        <v>5105.0</v>
      </c>
      <c r="K833" s="271">
        <f t="shared" si="1"/>
        <v>255250</v>
      </c>
      <c r="L833" s="271">
        <v>167195.0</v>
      </c>
      <c r="M833" s="271">
        <v>-50.0</v>
      </c>
      <c r="N833" s="275">
        <v>8536.0</v>
      </c>
      <c r="O833" s="60"/>
      <c r="P833" s="109">
        <v>8536.0</v>
      </c>
      <c r="Q833" s="271">
        <v>-855.0</v>
      </c>
      <c r="R833" s="276">
        <v>-0.00294</v>
      </c>
      <c r="S833" s="271">
        <v>-1605.0</v>
      </c>
      <c r="T833" s="271">
        <v>6931.0</v>
      </c>
      <c r="U833" s="62">
        <v>1.0</v>
      </c>
      <c r="V833" s="277">
        <v>0.15</v>
      </c>
      <c r="W833" s="277">
        <v>0.05</v>
      </c>
      <c r="X833" s="271">
        <v>5545.0</v>
      </c>
      <c r="Y833" s="271">
        <v>1386.0</v>
      </c>
      <c r="Z833" s="50" t="b">
        <v>1</v>
      </c>
      <c r="AA833" s="50" t="s">
        <v>138</v>
      </c>
      <c r="AB833" s="50" t="s">
        <v>138</v>
      </c>
    </row>
    <row r="834">
      <c r="A834" s="101" t="s">
        <v>148</v>
      </c>
      <c r="B834" s="101" t="s">
        <v>148</v>
      </c>
      <c r="C834" s="278">
        <v>44398.0</v>
      </c>
      <c r="D834" s="278">
        <v>44428.0</v>
      </c>
      <c r="E834" s="271" t="s">
        <v>331</v>
      </c>
      <c r="F834" s="138" t="s">
        <v>4</v>
      </c>
      <c r="G834" s="101" t="s">
        <v>5</v>
      </c>
      <c r="H834" s="273" t="s">
        <v>85</v>
      </c>
      <c r="I834" s="274">
        <v>100.0</v>
      </c>
      <c r="J834" s="271">
        <v>6.0</v>
      </c>
      <c r="K834" s="271">
        <f t="shared" si="1"/>
        <v>600</v>
      </c>
      <c r="L834" s="271">
        <v>1373.0</v>
      </c>
      <c r="M834" s="271">
        <v>500.0</v>
      </c>
      <c r="N834" s="275">
        <v>17.0</v>
      </c>
      <c r="O834" s="60"/>
      <c r="P834" s="50">
        <v>17.0</v>
      </c>
      <c r="Q834" s="271">
        <v>225.0</v>
      </c>
      <c r="R834" s="276">
        <v>-0.00294</v>
      </c>
      <c r="S834" s="271">
        <v>223.0</v>
      </c>
      <c r="T834" s="271">
        <v>240.0</v>
      </c>
      <c r="U834" s="62">
        <v>1.0</v>
      </c>
      <c r="V834" s="277">
        <v>0.15</v>
      </c>
      <c r="W834" s="277">
        <v>0.05</v>
      </c>
      <c r="X834" s="271">
        <v>192.0</v>
      </c>
      <c r="Y834" s="271">
        <v>48.0</v>
      </c>
      <c r="Z834" s="50" t="b">
        <v>1</v>
      </c>
      <c r="AA834" s="50" t="s">
        <v>138</v>
      </c>
      <c r="AB834" s="50" t="s">
        <v>138</v>
      </c>
    </row>
    <row r="835">
      <c r="A835" s="101" t="s">
        <v>182</v>
      </c>
      <c r="B835" s="280">
        <v>66.5622</v>
      </c>
      <c r="C835" s="283">
        <v>44398.0</v>
      </c>
      <c r="D835" s="283">
        <v>44428.0</v>
      </c>
      <c r="E835" s="280" t="s">
        <v>268</v>
      </c>
      <c r="F835" s="138" t="s">
        <v>4</v>
      </c>
      <c r="G835" s="280" t="s">
        <v>9</v>
      </c>
      <c r="H835" s="273" t="s">
        <v>55</v>
      </c>
      <c r="I835" s="281">
        <v>10.0</v>
      </c>
      <c r="J835" s="280">
        <v>88.0</v>
      </c>
      <c r="K835" s="271">
        <f t="shared" si="1"/>
        <v>880</v>
      </c>
      <c r="L835" s="280">
        <v>639.0</v>
      </c>
      <c r="M835" s="280">
        <v>117.0</v>
      </c>
      <c r="N835" s="282">
        <v>19.63</v>
      </c>
      <c r="O835" s="60"/>
      <c r="P835" s="50">
        <v>20.0</v>
      </c>
      <c r="Q835" s="280">
        <v>-65.0</v>
      </c>
      <c r="R835" s="276">
        <v>-0.00294</v>
      </c>
      <c r="S835" s="280">
        <v>-68.0</v>
      </c>
      <c r="T835" s="280">
        <v>-48.0</v>
      </c>
      <c r="U835" s="62">
        <v>1.17</v>
      </c>
      <c r="V835" s="277">
        <v>0.2</v>
      </c>
      <c r="W835" s="277">
        <v>0.0</v>
      </c>
      <c r="X835" s="280">
        <v>-45.0</v>
      </c>
      <c r="Y835" s="280">
        <v>-11.0</v>
      </c>
      <c r="Z835" s="50" t="b">
        <v>1</v>
      </c>
      <c r="AA835" s="50" t="s">
        <v>138</v>
      </c>
      <c r="AB835" s="50" t="s">
        <v>138</v>
      </c>
    </row>
    <row r="836">
      <c r="A836" s="101" t="s">
        <v>182</v>
      </c>
      <c r="B836" s="280">
        <v>66.5622</v>
      </c>
      <c r="C836" s="283">
        <v>44398.0</v>
      </c>
      <c r="D836" s="283">
        <v>44428.0</v>
      </c>
      <c r="E836" s="280" t="s">
        <v>268</v>
      </c>
      <c r="F836" s="138" t="s">
        <v>4</v>
      </c>
      <c r="G836" s="280" t="s">
        <v>9</v>
      </c>
      <c r="H836" s="273" t="s">
        <v>68</v>
      </c>
      <c r="I836" s="281">
        <v>25.0</v>
      </c>
      <c r="J836" s="280">
        <v>58.0</v>
      </c>
      <c r="K836" s="271">
        <f t="shared" si="1"/>
        <v>1450</v>
      </c>
      <c r="L836" s="280">
        <v>-4600.0</v>
      </c>
      <c r="M836" s="280">
        <v>88.0</v>
      </c>
      <c r="N836" s="282">
        <v>0.37</v>
      </c>
      <c r="O836" s="60"/>
      <c r="P836" s="50">
        <v>0.0</v>
      </c>
      <c r="Q836" s="280">
        <v>-336.0</v>
      </c>
      <c r="R836" s="276">
        <v>-0.00294</v>
      </c>
      <c r="S836" s="280">
        <v>-340.0</v>
      </c>
      <c r="T836" s="280">
        <v>-340.0</v>
      </c>
      <c r="U836" s="62">
        <v>1.17</v>
      </c>
      <c r="V836" s="277">
        <v>0.2</v>
      </c>
      <c r="W836" s="277">
        <v>0.0</v>
      </c>
      <c r="X836" s="280">
        <v>-318.0</v>
      </c>
      <c r="Y836" s="280">
        <v>-80.0</v>
      </c>
      <c r="Z836" s="50" t="b">
        <v>1</v>
      </c>
      <c r="AA836" s="50" t="s">
        <v>138</v>
      </c>
      <c r="AB836" s="50" t="s">
        <v>138</v>
      </c>
    </row>
    <row r="837">
      <c r="A837" s="101" t="s">
        <v>182</v>
      </c>
      <c r="B837" s="101" t="s">
        <v>182</v>
      </c>
      <c r="C837" s="283">
        <v>44398.0</v>
      </c>
      <c r="D837" s="283">
        <v>44428.0</v>
      </c>
      <c r="E837" s="280" t="s">
        <v>268</v>
      </c>
      <c r="F837" s="138" t="s">
        <v>4</v>
      </c>
      <c r="G837" s="271" t="s">
        <v>5</v>
      </c>
      <c r="H837" s="273" t="s">
        <v>45</v>
      </c>
      <c r="I837" s="274">
        <v>10.0</v>
      </c>
      <c r="J837" s="271">
        <v>1355.0</v>
      </c>
      <c r="K837" s="271">
        <f t="shared" si="1"/>
        <v>13550</v>
      </c>
      <c r="L837" s="271">
        <v>56513.0</v>
      </c>
      <c r="M837" s="271">
        <v>540.0</v>
      </c>
      <c r="N837" s="275">
        <v>535.0</v>
      </c>
      <c r="O837" s="60"/>
      <c r="P837" s="50">
        <v>535.0</v>
      </c>
      <c r="Q837" s="271">
        <v>33.0</v>
      </c>
      <c r="R837" s="276">
        <v>-0.00294</v>
      </c>
      <c r="S837" s="271">
        <v>-7.0</v>
      </c>
      <c r="T837" s="271">
        <v>528.0</v>
      </c>
      <c r="U837" s="62">
        <v>1.0</v>
      </c>
      <c r="V837" s="277">
        <v>0.2</v>
      </c>
      <c r="W837" s="277">
        <v>0.0</v>
      </c>
      <c r="X837" s="271">
        <v>422.0</v>
      </c>
      <c r="Y837" s="271">
        <v>106.0</v>
      </c>
      <c r="Z837" s="50" t="b">
        <v>1</v>
      </c>
      <c r="AA837" s="50" t="s">
        <v>138</v>
      </c>
      <c r="AB837" s="50" t="s">
        <v>138</v>
      </c>
    </row>
    <row r="838">
      <c r="A838" s="101" t="s">
        <v>182</v>
      </c>
      <c r="B838" s="101" t="s">
        <v>182</v>
      </c>
      <c r="C838" s="283">
        <v>44398.0</v>
      </c>
      <c r="D838" s="283">
        <v>44428.0</v>
      </c>
      <c r="E838" s="280" t="s">
        <v>268</v>
      </c>
      <c r="F838" s="138" t="s">
        <v>4</v>
      </c>
      <c r="G838" s="271" t="s">
        <v>5</v>
      </c>
      <c r="H838" s="273" t="s">
        <v>62</v>
      </c>
      <c r="I838" s="274">
        <v>25.0</v>
      </c>
      <c r="J838" s="271">
        <v>826.0</v>
      </c>
      <c r="K838" s="271">
        <f t="shared" si="1"/>
        <v>20650</v>
      </c>
      <c r="L838" s="271">
        <v>13138.0</v>
      </c>
      <c r="M838" s="271">
        <v>-250.0</v>
      </c>
      <c r="N838" s="275">
        <v>699.0</v>
      </c>
      <c r="O838" s="60"/>
      <c r="P838" s="50">
        <v>699.0</v>
      </c>
      <c r="Q838" s="271">
        <v>-735.0</v>
      </c>
      <c r="R838" s="276">
        <v>-0.00294</v>
      </c>
      <c r="S838" s="271">
        <v>-795.0</v>
      </c>
      <c r="T838" s="271">
        <v>-96.0</v>
      </c>
      <c r="U838" s="62">
        <v>1.0</v>
      </c>
      <c r="V838" s="277">
        <v>0.2</v>
      </c>
      <c r="W838" s="277">
        <v>0.0</v>
      </c>
      <c r="X838" s="271">
        <v>-77.0</v>
      </c>
      <c r="Y838" s="271">
        <v>-19.0</v>
      </c>
      <c r="Z838" s="50" t="b">
        <v>1</v>
      </c>
      <c r="AA838" s="50" t="s">
        <v>138</v>
      </c>
      <c r="AB838" s="50" t="s">
        <v>138</v>
      </c>
    </row>
    <row r="839">
      <c r="A839" s="280" t="s">
        <v>345</v>
      </c>
      <c r="B839" s="280" t="s">
        <v>992</v>
      </c>
      <c r="C839" s="283">
        <v>44398.0</v>
      </c>
      <c r="D839" s="283">
        <v>44428.0</v>
      </c>
      <c r="E839" s="280" t="s">
        <v>331</v>
      </c>
      <c r="F839" s="138" t="s">
        <v>4</v>
      </c>
      <c r="G839" s="280" t="s">
        <v>9</v>
      </c>
      <c r="H839" s="273" t="s">
        <v>68</v>
      </c>
      <c r="I839" s="281">
        <v>25.0</v>
      </c>
      <c r="J839" s="280">
        <v>956.0</v>
      </c>
      <c r="K839" s="271">
        <f t="shared" si="1"/>
        <v>23900</v>
      </c>
      <c r="L839" s="280">
        <v>68830.0</v>
      </c>
      <c r="M839" s="280">
        <v>1521.0</v>
      </c>
      <c r="N839" s="282">
        <v>434.35</v>
      </c>
      <c r="O839" s="60"/>
      <c r="P839" s="50">
        <v>434.0</v>
      </c>
      <c r="Q839" s="280">
        <v>1045.0</v>
      </c>
      <c r="R839" s="276">
        <v>-0.00294</v>
      </c>
      <c r="S839" s="280">
        <v>975.0</v>
      </c>
      <c r="T839" s="280">
        <v>1409.0</v>
      </c>
      <c r="U839" s="62">
        <v>1.17</v>
      </c>
      <c r="V839" s="277">
        <v>0.15</v>
      </c>
      <c r="W839" s="277">
        <v>0.05</v>
      </c>
      <c r="X839" s="280">
        <v>1319.0</v>
      </c>
      <c r="Y839" s="280">
        <v>330.0</v>
      </c>
      <c r="Z839" s="50" t="b">
        <v>1</v>
      </c>
      <c r="AA839" s="50" t="s">
        <v>138</v>
      </c>
      <c r="AB839" s="50" t="s">
        <v>140</v>
      </c>
    </row>
    <row r="840">
      <c r="A840" s="280" t="s">
        <v>345</v>
      </c>
      <c r="B840" s="280" t="s">
        <v>992</v>
      </c>
      <c r="C840" s="283">
        <v>44398.0</v>
      </c>
      <c r="D840" s="283">
        <v>44428.0</v>
      </c>
      <c r="E840" s="280" t="s">
        <v>331</v>
      </c>
      <c r="F840" s="138" t="s">
        <v>4</v>
      </c>
      <c r="G840" s="280" t="s">
        <v>9</v>
      </c>
      <c r="H840" s="273" t="s">
        <v>80</v>
      </c>
      <c r="I840" s="281">
        <v>50.0</v>
      </c>
      <c r="J840" s="280">
        <v>1767.0</v>
      </c>
      <c r="K840" s="271">
        <f t="shared" si="1"/>
        <v>88350</v>
      </c>
      <c r="L840" s="280">
        <v>73395.0</v>
      </c>
      <c r="M840" s="280">
        <v>-2223.0</v>
      </c>
      <c r="N840" s="282">
        <v>1605.65</v>
      </c>
      <c r="O840" s="60"/>
      <c r="P840" s="109">
        <v>1606.0</v>
      </c>
      <c r="Q840" s="280">
        <v>-1035.0</v>
      </c>
      <c r="R840" s="276">
        <v>-0.00294</v>
      </c>
      <c r="S840" s="280">
        <v>-1295.0</v>
      </c>
      <c r="T840" s="280">
        <v>311.0</v>
      </c>
      <c r="U840" s="62">
        <v>1.17</v>
      </c>
      <c r="V840" s="277">
        <v>0.15</v>
      </c>
      <c r="W840" s="277">
        <v>0.05</v>
      </c>
      <c r="X840" s="280">
        <v>291.0</v>
      </c>
      <c r="Y840" s="280">
        <v>73.0</v>
      </c>
      <c r="Z840" s="50" t="b">
        <v>1</v>
      </c>
      <c r="AA840" s="50" t="s">
        <v>138</v>
      </c>
      <c r="AB840" s="50" t="s">
        <v>140</v>
      </c>
    </row>
    <row r="841">
      <c r="A841" s="101" t="s">
        <v>416</v>
      </c>
      <c r="B841" s="101" t="s">
        <v>416</v>
      </c>
      <c r="C841" s="278">
        <v>44398.0</v>
      </c>
      <c r="D841" s="278">
        <v>44428.0</v>
      </c>
      <c r="E841" s="271" t="s">
        <v>268</v>
      </c>
      <c r="F841" s="138" t="s">
        <v>4</v>
      </c>
      <c r="G841" s="101" t="s">
        <v>22</v>
      </c>
      <c r="H841" s="273" t="s">
        <v>51</v>
      </c>
      <c r="I841" s="274">
        <v>10.0</v>
      </c>
      <c r="J841" s="271">
        <v>2548.0</v>
      </c>
      <c r="K841" s="271">
        <f t="shared" si="1"/>
        <v>25480</v>
      </c>
      <c r="L841" s="271">
        <v>180845.0</v>
      </c>
      <c r="M841" s="271">
        <v>960.0</v>
      </c>
      <c r="N841" s="275"/>
      <c r="O841" s="60"/>
      <c r="P841" s="101"/>
      <c r="Q841" s="271">
        <v>1383.0</v>
      </c>
      <c r="R841" s="276">
        <v>-0.00294</v>
      </c>
      <c r="S841" s="271">
        <v>1308.0</v>
      </c>
      <c r="T841" s="271">
        <v>1308.0</v>
      </c>
      <c r="U841" s="62">
        <v>1.17</v>
      </c>
      <c r="V841" s="277">
        <v>0.25</v>
      </c>
      <c r="W841" s="277">
        <v>0.0</v>
      </c>
      <c r="X841" s="271">
        <v>1147.0</v>
      </c>
      <c r="Y841" s="271">
        <v>382.0</v>
      </c>
      <c r="Z841" s="50" t="b">
        <v>1</v>
      </c>
      <c r="AA841" s="50" t="s">
        <v>138</v>
      </c>
      <c r="AB841" s="50" t="s">
        <v>140</v>
      </c>
    </row>
    <row r="842">
      <c r="A842" s="280" t="s">
        <v>150</v>
      </c>
      <c r="B842" s="280" t="s">
        <v>150</v>
      </c>
      <c r="C842" s="283">
        <v>44398.0</v>
      </c>
      <c r="D842" s="283">
        <v>44428.0</v>
      </c>
      <c r="E842" s="280" t="s">
        <v>268</v>
      </c>
      <c r="F842" s="138" t="s">
        <v>4</v>
      </c>
      <c r="G842" s="280" t="s">
        <v>9</v>
      </c>
      <c r="H842" s="273" t="s">
        <v>55</v>
      </c>
      <c r="I842" s="281">
        <v>10.0</v>
      </c>
      <c r="J842" s="280">
        <v>1286.0</v>
      </c>
      <c r="K842" s="271">
        <f t="shared" si="1"/>
        <v>12860</v>
      </c>
      <c r="L842" s="280">
        <v>85613.0</v>
      </c>
      <c r="M842" s="280">
        <v>702.0</v>
      </c>
      <c r="N842" s="282">
        <v>255.0</v>
      </c>
      <c r="O842" s="60"/>
      <c r="P842" s="50">
        <v>255.0</v>
      </c>
      <c r="Q842" s="280">
        <v>436.0</v>
      </c>
      <c r="R842" s="276">
        <v>-0.00294</v>
      </c>
      <c r="S842" s="280">
        <v>399.0</v>
      </c>
      <c r="T842" s="280">
        <v>654.0</v>
      </c>
      <c r="U842" s="62">
        <v>1.0</v>
      </c>
      <c r="V842" s="277">
        <v>0.3</v>
      </c>
      <c r="W842" s="277">
        <v>0.0</v>
      </c>
      <c r="X842" s="280">
        <v>458.0</v>
      </c>
      <c r="Y842" s="280">
        <v>196.0</v>
      </c>
      <c r="Z842" s="50" t="b">
        <v>1</v>
      </c>
      <c r="AA842" s="50" t="s">
        <v>140</v>
      </c>
      <c r="AB842" s="50" t="s">
        <v>140</v>
      </c>
    </row>
    <row r="843">
      <c r="A843" s="101" t="s">
        <v>505</v>
      </c>
      <c r="B843" s="271" t="s">
        <v>166</v>
      </c>
      <c r="C843" s="278">
        <v>44398.0</v>
      </c>
      <c r="D843" s="278">
        <v>44428.0</v>
      </c>
      <c r="E843" s="271" t="s">
        <v>268</v>
      </c>
      <c r="F843" s="101" t="s">
        <v>4</v>
      </c>
      <c r="G843" s="271" t="s">
        <v>5</v>
      </c>
      <c r="H843" s="273" t="s">
        <v>35</v>
      </c>
      <c r="I843" s="274">
        <v>5.0</v>
      </c>
      <c r="J843" s="271">
        <v>1354.0</v>
      </c>
      <c r="K843" s="271">
        <f t="shared" si="1"/>
        <v>6770</v>
      </c>
      <c r="L843" s="271">
        <v>47739.0</v>
      </c>
      <c r="M843" s="271">
        <v>-390.0</v>
      </c>
      <c r="N843" s="275">
        <v>200.0</v>
      </c>
      <c r="O843" s="60"/>
      <c r="P843" s="50">
        <v>200.0</v>
      </c>
      <c r="Q843" s="271">
        <v>-165.0</v>
      </c>
      <c r="R843" s="276">
        <v>-0.00294</v>
      </c>
      <c r="S843" s="271">
        <v>-185.0</v>
      </c>
      <c r="T843" s="271">
        <v>15.0</v>
      </c>
      <c r="U843" s="62">
        <v>1.0</v>
      </c>
      <c r="V843" s="277">
        <v>0.3</v>
      </c>
      <c r="W843" s="277">
        <v>0.0</v>
      </c>
      <c r="X843" s="271">
        <v>11.0</v>
      </c>
      <c r="Y843" s="271">
        <v>5.0</v>
      </c>
      <c r="Z843" s="50" t="b">
        <v>1</v>
      </c>
      <c r="AA843" s="50" t="s">
        <v>138</v>
      </c>
      <c r="AB843" s="50" t="s">
        <v>138</v>
      </c>
    </row>
    <row r="844">
      <c r="A844" s="280" t="s">
        <v>199</v>
      </c>
      <c r="B844" s="280" t="s">
        <v>199</v>
      </c>
      <c r="C844" s="283">
        <v>44398.0</v>
      </c>
      <c r="D844" s="283">
        <v>44428.0</v>
      </c>
      <c r="E844" s="280" t="s">
        <v>268</v>
      </c>
      <c r="F844" s="138" t="s">
        <v>4</v>
      </c>
      <c r="G844" s="280" t="s">
        <v>9</v>
      </c>
      <c r="H844" s="273" t="s">
        <v>55</v>
      </c>
      <c r="I844" s="281">
        <v>10.0</v>
      </c>
      <c r="J844" s="280">
        <v>1019.0</v>
      </c>
      <c r="K844" s="271">
        <f t="shared" si="1"/>
        <v>10190</v>
      </c>
      <c r="L844" s="280">
        <v>52503.0</v>
      </c>
      <c r="M844" s="280">
        <v>-257.0</v>
      </c>
      <c r="N844" s="282">
        <v>0.0</v>
      </c>
      <c r="O844" s="60"/>
      <c r="P844" s="50">
        <v>0.0</v>
      </c>
      <c r="Q844" s="280">
        <v>63.0</v>
      </c>
      <c r="R844" s="276">
        <v>-0.00294</v>
      </c>
      <c r="S844" s="280">
        <v>33.0</v>
      </c>
      <c r="T844" s="280">
        <v>33.0</v>
      </c>
      <c r="U844" s="62">
        <v>1.0</v>
      </c>
      <c r="V844" s="277">
        <v>0.2</v>
      </c>
      <c r="W844" s="277">
        <v>0.0</v>
      </c>
      <c r="X844" s="280">
        <v>26.0</v>
      </c>
      <c r="Y844" s="280">
        <v>7.0</v>
      </c>
      <c r="Z844" s="50" t="b">
        <v>1</v>
      </c>
      <c r="AA844" s="50" t="s">
        <v>140</v>
      </c>
      <c r="AB844" s="50" t="s">
        <v>140</v>
      </c>
    </row>
    <row r="845">
      <c r="A845" s="101" t="s">
        <v>546</v>
      </c>
      <c r="B845" s="101" t="s">
        <v>202</v>
      </c>
      <c r="C845" s="278">
        <v>44398.0</v>
      </c>
      <c r="D845" s="278">
        <v>44428.0</v>
      </c>
      <c r="E845" s="271" t="s">
        <v>331</v>
      </c>
      <c r="F845" s="138" t="s">
        <v>4</v>
      </c>
      <c r="G845" s="271" t="s">
        <v>13</v>
      </c>
      <c r="H845" s="273" t="s">
        <v>59</v>
      </c>
      <c r="I845" s="274">
        <v>20.0</v>
      </c>
      <c r="J845" s="271">
        <v>997.0</v>
      </c>
      <c r="K845" s="271">
        <f t="shared" si="1"/>
        <v>19940</v>
      </c>
      <c r="L845" s="271">
        <v>15922.0</v>
      </c>
      <c r="M845" s="271">
        <v>-1180.0</v>
      </c>
      <c r="N845" s="275">
        <v>1231.87</v>
      </c>
      <c r="O845" s="60"/>
      <c r="P845" s="109">
        <v>1232.0</v>
      </c>
      <c r="Q845" s="271">
        <v>-546.0</v>
      </c>
      <c r="R845" s="276">
        <v>-0.00294</v>
      </c>
      <c r="S845" s="271">
        <v>-605.0</v>
      </c>
      <c r="T845" s="271">
        <v>627.0</v>
      </c>
      <c r="U845" s="62">
        <v>1.0</v>
      </c>
      <c r="V845" s="277">
        <v>0.135</v>
      </c>
      <c r="W845" s="277">
        <v>0.045</v>
      </c>
      <c r="X845" s="271">
        <v>514.0</v>
      </c>
      <c r="Y845" s="271">
        <v>113.0</v>
      </c>
      <c r="Z845" s="50" t="b">
        <v>1</v>
      </c>
      <c r="AA845" s="50" t="s">
        <v>138</v>
      </c>
      <c r="AB845" s="50" t="s">
        <v>138</v>
      </c>
    </row>
    <row r="846">
      <c r="A846" s="101" t="s">
        <v>546</v>
      </c>
      <c r="B846" s="101" t="s">
        <v>202</v>
      </c>
      <c r="C846" s="278">
        <v>44398.0</v>
      </c>
      <c r="D846" s="278">
        <v>44428.0</v>
      </c>
      <c r="E846" s="271" t="s">
        <v>331</v>
      </c>
      <c r="F846" s="138" t="s">
        <v>4</v>
      </c>
      <c r="G846" s="271" t="s">
        <v>13</v>
      </c>
      <c r="H846" s="273" t="s">
        <v>74</v>
      </c>
      <c r="I846" s="274">
        <v>50.0</v>
      </c>
      <c r="J846" s="271">
        <v>10272.0</v>
      </c>
      <c r="K846" s="271">
        <f t="shared" si="1"/>
        <v>513600</v>
      </c>
      <c r="L846" s="271">
        <v>132888.0</v>
      </c>
      <c r="M846" s="271">
        <v>-7750.0</v>
      </c>
      <c r="N846" s="275">
        <f>31472.13+590</f>
        <v>32062.13</v>
      </c>
      <c r="O846" s="60"/>
      <c r="P846" s="109">
        <v>32062.0</v>
      </c>
      <c r="Q846" s="271">
        <v>-18589.0</v>
      </c>
      <c r="R846" s="276">
        <v>-0.00294</v>
      </c>
      <c r="S846" s="271">
        <v>-20099.0</v>
      </c>
      <c r="T846" s="271">
        <v>11963.0</v>
      </c>
      <c r="U846" s="62">
        <v>1.0</v>
      </c>
      <c r="V846" s="277">
        <v>0.135</v>
      </c>
      <c r="W846" s="277">
        <v>0.045</v>
      </c>
      <c r="X846" s="271">
        <v>9809.0</v>
      </c>
      <c r="Y846" s="271">
        <v>2153.0</v>
      </c>
      <c r="Z846" s="50" t="b">
        <v>1</v>
      </c>
      <c r="AA846" s="50" t="s">
        <v>138</v>
      </c>
      <c r="AB846" s="50" t="s">
        <v>138</v>
      </c>
    </row>
    <row r="847">
      <c r="A847" s="101" t="s">
        <v>546</v>
      </c>
      <c r="B847" s="101" t="s">
        <v>546</v>
      </c>
      <c r="C847" s="278">
        <v>44398.0</v>
      </c>
      <c r="D847" s="278">
        <v>44428.0</v>
      </c>
      <c r="E847" s="271" t="s">
        <v>331</v>
      </c>
      <c r="F847" s="138" t="s">
        <v>4</v>
      </c>
      <c r="G847" s="101" t="s">
        <v>5</v>
      </c>
      <c r="H847" s="273" t="s">
        <v>85</v>
      </c>
      <c r="I847" s="274">
        <v>100.0</v>
      </c>
      <c r="J847" s="271">
        <v>263.0</v>
      </c>
      <c r="K847" s="271">
        <f t="shared" si="1"/>
        <v>26300</v>
      </c>
      <c r="L847" s="271">
        <v>-89.0</v>
      </c>
      <c r="M847" s="271">
        <v>-2800.0</v>
      </c>
      <c r="N847" s="275">
        <v>82.0</v>
      </c>
      <c r="O847" s="60"/>
      <c r="P847" s="50">
        <v>82.0</v>
      </c>
      <c r="Q847" s="271">
        <v>-1437.0</v>
      </c>
      <c r="R847" s="276">
        <v>-0.00294</v>
      </c>
      <c r="S847" s="271">
        <v>-1514.0</v>
      </c>
      <c r="T847" s="271">
        <v>-1432.0</v>
      </c>
      <c r="U847" s="62">
        <v>1.0</v>
      </c>
      <c r="V847" s="277">
        <v>0.135</v>
      </c>
      <c r="W847" s="277">
        <v>0.045</v>
      </c>
      <c r="X847" s="271">
        <v>-1174.0</v>
      </c>
      <c r="Y847" s="271">
        <v>-258.0</v>
      </c>
      <c r="Z847" s="50" t="b">
        <v>1</v>
      </c>
      <c r="AA847" s="50" t="s">
        <v>138</v>
      </c>
      <c r="AB847" s="50" t="s">
        <v>138</v>
      </c>
    </row>
    <row r="848">
      <c r="A848" s="101" t="s">
        <v>546</v>
      </c>
      <c r="B848" s="101" t="s">
        <v>546</v>
      </c>
      <c r="C848" s="278">
        <v>44398.0</v>
      </c>
      <c r="D848" s="278">
        <v>44428.0</v>
      </c>
      <c r="E848" s="271" t="s">
        <v>331</v>
      </c>
      <c r="F848" s="138" t="s">
        <v>12</v>
      </c>
      <c r="G848" s="101" t="s">
        <v>5</v>
      </c>
      <c r="H848" s="273" t="s">
        <v>62</v>
      </c>
      <c r="I848" s="274">
        <v>25.0</v>
      </c>
      <c r="J848" s="271">
        <v>3.0</v>
      </c>
      <c r="K848" s="271">
        <f t="shared" si="1"/>
        <v>75</v>
      </c>
      <c r="L848" s="271"/>
      <c r="M848" s="271">
        <v>-25.0</v>
      </c>
      <c r="N848" s="275"/>
      <c r="O848" s="60"/>
      <c r="P848" s="101"/>
      <c r="Q848" s="271"/>
      <c r="R848" s="276">
        <v>0.0</v>
      </c>
      <c r="S848" s="271"/>
      <c r="T848" s="271">
        <v>-25.0</v>
      </c>
      <c r="U848" s="62">
        <v>1.0</v>
      </c>
      <c r="V848" s="277">
        <v>0.135</v>
      </c>
      <c r="W848" s="277">
        <v>0.045</v>
      </c>
      <c r="X848" s="271">
        <v>-21.0</v>
      </c>
      <c r="Y848" s="271">
        <v>-5.0</v>
      </c>
      <c r="Z848" s="50" t="b">
        <v>1</v>
      </c>
      <c r="AA848" s="50" t="s">
        <v>138</v>
      </c>
      <c r="AB848" s="50" t="s">
        <v>138</v>
      </c>
    </row>
    <row r="849">
      <c r="A849" s="101" t="s">
        <v>160</v>
      </c>
      <c r="B849" s="101" t="s">
        <v>160</v>
      </c>
      <c r="C849" s="278">
        <v>44398.0</v>
      </c>
      <c r="D849" s="278">
        <v>44428.0</v>
      </c>
      <c r="E849" s="271" t="s">
        <v>268</v>
      </c>
      <c r="F849" s="138" t="s">
        <v>4</v>
      </c>
      <c r="G849" s="101" t="s">
        <v>5</v>
      </c>
      <c r="H849" s="273" t="s">
        <v>45</v>
      </c>
      <c r="I849" s="274">
        <v>10.0</v>
      </c>
      <c r="J849" s="271">
        <v>1504.0</v>
      </c>
      <c r="K849" s="271">
        <f t="shared" si="1"/>
        <v>15040</v>
      </c>
      <c r="L849" s="271">
        <v>55554.0</v>
      </c>
      <c r="M849" s="271">
        <v>-190.0</v>
      </c>
      <c r="N849" s="275">
        <v>52.0</v>
      </c>
      <c r="O849" s="60"/>
      <c r="P849" s="50">
        <v>52.0</v>
      </c>
      <c r="Q849" s="271">
        <v>-97.0</v>
      </c>
      <c r="R849" s="276">
        <v>-0.00294</v>
      </c>
      <c r="S849" s="271">
        <v>-141.0</v>
      </c>
      <c r="T849" s="271">
        <v>-89.0</v>
      </c>
      <c r="U849" s="62">
        <v>1.0</v>
      </c>
      <c r="V849" s="277">
        <v>0.3</v>
      </c>
      <c r="W849" s="277">
        <v>0.0</v>
      </c>
      <c r="X849" s="271">
        <v>-62.0</v>
      </c>
      <c r="Y849" s="271">
        <v>-27.0</v>
      </c>
      <c r="Z849" s="50" t="b">
        <v>1</v>
      </c>
      <c r="AA849" s="50" t="s">
        <v>138</v>
      </c>
      <c r="AB849" s="50" t="s">
        <v>138</v>
      </c>
    </row>
    <row r="850">
      <c r="A850" s="101" t="s">
        <v>207</v>
      </c>
      <c r="B850" s="101" t="s">
        <v>208</v>
      </c>
      <c r="C850" s="278">
        <v>44398.0</v>
      </c>
      <c r="D850" s="278">
        <v>44428.0</v>
      </c>
      <c r="E850" s="271" t="s">
        <v>268</v>
      </c>
      <c r="F850" s="138" t="s">
        <v>4</v>
      </c>
      <c r="G850" s="101" t="s">
        <v>13</v>
      </c>
      <c r="H850" s="273" t="s">
        <v>32</v>
      </c>
      <c r="I850" s="274">
        <v>3.0</v>
      </c>
      <c r="J850" s="271">
        <v>845.0</v>
      </c>
      <c r="K850" s="271">
        <f t="shared" si="1"/>
        <v>2535</v>
      </c>
      <c r="L850" s="271">
        <v>25106.0</v>
      </c>
      <c r="M850" s="271">
        <v>171.0</v>
      </c>
      <c r="N850" s="275">
        <v>65.58</v>
      </c>
      <c r="O850" s="60"/>
      <c r="P850" s="50">
        <v>66.0</v>
      </c>
      <c r="Q850" s="271">
        <v>31.0</v>
      </c>
      <c r="R850" s="276">
        <v>-0.00294</v>
      </c>
      <c r="S850" s="271">
        <v>23.0</v>
      </c>
      <c r="T850" s="271">
        <v>89.0</v>
      </c>
      <c r="U850" s="62">
        <v>1.0</v>
      </c>
      <c r="V850" s="277">
        <v>0.22</v>
      </c>
      <c r="W850" s="277">
        <v>0.0</v>
      </c>
      <c r="X850" s="271">
        <v>69.0</v>
      </c>
      <c r="Y850" s="271">
        <v>20.0</v>
      </c>
      <c r="Z850" s="50" t="b">
        <v>1</v>
      </c>
      <c r="AA850" s="50" t="s">
        <v>138</v>
      </c>
      <c r="AB850" s="50" t="s">
        <v>138</v>
      </c>
    </row>
    <row r="851">
      <c r="A851" s="101" t="s">
        <v>207</v>
      </c>
      <c r="B851" s="101" t="s">
        <v>208</v>
      </c>
      <c r="C851" s="278">
        <v>44398.0</v>
      </c>
      <c r="D851" s="278">
        <v>44428.0</v>
      </c>
      <c r="E851" s="271" t="s">
        <v>268</v>
      </c>
      <c r="F851" s="138" t="s">
        <v>4</v>
      </c>
      <c r="G851" s="101" t="s">
        <v>13</v>
      </c>
      <c r="H851" s="273" t="s">
        <v>34</v>
      </c>
      <c r="I851" s="274">
        <v>5.0</v>
      </c>
      <c r="J851" s="271">
        <v>5525.0</v>
      </c>
      <c r="K851" s="271">
        <f t="shared" si="1"/>
        <v>27625</v>
      </c>
      <c r="L851" s="271">
        <v>84365.0</v>
      </c>
      <c r="M851" s="271">
        <v>-685.0</v>
      </c>
      <c r="N851" s="275">
        <v>714.63</v>
      </c>
      <c r="O851" s="60"/>
      <c r="P851" s="50">
        <v>715.0</v>
      </c>
      <c r="Q851" s="271">
        <v>-822.0</v>
      </c>
      <c r="R851" s="276">
        <v>-0.00294</v>
      </c>
      <c r="S851" s="271">
        <v>-904.0</v>
      </c>
      <c r="T851" s="271">
        <v>-189.0</v>
      </c>
      <c r="U851" s="62">
        <v>1.0</v>
      </c>
      <c r="V851" s="277">
        <v>0.22</v>
      </c>
      <c r="W851" s="277">
        <v>0.0</v>
      </c>
      <c r="X851" s="271">
        <v>-147.0</v>
      </c>
      <c r="Y851" s="271">
        <v>-42.0</v>
      </c>
      <c r="Z851" s="50" t="b">
        <v>1</v>
      </c>
      <c r="AA851" s="50" t="s">
        <v>138</v>
      </c>
      <c r="AB851" s="50" t="s">
        <v>138</v>
      </c>
    </row>
    <row r="852">
      <c r="A852" s="101" t="s">
        <v>207</v>
      </c>
      <c r="B852" s="101" t="s">
        <v>208</v>
      </c>
      <c r="C852" s="278">
        <v>44398.0</v>
      </c>
      <c r="D852" s="278">
        <v>44428.0</v>
      </c>
      <c r="E852" s="271" t="s">
        <v>268</v>
      </c>
      <c r="F852" s="138" t="s">
        <v>4</v>
      </c>
      <c r="G852" s="101" t="s">
        <v>13</v>
      </c>
      <c r="H852" s="273" t="s">
        <v>45</v>
      </c>
      <c r="I852" s="274">
        <v>10.0</v>
      </c>
      <c r="J852" s="271">
        <v>1008.0</v>
      </c>
      <c r="K852" s="271">
        <f t="shared" si="1"/>
        <v>10080</v>
      </c>
      <c r="L852" s="271">
        <v>18108.0</v>
      </c>
      <c r="M852" s="271">
        <v>-30.0</v>
      </c>
      <c r="N852" s="275">
        <v>260.76</v>
      </c>
      <c r="O852" s="60"/>
      <c r="P852" s="50">
        <v>261.0</v>
      </c>
      <c r="Q852" s="271">
        <v>-218.0</v>
      </c>
      <c r="R852" s="276">
        <v>-0.00294</v>
      </c>
      <c r="S852" s="271">
        <v>-248.0</v>
      </c>
      <c r="T852" s="271">
        <v>13.0</v>
      </c>
      <c r="U852" s="62">
        <v>1.0</v>
      </c>
      <c r="V852" s="277">
        <v>0.22</v>
      </c>
      <c r="W852" s="277">
        <v>0.0</v>
      </c>
      <c r="X852" s="271">
        <v>10.0</v>
      </c>
      <c r="Y852" s="271">
        <v>3.0</v>
      </c>
      <c r="Z852" s="50" t="b">
        <v>1</v>
      </c>
      <c r="AA852" s="50" t="s">
        <v>138</v>
      </c>
      <c r="AB852" s="50" t="s">
        <v>138</v>
      </c>
    </row>
    <row r="853">
      <c r="A853" s="101" t="s">
        <v>207</v>
      </c>
      <c r="B853" s="101" t="s">
        <v>208</v>
      </c>
      <c r="C853" s="278">
        <v>44398.0</v>
      </c>
      <c r="D853" s="278">
        <v>44428.0</v>
      </c>
      <c r="E853" s="271" t="s">
        <v>268</v>
      </c>
      <c r="F853" s="138" t="s">
        <v>4</v>
      </c>
      <c r="G853" s="101" t="s">
        <v>13</v>
      </c>
      <c r="H853" s="273" t="s">
        <v>59</v>
      </c>
      <c r="I853" s="274">
        <v>20.0</v>
      </c>
      <c r="J853" s="271">
        <v>2.0</v>
      </c>
      <c r="K853" s="271">
        <f t="shared" si="1"/>
        <v>40</v>
      </c>
      <c r="L853" s="271">
        <v>-205.0</v>
      </c>
      <c r="M853" s="271">
        <v>-40.0</v>
      </c>
      <c r="N853" s="275">
        <v>1.03</v>
      </c>
      <c r="O853" s="60"/>
      <c r="P853" s="50">
        <v>1.0</v>
      </c>
      <c r="Q853" s="271">
        <v>-15.0</v>
      </c>
      <c r="R853" s="276">
        <v>-0.00294</v>
      </c>
      <c r="S853" s="271">
        <v>-15.0</v>
      </c>
      <c r="T853" s="271">
        <v>-14.0</v>
      </c>
      <c r="U853" s="62">
        <v>1.0</v>
      </c>
      <c r="V853" s="277">
        <v>0.22</v>
      </c>
      <c r="W853" s="277">
        <v>0.0</v>
      </c>
      <c r="X853" s="271">
        <v>-11.0</v>
      </c>
      <c r="Y853" s="271">
        <v>-3.0</v>
      </c>
      <c r="Z853" s="50" t="b">
        <v>1</v>
      </c>
      <c r="AA853" s="50" t="s">
        <v>138</v>
      </c>
      <c r="AB853" s="50" t="s">
        <v>138</v>
      </c>
    </row>
    <row r="854">
      <c r="A854" s="280" t="s">
        <v>177</v>
      </c>
      <c r="B854" s="280" t="s">
        <v>903</v>
      </c>
      <c r="C854" s="283">
        <v>44409.0</v>
      </c>
      <c r="D854" s="283">
        <v>44439.0</v>
      </c>
      <c r="E854" s="280" t="s">
        <v>331</v>
      </c>
      <c r="F854" s="138" t="s">
        <v>8</v>
      </c>
      <c r="G854" s="280" t="s">
        <v>16</v>
      </c>
      <c r="H854" s="273" t="s">
        <v>74</v>
      </c>
      <c r="I854" s="281">
        <v>50.0</v>
      </c>
      <c r="J854" s="280">
        <v>39.0</v>
      </c>
      <c r="K854" s="271">
        <f t="shared" si="1"/>
        <v>1950</v>
      </c>
      <c r="L854" s="280">
        <v>601.0</v>
      </c>
      <c r="M854" s="280">
        <v>-300.0</v>
      </c>
      <c r="N854" s="282">
        <v>3527.84</v>
      </c>
      <c r="O854" s="60"/>
      <c r="P854" s="109">
        <v>3528.0</v>
      </c>
      <c r="Q854" s="280">
        <v>-48.0</v>
      </c>
      <c r="R854" s="276">
        <v>0.0</v>
      </c>
      <c r="S854" s="280">
        <v>-48.0</v>
      </c>
      <c r="T854" s="280">
        <v>3480.0</v>
      </c>
      <c r="U854" s="62">
        <v>1.0</v>
      </c>
      <c r="V854" s="277">
        <v>0.12</v>
      </c>
      <c r="W854" s="277">
        <v>0.0</v>
      </c>
      <c r="X854" s="280">
        <v>3063.0</v>
      </c>
      <c r="Y854" s="280">
        <v>418.0</v>
      </c>
      <c r="Z854" s="50" t="b">
        <v>1</v>
      </c>
      <c r="AA854" s="50" t="s">
        <v>138</v>
      </c>
      <c r="AB854" s="50" t="s">
        <v>138</v>
      </c>
    </row>
    <row r="855">
      <c r="A855" s="280" t="s">
        <v>177</v>
      </c>
      <c r="B855" s="280" t="s">
        <v>903</v>
      </c>
      <c r="C855" s="283">
        <v>44409.0</v>
      </c>
      <c r="D855" s="283">
        <v>44439.0</v>
      </c>
      <c r="E855" s="280" t="s">
        <v>331</v>
      </c>
      <c r="F855" s="138" t="s">
        <v>8</v>
      </c>
      <c r="G855" s="280" t="s">
        <v>16</v>
      </c>
      <c r="H855" s="273" t="s">
        <v>85</v>
      </c>
      <c r="I855" s="281">
        <v>100.0</v>
      </c>
      <c r="J855" s="280">
        <v>1685.0</v>
      </c>
      <c r="K855" s="271">
        <f t="shared" si="1"/>
        <v>168500</v>
      </c>
      <c r="L855" s="280">
        <v>7291.0</v>
      </c>
      <c r="M855" s="280">
        <v>-17400.0</v>
      </c>
      <c r="N855" s="282">
        <v>4372.16</v>
      </c>
      <c r="O855" s="60"/>
      <c r="P855" s="109">
        <v>4372.0</v>
      </c>
      <c r="Q855" s="280">
        <v>-7720.0</v>
      </c>
      <c r="R855" s="276">
        <v>0.0</v>
      </c>
      <c r="S855" s="280">
        <v>-7720.0</v>
      </c>
      <c r="T855" s="280">
        <v>-3347.0</v>
      </c>
      <c r="U855" s="62">
        <v>1.0</v>
      </c>
      <c r="V855" s="277">
        <v>0.12</v>
      </c>
      <c r="W855" s="277">
        <v>0.0</v>
      </c>
      <c r="X855" s="280">
        <v>-2946.0</v>
      </c>
      <c r="Y855" s="280">
        <v>-402.0</v>
      </c>
      <c r="Z855" s="50" t="b">
        <v>1</v>
      </c>
      <c r="AA855" s="50" t="s">
        <v>138</v>
      </c>
      <c r="AB855" s="50" t="s">
        <v>138</v>
      </c>
    </row>
    <row r="856">
      <c r="A856" s="280" t="s">
        <v>177</v>
      </c>
      <c r="B856" s="280" t="s">
        <v>903</v>
      </c>
      <c r="C856" s="283">
        <v>44409.0</v>
      </c>
      <c r="D856" s="283">
        <v>44439.0</v>
      </c>
      <c r="E856" s="280" t="s">
        <v>331</v>
      </c>
      <c r="F856" s="138" t="s">
        <v>12</v>
      </c>
      <c r="G856" s="280" t="s">
        <v>16</v>
      </c>
      <c r="H856" s="273" t="s">
        <v>96</v>
      </c>
      <c r="I856" s="281">
        <v>250.0</v>
      </c>
      <c r="J856" s="280">
        <v>105.0</v>
      </c>
      <c r="K856" s="271">
        <f t="shared" si="1"/>
        <v>26250</v>
      </c>
      <c r="L856" s="280">
        <v>-5331.0</v>
      </c>
      <c r="M856" s="280">
        <v>-4250.0</v>
      </c>
      <c r="N856" s="282">
        <v>0.0</v>
      </c>
      <c r="O856" s="60"/>
      <c r="P856" s="50">
        <v>0.0</v>
      </c>
      <c r="Q856" s="280">
        <v>-3643.0</v>
      </c>
      <c r="R856" s="276">
        <v>0.0</v>
      </c>
      <c r="S856" s="280">
        <v>-3643.0</v>
      </c>
      <c r="T856" s="280">
        <v>-4250.0</v>
      </c>
      <c r="U856" s="62">
        <v>1.0</v>
      </c>
      <c r="V856" s="277">
        <v>0.12</v>
      </c>
      <c r="W856" s="277">
        <v>0.0</v>
      </c>
      <c r="X856" s="280">
        <v>-3740.0</v>
      </c>
      <c r="Y856" s="280">
        <v>-510.0</v>
      </c>
      <c r="Z856" s="50" t="b">
        <v>1</v>
      </c>
      <c r="AA856" s="50" t="s">
        <v>138</v>
      </c>
      <c r="AB856" s="50" t="s">
        <v>138</v>
      </c>
    </row>
    <row r="857">
      <c r="A857" s="280" t="s">
        <v>459</v>
      </c>
      <c r="B857" s="280" t="s">
        <v>145</v>
      </c>
      <c r="C857" s="283">
        <v>44409.0</v>
      </c>
      <c r="D857" s="283">
        <v>44439.0</v>
      </c>
      <c r="E857" s="271" t="s">
        <v>331</v>
      </c>
      <c r="F857" s="138" t="s">
        <v>8</v>
      </c>
      <c r="G857" s="280" t="s">
        <v>9</v>
      </c>
      <c r="H857" s="273" t="s">
        <v>90</v>
      </c>
      <c r="I857" s="281">
        <v>100.0</v>
      </c>
      <c r="J857" s="280">
        <v>1171.0</v>
      </c>
      <c r="K857" s="271">
        <f t="shared" si="1"/>
        <v>117100</v>
      </c>
      <c r="L857" s="280">
        <v>27348.0</v>
      </c>
      <c r="M857" s="280">
        <v>-11400.0</v>
      </c>
      <c r="N857" s="282">
        <v>3890.0</v>
      </c>
      <c r="O857" s="60"/>
      <c r="P857" s="109">
        <v>3890.0</v>
      </c>
      <c r="Q857" s="280">
        <v>-5248.0</v>
      </c>
      <c r="R857" s="276">
        <v>-0.002934</v>
      </c>
      <c r="S857" s="280">
        <v>-5592.0</v>
      </c>
      <c r="T857" s="280">
        <v>-1702.0</v>
      </c>
      <c r="U857" s="62">
        <v>1.0</v>
      </c>
      <c r="V857" s="277">
        <v>0.15</v>
      </c>
      <c r="W857" s="277">
        <v>0.1</v>
      </c>
      <c r="X857" s="280">
        <v>-1277.0</v>
      </c>
      <c r="Y857" s="280">
        <v>-426.0</v>
      </c>
      <c r="Z857" s="50" t="b">
        <v>1</v>
      </c>
      <c r="AA857" s="50" t="s">
        <v>140</v>
      </c>
      <c r="AB857" s="50" t="s">
        <v>140</v>
      </c>
    </row>
    <row r="858">
      <c r="A858" s="101" t="s">
        <v>267</v>
      </c>
      <c r="B858" s="101" t="s">
        <v>267</v>
      </c>
      <c r="C858" s="278">
        <v>44429.0</v>
      </c>
      <c r="D858" s="278">
        <v>44459.0</v>
      </c>
      <c r="E858" s="271" t="s">
        <v>268</v>
      </c>
      <c r="F858" s="138" t="s">
        <v>4</v>
      </c>
      <c r="G858" s="101" t="s">
        <v>5</v>
      </c>
      <c r="H858" s="273" t="s">
        <v>38</v>
      </c>
      <c r="I858" s="274">
        <v>5.0</v>
      </c>
      <c r="J858" s="271">
        <v>7.0</v>
      </c>
      <c r="K858" s="271">
        <f t="shared" si="1"/>
        <v>35</v>
      </c>
      <c r="L858" s="271">
        <v>655.0</v>
      </c>
      <c r="M858" s="271">
        <v>15.0</v>
      </c>
      <c r="N858" s="275">
        <v>1.0</v>
      </c>
      <c r="O858" s="60"/>
      <c r="P858" s="50">
        <v>1.0</v>
      </c>
      <c r="Q858" s="271">
        <v>7.0</v>
      </c>
      <c r="R858" s="276">
        <v>-0.0015</v>
      </c>
      <c r="S858" s="271">
        <v>7.0</v>
      </c>
      <c r="T858" s="271">
        <v>8.0</v>
      </c>
      <c r="U858" s="62">
        <v>1.0</v>
      </c>
      <c r="V858" s="277">
        <v>0.15</v>
      </c>
      <c r="W858" s="277">
        <v>0.0</v>
      </c>
      <c r="X858" s="271">
        <v>7.0</v>
      </c>
      <c r="Y858" s="271">
        <v>1.0</v>
      </c>
      <c r="Z858" s="50" t="b">
        <v>1</v>
      </c>
      <c r="AA858" s="50" t="s">
        <v>138</v>
      </c>
      <c r="AB858" s="50" t="s">
        <v>138</v>
      </c>
    </row>
    <row r="859">
      <c r="A859" s="101" t="s">
        <v>267</v>
      </c>
      <c r="B859" s="101" t="s">
        <v>267</v>
      </c>
      <c r="C859" s="278">
        <v>44429.0</v>
      </c>
      <c r="D859" s="278">
        <v>44459.0</v>
      </c>
      <c r="E859" s="271" t="s">
        <v>268</v>
      </c>
      <c r="F859" s="138" t="s">
        <v>4</v>
      </c>
      <c r="G859" s="101" t="s">
        <v>5</v>
      </c>
      <c r="H859" s="273" t="s">
        <v>45</v>
      </c>
      <c r="I859" s="274">
        <v>10.0</v>
      </c>
      <c r="J859" s="271">
        <v>108.0</v>
      </c>
      <c r="K859" s="271">
        <f t="shared" si="1"/>
        <v>1080</v>
      </c>
      <c r="L859" s="271">
        <v>7926.0</v>
      </c>
      <c r="M859" s="271">
        <v>0.0</v>
      </c>
      <c r="N859" s="275">
        <v>26.0</v>
      </c>
      <c r="O859" s="60"/>
      <c r="P859" s="50">
        <v>26.0</v>
      </c>
      <c r="Q859" s="271">
        <v>65.0</v>
      </c>
      <c r="R859" s="276">
        <v>-0.0015</v>
      </c>
      <c r="S859" s="271">
        <v>64.0</v>
      </c>
      <c r="T859" s="271">
        <v>90.0</v>
      </c>
      <c r="U859" s="62">
        <v>1.0</v>
      </c>
      <c r="V859" s="277">
        <v>0.15</v>
      </c>
      <c r="W859" s="277">
        <v>0.0</v>
      </c>
      <c r="X859" s="271">
        <v>76.0</v>
      </c>
      <c r="Y859" s="271">
        <v>13.0</v>
      </c>
      <c r="Z859" s="50" t="b">
        <v>1</v>
      </c>
      <c r="AA859" s="50" t="s">
        <v>138</v>
      </c>
      <c r="AB859" s="50" t="s">
        <v>138</v>
      </c>
    </row>
    <row r="860">
      <c r="A860" s="101" t="s">
        <v>267</v>
      </c>
      <c r="B860" s="101" t="s">
        <v>267</v>
      </c>
      <c r="C860" s="278">
        <v>44429.0</v>
      </c>
      <c r="D860" s="278">
        <v>44459.0</v>
      </c>
      <c r="E860" s="271" t="s">
        <v>268</v>
      </c>
      <c r="F860" s="138" t="s">
        <v>4</v>
      </c>
      <c r="G860" s="101" t="s">
        <v>5</v>
      </c>
      <c r="H860" s="273" t="s">
        <v>62</v>
      </c>
      <c r="I860" s="274">
        <v>25.0</v>
      </c>
      <c r="J860" s="271">
        <v>294.0</v>
      </c>
      <c r="K860" s="271">
        <f t="shared" si="1"/>
        <v>7350</v>
      </c>
      <c r="L860" s="271">
        <v>17553.0</v>
      </c>
      <c r="M860" s="271">
        <v>1675.0</v>
      </c>
      <c r="N860" s="275">
        <v>152.0</v>
      </c>
      <c r="O860" s="60"/>
      <c r="P860" s="50">
        <v>152.0</v>
      </c>
      <c r="Q860" s="271">
        <v>343.0</v>
      </c>
      <c r="R860" s="276">
        <v>-0.0015</v>
      </c>
      <c r="S860" s="271">
        <v>332.0</v>
      </c>
      <c r="T860" s="271">
        <v>484.0</v>
      </c>
      <c r="U860" s="62">
        <v>1.0</v>
      </c>
      <c r="V860" s="277">
        <v>0.15</v>
      </c>
      <c r="W860" s="277">
        <v>0.0</v>
      </c>
      <c r="X860" s="271">
        <v>412.0</v>
      </c>
      <c r="Y860" s="271">
        <v>73.0</v>
      </c>
      <c r="Z860" s="50" t="b">
        <v>1</v>
      </c>
      <c r="AA860" s="50" t="s">
        <v>138</v>
      </c>
      <c r="AB860" s="50" t="s">
        <v>138</v>
      </c>
    </row>
    <row r="861">
      <c r="A861" s="101" t="s">
        <v>148</v>
      </c>
      <c r="B861" s="101" t="s">
        <v>148</v>
      </c>
      <c r="C861" s="278">
        <v>44429.0</v>
      </c>
      <c r="D861" s="278">
        <v>44459.0</v>
      </c>
      <c r="E861" s="271" t="s">
        <v>331</v>
      </c>
      <c r="F861" s="138" t="s">
        <v>4</v>
      </c>
      <c r="G861" s="101" t="s">
        <v>5</v>
      </c>
      <c r="H861" s="273" t="s">
        <v>45</v>
      </c>
      <c r="I861" s="274">
        <v>10.0</v>
      </c>
      <c r="J861" s="271">
        <v>1.0</v>
      </c>
      <c r="K861" s="271">
        <f t="shared" si="1"/>
        <v>10</v>
      </c>
      <c r="L861" s="271">
        <v>0.0</v>
      </c>
      <c r="M861" s="271">
        <v>-10.0</v>
      </c>
      <c r="N861" s="275"/>
      <c r="O861" s="60"/>
      <c r="P861" s="101"/>
      <c r="Q861" s="271">
        <v>-1.0</v>
      </c>
      <c r="R861" s="276">
        <v>-0.00213</v>
      </c>
      <c r="S861" s="271">
        <v>-1.0</v>
      </c>
      <c r="T861" s="271">
        <v>-1.0</v>
      </c>
      <c r="U861" s="62">
        <v>1.0</v>
      </c>
      <c r="V861" s="277">
        <v>0.15</v>
      </c>
      <c r="W861" s="277">
        <v>0.05</v>
      </c>
      <c r="X861" s="271">
        <v>-1.0</v>
      </c>
      <c r="Y861" s="271">
        <v>0.0</v>
      </c>
      <c r="Z861" s="50" t="b">
        <v>1</v>
      </c>
      <c r="AA861" s="50" t="s">
        <v>138</v>
      </c>
      <c r="AB861" s="50" t="s">
        <v>138</v>
      </c>
    </row>
    <row r="862">
      <c r="A862" s="101" t="s">
        <v>148</v>
      </c>
      <c r="B862" s="101" t="s">
        <v>148</v>
      </c>
      <c r="C862" s="278">
        <v>44429.0</v>
      </c>
      <c r="D862" s="278">
        <v>44459.0</v>
      </c>
      <c r="E862" s="271" t="s">
        <v>331</v>
      </c>
      <c r="F862" s="138" t="s">
        <v>4</v>
      </c>
      <c r="G862" s="101" t="s">
        <v>5</v>
      </c>
      <c r="H862" s="273" t="s">
        <v>62</v>
      </c>
      <c r="I862" s="274">
        <v>25.0</v>
      </c>
      <c r="J862" s="271">
        <v>6.0</v>
      </c>
      <c r="K862" s="271">
        <f t="shared" si="1"/>
        <v>150</v>
      </c>
      <c r="L862" s="271">
        <v>-353.0</v>
      </c>
      <c r="M862" s="271">
        <v>-25.0</v>
      </c>
      <c r="N862" s="275">
        <v>5.0</v>
      </c>
      <c r="O862" s="60"/>
      <c r="P862" s="50">
        <v>5.0</v>
      </c>
      <c r="Q862" s="271">
        <v>-26.0</v>
      </c>
      <c r="R862" s="276">
        <v>-0.00213</v>
      </c>
      <c r="S862" s="271">
        <v>-26.0</v>
      </c>
      <c r="T862" s="271">
        <v>-21.0</v>
      </c>
      <c r="U862" s="62">
        <v>1.0</v>
      </c>
      <c r="V862" s="277">
        <v>0.15</v>
      </c>
      <c r="W862" s="277">
        <v>0.05</v>
      </c>
      <c r="X862" s="271">
        <v>-17.0</v>
      </c>
      <c r="Y862" s="271">
        <v>-4.0</v>
      </c>
      <c r="Z862" s="50" t="b">
        <v>1</v>
      </c>
      <c r="AA862" s="50" t="s">
        <v>138</v>
      </c>
      <c r="AB862" s="50" t="s">
        <v>138</v>
      </c>
    </row>
    <row r="863">
      <c r="A863" s="101" t="s">
        <v>148</v>
      </c>
      <c r="B863" s="101" t="s">
        <v>148</v>
      </c>
      <c r="C863" s="278">
        <v>44429.0</v>
      </c>
      <c r="D863" s="278">
        <v>44459.0</v>
      </c>
      <c r="E863" s="271" t="s">
        <v>331</v>
      </c>
      <c r="F863" s="138" t="s">
        <v>4</v>
      </c>
      <c r="G863" s="101" t="s">
        <v>5</v>
      </c>
      <c r="H863" s="273" t="s">
        <v>74</v>
      </c>
      <c r="I863" s="274">
        <v>50.0</v>
      </c>
      <c r="J863" s="271">
        <v>4170.0</v>
      </c>
      <c r="K863" s="271">
        <f t="shared" si="1"/>
        <v>208500</v>
      </c>
      <c r="L863" s="271">
        <v>112484.0</v>
      </c>
      <c r="M863" s="271">
        <v>-5650.0</v>
      </c>
      <c r="N863" s="275">
        <v>5926.0</v>
      </c>
      <c r="O863" s="60"/>
      <c r="P863" s="109">
        <v>5926.0</v>
      </c>
      <c r="Q863" s="271">
        <v>-3223.0</v>
      </c>
      <c r="R863" s="276">
        <v>-0.00213</v>
      </c>
      <c r="S863" s="271">
        <v>-3667.0</v>
      </c>
      <c r="T863" s="271">
        <v>2259.0</v>
      </c>
      <c r="U863" s="62">
        <v>1.0</v>
      </c>
      <c r="V863" s="277">
        <v>0.15</v>
      </c>
      <c r="W863" s="277">
        <v>0.05</v>
      </c>
      <c r="X863" s="271">
        <v>1807.0</v>
      </c>
      <c r="Y863" s="271">
        <v>452.0</v>
      </c>
      <c r="Z863" s="50" t="b">
        <v>1</v>
      </c>
      <c r="AA863" s="50" t="s">
        <v>138</v>
      </c>
      <c r="AB863" s="50" t="s">
        <v>138</v>
      </c>
    </row>
    <row r="864">
      <c r="A864" s="101" t="s">
        <v>182</v>
      </c>
      <c r="B864" s="101" t="s">
        <v>182</v>
      </c>
      <c r="C864" s="283">
        <v>44429.0</v>
      </c>
      <c r="D864" s="278">
        <v>44459.0</v>
      </c>
      <c r="E864" s="280" t="s">
        <v>268</v>
      </c>
      <c r="F864" s="138" t="s">
        <v>4</v>
      </c>
      <c r="G864" s="271" t="s">
        <v>5</v>
      </c>
      <c r="H864" s="273" t="s">
        <v>45</v>
      </c>
      <c r="I864" s="274">
        <v>10.0</v>
      </c>
      <c r="J864" s="271">
        <v>65.0</v>
      </c>
      <c r="K864" s="271">
        <f t="shared" si="1"/>
        <v>650</v>
      </c>
      <c r="L864" s="271">
        <v>587.0</v>
      </c>
      <c r="M864" s="271">
        <v>0.0</v>
      </c>
      <c r="N864" s="275">
        <v>3.0</v>
      </c>
      <c r="O864" s="60"/>
      <c r="P864" s="50">
        <v>3.0</v>
      </c>
      <c r="Q864" s="271">
        <v>-37.0</v>
      </c>
      <c r="R864" s="276">
        <v>-0.00213</v>
      </c>
      <c r="S864" s="271">
        <v>-39.0</v>
      </c>
      <c r="T864" s="271">
        <v>-36.0</v>
      </c>
      <c r="U864" s="62">
        <v>1.0</v>
      </c>
      <c r="V864" s="277">
        <v>0.2</v>
      </c>
      <c r="W864" s="277">
        <v>0.0</v>
      </c>
      <c r="X864" s="271">
        <v>-29.0</v>
      </c>
      <c r="Y864" s="271">
        <v>-7.0</v>
      </c>
      <c r="Z864" s="50" t="b">
        <v>1</v>
      </c>
      <c r="AA864" s="50" t="s">
        <v>138</v>
      </c>
      <c r="AB864" s="50" t="s">
        <v>138</v>
      </c>
    </row>
    <row r="865">
      <c r="A865" s="280" t="s">
        <v>345</v>
      </c>
      <c r="B865" s="280" t="s">
        <v>992</v>
      </c>
      <c r="C865" s="283">
        <v>44429.0</v>
      </c>
      <c r="D865" s="283">
        <v>44459.0</v>
      </c>
      <c r="E865" s="280" t="s">
        <v>331</v>
      </c>
      <c r="F865" s="138" t="s">
        <v>4</v>
      </c>
      <c r="G865" s="280" t="s">
        <v>9</v>
      </c>
      <c r="H865" s="273" t="s">
        <v>68</v>
      </c>
      <c r="I865" s="281">
        <v>25.0</v>
      </c>
      <c r="J865" s="280">
        <v>7.0</v>
      </c>
      <c r="K865" s="271">
        <f t="shared" si="1"/>
        <v>175</v>
      </c>
      <c r="L865" s="280">
        <v>-1044.0</v>
      </c>
      <c r="M865" s="280">
        <v>-88.0</v>
      </c>
      <c r="N865" s="282">
        <v>406.89</v>
      </c>
      <c r="O865" s="60"/>
      <c r="P865" s="50">
        <v>407.0</v>
      </c>
      <c r="Q865" s="280">
        <v>-63.0</v>
      </c>
      <c r="R865" s="276">
        <v>-0.00213</v>
      </c>
      <c r="S865" s="280">
        <v>-63.0</v>
      </c>
      <c r="T865" s="280">
        <v>344.0</v>
      </c>
      <c r="U865" s="62">
        <v>1.173</v>
      </c>
      <c r="V865" s="277">
        <v>0.15</v>
      </c>
      <c r="W865" s="277">
        <v>0.05</v>
      </c>
      <c r="X865" s="280">
        <v>323.0</v>
      </c>
      <c r="Y865" s="280">
        <v>81.0</v>
      </c>
      <c r="Z865" s="50" t="b">
        <v>1</v>
      </c>
      <c r="AA865" s="50" t="s">
        <v>138</v>
      </c>
      <c r="AB865" s="50" t="s">
        <v>140</v>
      </c>
    </row>
    <row r="866">
      <c r="A866" s="280" t="s">
        <v>345</v>
      </c>
      <c r="B866" s="280" t="s">
        <v>992</v>
      </c>
      <c r="C866" s="283">
        <v>44429.0</v>
      </c>
      <c r="D866" s="283">
        <v>44459.0</v>
      </c>
      <c r="E866" s="280" t="s">
        <v>331</v>
      </c>
      <c r="F866" s="138" t="s">
        <v>4</v>
      </c>
      <c r="G866" s="280" t="s">
        <v>9</v>
      </c>
      <c r="H866" s="273" t="s">
        <v>80</v>
      </c>
      <c r="I866" s="281">
        <v>50.0</v>
      </c>
      <c r="J866" s="280">
        <v>1993.0</v>
      </c>
      <c r="K866" s="271">
        <f t="shared" si="1"/>
        <v>99650</v>
      </c>
      <c r="L866" s="280">
        <v>120828.0</v>
      </c>
      <c r="M866" s="280">
        <v>2757.0</v>
      </c>
      <c r="N866" s="282">
        <v>3323.11</v>
      </c>
      <c r="O866" s="60"/>
      <c r="P866" s="109">
        <v>3323.0</v>
      </c>
      <c r="Q866" s="280">
        <v>2295.0</v>
      </c>
      <c r="R866" s="276">
        <v>-0.00213</v>
      </c>
      <c r="S866" s="280">
        <v>2083.0</v>
      </c>
      <c r="T866" s="280">
        <v>5406.0</v>
      </c>
      <c r="U866" s="62">
        <v>1.173</v>
      </c>
      <c r="V866" s="277">
        <v>0.15</v>
      </c>
      <c r="W866" s="277">
        <v>0.05</v>
      </c>
      <c r="X866" s="280">
        <v>5073.0</v>
      </c>
      <c r="Y866" s="280">
        <v>1268.0</v>
      </c>
      <c r="Z866" s="50" t="b">
        <v>1</v>
      </c>
      <c r="AA866" s="50" t="s">
        <v>138</v>
      </c>
      <c r="AB866" s="50" t="s">
        <v>140</v>
      </c>
    </row>
    <row r="867">
      <c r="A867" s="280" t="s">
        <v>345</v>
      </c>
      <c r="B867" s="280" t="s">
        <v>992</v>
      </c>
      <c r="C867" s="283">
        <v>44429.0</v>
      </c>
      <c r="D867" s="283">
        <v>44459.0</v>
      </c>
      <c r="E867" s="280" t="s">
        <v>331</v>
      </c>
      <c r="F867" s="138" t="s">
        <v>4</v>
      </c>
      <c r="G867" s="280" t="s">
        <v>9</v>
      </c>
      <c r="H867" s="273" t="s">
        <v>90</v>
      </c>
      <c r="I867" s="281">
        <v>100.0</v>
      </c>
      <c r="J867" s="280">
        <v>768.0</v>
      </c>
      <c r="K867" s="271">
        <f t="shared" si="1"/>
        <v>76800</v>
      </c>
      <c r="L867" s="280">
        <v>34537.0</v>
      </c>
      <c r="M867" s="280">
        <v>-1304.0</v>
      </c>
      <c r="N867" s="282">
        <v>0.0</v>
      </c>
      <c r="O867" s="60"/>
      <c r="P867" s="50">
        <v>0.0</v>
      </c>
      <c r="Q867" s="280">
        <v>-420.0</v>
      </c>
      <c r="R867" s="276">
        <v>-0.00213</v>
      </c>
      <c r="S867" s="280">
        <v>-584.0</v>
      </c>
      <c r="T867" s="280">
        <v>-584.0</v>
      </c>
      <c r="U867" s="62">
        <v>1.173</v>
      </c>
      <c r="V867" s="277">
        <v>0.15</v>
      </c>
      <c r="W867" s="277">
        <v>0.05</v>
      </c>
      <c r="X867" s="280">
        <v>-548.0</v>
      </c>
      <c r="Y867" s="280">
        <v>-137.0</v>
      </c>
      <c r="Z867" s="50" t="b">
        <v>1</v>
      </c>
      <c r="AA867" s="50" t="s">
        <v>138</v>
      </c>
      <c r="AB867" s="50" t="s">
        <v>140</v>
      </c>
    </row>
    <row r="868">
      <c r="A868" s="101" t="s">
        <v>416</v>
      </c>
      <c r="B868" s="101" t="s">
        <v>416</v>
      </c>
      <c r="C868" s="278">
        <v>44429.0</v>
      </c>
      <c r="D868" s="278">
        <v>44459.0</v>
      </c>
      <c r="E868" s="271" t="s">
        <v>268</v>
      </c>
      <c r="F868" s="138" t="s">
        <v>4</v>
      </c>
      <c r="G868" s="101" t="s">
        <v>22</v>
      </c>
      <c r="H868" s="273" t="s">
        <v>51</v>
      </c>
      <c r="I868" s="274">
        <v>10.0</v>
      </c>
      <c r="J868" s="271">
        <v>2521.0</v>
      </c>
      <c r="K868" s="271">
        <f t="shared" si="1"/>
        <v>25210</v>
      </c>
      <c r="L868" s="271">
        <v>163457.0</v>
      </c>
      <c r="M868" s="271">
        <v>1750.0</v>
      </c>
      <c r="N868" s="275"/>
      <c r="O868" s="60"/>
      <c r="P868" s="101"/>
      <c r="Q868" s="271">
        <v>1079.0</v>
      </c>
      <c r="R868" s="276">
        <v>-0.00213</v>
      </c>
      <c r="S868" s="271">
        <v>1026.0</v>
      </c>
      <c r="T868" s="271">
        <v>1026.0</v>
      </c>
      <c r="U868" s="62">
        <v>1.173</v>
      </c>
      <c r="V868" s="277">
        <v>0.25</v>
      </c>
      <c r="W868" s="277">
        <v>0.0</v>
      </c>
      <c r="X868" s="271">
        <v>902.0</v>
      </c>
      <c r="Y868" s="271">
        <v>301.0</v>
      </c>
      <c r="Z868" s="50" t="b">
        <v>1</v>
      </c>
      <c r="AA868" s="50" t="s">
        <v>138</v>
      </c>
      <c r="AB868" s="50" t="s">
        <v>140</v>
      </c>
    </row>
    <row r="869">
      <c r="A869" s="280" t="s">
        <v>150</v>
      </c>
      <c r="B869" s="280" t="s">
        <v>150</v>
      </c>
      <c r="C869" s="283">
        <v>44429.0</v>
      </c>
      <c r="D869" s="283">
        <v>44459.0</v>
      </c>
      <c r="E869" s="280" t="s">
        <v>268</v>
      </c>
      <c r="F869" s="138" t="s">
        <v>4</v>
      </c>
      <c r="G869" s="280" t="s">
        <v>9</v>
      </c>
      <c r="H869" s="273" t="s">
        <v>68</v>
      </c>
      <c r="I869" s="281">
        <v>25.0</v>
      </c>
      <c r="J869" s="280">
        <v>371.0</v>
      </c>
      <c r="K869" s="271">
        <f t="shared" si="1"/>
        <v>9275</v>
      </c>
      <c r="L869" s="280">
        <v>28562.0</v>
      </c>
      <c r="M869" s="280">
        <v>968.0</v>
      </c>
      <c r="N869" s="282">
        <v>15.0</v>
      </c>
      <c r="O869" s="60"/>
      <c r="P869" s="50">
        <v>15.0</v>
      </c>
      <c r="Q869" s="280">
        <v>490.0</v>
      </c>
      <c r="R869" s="276">
        <v>-0.00213</v>
      </c>
      <c r="S869" s="280">
        <v>470.0</v>
      </c>
      <c r="T869" s="280">
        <v>485.0</v>
      </c>
      <c r="U869" s="62">
        <v>1.0</v>
      </c>
      <c r="V869" s="277">
        <v>0.3</v>
      </c>
      <c r="W869" s="277">
        <v>0.0</v>
      </c>
      <c r="X869" s="280">
        <v>340.0</v>
      </c>
      <c r="Y869" s="280">
        <v>146.0</v>
      </c>
      <c r="Z869" s="50" t="b">
        <v>1</v>
      </c>
      <c r="AA869" s="50" t="s">
        <v>140</v>
      </c>
      <c r="AB869" s="50" t="s">
        <v>140</v>
      </c>
    </row>
    <row r="870">
      <c r="A870" s="101" t="s">
        <v>505</v>
      </c>
      <c r="B870" s="271" t="s">
        <v>166</v>
      </c>
      <c r="C870" s="278">
        <v>44429.0</v>
      </c>
      <c r="D870" s="278">
        <v>44459.0</v>
      </c>
      <c r="E870" s="271" t="s">
        <v>268</v>
      </c>
      <c r="F870" s="101" t="s">
        <v>4</v>
      </c>
      <c r="G870" s="271" t="s">
        <v>5</v>
      </c>
      <c r="H870" s="273" t="s">
        <v>35</v>
      </c>
      <c r="I870" s="281">
        <v>5.0</v>
      </c>
      <c r="J870" s="280">
        <v>1447.0</v>
      </c>
      <c r="K870" s="271">
        <f t="shared" si="1"/>
        <v>7235</v>
      </c>
      <c r="L870" s="280">
        <v>98596.0</v>
      </c>
      <c r="M870" s="280">
        <v>10.0</v>
      </c>
      <c r="N870" s="275">
        <v>5.0</v>
      </c>
      <c r="O870" s="60"/>
      <c r="P870" s="50">
        <v>5.0</v>
      </c>
      <c r="Q870" s="280">
        <v>254.0</v>
      </c>
      <c r="R870" s="276">
        <v>-0.00213</v>
      </c>
      <c r="S870" s="280">
        <v>238.0</v>
      </c>
      <c r="T870" s="280">
        <v>243.0</v>
      </c>
      <c r="U870" s="62">
        <v>1.0</v>
      </c>
      <c r="V870" s="277">
        <v>0.3</v>
      </c>
      <c r="W870" s="277">
        <v>0.0</v>
      </c>
      <c r="X870" s="280">
        <v>170.0</v>
      </c>
      <c r="Y870" s="280">
        <v>73.0</v>
      </c>
      <c r="Z870" s="50" t="b">
        <v>1</v>
      </c>
      <c r="AA870" s="50" t="s">
        <v>138</v>
      </c>
      <c r="AB870" s="50" t="s">
        <v>138</v>
      </c>
    </row>
    <row r="871">
      <c r="A871" s="101" t="s">
        <v>505</v>
      </c>
      <c r="B871" s="271" t="s">
        <v>166</v>
      </c>
      <c r="C871" s="278">
        <v>44429.0</v>
      </c>
      <c r="D871" s="278">
        <v>44459.0</v>
      </c>
      <c r="E871" s="271" t="s">
        <v>268</v>
      </c>
      <c r="F871" s="101" t="s">
        <v>4</v>
      </c>
      <c r="G871" s="271" t="s">
        <v>5</v>
      </c>
      <c r="H871" s="273" t="s">
        <v>45</v>
      </c>
      <c r="I871" s="281">
        <v>10.0</v>
      </c>
      <c r="J871" s="280">
        <v>4.0</v>
      </c>
      <c r="K871" s="271">
        <f t="shared" si="1"/>
        <v>40</v>
      </c>
      <c r="L871" s="280">
        <v>-264.0</v>
      </c>
      <c r="M871" s="280">
        <v>10.0</v>
      </c>
      <c r="N871" s="275"/>
      <c r="O871" s="60"/>
      <c r="P871" s="101"/>
      <c r="Q871" s="280">
        <v>-8.0</v>
      </c>
      <c r="R871" s="276">
        <v>-0.00213</v>
      </c>
      <c r="S871" s="280">
        <v>-8.0</v>
      </c>
      <c r="T871" s="280">
        <v>-8.0</v>
      </c>
      <c r="U871" s="62">
        <v>1.0</v>
      </c>
      <c r="V871" s="277">
        <v>0.3</v>
      </c>
      <c r="W871" s="277">
        <v>0.0</v>
      </c>
      <c r="X871" s="280">
        <v>-6.0</v>
      </c>
      <c r="Y871" s="280">
        <v>-2.0</v>
      </c>
      <c r="Z871" s="50" t="b">
        <v>1</v>
      </c>
      <c r="AA871" s="50" t="s">
        <v>138</v>
      </c>
      <c r="AB871" s="50" t="s">
        <v>138</v>
      </c>
    </row>
    <row r="872">
      <c r="A872" s="101" t="s">
        <v>505</v>
      </c>
      <c r="B872" s="271" t="s">
        <v>166</v>
      </c>
      <c r="C872" s="278">
        <v>44429.0</v>
      </c>
      <c r="D872" s="278">
        <v>44459.0</v>
      </c>
      <c r="E872" s="271" t="s">
        <v>268</v>
      </c>
      <c r="F872" s="101" t="s">
        <v>4</v>
      </c>
      <c r="G872" s="271" t="s">
        <v>5</v>
      </c>
      <c r="H872" s="273" t="s">
        <v>28</v>
      </c>
      <c r="I872" s="274">
        <v>2.0</v>
      </c>
      <c r="J872" s="271">
        <v>13.0</v>
      </c>
      <c r="K872" s="271">
        <f t="shared" si="1"/>
        <v>26</v>
      </c>
      <c r="L872" s="271"/>
      <c r="M872" s="271">
        <v>-12.0</v>
      </c>
      <c r="N872" s="275"/>
      <c r="O872" s="60"/>
      <c r="P872" s="101"/>
      <c r="Q872" s="271"/>
      <c r="R872" s="276">
        <v>0.0</v>
      </c>
      <c r="S872" s="271"/>
      <c r="T872" s="271"/>
      <c r="U872" s="62">
        <v>1.0</v>
      </c>
      <c r="V872" s="277">
        <v>0.3</v>
      </c>
      <c r="W872" s="277">
        <v>0.0</v>
      </c>
      <c r="X872" s="271"/>
      <c r="Y872" s="271"/>
      <c r="Z872" s="50" t="b">
        <v>1</v>
      </c>
      <c r="AA872" s="50" t="s">
        <v>138</v>
      </c>
      <c r="AB872" s="50" t="s">
        <v>138</v>
      </c>
    </row>
    <row r="873">
      <c r="A873" s="280" t="s">
        <v>199</v>
      </c>
      <c r="B873" s="280" t="s">
        <v>924</v>
      </c>
      <c r="C873" s="283">
        <v>44429.0</v>
      </c>
      <c r="D873" s="283">
        <v>44459.0</v>
      </c>
      <c r="E873" s="280" t="s">
        <v>268</v>
      </c>
      <c r="F873" s="138" t="s">
        <v>4</v>
      </c>
      <c r="G873" s="280" t="s">
        <v>9</v>
      </c>
      <c r="H873" s="273" t="s">
        <v>983</v>
      </c>
      <c r="I873" s="281">
        <v>5.0</v>
      </c>
      <c r="J873" s="280">
        <v>159.0</v>
      </c>
      <c r="K873" s="271">
        <f t="shared" si="1"/>
        <v>795</v>
      </c>
      <c r="L873" s="280">
        <v>19170.0</v>
      </c>
      <c r="M873" s="280">
        <v>164.0</v>
      </c>
      <c r="N873" s="282">
        <v>271.97</v>
      </c>
      <c r="O873" s="60"/>
      <c r="P873" s="50">
        <v>272.0</v>
      </c>
      <c r="Q873" s="280">
        <v>105.0</v>
      </c>
      <c r="R873" s="276">
        <v>-0.00213</v>
      </c>
      <c r="S873" s="280">
        <v>103.0</v>
      </c>
      <c r="T873" s="280">
        <v>375.0</v>
      </c>
      <c r="U873" s="62">
        <v>1.0</v>
      </c>
      <c r="V873" s="277">
        <v>0.2</v>
      </c>
      <c r="W873" s="277">
        <v>0.0</v>
      </c>
      <c r="X873" s="280">
        <v>300.0</v>
      </c>
      <c r="Y873" s="280">
        <v>75.0</v>
      </c>
      <c r="Z873" s="50" t="b">
        <v>1</v>
      </c>
      <c r="AA873" s="50" t="s">
        <v>140</v>
      </c>
      <c r="AB873" s="50" t="s">
        <v>140</v>
      </c>
    </row>
    <row r="874">
      <c r="A874" s="280" t="s">
        <v>199</v>
      </c>
      <c r="B874" s="280" t="s">
        <v>924</v>
      </c>
      <c r="C874" s="283">
        <v>44429.0</v>
      </c>
      <c r="D874" s="283">
        <v>44459.0</v>
      </c>
      <c r="E874" s="280" t="s">
        <v>268</v>
      </c>
      <c r="F874" s="138" t="s">
        <v>4</v>
      </c>
      <c r="G874" s="280" t="s">
        <v>9</v>
      </c>
      <c r="H874" s="273" t="s">
        <v>55</v>
      </c>
      <c r="I874" s="281">
        <v>10.0</v>
      </c>
      <c r="J874" s="280">
        <v>979.0</v>
      </c>
      <c r="K874" s="271">
        <f t="shared" si="1"/>
        <v>9790</v>
      </c>
      <c r="L874" s="280">
        <v>85841.0</v>
      </c>
      <c r="M874" s="280">
        <v>575.0</v>
      </c>
      <c r="N874" s="282">
        <v>48.03</v>
      </c>
      <c r="O874" s="60"/>
      <c r="P874" s="50">
        <v>48.0</v>
      </c>
      <c r="Q874" s="280">
        <v>708.0</v>
      </c>
      <c r="R874" s="276">
        <v>-0.00213</v>
      </c>
      <c r="S874" s="280">
        <v>687.0</v>
      </c>
      <c r="T874" s="280">
        <v>735.0</v>
      </c>
      <c r="U874" s="62">
        <v>1.0</v>
      </c>
      <c r="V874" s="277">
        <v>0.2</v>
      </c>
      <c r="W874" s="277">
        <v>0.0</v>
      </c>
      <c r="X874" s="280">
        <v>588.0</v>
      </c>
      <c r="Y874" s="280">
        <v>147.0</v>
      </c>
      <c r="Z874" s="50" t="b">
        <v>1</v>
      </c>
      <c r="AA874" s="50" t="s">
        <v>140</v>
      </c>
      <c r="AB874" s="50" t="s">
        <v>140</v>
      </c>
    </row>
    <row r="875">
      <c r="A875" s="101" t="s">
        <v>546</v>
      </c>
      <c r="B875" s="101" t="s">
        <v>202</v>
      </c>
      <c r="C875" s="278">
        <v>44429.0</v>
      </c>
      <c r="D875" s="278">
        <v>44459.0</v>
      </c>
      <c r="E875" s="271" t="s">
        <v>331</v>
      </c>
      <c r="F875" s="138" t="s">
        <v>4</v>
      </c>
      <c r="G875" s="271" t="s">
        <v>13</v>
      </c>
      <c r="H875" s="273" t="s">
        <v>74</v>
      </c>
      <c r="I875" s="274">
        <v>50.0</v>
      </c>
      <c r="J875" s="271">
        <v>114.0</v>
      </c>
      <c r="K875" s="271">
        <f t="shared" si="1"/>
        <v>5700</v>
      </c>
      <c r="L875" s="271">
        <v>3008.0</v>
      </c>
      <c r="M875" s="271">
        <v>150.0</v>
      </c>
      <c r="N875" s="275">
        <v>371.32</v>
      </c>
      <c r="O875" s="60"/>
      <c r="P875" s="50">
        <v>371.0</v>
      </c>
      <c r="Q875" s="271">
        <v>15.0</v>
      </c>
      <c r="R875" s="276">
        <v>-0.00213</v>
      </c>
      <c r="S875" s="271">
        <v>3.0</v>
      </c>
      <c r="T875" s="271">
        <v>374.0</v>
      </c>
      <c r="U875" s="62">
        <v>1.0</v>
      </c>
      <c r="V875" s="277">
        <v>0.12</v>
      </c>
      <c r="W875" s="277">
        <v>0.04</v>
      </c>
      <c r="X875" s="271">
        <v>314.0</v>
      </c>
      <c r="Y875" s="271">
        <v>60.0</v>
      </c>
      <c r="Z875" s="50" t="b">
        <v>1</v>
      </c>
      <c r="AA875" s="50" t="s">
        <v>138</v>
      </c>
      <c r="AB875" s="50" t="s">
        <v>138</v>
      </c>
    </row>
    <row r="876">
      <c r="A876" s="101" t="s">
        <v>546</v>
      </c>
      <c r="B876" s="101" t="s">
        <v>202</v>
      </c>
      <c r="C876" s="278">
        <v>44429.0</v>
      </c>
      <c r="D876" s="278">
        <v>44459.0</v>
      </c>
      <c r="E876" s="271" t="s">
        <v>331</v>
      </c>
      <c r="F876" s="138" t="s">
        <v>4</v>
      </c>
      <c r="G876" s="271" t="s">
        <v>13</v>
      </c>
      <c r="H876" s="273" t="s">
        <v>85</v>
      </c>
      <c r="I876" s="274">
        <v>100.0</v>
      </c>
      <c r="J876" s="271">
        <v>10399.0</v>
      </c>
      <c r="K876" s="271">
        <f t="shared" si="1"/>
        <v>1039900</v>
      </c>
      <c r="L876" s="271">
        <v>81089.0</v>
      </c>
      <c r="M876" s="271">
        <v>-41500.0</v>
      </c>
      <c r="N876" s="275">
        <v>67743.68</v>
      </c>
      <c r="O876" s="60"/>
      <c r="P876" s="109">
        <v>67744.0</v>
      </c>
      <c r="Q876" s="271">
        <v>-52905.0</v>
      </c>
      <c r="R876" s="276">
        <v>-0.00213</v>
      </c>
      <c r="S876" s="271">
        <v>-55120.0</v>
      </c>
      <c r="T876" s="271">
        <v>12624.0</v>
      </c>
      <c r="U876" s="62">
        <v>1.0</v>
      </c>
      <c r="V876" s="277">
        <v>0.12</v>
      </c>
      <c r="W876" s="277">
        <v>0.04</v>
      </c>
      <c r="X876" s="271">
        <v>10604.0</v>
      </c>
      <c r="Y876" s="271">
        <v>2020.0</v>
      </c>
      <c r="Z876" s="50" t="b">
        <v>1</v>
      </c>
      <c r="AA876" s="50" t="s">
        <v>138</v>
      </c>
      <c r="AB876" s="50" t="s">
        <v>138</v>
      </c>
    </row>
    <row r="877">
      <c r="A877" s="101" t="s">
        <v>160</v>
      </c>
      <c r="B877" s="101" t="s">
        <v>160</v>
      </c>
      <c r="C877" s="278">
        <v>44429.0</v>
      </c>
      <c r="D877" s="278">
        <v>44459.0</v>
      </c>
      <c r="E877" s="271" t="s">
        <v>268</v>
      </c>
      <c r="F877" s="138" t="s">
        <v>4</v>
      </c>
      <c r="G877" s="101" t="s">
        <v>5</v>
      </c>
      <c r="H877" s="273" t="s">
        <v>35</v>
      </c>
      <c r="I877" s="274">
        <v>5.0</v>
      </c>
      <c r="J877" s="271">
        <v>2.0</v>
      </c>
      <c r="K877" s="271">
        <f t="shared" si="1"/>
        <v>10</v>
      </c>
      <c r="L877" s="271">
        <v>-159.0</v>
      </c>
      <c r="M877" s="271">
        <v>-10.0</v>
      </c>
      <c r="N877" s="275"/>
      <c r="O877" s="60"/>
      <c r="P877" s="101"/>
      <c r="Q877" s="271">
        <v>-2.0</v>
      </c>
      <c r="R877" s="276">
        <v>-0.00213</v>
      </c>
      <c r="S877" s="271">
        <v>-2.0</v>
      </c>
      <c r="T877" s="271">
        <v>-2.0</v>
      </c>
      <c r="U877" s="62">
        <v>1.0</v>
      </c>
      <c r="V877" s="277">
        <v>0.3</v>
      </c>
      <c r="W877" s="277">
        <v>0.0</v>
      </c>
      <c r="X877" s="271">
        <v>-2.0</v>
      </c>
      <c r="Y877" s="271">
        <v>-1.0</v>
      </c>
      <c r="Z877" s="50" t="b">
        <v>1</v>
      </c>
      <c r="AA877" s="50" t="s">
        <v>138</v>
      </c>
      <c r="AB877" s="50" t="s">
        <v>138</v>
      </c>
    </row>
    <row r="878">
      <c r="A878" s="101" t="s">
        <v>160</v>
      </c>
      <c r="B878" s="101" t="s">
        <v>160</v>
      </c>
      <c r="C878" s="278">
        <v>44429.0</v>
      </c>
      <c r="D878" s="278">
        <v>44459.0</v>
      </c>
      <c r="E878" s="271" t="s">
        <v>268</v>
      </c>
      <c r="F878" s="138" t="s">
        <v>4</v>
      </c>
      <c r="G878" s="101" t="s">
        <v>5</v>
      </c>
      <c r="H878" s="273" t="s">
        <v>45</v>
      </c>
      <c r="I878" s="274">
        <v>10.0</v>
      </c>
      <c r="J878" s="271">
        <v>1549.0</v>
      </c>
      <c r="K878" s="271">
        <f t="shared" si="1"/>
        <v>15490</v>
      </c>
      <c r="L878" s="271">
        <v>41218.0</v>
      </c>
      <c r="M878" s="271">
        <v>-480.0</v>
      </c>
      <c r="N878" s="275">
        <v>211.0</v>
      </c>
      <c r="O878" s="60"/>
      <c r="P878" s="50">
        <v>211.0</v>
      </c>
      <c r="Q878" s="271">
        <v>-390.0</v>
      </c>
      <c r="R878" s="276">
        <v>-0.00213</v>
      </c>
      <c r="S878" s="271">
        <v>-423.0</v>
      </c>
      <c r="T878" s="271">
        <v>-212.0</v>
      </c>
      <c r="U878" s="62">
        <v>1.0</v>
      </c>
      <c r="V878" s="277">
        <v>0.3</v>
      </c>
      <c r="W878" s="277">
        <v>0.0</v>
      </c>
      <c r="X878" s="271">
        <v>-149.0</v>
      </c>
      <c r="Y878" s="271">
        <v>-64.0</v>
      </c>
      <c r="Z878" s="50" t="b">
        <v>1</v>
      </c>
      <c r="AA878" s="50" t="s">
        <v>138</v>
      </c>
      <c r="AB878" s="50" t="s">
        <v>138</v>
      </c>
    </row>
    <row r="879">
      <c r="A879" s="101" t="s">
        <v>207</v>
      </c>
      <c r="B879" s="101" t="s">
        <v>208</v>
      </c>
      <c r="C879" s="278">
        <v>44429.0</v>
      </c>
      <c r="D879" s="278">
        <v>44459.0</v>
      </c>
      <c r="E879" s="271" t="s">
        <v>268</v>
      </c>
      <c r="F879" s="138" t="s">
        <v>4</v>
      </c>
      <c r="G879" s="101" t="s">
        <v>13</v>
      </c>
      <c r="H879" s="273" t="s">
        <v>34</v>
      </c>
      <c r="I879" s="274">
        <v>5.0</v>
      </c>
      <c r="J879" s="271">
        <v>15333.0</v>
      </c>
      <c r="K879" s="271">
        <f t="shared" si="1"/>
        <v>76665</v>
      </c>
      <c r="L879" s="271">
        <v>252465.0</v>
      </c>
      <c r="M879" s="271">
        <v>-920.0</v>
      </c>
      <c r="N879" s="275">
        <f>1732+1406+326*5</f>
        <v>4768</v>
      </c>
      <c r="O879" s="60"/>
      <c r="P879" s="109">
        <v>4768.0</v>
      </c>
      <c r="Q879" s="271">
        <v>-1991.0</v>
      </c>
      <c r="R879" s="276">
        <v>-0.00213</v>
      </c>
      <c r="S879" s="271">
        <v>-2154.0</v>
      </c>
      <c r="T879" s="271">
        <v>2614.0</v>
      </c>
      <c r="U879" s="62">
        <v>1.0</v>
      </c>
      <c r="V879" s="277">
        <v>0.22</v>
      </c>
      <c r="W879" s="277">
        <v>0.0</v>
      </c>
      <c r="X879" s="271">
        <v>2039.0</v>
      </c>
      <c r="Y879" s="271">
        <v>575.0</v>
      </c>
      <c r="Z879" s="50" t="b">
        <v>1</v>
      </c>
      <c r="AA879" s="50" t="s">
        <v>138</v>
      </c>
      <c r="AB879" s="50" t="s">
        <v>138</v>
      </c>
    </row>
    <row r="880">
      <c r="A880" s="280" t="s">
        <v>177</v>
      </c>
      <c r="B880" s="280" t="s">
        <v>903</v>
      </c>
      <c r="C880" s="283">
        <v>44440.0</v>
      </c>
      <c r="D880" s="283">
        <v>44469.0</v>
      </c>
      <c r="E880" s="280" t="s">
        <v>331</v>
      </c>
      <c r="F880" s="138" t="s">
        <v>8</v>
      </c>
      <c r="G880" s="280" t="s">
        <v>16</v>
      </c>
      <c r="H880" s="273" t="s">
        <v>85</v>
      </c>
      <c r="I880" s="281">
        <v>100.0</v>
      </c>
      <c r="J880" s="280">
        <v>3059.0</v>
      </c>
      <c r="K880" s="271">
        <f t="shared" si="1"/>
        <v>305900</v>
      </c>
      <c r="L880" s="280">
        <v>64591.0</v>
      </c>
      <c r="M880" s="280">
        <v>-7900.0</v>
      </c>
      <c r="N880" s="282">
        <v>15292.69</v>
      </c>
      <c r="O880" s="60"/>
      <c r="P880" s="109">
        <v>15293.0</v>
      </c>
      <c r="Q880" s="280">
        <v>-4305.0</v>
      </c>
      <c r="R880" s="276">
        <v>-0.002081</v>
      </c>
      <c r="S880" s="280">
        <v>-4942.0</v>
      </c>
      <c r="T880" s="280">
        <v>10351.0</v>
      </c>
      <c r="U880" s="62">
        <v>1.0</v>
      </c>
      <c r="V880" s="277">
        <v>0.12</v>
      </c>
      <c r="W880" s="277">
        <v>0.0</v>
      </c>
      <c r="X880" s="280">
        <v>9109.0</v>
      </c>
      <c r="Y880" s="280">
        <v>1242.0</v>
      </c>
      <c r="Z880" s="50" t="b">
        <v>1</v>
      </c>
      <c r="AA880" s="50" t="s">
        <v>138</v>
      </c>
      <c r="AB880" s="50" t="s">
        <v>138</v>
      </c>
    </row>
    <row r="881">
      <c r="A881" s="280" t="s">
        <v>177</v>
      </c>
      <c r="B881" s="280" t="s">
        <v>903</v>
      </c>
      <c r="C881" s="283">
        <v>44440.0</v>
      </c>
      <c r="D881" s="283">
        <v>44469.0</v>
      </c>
      <c r="E881" s="280" t="s">
        <v>331</v>
      </c>
      <c r="F881" s="138" t="s">
        <v>8</v>
      </c>
      <c r="G881" s="280" t="s">
        <v>16</v>
      </c>
      <c r="H881" s="273" t="s">
        <v>96</v>
      </c>
      <c r="I881" s="281">
        <v>250.0</v>
      </c>
      <c r="J881" s="280">
        <v>456.0</v>
      </c>
      <c r="K881" s="271">
        <f t="shared" si="1"/>
        <v>114000</v>
      </c>
      <c r="L881" s="280">
        <v>827.0</v>
      </c>
      <c r="M881" s="280">
        <v>250.0</v>
      </c>
      <c r="N881" s="282">
        <v>52.31</v>
      </c>
      <c r="O881" s="60"/>
      <c r="P881" s="50">
        <v>52.0</v>
      </c>
      <c r="Q881" s="280">
        <v>-4347.0</v>
      </c>
      <c r="R881" s="276">
        <v>-0.002029</v>
      </c>
      <c r="S881" s="280">
        <v>-4578.0</v>
      </c>
      <c r="T881" s="280">
        <v>-4526.0</v>
      </c>
      <c r="U881" s="62">
        <v>1.0</v>
      </c>
      <c r="V881" s="277">
        <v>0.12</v>
      </c>
      <c r="W881" s="277">
        <v>0.0</v>
      </c>
      <c r="X881" s="280">
        <v>-3983.0</v>
      </c>
      <c r="Y881" s="280">
        <v>-543.0</v>
      </c>
      <c r="Z881" s="50" t="b">
        <v>1</v>
      </c>
      <c r="AA881" s="50" t="s">
        <v>138</v>
      </c>
      <c r="AB881" s="50" t="s">
        <v>138</v>
      </c>
    </row>
    <row r="882">
      <c r="A882" s="280" t="s">
        <v>177</v>
      </c>
      <c r="B882" s="280" t="s">
        <v>903</v>
      </c>
      <c r="C882" s="283">
        <v>44440.0</v>
      </c>
      <c r="D882" s="283">
        <v>44469.0</v>
      </c>
      <c r="E882" s="280" t="s">
        <v>331</v>
      </c>
      <c r="F882" s="138" t="s">
        <v>8</v>
      </c>
      <c r="G882" s="280" t="s">
        <v>16</v>
      </c>
      <c r="H882" s="273" t="s">
        <v>74</v>
      </c>
      <c r="I882" s="281">
        <v>50.0</v>
      </c>
      <c r="J882" s="280">
        <v>149.0</v>
      </c>
      <c r="K882" s="271">
        <f t="shared" si="1"/>
        <v>7450</v>
      </c>
      <c r="L882" s="280">
        <v>-3020.0</v>
      </c>
      <c r="M882" s="280">
        <v>-1700.0</v>
      </c>
      <c r="N882" s="282">
        <v>0.0</v>
      </c>
      <c r="O882" s="60"/>
      <c r="P882" s="50">
        <v>0.0</v>
      </c>
      <c r="Q882" s="280">
        <v>-688.0</v>
      </c>
      <c r="R882" s="276">
        <v>-0.001935</v>
      </c>
      <c r="S882" s="280">
        <v>-702.0</v>
      </c>
      <c r="T882" s="280">
        <v>-702.0</v>
      </c>
      <c r="U882" s="62">
        <v>1.0</v>
      </c>
      <c r="V882" s="277">
        <v>0.12</v>
      </c>
      <c r="W882" s="277">
        <v>0.0</v>
      </c>
      <c r="X882" s="280">
        <v>-618.0</v>
      </c>
      <c r="Y882" s="280">
        <v>-84.0</v>
      </c>
      <c r="Z882" s="50" t="b">
        <v>1</v>
      </c>
      <c r="AA882" s="50" t="s">
        <v>138</v>
      </c>
      <c r="AB882" s="50" t="s">
        <v>138</v>
      </c>
    </row>
    <row r="883">
      <c r="A883" s="280" t="s">
        <v>459</v>
      </c>
      <c r="B883" s="280" t="s">
        <v>993</v>
      </c>
      <c r="C883" s="283">
        <v>44440.0</v>
      </c>
      <c r="D883" s="283">
        <v>44469.0</v>
      </c>
      <c r="E883" s="271" t="s">
        <v>331</v>
      </c>
      <c r="F883" s="138" t="s">
        <v>8</v>
      </c>
      <c r="G883" s="280" t="s">
        <v>9</v>
      </c>
      <c r="H883" s="273" t="s">
        <v>90</v>
      </c>
      <c r="I883" s="281">
        <v>100.0</v>
      </c>
      <c r="J883" s="280">
        <v>1715.0</v>
      </c>
      <c r="K883" s="271">
        <f t="shared" si="1"/>
        <v>171500</v>
      </c>
      <c r="L883" s="280">
        <v>90550.0</v>
      </c>
      <c r="M883" s="280">
        <v>-3800.0</v>
      </c>
      <c r="N883" s="282">
        <v>5300.0</v>
      </c>
      <c r="O883" s="60"/>
      <c r="P883" s="109">
        <v>5300.0</v>
      </c>
      <c r="Q883" s="280">
        <v>1504.0</v>
      </c>
      <c r="R883" s="276">
        <v>0.002424</v>
      </c>
      <c r="S883" s="280">
        <v>1920.0</v>
      </c>
      <c r="T883" s="280">
        <v>7220.0</v>
      </c>
      <c r="U883" s="62">
        <v>1.0</v>
      </c>
      <c r="V883" s="277">
        <v>0.15</v>
      </c>
      <c r="W883" s="277">
        <v>0.1</v>
      </c>
      <c r="X883" s="280">
        <v>5415.0</v>
      </c>
      <c r="Y883" s="280">
        <v>1805.0</v>
      </c>
      <c r="Z883" s="50" t="b">
        <v>1</v>
      </c>
      <c r="AA883" s="50" t="s">
        <v>140</v>
      </c>
      <c r="AB883" s="50" t="s">
        <v>140</v>
      </c>
    </row>
    <row r="884">
      <c r="A884" s="101" t="s">
        <v>197</v>
      </c>
      <c r="B884" s="101" t="s">
        <v>197</v>
      </c>
      <c r="C884" s="283">
        <v>44440.0</v>
      </c>
      <c r="D884" s="283">
        <v>44469.0</v>
      </c>
      <c r="E884" s="280" t="s">
        <v>268</v>
      </c>
      <c r="F884" s="138" t="s">
        <v>8</v>
      </c>
      <c r="G884" s="271" t="s">
        <v>5</v>
      </c>
      <c r="H884" s="273" t="s">
        <v>34</v>
      </c>
      <c r="I884" s="281">
        <v>5.0</v>
      </c>
      <c r="J884" s="280">
        <v>2.0</v>
      </c>
      <c r="K884" s="271">
        <f t="shared" si="1"/>
        <v>10</v>
      </c>
      <c r="L884" s="280">
        <v>1286.0</v>
      </c>
      <c r="M884" s="280">
        <v>15.0</v>
      </c>
      <c r="N884" s="275"/>
      <c r="O884" s="60"/>
      <c r="P884" s="101"/>
      <c r="Q884" s="280">
        <v>11.0</v>
      </c>
      <c r="R884" s="276">
        <v>0.0015</v>
      </c>
      <c r="S884" s="280">
        <v>11.0</v>
      </c>
      <c r="T884" s="280">
        <v>11.0</v>
      </c>
      <c r="U884" s="62">
        <v>1.0</v>
      </c>
      <c r="V884" s="277">
        <v>0.17</v>
      </c>
      <c r="W884" s="277">
        <v>0.0</v>
      </c>
      <c r="X884" s="280">
        <v>9.0</v>
      </c>
      <c r="Y884" s="280">
        <v>2.0</v>
      </c>
      <c r="Z884" s="50" t="b">
        <v>1</v>
      </c>
      <c r="AA884" s="50" t="s">
        <v>138</v>
      </c>
      <c r="AB884" s="50" t="s">
        <v>138</v>
      </c>
    </row>
    <row r="885">
      <c r="A885" s="101" t="s">
        <v>197</v>
      </c>
      <c r="B885" s="101" t="s">
        <v>197</v>
      </c>
      <c r="C885" s="283">
        <v>44440.0</v>
      </c>
      <c r="D885" s="283">
        <v>44469.0</v>
      </c>
      <c r="E885" s="280" t="s">
        <v>268</v>
      </c>
      <c r="F885" s="138" t="s">
        <v>8</v>
      </c>
      <c r="G885" s="271" t="s">
        <v>5</v>
      </c>
      <c r="H885" s="273" t="s">
        <v>45</v>
      </c>
      <c r="I885" s="281">
        <v>10.0</v>
      </c>
      <c r="J885" s="280">
        <v>73.0</v>
      </c>
      <c r="K885" s="271">
        <f t="shared" si="1"/>
        <v>730</v>
      </c>
      <c r="L885" s="280">
        <v>2578.0</v>
      </c>
      <c r="M885" s="280">
        <v>-50.0</v>
      </c>
      <c r="N885" s="275">
        <v>30.0</v>
      </c>
      <c r="O885" s="60"/>
      <c r="P885" s="50">
        <v>30.0</v>
      </c>
      <c r="Q885" s="280">
        <v>-7.0</v>
      </c>
      <c r="R885" s="276">
        <v>0.0015</v>
      </c>
      <c r="S885" s="280">
        <v>-6.0</v>
      </c>
      <c r="T885" s="280">
        <v>24.0</v>
      </c>
      <c r="U885" s="62">
        <v>1.0</v>
      </c>
      <c r="V885" s="277">
        <v>0.17</v>
      </c>
      <c r="W885" s="277">
        <v>0.0</v>
      </c>
      <c r="X885" s="280">
        <v>20.0</v>
      </c>
      <c r="Y885" s="280">
        <v>4.0</v>
      </c>
      <c r="Z885" s="50" t="b">
        <v>1</v>
      </c>
      <c r="AA885" s="50" t="s">
        <v>138</v>
      </c>
      <c r="AB885" s="50" t="s">
        <v>138</v>
      </c>
    </row>
    <row r="886">
      <c r="A886" s="101" t="s">
        <v>197</v>
      </c>
      <c r="B886" s="101" t="s">
        <v>197</v>
      </c>
      <c r="C886" s="283">
        <v>44440.0</v>
      </c>
      <c r="D886" s="283">
        <v>44469.0</v>
      </c>
      <c r="E886" s="280" t="s">
        <v>268</v>
      </c>
      <c r="F886" s="138" t="s">
        <v>8</v>
      </c>
      <c r="G886" s="271" t="s">
        <v>5</v>
      </c>
      <c r="H886" s="273" t="s">
        <v>62</v>
      </c>
      <c r="I886" s="281">
        <v>25.0</v>
      </c>
      <c r="J886" s="280">
        <v>2804.0</v>
      </c>
      <c r="K886" s="271">
        <f t="shared" si="1"/>
        <v>70100</v>
      </c>
      <c r="L886" s="280">
        <v>114152.99999999999</v>
      </c>
      <c r="M886" s="280">
        <v>2925.0</v>
      </c>
      <c r="N886" s="275">
        <v>2441.0</v>
      </c>
      <c r="O886" s="60"/>
      <c r="P886" s="109">
        <v>2441.0</v>
      </c>
      <c r="Q886" s="280">
        <v>827.0</v>
      </c>
      <c r="R886" s="276">
        <v>0.0015</v>
      </c>
      <c r="S886" s="280">
        <v>933.0</v>
      </c>
      <c r="T886" s="280">
        <v>3374.0</v>
      </c>
      <c r="U886" s="62">
        <v>1.0</v>
      </c>
      <c r="V886" s="277">
        <v>0.17</v>
      </c>
      <c r="W886" s="277">
        <v>0.0</v>
      </c>
      <c r="X886" s="280">
        <v>2800.0</v>
      </c>
      <c r="Y886" s="280">
        <v>574.0</v>
      </c>
      <c r="Z886" s="50" t="b">
        <v>1</v>
      </c>
      <c r="AA886" s="50" t="s">
        <v>138</v>
      </c>
      <c r="AB886" s="50" t="s">
        <v>138</v>
      </c>
    </row>
    <row r="887">
      <c r="A887" s="101" t="s">
        <v>197</v>
      </c>
      <c r="B887" s="101" t="s">
        <v>197</v>
      </c>
      <c r="C887" s="283">
        <v>44440.0</v>
      </c>
      <c r="D887" s="283">
        <v>44469.0</v>
      </c>
      <c r="E887" s="280" t="s">
        <v>268</v>
      </c>
      <c r="F887" s="138" t="s">
        <v>8</v>
      </c>
      <c r="G887" s="271" t="s">
        <v>5</v>
      </c>
      <c r="H887" s="273" t="s">
        <v>74</v>
      </c>
      <c r="I887" s="281">
        <v>50.0</v>
      </c>
      <c r="J887" s="280">
        <v>82.0</v>
      </c>
      <c r="K887" s="271">
        <f t="shared" si="1"/>
        <v>4100</v>
      </c>
      <c r="L887" s="280">
        <v>-455.0</v>
      </c>
      <c r="M887" s="280">
        <v>-1150.0</v>
      </c>
      <c r="N887" s="275">
        <v>143.0</v>
      </c>
      <c r="O887" s="60"/>
      <c r="P887" s="50">
        <v>143.0</v>
      </c>
      <c r="Q887" s="280">
        <v>-305.0</v>
      </c>
      <c r="R887" s="276">
        <v>0.0015</v>
      </c>
      <c r="S887" s="280">
        <v>-298.0</v>
      </c>
      <c r="T887" s="280">
        <v>-155.0</v>
      </c>
      <c r="U887" s="62">
        <v>1.0</v>
      </c>
      <c r="V887" s="277">
        <v>0.17</v>
      </c>
      <c r="W887" s="277">
        <v>0.0</v>
      </c>
      <c r="X887" s="280">
        <v>-129.0</v>
      </c>
      <c r="Y887" s="280">
        <v>-26.0</v>
      </c>
      <c r="Z887" s="50" t="b">
        <v>1</v>
      </c>
      <c r="AA887" s="50" t="s">
        <v>138</v>
      </c>
      <c r="AB887" s="50" t="s">
        <v>138</v>
      </c>
    </row>
    <row r="888">
      <c r="A888" s="101" t="s">
        <v>267</v>
      </c>
      <c r="B888" s="101" t="s">
        <v>267</v>
      </c>
      <c r="C888" s="278">
        <v>44460.0</v>
      </c>
      <c r="D888" s="278">
        <v>44489.0</v>
      </c>
      <c r="E888" s="271" t="s">
        <v>268</v>
      </c>
      <c r="F888" s="138" t="s">
        <v>4</v>
      </c>
      <c r="G888" s="101" t="s">
        <v>5</v>
      </c>
      <c r="H888" s="273" t="s">
        <v>45</v>
      </c>
      <c r="I888" s="274">
        <v>10.0</v>
      </c>
      <c r="J888" s="271">
        <v>251.0</v>
      </c>
      <c r="K888" s="271">
        <f t="shared" si="1"/>
        <v>2510</v>
      </c>
      <c r="L888" s="271">
        <v>17006.0</v>
      </c>
      <c r="M888" s="271">
        <v>230.0</v>
      </c>
      <c r="N888" s="275">
        <v>62.0</v>
      </c>
      <c r="O888" s="60"/>
      <c r="P888" s="50">
        <v>62.0</v>
      </c>
      <c r="Q888" s="271">
        <v>122.0</v>
      </c>
      <c r="R888" s="276">
        <v>-0.0015</v>
      </c>
      <c r="S888" s="271">
        <v>118.0</v>
      </c>
      <c r="T888" s="271">
        <v>180.0</v>
      </c>
      <c r="U888" s="62">
        <v>1.0</v>
      </c>
      <c r="V888" s="277">
        <v>0.15</v>
      </c>
      <c r="W888" s="277">
        <v>0.0</v>
      </c>
      <c r="X888" s="271">
        <v>153.0</v>
      </c>
      <c r="Y888" s="271">
        <v>27.0</v>
      </c>
      <c r="Z888" s="50" t="b">
        <v>1</v>
      </c>
      <c r="AA888" s="50" t="s">
        <v>138</v>
      </c>
      <c r="AB888" s="50" t="s">
        <v>138</v>
      </c>
    </row>
    <row r="889">
      <c r="A889" s="101" t="s">
        <v>267</v>
      </c>
      <c r="B889" s="101" t="s">
        <v>267</v>
      </c>
      <c r="C889" s="278">
        <v>44460.0</v>
      </c>
      <c r="D889" s="278">
        <v>44489.0</v>
      </c>
      <c r="E889" s="271" t="s">
        <v>268</v>
      </c>
      <c r="F889" s="138" t="s">
        <v>4</v>
      </c>
      <c r="G889" s="101" t="s">
        <v>5</v>
      </c>
      <c r="H889" s="273" t="s">
        <v>48</v>
      </c>
      <c r="I889" s="274">
        <v>10.0</v>
      </c>
      <c r="J889" s="271">
        <v>601.0</v>
      </c>
      <c r="K889" s="271">
        <f t="shared" si="1"/>
        <v>6010</v>
      </c>
      <c r="L889" s="271">
        <v>14065.0</v>
      </c>
      <c r="M889" s="271">
        <v>-170.0</v>
      </c>
      <c r="N889" s="275">
        <v>149.0</v>
      </c>
      <c r="O889" s="60"/>
      <c r="P889" s="50">
        <v>149.0</v>
      </c>
      <c r="Q889" s="271">
        <v>-15.0</v>
      </c>
      <c r="R889" s="276">
        <v>-0.0015</v>
      </c>
      <c r="S889" s="271">
        <v>-24.0</v>
      </c>
      <c r="T889" s="271">
        <v>125.0</v>
      </c>
      <c r="U889" s="62">
        <v>1.0</v>
      </c>
      <c r="V889" s="277">
        <v>0.15</v>
      </c>
      <c r="W889" s="277">
        <v>0.0</v>
      </c>
      <c r="X889" s="271">
        <v>106.0</v>
      </c>
      <c r="Y889" s="271">
        <v>19.0</v>
      </c>
      <c r="Z889" s="50" t="b">
        <v>1</v>
      </c>
      <c r="AA889" s="50" t="s">
        <v>138</v>
      </c>
      <c r="AB889" s="50" t="s">
        <v>138</v>
      </c>
    </row>
    <row r="890">
      <c r="A890" s="101" t="s">
        <v>267</v>
      </c>
      <c r="B890" s="101" t="s">
        <v>267</v>
      </c>
      <c r="C890" s="278">
        <v>44460.0</v>
      </c>
      <c r="D890" s="278">
        <v>44489.0</v>
      </c>
      <c r="E890" s="271" t="s">
        <v>268</v>
      </c>
      <c r="F890" s="138" t="s">
        <v>4</v>
      </c>
      <c r="G890" s="101" t="s">
        <v>5</v>
      </c>
      <c r="H890" s="273" t="s">
        <v>62</v>
      </c>
      <c r="I890" s="274">
        <v>25.0</v>
      </c>
      <c r="J890" s="271">
        <v>1050.0</v>
      </c>
      <c r="K890" s="271">
        <f t="shared" si="1"/>
        <v>26250</v>
      </c>
      <c r="L890" s="271">
        <v>29870.0</v>
      </c>
      <c r="M890" s="271">
        <v>725.0</v>
      </c>
      <c r="N890" s="275">
        <v>561.0</v>
      </c>
      <c r="O890" s="60"/>
      <c r="P890" s="50">
        <v>561.0</v>
      </c>
      <c r="Q890" s="271">
        <v>-295.0</v>
      </c>
      <c r="R890" s="276">
        <v>-0.0015</v>
      </c>
      <c r="S890" s="271">
        <v>-335.0</v>
      </c>
      <c r="T890" s="271">
        <v>226.0</v>
      </c>
      <c r="U890" s="62">
        <v>1.0</v>
      </c>
      <c r="V890" s="277">
        <v>0.15</v>
      </c>
      <c r="W890" s="277">
        <v>0.0</v>
      </c>
      <c r="X890" s="271">
        <v>192.0</v>
      </c>
      <c r="Y890" s="271">
        <v>34.0</v>
      </c>
      <c r="Z890" s="50" t="b">
        <v>1</v>
      </c>
      <c r="AA890" s="50" t="s">
        <v>138</v>
      </c>
      <c r="AB890" s="50" t="s">
        <v>138</v>
      </c>
    </row>
    <row r="891">
      <c r="A891" s="101" t="s">
        <v>267</v>
      </c>
      <c r="B891" s="101" t="s">
        <v>267</v>
      </c>
      <c r="C891" s="278">
        <v>44460.0</v>
      </c>
      <c r="D891" s="278">
        <v>44489.0</v>
      </c>
      <c r="E891" s="271" t="s">
        <v>268</v>
      </c>
      <c r="F891" s="138" t="s">
        <v>4</v>
      </c>
      <c r="G891" s="101" t="s">
        <v>5</v>
      </c>
      <c r="H891" s="273" t="s">
        <v>63</v>
      </c>
      <c r="I891" s="274">
        <v>25.0</v>
      </c>
      <c r="J891" s="271">
        <v>260.0</v>
      </c>
      <c r="K891" s="271">
        <f t="shared" si="1"/>
        <v>6500</v>
      </c>
      <c r="L891" s="271">
        <v>3214.0</v>
      </c>
      <c r="M891" s="271">
        <v>-1175.0</v>
      </c>
      <c r="N891" s="275">
        <v>138.0</v>
      </c>
      <c r="O891" s="60"/>
      <c r="P891" s="50">
        <v>138.0</v>
      </c>
      <c r="Q891" s="271">
        <v>-168.0</v>
      </c>
      <c r="R891" s="276">
        <v>-0.0015</v>
      </c>
      <c r="S891" s="271">
        <v>-177.0</v>
      </c>
      <c r="T891" s="271">
        <v>-39.0</v>
      </c>
      <c r="U891" s="62">
        <v>1.0</v>
      </c>
      <c r="V891" s="277">
        <v>0.15</v>
      </c>
      <c r="W891" s="277">
        <v>0.0</v>
      </c>
      <c r="X891" s="271">
        <v>-34.0</v>
      </c>
      <c r="Y891" s="271">
        <v>-6.0</v>
      </c>
      <c r="Z891" s="50" t="b">
        <v>1</v>
      </c>
      <c r="AA891" s="50" t="s">
        <v>138</v>
      </c>
      <c r="AB891" s="50" t="s">
        <v>138</v>
      </c>
    </row>
    <row r="892">
      <c r="A892" s="101" t="s">
        <v>267</v>
      </c>
      <c r="B892" s="101" t="s">
        <v>267</v>
      </c>
      <c r="C892" s="278">
        <v>44460.0</v>
      </c>
      <c r="D892" s="278">
        <v>44489.0</v>
      </c>
      <c r="E892" s="271" t="s">
        <v>268</v>
      </c>
      <c r="F892" s="138" t="s">
        <v>4</v>
      </c>
      <c r="G892" s="101" t="s">
        <v>5</v>
      </c>
      <c r="H892" s="273" t="s">
        <v>74</v>
      </c>
      <c r="I892" s="274">
        <v>50.0</v>
      </c>
      <c r="J892" s="271">
        <v>104.0</v>
      </c>
      <c r="K892" s="271">
        <f t="shared" si="1"/>
        <v>5200</v>
      </c>
      <c r="L892" s="271">
        <v>9817.0</v>
      </c>
      <c r="M892" s="271">
        <v>600.0</v>
      </c>
      <c r="N892" s="275">
        <v>111.0</v>
      </c>
      <c r="O892" s="60"/>
      <c r="P892" s="50">
        <v>111.0</v>
      </c>
      <c r="Q892" s="271">
        <v>567.0</v>
      </c>
      <c r="R892" s="276">
        <v>-0.0015</v>
      </c>
      <c r="S892" s="271">
        <v>560.0</v>
      </c>
      <c r="T892" s="271">
        <v>671.0</v>
      </c>
      <c r="U892" s="62">
        <v>1.0</v>
      </c>
      <c r="V892" s="277">
        <v>0.15</v>
      </c>
      <c r="W892" s="277">
        <v>0.0</v>
      </c>
      <c r="X892" s="271">
        <v>570.0</v>
      </c>
      <c r="Y892" s="271">
        <v>101.0</v>
      </c>
      <c r="Z892" s="50" t="b">
        <v>1</v>
      </c>
      <c r="AA892" s="50" t="s">
        <v>138</v>
      </c>
      <c r="AB892" s="50" t="s">
        <v>138</v>
      </c>
    </row>
    <row r="893">
      <c r="A893" s="101" t="s">
        <v>267</v>
      </c>
      <c r="B893" s="101" t="s">
        <v>267</v>
      </c>
      <c r="C893" s="278">
        <v>44460.0</v>
      </c>
      <c r="D893" s="278">
        <v>44489.0</v>
      </c>
      <c r="E893" s="271" t="s">
        <v>268</v>
      </c>
      <c r="F893" s="138" t="s">
        <v>4</v>
      </c>
      <c r="G893" s="101" t="s">
        <v>5</v>
      </c>
      <c r="H893" s="273" t="s">
        <v>75</v>
      </c>
      <c r="I893" s="274">
        <v>50.0</v>
      </c>
      <c r="J893" s="271">
        <v>22.0</v>
      </c>
      <c r="K893" s="271">
        <f t="shared" si="1"/>
        <v>1100</v>
      </c>
      <c r="L893" s="271">
        <v>-146.0</v>
      </c>
      <c r="M893" s="271">
        <v>50.0</v>
      </c>
      <c r="N893" s="275">
        <v>23.0</v>
      </c>
      <c r="O893" s="60"/>
      <c r="P893" s="50">
        <v>23.0</v>
      </c>
      <c r="Q893" s="271">
        <v>-93.0</v>
      </c>
      <c r="R893" s="276">
        <v>-0.0015</v>
      </c>
      <c r="S893" s="271">
        <v>-95.0</v>
      </c>
      <c r="T893" s="271">
        <v>-72.0</v>
      </c>
      <c r="U893" s="62">
        <v>1.0</v>
      </c>
      <c r="V893" s="277">
        <v>0.15</v>
      </c>
      <c r="W893" s="277">
        <v>0.0</v>
      </c>
      <c r="X893" s="271">
        <v>-61.0</v>
      </c>
      <c r="Y893" s="271">
        <v>-11.0</v>
      </c>
      <c r="Z893" s="50" t="b">
        <v>1</v>
      </c>
      <c r="AA893" s="50" t="s">
        <v>138</v>
      </c>
      <c r="AB893" s="50" t="s">
        <v>138</v>
      </c>
    </row>
    <row r="894">
      <c r="A894" s="271" t="s">
        <v>144</v>
      </c>
      <c r="B894" s="271" t="s">
        <v>144</v>
      </c>
      <c r="C894" s="283">
        <v>44460.0</v>
      </c>
      <c r="D894" s="283">
        <v>44489.0</v>
      </c>
      <c r="E894" s="280" t="s">
        <v>268</v>
      </c>
      <c r="F894" s="138" t="s">
        <v>4</v>
      </c>
      <c r="G894" s="280" t="s">
        <v>9</v>
      </c>
      <c r="H894" s="273" t="s">
        <v>54</v>
      </c>
      <c r="I894" s="281">
        <v>10.0</v>
      </c>
      <c r="J894" s="280">
        <v>175.0</v>
      </c>
      <c r="K894" s="271">
        <f t="shared" si="1"/>
        <v>1750</v>
      </c>
      <c r="L894" s="280">
        <v>12078.0</v>
      </c>
      <c r="M894" s="280">
        <v>-70.0</v>
      </c>
      <c r="N894" s="282">
        <v>9.07</v>
      </c>
      <c r="O894" s="60"/>
      <c r="P894" s="50">
        <v>9.0</v>
      </c>
      <c r="Q894" s="280">
        <v>54.0</v>
      </c>
      <c r="R894" s="276">
        <v>-0.00224</v>
      </c>
      <c r="S894" s="280">
        <v>50.0</v>
      </c>
      <c r="T894" s="280">
        <v>59.0</v>
      </c>
      <c r="U894" s="62">
        <v>1.0</v>
      </c>
      <c r="V894" s="277">
        <v>0.2</v>
      </c>
      <c r="W894" s="277">
        <v>0.0</v>
      </c>
      <c r="X894" s="280">
        <v>48.0</v>
      </c>
      <c r="Y894" s="280">
        <v>12.0</v>
      </c>
      <c r="Z894" s="50" t="b">
        <v>1</v>
      </c>
      <c r="AA894" s="50" t="s">
        <v>140</v>
      </c>
      <c r="AB894" s="50" t="s">
        <v>140</v>
      </c>
    </row>
    <row r="895">
      <c r="A895" s="271" t="s">
        <v>144</v>
      </c>
      <c r="B895" s="271" t="s">
        <v>144</v>
      </c>
      <c r="C895" s="283">
        <v>44460.0</v>
      </c>
      <c r="D895" s="283">
        <v>44489.0</v>
      </c>
      <c r="E895" s="280" t="s">
        <v>268</v>
      </c>
      <c r="F895" s="138" t="s">
        <v>4</v>
      </c>
      <c r="G895" s="280" t="s">
        <v>9</v>
      </c>
      <c r="H895" s="273" t="s">
        <v>55</v>
      </c>
      <c r="I895" s="281">
        <v>10.0</v>
      </c>
      <c r="J895" s="280">
        <v>625.0</v>
      </c>
      <c r="K895" s="271">
        <f t="shared" si="1"/>
        <v>6250</v>
      </c>
      <c r="L895" s="280">
        <v>30306.0</v>
      </c>
      <c r="M895" s="280">
        <v>58.0</v>
      </c>
      <c r="N895" s="282">
        <v>0.93</v>
      </c>
      <c r="O895" s="60"/>
      <c r="P895" s="50">
        <v>1.0</v>
      </c>
      <c r="Q895" s="280">
        <v>36.0</v>
      </c>
      <c r="R895" s="276">
        <v>-0.00224</v>
      </c>
      <c r="S895" s="280">
        <v>22.0</v>
      </c>
      <c r="T895" s="280">
        <v>23.0</v>
      </c>
      <c r="U895" s="62">
        <v>1.0</v>
      </c>
      <c r="V895" s="277">
        <v>0.2</v>
      </c>
      <c r="W895" s="277">
        <v>0.0</v>
      </c>
      <c r="X895" s="280">
        <v>18.0</v>
      </c>
      <c r="Y895" s="280">
        <v>5.0</v>
      </c>
      <c r="Z895" s="50" t="b">
        <v>1</v>
      </c>
      <c r="AA895" s="50" t="s">
        <v>140</v>
      </c>
      <c r="AB895" s="50" t="s">
        <v>140</v>
      </c>
    </row>
    <row r="896">
      <c r="A896" s="101" t="s">
        <v>148</v>
      </c>
      <c r="B896" s="101" t="s">
        <v>148</v>
      </c>
      <c r="C896" s="278">
        <v>44460.0</v>
      </c>
      <c r="D896" s="278">
        <v>44489.0</v>
      </c>
      <c r="E896" s="271" t="s">
        <v>331</v>
      </c>
      <c r="F896" s="138" t="s">
        <v>4</v>
      </c>
      <c r="G896" s="101" t="s">
        <v>5</v>
      </c>
      <c r="H896" s="273" t="s">
        <v>45</v>
      </c>
      <c r="I896" s="274">
        <v>10.0</v>
      </c>
      <c r="J896" s="271">
        <v>9.0</v>
      </c>
      <c r="K896" s="271">
        <f t="shared" si="1"/>
        <v>90</v>
      </c>
      <c r="L896" s="271">
        <v>1921.0</v>
      </c>
      <c r="M896" s="271">
        <v>20.0</v>
      </c>
      <c r="N896" s="275">
        <v>5.0</v>
      </c>
      <c r="O896" s="60"/>
      <c r="P896" s="50">
        <v>5.0</v>
      </c>
      <c r="Q896" s="271">
        <v>29.0</v>
      </c>
      <c r="R896" s="276">
        <v>-0.00224</v>
      </c>
      <c r="S896" s="271">
        <v>28.0</v>
      </c>
      <c r="T896" s="271">
        <v>33.0</v>
      </c>
      <c r="U896" s="62">
        <v>1.0</v>
      </c>
      <c r="V896" s="277">
        <v>0.15</v>
      </c>
      <c r="W896" s="277">
        <v>0.05</v>
      </c>
      <c r="X896" s="271">
        <v>27.0</v>
      </c>
      <c r="Y896" s="271">
        <v>7.0</v>
      </c>
      <c r="Z896" s="50" t="b">
        <v>1</v>
      </c>
      <c r="AA896" s="50" t="s">
        <v>138</v>
      </c>
      <c r="AB896" s="50" t="s">
        <v>138</v>
      </c>
    </row>
    <row r="897">
      <c r="A897" s="101" t="s">
        <v>148</v>
      </c>
      <c r="B897" s="101" t="s">
        <v>148</v>
      </c>
      <c r="C897" s="278">
        <v>44460.0</v>
      </c>
      <c r="D897" s="278">
        <v>44489.0</v>
      </c>
      <c r="E897" s="271" t="s">
        <v>331</v>
      </c>
      <c r="F897" s="138" t="s">
        <v>4</v>
      </c>
      <c r="G897" s="101" t="s">
        <v>5</v>
      </c>
      <c r="H897" s="273" t="s">
        <v>74</v>
      </c>
      <c r="I897" s="274">
        <v>50.0</v>
      </c>
      <c r="J897" s="271">
        <v>4158.0</v>
      </c>
      <c r="K897" s="271">
        <f t="shared" si="1"/>
        <v>207900</v>
      </c>
      <c r="L897" s="271">
        <v>64825.0</v>
      </c>
      <c r="M897" s="271">
        <v>-11100.0</v>
      </c>
      <c r="N897" s="275">
        <v>9804.0</v>
      </c>
      <c r="O897" s="60"/>
      <c r="P897" s="109">
        <v>9804.0</v>
      </c>
      <c r="Q897" s="271">
        <v>-7372.0</v>
      </c>
      <c r="R897" s="276">
        <v>-0.00224</v>
      </c>
      <c r="S897" s="271">
        <v>-7838.0</v>
      </c>
      <c r="T897" s="271">
        <v>1966.0</v>
      </c>
      <c r="U897" s="62">
        <v>1.0</v>
      </c>
      <c r="V897" s="277">
        <v>0.15</v>
      </c>
      <c r="W897" s="277">
        <v>0.05</v>
      </c>
      <c r="X897" s="271">
        <v>1573.0</v>
      </c>
      <c r="Y897" s="271">
        <v>393.0</v>
      </c>
      <c r="Z897" s="50" t="b">
        <v>1</v>
      </c>
      <c r="AA897" s="50" t="s">
        <v>138</v>
      </c>
      <c r="AB897" s="50" t="s">
        <v>138</v>
      </c>
    </row>
    <row r="898">
      <c r="A898" s="101" t="s">
        <v>148</v>
      </c>
      <c r="B898" s="101" t="s">
        <v>148</v>
      </c>
      <c r="C898" s="278">
        <v>44460.0</v>
      </c>
      <c r="D898" s="278">
        <v>44489.0</v>
      </c>
      <c r="E898" s="271" t="s">
        <v>331</v>
      </c>
      <c r="F898" s="138" t="s">
        <v>4</v>
      </c>
      <c r="G898" s="101" t="s">
        <v>5</v>
      </c>
      <c r="H898" s="273" t="s">
        <v>85</v>
      </c>
      <c r="I898" s="274">
        <v>100.0</v>
      </c>
      <c r="J898" s="271">
        <v>4.0</v>
      </c>
      <c r="K898" s="271">
        <f t="shared" si="1"/>
        <v>400</v>
      </c>
      <c r="L898" s="271">
        <v>860.0</v>
      </c>
      <c r="M898" s="271">
        <v>600.0</v>
      </c>
      <c r="N898" s="275">
        <v>16.0</v>
      </c>
      <c r="O898" s="60"/>
      <c r="P898" s="50">
        <v>16.0</v>
      </c>
      <c r="Q898" s="271">
        <v>140.0</v>
      </c>
      <c r="R898" s="276">
        <v>-0.00224</v>
      </c>
      <c r="S898" s="271">
        <v>139.0</v>
      </c>
      <c r="T898" s="271">
        <v>155.0</v>
      </c>
      <c r="U898" s="62">
        <v>1.0</v>
      </c>
      <c r="V898" s="277">
        <v>0.15</v>
      </c>
      <c r="W898" s="277">
        <v>0.05</v>
      </c>
      <c r="X898" s="271">
        <v>124.0</v>
      </c>
      <c r="Y898" s="271">
        <v>31.0</v>
      </c>
      <c r="Z898" s="50" t="b">
        <v>1</v>
      </c>
      <c r="AA898" s="50" t="s">
        <v>138</v>
      </c>
      <c r="AB898" s="50" t="s">
        <v>138</v>
      </c>
    </row>
    <row r="899">
      <c r="A899" s="101" t="s">
        <v>182</v>
      </c>
      <c r="B899" s="280">
        <v>66.5622</v>
      </c>
      <c r="C899" s="283">
        <v>44460.0</v>
      </c>
      <c r="D899" s="283">
        <v>44489.0</v>
      </c>
      <c r="E899" s="280" t="s">
        <v>268</v>
      </c>
      <c r="F899" s="138" t="s">
        <v>4</v>
      </c>
      <c r="G899" s="280" t="s">
        <v>9</v>
      </c>
      <c r="H899" s="273" t="s">
        <v>54</v>
      </c>
      <c r="I899" s="281">
        <v>10.0</v>
      </c>
      <c r="J899" s="280">
        <v>419.0</v>
      </c>
      <c r="K899" s="271">
        <f t="shared" si="1"/>
        <v>4190</v>
      </c>
      <c r="L899" s="280">
        <v>37311.0</v>
      </c>
      <c r="M899" s="280">
        <v>-128.0</v>
      </c>
      <c r="N899" s="282">
        <v>14.99</v>
      </c>
      <c r="O899" s="60"/>
      <c r="P899" s="50">
        <v>15.0</v>
      </c>
      <c r="Q899" s="280">
        <v>264.0</v>
      </c>
      <c r="R899" s="276">
        <v>-0.00224</v>
      </c>
      <c r="S899" s="280">
        <v>255.0</v>
      </c>
      <c r="T899" s="280">
        <v>270.0</v>
      </c>
      <c r="U899" s="62">
        <v>1.166</v>
      </c>
      <c r="V899" s="277">
        <v>0.2</v>
      </c>
      <c r="W899" s="277">
        <v>0.0</v>
      </c>
      <c r="X899" s="280">
        <v>252.0</v>
      </c>
      <c r="Y899" s="280">
        <v>63.0</v>
      </c>
      <c r="Z899" s="50" t="b">
        <v>1</v>
      </c>
      <c r="AA899" s="50" t="s">
        <v>138</v>
      </c>
      <c r="AB899" s="50" t="s">
        <v>140</v>
      </c>
    </row>
    <row r="900">
      <c r="A900" s="101" t="s">
        <v>182</v>
      </c>
      <c r="B900" s="280">
        <v>66.5622</v>
      </c>
      <c r="C900" s="283">
        <v>44460.0</v>
      </c>
      <c r="D900" s="283">
        <v>44489.0</v>
      </c>
      <c r="E900" s="280" t="s">
        <v>268</v>
      </c>
      <c r="F900" s="138" t="s">
        <v>4</v>
      </c>
      <c r="G900" s="280" t="s">
        <v>9</v>
      </c>
      <c r="H900" s="273" t="s">
        <v>53</v>
      </c>
      <c r="I900" s="281">
        <v>10.0</v>
      </c>
      <c r="J900" s="280">
        <v>8.0</v>
      </c>
      <c r="K900" s="271">
        <f t="shared" si="1"/>
        <v>80</v>
      </c>
      <c r="L900" s="280">
        <v>1911.0</v>
      </c>
      <c r="M900" s="280">
        <v>-12.0</v>
      </c>
      <c r="N900" s="282">
        <v>0.01</v>
      </c>
      <c r="O900" s="60"/>
      <c r="P900" s="50">
        <v>0.0</v>
      </c>
      <c r="Q900" s="280">
        <v>27.0</v>
      </c>
      <c r="R900" s="276">
        <v>-0.00224</v>
      </c>
      <c r="S900" s="280">
        <v>27.0</v>
      </c>
      <c r="T900" s="280">
        <v>27.0</v>
      </c>
      <c r="U900" s="62">
        <v>1.166</v>
      </c>
      <c r="V900" s="277">
        <v>0.2</v>
      </c>
      <c r="W900" s="277">
        <v>0.0</v>
      </c>
      <c r="X900" s="280">
        <v>25.0</v>
      </c>
      <c r="Y900" s="280">
        <v>6.0</v>
      </c>
      <c r="Z900" s="50" t="b">
        <v>1</v>
      </c>
      <c r="AA900" s="50" t="s">
        <v>138</v>
      </c>
      <c r="AB900" s="50" t="s">
        <v>140</v>
      </c>
    </row>
    <row r="901">
      <c r="A901" s="101" t="s">
        <v>182</v>
      </c>
      <c r="B901" s="280">
        <v>66.5622</v>
      </c>
      <c r="C901" s="283">
        <v>44460.0</v>
      </c>
      <c r="D901" s="283">
        <v>44489.0</v>
      </c>
      <c r="E901" s="280" t="s">
        <v>268</v>
      </c>
      <c r="F901" s="138" t="s">
        <v>4</v>
      </c>
      <c r="G901" s="280" t="s">
        <v>9</v>
      </c>
      <c r="H901" s="273" t="s">
        <v>55</v>
      </c>
      <c r="I901" s="281">
        <v>10.0</v>
      </c>
      <c r="J901" s="280">
        <v>100.0</v>
      </c>
      <c r="K901" s="271">
        <f t="shared" si="1"/>
        <v>1000</v>
      </c>
      <c r="L901" s="280">
        <v>5446.0</v>
      </c>
      <c r="M901" s="280">
        <v>-23.0</v>
      </c>
      <c r="N901" s="282">
        <v>0.0</v>
      </c>
      <c r="O901" s="60"/>
      <c r="P901" s="50">
        <v>0.0</v>
      </c>
      <c r="Q901" s="280">
        <v>12.0</v>
      </c>
      <c r="R901" s="276">
        <v>-0.00224</v>
      </c>
      <c r="S901" s="280">
        <v>10.0</v>
      </c>
      <c r="T901" s="280">
        <v>10.0</v>
      </c>
      <c r="U901" s="62">
        <v>1.166</v>
      </c>
      <c r="V901" s="277">
        <v>0.2</v>
      </c>
      <c r="W901" s="277">
        <v>0.0</v>
      </c>
      <c r="X901" s="280">
        <v>9.0</v>
      </c>
      <c r="Y901" s="280">
        <v>2.0</v>
      </c>
      <c r="Z901" s="50" t="b">
        <v>1</v>
      </c>
      <c r="AA901" s="50" t="s">
        <v>138</v>
      </c>
      <c r="AB901" s="50" t="s">
        <v>140</v>
      </c>
    </row>
    <row r="902">
      <c r="A902" s="101" t="s">
        <v>182</v>
      </c>
      <c r="B902" s="101" t="s">
        <v>182</v>
      </c>
      <c r="C902" s="283">
        <v>44460.0</v>
      </c>
      <c r="D902" s="283">
        <v>44489.0</v>
      </c>
      <c r="E902" s="280" t="s">
        <v>268</v>
      </c>
      <c r="F902" s="138" t="s">
        <v>4</v>
      </c>
      <c r="G902" s="271" t="s">
        <v>5</v>
      </c>
      <c r="H902" s="273" t="s">
        <v>35</v>
      </c>
      <c r="I902" s="281">
        <v>5.0</v>
      </c>
      <c r="J902" s="280">
        <v>9.0</v>
      </c>
      <c r="K902" s="271">
        <f t="shared" si="1"/>
        <v>45</v>
      </c>
      <c r="L902" s="280">
        <v>3359.0</v>
      </c>
      <c r="M902" s="280">
        <v>10.0</v>
      </c>
      <c r="N902" s="275"/>
      <c r="O902" s="60"/>
      <c r="P902" s="101"/>
      <c r="Q902" s="280">
        <v>26.0</v>
      </c>
      <c r="R902" s="276">
        <v>-0.00224</v>
      </c>
      <c r="S902" s="280">
        <v>26.0</v>
      </c>
      <c r="T902" s="280">
        <v>26.0</v>
      </c>
      <c r="U902" s="62">
        <v>1.0</v>
      </c>
      <c r="V902" s="277">
        <v>0.2</v>
      </c>
      <c r="W902" s="277">
        <v>0.0</v>
      </c>
      <c r="X902" s="280">
        <v>21.0</v>
      </c>
      <c r="Y902" s="280">
        <v>5.0</v>
      </c>
      <c r="Z902" s="50" t="b">
        <v>1</v>
      </c>
      <c r="AA902" s="50" t="s">
        <v>138</v>
      </c>
      <c r="AB902" s="50" t="s">
        <v>138</v>
      </c>
    </row>
    <row r="903">
      <c r="A903" s="101" t="s">
        <v>182</v>
      </c>
      <c r="B903" s="101" t="s">
        <v>182</v>
      </c>
      <c r="C903" s="283">
        <v>44460.0</v>
      </c>
      <c r="D903" s="283">
        <v>44489.0</v>
      </c>
      <c r="E903" s="280" t="s">
        <v>268</v>
      </c>
      <c r="F903" s="138" t="s">
        <v>4</v>
      </c>
      <c r="G903" s="271" t="s">
        <v>5</v>
      </c>
      <c r="H903" s="273" t="s">
        <v>45</v>
      </c>
      <c r="I903" s="281">
        <v>10.0</v>
      </c>
      <c r="J903" s="280">
        <v>66.0</v>
      </c>
      <c r="K903" s="271">
        <f t="shared" si="1"/>
        <v>660</v>
      </c>
      <c r="L903" s="280">
        <v>4954.0</v>
      </c>
      <c r="M903" s="280">
        <v>60.0</v>
      </c>
      <c r="N903" s="275">
        <v>12.0</v>
      </c>
      <c r="O903" s="60"/>
      <c r="P903" s="50">
        <v>12.0</v>
      </c>
      <c r="Q903" s="280">
        <v>42.0</v>
      </c>
      <c r="R903" s="276">
        <v>-0.00224</v>
      </c>
      <c r="S903" s="280">
        <v>41.0</v>
      </c>
      <c r="T903" s="280">
        <v>53.0</v>
      </c>
      <c r="U903" s="62">
        <v>1.0</v>
      </c>
      <c r="V903" s="277">
        <v>0.2</v>
      </c>
      <c r="W903" s="277">
        <v>0.0</v>
      </c>
      <c r="X903" s="280">
        <v>42.0</v>
      </c>
      <c r="Y903" s="280">
        <v>11.0</v>
      </c>
      <c r="Z903" s="50" t="b">
        <v>1</v>
      </c>
      <c r="AA903" s="50" t="s">
        <v>138</v>
      </c>
      <c r="AB903" s="50" t="s">
        <v>138</v>
      </c>
    </row>
    <row r="904">
      <c r="A904" s="101" t="s">
        <v>149</v>
      </c>
      <c r="B904" s="101" t="s">
        <v>149</v>
      </c>
      <c r="C904" s="278">
        <v>44460.0</v>
      </c>
      <c r="D904" s="278">
        <v>44489.0</v>
      </c>
      <c r="E904" s="271" t="s">
        <v>268</v>
      </c>
      <c r="F904" s="138" t="s">
        <v>4</v>
      </c>
      <c r="G904" s="101" t="s">
        <v>5</v>
      </c>
      <c r="H904" s="273" t="s">
        <v>62</v>
      </c>
      <c r="I904" s="274">
        <v>25.0</v>
      </c>
      <c r="J904" s="271">
        <v>728.0</v>
      </c>
      <c r="K904" s="271">
        <f t="shared" si="1"/>
        <v>18200</v>
      </c>
      <c r="L904" s="271">
        <v>17421.0</v>
      </c>
      <c r="M904" s="271">
        <v>-175.0</v>
      </c>
      <c r="N904" s="275">
        <v>403.0</v>
      </c>
      <c r="O904" s="60"/>
      <c r="P904" s="50">
        <v>403.0</v>
      </c>
      <c r="Q904" s="271">
        <v>-357.0</v>
      </c>
      <c r="R904" s="276">
        <v>-0.00224</v>
      </c>
      <c r="S904" s="271">
        <v>-398.0</v>
      </c>
      <c r="T904" s="271">
        <v>5.0</v>
      </c>
      <c r="U904" s="62">
        <v>1.0</v>
      </c>
      <c r="V904" s="277">
        <v>0.0</v>
      </c>
      <c r="W904" s="277">
        <v>0.0</v>
      </c>
      <c r="X904" s="271">
        <v>5.0</v>
      </c>
      <c r="Y904" s="271">
        <v>0.0</v>
      </c>
      <c r="Z904" s="50" t="b">
        <v>1</v>
      </c>
      <c r="AA904" s="50" t="s">
        <v>138</v>
      </c>
      <c r="AB904" s="50" t="s">
        <v>138</v>
      </c>
    </row>
    <row r="905">
      <c r="A905" s="101" t="s">
        <v>149</v>
      </c>
      <c r="B905" s="101" t="s">
        <v>149</v>
      </c>
      <c r="C905" s="278">
        <v>44460.0</v>
      </c>
      <c r="D905" s="278">
        <v>44489.0</v>
      </c>
      <c r="E905" s="271" t="s">
        <v>268</v>
      </c>
      <c r="F905" s="138" t="s">
        <v>4</v>
      </c>
      <c r="G905" s="101" t="s">
        <v>5</v>
      </c>
      <c r="H905" s="273" t="s">
        <v>74</v>
      </c>
      <c r="I905" s="274">
        <v>50.0</v>
      </c>
      <c r="J905" s="271">
        <v>3578.0</v>
      </c>
      <c r="K905" s="271">
        <f t="shared" si="1"/>
        <v>178900</v>
      </c>
      <c r="L905" s="271">
        <v>107417.0</v>
      </c>
      <c r="M905" s="271">
        <v>-6800.0</v>
      </c>
      <c r="N905" s="275">
        <v>3963.0</v>
      </c>
      <c r="O905" s="60"/>
      <c r="P905" s="109">
        <v>3963.0</v>
      </c>
      <c r="Q905" s="271">
        <v>-1497.0</v>
      </c>
      <c r="R905" s="276">
        <v>-0.00224</v>
      </c>
      <c r="S905" s="271">
        <v>-1898.0</v>
      </c>
      <c r="T905" s="271">
        <v>2065.0</v>
      </c>
      <c r="U905" s="62">
        <v>1.0</v>
      </c>
      <c r="V905" s="277">
        <v>0.0</v>
      </c>
      <c r="W905" s="277">
        <v>0.0</v>
      </c>
      <c r="X905" s="271">
        <v>2065.0</v>
      </c>
      <c r="Y905" s="271">
        <v>0.0</v>
      </c>
      <c r="Z905" s="50" t="b">
        <v>1</v>
      </c>
      <c r="AA905" s="50" t="s">
        <v>138</v>
      </c>
      <c r="AB905" s="50" t="s">
        <v>138</v>
      </c>
    </row>
    <row r="906">
      <c r="A906" s="101" t="s">
        <v>149</v>
      </c>
      <c r="B906" s="101" t="s">
        <v>149</v>
      </c>
      <c r="C906" s="278">
        <v>44460.0</v>
      </c>
      <c r="D906" s="278">
        <v>44489.0</v>
      </c>
      <c r="E906" s="271" t="s">
        <v>268</v>
      </c>
      <c r="F906" s="138" t="s">
        <v>12</v>
      </c>
      <c r="G906" s="101" t="s">
        <v>5</v>
      </c>
      <c r="H906" s="273" t="s">
        <v>10</v>
      </c>
      <c r="I906" s="274">
        <v>0.25</v>
      </c>
      <c r="J906" s="271">
        <v>1.0</v>
      </c>
      <c r="K906" s="271">
        <f t="shared" si="1"/>
        <v>0.25</v>
      </c>
      <c r="L906" s="271"/>
      <c r="M906" s="271">
        <v>-0.25</v>
      </c>
      <c r="N906" s="275"/>
      <c r="O906" s="60"/>
      <c r="P906" s="101"/>
      <c r="Q906" s="271"/>
      <c r="R906" s="276">
        <v>0.0</v>
      </c>
      <c r="S906" s="271"/>
      <c r="T906" s="271">
        <v>0.0</v>
      </c>
      <c r="U906" s="62">
        <v>1.0</v>
      </c>
      <c r="V906" s="277">
        <v>0.0</v>
      </c>
      <c r="W906" s="277">
        <v>0.0</v>
      </c>
      <c r="X906" s="271">
        <v>0.0</v>
      </c>
      <c r="Y906" s="271">
        <v>0.0</v>
      </c>
      <c r="Z906" s="50" t="b">
        <v>1</v>
      </c>
      <c r="AA906" s="50" t="s">
        <v>138</v>
      </c>
      <c r="AB906" s="50" t="s">
        <v>138</v>
      </c>
    </row>
    <row r="907">
      <c r="A907" s="101" t="s">
        <v>149</v>
      </c>
      <c r="B907" s="101" t="s">
        <v>149</v>
      </c>
      <c r="C907" s="278">
        <v>44460.0</v>
      </c>
      <c r="D907" s="278">
        <v>44489.0</v>
      </c>
      <c r="E907" s="271" t="s">
        <v>268</v>
      </c>
      <c r="F907" s="138" t="s">
        <v>12</v>
      </c>
      <c r="G907" s="101" t="s">
        <v>5</v>
      </c>
      <c r="H907" s="273" t="s">
        <v>6</v>
      </c>
      <c r="I907" s="274">
        <v>0.25</v>
      </c>
      <c r="J907" s="271">
        <v>1.0</v>
      </c>
      <c r="K907" s="271">
        <f t="shared" si="1"/>
        <v>0.25</v>
      </c>
      <c r="L907" s="271"/>
      <c r="M907" s="271">
        <v>-0.25</v>
      </c>
      <c r="N907" s="275"/>
      <c r="O907" s="60"/>
      <c r="P907" s="101"/>
      <c r="Q907" s="271"/>
      <c r="R907" s="276">
        <v>0.0</v>
      </c>
      <c r="S907" s="271"/>
      <c r="T907" s="271">
        <v>0.0</v>
      </c>
      <c r="U907" s="62">
        <v>1.0</v>
      </c>
      <c r="V907" s="277">
        <v>0.0</v>
      </c>
      <c r="W907" s="277">
        <v>0.0</v>
      </c>
      <c r="X907" s="271">
        <v>0.0</v>
      </c>
      <c r="Y907" s="271">
        <v>0.0</v>
      </c>
      <c r="Z907" s="50" t="b">
        <v>1</v>
      </c>
      <c r="AA907" s="50" t="s">
        <v>138</v>
      </c>
      <c r="AB907" s="50" t="s">
        <v>138</v>
      </c>
    </row>
    <row r="908">
      <c r="A908" s="101" t="s">
        <v>149</v>
      </c>
      <c r="B908" s="101" t="s">
        <v>149</v>
      </c>
      <c r="C908" s="278">
        <v>44460.0</v>
      </c>
      <c r="D908" s="278">
        <v>44489.0</v>
      </c>
      <c r="E908" s="271" t="s">
        <v>268</v>
      </c>
      <c r="F908" s="138" t="s">
        <v>12</v>
      </c>
      <c r="G908" s="101" t="s">
        <v>5</v>
      </c>
      <c r="H908" s="273" t="s">
        <v>35</v>
      </c>
      <c r="I908" s="274">
        <v>5.0</v>
      </c>
      <c r="J908" s="271">
        <v>2.0</v>
      </c>
      <c r="K908" s="271">
        <f t="shared" si="1"/>
        <v>10</v>
      </c>
      <c r="L908" s="271"/>
      <c r="M908" s="271">
        <v>-10.0</v>
      </c>
      <c r="N908" s="275"/>
      <c r="O908" s="60"/>
      <c r="P908" s="101"/>
      <c r="Q908" s="271"/>
      <c r="R908" s="276">
        <v>0.0</v>
      </c>
      <c r="S908" s="271"/>
      <c r="T908" s="271">
        <v>-10.0</v>
      </c>
      <c r="U908" s="62">
        <v>1.0</v>
      </c>
      <c r="V908" s="277">
        <v>0.0</v>
      </c>
      <c r="W908" s="277">
        <v>0.0</v>
      </c>
      <c r="X908" s="271">
        <v>-10.0</v>
      </c>
      <c r="Y908" s="271">
        <v>0.0</v>
      </c>
      <c r="Z908" s="50" t="b">
        <v>1</v>
      </c>
      <c r="AA908" s="50" t="s">
        <v>138</v>
      </c>
      <c r="AB908" s="50" t="s">
        <v>138</v>
      </c>
    </row>
    <row r="909">
      <c r="A909" s="101" t="s">
        <v>149</v>
      </c>
      <c r="B909" s="101" t="s">
        <v>149</v>
      </c>
      <c r="C909" s="278">
        <v>44460.0</v>
      </c>
      <c r="D909" s="278">
        <v>44489.0</v>
      </c>
      <c r="E909" s="271" t="s">
        <v>268</v>
      </c>
      <c r="F909" s="138" t="s">
        <v>12</v>
      </c>
      <c r="G909" s="101" t="s">
        <v>5</v>
      </c>
      <c r="H909" s="273" t="s">
        <v>75</v>
      </c>
      <c r="I909" s="274">
        <v>50.0</v>
      </c>
      <c r="J909" s="271">
        <v>3.0</v>
      </c>
      <c r="K909" s="271">
        <f t="shared" si="1"/>
        <v>150</v>
      </c>
      <c r="L909" s="271"/>
      <c r="M909" s="271">
        <v>-150.0</v>
      </c>
      <c r="N909" s="275">
        <v>4.0</v>
      </c>
      <c r="O909" s="60"/>
      <c r="P909" s="50">
        <v>4.0</v>
      </c>
      <c r="Q909" s="271"/>
      <c r="R909" s="276">
        <v>0.0</v>
      </c>
      <c r="S909" s="271"/>
      <c r="T909" s="271">
        <v>-146.0</v>
      </c>
      <c r="U909" s="62">
        <v>1.0</v>
      </c>
      <c r="V909" s="277">
        <v>0.0</v>
      </c>
      <c r="W909" s="277">
        <v>0.0</v>
      </c>
      <c r="X909" s="271">
        <v>-146.0</v>
      </c>
      <c r="Y909" s="271">
        <v>0.0</v>
      </c>
      <c r="Z909" s="50" t="b">
        <v>1</v>
      </c>
      <c r="AA909" s="50" t="s">
        <v>138</v>
      </c>
      <c r="AB909" s="50" t="s">
        <v>138</v>
      </c>
    </row>
    <row r="910">
      <c r="A910" s="101" t="s">
        <v>149</v>
      </c>
      <c r="B910" s="101" t="s">
        <v>149</v>
      </c>
      <c r="C910" s="278">
        <v>44460.0</v>
      </c>
      <c r="D910" s="278">
        <v>44489.0</v>
      </c>
      <c r="E910" s="271" t="s">
        <v>268</v>
      </c>
      <c r="F910" s="138" t="s">
        <v>12</v>
      </c>
      <c r="G910" s="101" t="s">
        <v>5</v>
      </c>
      <c r="H910" s="273" t="s">
        <v>85</v>
      </c>
      <c r="I910" s="274">
        <v>100.0</v>
      </c>
      <c r="J910" s="271">
        <v>8.0</v>
      </c>
      <c r="K910" s="271">
        <f t="shared" si="1"/>
        <v>800</v>
      </c>
      <c r="L910" s="271"/>
      <c r="M910" s="271">
        <v>300.0</v>
      </c>
      <c r="N910" s="275">
        <v>15.0</v>
      </c>
      <c r="O910" s="60"/>
      <c r="P910" s="50">
        <v>15.0</v>
      </c>
      <c r="Q910" s="271"/>
      <c r="R910" s="276">
        <v>0.0</v>
      </c>
      <c r="S910" s="271"/>
      <c r="T910" s="271">
        <v>315.0</v>
      </c>
      <c r="U910" s="62">
        <v>1.0</v>
      </c>
      <c r="V910" s="277">
        <v>0.0</v>
      </c>
      <c r="W910" s="277">
        <v>0.0</v>
      </c>
      <c r="X910" s="271">
        <v>315.0</v>
      </c>
      <c r="Y910" s="271">
        <v>0.0</v>
      </c>
      <c r="Z910" s="50" t="b">
        <v>1</v>
      </c>
      <c r="AA910" s="50" t="s">
        <v>138</v>
      </c>
      <c r="AB910" s="50" t="s">
        <v>138</v>
      </c>
    </row>
    <row r="911">
      <c r="A911" s="280" t="s">
        <v>345</v>
      </c>
      <c r="B911" s="280" t="s">
        <v>992</v>
      </c>
      <c r="C911" s="283">
        <v>44460.0</v>
      </c>
      <c r="D911" s="283">
        <v>44489.0</v>
      </c>
      <c r="E911" s="280" t="s">
        <v>331</v>
      </c>
      <c r="F911" s="138" t="s">
        <v>4</v>
      </c>
      <c r="G911" s="280" t="s">
        <v>9</v>
      </c>
      <c r="H911" s="273" t="s">
        <v>67</v>
      </c>
      <c r="I911" s="281">
        <v>25.0</v>
      </c>
      <c r="J911" s="280">
        <v>397.0</v>
      </c>
      <c r="K911" s="271">
        <f t="shared" si="1"/>
        <v>9925</v>
      </c>
      <c r="L911" s="280">
        <v>1825.0</v>
      </c>
      <c r="M911" s="280">
        <v>-816.0</v>
      </c>
      <c r="N911" s="282">
        <v>3589.13</v>
      </c>
      <c r="O911" s="60"/>
      <c r="P911" s="109">
        <v>3589.0</v>
      </c>
      <c r="Q911" s="280">
        <v>-884.0</v>
      </c>
      <c r="R911" s="276">
        <v>-0.00224</v>
      </c>
      <c r="S911" s="280">
        <v>-906.0</v>
      </c>
      <c r="T911" s="280">
        <v>2683.0</v>
      </c>
      <c r="U911" s="62">
        <v>1.166</v>
      </c>
      <c r="V911" s="277">
        <v>0.15</v>
      </c>
      <c r="W911" s="277">
        <v>0.05</v>
      </c>
      <c r="X911" s="280">
        <v>2503.0</v>
      </c>
      <c r="Y911" s="280">
        <v>626.0</v>
      </c>
      <c r="Z911" s="50" t="b">
        <v>1</v>
      </c>
      <c r="AA911" s="50" t="s">
        <v>138</v>
      </c>
      <c r="AB911" s="50" t="s">
        <v>140</v>
      </c>
    </row>
    <row r="912">
      <c r="A912" s="280" t="s">
        <v>345</v>
      </c>
      <c r="B912" s="280" t="s">
        <v>992</v>
      </c>
      <c r="C912" s="283">
        <v>44460.0</v>
      </c>
      <c r="D912" s="283">
        <v>44489.0</v>
      </c>
      <c r="E912" s="280" t="s">
        <v>331</v>
      </c>
      <c r="F912" s="138" t="s">
        <v>4</v>
      </c>
      <c r="G912" s="280" t="s">
        <v>9</v>
      </c>
      <c r="H912" s="273" t="s">
        <v>66</v>
      </c>
      <c r="I912" s="281">
        <v>25.0</v>
      </c>
      <c r="J912" s="280">
        <v>44.0</v>
      </c>
      <c r="K912" s="271">
        <f t="shared" si="1"/>
        <v>1100</v>
      </c>
      <c r="L912" s="280">
        <v>2119.0</v>
      </c>
      <c r="M912" s="280">
        <v>-233.0</v>
      </c>
      <c r="N912" s="282">
        <v>11.41</v>
      </c>
      <c r="O912" s="60"/>
      <c r="P912" s="50">
        <v>11.0</v>
      </c>
      <c r="Q912" s="280">
        <v>-1.0</v>
      </c>
      <c r="R912" s="276">
        <v>-0.00224</v>
      </c>
      <c r="S912" s="280">
        <v>-4.0</v>
      </c>
      <c r="T912" s="280">
        <v>8.0</v>
      </c>
      <c r="U912" s="62">
        <v>1.166</v>
      </c>
      <c r="V912" s="277">
        <v>0.15</v>
      </c>
      <c r="W912" s="277">
        <v>0.05</v>
      </c>
      <c r="X912" s="280">
        <v>7.0</v>
      </c>
      <c r="Y912" s="280">
        <v>2.0</v>
      </c>
      <c r="Z912" s="50" t="b">
        <v>1</v>
      </c>
      <c r="AA912" s="50" t="s">
        <v>138</v>
      </c>
      <c r="AB912" s="50" t="s">
        <v>140</v>
      </c>
    </row>
    <row r="913">
      <c r="A913" s="280" t="s">
        <v>345</v>
      </c>
      <c r="B913" s="280" t="s">
        <v>992</v>
      </c>
      <c r="C913" s="283">
        <v>44460.0</v>
      </c>
      <c r="D913" s="283">
        <v>44489.0</v>
      </c>
      <c r="E913" s="280" t="s">
        <v>331</v>
      </c>
      <c r="F913" s="138" t="s">
        <v>4</v>
      </c>
      <c r="G913" s="280" t="s">
        <v>9</v>
      </c>
      <c r="H913" s="273" t="s">
        <v>68</v>
      </c>
      <c r="I913" s="281">
        <v>25.0</v>
      </c>
      <c r="J913" s="280">
        <v>6.0</v>
      </c>
      <c r="K913" s="271">
        <f t="shared" si="1"/>
        <v>150</v>
      </c>
      <c r="L913" s="280">
        <v>289.0</v>
      </c>
      <c r="M913" s="280">
        <v>-58.0</v>
      </c>
      <c r="N913" s="282">
        <v>0.0</v>
      </c>
      <c r="O913" s="60"/>
      <c r="P913" s="50">
        <v>0.0</v>
      </c>
      <c r="Q913" s="280">
        <v>0.0</v>
      </c>
      <c r="R913" s="276">
        <v>-0.00224</v>
      </c>
      <c r="S913" s="280">
        <v>0.0</v>
      </c>
      <c r="T913" s="280">
        <v>0.0</v>
      </c>
      <c r="U913" s="62">
        <v>1.166</v>
      </c>
      <c r="V913" s="277">
        <v>0.15</v>
      </c>
      <c r="W913" s="277">
        <v>0.05</v>
      </c>
      <c r="X913" s="280">
        <v>0.0</v>
      </c>
      <c r="Y913" s="280">
        <v>0.0</v>
      </c>
      <c r="Z913" s="50" t="b">
        <v>1</v>
      </c>
      <c r="AA913" s="50" t="s">
        <v>138</v>
      </c>
      <c r="AB913" s="50" t="s">
        <v>140</v>
      </c>
    </row>
    <row r="914">
      <c r="A914" s="280" t="s">
        <v>345</v>
      </c>
      <c r="B914" s="280" t="s">
        <v>992</v>
      </c>
      <c r="C914" s="283">
        <v>44460.0</v>
      </c>
      <c r="D914" s="283">
        <v>44489.0</v>
      </c>
      <c r="E914" s="280" t="s">
        <v>331</v>
      </c>
      <c r="F914" s="138" t="s">
        <v>4</v>
      </c>
      <c r="G914" s="280" t="s">
        <v>9</v>
      </c>
      <c r="H914" s="273" t="s">
        <v>994</v>
      </c>
      <c r="I914" s="281">
        <v>50.0</v>
      </c>
      <c r="J914" s="280">
        <v>569.0</v>
      </c>
      <c r="K914" s="271">
        <f t="shared" si="1"/>
        <v>28450</v>
      </c>
      <c r="L914" s="280">
        <v>12660.0</v>
      </c>
      <c r="M914" s="280">
        <v>-2157.0</v>
      </c>
      <c r="N914" s="282">
        <v>245.44</v>
      </c>
      <c r="O914" s="60"/>
      <c r="P914" s="50">
        <v>245.0</v>
      </c>
      <c r="Q914" s="280">
        <v>-1675.0</v>
      </c>
      <c r="R914" s="276">
        <v>-0.00224</v>
      </c>
      <c r="S914" s="280">
        <v>-1738.0</v>
      </c>
      <c r="T914" s="280">
        <v>-1493.0</v>
      </c>
      <c r="U914" s="62">
        <v>1.166</v>
      </c>
      <c r="V914" s="277">
        <v>0.15</v>
      </c>
      <c r="W914" s="277">
        <v>0.05</v>
      </c>
      <c r="X914" s="280">
        <v>-1393.0</v>
      </c>
      <c r="Y914" s="280">
        <v>-348.0</v>
      </c>
      <c r="Z914" s="50" t="b">
        <v>1</v>
      </c>
      <c r="AA914" s="50" t="s">
        <v>138</v>
      </c>
      <c r="AB914" s="50" t="s">
        <v>140</v>
      </c>
    </row>
    <row r="915">
      <c r="A915" s="280" t="s">
        <v>345</v>
      </c>
      <c r="B915" s="280" t="s">
        <v>992</v>
      </c>
      <c r="C915" s="283">
        <v>44460.0</v>
      </c>
      <c r="D915" s="283">
        <v>44489.0</v>
      </c>
      <c r="E915" s="280" t="s">
        <v>331</v>
      </c>
      <c r="F915" s="138" t="s">
        <v>4</v>
      </c>
      <c r="G915" s="280" t="s">
        <v>9</v>
      </c>
      <c r="H915" s="273" t="s">
        <v>79</v>
      </c>
      <c r="I915" s="281">
        <v>50.0</v>
      </c>
      <c r="J915" s="280">
        <v>44.0</v>
      </c>
      <c r="K915" s="271">
        <f t="shared" si="1"/>
        <v>2200</v>
      </c>
      <c r="L915" s="280">
        <v>2039.0</v>
      </c>
      <c r="M915" s="280">
        <v>466.0</v>
      </c>
      <c r="N915" s="282">
        <v>18.98</v>
      </c>
      <c r="O915" s="60"/>
      <c r="P915" s="50">
        <v>19.0</v>
      </c>
      <c r="Q915" s="280">
        <v>-10.0</v>
      </c>
      <c r="R915" s="276">
        <v>-0.00224</v>
      </c>
      <c r="S915" s="280">
        <v>-15.0</v>
      </c>
      <c r="T915" s="280">
        <v>4.0</v>
      </c>
      <c r="U915" s="62">
        <v>1.166</v>
      </c>
      <c r="V915" s="277">
        <v>0.15</v>
      </c>
      <c r="W915" s="277">
        <v>0.05</v>
      </c>
      <c r="X915" s="280">
        <v>4.0</v>
      </c>
      <c r="Y915" s="280">
        <v>1.0</v>
      </c>
      <c r="Z915" s="50" t="b">
        <v>1</v>
      </c>
      <c r="AA915" s="50" t="s">
        <v>138</v>
      </c>
      <c r="AB915" s="50" t="s">
        <v>140</v>
      </c>
    </row>
    <row r="916">
      <c r="A916" s="280" t="s">
        <v>345</v>
      </c>
      <c r="B916" s="280" t="s">
        <v>992</v>
      </c>
      <c r="C916" s="283">
        <v>44460.0</v>
      </c>
      <c r="D916" s="283">
        <v>44489.0</v>
      </c>
      <c r="E916" s="280" t="s">
        <v>331</v>
      </c>
      <c r="F916" s="138" t="s">
        <v>4</v>
      </c>
      <c r="G916" s="280" t="s">
        <v>9</v>
      </c>
      <c r="H916" s="273" t="s">
        <v>80</v>
      </c>
      <c r="I916" s="281">
        <v>50.0</v>
      </c>
      <c r="J916" s="280">
        <v>457.0</v>
      </c>
      <c r="K916" s="271">
        <f t="shared" si="1"/>
        <v>22850</v>
      </c>
      <c r="L916" s="280">
        <v>21173.0</v>
      </c>
      <c r="M916" s="280">
        <v>175.0</v>
      </c>
      <c r="N916" s="282">
        <v>197.13</v>
      </c>
      <c r="O916" s="60"/>
      <c r="P916" s="50">
        <v>197.0</v>
      </c>
      <c r="Q916" s="280">
        <v>-68.0</v>
      </c>
      <c r="R916" s="276">
        <v>-0.00224</v>
      </c>
      <c r="S916" s="280">
        <v>-120.0</v>
      </c>
      <c r="T916" s="280">
        <v>78.0</v>
      </c>
      <c r="U916" s="62">
        <v>1.166</v>
      </c>
      <c r="V916" s="277">
        <v>0.15</v>
      </c>
      <c r="W916" s="277">
        <v>0.05</v>
      </c>
      <c r="X916" s="280">
        <v>72.0</v>
      </c>
      <c r="Y916" s="280">
        <v>18.0</v>
      </c>
      <c r="Z916" s="50" t="b">
        <v>1</v>
      </c>
      <c r="AA916" s="50" t="s">
        <v>138</v>
      </c>
      <c r="AB916" s="50" t="s">
        <v>140</v>
      </c>
    </row>
    <row r="917">
      <c r="A917" s="280" t="s">
        <v>345</v>
      </c>
      <c r="B917" s="280" t="s">
        <v>992</v>
      </c>
      <c r="C917" s="283">
        <v>44460.0</v>
      </c>
      <c r="D917" s="283">
        <v>44489.0</v>
      </c>
      <c r="E917" s="280" t="s">
        <v>331</v>
      </c>
      <c r="F917" s="138" t="s">
        <v>4</v>
      </c>
      <c r="G917" s="280" t="s">
        <v>9</v>
      </c>
      <c r="H917" s="273" t="s">
        <v>995</v>
      </c>
      <c r="I917" s="281">
        <v>100.0</v>
      </c>
      <c r="J917" s="280">
        <v>474.0</v>
      </c>
      <c r="K917" s="271">
        <f t="shared" si="1"/>
        <v>47400</v>
      </c>
      <c r="L917" s="280">
        <v>8783.0</v>
      </c>
      <c r="M917" s="280">
        <v>-1399.0</v>
      </c>
      <c r="N917" s="282">
        <v>408.92</v>
      </c>
      <c r="O917" s="60"/>
      <c r="P917" s="50">
        <v>409.0</v>
      </c>
      <c r="Q917" s="280">
        <v>-4301.0</v>
      </c>
      <c r="R917" s="276">
        <v>-0.00224</v>
      </c>
      <c r="S917" s="280">
        <v>-4407.0</v>
      </c>
      <c r="T917" s="280">
        <v>-3999.0</v>
      </c>
      <c r="U917" s="62">
        <v>1.166</v>
      </c>
      <c r="V917" s="277">
        <v>0.15</v>
      </c>
      <c r="W917" s="277">
        <v>0.05</v>
      </c>
      <c r="X917" s="280">
        <v>-3730.0</v>
      </c>
      <c r="Y917" s="280">
        <v>-932.0</v>
      </c>
      <c r="Z917" s="50" t="b">
        <v>1</v>
      </c>
      <c r="AA917" s="50" t="s">
        <v>138</v>
      </c>
      <c r="AB917" s="50" t="s">
        <v>140</v>
      </c>
    </row>
    <row r="918">
      <c r="A918" s="280" t="s">
        <v>345</v>
      </c>
      <c r="B918" s="280" t="s">
        <v>992</v>
      </c>
      <c r="C918" s="283">
        <v>44460.0</v>
      </c>
      <c r="D918" s="283">
        <v>44489.0</v>
      </c>
      <c r="E918" s="280" t="s">
        <v>331</v>
      </c>
      <c r="F918" s="138" t="s">
        <v>4</v>
      </c>
      <c r="G918" s="280" t="s">
        <v>9</v>
      </c>
      <c r="H918" s="273" t="s">
        <v>90</v>
      </c>
      <c r="I918" s="281">
        <v>100.0</v>
      </c>
      <c r="J918" s="280">
        <v>590.0</v>
      </c>
      <c r="K918" s="271">
        <f t="shared" si="1"/>
        <v>59000</v>
      </c>
      <c r="L918" s="280">
        <v>13393.0</v>
      </c>
      <c r="M918" s="280">
        <v>-1516.0</v>
      </c>
      <c r="N918" s="282">
        <v>509.0</v>
      </c>
      <c r="O918" s="60"/>
      <c r="P918" s="50">
        <v>509.0</v>
      </c>
      <c r="Q918" s="280">
        <v>-2537.0</v>
      </c>
      <c r="R918" s="276">
        <v>-0.00224</v>
      </c>
      <c r="S918" s="280">
        <v>-2669.0</v>
      </c>
      <c r="T918" s="280">
        <v>-2160.0</v>
      </c>
      <c r="U918" s="62">
        <v>1.166</v>
      </c>
      <c r="V918" s="277">
        <v>0.15</v>
      </c>
      <c r="W918" s="277">
        <v>0.05</v>
      </c>
      <c r="X918" s="280">
        <v>-2015.0</v>
      </c>
      <c r="Y918" s="280">
        <v>-504.0</v>
      </c>
      <c r="Z918" s="50" t="b">
        <v>1</v>
      </c>
      <c r="AA918" s="50" t="s">
        <v>138</v>
      </c>
      <c r="AB918" s="50" t="s">
        <v>140</v>
      </c>
    </row>
    <row r="919">
      <c r="A919" s="280" t="s">
        <v>362</v>
      </c>
      <c r="B919" s="280" t="s">
        <v>362</v>
      </c>
      <c r="C919" s="283">
        <v>44460.0</v>
      </c>
      <c r="D919" s="283">
        <v>44489.0</v>
      </c>
      <c r="E919" s="280" t="s">
        <v>268</v>
      </c>
      <c r="F919" s="138" t="s">
        <v>4</v>
      </c>
      <c r="G919" s="280" t="s">
        <v>9</v>
      </c>
      <c r="H919" s="273" t="s">
        <v>67</v>
      </c>
      <c r="I919" s="281">
        <v>25.0</v>
      </c>
      <c r="J919" s="280">
        <v>24.0</v>
      </c>
      <c r="K919" s="271">
        <f t="shared" si="1"/>
        <v>600</v>
      </c>
      <c r="L919" s="280">
        <v>167.0</v>
      </c>
      <c r="M919" s="280">
        <v>-58.0</v>
      </c>
      <c r="N919" s="282">
        <v>384.0</v>
      </c>
      <c r="O919" s="60"/>
      <c r="P919" s="50">
        <v>384.0</v>
      </c>
      <c r="Q919" s="280">
        <v>-51.0</v>
      </c>
      <c r="R919" s="276">
        <v>-0.00224</v>
      </c>
      <c r="S919" s="280">
        <v>-52.0</v>
      </c>
      <c r="T919" s="280">
        <v>332.0</v>
      </c>
      <c r="U919" s="62">
        <v>1.0</v>
      </c>
      <c r="V919" s="277">
        <v>0.19</v>
      </c>
      <c r="W919" s="277">
        <v>0.0</v>
      </c>
      <c r="X919" s="280">
        <v>269.0</v>
      </c>
      <c r="Y919" s="280">
        <v>63.0</v>
      </c>
      <c r="Z919" s="50" t="b">
        <v>1</v>
      </c>
      <c r="AA919" s="50" t="s">
        <v>140</v>
      </c>
      <c r="AB919" s="50" t="s">
        <v>140</v>
      </c>
    </row>
    <row r="920">
      <c r="A920" s="280" t="s">
        <v>362</v>
      </c>
      <c r="B920" s="280" t="s">
        <v>362</v>
      </c>
      <c r="C920" s="283">
        <v>44460.0</v>
      </c>
      <c r="D920" s="283">
        <v>44489.0</v>
      </c>
      <c r="E920" s="280" t="s">
        <v>268</v>
      </c>
      <c r="F920" s="138" t="s">
        <v>4</v>
      </c>
      <c r="G920" s="280" t="s">
        <v>9</v>
      </c>
      <c r="H920" s="273" t="s">
        <v>68</v>
      </c>
      <c r="I920" s="281">
        <v>25.0</v>
      </c>
      <c r="J920" s="280">
        <v>17.0</v>
      </c>
      <c r="K920" s="271">
        <f t="shared" si="1"/>
        <v>425</v>
      </c>
      <c r="L920" s="280">
        <v>2354.0</v>
      </c>
      <c r="M920" s="280">
        <v>29.0</v>
      </c>
      <c r="N920" s="282">
        <v>8.0</v>
      </c>
      <c r="O920" s="60"/>
      <c r="P920" s="50">
        <v>8.0</v>
      </c>
      <c r="Q920" s="280">
        <v>70.0</v>
      </c>
      <c r="R920" s="276">
        <v>-0.00224</v>
      </c>
      <c r="S920" s="280">
        <v>69.0</v>
      </c>
      <c r="T920" s="280">
        <v>77.0</v>
      </c>
      <c r="U920" s="62">
        <v>1.0</v>
      </c>
      <c r="V920" s="277">
        <v>0.19</v>
      </c>
      <c r="W920" s="277">
        <v>0.0</v>
      </c>
      <c r="X920" s="280">
        <v>62.0</v>
      </c>
      <c r="Y920" s="280">
        <v>15.0</v>
      </c>
      <c r="Z920" s="50" t="b">
        <v>1</v>
      </c>
      <c r="AA920" s="50" t="s">
        <v>140</v>
      </c>
      <c r="AB920" s="50" t="s">
        <v>140</v>
      </c>
    </row>
    <row r="921">
      <c r="A921" s="280" t="s">
        <v>362</v>
      </c>
      <c r="B921" s="280" t="s">
        <v>362</v>
      </c>
      <c r="C921" s="283">
        <v>44460.0</v>
      </c>
      <c r="D921" s="283">
        <v>44489.0</v>
      </c>
      <c r="E921" s="280" t="s">
        <v>268</v>
      </c>
      <c r="F921" s="138" t="s">
        <v>4</v>
      </c>
      <c r="G921" s="280" t="s">
        <v>9</v>
      </c>
      <c r="H921" s="273" t="s">
        <v>994</v>
      </c>
      <c r="I921" s="281">
        <v>50.0</v>
      </c>
      <c r="J921" s="280">
        <v>885.0</v>
      </c>
      <c r="K921" s="271">
        <f t="shared" si="1"/>
        <v>44250</v>
      </c>
      <c r="L921" s="280">
        <v>27998.0</v>
      </c>
      <c r="M921" s="280">
        <v>-1166.0</v>
      </c>
      <c r="N921" s="282">
        <v>0.0</v>
      </c>
      <c r="O921" s="60"/>
      <c r="P921" s="50">
        <v>0.0</v>
      </c>
      <c r="Q921" s="280">
        <v>-1697.0</v>
      </c>
      <c r="R921" s="276">
        <v>-0.00224</v>
      </c>
      <c r="S921" s="280">
        <v>-1796.0</v>
      </c>
      <c r="T921" s="280">
        <v>-1796.0</v>
      </c>
      <c r="U921" s="62">
        <v>1.0</v>
      </c>
      <c r="V921" s="277">
        <v>0.19</v>
      </c>
      <c r="W921" s="277">
        <v>0.0</v>
      </c>
      <c r="X921" s="280">
        <v>-1455.0</v>
      </c>
      <c r="Y921" s="280">
        <v>-341.0</v>
      </c>
      <c r="Z921" s="50" t="b">
        <v>1</v>
      </c>
      <c r="AA921" s="50" t="s">
        <v>140</v>
      </c>
      <c r="AB921" s="50" t="s">
        <v>140</v>
      </c>
    </row>
    <row r="922">
      <c r="A922" s="280" t="s">
        <v>362</v>
      </c>
      <c r="B922" s="280" t="s">
        <v>362</v>
      </c>
      <c r="C922" s="283">
        <v>44460.0</v>
      </c>
      <c r="D922" s="283">
        <v>44489.0</v>
      </c>
      <c r="E922" s="280" t="s">
        <v>268</v>
      </c>
      <c r="F922" s="138" t="s">
        <v>4</v>
      </c>
      <c r="G922" s="280" t="s">
        <v>9</v>
      </c>
      <c r="H922" s="273" t="s">
        <v>80</v>
      </c>
      <c r="I922" s="281">
        <v>50.0</v>
      </c>
      <c r="J922" s="280">
        <v>947.0</v>
      </c>
      <c r="K922" s="271">
        <f t="shared" si="1"/>
        <v>47350</v>
      </c>
      <c r="L922" s="280">
        <v>65174.0</v>
      </c>
      <c r="M922" s="280">
        <v>3498.0</v>
      </c>
      <c r="N922" s="282">
        <v>723.0</v>
      </c>
      <c r="O922" s="60"/>
      <c r="P922" s="50">
        <v>723.0</v>
      </c>
      <c r="Q922" s="280">
        <v>1797.0</v>
      </c>
      <c r="R922" s="276">
        <v>-0.00224</v>
      </c>
      <c r="S922" s="280">
        <v>1691.0</v>
      </c>
      <c r="T922" s="280">
        <v>2414.0</v>
      </c>
      <c r="U922" s="62">
        <v>1.0</v>
      </c>
      <c r="V922" s="277">
        <v>0.19</v>
      </c>
      <c r="W922" s="277">
        <v>0.0</v>
      </c>
      <c r="X922" s="280">
        <v>1955.0</v>
      </c>
      <c r="Y922" s="280">
        <v>459.0</v>
      </c>
      <c r="Z922" s="50" t="b">
        <v>1</v>
      </c>
      <c r="AA922" s="50" t="s">
        <v>140</v>
      </c>
      <c r="AB922" s="50" t="s">
        <v>140</v>
      </c>
    </row>
    <row r="923">
      <c r="A923" s="280" t="s">
        <v>362</v>
      </c>
      <c r="B923" s="280" t="s">
        <v>362</v>
      </c>
      <c r="C923" s="283">
        <v>44460.0</v>
      </c>
      <c r="D923" s="283">
        <v>44489.0</v>
      </c>
      <c r="E923" s="280" t="s">
        <v>268</v>
      </c>
      <c r="F923" s="138" t="s">
        <v>4</v>
      </c>
      <c r="G923" s="280" t="s">
        <v>9</v>
      </c>
      <c r="H923" s="273" t="s">
        <v>995</v>
      </c>
      <c r="I923" s="281">
        <v>100.0</v>
      </c>
      <c r="J923" s="280">
        <v>433.0</v>
      </c>
      <c r="K923" s="271">
        <f t="shared" si="1"/>
        <v>43300</v>
      </c>
      <c r="L923" s="280">
        <v>31231.0</v>
      </c>
      <c r="M923" s="280">
        <v>-3731.0</v>
      </c>
      <c r="N923" s="282">
        <v>661.0</v>
      </c>
      <c r="O923" s="60"/>
      <c r="P923" s="50">
        <v>661.0</v>
      </c>
      <c r="Q923" s="280">
        <v>-104.0</v>
      </c>
      <c r="R923" s="276">
        <v>-0.00224</v>
      </c>
      <c r="S923" s="280">
        <v>-201.0</v>
      </c>
      <c r="T923" s="280">
        <v>460.0</v>
      </c>
      <c r="U923" s="62">
        <v>1.0</v>
      </c>
      <c r="V923" s="277">
        <v>0.19</v>
      </c>
      <c r="W923" s="277">
        <v>0.0</v>
      </c>
      <c r="X923" s="280">
        <v>372.0</v>
      </c>
      <c r="Y923" s="280">
        <v>87.0</v>
      </c>
      <c r="Z923" s="50" t="b">
        <v>1</v>
      </c>
      <c r="AA923" s="50" t="s">
        <v>140</v>
      </c>
      <c r="AB923" s="50" t="s">
        <v>140</v>
      </c>
    </row>
    <row r="924">
      <c r="A924" s="280" t="s">
        <v>362</v>
      </c>
      <c r="B924" s="280" t="s">
        <v>362</v>
      </c>
      <c r="C924" s="283">
        <v>44460.0</v>
      </c>
      <c r="D924" s="283">
        <v>44489.0</v>
      </c>
      <c r="E924" s="280" t="s">
        <v>268</v>
      </c>
      <c r="F924" s="138" t="s">
        <v>4</v>
      </c>
      <c r="G924" s="280" t="s">
        <v>9</v>
      </c>
      <c r="H924" s="273" t="s">
        <v>996</v>
      </c>
      <c r="I924" s="281">
        <v>250.0</v>
      </c>
      <c r="J924" s="280">
        <v>115.0</v>
      </c>
      <c r="K924" s="271">
        <f t="shared" si="1"/>
        <v>28750</v>
      </c>
      <c r="L924" s="280">
        <v>6306.0</v>
      </c>
      <c r="M924" s="280">
        <v>-3498.0</v>
      </c>
      <c r="N924" s="282">
        <v>439.0</v>
      </c>
      <c r="O924" s="60"/>
      <c r="P924" s="50">
        <v>439.0</v>
      </c>
      <c r="Q924" s="280">
        <v>1519.0</v>
      </c>
      <c r="R924" s="276">
        <v>-0.00224</v>
      </c>
      <c r="S924" s="280">
        <v>1454.0</v>
      </c>
      <c r="T924" s="280">
        <v>1893.0</v>
      </c>
      <c r="U924" s="62">
        <v>1.0</v>
      </c>
      <c r="V924" s="277">
        <v>0.19</v>
      </c>
      <c r="W924" s="277">
        <v>0.0</v>
      </c>
      <c r="X924" s="280">
        <v>1534.0</v>
      </c>
      <c r="Y924" s="280">
        <v>360.0</v>
      </c>
      <c r="Z924" s="50" t="b">
        <v>1</v>
      </c>
      <c r="AA924" s="50" t="s">
        <v>140</v>
      </c>
      <c r="AB924" s="50" t="s">
        <v>140</v>
      </c>
    </row>
    <row r="925">
      <c r="A925" s="280" t="s">
        <v>362</v>
      </c>
      <c r="B925" s="280" t="s">
        <v>362</v>
      </c>
      <c r="C925" s="283">
        <v>44460.0</v>
      </c>
      <c r="D925" s="283">
        <v>44489.0</v>
      </c>
      <c r="E925" s="280" t="s">
        <v>268</v>
      </c>
      <c r="F925" s="138" t="s">
        <v>4</v>
      </c>
      <c r="G925" s="280" t="s">
        <v>9</v>
      </c>
      <c r="H925" s="273" t="s">
        <v>997</v>
      </c>
      <c r="I925" s="274">
        <v>250.0</v>
      </c>
      <c r="J925" s="271">
        <v>23.0</v>
      </c>
      <c r="K925" s="271">
        <f t="shared" si="1"/>
        <v>5750</v>
      </c>
      <c r="L925" s="271">
        <v>1021.0</v>
      </c>
      <c r="M925" s="271">
        <v>-1458.0</v>
      </c>
      <c r="N925" s="275">
        <v>88.0</v>
      </c>
      <c r="O925" s="60"/>
      <c r="P925" s="50">
        <v>88.0</v>
      </c>
      <c r="Q925" s="271">
        <v>28.0</v>
      </c>
      <c r="R925" s="276">
        <v>-0.00224</v>
      </c>
      <c r="S925" s="271">
        <v>15.0</v>
      </c>
      <c r="T925" s="271">
        <v>103.0</v>
      </c>
      <c r="U925" s="62">
        <v>1.0</v>
      </c>
      <c r="V925" s="277">
        <v>0.19</v>
      </c>
      <c r="W925" s="277">
        <v>0.0</v>
      </c>
      <c r="X925" s="271">
        <v>83.0</v>
      </c>
      <c r="Y925" s="271">
        <v>20.0</v>
      </c>
      <c r="Z925" s="50" t="b">
        <v>1</v>
      </c>
      <c r="AA925" s="50" t="s">
        <v>140</v>
      </c>
      <c r="AB925" s="50" t="s">
        <v>140</v>
      </c>
    </row>
    <row r="926">
      <c r="A926" s="280" t="s">
        <v>362</v>
      </c>
      <c r="B926" s="280" t="s">
        <v>362</v>
      </c>
      <c r="C926" s="283">
        <v>44460.0</v>
      </c>
      <c r="D926" s="283">
        <v>44489.0</v>
      </c>
      <c r="E926" s="280" t="s">
        <v>268</v>
      </c>
      <c r="F926" s="138" t="s">
        <v>4</v>
      </c>
      <c r="G926" s="280" t="s">
        <v>9</v>
      </c>
      <c r="H926" s="273" t="s">
        <v>90</v>
      </c>
      <c r="I926" s="274">
        <v>100.0</v>
      </c>
      <c r="J926" s="271">
        <v>207.0</v>
      </c>
      <c r="K926" s="271">
        <f t="shared" si="1"/>
        <v>20700</v>
      </c>
      <c r="L926" s="271">
        <v>3244.0</v>
      </c>
      <c r="M926" s="271">
        <v>0.0</v>
      </c>
      <c r="N926" s="275">
        <v>316.0</v>
      </c>
      <c r="O926" s="60"/>
      <c r="P926" s="50">
        <v>316.0</v>
      </c>
      <c r="Q926" s="271">
        <v>-1217.0</v>
      </c>
      <c r="R926" s="276">
        <v>-0.00224</v>
      </c>
      <c r="S926" s="271">
        <v>-1264.0</v>
      </c>
      <c r="T926" s="271">
        <v>-948.0</v>
      </c>
      <c r="U926" s="62">
        <v>1.0</v>
      </c>
      <c r="V926" s="277">
        <v>0.19</v>
      </c>
      <c r="W926" s="277">
        <v>0.0</v>
      </c>
      <c r="X926" s="271">
        <v>-768.0</v>
      </c>
      <c r="Y926" s="271">
        <v>-180.0</v>
      </c>
      <c r="Z926" s="50" t="b">
        <v>1</v>
      </c>
      <c r="AA926" s="50" t="s">
        <v>140</v>
      </c>
      <c r="AB926" s="50" t="s">
        <v>140</v>
      </c>
    </row>
    <row r="927">
      <c r="A927" s="280" t="s">
        <v>362</v>
      </c>
      <c r="B927" s="280" t="s">
        <v>362</v>
      </c>
      <c r="C927" s="283">
        <v>44460.0</v>
      </c>
      <c r="D927" s="283">
        <v>44489.0</v>
      </c>
      <c r="E927" s="280" t="s">
        <v>268</v>
      </c>
      <c r="F927" s="138" t="s">
        <v>12</v>
      </c>
      <c r="G927" s="280" t="s">
        <v>9</v>
      </c>
      <c r="H927" s="273" t="s">
        <v>90</v>
      </c>
      <c r="I927" s="281">
        <v>100.0</v>
      </c>
      <c r="J927" s="280">
        <v>34.0</v>
      </c>
      <c r="K927" s="271">
        <f t="shared" si="1"/>
        <v>3400</v>
      </c>
      <c r="L927" s="280">
        <v>6016.0</v>
      </c>
      <c r="M927" s="280">
        <v>2100.0</v>
      </c>
      <c r="N927" s="282">
        <v>52.0</v>
      </c>
      <c r="O927" s="60"/>
      <c r="P927" s="50">
        <v>52.0</v>
      </c>
      <c r="Q927" s="280">
        <v>798.0</v>
      </c>
      <c r="R927" s="276">
        <v>0.0</v>
      </c>
      <c r="S927" s="280">
        <v>798.0</v>
      </c>
      <c r="T927" s="280">
        <v>2152.0</v>
      </c>
      <c r="U927" s="62">
        <v>1.0</v>
      </c>
      <c r="V927" s="277">
        <v>0.19</v>
      </c>
      <c r="W927" s="277">
        <v>0.0</v>
      </c>
      <c r="X927" s="280">
        <v>1743.0</v>
      </c>
      <c r="Y927" s="280">
        <v>409.0</v>
      </c>
      <c r="Z927" s="50" t="b">
        <v>1</v>
      </c>
      <c r="AA927" s="50" t="s">
        <v>140</v>
      </c>
      <c r="AB927" s="50" t="s">
        <v>140</v>
      </c>
    </row>
    <row r="928">
      <c r="A928" s="280" t="s">
        <v>362</v>
      </c>
      <c r="B928" s="280" t="s">
        <v>362</v>
      </c>
      <c r="C928" s="283">
        <v>44460.0</v>
      </c>
      <c r="D928" s="283">
        <v>44489.0</v>
      </c>
      <c r="E928" s="280" t="s">
        <v>268</v>
      </c>
      <c r="F928" s="138" t="s">
        <v>12</v>
      </c>
      <c r="G928" s="280" t="s">
        <v>9</v>
      </c>
      <c r="H928" s="273" t="s">
        <v>997</v>
      </c>
      <c r="I928" s="281">
        <v>250.0</v>
      </c>
      <c r="J928" s="280">
        <v>1.0</v>
      </c>
      <c r="K928" s="271">
        <f t="shared" si="1"/>
        <v>250</v>
      </c>
      <c r="L928" s="280">
        <v>-500.0</v>
      </c>
      <c r="M928" s="280">
        <v>-250.0</v>
      </c>
      <c r="N928" s="282">
        <v>4.0</v>
      </c>
      <c r="O928" s="60"/>
      <c r="P928" s="50">
        <v>4.0</v>
      </c>
      <c r="Q928" s="280">
        <v>-250.0</v>
      </c>
      <c r="R928" s="276">
        <v>0.0</v>
      </c>
      <c r="S928" s="280">
        <v>-250.0</v>
      </c>
      <c r="T928" s="280">
        <v>-246.0</v>
      </c>
      <c r="U928" s="62">
        <v>1.0</v>
      </c>
      <c r="V928" s="277">
        <v>0.19</v>
      </c>
      <c r="W928" s="277">
        <v>0.0</v>
      </c>
      <c r="X928" s="280">
        <v>-199.0</v>
      </c>
      <c r="Y928" s="280">
        <v>-47.0</v>
      </c>
      <c r="Z928" s="50" t="b">
        <v>1</v>
      </c>
      <c r="AA928" s="50" t="s">
        <v>140</v>
      </c>
      <c r="AB928" s="50" t="s">
        <v>140</v>
      </c>
    </row>
    <row r="929">
      <c r="A929" s="280" t="s">
        <v>362</v>
      </c>
      <c r="B929" s="271" t="s">
        <v>189</v>
      </c>
      <c r="C929" s="283">
        <v>44460.0</v>
      </c>
      <c r="D929" s="283">
        <v>44489.0</v>
      </c>
      <c r="E929" s="280" t="s">
        <v>268</v>
      </c>
      <c r="F929" s="138" t="s">
        <v>12</v>
      </c>
      <c r="G929" s="271" t="s">
        <v>5</v>
      </c>
      <c r="H929" s="273" t="s">
        <v>74</v>
      </c>
      <c r="I929" s="274">
        <v>50.0</v>
      </c>
      <c r="J929" s="271">
        <v>27.0</v>
      </c>
      <c r="K929" s="271">
        <f t="shared" si="1"/>
        <v>1350</v>
      </c>
      <c r="L929" s="271">
        <v>1026.0</v>
      </c>
      <c r="M929" s="271">
        <v>1200.0</v>
      </c>
      <c r="N929" s="275">
        <v>0.0</v>
      </c>
      <c r="O929" s="60"/>
      <c r="P929" s="50">
        <v>0.0</v>
      </c>
      <c r="Q929" s="271">
        <v>9.0</v>
      </c>
      <c r="R929" s="276">
        <v>0.0</v>
      </c>
      <c r="S929" s="271">
        <v>9.0</v>
      </c>
      <c r="T929" s="271">
        <v>1200.0</v>
      </c>
      <c r="U929" s="62">
        <v>1.166</v>
      </c>
      <c r="V929" s="277">
        <v>0.19</v>
      </c>
      <c r="W929" s="277">
        <v>0.0</v>
      </c>
      <c r="X929" s="271">
        <v>1133.0</v>
      </c>
      <c r="Y929" s="271">
        <v>266.0</v>
      </c>
      <c r="Z929" s="50" t="b">
        <v>1</v>
      </c>
      <c r="AA929" s="50" t="s">
        <v>140</v>
      </c>
      <c r="AB929" s="50" t="s">
        <v>138</v>
      </c>
    </row>
    <row r="930">
      <c r="A930" s="101" t="s">
        <v>416</v>
      </c>
      <c r="B930" s="101" t="s">
        <v>416</v>
      </c>
      <c r="C930" s="278">
        <v>44460.0</v>
      </c>
      <c r="D930" s="278">
        <v>44489.0</v>
      </c>
      <c r="E930" s="271" t="s">
        <v>268</v>
      </c>
      <c r="F930" s="138" t="s">
        <v>4</v>
      </c>
      <c r="G930" s="101" t="s">
        <v>22</v>
      </c>
      <c r="H930" s="273" t="s">
        <v>51</v>
      </c>
      <c r="I930" s="274">
        <v>10.0</v>
      </c>
      <c r="J930" s="271">
        <v>2023.0</v>
      </c>
      <c r="K930" s="271">
        <f t="shared" si="1"/>
        <v>20230</v>
      </c>
      <c r="L930" s="271">
        <v>157742.0</v>
      </c>
      <c r="M930" s="271">
        <v>1560.0</v>
      </c>
      <c r="N930" s="275"/>
      <c r="O930" s="60"/>
      <c r="P930" s="101"/>
      <c r="Q930" s="271">
        <v>1352.0</v>
      </c>
      <c r="R930" s="276">
        <v>-0.00224</v>
      </c>
      <c r="S930" s="271">
        <v>1306.0</v>
      </c>
      <c r="T930" s="271">
        <v>1306.0</v>
      </c>
      <c r="U930" s="62">
        <v>1.166</v>
      </c>
      <c r="V930" s="277">
        <v>0.25</v>
      </c>
      <c r="W930" s="277">
        <v>0.0</v>
      </c>
      <c r="X930" s="271">
        <v>1142.0</v>
      </c>
      <c r="Y930" s="271">
        <v>381.0</v>
      </c>
      <c r="Z930" s="50" t="b">
        <v>1</v>
      </c>
      <c r="AA930" s="50" t="s">
        <v>138</v>
      </c>
      <c r="AB930" s="50" t="s">
        <v>140</v>
      </c>
    </row>
    <row r="931">
      <c r="A931" s="280" t="s">
        <v>150</v>
      </c>
      <c r="B931" s="280" t="s">
        <v>150</v>
      </c>
      <c r="C931" s="283">
        <v>44460.0</v>
      </c>
      <c r="D931" s="283">
        <v>44489.0</v>
      </c>
      <c r="E931" s="280" t="s">
        <v>268</v>
      </c>
      <c r="F931" s="138" t="s">
        <v>4</v>
      </c>
      <c r="G931" s="280" t="s">
        <v>9</v>
      </c>
      <c r="H931" s="273" t="s">
        <v>67</v>
      </c>
      <c r="I931" s="281">
        <v>25.0</v>
      </c>
      <c r="J931" s="280">
        <v>313.0</v>
      </c>
      <c r="K931" s="271">
        <f t="shared" si="1"/>
        <v>7825</v>
      </c>
      <c r="L931" s="280">
        <v>10414.0</v>
      </c>
      <c r="M931" s="280">
        <v>-758.0</v>
      </c>
      <c r="N931" s="282">
        <v>222.43</v>
      </c>
      <c r="O931" s="60"/>
      <c r="P931" s="50">
        <v>222.0</v>
      </c>
      <c r="Q931" s="280">
        <v>-283.0</v>
      </c>
      <c r="R931" s="276">
        <v>-0.00224</v>
      </c>
      <c r="S931" s="280">
        <v>-300.0</v>
      </c>
      <c r="T931" s="280">
        <v>-78.0</v>
      </c>
      <c r="U931" s="62">
        <v>1.0</v>
      </c>
      <c r="V931" s="277">
        <v>0.3</v>
      </c>
      <c r="W931" s="277">
        <v>0.0</v>
      </c>
      <c r="X931" s="280">
        <v>-54.0</v>
      </c>
      <c r="Y931" s="280">
        <v>-23.0</v>
      </c>
      <c r="Z931" s="50" t="b">
        <v>1</v>
      </c>
      <c r="AA931" s="50" t="s">
        <v>140</v>
      </c>
      <c r="AB931" s="50" t="s">
        <v>140</v>
      </c>
    </row>
    <row r="932">
      <c r="A932" s="280" t="s">
        <v>150</v>
      </c>
      <c r="B932" s="280" t="s">
        <v>150</v>
      </c>
      <c r="C932" s="283">
        <v>44460.0</v>
      </c>
      <c r="D932" s="283">
        <v>44489.0</v>
      </c>
      <c r="E932" s="280" t="s">
        <v>268</v>
      </c>
      <c r="F932" s="138" t="s">
        <v>4</v>
      </c>
      <c r="G932" s="280" t="s">
        <v>9</v>
      </c>
      <c r="H932" s="273" t="s">
        <v>68</v>
      </c>
      <c r="I932" s="281">
        <v>25.0</v>
      </c>
      <c r="J932" s="280">
        <v>126.0</v>
      </c>
      <c r="K932" s="271">
        <f t="shared" si="1"/>
        <v>3150</v>
      </c>
      <c r="L932" s="280">
        <v>9937.0</v>
      </c>
      <c r="M932" s="280">
        <v>-292.0</v>
      </c>
      <c r="N932" s="282">
        <v>2.57</v>
      </c>
      <c r="O932" s="60"/>
      <c r="P932" s="50">
        <v>3.0</v>
      </c>
      <c r="Q932" s="280">
        <v>177.0</v>
      </c>
      <c r="R932" s="276">
        <v>-0.00224</v>
      </c>
      <c r="S932" s="280">
        <v>170.0</v>
      </c>
      <c r="T932" s="280">
        <v>173.0</v>
      </c>
      <c r="U932" s="62">
        <v>1.0</v>
      </c>
      <c r="V932" s="277">
        <v>0.3</v>
      </c>
      <c r="W932" s="277">
        <v>0.0</v>
      </c>
      <c r="X932" s="280">
        <v>121.0</v>
      </c>
      <c r="Y932" s="280">
        <v>52.0</v>
      </c>
      <c r="Z932" s="50" t="b">
        <v>1</v>
      </c>
      <c r="AA932" s="50" t="s">
        <v>140</v>
      </c>
      <c r="AB932" s="50" t="s">
        <v>140</v>
      </c>
    </row>
    <row r="933">
      <c r="A933" s="101" t="s">
        <v>505</v>
      </c>
      <c r="B933" s="271" t="s">
        <v>166</v>
      </c>
      <c r="C933" s="278">
        <v>44460.0</v>
      </c>
      <c r="D933" s="278">
        <v>44489.0</v>
      </c>
      <c r="E933" s="271" t="s">
        <v>268</v>
      </c>
      <c r="F933" s="101" t="s">
        <v>4</v>
      </c>
      <c r="G933" s="271" t="s">
        <v>5</v>
      </c>
      <c r="H933" s="273" t="s">
        <v>35</v>
      </c>
      <c r="I933" s="281">
        <v>5.0</v>
      </c>
      <c r="J933" s="280">
        <v>1899.0</v>
      </c>
      <c r="K933" s="271">
        <f t="shared" si="1"/>
        <v>9495</v>
      </c>
      <c r="L933" s="280">
        <v>105368.0</v>
      </c>
      <c r="M933" s="280">
        <v>-180.0</v>
      </c>
      <c r="N933" s="275">
        <v>411.0</v>
      </c>
      <c r="O933" s="60"/>
      <c r="P933" s="50">
        <v>411.0</v>
      </c>
      <c r="Q933" s="280">
        <v>115.0</v>
      </c>
      <c r="R933" s="276">
        <v>-0.00224</v>
      </c>
      <c r="S933" s="280">
        <v>94.0</v>
      </c>
      <c r="T933" s="280">
        <v>505.0</v>
      </c>
      <c r="U933" s="62">
        <v>1.0</v>
      </c>
      <c r="V933" s="277">
        <v>0.3</v>
      </c>
      <c r="W933" s="277">
        <v>0.0</v>
      </c>
      <c r="X933" s="280">
        <v>353.0</v>
      </c>
      <c r="Y933" s="280">
        <v>151.0</v>
      </c>
      <c r="Z933" s="50" t="b">
        <v>1</v>
      </c>
      <c r="AA933" s="50" t="s">
        <v>138</v>
      </c>
      <c r="AB933" s="50" t="s">
        <v>138</v>
      </c>
    </row>
    <row r="934">
      <c r="A934" s="280" t="s">
        <v>199</v>
      </c>
      <c r="B934" s="280" t="s">
        <v>924</v>
      </c>
      <c r="C934" s="283">
        <v>44460.0</v>
      </c>
      <c r="D934" s="283">
        <v>44489.0</v>
      </c>
      <c r="E934" s="280" t="s">
        <v>268</v>
      </c>
      <c r="F934" s="138" t="s">
        <v>4</v>
      </c>
      <c r="G934" s="280" t="s">
        <v>9</v>
      </c>
      <c r="H934" s="273" t="s">
        <v>998</v>
      </c>
      <c r="I934" s="281">
        <v>5.0</v>
      </c>
      <c r="J934" s="280">
        <v>20.0</v>
      </c>
      <c r="K934" s="271">
        <f t="shared" si="1"/>
        <v>100</v>
      </c>
      <c r="L934" s="280">
        <v>403.0</v>
      </c>
      <c r="M934" s="280">
        <v>0.0</v>
      </c>
      <c r="N934" s="282">
        <v>7.99</v>
      </c>
      <c r="O934" s="60"/>
      <c r="P934" s="50">
        <v>8.0</v>
      </c>
      <c r="Q934" s="280">
        <v>-4.0</v>
      </c>
      <c r="R934" s="276">
        <v>-0.00224</v>
      </c>
      <c r="S934" s="280">
        <v>-4.0</v>
      </c>
      <c r="T934" s="280">
        <v>4.0</v>
      </c>
      <c r="U934" s="62">
        <v>1.0</v>
      </c>
      <c r="V934" s="277">
        <v>0.2</v>
      </c>
      <c r="W934" s="277">
        <v>0.0</v>
      </c>
      <c r="X934" s="280">
        <v>3.0</v>
      </c>
      <c r="Y934" s="280">
        <v>1.0</v>
      </c>
      <c r="Z934" s="50" t="b">
        <v>1</v>
      </c>
      <c r="AA934" s="50" t="s">
        <v>140</v>
      </c>
      <c r="AB934" s="50" t="s">
        <v>140</v>
      </c>
    </row>
    <row r="935">
      <c r="A935" s="280" t="s">
        <v>199</v>
      </c>
      <c r="B935" s="280" t="s">
        <v>924</v>
      </c>
      <c r="C935" s="283">
        <v>44460.0</v>
      </c>
      <c r="D935" s="283">
        <v>44489.0</v>
      </c>
      <c r="E935" s="280" t="s">
        <v>268</v>
      </c>
      <c r="F935" s="138" t="s">
        <v>4</v>
      </c>
      <c r="G935" s="280" t="s">
        <v>9</v>
      </c>
      <c r="H935" s="273" t="s">
        <v>983</v>
      </c>
      <c r="I935" s="281">
        <v>5.0</v>
      </c>
      <c r="J935" s="280">
        <v>36.0</v>
      </c>
      <c r="K935" s="271">
        <f t="shared" si="1"/>
        <v>180</v>
      </c>
      <c r="L935" s="280">
        <v>-4225.0</v>
      </c>
      <c r="M935" s="280">
        <v>-23.0</v>
      </c>
      <c r="N935" s="282">
        <v>0.41</v>
      </c>
      <c r="O935" s="60"/>
      <c r="P935" s="50">
        <v>0.0</v>
      </c>
      <c r="Q935" s="280">
        <v>-52.0</v>
      </c>
      <c r="R935" s="276">
        <v>-0.00224</v>
      </c>
      <c r="S935" s="280">
        <v>-53.0</v>
      </c>
      <c r="T935" s="280">
        <v>-52.0</v>
      </c>
      <c r="U935" s="62">
        <v>1.0</v>
      </c>
      <c r="V935" s="277">
        <v>0.2</v>
      </c>
      <c r="W935" s="277">
        <v>0.0</v>
      </c>
      <c r="X935" s="280">
        <v>-42.0</v>
      </c>
      <c r="Y935" s="280">
        <v>-10.0</v>
      </c>
      <c r="Z935" s="50" t="b">
        <v>1</v>
      </c>
      <c r="AA935" s="50" t="s">
        <v>140</v>
      </c>
      <c r="AB935" s="50" t="s">
        <v>140</v>
      </c>
    </row>
    <row r="936">
      <c r="A936" s="280" t="s">
        <v>199</v>
      </c>
      <c r="B936" s="280" t="s">
        <v>924</v>
      </c>
      <c r="C936" s="283">
        <v>44460.0</v>
      </c>
      <c r="D936" s="283">
        <v>44489.0</v>
      </c>
      <c r="E936" s="280" t="s">
        <v>268</v>
      </c>
      <c r="F936" s="138" t="s">
        <v>4</v>
      </c>
      <c r="G936" s="280" t="s">
        <v>9</v>
      </c>
      <c r="H936" s="273" t="s">
        <v>54</v>
      </c>
      <c r="I936" s="281">
        <v>10.0</v>
      </c>
      <c r="J936" s="280">
        <v>542.0</v>
      </c>
      <c r="K936" s="271">
        <f t="shared" si="1"/>
        <v>5420</v>
      </c>
      <c r="L936" s="280">
        <v>32892.0</v>
      </c>
      <c r="M936" s="280">
        <v>-47.0</v>
      </c>
      <c r="N936" s="282">
        <v>0.0</v>
      </c>
      <c r="O936" s="60"/>
      <c r="P936" s="50">
        <v>0.0</v>
      </c>
      <c r="Q936" s="280">
        <v>80.0</v>
      </c>
      <c r="R936" s="276">
        <v>-0.00224</v>
      </c>
      <c r="S936" s="280">
        <v>68.0</v>
      </c>
      <c r="T936" s="280">
        <v>68.0</v>
      </c>
      <c r="U936" s="62">
        <v>1.0</v>
      </c>
      <c r="V936" s="277">
        <v>0.2</v>
      </c>
      <c r="W936" s="277">
        <v>0.0</v>
      </c>
      <c r="X936" s="280">
        <v>54.0</v>
      </c>
      <c r="Y936" s="280">
        <v>14.0</v>
      </c>
      <c r="Z936" s="50" t="b">
        <v>1</v>
      </c>
      <c r="AA936" s="50" t="s">
        <v>140</v>
      </c>
      <c r="AB936" s="50" t="s">
        <v>140</v>
      </c>
    </row>
    <row r="937">
      <c r="A937" s="280" t="s">
        <v>199</v>
      </c>
      <c r="B937" s="280" t="s">
        <v>924</v>
      </c>
      <c r="C937" s="283">
        <v>44460.0</v>
      </c>
      <c r="D937" s="283">
        <v>44489.0</v>
      </c>
      <c r="E937" s="280" t="s">
        <v>268</v>
      </c>
      <c r="F937" s="138" t="s">
        <v>4</v>
      </c>
      <c r="G937" s="280" t="s">
        <v>9</v>
      </c>
      <c r="H937" s="273" t="s">
        <v>53</v>
      </c>
      <c r="I937" s="281">
        <v>10.0</v>
      </c>
      <c r="J937" s="280">
        <v>63.0</v>
      </c>
      <c r="K937" s="271">
        <f t="shared" si="1"/>
        <v>630</v>
      </c>
      <c r="L937" s="280">
        <v>1157.0</v>
      </c>
      <c r="M937" s="280">
        <v>-268.0</v>
      </c>
      <c r="N937" s="282">
        <v>0.24</v>
      </c>
      <c r="O937" s="60"/>
      <c r="P937" s="50">
        <v>0.0</v>
      </c>
      <c r="Q937" s="280">
        <v>-32.0</v>
      </c>
      <c r="R937" s="276">
        <v>-0.00224</v>
      </c>
      <c r="S937" s="280">
        <v>-33.0</v>
      </c>
      <c r="T937" s="280">
        <v>-33.0</v>
      </c>
      <c r="U937" s="62">
        <v>1.0</v>
      </c>
      <c r="V937" s="277">
        <v>0.2</v>
      </c>
      <c r="W937" s="277">
        <v>0.0</v>
      </c>
      <c r="X937" s="280">
        <v>-26.0</v>
      </c>
      <c r="Y937" s="280">
        <v>-7.0</v>
      </c>
      <c r="Z937" s="50" t="b">
        <v>1</v>
      </c>
      <c r="AA937" s="50" t="s">
        <v>140</v>
      </c>
      <c r="AB937" s="50" t="s">
        <v>140</v>
      </c>
    </row>
    <row r="938">
      <c r="A938" s="280" t="s">
        <v>199</v>
      </c>
      <c r="B938" s="280" t="s">
        <v>924</v>
      </c>
      <c r="C938" s="283">
        <v>44460.0</v>
      </c>
      <c r="D938" s="283">
        <v>44489.0</v>
      </c>
      <c r="E938" s="280" t="s">
        <v>268</v>
      </c>
      <c r="F938" s="138" t="s">
        <v>4</v>
      </c>
      <c r="G938" s="280" t="s">
        <v>9</v>
      </c>
      <c r="H938" s="273" t="s">
        <v>55</v>
      </c>
      <c r="I938" s="281">
        <v>10.0</v>
      </c>
      <c r="J938" s="280">
        <v>355.0</v>
      </c>
      <c r="K938" s="271">
        <f t="shared" si="1"/>
        <v>3550</v>
      </c>
      <c r="L938" s="280">
        <v>16179.0</v>
      </c>
      <c r="M938" s="280">
        <v>175.0</v>
      </c>
      <c r="N938" s="282">
        <v>1.35</v>
      </c>
      <c r="O938" s="60"/>
      <c r="P938" s="50">
        <v>1.0</v>
      </c>
      <c r="Q938" s="280">
        <v>-13.0</v>
      </c>
      <c r="R938" s="276">
        <v>-0.00224</v>
      </c>
      <c r="S938" s="280">
        <v>-20.0</v>
      </c>
      <c r="T938" s="280">
        <v>-19.0</v>
      </c>
      <c r="U938" s="62">
        <v>1.0</v>
      </c>
      <c r="V938" s="277">
        <v>0.2</v>
      </c>
      <c r="W938" s="277">
        <v>0.0</v>
      </c>
      <c r="X938" s="280">
        <v>-15.0</v>
      </c>
      <c r="Y938" s="280">
        <v>-4.0</v>
      </c>
      <c r="Z938" s="50" t="b">
        <v>1</v>
      </c>
      <c r="AA938" s="50" t="s">
        <v>140</v>
      </c>
      <c r="AB938" s="50" t="s">
        <v>140</v>
      </c>
    </row>
    <row r="939">
      <c r="A939" s="101" t="s">
        <v>546</v>
      </c>
      <c r="B939" s="101" t="s">
        <v>202</v>
      </c>
      <c r="C939" s="278">
        <v>44460.0</v>
      </c>
      <c r="D939" s="278">
        <v>44489.0</v>
      </c>
      <c r="E939" s="271" t="s">
        <v>331</v>
      </c>
      <c r="F939" s="138" t="s">
        <v>4</v>
      </c>
      <c r="G939" s="271" t="s">
        <v>13</v>
      </c>
      <c r="H939" s="273" t="s">
        <v>85</v>
      </c>
      <c r="I939" s="274">
        <v>100.0</v>
      </c>
      <c r="J939" s="271">
        <v>1160.0</v>
      </c>
      <c r="K939" s="271">
        <f t="shared" si="1"/>
        <v>116000</v>
      </c>
      <c r="L939" s="271">
        <v>17505.0</v>
      </c>
      <c r="M939" s="271">
        <v>-3800.0</v>
      </c>
      <c r="N939" s="275">
        <f>3276+1390+24*100</f>
        <v>7066</v>
      </c>
      <c r="O939" s="60"/>
      <c r="P939" s="109">
        <v>7066.0</v>
      </c>
      <c r="Q939" s="271">
        <v>-2420.0</v>
      </c>
      <c r="R939" s="276">
        <v>-0.00224</v>
      </c>
      <c r="S939" s="271">
        <v>-2680.0</v>
      </c>
      <c r="T939" s="271">
        <v>4386.0</v>
      </c>
      <c r="U939" s="62">
        <v>1.0</v>
      </c>
      <c r="V939" s="277">
        <v>0.11</v>
      </c>
      <c r="W939" s="277">
        <v>0.03</v>
      </c>
      <c r="X939" s="271">
        <v>3772.0</v>
      </c>
      <c r="Y939" s="271">
        <v>614.0</v>
      </c>
      <c r="Z939" s="50" t="b">
        <v>1</v>
      </c>
      <c r="AA939" s="50" t="s">
        <v>138</v>
      </c>
      <c r="AB939" s="50" t="s">
        <v>138</v>
      </c>
    </row>
    <row r="940">
      <c r="A940" s="101" t="s">
        <v>160</v>
      </c>
      <c r="B940" s="101" t="s">
        <v>160</v>
      </c>
      <c r="C940" s="278">
        <v>44460.0</v>
      </c>
      <c r="D940" s="278">
        <v>44489.0</v>
      </c>
      <c r="E940" s="271" t="s">
        <v>268</v>
      </c>
      <c r="F940" s="138" t="s">
        <v>4</v>
      </c>
      <c r="G940" s="101" t="s">
        <v>5</v>
      </c>
      <c r="H940" s="273" t="s">
        <v>45</v>
      </c>
      <c r="I940" s="274">
        <v>10.0</v>
      </c>
      <c r="J940" s="271">
        <v>1973.0</v>
      </c>
      <c r="K940" s="271">
        <f t="shared" si="1"/>
        <v>19730</v>
      </c>
      <c r="L940" s="271">
        <v>98631.0</v>
      </c>
      <c r="M940" s="271">
        <v>420.0</v>
      </c>
      <c r="N940" s="275">
        <v>113.0</v>
      </c>
      <c r="O940" s="60"/>
      <c r="P940" s="50">
        <v>113.0</v>
      </c>
      <c r="Q940" s="271">
        <v>365.0</v>
      </c>
      <c r="R940" s="276">
        <v>-0.00224</v>
      </c>
      <c r="S940" s="271">
        <v>321.0</v>
      </c>
      <c r="T940" s="271">
        <v>434.0</v>
      </c>
      <c r="U940" s="62">
        <v>1.0</v>
      </c>
      <c r="V940" s="277">
        <v>0.3</v>
      </c>
      <c r="W940" s="277">
        <v>0.0</v>
      </c>
      <c r="X940" s="271">
        <v>304.0</v>
      </c>
      <c r="Y940" s="271">
        <v>130.0</v>
      </c>
      <c r="Z940" s="50" t="b">
        <v>1</v>
      </c>
      <c r="AA940" s="50" t="s">
        <v>138</v>
      </c>
      <c r="AB940" s="50" t="s">
        <v>138</v>
      </c>
    </row>
    <row r="941">
      <c r="A941" s="101" t="s">
        <v>207</v>
      </c>
      <c r="B941" s="101" t="s">
        <v>208</v>
      </c>
      <c r="C941" s="278">
        <v>44460.0</v>
      </c>
      <c r="D941" s="278">
        <v>44489.0</v>
      </c>
      <c r="E941" s="271" t="s">
        <v>268</v>
      </c>
      <c r="F941" s="138" t="s">
        <v>4</v>
      </c>
      <c r="G941" s="101" t="s">
        <v>13</v>
      </c>
      <c r="H941" s="273" t="s">
        <v>34</v>
      </c>
      <c r="I941" s="274">
        <v>5.0</v>
      </c>
      <c r="J941" s="271">
        <v>1942.0</v>
      </c>
      <c r="K941" s="271">
        <f t="shared" si="1"/>
        <v>9710</v>
      </c>
      <c r="L941" s="271">
        <v>48550.0</v>
      </c>
      <c r="M941" s="271">
        <v>-165.0</v>
      </c>
      <c r="N941" s="275">
        <f>831+874</f>
        <v>1705</v>
      </c>
      <c r="O941" s="60"/>
      <c r="P941" s="109">
        <v>1705.0</v>
      </c>
      <c r="Q941" s="271">
        <v>-14.0</v>
      </c>
      <c r="R941" s="276">
        <v>-0.00224</v>
      </c>
      <c r="S941" s="271">
        <v>-35.0</v>
      </c>
      <c r="T941" s="271">
        <v>1670.0</v>
      </c>
      <c r="U941" s="62">
        <v>1.0</v>
      </c>
      <c r="V941" s="277">
        <v>0.22</v>
      </c>
      <c r="W941" s="277">
        <v>0.0</v>
      </c>
      <c r="X941" s="271">
        <v>1302.0</v>
      </c>
      <c r="Y941" s="271">
        <v>367.0</v>
      </c>
      <c r="Z941" s="50" t="b">
        <v>1</v>
      </c>
      <c r="AA941" s="50" t="s">
        <v>138</v>
      </c>
      <c r="AB941" s="50" t="s">
        <v>138</v>
      </c>
    </row>
    <row r="942">
      <c r="A942" s="101" t="s">
        <v>207</v>
      </c>
      <c r="B942" s="101" t="s">
        <v>208</v>
      </c>
      <c r="C942" s="278">
        <v>44460.0</v>
      </c>
      <c r="D942" s="278">
        <v>44489.0</v>
      </c>
      <c r="E942" s="271" t="s">
        <v>268</v>
      </c>
      <c r="F942" s="138" t="s">
        <v>4</v>
      </c>
      <c r="G942" s="101" t="s">
        <v>13</v>
      </c>
      <c r="H942" s="273" t="s">
        <v>45</v>
      </c>
      <c r="I942" s="274">
        <v>10.0</v>
      </c>
      <c r="J942" s="271">
        <v>3690.0</v>
      </c>
      <c r="K942" s="271">
        <f t="shared" si="1"/>
        <v>36900</v>
      </c>
      <c r="L942" s="271">
        <v>39159.0</v>
      </c>
      <c r="M942" s="271">
        <v>-1960.0</v>
      </c>
      <c r="N942" s="275">
        <f>66*10+5*55</f>
        <v>935</v>
      </c>
      <c r="O942" s="60"/>
      <c r="P942" s="50">
        <v>935.0</v>
      </c>
      <c r="Q942" s="271">
        <v>-1502.0</v>
      </c>
      <c r="R942" s="276">
        <v>-0.00224</v>
      </c>
      <c r="S942" s="271">
        <v>-1585.0</v>
      </c>
      <c r="T942" s="271">
        <v>-650.0</v>
      </c>
      <c r="U942" s="62">
        <v>1.0</v>
      </c>
      <c r="V942" s="277">
        <v>0.22</v>
      </c>
      <c r="W942" s="277">
        <v>0.0</v>
      </c>
      <c r="X942" s="271">
        <v>-507.0</v>
      </c>
      <c r="Y942" s="271">
        <v>-143.0</v>
      </c>
      <c r="Z942" s="50" t="b">
        <v>1</v>
      </c>
      <c r="AA942" s="50" t="s">
        <v>138</v>
      </c>
      <c r="AB942" s="50" t="s">
        <v>138</v>
      </c>
    </row>
    <row r="943">
      <c r="A943" s="280" t="s">
        <v>177</v>
      </c>
      <c r="B943" s="280" t="s">
        <v>903</v>
      </c>
      <c r="C943" s="283">
        <v>44470.0</v>
      </c>
      <c r="D943" s="283">
        <v>44500.0</v>
      </c>
      <c r="E943" s="280" t="s">
        <v>268</v>
      </c>
      <c r="F943" s="138" t="s">
        <v>8</v>
      </c>
      <c r="G943" s="280" t="s">
        <v>16</v>
      </c>
      <c r="H943" s="273" t="s">
        <v>85</v>
      </c>
      <c r="I943" s="281">
        <v>100.0</v>
      </c>
      <c r="J943" s="280">
        <v>2792.0</v>
      </c>
      <c r="K943" s="271">
        <f t="shared" si="1"/>
        <v>279200</v>
      </c>
      <c r="L943" s="280">
        <v>9589.0</v>
      </c>
      <c r="M943" s="280">
        <v>-10400.0</v>
      </c>
      <c r="N943" s="282">
        <v>13424.76</v>
      </c>
      <c r="O943" s="60"/>
      <c r="P943" s="109">
        <v>13425.0</v>
      </c>
      <c r="Q943" s="280">
        <v>-13264.0</v>
      </c>
      <c r="R943" s="276">
        <v>-0.003155</v>
      </c>
      <c r="S943" s="280">
        <v>-14145.0</v>
      </c>
      <c r="T943" s="280">
        <v>-720.0</v>
      </c>
      <c r="U943" s="62">
        <v>1.0</v>
      </c>
      <c r="V943" s="277">
        <v>0.12</v>
      </c>
      <c r="W943" s="277">
        <v>0.0</v>
      </c>
      <c r="X943" s="280">
        <v>-634.0</v>
      </c>
      <c r="Y943" s="280">
        <v>-86.0</v>
      </c>
      <c r="Z943" s="50" t="b">
        <v>1</v>
      </c>
      <c r="AA943" s="50" t="s">
        <v>138</v>
      </c>
      <c r="AB943" s="50" t="s">
        <v>138</v>
      </c>
    </row>
    <row r="944">
      <c r="A944" s="280" t="s">
        <v>177</v>
      </c>
      <c r="B944" s="280" t="s">
        <v>903</v>
      </c>
      <c r="C944" s="283">
        <v>44470.0</v>
      </c>
      <c r="D944" s="283">
        <v>44500.0</v>
      </c>
      <c r="E944" s="280" t="s">
        <v>268</v>
      </c>
      <c r="F944" s="138" t="s">
        <v>8</v>
      </c>
      <c r="G944" s="280" t="s">
        <v>16</v>
      </c>
      <c r="H944" s="273" t="s">
        <v>74</v>
      </c>
      <c r="I944" s="281">
        <v>50.0</v>
      </c>
      <c r="J944" s="280">
        <v>995.0</v>
      </c>
      <c r="K944" s="271">
        <f t="shared" si="1"/>
        <v>49750</v>
      </c>
      <c r="L944" s="280">
        <v>25194.0</v>
      </c>
      <c r="M944" s="280">
        <v>1750.0</v>
      </c>
      <c r="N944" s="282">
        <v>137.24</v>
      </c>
      <c r="O944" s="60"/>
      <c r="P944" s="50">
        <v>137.0</v>
      </c>
      <c r="Q944" s="280">
        <v>2044.0</v>
      </c>
      <c r="R944" s="276">
        <v>-0.003285</v>
      </c>
      <c r="S944" s="280">
        <v>1881.0</v>
      </c>
      <c r="T944" s="280">
        <v>2018.0</v>
      </c>
      <c r="U944" s="62">
        <v>1.0</v>
      </c>
      <c r="V944" s="277">
        <v>0.12</v>
      </c>
      <c r="W944" s="277">
        <v>0.0</v>
      </c>
      <c r="X944" s="280">
        <v>1776.0</v>
      </c>
      <c r="Y944" s="280">
        <v>242.0</v>
      </c>
      <c r="Z944" s="50" t="b">
        <v>1</v>
      </c>
      <c r="AA944" s="50" t="s">
        <v>138</v>
      </c>
      <c r="AB944" s="50" t="s">
        <v>138</v>
      </c>
    </row>
    <row r="945">
      <c r="A945" s="101" t="s">
        <v>177</v>
      </c>
      <c r="B945" s="101" t="s">
        <v>177</v>
      </c>
      <c r="C945" s="278">
        <v>44470.0</v>
      </c>
      <c r="D945" s="278">
        <v>44500.0</v>
      </c>
      <c r="E945" s="280" t="s">
        <v>268</v>
      </c>
      <c r="F945" s="138" t="s">
        <v>8</v>
      </c>
      <c r="G945" s="280" t="s">
        <v>5</v>
      </c>
      <c r="H945" s="273" t="s">
        <v>85</v>
      </c>
      <c r="I945" s="274">
        <v>100.0</v>
      </c>
      <c r="J945" s="271">
        <v>60.0</v>
      </c>
      <c r="K945" s="271">
        <f t="shared" si="1"/>
        <v>6000</v>
      </c>
      <c r="L945" s="271">
        <v>846.0</v>
      </c>
      <c r="M945" s="271">
        <v>300.0</v>
      </c>
      <c r="N945" s="275">
        <v>95.0</v>
      </c>
      <c r="O945" s="60"/>
      <c r="P945" s="50">
        <v>95.0</v>
      </c>
      <c r="Q945" s="271">
        <v>-165.0</v>
      </c>
      <c r="R945" s="276">
        <v>-0.002094</v>
      </c>
      <c r="S945" s="271">
        <v>-178.0</v>
      </c>
      <c r="T945" s="271">
        <v>-83.0</v>
      </c>
      <c r="U945" s="62">
        <v>1.0</v>
      </c>
      <c r="V945" s="277">
        <v>0.12</v>
      </c>
      <c r="W945" s="277">
        <v>0.0</v>
      </c>
      <c r="X945" s="271">
        <v>-73.0</v>
      </c>
      <c r="Y945" s="271">
        <v>-10.0</v>
      </c>
      <c r="Z945" s="50" t="b">
        <v>1</v>
      </c>
      <c r="AA945" s="50" t="s">
        <v>138</v>
      </c>
      <c r="AB945" s="50" t="s">
        <v>138</v>
      </c>
    </row>
    <row r="946">
      <c r="A946" s="280" t="s">
        <v>459</v>
      </c>
      <c r="B946" s="280" t="s">
        <v>145</v>
      </c>
      <c r="C946" s="283">
        <v>44470.0</v>
      </c>
      <c r="D946" s="283">
        <v>44500.0</v>
      </c>
      <c r="E946" s="271" t="s">
        <v>331</v>
      </c>
      <c r="F946" s="138" t="s">
        <v>8</v>
      </c>
      <c r="G946" s="280" t="s">
        <v>9</v>
      </c>
      <c r="H946" s="273" t="s">
        <v>89</v>
      </c>
      <c r="I946" s="281">
        <v>100.0</v>
      </c>
      <c r="J946" s="280">
        <v>700.0</v>
      </c>
      <c r="K946" s="271">
        <f t="shared" si="1"/>
        <v>70000</v>
      </c>
      <c r="L946" s="280">
        <v>30352.0</v>
      </c>
      <c r="M946" s="280">
        <v>-5200.0</v>
      </c>
      <c r="N946" s="282">
        <f>875+1540</f>
        <v>2415</v>
      </c>
      <c r="O946" s="60"/>
      <c r="P946" s="109">
        <v>2415.0</v>
      </c>
      <c r="Q946" s="280">
        <v>-1066.0</v>
      </c>
      <c r="R946" s="276">
        <v>-0.00208</v>
      </c>
      <c r="S946" s="280">
        <v>-1212.0</v>
      </c>
      <c r="T946" s="280">
        <v>1203.0</v>
      </c>
      <c r="U946" s="62">
        <v>1.0</v>
      </c>
      <c r="V946" s="277">
        <v>0.15</v>
      </c>
      <c r="W946" s="277">
        <v>0.1</v>
      </c>
      <c r="X946" s="280">
        <v>902.0</v>
      </c>
      <c r="Y946" s="280">
        <v>301.0</v>
      </c>
      <c r="Z946" s="50" t="b">
        <v>1</v>
      </c>
      <c r="AA946" s="50" t="s">
        <v>140</v>
      </c>
      <c r="AB946" s="50" t="s">
        <v>140</v>
      </c>
    </row>
    <row r="947">
      <c r="A947" s="101" t="s">
        <v>181</v>
      </c>
      <c r="B947" s="101" t="s">
        <v>181</v>
      </c>
      <c r="C947" s="278">
        <v>44370.0</v>
      </c>
      <c r="D947" s="278">
        <v>44500.0</v>
      </c>
      <c r="E947" s="271" t="s">
        <v>331</v>
      </c>
      <c r="F947" s="138" t="s">
        <v>12</v>
      </c>
      <c r="G947" s="280" t="s">
        <v>5</v>
      </c>
      <c r="H947" s="114" t="s">
        <v>85</v>
      </c>
      <c r="I947" s="274">
        <v>100.0</v>
      </c>
      <c r="J947" s="271">
        <v>5200.0</v>
      </c>
      <c r="K947" s="271">
        <f t="shared" si="1"/>
        <v>520000</v>
      </c>
      <c r="L947" s="287">
        <v>175649.0</v>
      </c>
      <c r="M947" s="287">
        <v>3700.0</v>
      </c>
      <c r="N947" s="275">
        <v>1871.0</v>
      </c>
      <c r="O947" s="60"/>
      <c r="P947" s="109">
        <v>1871.0</v>
      </c>
      <c r="Q947" s="287">
        <v>4842.0</v>
      </c>
      <c r="R947" s="276">
        <v>0.0</v>
      </c>
      <c r="S947" s="287">
        <v>4842.0</v>
      </c>
      <c r="T947" s="287">
        <v>5571.0</v>
      </c>
      <c r="U947" s="62">
        <v>1.0</v>
      </c>
      <c r="V947" s="277">
        <v>0.06</v>
      </c>
      <c r="W947" s="277">
        <v>0.12</v>
      </c>
      <c r="X947" s="287">
        <v>4568.0</v>
      </c>
      <c r="Y947" s="287">
        <v>1003.0</v>
      </c>
      <c r="Z947" s="50" t="b">
        <v>1</v>
      </c>
      <c r="AA947" s="50" t="s">
        <v>138</v>
      </c>
      <c r="AB947" s="50" t="s">
        <v>138</v>
      </c>
    </row>
    <row r="948">
      <c r="A948" s="280" t="s">
        <v>693</v>
      </c>
      <c r="B948" s="280" t="s">
        <v>159</v>
      </c>
      <c r="C948" s="283">
        <v>44470.0</v>
      </c>
      <c r="D948" s="283">
        <v>44500.0</v>
      </c>
      <c r="E948" s="280" t="s">
        <v>268</v>
      </c>
      <c r="F948" s="138" t="s">
        <v>8</v>
      </c>
      <c r="G948" s="280" t="s">
        <v>9</v>
      </c>
      <c r="H948" s="273" t="s">
        <v>66</v>
      </c>
      <c r="I948" s="281">
        <v>25.0</v>
      </c>
      <c r="J948" s="280">
        <v>1737.0</v>
      </c>
      <c r="K948" s="271">
        <f t="shared" si="1"/>
        <v>43425</v>
      </c>
      <c r="L948" s="280">
        <v>110070.0</v>
      </c>
      <c r="M948" s="280">
        <v>-1450.0</v>
      </c>
      <c r="N948" s="282">
        <v>1223.96</v>
      </c>
      <c r="O948" s="60"/>
      <c r="P948" s="109">
        <v>1224.0</v>
      </c>
      <c r="Q948" s="280">
        <v>822.0</v>
      </c>
      <c r="R948" s="276">
        <v>-0.002151</v>
      </c>
      <c r="S948" s="280">
        <v>729.0</v>
      </c>
      <c r="T948" s="280">
        <v>1953.0</v>
      </c>
      <c r="U948" s="62">
        <v>1.0</v>
      </c>
      <c r="V948" s="277">
        <v>0.17</v>
      </c>
      <c r="W948" s="277">
        <v>0.0</v>
      </c>
      <c r="X948" s="280">
        <v>1621.0</v>
      </c>
      <c r="Y948" s="280">
        <v>332.0</v>
      </c>
      <c r="Z948" s="50" t="b">
        <v>1</v>
      </c>
      <c r="AA948" s="50" t="s">
        <v>140</v>
      </c>
      <c r="AB948" s="50" t="s">
        <v>140</v>
      </c>
    </row>
    <row r="949">
      <c r="A949" s="280" t="s">
        <v>693</v>
      </c>
      <c r="B949" s="280" t="s">
        <v>159</v>
      </c>
      <c r="C949" s="283">
        <v>44470.0</v>
      </c>
      <c r="D949" s="283">
        <v>44500.0</v>
      </c>
      <c r="E949" s="280" t="s">
        <v>268</v>
      </c>
      <c r="F949" s="138" t="s">
        <v>8</v>
      </c>
      <c r="G949" s="280" t="s">
        <v>9</v>
      </c>
      <c r="H949" s="273" t="s">
        <v>53</v>
      </c>
      <c r="I949" s="281">
        <v>10.0</v>
      </c>
      <c r="J949" s="280">
        <v>546.0</v>
      </c>
      <c r="K949" s="271">
        <f t="shared" si="1"/>
        <v>5460</v>
      </c>
      <c r="L949" s="280">
        <v>32208.0</v>
      </c>
      <c r="M949" s="280">
        <v>-620.0</v>
      </c>
      <c r="N949" s="282">
        <v>11.04</v>
      </c>
      <c r="O949" s="60"/>
      <c r="P949" s="50">
        <v>11.0</v>
      </c>
      <c r="Q949" s="280">
        <v>90.0</v>
      </c>
      <c r="R949" s="276">
        <v>-0.002065</v>
      </c>
      <c r="S949" s="280">
        <v>79.0</v>
      </c>
      <c r="T949" s="280">
        <v>90.0</v>
      </c>
      <c r="U949" s="62">
        <v>1.0</v>
      </c>
      <c r="V949" s="277">
        <v>0.17</v>
      </c>
      <c r="W949" s="277">
        <v>0.0</v>
      </c>
      <c r="X949" s="280">
        <v>75.0</v>
      </c>
      <c r="Y949" s="280">
        <v>15.0</v>
      </c>
      <c r="Z949" s="50" t="b">
        <v>1</v>
      </c>
      <c r="AA949" s="50" t="s">
        <v>140</v>
      </c>
      <c r="AB949" s="50" t="s">
        <v>140</v>
      </c>
    </row>
    <row r="950">
      <c r="A950" s="101" t="s">
        <v>197</v>
      </c>
      <c r="B950" s="101" t="s">
        <v>197</v>
      </c>
      <c r="C950" s="278">
        <v>44470.0</v>
      </c>
      <c r="D950" s="278">
        <v>44500.0</v>
      </c>
      <c r="E950" s="280" t="s">
        <v>268</v>
      </c>
      <c r="F950" s="138" t="s">
        <v>8</v>
      </c>
      <c r="G950" s="271" t="s">
        <v>5</v>
      </c>
      <c r="H950" s="273" t="s">
        <v>62</v>
      </c>
      <c r="I950" s="274">
        <v>25.0</v>
      </c>
      <c r="J950" s="271">
        <v>2460.0</v>
      </c>
      <c r="K950" s="271">
        <f t="shared" si="1"/>
        <v>61500</v>
      </c>
      <c r="L950" s="271">
        <v>96504.0</v>
      </c>
      <c r="M950" s="271">
        <v>-150.0</v>
      </c>
      <c r="N950" s="275">
        <v>507.0</v>
      </c>
      <c r="O950" s="60"/>
      <c r="P950" s="50">
        <v>507.0</v>
      </c>
      <c r="Q950" s="271">
        <v>538.0</v>
      </c>
      <c r="R950" s="276">
        <v>-0.002092</v>
      </c>
      <c r="S950" s="271">
        <v>409.0</v>
      </c>
      <c r="T950" s="271">
        <v>916.0</v>
      </c>
      <c r="U950" s="62">
        <v>1.0</v>
      </c>
      <c r="V950" s="277">
        <v>0.17</v>
      </c>
      <c r="W950" s="277">
        <v>0.0</v>
      </c>
      <c r="X950" s="271">
        <v>760.0</v>
      </c>
      <c r="Y950" s="271">
        <v>156.0</v>
      </c>
      <c r="Z950" s="50" t="b">
        <v>1</v>
      </c>
      <c r="AA950" s="50" t="s">
        <v>138</v>
      </c>
      <c r="AB950" s="50" t="s">
        <v>138</v>
      </c>
    </row>
    <row r="951">
      <c r="A951" s="101" t="s">
        <v>197</v>
      </c>
      <c r="B951" s="101" t="s">
        <v>197</v>
      </c>
      <c r="C951" s="278">
        <v>44470.0</v>
      </c>
      <c r="D951" s="278">
        <v>44500.0</v>
      </c>
      <c r="E951" s="280" t="s">
        <v>268</v>
      </c>
      <c r="F951" s="138" t="s">
        <v>8</v>
      </c>
      <c r="G951" s="271" t="s">
        <v>5</v>
      </c>
      <c r="H951" s="273" t="s">
        <v>74</v>
      </c>
      <c r="I951" s="274">
        <v>50.0</v>
      </c>
      <c r="J951" s="271">
        <v>270.0</v>
      </c>
      <c r="K951" s="271">
        <f t="shared" si="1"/>
        <v>13500</v>
      </c>
      <c r="L951" s="271">
        <v>7104.0</v>
      </c>
      <c r="M951" s="271">
        <v>-150.0</v>
      </c>
      <c r="N951" s="275">
        <v>2318.0</v>
      </c>
      <c r="O951" s="60"/>
      <c r="P951" s="109">
        <v>2318.0</v>
      </c>
      <c r="Q951" s="271">
        <v>-205.0</v>
      </c>
      <c r="R951" s="276">
        <v>-0.002048</v>
      </c>
      <c r="S951" s="271">
        <v>-233.0</v>
      </c>
      <c r="T951" s="271">
        <v>2085.0</v>
      </c>
      <c r="U951" s="62">
        <v>1.0</v>
      </c>
      <c r="V951" s="277">
        <v>0.17</v>
      </c>
      <c r="W951" s="277">
        <v>0.0</v>
      </c>
      <c r="X951" s="271">
        <v>1731.0</v>
      </c>
      <c r="Y951" s="271">
        <v>354.0</v>
      </c>
      <c r="Z951" s="50" t="b">
        <v>1</v>
      </c>
      <c r="AA951" s="50" t="s">
        <v>138</v>
      </c>
      <c r="AB951" s="50" t="s">
        <v>138</v>
      </c>
    </row>
    <row r="952">
      <c r="A952" s="101" t="s">
        <v>267</v>
      </c>
      <c r="B952" s="101" t="s">
        <v>267</v>
      </c>
      <c r="C952" s="278">
        <v>44490.0</v>
      </c>
      <c r="D952" s="278">
        <v>44520.0</v>
      </c>
      <c r="E952" s="271" t="s">
        <v>268</v>
      </c>
      <c r="F952" s="138" t="s">
        <v>4</v>
      </c>
      <c r="G952" s="101" t="s">
        <v>5</v>
      </c>
      <c r="H952" s="273" t="s">
        <v>35</v>
      </c>
      <c r="I952" s="274">
        <v>5.0</v>
      </c>
      <c r="J952" s="271">
        <v>6.0</v>
      </c>
      <c r="K952" s="271">
        <f t="shared" si="1"/>
        <v>30</v>
      </c>
      <c r="L952" s="271">
        <v>678.0</v>
      </c>
      <c r="M952" s="271">
        <v>-15.0</v>
      </c>
      <c r="N952" s="275">
        <v>2.0</v>
      </c>
      <c r="O952" s="60"/>
      <c r="P952" s="50">
        <v>2.0</v>
      </c>
      <c r="Q952" s="271">
        <v>4.0</v>
      </c>
      <c r="R952" s="276">
        <v>-0.0015</v>
      </c>
      <c r="S952" s="271">
        <v>4.0</v>
      </c>
      <c r="T952" s="271">
        <v>6.0</v>
      </c>
      <c r="U952" s="62">
        <v>1.0</v>
      </c>
      <c r="V952" s="277">
        <v>0.15</v>
      </c>
      <c r="W952" s="277">
        <v>0.0</v>
      </c>
      <c r="X952" s="271">
        <v>5.0</v>
      </c>
      <c r="Y952" s="271">
        <v>1.0</v>
      </c>
      <c r="Z952" s="50" t="b">
        <v>1</v>
      </c>
      <c r="AA952" s="50" t="s">
        <v>138</v>
      </c>
      <c r="AB952" s="50" t="s">
        <v>138</v>
      </c>
    </row>
    <row r="953">
      <c r="A953" s="101" t="s">
        <v>267</v>
      </c>
      <c r="B953" s="101" t="s">
        <v>267</v>
      </c>
      <c r="C953" s="278">
        <v>44490.0</v>
      </c>
      <c r="D953" s="278">
        <v>44520.0</v>
      </c>
      <c r="E953" s="271" t="s">
        <v>268</v>
      </c>
      <c r="F953" s="138" t="s">
        <v>4</v>
      </c>
      <c r="G953" s="101" t="s">
        <v>5</v>
      </c>
      <c r="H953" s="273" t="s">
        <v>38</v>
      </c>
      <c r="I953" s="274">
        <v>5.0</v>
      </c>
      <c r="J953" s="271">
        <v>1.0</v>
      </c>
      <c r="K953" s="271">
        <f t="shared" si="1"/>
        <v>5</v>
      </c>
      <c r="L953" s="271">
        <v>-198.0</v>
      </c>
      <c r="M953" s="271">
        <v>-5.0</v>
      </c>
      <c r="N953" s="275"/>
      <c r="O953" s="60"/>
      <c r="P953" s="101"/>
      <c r="Q953" s="271">
        <v>-3.0</v>
      </c>
      <c r="R953" s="276">
        <v>-0.0015</v>
      </c>
      <c r="S953" s="271">
        <v>-3.0</v>
      </c>
      <c r="T953" s="271">
        <v>-3.0</v>
      </c>
      <c r="U953" s="62">
        <v>1.0</v>
      </c>
      <c r="V953" s="277">
        <v>0.15</v>
      </c>
      <c r="W953" s="277">
        <v>0.0</v>
      </c>
      <c r="X953" s="271">
        <v>-3.0</v>
      </c>
      <c r="Y953" s="271">
        <v>-1.0</v>
      </c>
      <c r="Z953" s="50" t="b">
        <v>1</v>
      </c>
      <c r="AA953" s="50" t="s">
        <v>138</v>
      </c>
      <c r="AB953" s="50" t="s">
        <v>138</v>
      </c>
    </row>
    <row r="954">
      <c r="A954" s="101" t="s">
        <v>267</v>
      </c>
      <c r="B954" s="101" t="s">
        <v>267</v>
      </c>
      <c r="C954" s="278">
        <v>44490.0</v>
      </c>
      <c r="D954" s="278">
        <v>44520.0</v>
      </c>
      <c r="E954" s="271" t="s">
        <v>268</v>
      </c>
      <c r="F954" s="138" t="s">
        <v>4</v>
      </c>
      <c r="G954" s="101" t="s">
        <v>5</v>
      </c>
      <c r="H954" s="273" t="s">
        <v>45</v>
      </c>
      <c r="I954" s="274">
        <v>10.0</v>
      </c>
      <c r="J954" s="271">
        <v>1.0</v>
      </c>
      <c r="K954" s="271">
        <f t="shared" si="1"/>
        <v>10</v>
      </c>
      <c r="L954" s="271">
        <v>-24.0</v>
      </c>
      <c r="M954" s="271">
        <v>-10.0</v>
      </c>
      <c r="N954" s="275"/>
      <c r="O954" s="60"/>
      <c r="P954" s="101"/>
      <c r="Q954" s="271">
        <v>-1.0</v>
      </c>
      <c r="R954" s="276">
        <v>-0.0015</v>
      </c>
      <c r="S954" s="271">
        <v>-1.0</v>
      </c>
      <c r="T954" s="271">
        <v>-1.0</v>
      </c>
      <c r="U954" s="62">
        <v>1.0</v>
      </c>
      <c r="V954" s="277">
        <v>0.15</v>
      </c>
      <c r="W954" s="277">
        <v>0.0</v>
      </c>
      <c r="X954" s="271">
        <v>-1.0</v>
      </c>
      <c r="Y954" s="271">
        <v>0.0</v>
      </c>
      <c r="Z954" s="50" t="b">
        <v>1</v>
      </c>
      <c r="AA954" s="50" t="s">
        <v>138</v>
      </c>
      <c r="AB954" s="50" t="s">
        <v>138</v>
      </c>
    </row>
    <row r="955">
      <c r="A955" s="101" t="s">
        <v>267</v>
      </c>
      <c r="B955" s="101" t="s">
        <v>267</v>
      </c>
      <c r="C955" s="278">
        <v>44490.0</v>
      </c>
      <c r="D955" s="278">
        <v>44520.0</v>
      </c>
      <c r="E955" s="271" t="s">
        <v>268</v>
      </c>
      <c r="F955" s="138" t="s">
        <v>4</v>
      </c>
      <c r="G955" s="101" t="s">
        <v>5</v>
      </c>
      <c r="H955" s="273" t="s">
        <v>48</v>
      </c>
      <c r="I955" s="274">
        <v>10.0</v>
      </c>
      <c r="J955" s="271">
        <v>376.0</v>
      </c>
      <c r="K955" s="271">
        <f t="shared" si="1"/>
        <v>3760</v>
      </c>
      <c r="L955" s="271">
        <v>10468.0</v>
      </c>
      <c r="M955" s="271">
        <v>-140.0</v>
      </c>
      <c r="N955" s="275">
        <v>168.0</v>
      </c>
      <c r="O955" s="60"/>
      <c r="P955" s="50">
        <v>168.0</v>
      </c>
      <c r="Q955" s="271">
        <v>50.0</v>
      </c>
      <c r="R955" s="276">
        <v>-0.0015</v>
      </c>
      <c r="S955" s="271">
        <v>44.0</v>
      </c>
      <c r="T955" s="271">
        <v>212.0</v>
      </c>
      <c r="U955" s="62">
        <v>1.0</v>
      </c>
      <c r="V955" s="277">
        <v>0.15</v>
      </c>
      <c r="W955" s="277">
        <v>0.0</v>
      </c>
      <c r="X955" s="271">
        <v>181.0</v>
      </c>
      <c r="Y955" s="271">
        <v>32.0</v>
      </c>
      <c r="Z955" s="50" t="b">
        <v>1</v>
      </c>
      <c r="AA955" s="50" t="s">
        <v>138</v>
      </c>
      <c r="AB955" s="50" t="s">
        <v>138</v>
      </c>
    </row>
    <row r="956">
      <c r="A956" s="101" t="s">
        <v>267</v>
      </c>
      <c r="B956" s="101" t="s">
        <v>267</v>
      </c>
      <c r="C956" s="278">
        <v>44490.0</v>
      </c>
      <c r="D956" s="278">
        <v>44520.0</v>
      </c>
      <c r="E956" s="271" t="s">
        <v>268</v>
      </c>
      <c r="F956" s="138" t="s">
        <v>4</v>
      </c>
      <c r="G956" s="101" t="s">
        <v>5</v>
      </c>
      <c r="H956" s="273" t="s">
        <v>62</v>
      </c>
      <c r="I956" s="274">
        <v>25.0</v>
      </c>
      <c r="J956" s="271">
        <v>645.0</v>
      </c>
      <c r="K956" s="271">
        <f t="shared" si="1"/>
        <v>16125</v>
      </c>
      <c r="L956" s="271">
        <v>20335.0</v>
      </c>
      <c r="M956" s="271">
        <v>150.0</v>
      </c>
      <c r="N956" s="275">
        <v>619.0</v>
      </c>
      <c r="O956" s="60"/>
      <c r="P956" s="50">
        <v>619.0</v>
      </c>
      <c r="Q956" s="271">
        <v>-59.0</v>
      </c>
      <c r="R956" s="276">
        <v>-0.0015</v>
      </c>
      <c r="S956" s="271">
        <v>-83.0</v>
      </c>
      <c r="T956" s="271">
        <v>536.0</v>
      </c>
      <c r="U956" s="62">
        <v>1.0</v>
      </c>
      <c r="V956" s="277">
        <v>0.15</v>
      </c>
      <c r="W956" s="277">
        <v>0.0</v>
      </c>
      <c r="X956" s="271">
        <v>455.0</v>
      </c>
      <c r="Y956" s="271">
        <v>80.0</v>
      </c>
      <c r="Z956" s="50" t="b">
        <v>1</v>
      </c>
      <c r="AA956" s="50" t="s">
        <v>138</v>
      </c>
      <c r="AB956" s="50" t="s">
        <v>138</v>
      </c>
    </row>
    <row r="957">
      <c r="A957" s="101" t="s">
        <v>267</v>
      </c>
      <c r="B957" s="101" t="s">
        <v>267</v>
      </c>
      <c r="C957" s="278">
        <v>44490.0</v>
      </c>
      <c r="D957" s="278">
        <v>44520.0</v>
      </c>
      <c r="E957" s="271" t="s">
        <v>268</v>
      </c>
      <c r="F957" s="138" t="s">
        <v>4</v>
      </c>
      <c r="G957" s="101" t="s">
        <v>5</v>
      </c>
      <c r="H957" s="273" t="s">
        <v>63</v>
      </c>
      <c r="I957" s="274">
        <v>25.0</v>
      </c>
      <c r="J957" s="271">
        <v>2779.0</v>
      </c>
      <c r="K957" s="271">
        <f t="shared" si="1"/>
        <v>69475</v>
      </c>
      <c r="L957" s="271">
        <v>43198.0</v>
      </c>
      <c r="M957" s="271">
        <v>-575.0</v>
      </c>
      <c r="N957" s="275">
        <v>2658.0</v>
      </c>
      <c r="O957" s="60"/>
      <c r="P957" s="109">
        <v>2658.0</v>
      </c>
      <c r="Q957" s="271">
        <v>-978.0</v>
      </c>
      <c r="R957" s="276">
        <v>-0.0015</v>
      </c>
      <c r="S957" s="271">
        <v>-1082.0</v>
      </c>
      <c r="T957" s="271">
        <v>1576.0</v>
      </c>
      <c r="U957" s="62">
        <v>1.0</v>
      </c>
      <c r="V957" s="277">
        <v>0.15</v>
      </c>
      <c r="W957" s="277">
        <v>0.0</v>
      </c>
      <c r="X957" s="271">
        <v>1339.0</v>
      </c>
      <c r="Y957" s="271">
        <v>236.0</v>
      </c>
      <c r="Z957" s="50" t="b">
        <v>1</v>
      </c>
      <c r="AA957" s="50" t="s">
        <v>138</v>
      </c>
      <c r="AB957" s="50" t="s">
        <v>138</v>
      </c>
    </row>
    <row r="958">
      <c r="A958" s="101" t="s">
        <v>267</v>
      </c>
      <c r="B958" s="101" t="s">
        <v>267</v>
      </c>
      <c r="C958" s="278">
        <v>44490.0</v>
      </c>
      <c r="D958" s="278">
        <v>44520.0</v>
      </c>
      <c r="E958" s="271" t="s">
        <v>268</v>
      </c>
      <c r="F958" s="138" t="s">
        <v>4</v>
      </c>
      <c r="G958" s="101" t="s">
        <v>5</v>
      </c>
      <c r="H958" s="273" t="s">
        <v>74</v>
      </c>
      <c r="I958" s="274">
        <v>50.0</v>
      </c>
      <c r="J958" s="271">
        <v>205.0</v>
      </c>
      <c r="K958" s="271">
        <f t="shared" si="1"/>
        <v>10250</v>
      </c>
      <c r="L958" s="271">
        <v>7807.0</v>
      </c>
      <c r="M958" s="271">
        <v>450.0</v>
      </c>
      <c r="N958" s="275">
        <v>394.0</v>
      </c>
      <c r="O958" s="60"/>
      <c r="P958" s="50">
        <v>394.0</v>
      </c>
      <c r="Q958" s="271">
        <v>87.0</v>
      </c>
      <c r="R958" s="276">
        <v>-0.0015</v>
      </c>
      <c r="S958" s="271">
        <v>72.0</v>
      </c>
      <c r="T958" s="271">
        <v>466.0</v>
      </c>
      <c r="U958" s="62">
        <v>1.0</v>
      </c>
      <c r="V958" s="277">
        <v>0.15</v>
      </c>
      <c r="W958" s="277">
        <v>0.0</v>
      </c>
      <c r="X958" s="271">
        <v>396.0</v>
      </c>
      <c r="Y958" s="271">
        <v>70.0</v>
      </c>
      <c r="Z958" s="50" t="b">
        <v>1</v>
      </c>
      <c r="AA958" s="50" t="s">
        <v>138</v>
      </c>
      <c r="AB958" s="50" t="s">
        <v>138</v>
      </c>
    </row>
    <row r="959">
      <c r="A959" s="101" t="s">
        <v>267</v>
      </c>
      <c r="B959" s="101" t="s">
        <v>267</v>
      </c>
      <c r="C959" s="278">
        <v>44490.0</v>
      </c>
      <c r="D959" s="278">
        <v>44520.0</v>
      </c>
      <c r="E959" s="271" t="s">
        <v>268</v>
      </c>
      <c r="F959" s="138" t="s">
        <v>4</v>
      </c>
      <c r="G959" s="101" t="s">
        <v>5</v>
      </c>
      <c r="H959" s="273" t="s">
        <v>75</v>
      </c>
      <c r="I959" s="274">
        <v>50.0</v>
      </c>
      <c r="J959" s="271">
        <v>1.0</v>
      </c>
      <c r="K959" s="271">
        <f t="shared" si="1"/>
        <v>50</v>
      </c>
      <c r="L959" s="271">
        <v>-41.0</v>
      </c>
      <c r="M959" s="271">
        <v>-50.0</v>
      </c>
      <c r="N959" s="275">
        <v>2.0</v>
      </c>
      <c r="O959" s="60"/>
      <c r="P959" s="50">
        <v>2.0</v>
      </c>
      <c r="Q959" s="271">
        <v>-9.0</v>
      </c>
      <c r="R959" s="276">
        <v>-0.0015</v>
      </c>
      <c r="S959" s="271">
        <v>-10.0</v>
      </c>
      <c r="T959" s="271">
        <v>-8.0</v>
      </c>
      <c r="U959" s="62">
        <v>1.0</v>
      </c>
      <c r="V959" s="277">
        <v>0.15</v>
      </c>
      <c r="W959" s="277">
        <v>0.0</v>
      </c>
      <c r="X959" s="271">
        <v>-6.0</v>
      </c>
      <c r="Y959" s="271">
        <v>-1.0</v>
      </c>
      <c r="Z959" s="50" t="b">
        <v>1</v>
      </c>
      <c r="AA959" s="50" t="s">
        <v>138</v>
      </c>
      <c r="AB959" s="50" t="s">
        <v>138</v>
      </c>
    </row>
    <row r="960">
      <c r="A960" s="101" t="s">
        <v>267</v>
      </c>
      <c r="B960" s="101" t="s">
        <v>267</v>
      </c>
      <c r="C960" s="278">
        <v>44490.0</v>
      </c>
      <c r="D960" s="278">
        <v>44520.0</v>
      </c>
      <c r="E960" s="271" t="s">
        <v>268</v>
      </c>
      <c r="F960" s="138" t="s">
        <v>12</v>
      </c>
      <c r="G960" s="101" t="s">
        <v>5</v>
      </c>
      <c r="H960" s="273" t="s">
        <v>6</v>
      </c>
      <c r="I960" s="274">
        <v>0.25</v>
      </c>
      <c r="J960" s="271">
        <v>10.0</v>
      </c>
      <c r="K960" s="271">
        <f t="shared" si="1"/>
        <v>2.5</v>
      </c>
      <c r="L960" s="271"/>
      <c r="M960" s="271">
        <v>0.0</v>
      </c>
      <c r="N960" s="275"/>
      <c r="O960" s="60"/>
      <c r="P960" s="101"/>
      <c r="Q960" s="271"/>
      <c r="R960" s="276">
        <v>0.0</v>
      </c>
      <c r="S960" s="271"/>
      <c r="T960" s="271">
        <v>0.0</v>
      </c>
      <c r="U960" s="62">
        <v>1.0</v>
      </c>
      <c r="V960" s="277">
        <v>0.15</v>
      </c>
      <c r="W960" s="277">
        <v>0.0</v>
      </c>
      <c r="X960" s="271">
        <v>0.0</v>
      </c>
      <c r="Y960" s="271">
        <v>0.0</v>
      </c>
      <c r="Z960" s="50" t="b">
        <v>1</v>
      </c>
      <c r="AA960" s="50" t="s">
        <v>138</v>
      </c>
      <c r="AB960" s="50" t="s">
        <v>138</v>
      </c>
    </row>
    <row r="961">
      <c r="A961" s="101" t="s">
        <v>267</v>
      </c>
      <c r="B961" s="101" t="s">
        <v>267</v>
      </c>
      <c r="C961" s="278">
        <v>44490.0</v>
      </c>
      <c r="D961" s="278">
        <v>44520.0</v>
      </c>
      <c r="E961" s="271" t="s">
        <v>268</v>
      </c>
      <c r="F961" s="138" t="s">
        <v>12</v>
      </c>
      <c r="G961" s="101" t="s">
        <v>5</v>
      </c>
      <c r="H961" s="273" t="s">
        <v>20</v>
      </c>
      <c r="I961" s="274">
        <v>1.0</v>
      </c>
      <c r="J961" s="271">
        <v>4.0</v>
      </c>
      <c r="K961" s="271">
        <f t="shared" si="1"/>
        <v>4</v>
      </c>
      <c r="L961" s="271"/>
      <c r="M961" s="271">
        <v>-1.0</v>
      </c>
      <c r="N961" s="275"/>
      <c r="O961" s="60"/>
      <c r="P961" s="101"/>
      <c r="Q961" s="271"/>
      <c r="R961" s="276">
        <v>0.0</v>
      </c>
      <c r="S961" s="271"/>
      <c r="T961" s="271">
        <v>-1.0</v>
      </c>
      <c r="U961" s="62">
        <v>1.0</v>
      </c>
      <c r="V961" s="277">
        <v>0.15</v>
      </c>
      <c r="W961" s="277">
        <v>0.0</v>
      </c>
      <c r="X961" s="271">
        <v>-1.0</v>
      </c>
      <c r="Y961" s="271">
        <v>0.0</v>
      </c>
      <c r="Z961" s="50" t="b">
        <v>1</v>
      </c>
      <c r="AA961" s="50" t="s">
        <v>138</v>
      </c>
      <c r="AB961" s="50" t="s">
        <v>138</v>
      </c>
    </row>
    <row r="962">
      <c r="A962" s="101" t="s">
        <v>267</v>
      </c>
      <c r="B962" s="101" t="s">
        <v>267</v>
      </c>
      <c r="C962" s="278">
        <v>44490.0</v>
      </c>
      <c r="D962" s="278">
        <v>44520.0</v>
      </c>
      <c r="E962" s="271" t="s">
        <v>268</v>
      </c>
      <c r="F962" s="138" t="s">
        <v>12</v>
      </c>
      <c r="G962" s="101" t="s">
        <v>5</v>
      </c>
      <c r="H962" s="273" t="s">
        <v>28</v>
      </c>
      <c r="I962" s="274">
        <v>2.0</v>
      </c>
      <c r="J962" s="271">
        <v>2.0</v>
      </c>
      <c r="K962" s="271">
        <f t="shared" si="1"/>
        <v>4</v>
      </c>
      <c r="L962" s="271"/>
      <c r="M962" s="271">
        <v>8.0</v>
      </c>
      <c r="N962" s="275"/>
      <c r="O962" s="60"/>
      <c r="P962" s="101"/>
      <c r="Q962" s="271"/>
      <c r="R962" s="276">
        <v>0.0</v>
      </c>
      <c r="S962" s="271"/>
      <c r="T962" s="271">
        <v>8.0</v>
      </c>
      <c r="U962" s="62">
        <v>1.0</v>
      </c>
      <c r="V962" s="277">
        <v>0.15</v>
      </c>
      <c r="W962" s="277">
        <v>0.0</v>
      </c>
      <c r="X962" s="271">
        <v>7.0</v>
      </c>
      <c r="Y962" s="271">
        <v>1.0</v>
      </c>
      <c r="Z962" s="50" t="b">
        <v>1</v>
      </c>
      <c r="AA962" s="50" t="s">
        <v>138</v>
      </c>
      <c r="AB962" s="50" t="s">
        <v>138</v>
      </c>
    </row>
    <row r="963">
      <c r="A963" s="101" t="s">
        <v>267</v>
      </c>
      <c r="B963" s="101" t="s">
        <v>267</v>
      </c>
      <c r="C963" s="278">
        <v>44490.0</v>
      </c>
      <c r="D963" s="278">
        <v>44520.0</v>
      </c>
      <c r="E963" s="271" t="s">
        <v>268</v>
      </c>
      <c r="F963" s="138" t="s">
        <v>12</v>
      </c>
      <c r="G963" s="101" t="s">
        <v>5</v>
      </c>
      <c r="H963" s="273" t="s">
        <v>29</v>
      </c>
      <c r="I963" s="274">
        <v>2.0</v>
      </c>
      <c r="J963" s="271">
        <v>1.0</v>
      </c>
      <c r="K963" s="271">
        <f t="shared" si="1"/>
        <v>2</v>
      </c>
      <c r="L963" s="271"/>
      <c r="M963" s="271">
        <v>-2.0</v>
      </c>
      <c r="N963" s="275"/>
      <c r="O963" s="60"/>
      <c r="P963" s="101"/>
      <c r="Q963" s="271"/>
      <c r="R963" s="276">
        <v>0.0</v>
      </c>
      <c r="S963" s="271"/>
      <c r="T963" s="271">
        <v>-2.0</v>
      </c>
      <c r="U963" s="62">
        <v>1.0</v>
      </c>
      <c r="V963" s="277">
        <v>0.15</v>
      </c>
      <c r="W963" s="277">
        <v>0.0</v>
      </c>
      <c r="X963" s="271">
        <v>-2.0</v>
      </c>
      <c r="Y963" s="271">
        <v>0.0</v>
      </c>
      <c r="Z963" s="50" t="b">
        <v>1</v>
      </c>
      <c r="AA963" s="50" t="s">
        <v>138</v>
      </c>
      <c r="AB963" s="50" t="s">
        <v>138</v>
      </c>
    </row>
    <row r="964">
      <c r="A964" s="271" t="s">
        <v>144</v>
      </c>
      <c r="B964" s="271" t="s">
        <v>144</v>
      </c>
      <c r="C964" s="283">
        <v>44490.0</v>
      </c>
      <c r="D964" s="283">
        <v>44520.0</v>
      </c>
      <c r="E964" s="280" t="s">
        <v>268</v>
      </c>
      <c r="F964" s="138" t="s">
        <v>4</v>
      </c>
      <c r="G964" s="280" t="s">
        <v>9</v>
      </c>
      <c r="H964" s="273" t="s">
        <v>53</v>
      </c>
      <c r="I964" s="281">
        <v>10.0</v>
      </c>
      <c r="J964" s="280">
        <v>253.0</v>
      </c>
      <c r="K964" s="271">
        <f t="shared" si="1"/>
        <v>2530</v>
      </c>
      <c r="L964" s="280">
        <v>15636.0</v>
      </c>
      <c r="M964" s="280">
        <v>45.0</v>
      </c>
      <c r="N964" s="282">
        <v>4.88</v>
      </c>
      <c r="O964" s="60"/>
      <c r="P964" s="50">
        <v>5.0</v>
      </c>
      <c r="Q964" s="280">
        <v>59.0</v>
      </c>
      <c r="R964" s="276">
        <v>4.2E-4</v>
      </c>
      <c r="S964" s="280">
        <v>60.0</v>
      </c>
      <c r="T964" s="280">
        <v>65.0</v>
      </c>
      <c r="U964" s="62">
        <v>1.0</v>
      </c>
      <c r="V964" s="277">
        <v>0.2</v>
      </c>
      <c r="W964" s="277">
        <v>0.0</v>
      </c>
      <c r="X964" s="280">
        <v>52.0</v>
      </c>
      <c r="Y964" s="280">
        <v>13.0</v>
      </c>
      <c r="Z964" s="50" t="b">
        <v>1</v>
      </c>
      <c r="AA964" s="50" t="s">
        <v>140</v>
      </c>
      <c r="AB964" s="50" t="s">
        <v>140</v>
      </c>
    </row>
    <row r="965">
      <c r="A965" s="271" t="s">
        <v>144</v>
      </c>
      <c r="B965" s="271" t="s">
        <v>144</v>
      </c>
      <c r="C965" s="283">
        <v>44490.0</v>
      </c>
      <c r="D965" s="283">
        <v>44520.0</v>
      </c>
      <c r="E965" s="280" t="s">
        <v>268</v>
      </c>
      <c r="F965" s="138" t="s">
        <v>4</v>
      </c>
      <c r="G965" s="280" t="s">
        <v>9</v>
      </c>
      <c r="H965" s="273" t="s">
        <v>66</v>
      </c>
      <c r="I965" s="281">
        <v>25.0</v>
      </c>
      <c r="J965" s="280">
        <v>221.0</v>
      </c>
      <c r="K965" s="271">
        <f t="shared" si="1"/>
        <v>5525</v>
      </c>
      <c r="L965" s="280">
        <v>16556.0</v>
      </c>
      <c r="M965" s="280">
        <v>-310.0</v>
      </c>
      <c r="N965" s="282">
        <v>0.12</v>
      </c>
      <c r="O965" s="60"/>
      <c r="P965" s="50">
        <v>0.0</v>
      </c>
      <c r="Q965" s="280">
        <v>260.0</v>
      </c>
      <c r="R965" s="276">
        <v>4.2E-4</v>
      </c>
      <c r="S965" s="280">
        <v>263.0</v>
      </c>
      <c r="T965" s="280">
        <v>263.0</v>
      </c>
      <c r="U965" s="62">
        <v>1.0</v>
      </c>
      <c r="V965" s="277">
        <v>0.2</v>
      </c>
      <c r="W965" s="277">
        <v>0.0</v>
      </c>
      <c r="X965" s="280">
        <v>210.0</v>
      </c>
      <c r="Y965" s="280">
        <v>53.0</v>
      </c>
      <c r="Z965" s="50" t="b">
        <v>1</v>
      </c>
      <c r="AA965" s="50" t="s">
        <v>140</v>
      </c>
      <c r="AB965" s="50" t="s">
        <v>140</v>
      </c>
    </row>
    <row r="966">
      <c r="A966" s="101" t="s">
        <v>148</v>
      </c>
      <c r="B966" s="101" t="s">
        <v>148</v>
      </c>
      <c r="C966" s="278">
        <v>44490.0</v>
      </c>
      <c r="D966" s="278">
        <v>44520.0</v>
      </c>
      <c r="E966" s="271" t="s">
        <v>331</v>
      </c>
      <c r="F966" s="138" t="s">
        <v>4</v>
      </c>
      <c r="G966" s="101" t="s">
        <v>5</v>
      </c>
      <c r="H966" s="273" t="s">
        <v>74</v>
      </c>
      <c r="I966" s="274">
        <v>50.0</v>
      </c>
      <c r="J966" s="271">
        <v>3381.0</v>
      </c>
      <c r="K966" s="271">
        <f t="shared" si="1"/>
        <v>169050</v>
      </c>
      <c r="L966" s="271">
        <v>102060.0</v>
      </c>
      <c r="M966" s="271">
        <v>2050.0</v>
      </c>
      <c r="N966" s="275">
        <v>4230.0</v>
      </c>
      <c r="O966" s="60"/>
      <c r="P966" s="109">
        <v>4230.0</v>
      </c>
      <c r="Q966" s="271">
        <v>-1357.0</v>
      </c>
      <c r="R966" s="276">
        <v>4.2E-4</v>
      </c>
      <c r="S966" s="271">
        <v>-1286.0</v>
      </c>
      <c r="T966" s="271">
        <v>2944.0</v>
      </c>
      <c r="U966" s="62">
        <v>1.0</v>
      </c>
      <c r="V966" s="277">
        <v>0.15</v>
      </c>
      <c r="W966" s="277">
        <v>0.05</v>
      </c>
      <c r="X966" s="271">
        <v>2355.0</v>
      </c>
      <c r="Y966" s="271">
        <v>589.0</v>
      </c>
      <c r="Z966" s="50" t="b">
        <v>1</v>
      </c>
      <c r="AA966" s="50" t="s">
        <v>138</v>
      </c>
      <c r="AB966" s="50" t="s">
        <v>138</v>
      </c>
    </row>
    <row r="967">
      <c r="A967" s="101" t="s">
        <v>148</v>
      </c>
      <c r="B967" s="101" t="s">
        <v>148</v>
      </c>
      <c r="C967" s="278">
        <v>44490.0</v>
      </c>
      <c r="D967" s="278">
        <v>44520.0</v>
      </c>
      <c r="E967" s="271" t="s">
        <v>331</v>
      </c>
      <c r="F967" s="138" t="s">
        <v>4</v>
      </c>
      <c r="G967" s="101" t="s">
        <v>5</v>
      </c>
      <c r="H967" s="273" t="s">
        <v>85</v>
      </c>
      <c r="I967" s="274">
        <v>100.0</v>
      </c>
      <c r="J967" s="271">
        <v>2.0</v>
      </c>
      <c r="K967" s="271">
        <f t="shared" si="1"/>
        <v>200</v>
      </c>
      <c r="L967" s="271">
        <v>-718.0</v>
      </c>
      <c r="M967" s="271">
        <v>-200.0</v>
      </c>
      <c r="N967" s="275">
        <v>4.0</v>
      </c>
      <c r="O967" s="60"/>
      <c r="P967" s="50">
        <v>4.0</v>
      </c>
      <c r="Q967" s="271">
        <v>-145.0</v>
      </c>
      <c r="R967" s="276">
        <v>4.2E-4</v>
      </c>
      <c r="S967" s="271">
        <v>-145.0</v>
      </c>
      <c r="T967" s="271">
        <v>-141.0</v>
      </c>
      <c r="U967" s="62">
        <v>1.0</v>
      </c>
      <c r="V967" s="277">
        <v>0.15</v>
      </c>
      <c r="W967" s="277">
        <v>0.05</v>
      </c>
      <c r="X967" s="271">
        <v>-113.0</v>
      </c>
      <c r="Y967" s="271">
        <v>-28.0</v>
      </c>
      <c r="Z967" s="50" t="b">
        <v>1</v>
      </c>
      <c r="AA967" s="50" t="s">
        <v>138</v>
      </c>
      <c r="AB967" s="50" t="s">
        <v>138</v>
      </c>
    </row>
    <row r="968">
      <c r="A968" s="101" t="s">
        <v>148</v>
      </c>
      <c r="B968" s="101" t="s">
        <v>148</v>
      </c>
      <c r="C968" s="278">
        <v>44490.0</v>
      </c>
      <c r="D968" s="278">
        <v>44520.0</v>
      </c>
      <c r="E968" s="271" t="s">
        <v>331</v>
      </c>
      <c r="F968" s="138" t="s">
        <v>12</v>
      </c>
      <c r="G968" s="101" t="s">
        <v>5</v>
      </c>
      <c r="H968" s="273" t="s">
        <v>96</v>
      </c>
      <c r="I968" s="274">
        <v>250.0</v>
      </c>
      <c r="J968" s="271">
        <v>3.0</v>
      </c>
      <c r="K968" s="271">
        <f t="shared" si="1"/>
        <v>750</v>
      </c>
      <c r="L968" s="271"/>
      <c r="M968" s="271">
        <v>-750.0</v>
      </c>
      <c r="N968" s="275">
        <v>16.0</v>
      </c>
      <c r="O968" s="60"/>
      <c r="P968" s="50">
        <v>16.0</v>
      </c>
      <c r="Q968" s="271"/>
      <c r="R968" s="276">
        <v>0.0</v>
      </c>
      <c r="S968" s="271"/>
      <c r="T968" s="271">
        <v>-734.0</v>
      </c>
      <c r="U968" s="62">
        <v>1.0</v>
      </c>
      <c r="V968" s="277">
        <v>0.15</v>
      </c>
      <c r="W968" s="277">
        <v>0.05</v>
      </c>
      <c r="X968" s="271">
        <v>-587.0</v>
      </c>
      <c r="Y968" s="271">
        <v>-147.0</v>
      </c>
      <c r="Z968" s="50" t="b">
        <v>1</v>
      </c>
      <c r="AA968" s="50" t="s">
        <v>138</v>
      </c>
      <c r="AB968" s="50" t="s">
        <v>138</v>
      </c>
    </row>
    <row r="969">
      <c r="A969" s="101" t="s">
        <v>182</v>
      </c>
      <c r="B969" s="280">
        <v>66.5622</v>
      </c>
      <c r="C969" s="283">
        <v>44490.0</v>
      </c>
      <c r="D969" s="283">
        <v>44520.0</v>
      </c>
      <c r="E969" s="280" t="s">
        <v>268</v>
      </c>
      <c r="F969" s="138" t="s">
        <v>4</v>
      </c>
      <c r="G969" s="280" t="s">
        <v>9</v>
      </c>
      <c r="H969" s="273" t="s">
        <v>53</v>
      </c>
      <c r="I969" s="281">
        <v>10.0</v>
      </c>
      <c r="J969" s="280">
        <v>1047.0</v>
      </c>
      <c r="K969" s="271">
        <f t="shared" si="1"/>
        <v>10470</v>
      </c>
      <c r="L969" s="280">
        <v>52628.0</v>
      </c>
      <c r="M969" s="280">
        <v>226.0</v>
      </c>
      <c r="N969" s="282">
        <v>5.0</v>
      </c>
      <c r="O969" s="60"/>
      <c r="P969" s="50">
        <v>5.0</v>
      </c>
      <c r="Q969" s="280">
        <v>27.0</v>
      </c>
      <c r="R969" s="276">
        <v>4.2E-4</v>
      </c>
      <c r="S969" s="280">
        <v>31.0</v>
      </c>
      <c r="T969" s="280">
        <v>36.0</v>
      </c>
      <c r="U969" s="62">
        <v>1.128</v>
      </c>
      <c r="V969" s="277">
        <v>0.2</v>
      </c>
      <c r="W969" s="277">
        <v>0.0</v>
      </c>
      <c r="X969" s="280">
        <v>33.0</v>
      </c>
      <c r="Y969" s="280">
        <v>8.0</v>
      </c>
      <c r="Z969" s="50" t="b">
        <v>1</v>
      </c>
      <c r="AA969" s="50" t="s">
        <v>138</v>
      </c>
      <c r="AB969" s="50" t="s">
        <v>140</v>
      </c>
    </row>
    <row r="970">
      <c r="A970" s="101" t="s">
        <v>182</v>
      </c>
      <c r="B970" s="101" t="s">
        <v>182</v>
      </c>
      <c r="C970" s="283">
        <v>44490.0</v>
      </c>
      <c r="D970" s="283">
        <v>44520.0</v>
      </c>
      <c r="E970" s="280" t="s">
        <v>268</v>
      </c>
      <c r="F970" s="138" t="s">
        <v>4</v>
      </c>
      <c r="G970" s="271" t="s">
        <v>5</v>
      </c>
      <c r="H970" s="273" t="s">
        <v>45</v>
      </c>
      <c r="I970" s="281">
        <v>10.0</v>
      </c>
      <c r="J970" s="280">
        <v>68.0</v>
      </c>
      <c r="K970" s="271">
        <f t="shared" si="1"/>
        <v>680</v>
      </c>
      <c r="L970" s="280">
        <v>-1601.0</v>
      </c>
      <c r="M970" s="280">
        <v>-220.0</v>
      </c>
      <c r="N970" s="275"/>
      <c r="O970" s="60"/>
      <c r="P970" s="101"/>
      <c r="Q970" s="280">
        <v>-80.0</v>
      </c>
      <c r="R970" s="276">
        <v>4.2E-4</v>
      </c>
      <c r="S970" s="280">
        <v>-79.0</v>
      </c>
      <c r="T970" s="280">
        <v>-79.0</v>
      </c>
      <c r="U970" s="62">
        <v>1.0</v>
      </c>
      <c r="V970" s="277">
        <v>0.2</v>
      </c>
      <c r="W970" s="277">
        <v>0.0</v>
      </c>
      <c r="X970" s="280">
        <v>-64.0</v>
      </c>
      <c r="Y970" s="280">
        <v>-16.0</v>
      </c>
      <c r="Z970" s="50" t="b">
        <v>1</v>
      </c>
      <c r="AA970" s="50" t="s">
        <v>138</v>
      </c>
      <c r="AB970" s="50" t="s">
        <v>138</v>
      </c>
    </row>
    <row r="971">
      <c r="A971" s="101" t="s">
        <v>149</v>
      </c>
      <c r="B971" s="101" t="s">
        <v>149</v>
      </c>
      <c r="C971" s="278">
        <v>44490.0</v>
      </c>
      <c r="D971" s="278">
        <v>44520.0</v>
      </c>
      <c r="E971" s="271" t="s">
        <v>268</v>
      </c>
      <c r="F971" s="138" t="s">
        <v>4</v>
      </c>
      <c r="G971" s="101" t="s">
        <v>5</v>
      </c>
      <c r="H971" s="273" t="s">
        <v>45</v>
      </c>
      <c r="I971" s="274">
        <v>10.0</v>
      </c>
      <c r="J971" s="271">
        <v>1.0</v>
      </c>
      <c r="K971" s="271">
        <f t="shared" si="1"/>
        <v>10</v>
      </c>
      <c r="L971" s="271">
        <v>296.0</v>
      </c>
      <c r="M971" s="271">
        <v>-10.0</v>
      </c>
      <c r="N971" s="275"/>
      <c r="O971" s="60"/>
      <c r="P971" s="101"/>
      <c r="Q971" s="271">
        <v>5.0</v>
      </c>
      <c r="R971" s="276">
        <v>4.2E-4</v>
      </c>
      <c r="S971" s="271">
        <v>5.0</v>
      </c>
      <c r="T971" s="271">
        <v>5.0</v>
      </c>
      <c r="U971" s="62">
        <v>1.0</v>
      </c>
      <c r="V971" s="277">
        <v>0.22</v>
      </c>
      <c r="W971" s="277">
        <v>0.0</v>
      </c>
      <c r="X971" s="271">
        <v>4.0</v>
      </c>
      <c r="Y971" s="271">
        <v>1.0</v>
      </c>
      <c r="Z971" s="50" t="b">
        <v>1</v>
      </c>
      <c r="AA971" s="50" t="s">
        <v>138</v>
      </c>
      <c r="AB971" s="50" t="s">
        <v>138</v>
      </c>
    </row>
    <row r="972">
      <c r="A972" s="101" t="s">
        <v>149</v>
      </c>
      <c r="B972" s="101" t="s">
        <v>149</v>
      </c>
      <c r="C972" s="278">
        <v>44490.0</v>
      </c>
      <c r="D972" s="278">
        <v>44520.0</v>
      </c>
      <c r="E972" s="271" t="s">
        <v>268</v>
      </c>
      <c r="F972" s="138" t="s">
        <v>4</v>
      </c>
      <c r="G972" s="101" t="s">
        <v>5</v>
      </c>
      <c r="H972" s="273" t="s">
        <v>62</v>
      </c>
      <c r="I972" s="274">
        <v>25.0</v>
      </c>
      <c r="J972" s="271">
        <v>13.0</v>
      </c>
      <c r="K972" s="271">
        <f t="shared" si="1"/>
        <v>325</v>
      </c>
      <c r="L972" s="271">
        <v>889.0</v>
      </c>
      <c r="M972" s="271">
        <v>25.0</v>
      </c>
      <c r="N972" s="275">
        <v>13.0</v>
      </c>
      <c r="O972" s="60"/>
      <c r="P972" s="50">
        <v>13.0</v>
      </c>
      <c r="Q972" s="271">
        <v>20.0</v>
      </c>
      <c r="R972" s="276">
        <v>4.2E-4</v>
      </c>
      <c r="S972" s="271">
        <v>21.0</v>
      </c>
      <c r="T972" s="271">
        <v>34.0</v>
      </c>
      <c r="U972" s="62">
        <v>1.0</v>
      </c>
      <c r="V972" s="277">
        <v>0.22</v>
      </c>
      <c r="W972" s="277">
        <v>0.0</v>
      </c>
      <c r="X972" s="271">
        <v>26.0</v>
      </c>
      <c r="Y972" s="271">
        <v>7.0</v>
      </c>
      <c r="Z972" s="50" t="b">
        <v>1</v>
      </c>
      <c r="AA972" s="50" t="s">
        <v>138</v>
      </c>
      <c r="AB972" s="50" t="s">
        <v>138</v>
      </c>
    </row>
    <row r="973">
      <c r="A973" s="101" t="s">
        <v>149</v>
      </c>
      <c r="B973" s="101" t="s">
        <v>149</v>
      </c>
      <c r="C973" s="278">
        <v>44490.0</v>
      </c>
      <c r="D973" s="278">
        <v>44520.0</v>
      </c>
      <c r="E973" s="271" t="s">
        <v>268</v>
      </c>
      <c r="F973" s="138" t="s">
        <v>4</v>
      </c>
      <c r="G973" s="101" t="s">
        <v>5</v>
      </c>
      <c r="H973" s="273" t="s">
        <v>74</v>
      </c>
      <c r="I973" s="274">
        <v>50.0</v>
      </c>
      <c r="J973" s="271">
        <v>1880.0</v>
      </c>
      <c r="K973" s="271">
        <f t="shared" si="1"/>
        <v>94000</v>
      </c>
      <c r="L973" s="271">
        <v>26291.0</v>
      </c>
      <c r="M973" s="271">
        <v>-950.0</v>
      </c>
      <c r="N973" s="275">
        <v>3872.0</v>
      </c>
      <c r="O973" s="60"/>
      <c r="P973" s="109">
        <v>3872.0</v>
      </c>
      <c r="Q973" s="271">
        <v>-3578.0</v>
      </c>
      <c r="R973" s="276">
        <v>4.2E-4</v>
      </c>
      <c r="S973" s="271">
        <v>-3539.0</v>
      </c>
      <c r="T973" s="271">
        <v>333.0</v>
      </c>
      <c r="U973" s="62">
        <v>1.0</v>
      </c>
      <c r="V973" s="277">
        <v>0.22</v>
      </c>
      <c r="W973" s="277">
        <v>0.0</v>
      </c>
      <c r="X973" s="271">
        <v>260.0</v>
      </c>
      <c r="Y973" s="271">
        <v>73.0</v>
      </c>
      <c r="Z973" s="50" t="b">
        <v>1</v>
      </c>
      <c r="AA973" s="50" t="s">
        <v>138</v>
      </c>
      <c r="AB973" s="50" t="s">
        <v>138</v>
      </c>
    </row>
    <row r="974">
      <c r="A974" s="101" t="s">
        <v>149</v>
      </c>
      <c r="B974" s="101" t="s">
        <v>149</v>
      </c>
      <c r="C974" s="278">
        <v>44490.0</v>
      </c>
      <c r="D974" s="278">
        <v>44520.0</v>
      </c>
      <c r="E974" s="271" t="s">
        <v>268</v>
      </c>
      <c r="F974" s="138" t="s">
        <v>12</v>
      </c>
      <c r="G974" s="101" t="s">
        <v>5</v>
      </c>
      <c r="H974" s="273" t="s">
        <v>38</v>
      </c>
      <c r="I974" s="274">
        <v>5.0</v>
      </c>
      <c r="J974" s="271">
        <v>1.0</v>
      </c>
      <c r="K974" s="271">
        <f t="shared" si="1"/>
        <v>5</v>
      </c>
      <c r="L974" s="271">
        <v>139.0</v>
      </c>
      <c r="M974" s="271">
        <v>35.0</v>
      </c>
      <c r="N974" s="275"/>
      <c r="O974" s="60"/>
      <c r="P974" s="101"/>
      <c r="Q974" s="271">
        <v>2.0</v>
      </c>
      <c r="R974" s="276">
        <v>0.0</v>
      </c>
      <c r="S974" s="271">
        <v>2.0</v>
      </c>
      <c r="T974" s="271">
        <v>35.0</v>
      </c>
      <c r="U974" s="62">
        <v>1.0</v>
      </c>
      <c r="V974" s="277">
        <v>0.22</v>
      </c>
      <c r="W974" s="277">
        <v>0.0</v>
      </c>
      <c r="X974" s="271">
        <v>27.0</v>
      </c>
      <c r="Y974" s="271">
        <v>8.0</v>
      </c>
      <c r="Z974" s="50" t="b">
        <v>1</v>
      </c>
      <c r="AA974" s="50" t="s">
        <v>138</v>
      </c>
      <c r="AB974" s="50" t="s">
        <v>138</v>
      </c>
    </row>
    <row r="975">
      <c r="A975" s="101" t="s">
        <v>149</v>
      </c>
      <c r="B975" s="101" t="s">
        <v>149</v>
      </c>
      <c r="C975" s="278">
        <v>44490.0</v>
      </c>
      <c r="D975" s="278">
        <v>44520.0</v>
      </c>
      <c r="E975" s="271" t="s">
        <v>268</v>
      </c>
      <c r="F975" s="138" t="s">
        <v>12</v>
      </c>
      <c r="G975" s="101" t="s">
        <v>5</v>
      </c>
      <c r="H975" s="273" t="s">
        <v>35</v>
      </c>
      <c r="I975" s="274">
        <v>5.0</v>
      </c>
      <c r="J975" s="271">
        <v>1.0</v>
      </c>
      <c r="K975" s="271">
        <f t="shared" si="1"/>
        <v>5</v>
      </c>
      <c r="L975" s="271">
        <v>140.0</v>
      </c>
      <c r="M975" s="271">
        <v>5.0</v>
      </c>
      <c r="N975" s="275"/>
      <c r="O975" s="60"/>
      <c r="P975" s="101"/>
      <c r="Q975" s="271">
        <v>1.0</v>
      </c>
      <c r="R975" s="276">
        <v>0.0</v>
      </c>
      <c r="S975" s="271">
        <v>1.0</v>
      </c>
      <c r="T975" s="271">
        <v>5.0</v>
      </c>
      <c r="U975" s="62">
        <v>1.0</v>
      </c>
      <c r="V975" s="277">
        <v>0.22</v>
      </c>
      <c r="W975" s="277">
        <v>0.0</v>
      </c>
      <c r="X975" s="271">
        <v>4.0</v>
      </c>
      <c r="Y975" s="271">
        <v>1.0</v>
      </c>
      <c r="Z975" s="50" t="b">
        <v>1</v>
      </c>
      <c r="AA975" s="50" t="s">
        <v>138</v>
      </c>
      <c r="AB975" s="50" t="s">
        <v>138</v>
      </c>
    </row>
    <row r="976">
      <c r="A976" s="101" t="s">
        <v>149</v>
      </c>
      <c r="B976" s="101" t="s">
        <v>149</v>
      </c>
      <c r="C976" s="278">
        <v>44490.0</v>
      </c>
      <c r="D976" s="278">
        <v>44520.0</v>
      </c>
      <c r="E976" s="271" t="s">
        <v>268</v>
      </c>
      <c r="F976" s="138" t="s">
        <v>12</v>
      </c>
      <c r="G976" s="101" t="s">
        <v>5</v>
      </c>
      <c r="H976" s="273" t="s">
        <v>85</v>
      </c>
      <c r="I976" s="274">
        <v>100.0</v>
      </c>
      <c r="J976" s="271">
        <v>2085.0</v>
      </c>
      <c r="K976" s="271">
        <f t="shared" si="1"/>
        <v>208500</v>
      </c>
      <c r="L976" s="271">
        <v>62975.0</v>
      </c>
      <c r="M976" s="271">
        <v>5700.0</v>
      </c>
      <c r="N976" s="275">
        <v>7219.0</v>
      </c>
      <c r="O976" s="60"/>
      <c r="P976" s="109">
        <v>7219.0</v>
      </c>
      <c r="Q976" s="271">
        <v>544.0</v>
      </c>
      <c r="R976" s="276">
        <v>0.0</v>
      </c>
      <c r="S976" s="271">
        <v>544.0</v>
      </c>
      <c r="T976" s="271">
        <v>12919.0</v>
      </c>
      <c r="U976" s="62">
        <v>1.0</v>
      </c>
      <c r="V976" s="277">
        <v>0.22</v>
      </c>
      <c r="W976" s="277">
        <v>0.0</v>
      </c>
      <c r="X976" s="271">
        <v>10077.0</v>
      </c>
      <c r="Y976" s="271">
        <v>2842.0</v>
      </c>
      <c r="Z976" s="50" t="b">
        <v>1</v>
      </c>
      <c r="AA976" s="50" t="s">
        <v>138</v>
      </c>
      <c r="AB976" s="50" t="s">
        <v>138</v>
      </c>
    </row>
    <row r="977">
      <c r="A977" s="280" t="s">
        <v>362</v>
      </c>
      <c r="B977" s="280" t="s">
        <v>362</v>
      </c>
      <c r="C977" s="283">
        <v>44490.0</v>
      </c>
      <c r="D977" s="283">
        <v>44520.0</v>
      </c>
      <c r="E977" s="280" t="s">
        <v>268</v>
      </c>
      <c r="F977" s="138" t="s">
        <v>4</v>
      </c>
      <c r="G977" s="280" t="s">
        <v>9</v>
      </c>
      <c r="H977" s="273" t="s">
        <v>66</v>
      </c>
      <c r="I977" s="281">
        <v>25.0</v>
      </c>
      <c r="J977" s="280">
        <v>10.0</v>
      </c>
      <c r="K977" s="271">
        <f t="shared" si="1"/>
        <v>250</v>
      </c>
      <c r="L977" s="280">
        <v>937.0</v>
      </c>
      <c r="M977" s="280">
        <v>-56.0</v>
      </c>
      <c r="N977" s="282">
        <v>188.54</v>
      </c>
      <c r="O977" s="60"/>
      <c r="P977" s="50">
        <v>189.0</v>
      </c>
      <c r="Q977" s="280">
        <v>20.0</v>
      </c>
      <c r="R977" s="276">
        <v>4.2E-4</v>
      </c>
      <c r="S977" s="280">
        <v>20.0</v>
      </c>
      <c r="T977" s="280">
        <v>209.0</v>
      </c>
      <c r="U977" s="62">
        <v>1.0</v>
      </c>
      <c r="V977" s="277">
        <v>0.19</v>
      </c>
      <c r="W977" s="277">
        <v>0.0</v>
      </c>
      <c r="X977" s="280">
        <v>169.0</v>
      </c>
      <c r="Y977" s="280">
        <v>40.0</v>
      </c>
      <c r="Z977" s="50" t="b">
        <v>1</v>
      </c>
      <c r="AA977" s="50" t="s">
        <v>140</v>
      </c>
      <c r="AB977" s="50" t="s">
        <v>140</v>
      </c>
    </row>
    <row r="978">
      <c r="A978" s="280" t="s">
        <v>362</v>
      </c>
      <c r="B978" s="280" t="s">
        <v>362</v>
      </c>
      <c r="C978" s="283">
        <v>44490.0</v>
      </c>
      <c r="D978" s="283">
        <v>44520.0</v>
      </c>
      <c r="E978" s="280" t="s">
        <v>268</v>
      </c>
      <c r="F978" s="138" t="s">
        <v>4</v>
      </c>
      <c r="G978" s="280" t="s">
        <v>9</v>
      </c>
      <c r="H978" s="273" t="s">
        <v>79</v>
      </c>
      <c r="I978" s="281">
        <v>50.0</v>
      </c>
      <c r="J978" s="280">
        <v>880.0</v>
      </c>
      <c r="K978" s="271">
        <f t="shared" si="1"/>
        <v>44000</v>
      </c>
      <c r="L978" s="280">
        <v>58247.0</v>
      </c>
      <c r="M978" s="280">
        <v>2820.0</v>
      </c>
      <c r="N978" s="282">
        <v>475.92</v>
      </c>
      <c r="O978" s="60"/>
      <c r="P978" s="50">
        <v>476.0</v>
      </c>
      <c r="Q978" s="280">
        <v>1380.0</v>
      </c>
      <c r="R978" s="276">
        <v>4.2E-4</v>
      </c>
      <c r="S978" s="280">
        <v>1398.0</v>
      </c>
      <c r="T978" s="280">
        <v>1874.0</v>
      </c>
      <c r="U978" s="62">
        <v>1.0</v>
      </c>
      <c r="V978" s="277">
        <v>0.19</v>
      </c>
      <c r="W978" s="277">
        <v>0.0</v>
      </c>
      <c r="X978" s="280">
        <v>1518.0</v>
      </c>
      <c r="Y978" s="280">
        <v>356.0</v>
      </c>
      <c r="Z978" s="50" t="b">
        <v>1</v>
      </c>
      <c r="AA978" s="50" t="s">
        <v>140</v>
      </c>
      <c r="AB978" s="50" t="s">
        <v>140</v>
      </c>
    </row>
    <row r="979">
      <c r="A979" s="280" t="s">
        <v>362</v>
      </c>
      <c r="B979" s="280" t="s">
        <v>362</v>
      </c>
      <c r="C979" s="283">
        <v>44490.0</v>
      </c>
      <c r="D979" s="283">
        <v>44520.0</v>
      </c>
      <c r="E979" s="280" t="s">
        <v>268</v>
      </c>
      <c r="F979" s="138" t="s">
        <v>4</v>
      </c>
      <c r="G979" s="280" t="s">
        <v>9</v>
      </c>
      <c r="H979" s="273" t="s">
        <v>89</v>
      </c>
      <c r="I979" s="281">
        <v>100.0</v>
      </c>
      <c r="J979" s="280">
        <v>763.0</v>
      </c>
      <c r="K979" s="271">
        <f t="shared" si="1"/>
        <v>76300</v>
      </c>
      <c r="L979" s="280">
        <v>53231.0</v>
      </c>
      <c r="M979" s="280">
        <v>-790.0</v>
      </c>
      <c r="N979" s="282">
        <v>0.0</v>
      </c>
      <c r="O979" s="60"/>
      <c r="P979" s="50">
        <v>0.0</v>
      </c>
      <c r="Q979" s="280">
        <v>2886.0</v>
      </c>
      <c r="R979" s="276">
        <v>4.2E-4</v>
      </c>
      <c r="S979" s="280">
        <v>2918.0</v>
      </c>
      <c r="T979" s="280">
        <v>2918.0</v>
      </c>
      <c r="U979" s="62">
        <v>1.0</v>
      </c>
      <c r="V979" s="277">
        <v>0.19</v>
      </c>
      <c r="W979" s="277">
        <v>0.0</v>
      </c>
      <c r="X979" s="280">
        <v>2364.0</v>
      </c>
      <c r="Y979" s="280">
        <v>554.0</v>
      </c>
      <c r="Z979" s="50" t="b">
        <v>1</v>
      </c>
      <c r="AA979" s="50" t="s">
        <v>140</v>
      </c>
      <c r="AB979" s="50" t="s">
        <v>140</v>
      </c>
    </row>
    <row r="980">
      <c r="A980" s="280" t="s">
        <v>362</v>
      </c>
      <c r="B980" s="280" t="s">
        <v>362</v>
      </c>
      <c r="C980" s="283">
        <v>44490.0</v>
      </c>
      <c r="D980" s="283">
        <v>44520.0</v>
      </c>
      <c r="E980" s="280" t="s">
        <v>268</v>
      </c>
      <c r="F980" s="138" t="s">
        <v>4</v>
      </c>
      <c r="G980" s="280" t="s">
        <v>9</v>
      </c>
      <c r="H980" s="273" t="s">
        <v>999</v>
      </c>
      <c r="I980" s="281">
        <v>250.0</v>
      </c>
      <c r="J980" s="280">
        <v>124.0</v>
      </c>
      <c r="K980" s="271">
        <f t="shared" si="1"/>
        <v>31000</v>
      </c>
      <c r="L980" s="280">
        <v>281.0</v>
      </c>
      <c r="M980" s="280">
        <v>3666.0</v>
      </c>
      <c r="N980" s="282">
        <v>557.73</v>
      </c>
      <c r="O980" s="60"/>
      <c r="P980" s="50">
        <v>558.0</v>
      </c>
      <c r="Q980" s="280">
        <v>-2375.0</v>
      </c>
      <c r="R980" s="276">
        <v>4.2E-4</v>
      </c>
      <c r="S980" s="280">
        <v>-2362.0</v>
      </c>
      <c r="T980" s="280">
        <v>-1804.0</v>
      </c>
      <c r="U980" s="62">
        <v>1.0</v>
      </c>
      <c r="V980" s="277">
        <v>0.19</v>
      </c>
      <c r="W980" s="277">
        <v>0.0</v>
      </c>
      <c r="X980" s="280">
        <v>-1461.0</v>
      </c>
      <c r="Y980" s="280">
        <v>-343.0</v>
      </c>
      <c r="Z980" s="50" t="b">
        <v>1</v>
      </c>
      <c r="AA980" s="50" t="s">
        <v>140</v>
      </c>
      <c r="AB980" s="50" t="s">
        <v>140</v>
      </c>
    </row>
    <row r="981">
      <c r="A981" s="280" t="s">
        <v>362</v>
      </c>
      <c r="B981" s="280" t="s">
        <v>362</v>
      </c>
      <c r="C981" s="283">
        <v>44490.0</v>
      </c>
      <c r="D981" s="283">
        <v>44520.0</v>
      </c>
      <c r="E981" s="280" t="s">
        <v>268</v>
      </c>
      <c r="F981" s="138" t="s">
        <v>4</v>
      </c>
      <c r="G981" s="280" t="s">
        <v>9</v>
      </c>
      <c r="H981" s="273" t="s">
        <v>1000</v>
      </c>
      <c r="I981" s="281">
        <v>500.0</v>
      </c>
      <c r="J981" s="280">
        <v>3.0</v>
      </c>
      <c r="K981" s="271">
        <f t="shared" si="1"/>
        <v>1500</v>
      </c>
      <c r="L981" s="280">
        <v>541.0</v>
      </c>
      <c r="M981" s="280">
        <v>1692.0</v>
      </c>
      <c r="N981" s="282">
        <v>26.99</v>
      </c>
      <c r="O981" s="60"/>
      <c r="P981" s="50">
        <v>27.0</v>
      </c>
      <c r="Q981" s="280">
        <v>360.0</v>
      </c>
      <c r="R981" s="276">
        <v>4.2E-4</v>
      </c>
      <c r="S981" s="280">
        <v>361.0</v>
      </c>
      <c r="T981" s="280">
        <v>388.0</v>
      </c>
      <c r="U981" s="62">
        <v>1.0</v>
      </c>
      <c r="V981" s="277">
        <v>0.19</v>
      </c>
      <c r="W981" s="277">
        <v>0.0</v>
      </c>
      <c r="X981" s="280">
        <v>314.0</v>
      </c>
      <c r="Y981" s="280">
        <v>74.0</v>
      </c>
      <c r="Z981" s="50" t="b">
        <v>1</v>
      </c>
      <c r="AA981" s="50" t="s">
        <v>140</v>
      </c>
      <c r="AB981" s="50" t="s">
        <v>140</v>
      </c>
    </row>
    <row r="982">
      <c r="A982" s="280" t="s">
        <v>362</v>
      </c>
      <c r="B982" s="280" t="s">
        <v>362</v>
      </c>
      <c r="C982" s="283">
        <v>44490.0</v>
      </c>
      <c r="D982" s="283">
        <v>44520.0</v>
      </c>
      <c r="E982" s="280" t="s">
        <v>268</v>
      </c>
      <c r="F982" s="138" t="s">
        <v>4</v>
      </c>
      <c r="G982" s="280" t="s">
        <v>9</v>
      </c>
      <c r="H982" s="273" t="s">
        <v>1001</v>
      </c>
      <c r="I982" s="281">
        <v>500.0</v>
      </c>
      <c r="J982" s="280">
        <v>39.0</v>
      </c>
      <c r="K982" s="271">
        <f t="shared" si="1"/>
        <v>19500</v>
      </c>
      <c r="L982" s="280">
        <v>109.0</v>
      </c>
      <c r="M982" s="280">
        <v>-2256.0</v>
      </c>
      <c r="N982" s="282">
        <v>350.83</v>
      </c>
      <c r="O982" s="60"/>
      <c r="P982" s="50">
        <v>351.0</v>
      </c>
      <c r="Q982" s="280">
        <v>-1381.0</v>
      </c>
      <c r="R982" s="276">
        <v>4.2E-4</v>
      </c>
      <c r="S982" s="280">
        <v>-1373.0</v>
      </c>
      <c r="T982" s="280">
        <v>-1022.0</v>
      </c>
      <c r="U982" s="62">
        <v>1.0</v>
      </c>
      <c r="V982" s="277">
        <v>0.19</v>
      </c>
      <c r="W982" s="277">
        <v>0.0</v>
      </c>
      <c r="X982" s="280">
        <v>-828.0</v>
      </c>
      <c r="Y982" s="280">
        <v>-194.0</v>
      </c>
      <c r="Z982" s="50" t="b">
        <v>1</v>
      </c>
      <c r="AA982" s="50" t="s">
        <v>140</v>
      </c>
      <c r="AB982" s="50" t="s">
        <v>140</v>
      </c>
    </row>
    <row r="983">
      <c r="A983" s="101" t="s">
        <v>416</v>
      </c>
      <c r="B983" s="101" t="s">
        <v>416</v>
      </c>
      <c r="C983" s="278">
        <v>44490.0</v>
      </c>
      <c r="D983" s="278">
        <v>44520.0</v>
      </c>
      <c r="E983" s="271" t="s">
        <v>268</v>
      </c>
      <c r="F983" s="138" t="s">
        <v>4</v>
      </c>
      <c r="G983" s="101" t="s">
        <v>22</v>
      </c>
      <c r="H983" s="273" t="s">
        <v>51</v>
      </c>
      <c r="I983" s="274">
        <v>10.0</v>
      </c>
      <c r="J983" s="271">
        <v>3117.0</v>
      </c>
      <c r="K983" s="271">
        <f t="shared" si="1"/>
        <v>31170</v>
      </c>
      <c r="L983" s="271">
        <v>165165.0</v>
      </c>
      <c r="M983" s="271">
        <v>300.0</v>
      </c>
      <c r="N983" s="275"/>
      <c r="O983" s="60"/>
      <c r="P983" s="101"/>
      <c r="Q983" s="271">
        <v>605.0</v>
      </c>
      <c r="R983" s="276">
        <v>4.2E-4</v>
      </c>
      <c r="S983" s="271">
        <v>618.0</v>
      </c>
      <c r="T983" s="271">
        <v>618.0</v>
      </c>
      <c r="U983" s="62">
        <v>1.128</v>
      </c>
      <c r="V983" s="277">
        <v>0.3</v>
      </c>
      <c r="W983" s="277">
        <v>0.0</v>
      </c>
      <c r="X983" s="271">
        <v>488.0</v>
      </c>
      <c r="Y983" s="271">
        <v>209.0</v>
      </c>
      <c r="Z983" s="50" t="b">
        <v>1</v>
      </c>
      <c r="AA983" s="50" t="s">
        <v>138</v>
      </c>
      <c r="AB983" s="50" t="s">
        <v>140</v>
      </c>
    </row>
    <row r="984">
      <c r="A984" s="280" t="s">
        <v>150</v>
      </c>
      <c r="B984" s="280" t="s">
        <v>150</v>
      </c>
      <c r="C984" s="283">
        <v>44490.0</v>
      </c>
      <c r="D984" s="283">
        <v>44520.0</v>
      </c>
      <c r="E984" s="280" t="s">
        <v>268</v>
      </c>
      <c r="F984" s="138" t="s">
        <v>4</v>
      </c>
      <c r="G984" s="280" t="s">
        <v>9</v>
      </c>
      <c r="H984" s="273" t="s">
        <v>66</v>
      </c>
      <c r="I984" s="281">
        <v>25.0</v>
      </c>
      <c r="J984" s="280">
        <v>1769.0</v>
      </c>
      <c r="K984" s="271">
        <f t="shared" si="1"/>
        <v>44225</v>
      </c>
      <c r="L984" s="280">
        <v>105324.0</v>
      </c>
      <c r="M984" s="280">
        <v>2284.0</v>
      </c>
      <c r="N984" s="282">
        <v>375.0</v>
      </c>
      <c r="O984" s="60"/>
      <c r="P984" s="50">
        <v>375.0</v>
      </c>
      <c r="Q984" s="280">
        <v>873.0</v>
      </c>
      <c r="R984" s="276">
        <v>4.2E-4</v>
      </c>
      <c r="S984" s="280">
        <v>892.0</v>
      </c>
      <c r="T984" s="280">
        <v>1267.0</v>
      </c>
      <c r="U984" s="62">
        <v>1.0</v>
      </c>
      <c r="V984" s="277">
        <v>0.3</v>
      </c>
      <c r="W984" s="277">
        <v>0.0</v>
      </c>
      <c r="X984" s="280">
        <v>887.0</v>
      </c>
      <c r="Y984" s="280">
        <v>380.0</v>
      </c>
      <c r="Z984" s="50" t="b">
        <v>1</v>
      </c>
      <c r="AA984" s="50" t="s">
        <v>140</v>
      </c>
      <c r="AB984" s="50" t="s">
        <v>140</v>
      </c>
    </row>
    <row r="985">
      <c r="A985" s="101" t="s">
        <v>505</v>
      </c>
      <c r="B985" s="271" t="s">
        <v>166</v>
      </c>
      <c r="C985" s="278">
        <v>44490.0</v>
      </c>
      <c r="D985" s="278">
        <v>44520.0</v>
      </c>
      <c r="E985" s="271" t="s">
        <v>268</v>
      </c>
      <c r="F985" s="101" t="s">
        <v>4</v>
      </c>
      <c r="G985" s="271" t="s">
        <v>5</v>
      </c>
      <c r="H985" s="273" t="s">
        <v>35</v>
      </c>
      <c r="I985" s="281">
        <v>5.0</v>
      </c>
      <c r="J985" s="280">
        <v>1866.0</v>
      </c>
      <c r="K985" s="271">
        <f t="shared" si="1"/>
        <v>9330</v>
      </c>
      <c r="L985" s="280">
        <v>146072.0</v>
      </c>
      <c r="M985" s="280">
        <v>420.0</v>
      </c>
      <c r="N985" s="275">
        <v>265.0</v>
      </c>
      <c r="O985" s="60"/>
      <c r="P985" s="50">
        <v>265.0</v>
      </c>
      <c r="Q985" s="280">
        <v>498.0</v>
      </c>
      <c r="R985" s="276">
        <v>4.2E-4</v>
      </c>
      <c r="S985" s="280">
        <v>502.0</v>
      </c>
      <c r="T985" s="280">
        <v>767.0</v>
      </c>
      <c r="U985" s="62">
        <v>1.0</v>
      </c>
      <c r="V985" s="277">
        <v>0.25</v>
      </c>
      <c r="W985" s="277">
        <v>0.0</v>
      </c>
      <c r="X985" s="280">
        <v>575.0</v>
      </c>
      <c r="Y985" s="280">
        <v>192.0</v>
      </c>
      <c r="Z985" s="50" t="b">
        <v>1</v>
      </c>
      <c r="AA985" s="50" t="s">
        <v>138</v>
      </c>
      <c r="AB985" s="50" t="s">
        <v>138</v>
      </c>
    </row>
    <row r="986">
      <c r="A986" s="101" t="s">
        <v>505</v>
      </c>
      <c r="B986" s="271" t="s">
        <v>166</v>
      </c>
      <c r="C986" s="278">
        <v>44490.0</v>
      </c>
      <c r="D986" s="278">
        <v>44520.0</v>
      </c>
      <c r="E986" s="271" t="s">
        <v>268</v>
      </c>
      <c r="F986" s="101" t="s">
        <v>4</v>
      </c>
      <c r="G986" s="271" t="s">
        <v>5</v>
      </c>
      <c r="H986" s="273" t="s">
        <v>45</v>
      </c>
      <c r="I986" s="281">
        <v>10.0</v>
      </c>
      <c r="J986" s="280">
        <v>2.0</v>
      </c>
      <c r="K986" s="271">
        <f t="shared" si="1"/>
        <v>20</v>
      </c>
      <c r="L986" s="280">
        <v>3.0</v>
      </c>
      <c r="M986" s="280">
        <v>-20.0</v>
      </c>
      <c r="N986" s="275"/>
      <c r="O986" s="60"/>
      <c r="P986" s="101"/>
      <c r="Q986" s="280">
        <v>-1.0</v>
      </c>
      <c r="R986" s="276">
        <v>4.2E-4</v>
      </c>
      <c r="S986" s="280">
        <v>-1.0</v>
      </c>
      <c r="T986" s="280">
        <v>-1.0</v>
      </c>
      <c r="U986" s="62">
        <v>1.0</v>
      </c>
      <c r="V986" s="277">
        <v>0.25</v>
      </c>
      <c r="W986" s="277">
        <v>0.0</v>
      </c>
      <c r="X986" s="280">
        <v>-1.0</v>
      </c>
      <c r="Y986" s="280">
        <v>0.0</v>
      </c>
      <c r="Z986" s="50" t="b">
        <v>1</v>
      </c>
      <c r="AA986" s="50" t="s">
        <v>138</v>
      </c>
      <c r="AB986" s="50" t="s">
        <v>138</v>
      </c>
    </row>
    <row r="987">
      <c r="A987" s="280" t="s">
        <v>199</v>
      </c>
      <c r="B987" s="280" t="s">
        <v>924</v>
      </c>
      <c r="C987" s="283">
        <v>44490.0</v>
      </c>
      <c r="D987" s="283">
        <v>44520.0</v>
      </c>
      <c r="E987" s="280" t="s">
        <v>268</v>
      </c>
      <c r="F987" s="138" t="s">
        <v>4</v>
      </c>
      <c r="G987" s="280" t="s">
        <v>9</v>
      </c>
      <c r="H987" s="273" t="s">
        <v>42</v>
      </c>
      <c r="I987" s="281">
        <v>5.0</v>
      </c>
      <c r="J987" s="280">
        <v>161.0</v>
      </c>
      <c r="K987" s="271">
        <f t="shared" si="1"/>
        <v>805</v>
      </c>
      <c r="L987" s="280">
        <v>15892.0</v>
      </c>
      <c r="M987" s="280">
        <v>11.0</v>
      </c>
      <c r="N987" s="282">
        <v>281.84</v>
      </c>
      <c r="O987" s="60"/>
      <c r="P987" s="50">
        <v>282.0</v>
      </c>
      <c r="Q987" s="280">
        <v>73.0</v>
      </c>
      <c r="R987" s="276">
        <v>4.2E-4</v>
      </c>
      <c r="S987" s="280">
        <v>73.0</v>
      </c>
      <c r="T987" s="280">
        <v>355.0</v>
      </c>
      <c r="U987" s="62">
        <v>1.0</v>
      </c>
      <c r="V987" s="277">
        <v>0.2</v>
      </c>
      <c r="W987" s="277">
        <v>0.0</v>
      </c>
      <c r="X987" s="280">
        <v>284.0</v>
      </c>
      <c r="Y987" s="280">
        <v>71.0</v>
      </c>
      <c r="Z987" s="50" t="b">
        <v>1</v>
      </c>
      <c r="AA987" s="50" t="s">
        <v>140</v>
      </c>
      <c r="AB987" s="50" t="s">
        <v>140</v>
      </c>
    </row>
    <row r="988">
      <c r="A988" s="280" t="s">
        <v>199</v>
      </c>
      <c r="B988" s="280" t="s">
        <v>924</v>
      </c>
      <c r="C988" s="283">
        <v>44490.0</v>
      </c>
      <c r="D988" s="283">
        <v>44520.0</v>
      </c>
      <c r="E988" s="280" t="s">
        <v>268</v>
      </c>
      <c r="F988" s="138" t="s">
        <v>4</v>
      </c>
      <c r="G988" s="280" t="s">
        <v>9</v>
      </c>
      <c r="H988" s="273" t="s">
        <v>53</v>
      </c>
      <c r="I988" s="281">
        <v>10.0</v>
      </c>
      <c r="J988" s="280">
        <v>959.0</v>
      </c>
      <c r="K988" s="271">
        <f t="shared" si="1"/>
        <v>9590</v>
      </c>
      <c r="L988" s="280">
        <v>24312.0</v>
      </c>
      <c r="M988" s="280">
        <v>-666.0</v>
      </c>
      <c r="N988" s="282">
        <v>48.16</v>
      </c>
      <c r="O988" s="60"/>
      <c r="P988" s="50">
        <v>48.0</v>
      </c>
      <c r="Q988" s="280">
        <v>-407.0</v>
      </c>
      <c r="R988" s="276">
        <v>4.2E-4</v>
      </c>
      <c r="S988" s="280">
        <v>-403.0</v>
      </c>
      <c r="T988" s="280">
        <v>-355.0</v>
      </c>
      <c r="U988" s="62">
        <v>1.0</v>
      </c>
      <c r="V988" s="277">
        <v>0.2</v>
      </c>
      <c r="W988" s="277">
        <v>0.0</v>
      </c>
      <c r="X988" s="280">
        <v>-284.0</v>
      </c>
      <c r="Y988" s="280">
        <v>-71.0</v>
      </c>
      <c r="Z988" s="50" t="b">
        <v>1</v>
      </c>
      <c r="AA988" s="50" t="s">
        <v>140</v>
      </c>
      <c r="AB988" s="50" t="s">
        <v>140</v>
      </c>
    </row>
    <row r="989">
      <c r="A989" s="101" t="s">
        <v>546</v>
      </c>
      <c r="B989" s="101" t="s">
        <v>202</v>
      </c>
      <c r="C989" s="278">
        <v>44490.0</v>
      </c>
      <c r="D989" s="278">
        <v>44520.0</v>
      </c>
      <c r="E989" s="271" t="s">
        <v>331</v>
      </c>
      <c r="F989" s="138" t="s">
        <v>4</v>
      </c>
      <c r="G989" s="271" t="s">
        <v>13</v>
      </c>
      <c r="H989" s="273" t="s">
        <v>85</v>
      </c>
      <c r="I989" s="274">
        <v>100.0</v>
      </c>
      <c r="J989" s="271">
        <v>7301.0</v>
      </c>
      <c r="K989" s="271">
        <f t="shared" si="1"/>
        <v>730100</v>
      </c>
      <c r="L989" s="271">
        <v>74647.0</v>
      </c>
      <c r="M989" s="271">
        <v>-15700.0</v>
      </c>
      <c r="N989" s="275">
        <f>20608+14395+78*100</f>
        <v>42803</v>
      </c>
      <c r="O989" s="60"/>
      <c r="P989" s="109">
        <v>42803.0</v>
      </c>
      <c r="Q989" s="271">
        <v>-32066.0</v>
      </c>
      <c r="R989" s="276">
        <v>4.2E-4</v>
      </c>
      <c r="S989" s="271">
        <v>-31760.0</v>
      </c>
      <c r="T989" s="271">
        <v>11043.0</v>
      </c>
      <c r="U989" s="62">
        <v>1.0</v>
      </c>
      <c r="V989" s="277">
        <v>0.11</v>
      </c>
      <c r="W989" s="277">
        <v>0.03</v>
      </c>
      <c r="X989" s="271">
        <v>9497.0</v>
      </c>
      <c r="Y989" s="271">
        <v>1546.0</v>
      </c>
      <c r="Z989" s="50" t="b">
        <v>1</v>
      </c>
      <c r="AA989" s="50" t="s">
        <v>138</v>
      </c>
      <c r="AB989" s="50" t="s">
        <v>138</v>
      </c>
    </row>
    <row r="990">
      <c r="A990" s="101" t="s">
        <v>160</v>
      </c>
      <c r="B990" s="101" t="s">
        <v>160</v>
      </c>
      <c r="C990" s="278">
        <v>44490.0</v>
      </c>
      <c r="D990" s="278">
        <v>44520.0</v>
      </c>
      <c r="E990" s="271" t="s">
        <v>268</v>
      </c>
      <c r="F990" s="138" t="s">
        <v>4</v>
      </c>
      <c r="G990" s="101" t="s">
        <v>5</v>
      </c>
      <c r="H990" s="273" t="s">
        <v>35</v>
      </c>
      <c r="I990" s="274">
        <v>5.0</v>
      </c>
      <c r="J990" s="271">
        <v>5.0</v>
      </c>
      <c r="K990" s="271">
        <f t="shared" si="1"/>
        <v>25</v>
      </c>
      <c r="L990" s="271">
        <v>839.0</v>
      </c>
      <c r="M990" s="271">
        <v>-5.0</v>
      </c>
      <c r="N990" s="275">
        <v>2.0</v>
      </c>
      <c r="O990" s="60"/>
      <c r="P990" s="50">
        <v>2.0</v>
      </c>
      <c r="Q990" s="271">
        <v>5.0</v>
      </c>
      <c r="R990" s="276">
        <v>4.2E-4</v>
      </c>
      <c r="S990" s="271">
        <v>5.0</v>
      </c>
      <c r="T990" s="271">
        <v>7.0</v>
      </c>
      <c r="U990" s="62">
        <v>1.0</v>
      </c>
      <c r="V990" s="277">
        <v>0.25</v>
      </c>
      <c r="W990" s="277">
        <v>0.0</v>
      </c>
      <c r="X990" s="271">
        <v>6.0</v>
      </c>
      <c r="Y990" s="271">
        <v>2.0</v>
      </c>
      <c r="Z990" s="50" t="b">
        <v>1</v>
      </c>
      <c r="AA990" s="50" t="s">
        <v>138</v>
      </c>
      <c r="AB990" s="50" t="s">
        <v>138</v>
      </c>
    </row>
    <row r="991">
      <c r="A991" s="101" t="s">
        <v>160</v>
      </c>
      <c r="B991" s="101" t="s">
        <v>160</v>
      </c>
      <c r="C991" s="278">
        <v>44490.0</v>
      </c>
      <c r="D991" s="278">
        <v>44520.0</v>
      </c>
      <c r="E991" s="271" t="s">
        <v>268</v>
      </c>
      <c r="F991" s="138" t="s">
        <v>4</v>
      </c>
      <c r="G991" s="101" t="s">
        <v>5</v>
      </c>
      <c r="H991" s="273" t="s">
        <v>45</v>
      </c>
      <c r="I991" s="274">
        <v>10.0</v>
      </c>
      <c r="J991" s="271">
        <v>1853.0</v>
      </c>
      <c r="K991" s="271">
        <f t="shared" si="1"/>
        <v>18530</v>
      </c>
      <c r="L991" s="271">
        <v>55305.0</v>
      </c>
      <c r="M991" s="271">
        <v>-1390.0</v>
      </c>
      <c r="N991" s="275">
        <v>1353.0</v>
      </c>
      <c r="O991" s="60"/>
      <c r="P991" s="109">
        <v>1353.0</v>
      </c>
      <c r="Q991" s="271">
        <v>-352.0</v>
      </c>
      <c r="R991" s="276">
        <v>4.2E-4</v>
      </c>
      <c r="S991" s="271">
        <v>-344.0</v>
      </c>
      <c r="T991" s="271">
        <v>1009.0</v>
      </c>
      <c r="U991" s="62">
        <v>1.0</v>
      </c>
      <c r="V991" s="277">
        <v>0.25</v>
      </c>
      <c r="W991" s="277">
        <v>0.0</v>
      </c>
      <c r="X991" s="271">
        <v>757.0</v>
      </c>
      <c r="Y991" s="271">
        <v>252.0</v>
      </c>
      <c r="Z991" s="50" t="b">
        <v>1</v>
      </c>
      <c r="AA991" s="50" t="s">
        <v>138</v>
      </c>
      <c r="AB991" s="50" t="s">
        <v>138</v>
      </c>
    </row>
    <row r="992">
      <c r="A992" s="101" t="s">
        <v>207</v>
      </c>
      <c r="B992" s="101" t="s">
        <v>207</v>
      </c>
      <c r="C992" s="278">
        <v>44490.0</v>
      </c>
      <c r="D992" s="278">
        <v>44520.0</v>
      </c>
      <c r="E992" s="271" t="s">
        <v>268</v>
      </c>
      <c r="F992" s="138" t="s">
        <v>4</v>
      </c>
      <c r="G992" s="101" t="s">
        <v>5</v>
      </c>
      <c r="H992" s="273" t="s">
        <v>35</v>
      </c>
      <c r="I992" s="274">
        <v>5.0</v>
      </c>
      <c r="J992" s="271">
        <v>661.0</v>
      </c>
      <c r="K992" s="271">
        <f t="shared" si="1"/>
        <v>3305</v>
      </c>
      <c r="L992" s="271">
        <v>50905.0</v>
      </c>
      <c r="M992" s="271">
        <v>365.0</v>
      </c>
      <c r="N992" s="275">
        <v>114.0</v>
      </c>
      <c r="O992" s="60"/>
      <c r="P992" s="50">
        <v>114.0</v>
      </c>
      <c r="Q992" s="271">
        <v>169.0</v>
      </c>
      <c r="R992" s="276">
        <v>4.2E-4</v>
      </c>
      <c r="S992" s="271">
        <v>170.0</v>
      </c>
      <c r="T992" s="271">
        <v>284.0</v>
      </c>
      <c r="U992" s="62">
        <v>1.0</v>
      </c>
      <c r="V992" s="277">
        <v>0.3</v>
      </c>
      <c r="W992" s="277">
        <v>0.0</v>
      </c>
      <c r="X992" s="271">
        <v>199.0</v>
      </c>
      <c r="Y992" s="271">
        <v>85.0</v>
      </c>
      <c r="Z992" s="50" t="b">
        <v>1</v>
      </c>
      <c r="AA992" s="50" t="s">
        <v>138</v>
      </c>
      <c r="AB992" s="50" t="s">
        <v>138</v>
      </c>
    </row>
    <row r="993">
      <c r="A993" s="101" t="s">
        <v>207</v>
      </c>
      <c r="B993" s="101" t="s">
        <v>207</v>
      </c>
      <c r="C993" s="278">
        <v>44490.0</v>
      </c>
      <c r="D993" s="278">
        <v>44520.0</v>
      </c>
      <c r="E993" s="271" t="s">
        <v>268</v>
      </c>
      <c r="F993" s="138" t="s">
        <v>4</v>
      </c>
      <c r="G993" s="101" t="s">
        <v>5</v>
      </c>
      <c r="H993" s="273" t="s">
        <v>45</v>
      </c>
      <c r="I993" s="274">
        <v>10.0</v>
      </c>
      <c r="J993" s="271">
        <v>617.0</v>
      </c>
      <c r="K993" s="271">
        <f t="shared" si="1"/>
        <v>6170</v>
      </c>
      <c r="L993" s="271">
        <v>9990.0</v>
      </c>
      <c r="M993" s="271">
        <v>70.0</v>
      </c>
      <c r="N993" s="275">
        <v>186.0</v>
      </c>
      <c r="O993" s="60"/>
      <c r="P993" s="50">
        <v>186.0</v>
      </c>
      <c r="Q993" s="271">
        <v>-273.0</v>
      </c>
      <c r="R993" s="276">
        <v>4.2E-4</v>
      </c>
      <c r="S993" s="271">
        <v>-271.0</v>
      </c>
      <c r="T993" s="271">
        <v>-85.0</v>
      </c>
      <c r="U993" s="62">
        <v>1.0</v>
      </c>
      <c r="V993" s="277">
        <v>0.3</v>
      </c>
      <c r="W993" s="277">
        <v>0.0</v>
      </c>
      <c r="X993" s="271">
        <v>-59.0</v>
      </c>
      <c r="Y993" s="271">
        <v>-25.0</v>
      </c>
      <c r="Z993" s="50" t="b">
        <v>1</v>
      </c>
      <c r="AA993" s="50" t="s">
        <v>138</v>
      </c>
      <c r="AB993" s="50" t="s">
        <v>138</v>
      </c>
    </row>
    <row r="994">
      <c r="A994" s="101" t="s">
        <v>207</v>
      </c>
      <c r="B994" s="101" t="s">
        <v>208</v>
      </c>
      <c r="C994" s="278">
        <v>44490.0</v>
      </c>
      <c r="D994" s="278">
        <v>44520.0</v>
      </c>
      <c r="E994" s="271" t="s">
        <v>268</v>
      </c>
      <c r="F994" s="138" t="s">
        <v>4</v>
      </c>
      <c r="G994" s="101" t="s">
        <v>13</v>
      </c>
      <c r="H994" s="273" t="s">
        <v>34</v>
      </c>
      <c r="I994" s="274">
        <v>5.0</v>
      </c>
      <c r="J994" s="271">
        <v>785.0</v>
      </c>
      <c r="K994" s="271">
        <f t="shared" si="1"/>
        <v>3925</v>
      </c>
      <c r="L994" s="271">
        <v>11116.0</v>
      </c>
      <c r="M994" s="271">
        <v>60.0</v>
      </c>
      <c r="N994" s="275">
        <f>14*5+60</f>
        <v>130</v>
      </c>
      <c r="O994" s="60"/>
      <c r="P994" s="50">
        <v>130.0</v>
      </c>
      <c r="Q994" s="271">
        <v>-128.0</v>
      </c>
      <c r="R994" s="276">
        <v>4.2E-4</v>
      </c>
      <c r="S994" s="271">
        <v>-126.0</v>
      </c>
      <c r="T994" s="271">
        <v>4.0</v>
      </c>
      <c r="U994" s="62">
        <v>1.0</v>
      </c>
      <c r="V994" s="277">
        <v>0.3</v>
      </c>
      <c r="W994" s="277">
        <v>0.0</v>
      </c>
      <c r="X994" s="271">
        <v>3.0</v>
      </c>
      <c r="Y994" s="271">
        <v>1.0</v>
      </c>
      <c r="Z994" s="50" t="b">
        <v>1</v>
      </c>
      <c r="AA994" s="50" t="s">
        <v>138</v>
      </c>
      <c r="AB994" s="50" t="s">
        <v>138</v>
      </c>
    </row>
    <row r="995">
      <c r="A995" s="101" t="s">
        <v>207</v>
      </c>
      <c r="B995" s="101" t="s">
        <v>208</v>
      </c>
      <c r="C995" s="278">
        <v>44490.0</v>
      </c>
      <c r="D995" s="278">
        <v>44520.0</v>
      </c>
      <c r="E995" s="271" t="s">
        <v>268</v>
      </c>
      <c r="F995" s="138" t="s">
        <v>4</v>
      </c>
      <c r="G995" s="101" t="s">
        <v>13</v>
      </c>
      <c r="H995" s="273" t="s">
        <v>45</v>
      </c>
      <c r="I995" s="274">
        <v>10.0</v>
      </c>
      <c r="J995" s="271">
        <v>2.0</v>
      </c>
      <c r="K995" s="271">
        <f t="shared" si="1"/>
        <v>20</v>
      </c>
      <c r="L995" s="271">
        <v>340.0</v>
      </c>
      <c r="M995" s="271">
        <v>0.0</v>
      </c>
      <c r="N995" s="275">
        <v>2.0</v>
      </c>
      <c r="O995" s="60"/>
      <c r="P995" s="50">
        <v>2.0</v>
      </c>
      <c r="Q995" s="271">
        <v>8.0</v>
      </c>
      <c r="R995" s="276">
        <v>4.2E-4</v>
      </c>
      <c r="S995" s="271">
        <v>8.0</v>
      </c>
      <c r="T995" s="271">
        <v>10.0</v>
      </c>
      <c r="U995" s="62">
        <v>1.0</v>
      </c>
      <c r="V995" s="277">
        <v>0.3</v>
      </c>
      <c r="W995" s="277">
        <v>0.0</v>
      </c>
      <c r="X995" s="271">
        <v>7.0</v>
      </c>
      <c r="Y995" s="271">
        <v>3.0</v>
      </c>
      <c r="Z995" s="50" t="b">
        <v>1</v>
      </c>
      <c r="AA995" s="50" t="s">
        <v>138</v>
      </c>
      <c r="AB995" s="50" t="s">
        <v>138</v>
      </c>
    </row>
    <row r="996">
      <c r="A996" s="101" t="s">
        <v>207</v>
      </c>
      <c r="B996" s="101" t="s">
        <v>207</v>
      </c>
      <c r="C996" s="278">
        <v>44490.0</v>
      </c>
      <c r="D996" s="278">
        <v>44520.0</v>
      </c>
      <c r="E996" s="271" t="s">
        <v>268</v>
      </c>
      <c r="F996" s="138" t="s">
        <v>12</v>
      </c>
      <c r="G996" s="101" t="s">
        <v>5</v>
      </c>
      <c r="H996" s="273" t="s">
        <v>6</v>
      </c>
      <c r="I996" s="274">
        <v>0.25</v>
      </c>
      <c r="J996" s="271">
        <v>4.0</v>
      </c>
      <c r="K996" s="271">
        <f t="shared" si="1"/>
        <v>1</v>
      </c>
      <c r="L996" s="271"/>
      <c r="M996" s="271">
        <v>1.5</v>
      </c>
      <c r="N996" s="275"/>
      <c r="O996" s="60"/>
      <c r="P996" s="101"/>
      <c r="Q996" s="271"/>
      <c r="R996" s="276">
        <v>0.0</v>
      </c>
      <c r="S996" s="271"/>
      <c r="T996" s="271">
        <v>2.0</v>
      </c>
      <c r="U996" s="62">
        <v>1.0</v>
      </c>
      <c r="V996" s="277">
        <v>0.3</v>
      </c>
      <c r="W996" s="277">
        <v>0.0</v>
      </c>
      <c r="X996" s="271">
        <v>1.0</v>
      </c>
      <c r="Y996" s="271">
        <v>0.0</v>
      </c>
      <c r="Z996" s="50" t="b">
        <v>1</v>
      </c>
      <c r="AA996" s="50" t="s">
        <v>138</v>
      </c>
      <c r="AB996" s="50" t="s">
        <v>138</v>
      </c>
    </row>
    <row r="997">
      <c r="A997" s="101" t="s">
        <v>207</v>
      </c>
      <c r="B997" s="101" t="s">
        <v>207</v>
      </c>
      <c r="C997" s="278">
        <v>44490.0</v>
      </c>
      <c r="D997" s="278">
        <v>44520.0</v>
      </c>
      <c r="E997" s="271" t="s">
        <v>268</v>
      </c>
      <c r="F997" s="138" t="s">
        <v>12</v>
      </c>
      <c r="G997" s="101" t="s">
        <v>5</v>
      </c>
      <c r="H997" s="273" t="s">
        <v>10</v>
      </c>
      <c r="I997" s="274">
        <v>0.25</v>
      </c>
      <c r="J997" s="271">
        <v>9.0</v>
      </c>
      <c r="K997" s="271">
        <f t="shared" si="1"/>
        <v>2.25</v>
      </c>
      <c r="L997" s="271"/>
      <c r="M997" s="271">
        <v>-1.75</v>
      </c>
      <c r="N997" s="275"/>
      <c r="O997" s="60"/>
      <c r="P997" s="101"/>
      <c r="Q997" s="271"/>
      <c r="R997" s="276">
        <v>0.0</v>
      </c>
      <c r="S997" s="271"/>
      <c r="T997" s="271">
        <v>-2.0</v>
      </c>
      <c r="U997" s="62">
        <v>1.0</v>
      </c>
      <c r="V997" s="277">
        <v>0.3</v>
      </c>
      <c r="W997" s="277">
        <v>0.0</v>
      </c>
      <c r="X997" s="271">
        <v>-1.0</v>
      </c>
      <c r="Y997" s="271">
        <v>-1.0</v>
      </c>
      <c r="Z997" s="50" t="b">
        <v>1</v>
      </c>
      <c r="AA997" s="50" t="s">
        <v>138</v>
      </c>
      <c r="AB997" s="50" t="s">
        <v>138</v>
      </c>
    </row>
    <row r="998">
      <c r="A998" s="280" t="s">
        <v>177</v>
      </c>
      <c r="B998" s="280" t="s">
        <v>903</v>
      </c>
      <c r="C998" s="288">
        <v>44501.0</v>
      </c>
      <c r="D998" s="288">
        <v>44530.0</v>
      </c>
      <c r="E998" s="280" t="s">
        <v>268</v>
      </c>
      <c r="F998" s="101" t="s">
        <v>8</v>
      </c>
      <c r="G998" s="280" t="s">
        <v>16</v>
      </c>
      <c r="H998" s="273" t="s">
        <v>85</v>
      </c>
      <c r="I998" s="281">
        <v>100.0</v>
      </c>
      <c r="J998" s="280">
        <v>2344.0</v>
      </c>
      <c r="K998" s="271">
        <f t="shared" si="1"/>
        <v>234400</v>
      </c>
      <c r="L998" s="280">
        <v>58763.0</v>
      </c>
      <c r="M998" s="280">
        <v>-6200.0</v>
      </c>
      <c r="N998" s="282">
        <v>9472.0</v>
      </c>
      <c r="O998" s="60"/>
      <c r="P998" s="109">
        <v>9472.0</v>
      </c>
      <c r="Q998" s="280">
        <v>-1556.0</v>
      </c>
      <c r="R998" s="276">
        <v>-0.004388</v>
      </c>
      <c r="S998" s="280">
        <v>-2584.0</v>
      </c>
      <c r="T998" s="280">
        <v>6888.0</v>
      </c>
      <c r="U998" s="62">
        <v>1.0</v>
      </c>
      <c r="V998" s="277">
        <v>0.12</v>
      </c>
      <c r="W998" s="277">
        <v>0.0</v>
      </c>
      <c r="X998" s="280">
        <v>6061.0</v>
      </c>
      <c r="Y998" s="280">
        <v>827.0</v>
      </c>
      <c r="Z998" s="50" t="b">
        <v>1</v>
      </c>
      <c r="AA998" s="50" t="s">
        <v>138</v>
      </c>
      <c r="AB998" s="50" t="s">
        <v>138</v>
      </c>
    </row>
    <row r="999">
      <c r="A999" s="280" t="s">
        <v>177</v>
      </c>
      <c r="B999" s="280" t="s">
        <v>903</v>
      </c>
      <c r="C999" s="288">
        <v>44501.0</v>
      </c>
      <c r="D999" s="288">
        <v>44530.0</v>
      </c>
      <c r="E999" s="280" t="s">
        <v>268</v>
      </c>
      <c r="F999" s="101" t="s">
        <v>8</v>
      </c>
      <c r="G999" s="280" t="s">
        <v>16</v>
      </c>
      <c r="H999" s="273" t="s">
        <v>74</v>
      </c>
      <c r="I999" s="281">
        <v>50.0</v>
      </c>
      <c r="J999" s="280">
        <v>366.0</v>
      </c>
      <c r="K999" s="271">
        <f t="shared" si="1"/>
        <v>18300</v>
      </c>
      <c r="L999" s="280">
        <v>15601.0</v>
      </c>
      <c r="M999" s="280">
        <v>2000.0</v>
      </c>
      <c r="N999" s="282">
        <v>42.0</v>
      </c>
      <c r="O999" s="60"/>
      <c r="P999" s="50">
        <v>42.0</v>
      </c>
      <c r="Q999" s="280">
        <v>486.0</v>
      </c>
      <c r="R999" s="276">
        <v>-0.004511</v>
      </c>
      <c r="S999" s="280">
        <v>403.0</v>
      </c>
      <c r="T999" s="280">
        <v>445.0</v>
      </c>
      <c r="U999" s="62">
        <v>1.0</v>
      </c>
      <c r="V999" s="277">
        <v>0.12</v>
      </c>
      <c r="W999" s="277">
        <v>0.0</v>
      </c>
      <c r="X999" s="280">
        <v>392.0</v>
      </c>
      <c r="Y999" s="280">
        <v>53.0</v>
      </c>
      <c r="Z999" s="50" t="b">
        <v>1</v>
      </c>
      <c r="AA999" s="50" t="s">
        <v>138</v>
      </c>
      <c r="AB999" s="50" t="s">
        <v>138</v>
      </c>
    </row>
    <row r="1000">
      <c r="A1000" s="280" t="s">
        <v>459</v>
      </c>
      <c r="B1000" s="280" t="s">
        <v>1002</v>
      </c>
      <c r="C1000" s="283">
        <v>44501.0</v>
      </c>
      <c r="D1000" s="283">
        <v>44530.0</v>
      </c>
      <c r="E1000" s="280" t="s">
        <v>331</v>
      </c>
      <c r="F1000" s="138" t="s">
        <v>8</v>
      </c>
      <c r="G1000" s="280" t="s">
        <v>9</v>
      </c>
      <c r="H1000" s="273" t="s">
        <v>89</v>
      </c>
      <c r="I1000" s="281">
        <v>100.0</v>
      </c>
      <c r="J1000" s="280">
        <v>1912.0</v>
      </c>
      <c r="K1000" s="271">
        <f t="shared" si="1"/>
        <v>191200</v>
      </c>
      <c r="L1000" s="280">
        <v>140591.0</v>
      </c>
      <c r="M1000" s="280">
        <v>4800.0</v>
      </c>
      <c r="N1000" s="282">
        <v>6305.0</v>
      </c>
      <c r="O1000" s="60"/>
      <c r="P1000" s="109">
        <v>6305.0</v>
      </c>
      <c r="Q1000" s="280">
        <v>8350.0</v>
      </c>
      <c r="R1000" s="276">
        <v>-0.003463</v>
      </c>
      <c r="S1000" s="280">
        <v>7688.0</v>
      </c>
      <c r="T1000" s="280">
        <v>13993.0</v>
      </c>
      <c r="U1000" s="62">
        <v>1.0</v>
      </c>
      <c r="V1000" s="277">
        <v>0.15</v>
      </c>
      <c r="W1000" s="277">
        <v>0.1</v>
      </c>
      <c r="X1000" s="280">
        <v>10495.0</v>
      </c>
      <c r="Y1000" s="280">
        <v>3498.0</v>
      </c>
      <c r="Z1000" s="50" t="b">
        <v>1</v>
      </c>
      <c r="AA1000" s="50" t="s">
        <v>140</v>
      </c>
      <c r="AB1000" s="50" t="s">
        <v>140</v>
      </c>
    </row>
    <row r="1001">
      <c r="A1001" s="101" t="s">
        <v>181</v>
      </c>
      <c r="B1001" s="101" t="s">
        <v>181</v>
      </c>
      <c r="C1001" s="278">
        <v>44501.0</v>
      </c>
      <c r="D1001" s="278">
        <v>44530.0</v>
      </c>
      <c r="E1001" s="271" t="s">
        <v>331</v>
      </c>
      <c r="F1001" s="138" t="s">
        <v>12</v>
      </c>
      <c r="G1001" s="280" t="s">
        <v>5</v>
      </c>
      <c r="H1001" s="114" t="s">
        <v>85</v>
      </c>
      <c r="I1001" s="274">
        <v>100.0</v>
      </c>
      <c r="J1001" s="271">
        <v>1010.0</v>
      </c>
      <c r="K1001" s="271">
        <f t="shared" si="1"/>
        <v>101000</v>
      </c>
      <c r="L1001" s="287">
        <v>34116.0</v>
      </c>
      <c r="M1001" s="287">
        <v>-6900.0</v>
      </c>
      <c r="N1001" s="275">
        <v>3082.0</v>
      </c>
      <c r="O1001" s="60"/>
      <c r="P1001" s="109">
        <v>3082.0</v>
      </c>
      <c r="Q1001" s="287">
        <v>940.0</v>
      </c>
      <c r="R1001" s="276">
        <v>0.0</v>
      </c>
      <c r="S1001" s="287">
        <v>940.0</v>
      </c>
      <c r="T1001" s="287">
        <v>-3818.0</v>
      </c>
      <c r="U1001" s="62">
        <v>1.0</v>
      </c>
      <c r="V1001" s="277">
        <v>0.06</v>
      </c>
      <c r="W1001" s="277">
        <v>0.12</v>
      </c>
      <c r="X1001" s="287">
        <v>-3131.0</v>
      </c>
      <c r="Y1001" s="287">
        <v>-687.0</v>
      </c>
      <c r="Z1001" s="50" t="b">
        <v>1</v>
      </c>
      <c r="AA1001" s="50" t="s">
        <v>138</v>
      </c>
      <c r="AB1001" s="50" t="s">
        <v>138</v>
      </c>
    </row>
    <row r="1002">
      <c r="A1002" s="280" t="s">
        <v>693</v>
      </c>
      <c r="B1002" s="280" t="s">
        <v>159</v>
      </c>
      <c r="C1002" s="283">
        <v>44501.0</v>
      </c>
      <c r="D1002" s="283">
        <v>44530.0</v>
      </c>
      <c r="E1002" s="280" t="s">
        <v>268</v>
      </c>
      <c r="F1002" s="138" t="s">
        <v>8</v>
      </c>
      <c r="G1002" s="280" t="s">
        <v>9</v>
      </c>
      <c r="H1002" s="273" t="s">
        <v>53</v>
      </c>
      <c r="I1002" s="281">
        <v>10.0</v>
      </c>
      <c r="J1002" s="280">
        <v>1262.0</v>
      </c>
      <c r="K1002" s="271">
        <f t="shared" si="1"/>
        <v>12620</v>
      </c>
      <c r="L1002" s="280">
        <v>93812.0</v>
      </c>
      <c r="M1002" s="280">
        <v>-1290.0</v>
      </c>
      <c r="N1002" s="282">
        <v>479.69</v>
      </c>
      <c r="O1002" s="60"/>
      <c r="P1002" s="50">
        <v>480.0</v>
      </c>
      <c r="Q1002" s="280">
        <v>708.0</v>
      </c>
      <c r="R1002" s="276">
        <v>-0.003443</v>
      </c>
      <c r="S1002" s="280">
        <v>665.0</v>
      </c>
      <c r="T1002" s="280">
        <v>1145.0</v>
      </c>
      <c r="U1002" s="62">
        <v>1.0</v>
      </c>
      <c r="V1002" s="277">
        <v>0.17</v>
      </c>
      <c r="W1002" s="277">
        <v>0.0</v>
      </c>
      <c r="X1002" s="280">
        <v>950.0</v>
      </c>
      <c r="Y1002" s="280">
        <v>195.0</v>
      </c>
      <c r="Z1002" s="50" t="b">
        <v>1</v>
      </c>
      <c r="AA1002" s="50" t="s">
        <v>140</v>
      </c>
      <c r="AB1002" s="50" t="s">
        <v>140</v>
      </c>
    </row>
    <row r="1003">
      <c r="A1003" s="280" t="s">
        <v>693</v>
      </c>
      <c r="B1003" s="280" t="s">
        <v>159</v>
      </c>
      <c r="C1003" s="283">
        <v>44501.0</v>
      </c>
      <c r="D1003" s="283">
        <v>44530.0</v>
      </c>
      <c r="E1003" s="280" t="s">
        <v>268</v>
      </c>
      <c r="F1003" s="138" t="s">
        <v>8</v>
      </c>
      <c r="G1003" s="280" t="s">
        <v>9</v>
      </c>
      <c r="H1003" s="273" t="s">
        <v>66</v>
      </c>
      <c r="I1003" s="281">
        <v>25.0</v>
      </c>
      <c r="J1003" s="280">
        <v>495.0</v>
      </c>
      <c r="K1003" s="271">
        <f t="shared" si="1"/>
        <v>12375</v>
      </c>
      <c r="L1003" s="280">
        <v>30463.0</v>
      </c>
      <c r="M1003" s="280">
        <v>-1525.0</v>
      </c>
      <c r="N1003" s="282">
        <v>5.31</v>
      </c>
      <c r="O1003" s="60"/>
      <c r="P1003" s="50">
        <v>5.0</v>
      </c>
      <c r="Q1003" s="280">
        <v>296.0</v>
      </c>
      <c r="R1003" s="276">
        <v>-0.003366</v>
      </c>
      <c r="S1003" s="280">
        <v>254.0</v>
      </c>
      <c r="T1003" s="280">
        <v>259.0</v>
      </c>
      <c r="U1003" s="62">
        <v>1.0</v>
      </c>
      <c r="V1003" s="277">
        <v>0.17</v>
      </c>
      <c r="W1003" s="277">
        <v>0.0</v>
      </c>
      <c r="X1003" s="280">
        <v>215.0</v>
      </c>
      <c r="Y1003" s="280">
        <v>44.0</v>
      </c>
      <c r="Z1003" s="50" t="b">
        <v>1</v>
      </c>
      <c r="AA1003" s="50" t="s">
        <v>140</v>
      </c>
      <c r="AB1003" s="50" t="s">
        <v>140</v>
      </c>
    </row>
    <row r="1004">
      <c r="A1004" s="101" t="s">
        <v>197</v>
      </c>
      <c r="B1004" s="101" t="s">
        <v>198</v>
      </c>
      <c r="C1004" s="278">
        <v>44501.0</v>
      </c>
      <c r="D1004" s="278">
        <v>44530.0</v>
      </c>
      <c r="E1004" s="280" t="s">
        <v>268</v>
      </c>
      <c r="F1004" s="138" t="s">
        <v>8</v>
      </c>
      <c r="G1004" s="271" t="s">
        <v>22</v>
      </c>
      <c r="H1004" s="273" t="s">
        <v>50</v>
      </c>
      <c r="I1004" s="274">
        <v>10.0</v>
      </c>
      <c r="J1004" s="271">
        <v>21.0</v>
      </c>
      <c r="K1004" s="271">
        <f t="shared" si="1"/>
        <v>210</v>
      </c>
      <c r="L1004" s="271">
        <v>-55.0</v>
      </c>
      <c r="M1004" s="271">
        <v>-60.0</v>
      </c>
      <c r="N1004" s="275"/>
      <c r="O1004" s="60"/>
      <c r="P1004" s="101"/>
      <c r="Q1004" s="271">
        <v>-17.0</v>
      </c>
      <c r="R1004" s="276">
        <v>0.0</v>
      </c>
      <c r="S1004" s="271">
        <v>-17.0</v>
      </c>
      <c r="T1004" s="271">
        <v>-17.0</v>
      </c>
      <c r="U1004" s="62">
        <v>1.132</v>
      </c>
      <c r="V1004" s="277">
        <v>0.25</v>
      </c>
      <c r="W1004" s="277">
        <v>0.0</v>
      </c>
      <c r="X1004" s="271">
        <v>-14.0</v>
      </c>
      <c r="Y1004" s="271">
        <v>-5.0</v>
      </c>
      <c r="Z1004" s="50" t="b">
        <v>1</v>
      </c>
      <c r="AA1004" s="50" t="s">
        <v>138</v>
      </c>
      <c r="AB1004" s="50" t="s">
        <v>140</v>
      </c>
    </row>
    <row r="1005">
      <c r="A1005" s="101" t="s">
        <v>197</v>
      </c>
      <c r="B1005" s="101" t="s">
        <v>198</v>
      </c>
      <c r="C1005" s="278">
        <v>44501.0</v>
      </c>
      <c r="D1005" s="278">
        <v>44530.0</v>
      </c>
      <c r="E1005" s="280" t="s">
        <v>268</v>
      </c>
      <c r="F1005" s="138" t="s">
        <v>12</v>
      </c>
      <c r="G1005" s="271" t="s">
        <v>22</v>
      </c>
      <c r="H1005" s="273" t="s">
        <v>14</v>
      </c>
      <c r="I1005" s="274">
        <v>0.25</v>
      </c>
      <c r="J1005" s="271">
        <v>4.0</v>
      </c>
      <c r="K1005" s="271">
        <f t="shared" si="1"/>
        <v>1</v>
      </c>
      <c r="L1005" s="271"/>
      <c r="M1005" s="271">
        <v>0.75</v>
      </c>
      <c r="N1005" s="275"/>
      <c r="O1005" s="60"/>
      <c r="P1005" s="101"/>
      <c r="Q1005" s="271"/>
      <c r="R1005" s="276">
        <v>0.0</v>
      </c>
      <c r="S1005" s="271"/>
      <c r="T1005" s="271">
        <v>1.0</v>
      </c>
      <c r="U1005" s="62">
        <v>1.132</v>
      </c>
      <c r="V1005" s="277">
        <v>0.25</v>
      </c>
      <c r="W1005" s="277">
        <v>0.0</v>
      </c>
      <c r="X1005" s="271">
        <v>1.0</v>
      </c>
      <c r="Y1005" s="271">
        <v>0.0</v>
      </c>
      <c r="Z1005" s="50" t="b">
        <v>1</v>
      </c>
      <c r="AA1005" s="50" t="s">
        <v>138</v>
      </c>
      <c r="AB1005" s="50" t="s">
        <v>140</v>
      </c>
    </row>
    <row r="1006">
      <c r="A1006" s="101" t="s">
        <v>197</v>
      </c>
      <c r="B1006" s="101" t="s">
        <v>197</v>
      </c>
      <c r="C1006" s="278">
        <v>44501.0</v>
      </c>
      <c r="D1006" s="278">
        <v>44530.0</v>
      </c>
      <c r="E1006" s="280" t="s">
        <v>268</v>
      </c>
      <c r="F1006" s="138" t="s">
        <v>8</v>
      </c>
      <c r="G1006" s="271" t="s">
        <v>5</v>
      </c>
      <c r="H1006" s="273" t="s">
        <v>45</v>
      </c>
      <c r="I1006" s="274">
        <v>10.0</v>
      </c>
      <c r="J1006" s="271">
        <v>19.0</v>
      </c>
      <c r="K1006" s="271">
        <f t="shared" si="1"/>
        <v>190</v>
      </c>
      <c r="L1006" s="271">
        <v>1056.0</v>
      </c>
      <c r="M1006" s="271">
        <v>60.0</v>
      </c>
      <c r="N1006" s="275">
        <v>10.0</v>
      </c>
      <c r="O1006" s="60"/>
      <c r="P1006" s="50">
        <v>10.0</v>
      </c>
      <c r="Q1006" s="271">
        <v>5.0</v>
      </c>
      <c r="R1006" s="276">
        <v>-0.001633</v>
      </c>
      <c r="S1006" s="271">
        <v>5.0</v>
      </c>
      <c r="T1006" s="271">
        <v>15.0</v>
      </c>
      <c r="U1006" s="62">
        <v>1.0</v>
      </c>
      <c r="V1006" s="277">
        <v>0.25</v>
      </c>
      <c r="W1006" s="277">
        <v>0.0</v>
      </c>
      <c r="X1006" s="271">
        <v>11.0</v>
      </c>
      <c r="Y1006" s="271">
        <v>4.0</v>
      </c>
      <c r="Z1006" s="50" t="b">
        <v>1</v>
      </c>
      <c r="AA1006" s="50" t="s">
        <v>138</v>
      </c>
      <c r="AB1006" s="50" t="s">
        <v>138</v>
      </c>
    </row>
    <row r="1007">
      <c r="A1007" s="101" t="s">
        <v>197</v>
      </c>
      <c r="B1007" s="101" t="s">
        <v>197</v>
      </c>
      <c r="C1007" s="278">
        <v>44501.0</v>
      </c>
      <c r="D1007" s="278">
        <v>44530.0</v>
      </c>
      <c r="E1007" s="280" t="s">
        <v>268</v>
      </c>
      <c r="F1007" s="138" t="s">
        <v>8</v>
      </c>
      <c r="G1007" s="271" t="s">
        <v>5</v>
      </c>
      <c r="H1007" s="273" t="s">
        <v>63</v>
      </c>
      <c r="I1007" s="274">
        <v>25.0</v>
      </c>
      <c r="J1007" s="271">
        <v>40.0</v>
      </c>
      <c r="K1007" s="271">
        <f t="shared" si="1"/>
        <v>1000</v>
      </c>
      <c r="L1007" s="271">
        <v>1448.0</v>
      </c>
      <c r="M1007" s="271">
        <v>50.0</v>
      </c>
      <c r="N1007" s="275">
        <v>44.0</v>
      </c>
      <c r="O1007" s="60"/>
      <c r="P1007" s="50">
        <v>44.0</v>
      </c>
      <c r="Q1007" s="271">
        <v>48.0</v>
      </c>
      <c r="R1007" s="276">
        <v>-0.003876</v>
      </c>
      <c r="S1007" s="271">
        <v>44.0</v>
      </c>
      <c r="T1007" s="271">
        <v>88.0</v>
      </c>
      <c r="U1007" s="62">
        <v>1.0</v>
      </c>
      <c r="V1007" s="277">
        <v>0.25</v>
      </c>
      <c r="W1007" s="277">
        <v>0.0</v>
      </c>
      <c r="X1007" s="271">
        <v>66.0</v>
      </c>
      <c r="Y1007" s="271">
        <v>22.0</v>
      </c>
      <c r="Z1007" s="50" t="b">
        <v>1</v>
      </c>
      <c r="AA1007" s="50" t="s">
        <v>138</v>
      </c>
      <c r="AB1007" s="50" t="s">
        <v>138</v>
      </c>
    </row>
    <row r="1008">
      <c r="A1008" s="101" t="s">
        <v>197</v>
      </c>
      <c r="B1008" s="101" t="s">
        <v>197</v>
      </c>
      <c r="C1008" s="278">
        <v>44501.0</v>
      </c>
      <c r="D1008" s="278">
        <v>44530.0</v>
      </c>
      <c r="E1008" s="280" t="s">
        <v>268</v>
      </c>
      <c r="F1008" s="138" t="s">
        <v>8</v>
      </c>
      <c r="G1008" s="271" t="s">
        <v>5</v>
      </c>
      <c r="H1008" s="273" t="s">
        <v>62</v>
      </c>
      <c r="I1008" s="274">
        <v>25.0</v>
      </c>
      <c r="J1008" s="271">
        <v>160.0</v>
      </c>
      <c r="K1008" s="271">
        <f t="shared" si="1"/>
        <v>4000</v>
      </c>
      <c r="L1008" s="271">
        <v>9218.0</v>
      </c>
      <c r="M1008" s="271">
        <v>550.0</v>
      </c>
      <c r="N1008" s="275">
        <v>181.0</v>
      </c>
      <c r="O1008" s="60"/>
      <c r="P1008" s="50">
        <v>181.0</v>
      </c>
      <c r="Q1008" s="271">
        <v>171.0</v>
      </c>
      <c r="R1008" s="276">
        <v>-0.003581</v>
      </c>
      <c r="S1008" s="271">
        <v>157.0</v>
      </c>
      <c r="T1008" s="271">
        <v>338.0</v>
      </c>
      <c r="U1008" s="62">
        <v>1.0</v>
      </c>
      <c r="V1008" s="277">
        <v>0.25</v>
      </c>
      <c r="W1008" s="277">
        <v>0.0</v>
      </c>
      <c r="X1008" s="271">
        <v>254.0</v>
      </c>
      <c r="Y1008" s="271">
        <v>85.0</v>
      </c>
      <c r="Z1008" s="50" t="b">
        <v>1</v>
      </c>
      <c r="AA1008" s="50" t="s">
        <v>138</v>
      </c>
      <c r="AB1008" s="50" t="s">
        <v>138</v>
      </c>
    </row>
    <row r="1009">
      <c r="A1009" s="101" t="s">
        <v>197</v>
      </c>
      <c r="B1009" s="101" t="s">
        <v>197</v>
      </c>
      <c r="C1009" s="278">
        <v>44501.0</v>
      </c>
      <c r="D1009" s="278">
        <v>44530.0</v>
      </c>
      <c r="E1009" s="280" t="s">
        <v>268</v>
      </c>
      <c r="F1009" s="138" t="s">
        <v>8</v>
      </c>
      <c r="G1009" s="271" t="s">
        <v>5</v>
      </c>
      <c r="H1009" s="273" t="s">
        <v>48</v>
      </c>
      <c r="I1009" s="274">
        <v>10.0</v>
      </c>
      <c r="J1009" s="271">
        <v>235.0</v>
      </c>
      <c r="K1009" s="271">
        <f t="shared" si="1"/>
        <v>2350</v>
      </c>
      <c r="L1009" s="271">
        <v>6618.0</v>
      </c>
      <c r="M1009" s="271">
        <v>100.0</v>
      </c>
      <c r="N1009" s="275">
        <v>120.0</v>
      </c>
      <c r="O1009" s="60"/>
      <c r="P1009" s="50">
        <v>120.0</v>
      </c>
      <c r="Q1009" s="271">
        <v>28.0</v>
      </c>
      <c r="R1009" s="276">
        <v>-0.003159</v>
      </c>
      <c r="S1009" s="271">
        <v>21.0</v>
      </c>
      <c r="T1009" s="271">
        <v>141.0</v>
      </c>
      <c r="U1009" s="62">
        <v>1.0</v>
      </c>
      <c r="V1009" s="277">
        <v>0.25</v>
      </c>
      <c r="W1009" s="277">
        <v>0.0</v>
      </c>
      <c r="X1009" s="271">
        <v>106.0</v>
      </c>
      <c r="Y1009" s="271">
        <v>35.0</v>
      </c>
      <c r="Z1009" s="50" t="b">
        <v>1</v>
      </c>
      <c r="AA1009" s="50" t="s">
        <v>138</v>
      </c>
      <c r="AB1009" s="50" t="s">
        <v>138</v>
      </c>
    </row>
    <row r="1010">
      <c r="A1010" s="101" t="s">
        <v>197</v>
      </c>
      <c r="B1010" s="101" t="s">
        <v>197</v>
      </c>
      <c r="C1010" s="278">
        <v>44501.0</v>
      </c>
      <c r="D1010" s="278">
        <v>44530.0</v>
      </c>
      <c r="E1010" s="280" t="s">
        <v>268</v>
      </c>
      <c r="F1010" s="138" t="s">
        <v>12</v>
      </c>
      <c r="G1010" s="271" t="s">
        <v>5</v>
      </c>
      <c r="H1010" s="273" t="s">
        <v>10</v>
      </c>
      <c r="I1010" s="274">
        <v>0.25</v>
      </c>
      <c r="J1010" s="271">
        <v>3.0</v>
      </c>
      <c r="K1010" s="271">
        <f t="shared" si="1"/>
        <v>0.75</v>
      </c>
      <c r="L1010" s="271"/>
      <c r="M1010" s="271">
        <v>-0.75</v>
      </c>
      <c r="N1010" s="275"/>
      <c r="O1010" s="60"/>
      <c r="P1010" s="101"/>
      <c r="Q1010" s="271"/>
      <c r="R1010" s="276">
        <v>0.0</v>
      </c>
      <c r="S1010" s="271"/>
      <c r="T1010" s="271">
        <v>-1.0</v>
      </c>
      <c r="U1010" s="62">
        <v>1.0</v>
      </c>
      <c r="V1010" s="277">
        <v>0.25</v>
      </c>
      <c r="W1010" s="277">
        <v>0.0</v>
      </c>
      <c r="X1010" s="271">
        <v>-1.0</v>
      </c>
      <c r="Y1010" s="271">
        <v>0.0</v>
      </c>
      <c r="Z1010" s="50" t="b">
        <v>1</v>
      </c>
      <c r="AA1010" s="50" t="s">
        <v>138</v>
      </c>
      <c r="AB1010" s="50" t="s">
        <v>138</v>
      </c>
    </row>
    <row r="1011">
      <c r="A1011" s="271" t="s">
        <v>154</v>
      </c>
      <c r="B1011" s="271" t="s">
        <v>154</v>
      </c>
      <c r="C1011" s="278">
        <v>44503.0</v>
      </c>
      <c r="D1011" s="278">
        <v>44530.0</v>
      </c>
      <c r="E1011" s="271" t="s">
        <v>268</v>
      </c>
      <c r="F1011" s="101" t="s">
        <v>12</v>
      </c>
      <c r="G1011" s="271" t="s">
        <v>5</v>
      </c>
      <c r="H1011" s="273" t="s">
        <v>45</v>
      </c>
      <c r="I1011" s="274">
        <v>10.0</v>
      </c>
      <c r="J1011" s="271">
        <v>1.0</v>
      </c>
      <c r="K1011" s="271">
        <f t="shared" si="1"/>
        <v>10</v>
      </c>
      <c r="L1011" s="271">
        <v>-435.0</v>
      </c>
      <c r="M1011" s="271">
        <v>-10.0</v>
      </c>
      <c r="N1011" s="275"/>
      <c r="O1011" s="60"/>
      <c r="P1011" s="101"/>
      <c r="Q1011" s="271">
        <v>-9.0</v>
      </c>
      <c r="R1011" s="276">
        <v>0.0</v>
      </c>
      <c r="S1011" s="271">
        <v>-9.0</v>
      </c>
      <c r="T1011" s="271">
        <v>-10.0</v>
      </c>
      <c r="U1011" s="62">
        <v>1.0</v>
      </c>
      <c r="V1011" s="277">
        <v>0.25</v>
      </c>
      <c r="W1011" s="277">
        <v>0.0</v>
      </c>
      <c r="X1011" s="271">
        <v>-8.0</v>
      </c>
      <c r="Y1011" s="271">
        <v>-3.0</v>
      </c>
      <c r="Z1011" s="50" t="b">
        <v>1</v>
      </c>
      <c r="AA1011" s="50" t="s">
        <v>138</v>
      </c>
      <c r="AB1011" s="50" t="s">
        <v>138</v>
      </c>
    </row>
    <row r="1012">
      <c r="A1012" s="271" t="s">
        <v>154</v>
      </c>
      <c r="B1012" s="271" t="s">
        <v>154</v>
      </c>
      <c r="C1012" s="278">
        <v>44503.0</v>
      </c>
      <c r="D1012" s="278">
        <v>44530.0</v>
      </c>
      <c r="E1012" s="271" t="s">
        <v>268</v>
      </c>
      <c r="F1012" s="101" t="s">
        <v>12</v>
      </c>
      <c r="G1012" s="271" t="s">
        <v>5</v>
      </c>
      <c r="H1012" s="273" t="s">
        <v>62</v>
      </c>
      <c r="I1012" s="274">
        <v>25.0</v>
      </c>
      <c r="J1012" s="271">
        <v>16.0</v>
      </c>
      <c r="K1012" s="271">
        <f t="shared" si="1"/>
        <v>400</v>
      </c>
      <c r="L1012" s="271">
        <v>-3881.0</v>
      </c>
      <c r="M1012" s="271">
        <v>-125.0</v>
      </c>
      <c r="N1012" s="275">
        <v>19.0</v>
      </c>
      <c r="O1012" s="60"/>
      <c r="P1012" s="50">
        <v>19.0</v>
      </c>
      <c r="Q1012" s="271">
        <v>-206.0</v>
      </c>
      <c r="R1012" s="276">
        <v>0.0</v>
      </c>
      <c r="S1012" s="271">
        <v>-206.0</v>
      </c>
      <c r="T1012" s="271">
        <v>-106.0</v>
      </c>
      <c r="U1012" s="62">
        <v>1.0</v>
      </c>
      <c r="V1012" s="277">
        <v>0.25</v>
      </c>
      <c r="W1012" s="277">
        <v>0.0</v>
      </c>
      <c r="X1012" s="271">
        <v>-80.0</v>
      </c>
      <c r="Y1012" s="271">
        <v>-27.0</v>
      </c>
      <c r="Z1012" s="50" t="b">
        <v>1</v>
      </c>
      <c r="AA1012" s="50" t="s">
        <v>138</v>
      </c>
      <c r="AB1012" s="50" t="s">
        <v>138</v>
      </c>
    </row>
    <row r="1013">
      <c r="A1013" s="271" t="s">
        <v>154</v>
      </c>
      <c r="B1013" s="271" t="s">
        <v>154</v>
      </c>
      <c r="C1013" s="278">
        <v>44503.0</v>
      </c>
      <c r="D1013" s="278">
        <v>44530.0</v>
      </c>
      <c r="E1013" s="271" t="s">
        <v>268</v>
      </c>
      <c r="F1013" s="101" t="s">
        <v>12</v>
      </c>
      <c r="G1013" s="271" t="s">
        <v>5</v>
      </c>
      <c r="H1013" s="273" t="s">
        <v>48</v>
      </c>
      <c r="I1013" s="274">
        <v>10.0</v>
      </c>
      <c r="J1013" s="271">
        <v>545.0</v>
      </c>
      <c r="K1013" s="271">
        <f t="shared" si="1"/>
        <v>5450</v>
      </c>
      <c r="L1013" s="271">
        <v>6075.0</v>
      </c>
      <c r="M1013" s="271">
        <v>-1050.0</v>
      </c>
      <c r="N1013" s="275">
        <v>299.0</v>
      </c>
      <c r="O1013" s="60"/>
      <c r="P1013" s="50">
        <v>299.0</v>
      </c>
      <c r="Q1013" s="271">
        <v>-218.0</v>
      </c>
      <c r="R1013" s="276">
        <v>0.0</v>
      </c>
      <c r="S1013" s="271">
        <v>-218.0</v>
      </c>
      <c r="T1013" s="271">
        <v>-751.0</v>
      </c>
      <c r="U1013" s="62">
        <v>1.0</v>
      </c>
      <c r="V1013" s="277">
        <v>0.25</v>
      </c>
      <c r="W1013" s="277">
        <v>0.0</v>
      </c>
      <c r="X1013" s="271">
        <v>-563.0</v>
      </c>
      <c r="Y1013" s="271">
        <v>-188.0</v>
      </c>
      <c r="Z1013" s="50" t="b">
        <v>1</v>
      </c>
      <c r="AA1013" s="50" t="s">
        <v>138</v>
      </c>
      <c r="AB1013" s="50" t="s">
        <v>138</v>
      </c>
    </row>
    <row r="1014">
      <c r="A1014" s="271" t="s">
        <v>154</v>
      </c>
      <c r="B1014" s="271" t="s">
        <v>154</v>
      </c>
      <c r="C1014" s="278">
        <v>44503.0</v>
      </c>
      <c r="D1014" s="278">
        <v>44530.0</v>
      </c>
      <c r="E1014" s="271" t="s">
        <v>268</v>
      </c>
      <c r="F1014" s="101" t="s">
        <v>12</v>
      </c>
      <c r="G1014" s="271" t="s">
        <v>5</v>
      </c>
      <c r="H1014" s="273" t="s">
        <v>63</v>
      </c>
      <c r="I1014" s="274">
        <v>25.0</v>
      </c>
      <c r="J1014" s="271">
        <v>1668.0</v>
      </c>
      <c r="K1014" s="271">
        <f t="shared" si="1"/>
        <v>41700</v>
      </c>
      <c r="L1014" s="271">
        <v>20880.0</v>
      </c>
      <c r="M1014" s="271">
        <v>-425.0</v>
      </c>
      <c r="N1014" s="275">
        <v>1967.0</v>
      </c>
      <c r="O1014" s="60"/>
      <c r="P1014" s="109">
        <v>1967.0</v>
      </c>
      <c r="Q1014" s="271">
        <v>-1056.0</v>
      </c>
      <c r="R1014" s="276">
        <v>0.0</v>
      </c>
      <c r="S1014" s="271">
        <v>-1056.0</v>
      </c>
      <c r="T1014" s="271">
        <v>1542.0</v>
      </c>
      <c r="U1014" s="62">
        <v>1.0</v>
      </c>
      <c r="V1014" s="277">
        <v>0.25</v>
      </c>
      <c r="W1014" s="277">
        <v>0.0</v>
      </c>
      <c r="X1014" s="271">
        <v>1157.0</v>
      </c>
      <c r="Y1014" s="271">
        <v>386.0</v>
      </c>
      <c r="Z1014" s="50" t="b">
        <v>1</v>
      </c>
      <c r="AA1014" s="50" t="s">
        <v>138</v>
      </c>
      <c r="AB1014" s="50" t="s">
        <v>138</v>
      </c>
    </row>
    <row r="1015">
      <c r="A1015" s="101" t="s">
        <v>267</v>
      </c>
      <c r="B1015" s="101" t="s">
        <v>267</v>
      </c>
      <c r="C1015" s="278">
        <v>44521.0</v>
      </c>
      <c r="D1015" s="278">
        <v>44550.0</v>
      </c>
      <c r="E1015" s="271" t="s">
        <v>268</v>
      </c>
      <c r="F1015" s="138" t="s">
        <v>4</v>
      </c>
      <c r="G1015" s="101" t="s">
        <v>5</v>
      </c>
      <c r="H1015" s="273" t="s">
        <v>35</v>
      </c>
      <c r="I1015" s="274">
        <v>5.0</v>
      </c>
      <c r="J1015" s="271">
        <v>1.0</v>
      </c>
      <c r="K1015" s="271">
        <f t="shared" si="1"/>
        <v>5</v>
      </c>
      <c r="L1015" s="271">
        <v>-129.0</v>
      </c>
      <c r="M1015" s="271">
        <v>5.0</v>
      </c>
      <c r="N1015" s="275"/>
      <c r="O1015" s="60"/>
      <c r="P1015" s="101"/>
      <c r="Q1015" s="271">
        <v>-2.0</v>
      </c>
      <c r="R1015" s="276">
        <v>-0.0015</v>
      </c>
      <c r="S1015" s="271">
        <v>-2.0</v>
      </c>
      <c r="T1015" s="271">
        <v>-2.0</v>
      </c>
      <c r="U1015" s="62">
        <v>1.0</v>
      </c>
      <c r="V1015" s="277">
        <v>0.15</v>
      </c>
      <c r="W1015" s="277">
        <v>0.0</v>
      </c>
      <c r="X1015" s="271">
        <v>-1.0</v>
      </c>
      <c r="Y1015" s="271">
        <v>0.0</v>
      </c>
      <c r="Z1015" s="50" t="b">
        <v>1</v>
      </c>
      <c r="AA1015" s="50" t="s">
        <v>138</v>
      </c>
      <c r="AB1015" s="50" t="s">
        <v>138</v>
      </c>
    </row>
    <row r="1016">
      <c r="A1016" s="101" t="s">
        <v>267</v>
      </c>
      <c r="B1016" s="101" t="s">
        <v>267</v>
      </c>
      <c r="C1016" s="278">
        <v>44521.0</v>
      </c>
      <c r="D1016" s="278">
        <v>44550.0</v>
      </c>
      <c r="E1016" s="271" t="s">
        <v>268</v>
      </c>
      <c r="F1016" s="138" t="s">
        <v>4</v>
      </c>
      <c r="G1016" s="101" t="s">
        <v>5</v>
      </c>
      <c r="H1016" s="273" t="s">
        <v>38</v>
      </c>
      <c r="I1016" s="274">
        <v>5.0</v>
      </c>
      <c r="J1016" s="271">
        <v>1.0</v>
      </c>
      <c r="K1016" s="271">
        <f t="shared" si="1"/>
        <v>5</v>
      </c>
      <c r="L1016" s="271">
        <v>-141.0</v>
      </c>
      <c r="M1016" s="271">
        <v>-5.0</v>
      </c>
      <c r="N1016" s="275"/>
      <c r="O1016" s="60"/>
      <c r="P1016" s="101"/>
      <c r="Q1016" s="271">
        <v>-3.0</v>
      </c>
      <c r="R1016" s="276">
        <v>-0.0015</v>
      </c>
      <c r="S1016" s="271">
        <v>-3.0</v>
      </c>
      <c r="T1016" s="271">
        <v>-3.0</v>
      </c>
      <c r="U1016" s="62">
        <v>1.0</v>
      </c>
      <c r="V1016" s="277">
        <v>0.15</v>
      </c>
      <c r="W1016" s="277">
        <v>0.0</v>
      </c>
      <c r="X1016" s="271">
        <v>-2.0</v>
      </c>
      <c r="Y1016" s="271">
        <v>0.0</v>
      </c>
      <c r="Z1016" s="50" t="b">
        <v>1</v>
      </c>
      <c r="AA1016" s="50" t="s">
        <v>138</v>
      </c>
      <c r="AB1016" s="50" t="s">
        <v>138</v>
      </c>
    </row>
    <row r="1017">
      <c r="A1017" s="101" t="s">
        <v>267</v>
      </c>
      <c r="B1017" s="101" t="s">
        <v>267</v>
      </c>
      <c r="C1017" s="278">
        <v>44521.0</v>
      </c>
      <c r="D1017" s="278">
        <v>44550.0</v>
      </c>
      <c r="E1017" s="271" t="s">
        <v>268</v>
      </c>
      <c r="F1017" s="138" t="s">
        <v>4</v>
      </c>
      <c r="G1017" s="101" t="s">
        <v>5</v>
      </c>
      <c r="H1017" s="273" t="s">
        <v>45</v>
      </c>
      <c r="I1017" s="274">
        <v>10.0</v>
      </c>
      <c r="J1017" s="271">
        <v>1.0</v>
      </c>
      <c r="K1017" s="271">
        <f t="shared" si="1"/>
        <v>10</v>
      </c>
      <c r="L1017" s="271">
        <v>-754.0</v>
      </c>
      <c r="M1017" s="271">
        <v>-10.0</v>
      </c>
      <c r="N1017" s="275">
        <v>1.0</v>
      </c>
      <c r="O1017" s="60"/>
      <c r="P1017" s="50">
        <v>1.0</v>
      </c>
      <c r="Q1017" s="271">
        <v>-15.0</v>
      </c>
      <c r="R1017" s="276">
        <v>-0.0015</v>
      </c>
      <c r="S1017" s="271">
        <v>-15.0</v>
      </c>
      <c r="T1017" s="271">
        <v>-14.0</v>
      </c>
      <c r="U1017" s="62">
        <v>1.0</v>
      </c>
      <c r="V1017" s="277">
        <v>0.15</v>
      </c>
      <c r="W1017" s="277">
        <v>0.0</v>
      </c>
      <c r="X1017" s="271">
        <v>-12.0</v>
      </c>
      <c r="Y1017" s="271">
        <v>-2.0</v>
      </c>
      <c r="Z1017" s="50" t="b">
        <v>1</v>
      </c>
      <c r="AA1017" s="50" t="s">
        <v>138</v>
      </c>
      <c r="AB1017" s="50" t="s">
        <v>138</v>
      </c>
    </row>
    <row r="1018">
      <c r="A1018" s="101" t="s">
        <v>267</v>
      </c>
      <c r="B1018" s="101" t="s">
        <v>267</v>
      </c>
      <c r="C1018" s="278">
        <v>44521.0</v>
      </c>
      <c r="D1018" s="278">
        <v>44550.0</v>
      </c>
      <c r="E1018" s="271" t="s">
        <v>268</v>
      </c>
      <c r="F1018" s="138" t="s">
        <v>4</v>
      </c>
      <c r="G1018" s="101" t="s">
        <v>5</v>
      </c>
      <c r="H1018" s="273" t="s">
        <v>62</v>
      </c>
      <c r="I1018" s="274">
        <v>25.0</v>
      </c>
      <c r="J1018" s="271">
        <v>656.0</v>
      </c>
      <c r="K1018" s="271">
        <f t="shared" si="1"/>
        <v>16400</v>
      </c>
      <c r="L1018" s="271">
        <v>37269.0</v>
      </c>
      <c r="M1018" s="271">
        <v>850.0</v>
      </c>
      <c r="N1018" s="275">
        <v>624.0</v>
      </c>
      <c r="O1018" s="60"/>
      <c r="P1018" s="50">
        <v>624.0</v>
      </c>
      <c r="Q1018" s="271">
        <v>723.0</v>
      </c>
      <c r="R1018" s="276">
        <v>-0.0015</v>
      </c>
      <c r="S1018" s="271">
        <v>698.0</v>
      </c>
      <c r="T1018" s="271">
        <v>1322.0</v>
      </c>
      <c r="U1018" s="62">
        <v>1.0</v>
      </c>
      <c r="V1018" s="277">
        <v>0.15</v>
      </c>
      <c r="W1018" s="277">
        <v>0.0</v>
      </c>
      <c r="X1018" s="271">
        <v>1124.0</v>
      </c>
      <c r="Y1018" s="271">
        <v>198.0</v>
      </c>
      <c r="Z1018" s="50" t="b">
        <v>1</v>
      </c>
      <c r="AA1018" s="50" t="s">
        <v>138</v>
      </c>
      <c r="AB1018" s="50" t="s">
        <v>138</v>
      </c>
    </row>
    <row r="1019">
      <c r="A1019" s="101" t="s">
        <v>267</v>
      </c>
      <c r="B1019" s="101" t="s">
        <v>267</v>
      </c>
      <c r="C1019" s="278">
        <v>44521.0</v>
      </c>
      <c r="D1019" s="278">
        <v>44550.0</v>
      </c>
      <c r="E1019" s="271" t="s">
        <v>268</v>
      </c>
      <c r="F1019" s="138" t="s">
        <v>4</v>
      </c>
      <c r="G1019" s="101" t="s">
        <v>5</v>
      </c>
      <c r="H1019" s="273" t="s">
        <v>63</v>
      </c>
      <c r="I1019" s="274">
        <v>25.0</v>
      </c>
      <c r="J1019" s="271">
        <v>3257.0</v>
      </c>
      <c r="K1019" s="271">
        <f t="shared" si="1"/>
        <v>81425</v>
      </c>
      <c r="L1019" s="271">
        <v>45146.0</v>
      </c>
      <c r="M1019" s="271">
        <v>-2375.0</v>
      </c>
      <c r="N1019" s="275">
        <v>3091.0</v>
      </c>
      <c r="O1019" s="60"/>
      <c r="P1019" s="109">
        <v>3091.0</v>
      </c>
      <c r="Q1019" s="271">
        <v>-1500.0</v>
      </c>
      <c r="R1019" s="276">
        <v>-0.0015</v>
      </c>
      <c r="S1019" s="271">
        <v>-1622.0</v>
      </c>
      <c r="T1019" s="271">
        <v>1469.0</v>
      </c>
      <c r="U1019" s="62">
        <v>1.0</v>
      </c>
      <c r="V1019" s="277">
        <v>0.15</v>
      </c>
      <c r="W1019" s="277">
        <v>0.0</v>
      </c>
      <c r="X1019" s="271">
        <v>1249.0</v>
      </c>
      <c r="Y1019" s="271">
        <v>220.0</v>
      </c>
      <c r="Z1019" s="50" t="b">
        <v>1</v>
      </c>
      <c r="AA1019" s="50" t="s">
        <v>138</v>
      </c>
      <c r="AB1019" s="50" t="s">
        <v>138</v>
      </c>
    </row>
    <row r="1020">
      <c r="A1020" s="101" t="s">
        <v>267</v>
      </c>
      <c r="B1020" s="101" t="s">
        <v>267</v>
      </c>
      <c r="C1020" s="278">
        <v>44521.0</v>
      </c>
      <c r="D1020" s="278">
        <v>44550.0</v>
      </c>
      <c r="E1020" s="271" t="s">
        <v>268</v>
      </c>
      <c r="F1020" s="138" t="s">
        <v>4</v>
      </c>
      <c r="G1020" s="101" t="s">
        <v>5</v>
      </c>
      <c r="H1020" s="273" t="s">
        <v>74</v>
      </c>
      <c r="I1020" s="274">
        <v>50.0</v>
      </c>
      <c r="J1020" s="271">
        <v>245.0</v>
      </c>
      <c r="K1020" s="271">
        <f t="shared" si="1"/>
        <v>12250</v>
      </c>
      <c r="L1020" s="271">
        <v>17654.0</v>
      </c>
      <c r="M1020" s="271">
        <v>-650.0</v>
      </c>
      <c r="N1020" s="275">
        <v>464.0</v>
      </c>
      <c r="O1020" s="60"/>
      <c r="P1020" s="50">
        <v>464.0</v>
      </c>
      <c r="Q1020" s="271">
        <v>886.0</v>
      </c>
      <c r="R1020" s="276">
        <v>-0.0015</v>
      </c>
      <c r="S1020" s="271">
        <v>868.0</v>
      </c>
      <c r="T1020" s="271">
        <v>1332.0</v>
      </c>
      <c r="U1020" s="62">
        <v>1.0</v>
      </c>
      <c r="V1020" s="277">
        <v>0.15</v>
      </c>
      <c r="W1020" s="277">
        <v>0.0</v>
      </c>
      <c r="X1020" s="271">
        <v>1132.0</v>
      </c>
      <c r="Y1020" s="271">
        <v>200.0</v>
      </c>
      <c r="Z1020" s="50" t="b">
        <v>1</v>
      </c>
      <c r="AA1020" s="50" t="s">
        <v>138</v>
      </c>
      <c r="AB1020" s="50" t="s">
        <v>138</v>
      </c>
    </row>
    <row r="1021">
      <c r="A1021" s="101" t="s">
        <v>267</v>
      </c>
      <c r="B1021" s="101" t="s">
        <v>267</v>
      </c>
      <c r="C1021" s="278">
        <v>44521.0</v>
      </c>
      <c r="D1021" s="278">
        <v>44550.0</v>
      </c>
      <c r="E1021" s="271" t="s">
        <v>268</v>
      </c>
      <c r="F1021" s="138" t="s">
        <v>4</v>
      </c>
      <c r="G1021" s="101" t="s">
        <v>5</v>
      </c>
      <c r="H1021" s="273" t="s">
        <v>75</v>
      </c>
      <c r="I1021" s="274">
        <v>50.0</v>
      </c>
      <c r="J1021" s="271">
        <v>43.0</v>
      </c>
      <c r="K1021" s="271">
        <f t="shared" si="1"/>
        <v>2150</v>
      </c>
      <c r="L1021" s="271">
        <v>2101.0</v>
      </c>
      <c r="M1021" s="271">
        <v>800.0</v>
      </c>
      <c r="N1021" s="275">
        <v>83.0</v>
      </c>
      <c r="O1021" s="60"/>
      <c r="P1021" s="50">
        <v>83.0</v>
      </c>
      <c r="Q1021" s="271">
        <v>193.0</v>
      </c>
      <c r="R1021" s="276">
        <v>-0.0015</v>
      </c>
      <c r="S1021" s="271">
        <v>190.0</v>
      </c>
      <c r="T1021" s="271">
        <v>273.0</v>
      </c>
      <c r="U1021" s="62">
        <v>1.0</v>
      </c>
      <c r="V1021" s="277">
        <v>0.15</v>
      </c>
      <c r="W1021" s="277">
        <v>0.0</v>
      </c>
      <c r="X1021" s="271">
        <v>232.0</v>
      </c>
      <c r="Y1021" s="271">
        <v>41.0</v>
      </c>
      <c r="Z1021" s="50" t="b">
        <v>1</v>
      </c>
      <c r="AA1021" s="50" t="s">
        <v>138</v>
      </c>
      <c r="AB1021" s="50" t="s">
        <v>138</v>
      </c>
    </row>
    <row r="1022">
      <c r="A1022" s="101" t="s">
        <v>267</v>
      </c>
      <c r="B1022" s="101" t="s">
        <v>267</v>
      </c>
      <c r="C1022" s="278">
        <v>44521.0</v>
      </c>
      <c r="D1022" s="278">
        <v>44550.0</v>
      </c>
      <c r="E1022" s="271" t="s">
        <v>268</v>
      </c>
      <c r="F1022" s="138" t="s">
        <v>12</v>
      </c>
      <c r="G1022" s="101" t="s">
        <v>5</v>
      </c>
      <c r="H1022" s="273" t="s">
        <v>28</v>
      </c>
      <c r="I1022" s="274">
        <v>2.0</v>
      </c>
      <c r="J1022" s="271">
        <v>3.0</v>
      </c>
      <c r="K1022" s="271">
        <f t="shared" si="1"/>
        <v>6</v>
      </c>
      <c r="L1022" s="271"/>
      <c r="M1022" s="271">
        <v>-2.0</v>
      </c>
      <c r="N1022" s="275"/>
      <c r="O1022" s="60"/>
      <c r="P1022" s="101"/>
      <c r="Q1022" s="271"/>
      <c r="R1022" s="276">
        <v>0.0</v>
      </c>
      <c r="S1022" s="271"/>
      <c r="T1022" s="271">
        <v>-2.0</v>
      </c>
      <c r="U1022" s="62">
        <v>1.0</v>
      </c>
      <c r="V1022" s="277">
        <v>0.15</v>
      </c>
      <c r="W1022" s="277">
        <v>0.0</v>
      </c>
      <c r="X1022" s="271">
        <v>-2.0</v>
      </c>
      <c r="Y1022" s="271">
        <v>0.0</v>
      </c>
      <c r="Z1022" s="50" t="b">
        <v>1</v>
      </c>
      <c r="AA1022" s="50" t="s">
        <v>138</v>
      </c>
      <c r="AB1022" s="50" t="s">
        <v>138</v>
      </c>
    </row>
    <row r="1023">
      <c r="A1023" s="280" t="s">
        <v>144</v>
      </c>
      <c r="B1023" s="280" t="s">
        <v>144</v>
      </c>
      <c r="C1023" s="283">
        <v>44521.0</v>
      </c>
      <c r="D1023" s="283">
        <v>44550.0</v>
      </c>
      <c r="E1023" s="280" t="s">
        <v>268</v>
      </c>
      <c r="F1023" s="138" t="s">
        <v>4</v>
      </c>
      <c r="G1023" s="280" t="s">
        <v>9</v>
      </c>
      <c r="H1023" s="273" t="s">
        <v>53</v>
      </c>
      <c r="I1023" s="281">
        <v>10.0</v>
      </c>
      <c r="J1023" s="280">
        <v>127.0</v>
      </c>
      <c r="K1023" s="271">
        <f t="shared" si="1"/>
        <v>1270</v>
      </c>
      <c r="L1023" s="280">
        <v>7588.0</v>
      </c>
      <c r="M1023" s="280">
        <v>-90.0</v>
      </c>
      <c r="N1023" s="282">
        <v>0.0</v>
      </c>
      <c r="O1023" s="60"/>
      <c r="P1023" s="50">
        <v>0.0</v>
      </c>
      <c r="Q1023" s="280">
        <v>41.0</v>
      </c>
      <c r="R1023" s="276">
        <v>-0.00152</v>
      </c>
      <c r="S1023" s="280">
        <v>39.0</v>
      </c>
      <c r="T1023" s="280">
        <v>39.0</v>
      </c>
      <c r="U1023" s="62">
        <v>1.0</v>
      </c>
      <c r="V1023" s="277">
        <v>0.2</v>
      </c>
      <c r="W1023" s="277">
        <v>0.0</v>
      </c>
      <c r="X1023" s="280">
        <v>31.0</v>
      </c>
      <c r="Y1023" s="280">
        <v>8.0</v>
      </c>
      <c r="Z1023" s="50" t="b">
        <v>1</v>
      </c>
      <c r="AA1023" s="50" t="s">
        <v>140</v>
      </c>
      <c r="AB1023" s="50" t="s">
        <v>140</v>
      </c>
    </row>
    <row r="1024">
      <c r="A1024" s="280" t="s">
        <v>144</v>
      </c>
      <c r="B1024" s="280" t="s">
        <v>144</v>
      </c>
      <c r="C1024" s="283">
        <v>44521.0</v>
      </c>
      <c r="D1024" s="283">
        <v>44550.0</v>
      </c>
      <c r="E1024" s="280" t="s">
        <v>268</v>
      </c>
      <c r="F1024" s="138" t="s">
        <v>4</v>
      </c>
      <c r="G1024" s="280" t="s">
        <v>9</v>
      </c>
      <c r="H1024" s="273" t="s">
        <v>66</v>
      </c>
      <c r="I1024" s="281">
        <v>25.0</v>
      </c>
      <c r="J1024" s="280">
        <v>33.0</v>
      </c>
      <c r="K1024" s="271">
        <f t="shared" si="1"/>
        <v>825</v>
      </c>
      <c r="L1024" s="280">
        <v>1810.0</v>
      </c>
      <c r="M1024" s="280">
        <v>-310.0</v>
      </c>
      <c r="N1024" s="282">
        <v>0.0</v>
      </c>
      <c r="O1024" s="60"/>
      <c r="P1024" s="50">
        <v>0.0</v>
      </c>
      <c r="Q1024" s="280">
        <v>9.0</v>
      </c>
      <c r="R1024" s="276">
        <v>-0.00152</v>
      </c>
      <c r="S1024" s="280">
        <v>8.0</v>
      </c>
      <c r="T1024" s="280">
        <v>8.0</v>
      </c>
      <c r="U1024" s="62">
        <v>1.0</v>
      </c>
      <c r="V1024" s="277">
        <v>0.2</v>
      </c>
      <c r="W1024" s="277">
        <v>0.0</v>
      </c>
      <c r="X1024" s="280">
        <v>6.0</v>
      </c>
      <c r="Y1024" s="280">
        <v>2.0</v>
      </c>
      <c r="Z1024" s="50" t="b">
        <v>1</v>
      </c>
      <c r="AA1024" s="50" t="s">
        <v>140</v>
      </c>
      <c r="AB1024" s="50" t="s">
        <v>140</v>
      </c>
    </row>
    <row r="1025">
      <c r="A1025" s="101" t="s">
        <v>148</v>
      </c>
      <c r="B1025" s="101" t="s">
        <v>148</v>
      </c>
      <c r="C1025" s="278">
        <v>44521.0</v>
      </c>
      <c r="D1025" s="278">
        <v>44550.0</v>
      </c>
      <c r="E1025" s="271" t="s">
        <v>331</v>
      </c>
      <c r="F1025" s="138" t="s">
        <v>4</v>
      </c>
      <c r="G1025" s="101" t="s">
        <v>5</v>
      </c>
      <c r="H1025" s="273" t="s">
        <v>74</v>
      </c>
      <c r="I1025" s="274">
        <v>50.0</v>
      </c>
      <c r="J1025" s="271">
        <v>4037.0</v>
      </c>
      <c r="K1025" s="271">
        <f t="shared" si="1"/>
        <v>201850</v>
      </c>
      <c r="L1025" s="271">
        <v>37790.0</v>
      </c>
      <c r="M1025" s="271">
        <v>-8800.0</v>
      </c>
      <c r="N1025" s="275">
        <v>8775.0</v>
      </c>
      <c r="O1025" s="60"/>
      <c r="P1025" s="109">
        <v>8775.0</v>
      </c>
      <c r="Q1025" s="271">
        <v>-9079.0</v>
      </c>
      <c r="R1025" s="276">
        <v>-0.00152</v>
      </c>
      <c r="S1025" s="271">
        <v>-9386.0</v>
      </c>
      <c r="T1025" s="271">
        <v>-611.0</v>
      </c>
      <c r="U1025" s="62">
        <v>1.0</v>
      </c>
      <c r="V1025" s="277">
        <v>0.15</v>
      </c>
      <c r="W1025" s="277">
        <v>0.05</v>
      </c>
      <c r="X1025" s="271">
        <v>-488.0</v>
      </c>
      <c r="Y1025" s="271">
        <v>-122.0</v>
      </c>
      <c r="Z1025" s="50" t="b">
        <v>1</v>
      </c>
      <c r="AA1025" s="50" t="s">
        <v>138</v>
      </c>
      <c r="AB1025" s="50" t="s">
        <v>138</v>
      </c>
    </row>
    <row r="1026">
      <c r="A1026" s="101" t="s">
        <v>182</v>
      </c>
      <c r="B1026" s="101" t="s">
        <v>182</v>
      </c>
      <c r="C1026" s="283">
        <v>44521.0</v>
      </c>
      <c r="D1026" s="283">
        <v>44550.0</v>
      </c>
      <c r="E1026" s="280" t="s">
        <v>268</v>
      </c>
      <c r="F1026" s="138" t="s">
        <v>4</v>
      </c>
      <c r="G1026" s="271" t="s">
        <v>5</v>
      </c>
      <c r="H1026" s="273" t="s">
        <v>45</v>
      </c>
      <c r="I1026" s="281">
        <v>10.0</v>
      </c>
      <c r="J1026" s="280">
        <v>83.0</v>
      </c>
      <c r="K1026" s="271">
        <f t="shared" si="1"/>
        <v>830</v>
      </c>
      <c r="L1026" s="280">
        <v>-106.0</v>
      </c>
      <c r="M1026" s="280">
        <v>-40.0</v>
      </c>
      <c r="N1026" s="275">
        <v>7.0</v>
      </c>
      <c r="O1026" s="60"/>
      <c r="P1026" s="50">
        <v>7.0</v>
      </c>
      <c r="Q1026" s="280">
        <v>-38.0</v>
      </c>
      <c r="R1026" s="276">
        <v>-0.00152</v>
      </c>
      <c r="S1026" s="280">
        <v>-40.0</v>
      </c>
      <c r="T1026" s="280">
        <v>-33.0</v>
      </c>
      <c r="U1026" s="62">
        <v>1.0</v>
      </c>
      <c r="V1026" s="277">
        <v>0.2</v>
      </c>
      <c r="W1026" s="277">
        <v>0.0</v>
      </c>
      <c r="X1026" s="280">
        <v>-26.0</v>
      </c>
      <c r="Y1026" s="280">
        <v>-7.0</v>
      </c>
      <c r="Z1026" s="50" t="b">
        <v>1</v>
      </c>
      <c r="AA1026" s="50" t="s">
        <v>138</v>
      </c>
      <c r="AB1026" s="50" t="s">
        <v>138</v>
      </c>
    </row>
    <row r="1027">
      <c r="A1027" s="101" t="s">
        <v>149</v>
      </c>
      <c r="B1027" s="101" t="s">
        <v>149</v>
      </c>
      <c r="C1027" s="278">
        <v>44521.0</v>
      </c>
      <c r="D1027" s="278">
        <v>44550.0</v>
      </c>
      <c r="E1027" s="271" t="s">
        <v>268</v>
      </c>
      <c r="F1027" s="138" t="s">
        <v>12</v>
      </c>
      <c r="G1027" s="101" t="s">
        <v>5</v>
      </c>
      <c r="H1027" s="273" t="s">
        <v>85</v>
      </c>
      <c r="I1027" s="274">
        <v>100.0</v>
      </c>
      <c r="J1027" s="271">
        <v>1844.0</v>
      </c>
      <c r="K1027" s="271">
        <f t="shared" si="1"/>
        <v>184400</v>
      </c>
      <c r="L1027" s="271">
        <f>3*J1027</f>
        <v>5532</v>
      </c>
      <c r="M1027" s="271">
        <v>-14900.0</v>
      </c>
      <c r="N1027" s="275">
        <v>6405.0</v>
      </c>
      <c r="O1027" s="60"/>
      <c r="P1027" s="109">
        <v>6405.0</v>
      </c>
      <c r="Q1027" s="271">
        <v>-8921.0</v>
      </c>
      <c r="R1027" s="276">
        <v>0.0</v>
      </c>
      <c r="S1027" s="271">
        <v>-8921.0</v>
      </c>
      <c r="T1027" s="271">
        <v>-8495.0</v>
      </c>
      <c r="U1027" s="62">
        <v>1.0</v>
      </c>
      <c r="V1027" s="277">
        <v>0.22</v>
      </c>
      <c r="W1027" s="277">
        <v>0.0</v>
      </c>
      <c r="X1027" s="271">
        <v>-6626.0</v>
      </c>
      <c r="Y1027" s="271">
        <v>-1869.0</v>
      </c>
      <c r="Z1027" s="50" t="b">
        <v>1</v>
      </c>
      <c r="AA1027" s="50" t="s">
        <v>138</v>
      </c>
      <c r="AB1027" s="50" t="s">
        <v>138</v>
      </c>
    </row>
    <row r="1028">
      <c r="A1028" s="101" t="s">
        <v>149</v>
      </c>
      <c r="B1028" s="101" t="s">
        <v>149</v>
      </c>
      <c r="C1028" s="278">
        <v>44521.0</v>
      </c>
      <c r="D1028" s="278">
        <v>44550.0</v>
      </c>
      <c r="E1028" s="271" t="s">
        <v>268</v>
      </c>
      <c r="F1028" s="138" t="s">
        <v>12</v>
      </c>
      <c r="G1028" s="101" t="s">
        <v>5</v>
      </c>
      <c r="H1028" s="273" t="s">
        <v>62</v>
      </c>
      <c r="I1028" s="274">
        <v>25.0</v>
      </c>
      <c r="J1028" s="271">
        <v>261.0</v>
      </c>
      <c r="K1028" s="271">
        <f t="shared" si="1"/>
        <v>6525</v>
      </c>
      <c r="L1028" s="271"/>
      <c r="M1028" s="271">
        <v>-275.0</v>
      </c>
      <c r="N1028" s="275">
        <v>272.0</v>
      </c>
      <c r="O1028" s="60"/>
      <c r="P1028" s="50">
        <v>272.0</v>
      </c>
      <c r="Q1028" s="271"/>
      <c r="R1028" s="276">
        <v>0.0</v>
      </c>
      <c r="S1028" s="271"/>
      <c r="T1028" s="271">
        <v>-3.0</v>
      </c>
      <c r="U1028" s="62">
        <v>1.0</v>
      </c>
      <c r="V1028" s="277">
        <v>0.22</v>
      </c>
      <c r="W1028" s="277">
        <v>0.0</v>
      </c>
      <c r="X1028" s="271">
        <v>-2.0</v>
      </c>
      <c r="Y1028" s="271">
        <v>-1.0</v>
      </c>
      <c r="Z1028" s="50" t="b">
        <v>1</v>
      </c>
      <c r="AA1028" s="50" t="s">
        <v>138</v>
      </c>
      <c r="AB1028" s="50" t="s">
        <v>138</v>
      </c>
    </row>
    <row r="1029">
      <c r="A1029" s="101" t="s">
        <v>149</v>
      </c>
      <c r="B1029" s="101" t="s">
        <v>149</v>
      </c>
      <c r="C1029" s="278">
        <v>44521.0</v>
      </c>
      <c r="D1029" s="278">
        <v>44550.0</v>
      </c>
      <c r="E1029" s="271" t="s">
        <v>268</v>
      </c>
      <c r="F1029" s="138" t="s">
        <v>12</v>
      </c>
      <c r="G1029" s="101" t="s">
        <v>5</v>
      </c>
      <c r="H1029" s="273" t="s">
        <v>74</v>
      </c>
      <c r="I1029" s="274">
        <v>50.0</v>
      </c>
      <c r="J1029" s="271">
        <v>69.0</v>
      </c>
      <c r="K1029" s="271">
        <f t="shared" si="1"/>
        <v>3450</v>
      </c>
      <c r="L1029" s="271"/>
      <c r="M1029" s="271">
        <v>-50.0</v>
      </c>
      <c r="N1029" s="275">
        <v>143.0</v>
      </c>
      <c r="O1029" s="60"/>
      <c r="P1029" s="50">
        <v>143.0</v>
      </c>
      <c r="Q1029" s="271"/>
      <c r="R1029" s="276">
        <v>0.0</v>
      </c>
      <c r="S1029" s="271"/>
      <c r="T1029" s="271">
        <v>93.0</v>
      </c>
      <c r="U1029" s="62">
        <v>1.0</v>
      </c>
      <c r="V1029" s="277">
        <v>0.22</v>
      </c>
      <c r="W1029" s="277">
        <v>0.0</v>
      </c>
      <c r="X1029" s="271">
        <v>73.0</v>
      </c>
      <c r="Y1029" s="271">
        <v>20.0</v>
      </c>
      <c r="Z1029" s="50" t="b">
        <v>1</v>
      </c>
      <c r="AA1029" s="50" t="s">
        <v>138</v>
      </c>
      <c r="AB1029" s="50" t="s">
        <v>138</v>
      </c>
    </row>
    <row r="1030">
      <c r="A1030" s="101" t="s">
        <v>149</v>
      </c>
      <c r="B1030" s="101" t="s">
        <v>149</v>
      </c>
      <c r="C1030" s="278">
        <v>44521.0</v>
      </c>
      <c r="D1030" s="278">
        <v>44550.0</v>
      </c>
      <c r="E1030" s="271" t="s">
        <v>268</v>
      </c>
      <c r="F1030" s="138" t="s">
        <v>12</v>
      </c>
      <c r="G1030" s="101" t="s">
        <v>5</v>
      </c>
      <c r="H1030" s="273" t="s">
        <v>6</v>
      </c>
      <c r="I1030" s="274">
        <v>0.25</v>
      </c>
      <c r="J1030" s="271">
        <v>2.0</v>
      </c>
      <c r="K1030" s="271">
        <f t="shared" si="1"/>
        <v>0.5</v>
      </c>
      <c r="L1030" s="271"/>
      <c r="M1030" s="271">
        <v>-0.5</v>
      </c>
      <c r="N1030" s="275"/>
      <c r="O1030" s="60"/>
      <c r="P1030" s="101"/>
      <c r="Q1030" s="271"/>
      <c r="R1030" s="276">
        <v>0.0</v>
      </c>
      <c r="S1030" s="271"/>
      <c r="T1030" s="271">
        <v>-1.0</v>
      </c>
      <c r="U1030" s="62">
        <v>1.0</v>
      </c>
      <c r="V1030" s="277">
        <v>0.22</v>
      </c>
      <c r="W1030" s="277">
        <v>0.0</v>
      </c>
      <c r="X1030" s="271">
        <v>0.0</v>
      </c>
      <c r="Y1030" s="271">
        <v>0.0</v>
      </c>
      <c r="Z1030" s="50" t="b">
        <v>1</v>
      </c>
      <c r="AA1030" s="50" t="s">
        <v>138</v>
      </c>
      <c r="AB1030" s="50" t="s">
        <v>138</v>
      </c>
    </row>
    <row r="1031">
      <c r="A1031" s="101" t="s">
        <v>177</v>
      </c>
      <c r="B1031" s="101" t="s">
        <v>177</v>
      </c>
      <c r="C1031" s="278">
        <v>44531.0</v>
      </c>
      <c r="D1031" s="278">
        <v>44550.0</v>
      </c>
      <c r="E1031" s="280" t="s">
        <v>268</v>
      </c>
      <c r="F1031" s="138" t="s">
        <v>8</v>
      </c>
      <c r="G1031" s="280" t="s">
        <v>5</v>
      </c>
      <c r="H1031" s="273" t="s">
        <v>85</v>
      </c>
      <c r="I1031" s="274">
        <v>100.0</v>
      </c>
      <c r="J1031" s="271">
        <v>28.0</v>
      </c>
      <c r="K1031" s="271">
        <f t="shared" si="1"/>
        <v>2800</v>
      </c>
      <c r="L1031" s="271">
        <v>477.0</v>
      </c>
      <c r="M1031" s="271">
        <v>800.0</v>
      </c>
      <c r="N1031" s="275"/>
      <c r="O1031" s="60"/>
      <c r="P1031" s="101"/>
      <c r="Q1031" s="271">
        <v>-62.0</v>
      </c>
      <c r="R1031" s="276">
        <v>0.005284</v>
      </c>
      <c r="S1031" s="271">
        <v>-47.0</v>
      </c>
      <c r="T1031" s="271">
        <v>-47.0</v>
      </c>
      <c r="U1031" s="62">
        <v>1.0</v>
      </c>
      <c r="V1031" s="277">
        <v>0.12</v>
      </c>
      <c r="W1031" s="277">
        <v>0.0</v>
      </c>
      <c r="X1031" s="271">
        <v>-41.0</v>
      </c>
      <c r="Y1031" s="271">
        <v>-6.0</v>
      </c>
      <c r="Z1031" s="50" t="b">
        <v>1</v>
      </c>
      <c r="AA1031" s="50" t="s">
        <v>138</v>
      </c>
      <c r="AB1031" s="50" t="s">
        <v>138</v>
      </c>
    </row>
    <row r="1032">
      <c r="A1032" s="280" t="s">
        <v>362</v>
      </c>
      <c r="B1032" s="280" t="s">
        <v>362</v>
      </c>
      <c r="C1032" s="283">
        <v>44521.0</v>
      </c>
      <c r="D1032" s="283">
        <v>44550.0</v>
      </c>
      <c r="E1032" s="280" t="s">
        <v>268</v>
      </c>
      <c r="F1032" s="138" t="s">
        <v>4</v>
      </c>
      <c r="G1032" s="280" t="s">
        <v>9</v>
      </c>
      <c r="H1032" s="273" t="s">
        <v>79</v>
      </c>
      <c r="I1032" s="281">
        <v>50.0</v>
      </c>
      <c r="J1032" s="280">
        <v>323.0</v>
      </c>
      <c r="K1032" s="271">
        <f t="shared" si="1"/>
        <v>16150</v>
      </c>
      <c r="L1032" s="280">
        <v>8314.0</v>
      </c>
      <c r="M1032" s="280">
        <v>-1974.0</v>
      </c>
      <c r="N1032" s="282">
        <v>5473.86</v>
      </c>
      <c r="O1032" s="60"/>
      <c r="P1032" s="109">
        <v>5474.0</v>
      </c>
      <c r="Q1032" s="280">
        <v>-575.0</v>
      </c>
      <c r="R1032" s="276">
        <v>-0.00152</v>
      </c>
      <c r="S1032" s="280">
        <v>-599.0</v>
      </c>
      <c r="T1032" s="280">
        <v>4874.0</v>
      </c>
      <c r="U1032" s="62">
        <v>1.0</v>
      </c>
      <c r="V1032" s="277">
        <v>0.19</v>
      </c>
      <c r="W1032" s="277">
        <v>0.0</v>
      </c>
      <c r="X1032" s="280">
        <v>3948.0</v>
      </c>
      <c r="Y1032" s="280">
        <v>926.0</v>
      </c>
      <c r="Z1032" s="50" t="b">
        <v>1</v>
      </c>
      <c r="AA1032" s="50" t="s">
        <v>140</v>
      </c>
      <c r="AB1032" s="50" t="s">
        <v>140</v>
      </c>
    </row>
    <row r="1033">
      <c r="A1033" s="280" t="s">
        <v>362</v>
      </c>
      <c r="B1033" s="280" t="s">
        <v>362</v>
      </c>
      <c r="C1033" s="283">
        <v>44521.0</v>
      </c>
      <c r="D1033" s="283">
        <v>44550.0</v>
      </c>
      <c r="E1033" s="280" t="s">
        <v>268</v>
      </c>
      <c r="F1033" s="138" t="s">
        <v>4</v>
      </c>
      <c r="G1033" s="280" t="s">
        <v>9</v>
      </c>
      <c r="H1033" s="273" t="s">
        <v>89</v>
      </c>
      <c r="I1033" s="281">
        <v>100.0</v>
      </c>
      <c r="J1033" s="280">
        <v>455.0</v>
      </c>
      <c r="K1033" s="271">
        <f t="shared" si="1"/>
        <v>45500</v>
      </c>
      <c r="L1033" s="280">
        <v>29994.0</v>
      </c>
      <c r="M1033" s="280">
        <v>226.0</v>
      </c>
      <c r="N1033" s="282">
        <v>221.18</v>
      </c>
      <c r="O1033" s="60"/>
      <c r="P1033" s="50">
        <v>221.0</v>
      </c>
      <c r="Q1033" s="280">
        <v>1505.0</v>
      </c>
      <c r="R1033" s="276">
        <v>-0.00152</v>
      </c>
      <c r="S1033" s="280">
        <v>1436.0</v>
      </c>
      <c r="T1033" s="280">
        <v>1657.0</v>
      </c>
      <c r="U1033" s="62">
        <v>1.0</v>
      </c>
      <c r="V1033" s="277">
        <v>0.19</v>
      </c>
      <c r="W1033" s="277">
        <v>0.0</v>
      </c>
      <c r="X1033" s="280">
        <v>1342.0</v>
      </c>
      <c r="Y1033" s="280">
        <v>315.0</v>
      </c>
      <c r="Z1033" s="50" t="b">
        <v>1</v>
      </c>
      <c r="AA1033" s="50" t="s">
        <v>140</v>
      </c>
      <c r="AB1033" s="50" t="s">
        <v>140</v>
      </c>
    </row>
    <row r="1034">
      <c r="A1034" s="280" t="s">
        <v>362</v>
      </c>
      <c r="B1034" s="280" t="s">
        <v>362</v>
      </c>
      <c r="C1034" s="283">
        <v>44521.0</v>
      </c>
      <c r="D1034" s="283">
        <v>44550.0</v>
      </c>
      <c r="E1034" s="280" t="s">
        <v>268</v>
      </c>
      <c r="F1034" s="138" t="s">
        <v>4</v>
      </c>
      <c r="G1034" s="280" t="s">
        <v>9</v>
      </c>
      <c r="H1034" s="273" t="s">
        <v>999</v>
      </c>
      <c r="I1034" s="281">
        <v>250.0</v>
      </c>
      <c r="J1034" s="280">
        <v>175.0</v>
      </c>
      <c r="K1034" s="271">
        <f t="shared" si="1"/>
        <v>43750</v>
      </c>
      <c r="L1034" s="280">
        <v>2686.0</v>
      </c>
      <c r="M1034" s="280">
        <v>-5922.0</v>
      </c>
      <c r="N1034" s="282">
        <v>0.0</v>
      </c>
      <c r="O1034" s="60"/>
      <c r="P1034" s="50">
        <v>0.0</v>
      </c>
      <c r="Q1034" s="280">
        <v>-2102.0</v>
      </c>
      <c r="R1034" s="276">
        <v>-0.00152</v>
      </c>
      <c r="S1034" s="280">
        <v>-2168.0</v>
      </c>
      <c r="T1034" s="280">
        <v>-2168.0</v>
      </c>
      <c r="U1034" s="62">
        <v>1.0</v>
      </c>
      <c r="V1034" s="277">
        <v>0.19</v>
      </c>
      <c r="W1034" s="277">
        <v>0.0</v>
      </c>
      <c r="X1034" s="280">
        <v>-1756.0</v>
      </c>
      <c r="Y1034" s="280">
        <v>-412.0</v>
      </c>
      <c r="Z1034" s="50" t="b">
        <v>1</v>
      </c>
      <c r="AA1034" s="50" t="s">
        <v>140</v>
      </c>
      <c r="AB1034" s="50" t="s">
        <v>140</v>
      </c>
    </row>
    <row r="1035">
      <c r="A1035" s="280" t="s">
        <v>362</v>
      </c>
      <c r="B1035" s="280" t="s">
        <v>362</v>
      </c>
      <c r="C1035" s="283">
        <v>44521.0</v>
      </c>
      <c r="D1035" s="283">
        <v>44550.0</v>
      </c>
      <c r="E1035" s="280" t="s">
        <v>268</v>
      </c>
      <c r="F1035" s="138" t="s">
        <v>4</v>
      </c>
      <c r="G1035" s="280" t="s">
        <v>9</v>
      </c>
      <c r="H1035" s="273" t="s">
        <v>1000</v>
      </c>
      <c r="I1035" s="281">
        <v>500.0</v>
      </c>
      <c r="J1035" s="280">
        <v>75.0</v>
      </c>
      <c r="K1035" s="271">
        <f t="shared" si="1"/>
        <v>37500</v>
      </c>
      <c r="L1035" s="280">
        <v>1471.0</v>
      </c>
      <c r="M1035" s="280">
        <v>-7896.0</v>
      </c>
      <c r="N1035" s="282">
        <v>606.44</v>
      </c>
      <c r="O1035" s="60"/>
      <c r="P1035" s="50">
        <v>606.0</v>
      </c>
      <c r="Q1035" s="280">
        <v>-1631.0</v>
      </c>
      <c r="R1035" s="276">
        <v>-0.00152</v>
      </c>
      <c r="S1035" s="280">
        <v>-1688.0</v>
      </c>
      <c r="T1035" s="280">
        <v>-1082.0</v>
      </c>
      <c r="U1035" s="62">
        <v>1.0</v>
      </c>
      <c r="V1035" s="277">
        <v>0.19</v>
      </c>
      <c r="W1035" s="277">
        <v>0.0</v>
      </c>
      <c r="X1035" s="280">
        <v>-876.0</v>
      </c>
      <c r="Y1035" s="280">
        <v>-205.0</v>
      </c>
      <c r="Z1035" s="50" t="b">
        <v>1</v>
      </c>
      <c r="AA1035" s="50" t="s">
        <v>140</v>
      </c>
      <c r="AB1035" s="50" t="s">
        <v>140</v>
      </c>
    </row>
    <row r="1036">
      <c r="A1036" s="280" t="s">
        <v>362</v>
      </c>
      <c r="B1036" s="280" t="s">
        <v>362</v>
      </c>
      <c r="C1036" s="283">
        <v>44521.0</v>
      </c>
      <c r="D1036" s="283">
        <v>44550.0</v>
      </c>
      <c r="E1036" s="280" t="s">
        <v>268</v>
      </c>
      <c r="F1036" s="138" t="s">
        <v>4</v>
      </c>
      <c r="G1036" s="280" t="s">
        <v>9</v>
      </c>
      <c r="H1036" s="273" t="s">
        <v>1001</v>
      </c>
      <c r="I1036" s="281">
        <v>500.0</v>
      </c>
      <c r="J1036" s="280">
        <v>6.0</v>
      </c>
      <c r="K1036" s="271">
        <f t="shared" si="1"/>
        <v>3000</v>
      </c>
      <c r="L1036" s="280">
        <v>-100.0</v>
      </c>
      <c r="M1036" s="280">
        <v>-564.0</v>
      </c>
      <c r="N1036" s="282">
        <v>48.52</v>
      </c>
      <c r="O1036" s="60"/>
      <c r="P1036" s="50">
        <v>49.0</v>
      </c>
      <c r="Q1036" s="280">
        <v>-390.0</v>
      </c>
      <c r="R1036" s="276">
        <v>-0.00152</v>
      </c>
      <c r="S1036" s="280">
        <v>-395.0</v>
      </c>
      <c r="T1036" s="280">
        <v>-346.0</v>
      </c>
      <c r="U1036" s="62">
        <v>1.0</v>
      </c>
      <c r="V1036" s="277">
        <v>0.19</v>
      </c>
      <c r="W1036" s="277">
        <v>0.0</v>
      </c>
      <c r="X1036" s="280">
        <v>-281.0</v>
      </c>
      <c r="Y1036" s="280">
        <v>-66.0</v>
      </c>
      <c r="Z1036" s="50" t="b">
        <v>1</v>
      </c>
      <c r="AA1036" s="50" t="s">
        <v>140</v>
      </c>
      <c r="AB1036" s="50" t="s">
        <v>140</v>
      </c>
    </row>
    <row r="1037">
      <c r="A1037" s="101" t="s">
        <v>416</v>
      </c>
      <c r="B1037" s="101" t="s">
        <v>416</v>
      </c>
      <c r="C1037" s="278">
        <v>44521.0</v>
      </c>
      <c r="D1037" s="278">
        <v>44550.0</v>
      </c>
      <c r="E1037" s="271" t="s">
        <v>268</v>
      </c>
      <c r="F1037" s="138" t="s">
        <v>4</v>
      </c>
      <c r="G1037" s="101" t="s">
        <v>22</v>
      </c>
      <c r="H1037" s="273" t="s">
        <v>51</v>
      </c>
      <c r="I1037" s="274">
        <v>10.0</v>
      </c>
      <c r="J1037" s="271">
        <v>2337.0</v>
      </c>
      <c r="K1037" s="271">
        <f t="shared" si="1"/>
        <v>23370</v>
      </c>
      <c r="L1037" s="271">
        <v>134230.0</v>
      </c>
      <c r="M1037" s="271">
        <v>540.0</v>
      </c>
      <c r="N1037" s="275"/>
      <c r="O1037" s="60"/>
      <c r="P1037" s="101"/>
      <c r="Q1037" s="271">
        <v>699.0</v>
      </c>
      <c r="R1037" s="276">
        <v>-0.00152</v>
      </c>
      <c r="S1037" s="271">
        <v>664.0</v>
      </c>
      <c r="T1037" s="271">
        <v>664.0</v>
      </c>
      <c r="U1037" s="62">
        <v>1.128</v>
      </c>
      <c r="V1037" s="277">
        <v>0.25</v>
      </c>
      <c r="W1037" s="277">
        <v>0.0</v>
      </c>
      <c r="X1037" s="271">
        <v>562.0</v>
      </c>
      <c r="Y1037" s="271">
        <v>187.0</v>
      </c>
      <c r="Z1037" s="50" t="b">
        <v>1</v>
      </c>
      <c r="AA1037" s="50" t="s">
        <v>138</v>
      </c>
      <c r="AB1037" s="50" t="s">
        <v>140</v>
      </c>
    </row>
    <row r="1038">
      <c r="A1038" s="101" t="s">
        <v>416</v>
      </c>
      <c r="B1038" s="101" t="s">
        <v>416</v>
      </c>
      <c r="C1038" s="278">
        <v>44521.0</v>
      </c>
      <c r="D1038" s="278">
        <v>44550.0</v>
      </c>
      <c r="E1038" s="271" t="s">
        <v>268</v>
      </c>
      <c r="F1038" s="138" t="s">
        <v>4</v>
      </c>
      <c r="G1038" s="101" t="s">
        <v>22</v>
      </c>
      <c r="H1038" s="273" t="s">
        <v>64</v>
      </c>
      <c r="I1038" s="274">
        <v>25.0</v>
      </c>
      <c r="J1038" s="271">
        <v>463.0</v>
      </c>
      <c r="K1038" s="271">
        <f t="shared" si="1"/>
        <v>11575</v>
      </c>
      <c r="L1038" s="271">
        <v>32405.0</v>
      </c>
      <c r="M1038" s="271">
        <v>950.0</v>
      </c>
      <c r="N1038" s="275"/>
      <c r="O1038" s="60"/>
      <c r="P1038" s="101"/>
      <c r="Q1038" s="271">
        <v>613.0</v>
      </c>
      <c r="R1038" s="276">
        <v>-0.00152</v>
      </c>
      <c r="S1038" s="271">
        <v>595.0</v>
      </c>
      <c r="T1038" s="271">
        <v>595.0</v>
      </c>
      <c r="U1038" s="62">
        <v>1.128</v>
      </c>
      <c r="V1038" s="277">
        <v>0.25</v>
      </c>
      <c r="W1038" s="277">
        <v>0.0</v>
      </c>
      <c r="X1038" s="271">
        <v>503.0</v>
      </c>
      <c r="Y1038" s="271">
        <v>168.0</v>
      </c>
      <c r="Z1038" s="50" t="b">
        <v>1</v>
      </c>
      <c r="AA1038" s="50" t="s">
        <v>138</v>
      </c>
      <c r="AB1038" s="50" t="s">
        <v>140</v>
      </c>
    </row>
    <row r="1039">
      <c r="A1039" s="101" t="s">
        <v>416</v>
      </c>
      <c r="B1039" s="101" t="s">
        <v>190</v>
      </c>
      <c r="C1039" s="278">
        <v>44521.0</v>
      </c>
      <c r="D1039" s="278">
        <v>44550.0</v>
      </c>
      <c r="E1039" s="271" t="s">
        <v>268</v>
      </c>
      <c r="F1039" s="138" t="s">
        <v>4</v>
      </c>
      <c r="G1039" s="271" t="s">
        <v>5</v>
      </c>
      <c r="H1039" s="273" t="s">
        <v>45</v>
      </c>
      <c r="I1039" s="274">
        <v>10.0</v>
      </c>
      <c r="J1039" s="271">
        <v>486.0</v>
      </c>
      <c r="K1039" s="271">
        <f t="shared" si="1"/>
        <v>4860</v>
      </c>
      <c r="L1039" s="271">
        <v>19928.0</v>
      </c>
      <c r="M1039" s="271">
        <v>-60.0</v>
      </c>
      <c r="N1039" s="275">
        <v>60.0</v>
      </c>
      <c r="O1039" s="60"/>
      <c r="P1039" s="50">
        <v>60.0</v>
      </c>
      <c r="Q1039" s="271">
        <v>69.0</v>
      </c>
      <c r="R1039" s="276">
        <v>-0.00152</v>
      </c>
      <c r="S1039" s="271">
        <v>62.0</v>
      </c>
      <c r="T1039" s="271">
        <v>122.0</v>
      </c>
      <c r="U1039" s="62">
        <v>1.0</v>
      </c>
      <c r="V1039" s="277">
        <v>0.25</v>
      </c>
      <c r="W1039" s="277">
        <v>0.0</v>
      </c>
      <c r="X1039" s="271">
        <v>91.0</v>
      </c>
      <c r="Y1039" s="271">
        <v>30.0</v>
      </c>
      <c r="Z1039" s="50" t="b">
        <v>1</v>
      </c>
      <c r="AA1039" s="50" t="s">
        <v>138</v>
      </c>
      <c r="AB1039" s="50" t="s">
        <v>138</v>
      </c>
    </row>
    <row r="1040">
      <c r="A1040" s="280" t="s">
        <v>150</v>
      </c>
      <c r="B1040" s="280" t="s">
        <v>150</v>
      </c>
      <c r="C1040" s="288">
        <v>44521.0</v>
      </c>
      <c r="D1040" s="288">
        <v>44550.0</v>
      </c>
      <c r="E1040" s="280" t="s">
        <v>268</v>
      </c>
      <c r="F1040" s="101" t="s">
        <v>4</v>
      </c>
      <c r="G1040" s="280" t="s">
        <v>9</v>
      </c>
      <c r="H1040" s="273" t="s">
        <v>66</v>
      </c>
      <c r="I1040" s="281">
        <v>25.0</v>
      </c>
      <c r="J1040" s="280">
        <v>483.0</v>
      </c>
      <c r="K1040" s="271">
        <f t="shared" si="1"/>
        <v>12075</v>
      </c>
      <c r="L1040" s="280">
        <v>23119.0</v>
      </c>
      <c r="M1040" s="280">
        <v>226.0</v>
      </c>
      <c r="N1040" s="282">
        <v>565.0</v>
      </c>
      <c r="O1040" s="60"/>
      <c r="P1040" s="50">
        <v>565.0</v>
      </c>
      <c r="Q1040" s="280">
        <v>67.0</v>
      </c>
      <c r="R1040" s="276">
        <v>-0.00152</v>
      </c>
      <c r="S1040" s="280">
        <v>48.0</v>
      </c>
      <c r="T1040" s="280">
        <v>613.0</v>
      </c>
      <c r="U1040" s="62">
        <v>1.0</v>
      </c>
      <c r="V1040" s="277">
        <v>0.3</v>
      </c>
      <c r="W1040" s="277">
        <v>0.0</v>
      </c>
      <c r="X1040" s="280">
        <v>429.0</v>
      </c>
      <c r="Y1040" s="280">
        <v>184.0</v>
      </c>
      <c r="Z1040" s="50" t="b">
        <v>1</v>
      </c>
      <c r="AA1040" s="50" t="s">
        <v>140</v>
      </c>
      <c r="AB1040" s="50" t="s">
        <v>140</v>
      </c>
    </row>
    <row r="1041">
      <c r="A1041" s="280" t="s">
        <v>459</v>
      </c>
      <c r="B1041" s="280" t="s">
        <v>145</v>
      </c>
      <c r="C1041" s="283">
        <v>44531.0</v>
      </c>
      <c r="D1041" s="283">
        <v>44550.0</v>
      </c>
      <c r="E1041" s="280" t="s">
        <v>331</v>
      </c>
      <c r="F1041" s="138" t="s">
        <v>8</v>
      </c>
      <c r="G1041" s="280" t="s">
        <v>9</v>
      </c>
      <c r="H1041" s="273" t="s">
        <v>89</v>
      </c>
      <c r="I1041" s="281">
        <v>100.0</v>
      </c>
      <c r="J1041" s="280">
        <v>1024.0</v>
      </c>
      <c r="K1041" s="271">
        <f t="shared" si="1"/>
        <v>102400</v>
      </c>
      <c r="L1041" s="280">
        <v>39112.0</v>
      </c>
      <c r="M1041" s="280">
        <v>200.0</v>
      </c>
      <c r="N1041" s="282">
        <v>3600.0</v>
      </c>
      <c r="O1041" s="60"/>
      <c r="P1041" s="109">
        <v>3600.0</v>
      </c>
      <c r="Q1041" s="280">
        <v>-1973.0</v>
      </c>
      <c r="R1041" s="276">
        <v>-0.004369</v>
      </c>
      <c r="S1041" s="280">
        <v>-2420.0</v>
      </c>
      <c r="T1041" s="280">
        <v>1180.0</v>
      </c>
      <c r="U1041" s="62">
        <v>1.0</v>
      </c>
      <c r="V1041" s="277">
        <v>0.15</v>
      </c>
      <c r="W1041" s="277">
        <v>0.1</v>
      </c>
      <c r="X1041" s="280">
        <v>885.0</v>
      </c>
      <c r="Y1041" s="280">
        <v>295.0</v>
      </c>
      <c r="Z1041" s="50" t="b">
        <v>1</v>
      </c>
      <c r="AA1041" s="50" t="s">
        <v>140</v>
      </c>
      <c r="AB1041" s="50" t="s">
        <v>140</v>
      </c>
    </row>
    <row r="1042">
      <c r="A1042" s="280" t="s">
        <v>693</v>
      </c>
      <c r="B1042" s="280" t="s">
        <v>159</v>
      </c>
      <c r="C1042" s="283">
        <v>44531.0</v>
      </c>
      <c r="D1042" s="283">
        <v>44550.0</v>
      </c>
      <c r="E1042" s="280" t="s">
        <v>268</v>
      </c>
      <c r="F1042" s="138" t="s">
        <v>8</v>
      </c>
      <c r="G1042" s="280" t="s">
        <v>9</v>
      </c>
      <c r="H1042" s="273" t="s">
        <v>42</v>
      </c>
      <c r="I1042" s="281">
        <v>5.0</v>
      </c>
      <c r="J1042" s="280">
        <v>1.0</v>
      </c>
      <c r="K1042" s="271">
        <f t="shared" si="1"/>
        <v>5</v>
      </c>
      <c r="L1042" s="280">
        <v>-387.0</v>
      </c>
      <c r="M1042" s="280">
        <v>-5.0</v>
      </c>
      <c r="N1042" s="282">
        <v>5.23</v>
      </c>
      <c r="O1042" s="60"/>
      <c r="P1042" s="50">
        <v>5.0</v>
      </c>
      <c r="Q1042" s="280">
        <v>-4.0</v>
      </c>
      <c r="R1042" s="276">
        <v>-0.011078</v>
      </c>
      <c r="S1042" s="280">
        <v>-4.0</v>
      </c>
      <c r="T1042" s="280">
        <v>1.0</v>
      </c>
      <c r="U1042" s="62">
        <v>1.0</v>
      </c>
      <c r="V1042" s="277">
        <v>0.17</v>
      </c>
      <c r="W1042" s="277">
        <v>0.0</v>
      </c>
      <c r="X1042" s="280">
        <v>1.0</v>
      </c>
      <c r="Y1042" s="280">
        <v>0.0</v>
      </c>
      <c r="Z1042" s="50" t="b">
        <v>1</v>
      </c>
      <c r="AA1042" s="50" t="s">
        <v>140</v>
      </c>
      <c r="AB1042" s="50" t="s">
        <v>140</v>
      </c>
    </row>
    <row r="1043">
      <c r="A1043" s="280" t="s">
        <v>693</v>
      </c>
      <c r="B1043" s="280" t="s">
        <v>159</v>
      </c>
      <c r="C1043" s="283">
        <v>44531.0</v>
      </c>
      <c r="D1043" s="283">
        <v>44550.0</v>
      </c>
      <c r="E1043" s="280" t="s">
        <v>268</v>
      </c>
      <c r="F1043" s="138" t="s">
        <v>8</v>
      </c>
      <c r="G1043" s="280" t="s">
        <v>9</v>
      </c>
      <c r="H1043" s="273" t="s">
        <v>53</v>
      </c>
      <c r="I1043" s="281">
        <v>10.0</v>
      </c>
      <c r="J1043" s="280">
        <v>697.0</v>
      </c>
      <c r="K1043" s="271">
        <f t="shared" si="1"/>
        <v>6970</v>
      </c>
      <c r="L1043" s="280">
        <v>49432.0</v>
      </c>
      <c r="M1043" s="280">
        <v>-120.0</v>
      </c>
      <c r="N1043" s="282">
        <v>104.77</v>
      </c>
      <c r="O1043" s="60"/>
      <c r="P1043" s="50">
        <v>105.0</v>
      </c>
      <c r="Q1043" s="280">
        <v>265.0</v>
      </c>
      <c r="R1043" s="276">
        <v>-0.004511</v>
      </c>
      <c r="S1043" s="280">
        <v>234.0</v>
      </c>
      <c r="T1043" s="280">
        <v>339.0</v>
      </c>
      <c r="U1043" s="62">
        <v>1.0</v>
      </c>
      <c r="V1043" s="277">
        <v>0.17</v>
      </c>
      <c r="W1043" s="277">
        <v>0.0</v>
      </c>
      <c r="X1043" s="280">
        <v>281.0</v>
      </c>
      <c r="Y1043" s="280">
        <v>58.0</v>
      </c>
      <c r="Z1043" s="50" t="b">
        <v>1</v>
      </c>
      <c r="AA1043" s="50" t="s">
        <v>140</v>
      </c>
      <c r="AB1043" s="50" t="s">
        <v>140</v>
      </c>
    </row>
    <row r="1044">
      <c r="A1044" s="280" t="s">
        <v>693</v>
      </c>
      <c r="B1044" s="280" t="s">
        <v>159</v>
      </c>
      <c r="C1044" s="283">
        <v>44531.0</v>
      </c>
      <c r="D1044" s="283">
        <v>44550.0</v>
      </c>
      <c r="E1044" s="280" t="s">
        <v>268</v>
      </c>
      <c r="F1044" s="138" t="s">
        <v>8</v>
      </c>
      <c r="G1044" s="280" t="s">
        <v>9</v>
      </c>
      <c r="H1044" s="273" t="s">
        <v>66</v>
      </c>
      <c r="I1044" s="281">
        <v>25.0</v>
      </c>
      <c r="J1044" s="280">
        <v>442.0</v>
      </c>
      <c r="K1044" s="271">
        <f t="shared" si="1"/>
        <v>11050</v>
      </c>
      <c r="L1044" s="280">
        <v>32612.0</v>
      </c>
      <c r="M1044" s="280">
        <v>-1050.0</v>
      </c>
      <c r="N1044" s="282">
        <v>0.0</v>
      </c>
      <c r="O1044" s="60"/>
      <c r="P1044" s="50">
        <v>0.0</v>
      </c>
      <c r="Q1044" s="280">
        <v>478.0</v>
      </c>
      <c r="R1044" s="276">
        <v>-0.004609</v>
      </c>
      <c r="S1044" s="280">
        <v>427.0</v>
      </c>
      <c r="T1044" s="280">
        <v>427.0</v>
      </c>
      <c r="U1044" s="62">
        <v>1.0</v>
      </c>
      <c r="V1044" s="277">
        <v>0.17</v>
      </c>
      <c r="W1044" s="277">
        <v>0.0</v>
      </c>
      <c r="X1044" s="280">
        <v>354.0</v>
      </c>
      <c r="Y1044" s="280">
        <v>73.0</v>
      </c>
      <c r="Z1044" s="50" t="b">
        <v>1</v>
      </c>
      <c r="AA1044" s="50" t="s">
        <v>140</v>
      </c>
      <c r="AB1044" s="50" t="s">
        <v>140</v>
      </c>
    </row>
    <row r="1045">
      <c r="A1045" s="101" t="s">
        <v>505</v>
      </c>
      <c r="B1045" s="271" t="s">
        <v>166</v>
      </c>
      <c r="C1045" s="278">
        <v>44521.0</v>
      </c>
      <c r="D1045" s="278">
        <v>44550.0</v>
      </c>
      <c r="E1045" s="271" t="s">
        <v>268</v>
      </c>
      <c r="F1045" s="101" t="s">
        <v>4</v>
      </c>
      <c r="G1045" s="271" t="s">
        <v>5</v>
      </c>
      <c r="H1045" s="273" t="s">
        <v>35</v>
      </c>
      <c r="I1045" s="281">
        <v>5.0</v>
      </c>
      <c r="J1045" s="280">
        <v>28.0</v>
      </c>
      <c r="K1045" s="271">
        <f t="shared" si="1"/>
        <v>140</v>
      </c>
      <c r="L1045" s="280">
        <v>846.0</v>
      </c>
      <c r="M1045" s="280">
        <v>50.0</v>
      </c>
      <c r="N1045" s="275">
        <v>4.0</v>
      </c>
      <c r="O1045" s="60"/>
      <c r="P1045" s="50">
        <v>4.0</v>
      </c>
      <c r="Q1045" s="280">
        <v>-5.0</v>
      </c>
      <c r="R1045" s="276">
        <v>-0.00152</v>
      </c>
      <c r="S1045" s="280">
        <v>-5.0</v>
      </c>
      <c r="T1045" s="280">
        <v>-1.0</v>
      </c>
      <c r="U1045" s="62">
        <v>1.0</v>
      </c>
      <c r="V1045" s="277">
        <v>0.3</v>
      </c>
      <c r="W1045" s="277">
        <v>0.0</v>
      </c>
      <c r="X1045" s="280">
        <v>-1.0</v>
      </c>
      <c r="Y1045" s="280">
        <v>0.0</v>
      </c>
      <c r="Z1045" s="50" t="b">
        <v>1</v>
      </c>
      <c r="AA1045" s="50" t="s">
        <v>138</v>
      </c>
      <c r="AB1045" s="50" t="s">
        <v>138</v>
      </c>
    </row>
    <row r="1046">
      <c r="A1046" s="101" t="s">
        <v>505</v>
      </c>
      <c r="B1046" s="271" t="s">
        <v>166</v>
      </c>
      <c r="C1046" s="278">
        <v>44521.0</v>
      </c>
      <c r="D1046" s="278">
        <v>44550.0</v>
      </c>
      <c r="E1046" s="271" t="s">
        <v>268</v>
      </c>
      <c r="F1046" s="101" t="s">
        <v>4</v>
      </c>
      <c r="G1046" s="271" t="s">
        <v>5</v>
      </c>
      <c r="H1046" s="273" t="s">
        <v>45</v>
      </c>
      <c r="I1046" s="281">
        <v>10.0</v>
      </c>
      <c r="J1046" s="280">
        <v>1659.0</v>
      </c>
      <c r="K1046" s="271">
        <f t="shared" si="1"/>
        <v>16590</v>
      </c>
      <c r="L1046" s="280">
        <v>70016.0</v>
      </c>
      <c r="M1046" s="280">
        <v>90.0</v>
      </c>
      <c r="N1046" s="275">
        <v>321.0</v>
      </c>
      <c r="O1046" s="60"/>
      <c r="P1046" s="50">
        <v>321.0</v>
      </c>
      <c r="Q1046" s="280">
        <v>57.0</v>
      </c>
      <c r="R1046" s="276">
        <v>-0.00152</v>
      </c>
      <c r="S1046" s="280">
        <v>31.0</v>
      </c>
      <c r="T1046" s="280">
        <v>352.0</v>
      </c>
      <c r="U1046" s="62">
        <v>1.0</v>
      </c>
      <c r="V1046" s="277">
        <v>0.3</v>
      </c>
      <c r="W1046" s="277">
        <v>0.0</v>
      </c>
      <c r="X1046" s="280">
        <v>247.0</v>
      </c>
      <c r="Y1046" s="280">
        <v>106.0</v>
      </c>
      <c r="Z1046" s="50" t="b">
        <v>1</v>
      </c>
      <c r="AA1046" s="50" t="s">
        <v>138</v>
      </c>
      <c r="AB1046" s="50" t="s">
        <v>138</v>
      </c>
    </row>
    <row r="1047">
      <c r="A1047" s="101" t="s">
        <v>197</v>
      </c>
      <c r="B1047" s="101" t="s">
        <v>197</v>
      </c>
      <c r="C1047" s="278">
        <v>44531.0</v>
      </c>
      <c r="D1047" s="278">
        <v>44550.0</v>
      </c>
      <c r="E1047" s="280" t="s">
        <v>268</v>
      </c>
      <c r="F1047" s="138" t="s">
        <v>8</v>
      </c>
      <c r="G1047" s="271" t="s">
        <v>5</v>
      </c>
      <c r="H1047" s="273" t="s">
        <v>48</v>
      </c>
      <c r="I1047" s="274">
        <v>10.0</v>
      </c>
      <c r="J1047" s="271">
        <v>1359.0</v>
      </c>
      <c r="K1047" s="271">
        <f t="shared" si="1"/>
        <v>13590</v>
      </c>
      <c r="L1047" s="271">
        <v>15763.0</v>
      </c>
      <c r="M1047" s="271">
        <v>-1100.0</v>
      </c>
      <c r="N1047" s="275">
        <v>350.0</v>
      </c>
      <c r="O1047" s="60"/>
      <c r="P1047" s="50">
        <v>350.0</v>
      </c>
      <c r="Q1047" s="271">
        <v>-524.0</v>
      </c>
      <c r="R1047" s="276">
        <v>-0.004286</v>
      </c>
      <c r="S1047" s="271">
        <v>-582.0</v>
      </c>
      <c r="T1047" s="271">
        <v>-232.0</v>
      </c>
      <c r="U1047" s="62">
        <v>1.0</v>
      </c>
      <c r="V1047" s="277">
        <v>0.25</v>
      </c>
      <c r="W1047" s="277">
        <v>0.0</v>
      </c>
      <c r="X1047" s="271">
        <v>-174.0</v>
      </c>
      <c r="Y1047" s="271">
        <v>-58.0</v>
      </c>
      <c r="Z1047" s="50" t="b">
        <v>1</v>
      </c>
      <c r="AA1047" s="50" t="s">
        <v>138</v>
      </c>
      <c r="AB1047" s="50" t="s">
        <v>138</v>
      </c>
    </row>
    <row r="1048">
      <c r="A1048" s="101" t="s">
        <v>197</v>
      </c>
      <c r="B1048" s="101" t="s">
        <v>197</v>
      </c>
      <c r="C1048" s="278">
        <v>44531.0</v>
      </c>
      <c r="D1048" s="278">
        <v>44550.0</v>
      </c>
      <c r="E1048" s="280" t="s">
        <v>268</v>
      </c>
      <c r="F1048" s="138" t="s">
        <v>8</v>
      </c>
      <c r="G1048" s="271" t="s">
        <v>5</v>
      </c>
      <c r="H1048" s="273" t="s">
        <v>45</v>
      </c>
      <c r="I1048" s="274">
        <v>10.0</v>
      </c>
      <c r="J1048" s="271">
        <v>5.0</v>
      </c>
      <c r="K1048" s="271">
        <f t="shared" si="1"/>
        <v>50</v>
      </c>
      <c r="L1048" s="271">
        <v>-1027.0</v>
      </c>
      <c r="M1048" s="271">
        <v>-20.0</v>
      </c>
      <c r="N1048" s="275">
        <v>1.0</v>
      </c>
      <c r="O1048" s="60"/>
      <c r="P1048" s="50">
        <v>1.0</v>
      </c>
      <c r="Q1048" s="271">
        <v>-23.0</v>
      </c>
      <c r="R1048" s="276">
        <v>-0.009235</v>
      </c>
      <c r="S1048" s="271">
        <v>-23.0</v>
      </c>
      <c r="T1048" s="271">
        <v>-22.0</v>
      </c>
      <c r="U1048" s="62">
        <v>1.0</v>
      </c>
      <c r="V1048" s="277">
        <v>0.25</v>
      </c>
      <c r="W1048" s="277">
        <v>0.0</v>
      </c>
      <c r="X1048" s="271">
        <v>-17.0</v>
      </c>
      <c r="Y1048" s="271">
        <v>-6.0</v>
      </c>
      <c r="Z1048" s="50" t="b">
        <v>1</v>
      </c>
      <c r="AA1048" s="50" t="s">
        <v>138</v>
      </c>
      <c r="AB1048" s="50" t="s">
        <v>138</v>
      </c>
    </row>
    <row r="1049">
      <c r="A1049" s="101" t="s">
        <v>197</v>
      </c>
      <c r="B1049" s="101" t="s">
        <v>197</v>
      </c>
      <c r="C1049" s="278">
        <v>44531.0</v>
      </c>
      <c r="D1049" s="278">
        <v>44550.0</v>
      </c>
      <c r="E1049" s="280" t="s">
        <v>268</v>
      </c>
      <c r="F1049" s="138" t="s">
        <v>8</v>
      </c>
      <c r="G1049" s="271" t="s">
        <v>5</v>
      </c>
      <c r="H1049" s="273" t="s">
        <v>74</v>
      </c>
      <c r="I1049" s="274">
        <v>50.0</v>
      </c>
      <c r="J1049" s="271">
        <v>60.0</v>
      </c>
      <c r="K1049" s="271">
        <f t="shared" si="1"/>
        <v>3000</v>
      </c>
      <c r="L1049" s="289">
        <v>2002.0</v>
      </c>
      <c r="M1049" s="289">
        <v>700.0</v>
      </c>
      <c r="N1049" s="275">
        <v>66.0</v>
      </c>
      <c r="O1049" s="60"/>
      <c r="P1049" s="50">
        <v>66.0</v>
      </c>
      <c r="Q1049" s="289">
        <v>-6.0</v>
      </c>
      <c r="R1049" s="276">
        <v>-0.004538</v>
      </c>
      <c r="S1049" s="289">
        <v>-20.0</v>
      </c>
      <c r="T1049" s="289">
        <v>46.0</v>
      </c>
      <c r="U1049" s="62">
        <v>1.0</v>
      </c>
      <c r="V1049" s="277">
        <v>0.25</v>
      </c>
      <c r="W1049" s="277">
        <v>0.0</v>
      </c>
      <c r="X1049" s="289">
        <v>35.0</v>
      </c>
      <c r="Y1049" s="289">
        <v>12.0</v>
      </c>
      <c r="Z1049" s="50" t="b">
        <v>1</v>
      </c>
      <c r="AA1049" s="50" t="s">
        <v>138</v>
      </c>
      <c r="AB1049" s="50" t="s">
        <v>138</v>
      </c>
    </row>
    <row r="1050">
      <c r="A1050" s="101" t="s">
        <v>197</v>
      </c>
      <c r="B1050" s="101" t="s">
        <v>197</v>
      </c>
      <c r="C1050" s="278">
        <v>44531.0</v>
      </c>
      <c r="D1050" s="278">
        <v>44550.0</v>
      </c>
      <c r="E1050" s="280" t="s">
        <v>268</v>
      </c>
      <c r="F1050" s="138" t="s">
        <v>8</v>
      </c>
      <c r="G1050" s="271" t="s">
        <v>5</v>
      </c>
      <c r="H1050" s="273" t="s">
        <v>62</v>
      </c>
      <c r="I1050" s="274">
        <v>25.0</v>
      </c>
      <c r="J1050" s="271">
        <v>730.0</v>
      </c>
      <c r="K1050" s="271">
        <f t="shared" si="1"/>
        <v>18250</v>
      </c>
      <c r="L1050" s="289">
        <v>31388.0</v>
      </c>
      <c r="M1050" s="289">
        <v>1375.0</v>
      </c>
      <c r="N1050" s="275">
        <v>404.0</v>
      </c>
      <c r="O1050" s="60"/>
      <c r="P1050" s="50">
        <v>404.0</v>
      </c>
      <c r="Q1050" s="289">
        <v>287.0</v>
      </c>
      <c r="R1050" s="276">
        <v>-0.004552</v>
      </c>
      <c r="S1050" s="289">
        <v>204.0</v>
      </c>
      <c r="T1050" s="289">
        <v>608.0</v>
      </c>
      <c r="U1050" s="62">
        <v>1.0</v>
      </c>
      <c r="V1050" s="277">
        <v>0.25</v>
      </c>
      <c r="W1050" s="277">
        <v>0.0</v>
      </c>
      <c r="X1050" s="289">
        <v>456.0</v>
      </c>
      <c r="Y1050" s="289">
        <v>152.0</v>
      </c>
      <c r="Z1050" s="50" t="b">
        <v>1</v>
      </c>
      <c r="AA1050" s="50" t="s">
        <v>138</v>
      </c>
      <c r="AB1050" s="50" t="s">
        <v>138</v>
      </c>
    </row>
    <row r="1051">
      <c r="A1051" s="101" t="s">
        <v>197</v>
      </c>
      <c r="B1051" s="101" t="s">
        <v>197</v>
      </c>
      <c r="C1051" s="278">
        <v>44531.0</v>
      </c>
      <c r="D1051" s="278">
        <v>44550.0</v>
      </c>
      <c r="E1051" s="280" t="s">
        <v>268</v>
      </c>
      <c r="F1051" s="138" t="s">
        <v>12</v>
      </c>
      <c r="G1051" s="271" t="s">
        <v>5</v>
      </c>
      <c r="H1051" s="273" t="s">
        <v>37</v>
      </c>
      <c r="I1051" s="274">
        <v>5.0</v>
      </c>
      <c r="J1051" s="271">
        <v>24.0</v>
      </c>
      <c r="K1051" s="271">
        <f t="shared" si="1"/>
        <v>120</v>
      </c>
      <c r="L1051" s="271"/>
      <c r="M1051" s="271">
        <v>-20.0</v>
      </c>
      <c r="N1051" s="275">
        <v>3.0</v>
      </c>
      <c r="O1051" s="60"/>
      <c r="P1051" s="50">
        <v>3.0</v>
      </c>
      <c r="Q1051" s="271"/>
      <c r="R1051" s="276">
        <v>0.0</v>
      </c>
      <c r="S1051" s="271"/>
      <c r="T1051" s="271">
        <v>-17.0</v>
      </c>
      <c r="U1051" s="62">
        <v>1.0</v>
      </c>
      <c r="V1051" s="277">
        <v>0.25</v>
      </c>
      <c r="W1051" s="277">
        <v>0.0</v>
      </c>
      <c r="X1051" s="271">
        <v>-13.0</v>
      </c>
      <c r="Y1051" s="271">
        <v>-4.0</v>
      </c>
      <c r="Z1051" s="50" t="b">
        <v>1</v>
      </c>
      <c r="AA1051" s="50" t="s">
        <v>138</v>
      </c>
      <c r="AB1051" s="50" t="s">
        <v>138</v>
      </c>
    </row>
    <row r="1052">
      <c r="A1052" s="280" t="s">
        <v>199</v>
      </c>
      <c r="B1052" s="280" t="s">
        <v>1003</v>
      </c>
      <c r="C1052" s="283">
        <v>44521.0</v>
      </c>
      <c r="D1052" s="283">
        <v>44550.0</v>
      </c>
      <c r="E1052" s="280" t="s">
        <v>268</v>
      </c>
      <c r="F1052" s="138" t="s">
        <v>4</v>
      </c>
      <c r="G1052" s="280" t="s">
        <v>9</v>
      </c>
      <c r="H1052" s="273" t="s">
        <v>53</v>
      </c>
      <c r="I1052" s="281">
        <v>10.0</v>
      </c>
      <c r="J1052" s="280">
        <v>1335.0</v>
      </c>
      <c r="K1052" s="271">
        <f t="shared" si="1"/>
        <v>13350</v>
      </c>
      <c r="L1052" s="280">
        <v>82390.0</v>
      </c>
      <c r="M1052" s="280">
        <v>11.0</v>
      </c>
      <c r="N1052" s="282">
        <v>190.0</v>
      </c>
      <c r="O1052" s="60"/>
      <c r="P1052" s="50">
        <v>190.0</v>
      </c>
      <c r="Q1052" s="280">
        <v>331.0</v>
      </c>
      <c r="R1052" s="276">
        <v>-0.00152</v>
      </c>
      <c r="S1052" s="280">
        <v>310.0</v>
      </c>
      <c r="T1052" s="280">
        <v>500.0</v>
      </c>
      <c r="U1052" s="62">
        <v>1.0</v>
      </c>
      <c r="V1052" s="277">
        <v>0.2</v>
      </c>
      <c r="W1052" s="277">
        <v>0.0</v>
      </c>
      <c r="X1052" s="280">
        <v>400.0</v>
      </c>
      <c r="Y1052" s="280">
        <v>100.0</v>
      </c>
      <c r="Z1052" s="50" t="b">
        <v>1</v>
      </c>
      <c r="AA1052" s="50" t="s">
        <v>140</v>
      </c>
      <c r="AB1052" s="50" t="s">
        <v>140</v>
      </c>
    </row>
    <row r="1053">
      <c r="A1053" s="101" t="s">
        <v>546</v>
      </c>
      <c r="B1053" s="101" t="s">
        <v>202</v>
      </c>
      <c r="C1053" s="278">
        <v>44521.0</v>
      </c>
      <c r="D1053" s="278">
        <v>44550.0</v>
      </c>
      <c r="E1053" s="271" t="s">
        <v>331</v>
      </c>
      <c r="F1053" s="138" t="s">
        <v>4</v>
      </c>
      <c r="G1053" s="271" t="s">
        <v>13</v>
      </c>
      <c r="H1053" s="273" t="s">
        <v>74</v>
      </c>
      <c r="I1053" s="274">
        <v>50.0</v>
      </c>
      <c r="J1053" s="271">
        <v>9.0</v>
      </c>
      <c r="K1053" s="271">
        <f t="shared" si="1"/>
        <v>450</v>
      </c>
      <c r="L1053" s="271">
        <v>-519.0</v>
      </c>
      <c r="M1053" s="271">
        <v>-200.0</v>
      </c>
      <c r="N1053" s="275">
        <v>27.14</v>
      </c>
      <c r="O1053" s="60"/>
      <c r="P1053" s="50">
        <v>27.0</v>
      </c>
      <c r="Q1053" s="271">
        <v>-108.0</v>
      </c>
      <c r="R1053" s="276">
        <v>-0.00152</v>
      </c>
      <c r="S1053" s="271">
        <v>-108.0</v>
      </c>
      <c r="T1053" s="271">
        <v>-81.0</v>
      </c>
      <c r="U1053" s="62">
        <v>1.0</v>
      </c>
      <c r="V1053" s="277">
        <v>0.11</v>
      </c>
      <c r="W1053" s="277">
        <v>0.03</v>
      </c>
      <c r="X1053" s="271">
        <v>-70.0</v>
      </c>
      <c r="Y1053" s="271">
        <v>-11.0</v>
      </c>
      <c r="Z1053" s="50" t="b">
        <v>1</v>
      </c>
      <c r="AA1053" s="50" t="s">
        <v>138</v>
      </c>
      <c r="AB1053" s="50" t="s">
        <v>138</v>
      </c>
    </row>
    <row r="1054">
      <c r="A1054" s="101" t="s">
        <v>546</v>
      </c>
      <c r="B1054" s="101" t="s">
        <v>202</v>
      </c>
      <c r="C1054" s="278">
        <v>44521.0</v>
      </c>
      <c r="D1054" s="278">
        <v>44550.0</v>
      </c>
      <c r="E1054" s="271" t="s">
        <v>331</v>
      </c>
      <c r="F1054" s="138" t="s">
        <v>4</v>
      </c>
      <c r="G1054" s="271" t="s">
        <v>13</v>
      </c>
      <c r="H1054" s="273" t="s">
        <v>85</v>
      </c>
      <c r="I1054" s="274">
        <v>100.0</v>
      </c>
      <c r="J1054" s="271">
        <v>3208.0</v>
      </c>
      <c r="K1054" s="271">
        <f t="shared" si="1"/>
        <v>320800</v>
      </c>
      <c r="L1054" s="271">
        <v>7864.0</v>
      </c>
      <c r="M1054" s="271">
        <v>-18300.0</v>
      </c>
      <c r="N1054" s="275">
        <v>19348.36</v>
      </c>
      <c r="O1054" s="60"/>
      <c r="P1054" s="109">
        <v>19348.0</v>
      </c>
      <c r="Q1054" s="271">
        <v>-20928.0</v>
      </c>
      <c r="R1054" s="276">
        <v>-0.00152</v>
      </c>
      <c r="S1054" s="271">
        <v>-21416.0</v>
      </c>
      <c r="T1054" s="271">
        <v>-2067.0</v>
      </c>
      <c r="U1054" s="62">
        <v>1.0</v>
      </c>
      <c r="V1054" s="277">
        <v>0.11</v>
      </c>
      <c r="W1054" s="277">
        <v>0.03</v>
      </c>
      <c r="X1054" s="271">
        <v>-1778.0</v>
      </c>
      <c r="Y1054" s="271">
        <v>-289.0</v>
      </c>
      <c r="Z1054" s="50" t="b">
        <v>1</v>
      </c>
      <c r="AA1054" s="50" t="s">
        <v>138</v>
      </c>
      <c r="AB1054" s="50" t="s">
        <v>138</v>
      </c>
    </row>
    <row r="1055">
      <c r="A1055" s="101" t="s">
        <v>546</v>
      </c>
      <c r="B1055" s="101" t="s">
        <v>202</v>
      </c>
      <c r="C1055" s="278">
        <v>44521.0</v>
      </c>
      <c r="D1055" s="278">
        <v>44550.0</v>
      </c>
      <c r="E1055" s="271" t="s">
        <v>331</v>
      </c>
      <c r="F1055" s="138" t="s">
        <v>4</v>
      </c>
      <c r="G1055" s="271" t="s">
        <v>13</v>
      </c>
      <c r="H1055" s="273" t="s">
        <v>93</v>
      </c>
      <c r="I1055" s="274">
        <v>200.0</v>
      </c>
      <c r="J1055" s="271">
        <v>5330.0</v>
      </c>
      <c r="K1055" s="271">
        <f t="shared" si="1"/>
        <v>1066000</v>
      </c>
      <c r="L1055" s="271">
        <v>32907.0</v>
      </c>
      <c r="M1055" s="271">
        <v>-67200.0</v>
      </c>
      <c r="N1055" s="275">
        <v>64293.5</v>
      </c>
      <c r="O1055" s="60"/>
      <c r="P1055" s="109">
        <v>64294.0</v>
      </c>
      <c r="Q1055" s="271">
        <v>-58127.0</v>
      </c>
      <c r="R1055" s="276">
        <v>-0.00152</v>
      </c>
      <c r="S1055" s="271">
        <v>-59748.0</v>
      </c>
      <c r="T1055" s="271">
        <v>4546.0</v>
      </c>
      <c r="U1055" s="62">
        <v>1.0</v>
      </c>
      <c r="V1055" s="277">
        <v>0.11</v>
      </c>
      <c r="W1055" s="277">
        <v>0.03</v>
      </c>
      <c r="X1055" s="271">
        <v>3909.0</v>
      </c>
      <c r="Y1055" s="271">
        <v>636.0</v>
      </c>
      <c r="Z1055" s="50" t="b">
        <v>1</v>
      </c>
      <c r="AA1055" s="50" t="s">
        <v>138</v>
      </c>
      <c r="AB1055" s="50" t="s">
        <v>138</v>
      </c>
    </row>
    <row r="1056">
      <c r="A1056" s="101" t="s">
        <v>160</v>
      </c>
      <c r="B1056" s="101" t="s">
        <v>160</v>
      </c>
      <c r="C1056" s="278">
        <v>44521.0</v>
      </c>
      <c r="D1056" s="278">
        <v>44550.0</v>
      </c>
      <c r="E1056" s="271" t="s">
        <v>268</v>
      </c>
      <c r="F1056" s="138" t="s">
        <v>4</v>
      </c>
      <c r="G1056" s="101" t="s">
        <v>5</v>
      </c>
      <c r="H1056" s="273" t="s">
        <v>35</v>
      </c>
      <c r="I1056" s="274">
        <v>5.0</v>
      </c>
      <c r="J1056" s="271">
        <v>1.0</v>
      </c>
      <c r="K1056" s="271">
        <f t="shared" si="1"/>
        <v>5</v>
      </c>
      <c r="L1056" s="271">
        <v>159.0</v>
      </c>
      <c r="M1056" s="271">
        <v>10.0</v>
      </c>
      <c r="N1056" s="275"/>
      <c r="O1056" s="60"/>
      <c r="P1056" s="101"/>
      <c r="Q1056" s="271">
        <v>-5.0</v>
      </c>
      <c r="R1056" s="276">
        <v>-0.00152</v>
      </c>
      <c r="S1056" s="271">
        <v>-5.0</v>
      </c>
      <c r="T1056" s="271">
        <v>-5.0</v>
      </c>
      <c r="U1056" s="62">
        <v>1.0</v>
      </c>
      <c r="V1056" s="277">
        <v>0.3</v>
      </c>
      <c r="W1056" s="277">
        <v>0.0</v>
      </c>
      <c r="X1056" s="271">
        <v>-4.0</v>
      </c>
      <c r="Y1056" s="271">
        <v>-2.0</v>
      </c>
      <c r="Z1056" s="50" t="b">
        <v>1</v>
      </c>
      <c r="AA1056" s="50" t="s">
        <v>138</v>
      </c>
      <c r="AB1056" s="50" t="s">
        <v>138</v>
      </c>
    </row>
    <row r="1057">
      <c r="A1057" s="101" t="s">
        <v>160</v>
      </c>
      <c r="B1057" s="101" t="s">
        <v>160</v>
      </c>
      <c r="C1057" s="278">
        <v>44521.0</v>
      </c>
      <c r="D1057" s="278">
        <v>44550.0</v>
      </c>
      <c r="E1057" s="271" t="s">
        <v>268</v>
      </c>
      <c r="F1057" s="138" t="s">
        <v>4</v>
      </c>
      <c r="G1057" s="101" t="s">
        <v>5</v>
      </c>
      <c r="H1057" s="273" t="s">
        <v>45</v>
      </c>
      <c r="I1057" s="274">
        <v>10.0</v>
      </c>
      <c r="J1057" s="271">
        <v>2373.0</v>
      </c>
      <c r="K1057" s="271">
        <f t="shared" si="1"/>
        <v>23730</v>
      </c>
      <c r="L1057" s="271">
        <v>69748.0</v>
      </c>
      <c r="M1057" s="271">
        <v>-950.0</v>
      </c>
      <c r="N1057" s="275">
        <v>350.0</v>
      </c>
      <c r="O1057" s="60"/>
      <c r="P1057" s="50">
        <v>350.0</v>
      </c>
      <c r="Q1057" s="271">
        <v>-440.0</v>
      </c>
      <c r="R1057" s="276">
        <v>-0.00152</v>
      </c>
      <c r="S1057" s="271">
        <v>-476.0</v>
      </c>
      <c r="T1057" s="271">
        <v>-126.0</v>
      </c>
      <c r="U1057" s="62">
        <v>1.0</v>
      </c>
      <c r="V1057" s="277">
        <v>0.3</v>
      </c>
      <c r="W1057" s="277">
        <v>0.0</v>
      </c>
      <c r="X1057" s="271">
        <v>-88.0</v>
      </c>
      <c r="Y1057" s="271">
        <v>-38.0</v>
      </c>
      <c r="Z1057" s="50" t="b">
        <v>1</v>
      </c>
      <c r="AA1057" s="50" t="s">
        <v>138</v>
      </c>
      <c r="AB1057" s="50" t="s">
        <v>138</v>
      </c>
    </row>
    <row r="1058">
      <c r="A1058" s="101" t="s">
        <v>207</v>
      </c>
      <c r="B1058" s="101" t="s">
        <v>208</v>
      </c>
      <c r="C1058" s="278">
        <v>44521.0</v>
      </c>
      <c r="D1058" s="278">
        <v>44550.0</v>
      </c>
      <c r="E1058" s="271" t="s">
        <v>268</v>
      </c>
      <c r="F1058" s="138" t="s">
        <v>4</v>
      </c>
      <c r="G1058" s="101" t="s">
        <v>13</v>
      </c>
      <c r="H1058" s="273" t="s">
        <v>34</v>
      </c>
      <c r="I1058" s="274">
        <v>5.0</v>
      </c>
      <c r="J1058" s="271">
        <v>2060.0</v>
      </c>
      <c r="K1058" s="271">
        <f t="shared" si="1"/>
        <v>10300</v>
      </c>
      <c r="L1058" s="271">
        <v>39007.0</v>
      </c>
      <c r="M1058" s="271">
        <v>-100.0</v>
      </c>
      <c r="N1058" s="275">
        <v>500.0</v>
      </c>
      <c r="O1058" s="60"/>
      <c r="P1058" s="50">
        <v>500.0</v>
      </c>
      <c r="Q1058" s="271">
        <v>-194.0</v>
      </c>
      <c r="R1058" s="276">
        <v>-0.00152</v>
      </c>
      <c r="S1058" s="271">
        <v>-210.0</v>
      </c>
      <c r="T1058" s="271">
        <v>290.0</v>
      </c>
      <c r="U1058" s="62">
        <v>1.0</v>
      </c>
      <c r="V1058" s="277">
        <v>0.25</v>
      </c>
      <c r="W1058" s="277">
        <v>0.0</v>
      </c>
      <c r="X1058" s="271">
        <v>218.0</v>
      </c>
      <c r="Y1058" s="271">
        <v>73.0</v>
      </c>
      <c r="Z1058" s="50" t="b">
        <v>1</v>
      </c>
      <c r="AA1058" s="50" t="s">
        <v>138</v>
      </c>
      <c r="AB1058" s="50" t="s">
        <v>138</v>
      </c>
    </row>
    <row r="1059">
      <c r="A1059" s="101" t="s">
        <v>207</v>
      </c>
      <c r="B1059" s="101" t="s">
        <v>208</v>
      </c>
      <c r="C1059" s="278">
        <v>44521.0</v>
      </c>
      <c r="D1059" s="278">
        <v>44550.0</v>
      </c>
      <c r="E1059" s="271" t="s">
        <v>268</v>
      </c>
      <c r="F1059" s="138" t="s">
        <v>4</v>
      </c>
      <c r="G1059" s="101" t="s">
        <v>13</v>
      </c>
      <c r="H1059" s="273" t="s">
        <v>45</v>
      </c>
      <c r="I1059" s="274">
        <v>10.0</v>
      </c>
      <c r="J1059" s="271">
        <v>3297.0</v>
      </c>
      <c r="K1059" s="271">
        <f t="shared" si="1"/>
        <v>32970</v>
      </c>
      <c r="L1059" s="271">
        <v>54635.0</v>
      </c>
      <c r="M1059" s="271">
        <v>-1460.0</v>
      </c>
      <c r="N1059" s="275">
        <v>1500.0</v>
      </c>
      <c r="O1059" s="60"/>
      <c r="P1059" s="109">
        <v>1500.0</v>
      </c>
      <c r="Q1059" s="271">
        <v>-820.0</v>
      </c>
      <c r="R1059" s="276">
        <v>-0.00152</v>
      </c>
      <c r="S1059" s="271">
        <v>-870.0</v>
      </c>
      <c r="T1059" s="271">
        <v>630.0</v>
      </c>
      <c r="U1059" s="62">
        <v>1.0</v>
      </c>
      <c r="V1059" s="277">
        <v>0.25</v>
      </c>
      <c r="W1059" s="277">
        <v>0.0</v>
      </c>
      <c r="X1059" s="271">
        <v>472.0</v>
      </c>
      <c r="Y1059" s="271">
        <v>157.0</v>
      </c>
      <c r="Z1059" s="50" t="b">
        <v>1</v>
      </c>
      <c r="AA1059" s="50" t="s">
        <v>138</v>
      </c>
      <c r="AB1059" s="50" t="s">
        <v>138</v>
      </c>
    </row>
    <row r="1060">
      <c r="A1060" s="101" t="s">
        <v>207</v>
      </c>
      <c r="B1060" s="101" t="s">
        <v>208</v>
      </c>
      <c r="C1060" s="278">
        <v>44521.0</v>
      </c>
      <c r="D1060" s="278">
        <v>44550.0</v>
      </c>
      <c r="E1060" s="271" t="s">
        <v>268</v>
      </c>
      <c r="F1060" s="138" t="s">
        <v>4</v>
      </c>
      <c r="G1060" s="101" t="s">
        <v>13</v>
      </c>
      <c r="H1060" s="273" t="s">
        <v>59</v>
      </c>
      <c r="I1060" s="274">
        <v>20.0</v>
      </c>
      <c r="J1060" s="271">
        <v>62.0</v>
      </c>
      <c r="K1060" s="271">
        <f t="shared" si="1"/>
        <v>1240</v>
      </c>
      <c r="L1060" s="271">
        <v>505.0</v>
      </c>
      <c r="M1060" s="271">
        <v>-620.0</v>
      </c>
      <c r="N1060" s="275">
        <v>89.0</v>
      </c>
      <c r="O1060" s="60"/>
      <c r="P1060" s="50">
        <v>89.0</v>
      </c>
      <c r="Q1060" s="271">
        <v>-62.0</v>
      </c>
      <c r="R1060" s="276">
        <v>-0.00152</v>
      </c>
      <c r="S1060" s="271">
        <v>-64.0</v>
      </c>
      <c r="T1060" s="271">
        <v>25.0</v>
      </c>
      <c r="U1060" s="62">
        <v>1.0</v>
      </c>
      <c r="V1060" s="277">
        <v>0.25</v>
      </c>
      <c r="W1060" s="277">
        <v>0.0</v>
      </c>
      <c r="X1060" s="271">
        <v>19.0</v>
      </c>
      <c r="Y1060" s="271">
        <v>6.0</v>
      </c>
      <c r="Z1060" s="50" t="b">
        <v>1</v>
      </c>
      <c r="AA1060" s="50" t="s">
        <v>138</v>
      </c>
      <c r="AB1060" s="50" t="s">
        <v>138</v>
      </c>
    </row>
    <row r="1061">
      <c r="A1061" s="101" t="s">
        <v>216</v>
      </c>
      <c r="B1061" s="101" t="s">
        <v>216</v>
      </c>
      <c r="C1061" s="278">
        <v>44521.0</v>
      </c>
      <c r="D1061" s="278">
        <v>44550.0</v>
      </c>
      <c r="E1061" s="271" t="s">
        <v>268</v>
      </c>
      <c r="F1061" s="138" t="s">
        <v>4</v>
      </c>
      <c r="G1061" s="101" t="s">
        <v>5</v>
      </c>
      <c r="H1061" s="273" t="s">
        <v>85</v>
      </c>
      <c r="I1061" s="274">
        <v>100.0</v>
      </c>
      <c r="J1061" s="271">
        <v>1243.0</v>
      </c>
      <c r="K1061" s="271">
        <f t="shared" si="1"/>
        <v>124300</v>
      </c>
      <c r="L1061" s="271">
        <v>25028.0</v>
      </c>
      <c r="M1061" s="271">
        <v>7200.0</v>
      </c>
      <c r="N1061" s="275">
        <v>3976.0</v>
      </c>
      <c r="O1061" s="60"/>
      <c r="P1061" s="109">
        <v>3976.0</v>
      </c>
      <c r="Q1061" s="271">
        <v>-2174.0</v>
      </c>
      <c r="R1061" s="276">
        <v>-0.00152</v>
      </c>
      <c r="S1061" s="271">
        <v>-2363.0</v>
      </c>
      <c r="T1061" s="271">
        <v>1613.0</v>
      </c>
      <c r="U1061" s="62">
        <v>1.0</v>
      </c>
      <c r="V1061" s="277">
        <v>0.1</v>
      </c>
      <c r="W1061" s="277">
        <v>0.0</v>
      </c>
      <c r="X1061" s="271">
        <v>1452.0</v>
      </c>
      <c r="Y1061" s="271">
        <v>161.0</v>
      </c>
      <c r="Z1061" s="50" t="b">
        <v>1</v>
      </c>
      <c r="AA1061" s="50" t="s">
        <v>138</v>
      </c>
      <c r="AB1061" s="50" t="s">
        <v>138</v>
      </c>
    </row>
    <row r="1062">
      <c r="A1062" s="101" t="s">
        <v>216</v>
      </c>
      <c r="B1062" s="101" t="s">
        <v>216</v>
      </c>
      <c r="C1062" s="278">
        <v>44521.0</v>
      </c>
      <c r="D1062" s="278">
        <v>44550.0</v>
      </c>
      <c r="E1062" s="271" t="s">
        <v>268</v>
      </c>
      <c r="F1062" s="138" t="s">
        <v>4</v>
      </c>
      <c r="G1062" s="101" t="s">
        <v>5</v>
      </c>
      <c r="H1062" s="273" t="s">
        <v>86</v>
      </c>
      <c r="I1062" s="274">
        <v>100.0</v>
      </c>
      <c r="J1062" s="271">
        <v>35.0</v>
      </c>
      <c r="K1062" s="271">
        <f t="shared" si="1"/>
        <v>3500</v>
      </c>
      <c r="L1062" s="271">
        <v>1834.0</v>
      </c>
      <c r="M1062" s="271">
        <v>-1600.0</v>
      </c>
      <c r="N1062" s="275">
        <v>141.0</v>
      </c>
      <c r="O1062" s="60"/>
      <c r="P1062" s="50">
        <v>141.0</v>
      </c>
      <c r="Q1062" s="271">
        <v>684.0</v>
      </c>
      <c r="R1062" s="276">
        <v>-0.00152</v>
      </c>
      <c r="S1062" s="271">
        <v>679.0</v>
      </c>
      <c r="T1062" s="271">
        <v>820.0</v>
      </c>
      <c r="U1062" s="62">
        <v>1.0</v>
      </c>
      <c r="V1062" s="277">
        <v>0.1</v>
      </c>
      <c r="W1062" s="277">
        <v>0.0</v>
      </c>
      <c r="X1062" s="271">
        <v>738.0</v>
      </c>
      <c r="Y1062" s="271">
        <v>82.0</v>
      </c>
      <c r="Z1062" s="50" t="b">
        <v>1</v>
      </c>
      <c r="AA1062" s="50" t="s">
        <v>138</v>
      </c>
      <c r="AB1062" s="50" t="s">
        <v>138</v>
      </c>
    </row>
    <row r="1063">
      <c r="A1063" s="101" t="s">
        <v>216</v>
      </c>
      <c r="B1063" s="101" t="s">
        <v>216</v>
      </c>
      <c r="C1063" s="278">
        <v>44521.0</v>
      </c>
      <c r="D1063" s="278">
        <v>44550.0</v>
      </c>
      <c r="E1063" s="271" t="s">
        <v>268</v>
      </c>
      <c r="F1063" s="138" t="s">
        <v>4</v>
      </c>
      <c r="G1063" s="101" t="s">
        <v>5</v>
      </c>
      <c r="H1063" s="273" t="s">
        <v>96</v>
      </c>
      <c r="I1063" s="274">
        <v>250.0</v>
      </c>
      <c r="J1063" s="271">
        <v>435.0</v>
      </c>
      <c r="K1063" s="271">
        <f t="shared" si="1"/>
        <v>108750</v>
      </c>
      <c r="L1063" s="271">
        <v>18612.0</v>
      </c>
      <c r="M1063" s="271">
        <v>-2250.0</v>
      </c>
      <c r="N1063" s="275">
        <v>3656.0</v>
      </c>
      <c r="O1063" s="60"/>
      <c r="P1063" s="109">
        <v>3656.0</v>
      </c>
      <c r="Q1063" s="271">
        <v>3521.0</v>
      </c>
      <c r="R1063" s="276">
        <v>-0.00152</v>
      </c>
      <c r="S1063" s="271">
        <v>3356.0</v>
      </c>
      <c r="T1063" s="271">
        <v>7012.0</v>
      </c>
      <c r="U1063" s="62">
        <v>1.0</v>
      </c>
      <c r="V1063" s="277">
        <v>0.1</v>
      </c>
      <c r="W1063" s="277">
        <v>0.0</v>
      </c>
      <c r="X1063" s="271">
        <v>6310.0</v>
      </c>
      <c r="Y1063" s="271">
        <v>701.0</v>
      </c>
      <c r="Z1063" s="50" t="b">
        <v>1</v>
      </c>
      <c r="AA1063" s="50" t="s">
        <v>138</v>
      </c>
      <c r="AB1063" s="50" t="s">
        <v>138</v>
      </c>
    </row>
    <row r="1064">
      <c r="A1064" s="101" t="s">
        <v>216</v>
      </c>
      <c r="B1064" s="101" t="s">
        <v>216</v>
      </c>
      <c r="C1064" s="278">
        <v>44521.0</v>
      </c>
      <c r="D1064" s="278">
        <v>44550.0</v>
      </c>
      <c r="E1064" s="271" t="s">
        <v>268</v>
      </c>
      <c r="F1064" s="138" t="s">
        <v>4</v>
      </c>
      <c r="G1064" s="101" t="s">
        <v>5</v>
      </c>
      <c r="H1064" s="273" t="s">
        <v>97</v>
      </c>
      <c r="I1064" s="274">
        <v>250.0</v>
      </c>
      <c r="J1064" s="271">
        <v>216.0</v>
      </c>
      <c r="K1064" s="271">
        <f t="shared" si="1"/>
        <v>54000</v>
      </c>
      <c r="L1064" s="271">
        <v>3679.0</v>
      </c>
      <c r="M1064" s="271">
        <v>0.0</v>
      </c>
      <c r="N1064" s="275">
        <v>1533.0</v>
      </c>
      <c r="O1064" s="60"/>
      <c r="P1064" s="109">
        <v>1533.0</v>
      </c>
      <c r="Q1064" s="271">
        <v>94.0</v>
      </c>
      <c r="R1064" s="276">
        <v>-0.00152</v>
      </c>
      <c r="S1064" s="271">
        <v>12.0</v>
      </c>
      <c r="T1064" s="271">
        <v>1545.0</v>
      </c>
      <c r="U1064" s="62">
        <v>1.0</v>
      </c>
      <c r="V1064" s="277">
        <v>0.1</v>
      </c>
      <c r="W1064" s="277">
        <v>0.0</v>
      </c>
      <c r="X1064" s="271">
        <v>1391.0</v>
      </c>
      <c r="Y1064" s="271">
        <v>155.0</v>
      </c>
      <c r="Z1064" s="50" t="b">
        <v>1</v>
      </c>
      <c r="AA1064" s="50" t="s">
        <v>138</v>
      </c>
      <c r="AB1064" s="50" t="s">
        <v>138</v>
      </c>
    </row>
    <row r="1065">
      <c r="A1065" s="101" t="s">
        <v>216</v>
      </c>
      <c r="B1065" s="101" t="s">
        <v>216</v>
      </c>
      <c r="C1065" s="278">
        <v>44521.0</v>
      </c>
      <c r="D1065" s="278">
        <v>44550.0</v>
      </c>
      <c r="E1065" s="271" t="s">
        <v>268</v>
      </c>
      <c r="F1065" s="138" t="s">
        <v>4</v>
      </c>
      <c r="G1065" s="101" t="s">
        <v>5</v>
      </c>
      <c r="H1065" s="273" t="s">
        <v>101</v>
      </c>
      <c r="I1065" s="274">
        <v>500.0</v>
      </c>
      <c r="J1065" s="271">
        <v>2.0</v>
      </c>
      <c r="K1065" s="271">
        <f t="shared" si="1"/>
        <v>1000</v>
      </c>
      <c r="L1065" s="271">
        <v>1033.0</v>
      </c>
      <c r="M1065" s="271">
        <v>2000.0</v>
      </c>
      <c r="N1065" s="275">
        <v>39.0</v>
      </c>
      <c r="O1065" s="60"/>
      <c r="P1065" s="50">
        <v>39.0</v>
      </c>
      <c r="Q1065" s="271">
        <v>921.0</v>
      </c>
      <c r="R1065" s="276">
        <v>-0.00152</v>
      </c>
      <c r="S1065" s="271">
        <v>919.0</v>
      </c>
      <c r="T1065" s="271">
        <v>958.0</v>
      </c>
      <c r="U1065" s="62">
        <v>1.0</v>
      </c>
      <c r="V1065" s="277">
        <v>0.1</v>
      </c>
      <c r="W1065" s="277">
        <v>0.0</v>
      </c>
      <c r="X1065" s="271">
        <v>862.0</v>
      </c>
      <c r="Y1065" s="271">
        <v>96.0</v>
      </c>
      <c r="Z1065" s="50" t="b">
        <v>1</v>
      </c>
      <c r="AA1065" s="50" t="s">
        <v>138</v>
      </c>
      <c r="AB1065" s="50" t="s">
        <v>138</v>
      </c>
    </row>
    <row r="1066">
      <c r="A1066" s="280" t="s">
        <v>177</v>
      </c>
      <c r="B1066" s="280" t="s">
        <v>903</v>
      </c>
      <c r="C1066" s="283">
        <v>44531.0</v>
      </c>
      <c r="D1066" s="283">
        <v>44561.0</v>
      </c>
      <c r="E1066" s="280" t="s">
        <v>268</v>
      </c>
      <c r="F1066" s="138" t="s">
        <v>8</v>
      </c>
      <c r="G1066" s="280" t="s">
        <v>16</v>
      </c>
      <c r="H1066" s="273" t="s">
        <v>85</v>
      </c>
      <c r="I1066" s="281">
        <v>100.0</v>
      </c>
      <c r="J1066" s="280">
        <v>2441.0</v>
      </c>
      <c r="K1066" s="271">
        <f t="shared" si="1"/>
        <v>244100</v>
      </c>
      <c r="L1066" s="280">
        <v>37114.0</v>
      </c>
      <c r="M1066" s="280">
        <v>-1900.0</v>
      </c>
      <c r="N1066" s="282">
        <v>10694.24</v>
      </c>
      <c r="O1066" s="60"/>
      <c r="P1066" s="109">
        <v>10694.0</v>
      </c>
      <c r="Q1066" s="280">
        <v>-6169.0</v>
      </c>
      <c r="R1066" s="276">
        <v>3.87E-4</v>
      </c>
      <c r="S1066" s="280">
        <v>-6075.0</v>
      </c>
      <c r="T1066" s="280">
        <v>4619.0</v>
      </c>
      <c r="U1066" s="62">
        <v>1.0</v>
      </c>
      <c r="V1066" s="277">
        <v>0.12</v>
      </c>
      <c r="W1066" s="277">
        <v>0.0</v>
      </c>
      <c r="X1066" s="280">
        <v>4065.0</v>
      </c>
      <c r="Y1066" s="280">
        <v>554.0</v>
      </c>
      <c r="Z1066" s="50" t="b">
        <v>1</v>
      </c>
      <c r="AA1066" s="50" t="s">
        <v>138</v>
      </c>
      <c r="AB1066" s="50" t="s">
        <v>138</v>
      </c>
    </row>
    <row r="1067">
      <c r="A1067" s="280" t="s">
        <v>177</v>
      </c>
      <c r="B1067" s="280" t="s">
        <v>903</v>
      </c>
      <c r="C1067" s="283">
        <v>44531.0</v>
      </c>
      <c r="D1067" s="283">
        <v>44561.0</v>
      </c>
      <c r="E1067" s="280" t="s">
        <v>268</v>
      </c>
      <c r="F1067" s="138" t="s">
        <v>8</v>
      </c>
      <c r="G1067" s="280" t="s">
        <v>16</v>
      </c>
      <c r="H1067" s="273" t="s">
        <v>74</v>
      </c>
      <c r="I1067" s="281">
        <v>50.0</v>
      </c>
      <c r="J1067" s="280">
        <v>14.0</v>
      </c>
      <c r="K1067" s="271">
        <f t="shared" si="1"/>
        <v>700</v>
      </c>
      <c r="L1067" s="280">
        <v>1222.0</v>
      </c>
      <c r="M1067" s="280">
        <v>-50.0</v>
      </c>
      <c r="N1067" s="282">
        <v>1.76</v>
      </c>
      <c r="O1067" s="60"/>
      <c r="P1067" s="50">
        <v>2.0</v>
      </c>
      <c r="Q1067" s="280">
        <v>78.0</v>
      </c>
      <c r="R1067" s="276">
        <v>5.2E-4</v>
      </c>
      <c r="S1067" s="280">
        <v>78.0</v>
      </c>
      <c r="T1067" s="280">
        <v>80.0</v>
      </c>
      <c r="U1067" s="62">
        <v>1.0</v>
      </c>
      <c r="V1067" s="277">
        <v>0.12</v>
      </c>
      <c r="W1067" s="277">
        <v>0.0</v>
      </c>
      <c r="X1067" s="280">
        <v>70.0</v>
      </c>
      <c r="Y1067" s="280">
        <v>10.0</v>
      </c>
      <c r="Z1067" s="50" t="b">
        <v>1</v>
      </c>
      <c r="AA1067" s="50" t="s">
        <v>138</v>
      </c>
      <c r="AB1067" s="50" t="s">
        <v>138</v>
      </c>
    </row>
    <row r="1068">
      <c r="A1068" s="101" t="s">
        <v>181</v>
      </c>
      <c r="B1068" s="101" t="s">
        <v>181</v>
      </c>
      <c r="C1068" s="278">
        <v>44531.0</v>
      </c>
      <c r="D1068" s="278">
        <v>44561.0</v>
      </c>
      <c r="E1068" s="271" t="s">
        <v>331</v>
      </c>
      <c r="F1068" s="138" t="s">
        <v>12</v>
      </c>
      <c r="G1068" s="280" t="s">
        <v>5</v>
      </c>
      <c r="H1068" s="114" t="s">
        <v>85</v>
      </c>
      <c r="I1068" s="274">
        <v>100.0</v>
      </c>
      <c r="J1068" s="271">
        <v>1297.0</v>
      </c>
      <c r="K1068" s="271">
        <f t="shared" si="1"/>
        <v>129700</v>
      </c>
      <c r="L1068" s="287">
        <f>L780/J780*J1068</f>
        <v>137917.4891</v>
      </c>
      <c r="M1068" s="287">
        <v>7800.0</v>
      </c>
      <c r="N1068" s="275">
        <v>3616.0</v>
      </c>
      <c r="O1068" s="60"/>
      <c r="P1068" s="109">
        <v>3616.0</v>
      </c>
      <c r="Q1068" s="287">
        <v>-7004.0</v>
      </c>
      <c r="R1068" s="276">
        <v>0.0</v>
      </c>
      <c r="S1068" s="287">
        <v>-7004.0</v>
      </c>
      <c r="T1068" s="287">
        <v>11416.0</v>
      </c>
      <c r="U1068" s="62">
        <v>1.0</v>
      </c>
      <c r="V1068" s="277">
        <v>0.06</v>
      </c>
      <c r="W1068" s="277">
        <v>0.12</v>
      </c>
      <c r="X1068" s="287">
        <v>9361.0</v>
      </c>
      <c r="Y1068" s="287">
        <v>2055.0</v>
      </c>
      <c r="Z1068" s="50" t="b">
        <v>1</v>
      </c>
      <c r="AA1068" s="50" t="s">
        <v>138</v>
      </c>
      <c r="AB1068" s="50" t="s">
        <v>138</v>
      </c>
    </row>
    <row r="1069">
      <c r="A1069" s="271" t="s">
        <v>154</v>
      </c>
      <c r="B1069" s="271" t="s">
        <v>154</v>
      </c>
      <c r="C1069" s="278">
        <v>44531.0</v>
      </c>
      <c r="D1069" s="278">
        <v>44561.0</v>
      </c>
      <c r="E1069" s="271" t="s">
        <v>268</v>
      </c>
      <c r="F1069" s="101" t="s">
        <v>12</v>
      </c>
      <c r="G1069" s="271" t="s">
        <v>5</v>
      </c>
      <c r="H1069" s="273" t="s">
        <v>48</v>
      </c>
      <c r="I1069" s="274">
        <v>10.0</v>
      </c>
      <c r="J1069" s="271">
        <v>694.0</v>
      </c>
      <c r="K1069" s="271">
        <f t="shared" si="1"/>
        <v>6940</v>
      </c>
      <c r="L1069" s="271">
        <f>19*J1069</f>
        <v>13186</v>
      </c>
      <c r="M1069" s="271">
        <v>-320.0</v>
      </c>
      <c r="N1069" s="275">
        <v>305.0</v>
      </c>
      <c r="O1069" s="60"/>
      <c r="P1069" s="50">
        <v>305.0</v>
      </c>
      <c r="Q1069" s="271">
        <v>-110.0</v>
      </c>
      <c r="R1069" s="276">
        <v>0.0</v>
      </c>
      <c r="S1069" s="271">
        <v>-110.0</v>
      </c>
      <c r="T1069" s="271">
        <v>-15.0</v>
      </c>
      <c r="U1069" s="62">
        <v>1.0</v>
      </c>
      <c r="V1069" s="277">
        <v>0.25</v>
      </c>
      <c r="W1069" s="277">
        <v>0.0</v>
      </c>
      <c r="X1069" s="271">
        <v>-11.0</v>
      </c>
      <c r="Y1069" s="271">
        <v>-4.0</v>
      </c>
      <c r="Z1069" s="50" t="b">
        <v>1</v>
      </c>
      <c r="AA1069" s="50" t="s">
        <v>138</v>
      </c>
      <c r="AB1069" s="50" t="s">
        <v>138</v>
      </c>
    </row>
    <row r="1070">
      <c r="A1070" s="271" t="s">
        <v>154</v>
      </c>
      <c r="B1070" s="271" t="s">
        <v>154</v>
      </c>
      <c r="C1070" s="278">
        <v>44531.0</v>
      </c>
      <c r="D1070" s="278">
        <v>44561.0</v>
      </c>
      <c r="E1070" s="271" t="s">
        <v>268</v>
      </c>
      <c r="F1070" s="101" t="s">
        <v>12</v>
      </c>
      <c r="G1070" s="271" t="s">
        <v>5</v>
      </c>
      <c r="H1070" s="273" t="s">
        <v>63</v>
      </c>
      <c r="I1070" s="274">
        <v>25.0</v>
      </c>
      <c r="J1070" s="271">
        <v>2392.0</v>
      </c>
      <c r="K1070" s="271">
        <f t="shared" si="1"/>
        <v>59800</v>
      </c>
      <c r="L1070" s="271">
        <f>14*J1070</f>
        <v>33488</v>
      </c>
      <c r="M1070" s="271">
        <v>-1600.0</v>
      </c>
      <c r="N1070" s="275">
        <v>2255.0</v>
      </c>
      <c r="O1070" s="60"/>
      <c r="P1070" s="109">
        <v>2255.0</v>
      </c>
      <c r="Q1070" s="271">
        <v>-1240.0</v>
      </c>
      <c r="R1070" s="276">
        <v>0.0</v>
      </c>
      <c r="S1070" s="271">
        <v>-1240.0</v>
      </c>
      <c r="T1070" s="271">
        <v>655.0</v>
      </c>
      <c r="U1070" s="62">
        <v>1.0</v>
      </c>
      <c r="V1070" s="277">
        <v>0.25</v>
      </c>
      <c r="W1070" s="277">
        <v>0.0</v>
      </c>
      <c r="X1070" s="271">
        <v>491.0</v>
      </c>
      <c r="Y1070" s="271">
        <v>164.0</v>
      </c>
      <c r="Z1070" s="50" t="b">
        <v>1</v>
      </c>
      <c r="AA1070" s="50" t="s">
        <v>138</v>
      </c>
      <c r="AB1070" s="50" t="s">
        <v>138</v>
      </c>
    </row>
    <row r="1071">
      <c r="A1071" s="101" t="s">
        <v>267</v>
      </c>
      <c r="B1071" s="101" t="s">
        <v>267</v>
      </c>
      <c r="C1071" s="278">
        <v>44551.0</v>
      </c>
      <c r="D1071" s="278">
        <v>44581.0</v>
      </c>
      <c r="E1071" s="271" t="s">
        <v>268</v>
      </c>
      <c r="F1071" s="138" t="s">
        <v>4</v>
      </c>
      <c r="G1071" s="101" t="s">
        <v>5</v>
      </c>
      <c r="H1071" s="273" t="s">
        <v>62</v>
      </c>
      <c r="I1071" s="274">
        <v>25.0</v>
      </c>
      <c r="J1071" s="271">
        <v>333.0</v>
      </c>
      <c r="K1071" s="271">
        <f t="shared" si="1"/>
        <v>8325</v>
      </c>
      <c r="L1071" s="271">
        <v>26180.0</v>
      </c>
      <c r="M1071" s="271">
        <v>425.0</v>
      </c>
      <c r="N1071" s="275">
        <v>400.0</v>
      </c>
      <c r="O1071" s="60"/>
      <c r="P1071" s="50">
        <v>400.0</v>
      </c>
      <c r="Q1071" s="271">
        <v>681.0</v>
      </c>
      <c r="R1071" s="276">
        <v>-0.0015</v>
      </c>
      <c r="S1071" s="271">
        <v>668.0</v>
      </c>
      <c r="T1071" s="271">
        <v>1068.0</v>
      </c>
      <c r="U1071" s="62">
        <v>1.0</v>
      </c>
      <c r="V1071" s="277">
        <v>0.15</v>
      </c>
      <c r="W1071" s="277">
        <v>0.0</v>
      </c>
      <c r="X1071" s="271">
        <v>908.0</v>
      </c>
      <c r="Y1071" s="271">
        <v>160.0</v>
      </c>
      <c r="Z1071" s="50" t="b">
        <v>1</v>
      </c>
      <c r="AA1071" s="50" t="s">
        <v>138</v>
      </c>
      <c r="AB1071" s="50" t="s">
        <v>138</v>
      </c>
    </row>
    <row r="1072">
      <c r="A1072" s="101" t="s">
        <v>267</v>
      </c>
      <c r="B1072" s="101" t="s">
        <v>267</v>
      </c>
      <c r="C1072" s="278">
        <v>44551.0</v>
      </c>
      <c r="D1072" s="278">
        <v>44581.0</v>
      </c>
      <c r="E1072" s="271" t="s">
        <v>268</v>
      </c>
      <c r="F1072" s="138" t="s">
        <v>4</v>
      </c>
      <c r="G1072" s="101" t="s">
        <v>5</v>
      </c>
      <c r="H1072" s="273" t="s">
        <v>63</v>
      </c>
      <c r="I1072" s="274">
        <v>25.0</v>
      </c>
      <c r="J1072" s="271">
        <v>2596.0</v>
      </c>
      <c r="K1072" s="271">
        <f t="shared" si="1"/>
        <v>64900</v>
      </c>
      <c r="L1072" s="271">
        <v>32093.0</v>
      </c>
      <c r="M1072" s="271">
        <v>-1850.0</v>
      </c>
      <c r="N1072" s="275">
        <v>3113.0</v>
      </c>
      <c r="O1072" s="60"/>
      <c r="P1072" s="109">
        <v>3113.0</v>
      </c>
      <c r="Q1072" s="271">
        <v>-1674.0</v>
      </c>
      <c r="R1072" s="276">
        <v>-0.0015</v>
      </c>
      <c r="S1072" s="271">
        <v>-1771.0</v>
      </c>
      <c r="T1072" s="271">
        <v>1342.0</v>
      </c>
      <c r="U1072" s="62">
        <v>1.0</v>
      </c>
      <c r="V1072" s="277">
        <v>0.15</v>
      </c>
      <c r="W1072" s="277">
        <v>0.0</v>
      </c>
      <c r="X1072" s="271">
        <v>1140.0</v>
      </c>
      <c r="Y1072" s="271">
        <v>201.0</v>
      </c>
      <c r="Z1072" s="50" t="b">
        <v>1</v>
      </c>
      <c r="AA1072" s="50" t="s">
        <v>138</v>
      </c>
      <c r="AB1072" s="50" t="s">
        <v>138</v>
      </c>
    </row>
    <row r="1073">
      <c r="A1073" s="101" t="s">
        <v>267</v>
      </c>
      <c r="B1073" s="101" t="s">
        <v>267</v>
      </c>
      <c r="C1073" s="278">
        <v>44551.0</v>
      </c>
      <c r="D1073" s="278">
        <v>44581.0</v>
      </c>
      <c r="E1073" s="271" t="s">
        <v>268</v>
      </c>
      <c r="F1073" s="138" t="s">
        <v>4</v>
      </c>
      <c r="G1073" s="101" t="s">
        <v>5</v>
      </c>
      <c r="H1073" s="273" t="s">
        <v>74</v>
      </c>
      <c r="I1073" s="274">
        <v>50.0</v>
      </c>
      <c r="J1073" s="271">
        <v>229.0</v>
      </c>
      <c r="K1073" s="271">
        <f t="shared" si="1"/>
        <v>11450</v>
      </c>
      <c r="L1073" s="271">
        <v>5548.0</v>
      </c>
      <c r="M1073" s="271">
        <v>50.0</v>
      </c>
      <c r="N1073" s="275">
        <v>570.0</v>
      </c>
      <c r="O1073" s="60"/>
      <c r="P1073" s="50">
        <v>570.0</v>
      </c>
      <c r="Q1073" s="271">
        <v>-218.0</v>
      </c>
      <c r="R1073" s="276">
        <v>-0.0015</v>
      </c>
      <c r="S1073" s="271">
        <v>-236.0</v>
      </c>
      <c r="T1073" s="271">
        <v>334.0</v>
      </c>
      <c r="U1073" s="62">
        <v>1.0</v>
      </c>
      <c r="V1073" s="277">
        <v>0.15</v>
      </c>
      <c r="W1073" s="277">
        <v>0.0</v>
      </c>
      <c r="X1073" s="271">
        <v>284.0</v>
      </c>
      <c r="Y1073" s="271">
        <v>50.0</v>
      </c>
      <c r="Z1073" s="50" t="b">
        <v>1</v>
      </c>
      <c r="AA1073" s="50" t="s">
        <v>138</v>
      </c>
      <c r="AB1073" s="50" t="s">
        <v>138</v>
      </c>
    </row>
    <row r="1074">
      <c r="A1074" s="101" t="s">
        <v>267</v>
      </c>
      <c r="B1074" s="101" t="s">
        <v>267</v>
      </c>
      <c r="C1074" s="278">
        <v>44551.0</v>
      </c>
      <c r="D1074" s="278">
        <v>44581.0</v>
      </c>
      <c r="E1074" s="271" t="s">
        <v>268</v>
      </c>
      <c r="F1074" s="138" t="s">
        <v>4</v>
      </c>
      <c r="G1074" s="101" t="s">
        <v>5</v>
      </c>
      <c r="H1074" s="273" t="s">
        <v>75</v>
      </c>
      <c r="I1074" s="274">
        <v>50.0</v>
      </c>
      <c r="J1074" s="271">
        <v>27.0</v>
      </c>
      <c r="K1074" s="271">
        <f t="shared" si="1"/>
        <v>1350</v>
      </c>
      <c r="L1074" s="271">
        <v>1289.0</v>
      </c>
      <c r="M1074" s="271">
        <v>-100.0</v>
      </c>
      <c r="N1074" s="275">
        <v>67.0</v>
      </c>
      <c r="O1074" s="60"/>
      <c r="P1074" s="50">
        <v>67.0</v>
      </c>
      <c r="Q1074" s="271">
        <v>113.0</v>
      </c>
      <c r="R1074" s="276">
        <v>-0.0015</v>
      </c>
      <c r="S1074" s="271">
        <v>111.0</v>
      </c>
      <c r="T1074" s="271">
        <v>178.0</v>
      </c>
      <c r="U1074" s="62">
        <v>1.0</v>
      </c>
      <c r="V1074" s="277">
        <v>0.15</v>
      </c>
      <c r="W1074" s="277">
        <v>0.0</v>
      </c>
      <c r="X1074" s="271">
        <v>151.0</v>
      </c>
      <c r="Y1074" s="271">
        <v>27.0</v>
      </c>
      <c r="Z1074" s="50" t="b">
        <v>1</v>
      </c>
      <c r="AA1074" s="50" t="s">
        <v>138</v>
      </c>
      <c r="AB1074" s="50" t="s">
        <v>138</v>
      </c>
    </row>
    <row r="1075">
      <c r="A1075" s="280" t="s">
        <v>144</v>
      </c>
      <c r="B1075" s="280" t="s">
        <v>144</v>
      </c>
      <c r="C1075" s="288">
        <v>44551.0</v>
      </c>
      <c r="D1075" s="288">
        <v>44581.0</v>
      </c>
      <c r="E1075" s="280" t="s">
        <v>268</v>
      </c>
      <c r="F1075" s="101" t="s">
        <v>4</v>
      </c>
      <c r="G1075" s="280" t="s">
        <v>9</v>
      </c>
      <c r="H1075" s="273" t="s">
        <v>53</v>
      </c>
      <c r="I1075" s="281">
        <v>10.0</v>
      </c>
      <c r="J1075" s="280">
        <v>165.0</v>
      </c>
      <c r="K1075" s="271">
        <f t="shared" si="1"/>
        <v>1650</v>
      </c>
      <c r="L1075" s="280">
        <v>10603.0</v>
      </c>
      <c r="M1075" s="280">
        <v>-113.0</v>
      </c>
      <c r="N1075" s="282">
        <v>0.0</v>
      </c>
      <c r="O1075" s="60"/>
      <c r="P1075" s="50">
        <v>0.0</v>
      </c>
      <c r="Q1075" s="280">
        <v>46.0</v>
      </c>
      <c r="R1075" s="276">
        <v>-6.6E-4</v>
      </c>
      <c r="S1075" s="280">
        <v>45.0</v>
      </c>
      <c r="T1075" s="280">
        <v>45.0</v>
      </c>
      <c r="U1075" s="62">
        <v>1.0</v>
      </c>
      <c r="V1075" s="277">
        <v>0.2</v>
      </c>
      <c r="W1075" s="277">
        <v>0.0</v>
      </c>
      <c r="X1075" s="280">
        <v>36.0</v>
      </c>
      <c r="Y1075" s="280">
        <v>9.0</v>
      </c>
      <c r="Z1075" s="50" t="b">
        <v>1</v>
      </c>
      <c r="AA1075" s="50" t="s">
        <v>140</v>
      </c>
      <c r="AB1075" s="50" t="s">
        <v>140</v>
      </c>
    </row>
    <row r="1076">
      <c r="A1076" s="101" t="s">
        <v>148</v>
      </c>
      <c r="B1076" s="101" t="s">
        <v>148</v>
      </c>
      <c r="C1076" s="278">
        <v>44551.0</v>
      </c>
      <c r="D1076" s="278">
        <v>44581.0</v>
      </c>
      <c r="E1076" s="271" t="s">
        <v>331</v>
      </c>
      <c r="F1076" s="138" t="s">
        <v>4</v>
      </c>
      <c r="G1076" s="101" t="s">
        <v>5</v>
      </c>
      <c r="H1076" s="273" t="s">
        <v>74</v>
      </c>
      <c r="I1076" s="274">
        <v>50.0</v>
      </c>
      <c r="J1076" s="271">
        <v>4468.0</v>
      </c>
      <c r="K1076" s="271">
        <f t="shared" si="1"/>
        <v>223400</v>
      </c>
      <c r="L1076" s="271">
        <v>125450.0</v>
      </c>
      <c r="M1076" s="271">
        <v>-3250.0</v>
      </c>
      <c r="N1076" s="275">
        <v>9175.0</v>
      </c>
      <c r="O1076" s="60"/>
      <c r="P1076" s="109">
        <v>9175.0</v>
      </c>
      <c r="Q1076" s="271">
        <v>-2690.0</v>
      </c>
      <c r="R1076" s="276">
        <v>-6.6E-4</v>
      </c>
      <c r="S1076" s="271">
        <v>-2837.0</v>
      </c>
      <c r="T1076" s="271">
        <v>6338.0</v>
      </c>
      <c r="U1076" s="62">
        <v>1.0</v>
      </c>
      <c r="V1076" s="277">
        <v>0.15</v>
      </c>
      <c r="W1076" s="277">
        <v>0.05</v>
      </c>
      <c r="X1076" s="271">
        <v>5070.0</v>
      </c>
      <c r="Y1076" s="271">
        <v>1268.0</v>
      </c>
      <c r="Z1076" s="50" t="b">
        <v>1</v>
      </c>
      <c r="AA1076" s="50" t="s">
        <v>138</v>
      </c>
      <c r="AB1076" s="50" t="s">
        <v>138</v>
      </c>
    </row>
    <row r="1077">
      <c r="A1077" s="101" t="s">
        <v>182</v>
      </c>
      <c r="B1077" s="280" t="s">
        <v>1004</v>
      </c>
      <c r="C1077" s="288">
        <v>44551.0</v>
      </c>
      <c r="D1077" s="288">
        <v>44581.0</v>
      </c>
      <c r="E1077" s="280" t="s">
        <v>268</v>
      </c>
      <c r="F1077" s="138" t="s">
        <v>4</v>
      </c>
      <c r="G1077" s="280" t="s">
        <v>9</v>
      </c>
      <c r="H1077" s="273" t="s">
        <v>53</v>
      </c>
      <c r="I1077" s="281">
        <v>10.0</v>
      </c>
      <c r="J1077" s="280">
        <v>160.0</v>
      </c>
      <c r="K1077" s="271">
        <f t="shared" si="1"/>
        <v>1600</v>
      </c>
      <c r="L1077" s="280">
        <v>17077.0</v>
      </c>
      <c r="M1077" s="280">
        <v>-125.0</v>
      </c>
      <c r="N1077" s="282">
        <v>0.0</v>
      </c>
      <c r="O1077" s="60"/>
      <c r="P1077" s="50">
        <v>0.0</v>
      </c>
      <c r="Q1077" s="280">
        <v>167.0</v>
      </c>
      <c r="R1077" s="276">
        <v>-6.6E-4</v>
      </c>
      <c r="S1077" s="280">
        <v>166.0</v>
      </c>
      <c r="T1077" s="280">
        <v>166.0</v>
      </c>
      <c r="U1077" s="62">
        <v>1.132</v>
      </c>
      <c r="V1077" s="277">
        <v>0.2</v>
      </c>
      <c r="W1077" s="277">
        <v>0.0</v>
      </c>
      <c r="X1077" s="280">
        <v>151.0</v>
      </c>
      <c r="Y1077" s="280">
        <v>38.0</v>
      </c>
      <c r="Z1077" s="50" t="b">
        <v>1</v>
      </c>
      <c r="AA1077" s="50" t="s">
        <v>138</v>
      </c>
      <c r="AB1077" s="50" t="s">
        <v>140</v>
      </c>
    </row>
    <row r="1078">
      <c r="A1078" s="101" t="s">
        <v>182</v>
      </c>
      <c r="B1078" s="101" t="s">
        <v>182</v>
      </c>
      <c r="C1078" s="288">
        <v>44551.0</v>
      </c>
      <c r="D1078" s="288">
        <v>44581.0</v>
      </c>
      <c r="E1078" s="280" t="s">
        <v>268</v>
      </c>
      <c r="F1078" s="138" t="s">
        <v>4</v>
      </c>
      <c r="G1078" s="271" t="s">
        <v>5</v>
      </c>
      <c r="H1078" s="273" t="s">
        <v>35</v>
      </c>
      <c r="I1078" s="281">
        <v>5.0</v>
      </c>
      <c r="J1078" s="280">
        <v>1.0</v>
      </c>
      <c r="K1078" s="271">
        <f t="shared" si="1"/>
        <v>5</v>
      </c>
      <c r="L1078" s="280">
        <v>-156.0</v>
      </c>
      <c r="M1078" s="280">
        <v>-5.0</v>
      </c>
      <c r="N1078" s="275"/>
      <c r="O1078" s="60"/>
      <c r="P1078" s="101"/>
      <c r="Q1078" s="280">
        <v>-2.0</v>
      </c>
      <c r="R1078" s="276">
        <v>-6.6E-4</v>
      </c>
      <c r="S1078" s="280">
        <v>-2.0</v>
      </c>
      <c r="T1078" s="280">
        <v>-2.0</v>
      </c>
      <c r="U1078" s="62">
        <v>1.0</v>
      </c>
      <c r="V1078" s="277">
        <v>0.2</v>
      </c>
      <c r="W1078" s="277">
        <v>0.0</v>
      </c>
      <c r="X1078" s="280">
        <v>-1.0</v>
      </c>
      <c r="Y1078" s="280">
        <v>0.0</v>
      </c>
      <c r="Z1078" s="50" t="b">
        <v>1</v>
      </c>
      <c r="AA1078" s="50" t="s">
        <v>138</v>
      </c>
      <c r="AB1078" s="50" t="s">
        <v>138</v>
      </c>
    </row>
    <row r="1079">
      <c r="A1079" s="101" t="s">
        <v>182</v>
      </c>
      <c r="B1079" s="101" t="s">
        <v>182</v>
      </c>
      <c r="C1079" s="288">
        <v>44551.0</v>
      </c>
      <c r="D1079" s="288">
        <v>44581.0</v>
      </c>
      <c r="E1079" s="280" t="s">
        <v>268</v>
      </c>
      <c r="F1079" s="138" t="s">
        <v>4</v>
      </c>
      <c r="G1079" s="271" t="s">
        <v>5</v>
      </c>
      <c r="H1079" s="273" t="s">
        <v>45</v>
      </c>
      <c r="I1079" s="281">
        <v>10.0</v>
      </c>
      <c r="J1079" s="280">
        <v>63.0</v>
      </c>
      <c r="K1079" s="271">
        <f t="shared" si="1"/>
        <v>630</v>
      </c>
      <c r="L1079" s="280">
        <v>5697.0</v>
      </c>
      <c r="M1079" s="280">
        <v>70.0</v>
      </c>
      <c r="N1079" s="275">
        <v>5.0</v>
      </c>
      <c r="O1079" s="60"/>
      <c r="P1079" s="50">
        <v>5.0</v>
      </c>
      <c r="Q1079" s="280">
        <v>-54.0</v>
      </c>
      <c r="R1079" s="276">
        <v>-6.6E-4</v>
      </c>
      <c r="S1079" s="280">
        <v>-55.0</v>
      </c>
      <c r="T1079" s="280">
        <v>-50.0</v>
      </c>
      <c r="U1079" s="62">
        <v>1.0</v>
      </c>
      <c r="V1079" s="277">
        <v>0.2</v>
      </c>
      <c r="W1079" s="277">
        <v>0.0</v>
      </c>
      <c r="X1079" s="280">
        <v>-40.0</v>
      </c>
      <c r="Y1079" s="280">
        <v>-10.0</v>
      </c>
      <c r="Z1079" s="50" t="b">
        <v>1</v>
      </c>
      <c r="AA1079" s="50" t="s">
        <v>138</v>
      </c>
      <c r="AB1079" s="50" t="s">
        <v>138</v>
      </c>
    </row>
    <row r="1080">
      <c r="A1080" s="101" t="s">
        <v>149</v>
      </c>
      <c r="B1080" s="101" t="s">
        <v>149</v>
      </c>
      <c r="C1080" s="278">
        <v>44551.0</v>
      </c>
      <c r="D1080" s="278">
        <v>44581.0</v>
      </c>
      <c r="E1080" s="271" t="s">
        <v>268</v>
      </c>
      <c r="F1080" s="138" t="s">
        <v>12</v>
      </c>
      <c r="G1080" s="101" t="s">
        <v>5</v>
      </c>
      <c r="H1080" s="273" t="s">
        <v>6</v>
      </c>
      <c r="I1080" s="274">
        <v>0.25</v>
      </c>
      <c r="J1080" s="271">
        <v>7.0</v>
      </c>
      <c r="K1080" s="271">
        <f t="shared" si="1"/>
        <v>1.75</v>
      </c>
      <c r="L1080" s="271"/>
      <c r="M1080" s="271">
        <v>0.0</v>
      </c>
      <c r="N1080" s="275">
        <v>0.0</v>
      </c>
      <c r="O1080" s="60"/>
      <c r="P1080" s="50">
        <v>0.0</v>
      </c>
      <c r="Q1080" s="271"/>
      <c r="R1080" s="276">
        <v>0.0</v>
      </c>
      <c r="S1080" s="271"/>
      <c r="T1080" s="271">
        <v>0.0</v>
      </c>
      <c r="U1080" s="62">
        <v>1.0</v>
      </c>
      <c r="V1080" s="277">
        <v>0.22</v>
      </c>
      <c r="W1080" s="277">
        <v>0.0</v>
      </c>
      <c r="X1080" s="271">
        <v>0.0</v>
      </c>
      <c r="Y1080" s="271">
        <v>0.0</v>
      </c>
      <c r="Z1080" s="50" t="b">
        <v>1</v>
      </c>
      <c r="AA1080" s="50" t="s">
        <v>138</v>
      </c>
      <c r="AB1080" s="50" t="s">
        <v>138</v>
      </c>
    </row>
    <row r="1081">
      <c r="A1081" s="101" t="s">
        <v>149</v>
      </c>
      <c r="B1081" s="101" t="s">
        <v>149</v>
      </c>
      <c r="C1081" s="278">
        <v>44551.0</v>
      </c>
      <c r="D1081" s="278">
        <v>44581.0</v>
      </c>
      <c r="E1081" s="271" t="s">
        <v>268</v>
      </c>
      <c r="F1081" s="138" t="s">
        <v>12</v>
      </c>
      <c r="G1081" s="101" t="s">
        <v>5</v>
      </c>
      <c r="H1081" s="273" t="s">
        <v>35</v>
      </c>
      <c r="I1081" s="274">
        <v>5.0</v>
      </c>
      <c r="J1081" s="271">
        <v>1.0</v>
      </c>
      <c r="K1081" s="271">
        <f t="shared" si="1"/>
        <v>5</v>
      </c>
      <c r="L1081" s="271"/>
      <c r="M1081" s="271">
        <v>-5.0</v>
      </c>
      <c r="N1081" s="275">
        <v>0.0</v>
      </c>
      <c r="O1081" s="60"/>
      <c r="P1081" s="50">
        <v>0.0</v>
      </c>
      <c r="Q1081" s="271"/>
      <c r="R1081" s="276">
        <v>0.0</v>
      </c>
      <c r="S1081" s="271"/>
      <c r="T1081" s="271">
        <v>-5.0</v>
      </c>
      <c r="U1081" s="62">
        <v>1.0</v>
      </c>
      <c r="V1081" s="277">
        <v>0.22</v>
      </c>
      <c r="W1081" s="277">
        <v>0.0</v>
      </c>
      <c r="X1081" s="271">
        <v>-4.0</v>
      </c>
      <c r="Y1081" s="271">
        <v>-1.0</v>
      </c>
      <c r="Z1081" s="50" t="b">
        <v>1</v>
      </c>
      <c r="AA1081" s="50" t="s">
        <v>138</v>
      </c>
      <c r="AB1081" s="50" t="s">
        <v>138</v>
      </c>
    </row>
    <row r="1082">
      <c r="A1082" s="101" t="s">
        <v>149</v>
      </c>
      <c r="B1082" s="101" t="s">
        <v>149</v>
      </c>
      <c r="C1082" s="278">
        <v>44551.0</v>
      </c>
      <c r="D1082" s="278">
        <v>44581.0</v>
      </c>
      <c r="E1082" s="271" t="s">
        <v>268</v>
      </c>
      <c r="F1082" s="138" t="s">
        <v>12</v>
      </c>
      <c r="G1082" s="101" t="s">
        <v>5</v>
      </c>
      <c r="H1082" s="273" t="s">
        <v>85</v>
      </c>
      <c r="I1082" s="274">
        <v>100.0</v>
      </c>
      <c r="J1082" s="271">
        <v>1155.0</v>
      </c>
      <c r="K1082" s="271">
        <f t="shared" si="1"/>
        <v>115500</v>
      </c>
      <c r="L1082" s="271">
        <f>13*J1082</f>
        <v>15015</v>
      </c>
      <c r="M1082" s="271">
        <v>-3200.0</v>
      </c>
      <c r="N1082" s="275">
        <v>1750.0</v>
      </c>
      <c r="O1082" s="60"/>
      <c r="P1082" s="109">
        <v>1750.0</v>
      </c>
      <c r="Q1082" s="271">
        <v>-3423.0</v>
      </c>
      <c r="R1082" s="276">
        <v>0.0</v>
      </c>
      <c r="S1082" s="271">
        <v>-3423.0</v>
      </c>
      <c r="T1082" s="271">
        <v>-1450.0</v>
      </c>
      <c r="U1082" s="62">
        <v>1.0</v>
      </c>
      <c r="V1082" s="277">
        <v>0.22</v>
      </c>
      <c r="W1082" s="277">
        <v>0.0</v>
      </c>
      <c r="X1082" s="271">
        <v>-1131.0</v>
      </c>
      <c r="Y1082" s="271">
        <v>-319.0</v>
      </c>
      <c r="Z1082" s="50" t="b">
        <v>1</v>
      </c>
      <c r="AA1082" s="50" t="s">
        <v>138</v>
      </c>
      <c r="AB1082" s="50" t="s">
        <v>138</v>
      </c>
    </row>
    <row r="1083">
      <c r="A1083" s="280" t="s">
        <v>345</v>
      </c>
      <c r="B1083" s="280" t="s">
        <v>992</v>
      </c>
      <c r="C1083" s="288">
        <v>44551.0</v>
      </c>
      <c r="D1083" s="288">
        <v>44581.0</v>
      </c>
      <c r="E1083" s="280" t="s">
        <v>331</v>
      </c>
      <c r="F1083" s="101" t="s">
        <v>4</v>
      </c>
      <c r="G1083" s="280" t="s">
        <v>9</v>
      </c>
      <c r="H1083" s="273" t="s">
        <v>66</v>
      </c>
      <c r="I1083" s="281">
        <v>25.0</v>
      </c>
      <c r="J1083" s="280">
        <v>1340.0</v>
      </c>
      <c r="K1083" s="271">
        <f t="shared" si="1"/>
        <v>33500</v>
      </c>
      <c r="L1083" s="280">
        <v>61372.0</v>
      </c>
      <c r="M1083" s="280">
        <v>-1953.0</v>
      </c>
      <c r="N1083" s="282">
        <v>145.0</v>
      </c>
      <c r="O1083" s="60"/>
      <c r="P1083" s="50">
        <v>145.0</v>
      </c>
      <c r="Q1083" s="280">
        <v>-185.0</v>
      </c>
      <c r="R1083" s="276">
        <v>-0.0015</v>
      </c>
      <c r="S1083" s="280">
        <v>-235.0</v>
      </c>
      <c r="T1083" s="280">
        <v>-90.0</v>
      </c>
      <c r="U1083" s="62">
        <v>1.132</v>
      </c>
      <c r="V1083" s="277">
        <v>0.15</v>
      </c>
      <c r="W1083" s="277">
        <v>0.05</v>
      </c>
      <c r="X1083" s="280">
        <v>-81.0</v>
      </c>
      <c r="Y1083" s="280">
        <v>-20.0</v>
      </c>
      <c r="Z1083" s="50" t="b">
        <v>1</v>
      </c>
      <c r="AA1083" s="50" t="s">
        <v>138</v>
      </c>
      <c r="AB1083" s="50" t="s">
        <v>140</v>
      </c>
    </row>
    <row r="1084">
      <c r="A1084" s="280" t="s">
        <v>362</v>
      </c>
      <c r="B1084" s="280" t="s">
        <v>362</v>
      </c>
      <c r="C1084" s="288">
        <v>44551.0</v>
      </c>
      <c r="D1084" s="288">
        <v>44581.0</v>
      </c>
      <c r="E1084" s="280" t="s">
        <v>268</v>
      </c>
      <c r="F1084" s="101" t="s">
        <v>4</v>
      </c>
      <c r="G1084" s="280" t="s">
        <v>9</v>
      </c>
      <c r="H1084" s="273" t="s">
        <v>89</v>
      </c>
      <c r="I1084" s="281">
        <v>100.0</v>
      </c>
      <c r="J1084" s="280">
        <v>429.0</v>
      </c>
      <c r="K1084" s="271">
        <f t="shared" si="1"/>
        <v>42900</v>
      </c>
      <c r="L1084" s="280">
        <v>12589.0</v>
      </c>
      <c r="M1084" s="280">
        <v>-1924.0</v>
      </c>
      <c r="N1084" s="282">
        <v>516.0</v>
      </c>
      <c r="O1084" s="60"/>
      <c r="P1084" s="50">
        <v>516.0</v>
      </c>
      <c r="Q1084" s="280">
        <v>-1513.0</v>
      </c>
      <c r="R1084" s="276">
        <v>-6.6E-4</v>
      </c>
      <c r="S1084" s="280">
        <v>-1541.0</v>
      </c>
      <c r="T1084" s="280">
        <v>-1025.0</v>
      </c>
      <c r="U1084" s="62">
        <v>1.132</v>
      </c>
      <c r="V1084" s="277">
        <v>0.19</v>
      </c>
      <c r="W1084" s="277">
        <v>0.0</v>
      </c>
      <c r="X1084" s="280">
        <v>-940.0</v>
      </c>
      <c r="Y1084" s="280">
        <v>-221.0</v>
      </c>
      <c r="Z1084" s="50" t="b">
        <v>1</v>
      </c>
      <c r="AA1084" s="50" t="s">
        <v>138</v>
      </c>
      <c r="AB1084" s="50" t="s">
        <v>140</v>
      </c>
    </row>
    <row r="1085">
      <c r="A1085" s="280" t="s">
        <v>362</v>
      </c>
      <c r="B1085" s="280" t="s">
        <v>362</v>
      </c>
      <c r="C1085" s="288">
        <v>44551.0</v>
      </c>
      <c r="D1085" s="288">
        <v>44581.0</v>
      </c>
      <c r="E1085" s="280" t="s">
        <v>268</v>
      </c>
      <c r="F1085" s="101" t="s">
        <v>4</v>
      </c>
      <c r="G1085" s="280" t="s">
        <v>9</v>
      </c>
      <c r="H1085" s="273" t="s">
        <v>79</v>
      </c>
      <c r="I1085" s="281">
        <v>50.0</v>
      </c>
      <c r="J1085" s="280">
        <v>166.0</v>
      </c>
      <c r="K1085" s="271">
        <f t="shared" si="1"/>
        <v>8300</v>
      </c>
      <c r="L1085" s="280">
        <v>20284.0</v>
      </c>
      <c r="M1085" s="280">
        <v>1019.0</v>
      </c>
      <c r="N1085" s="282">
        <v>6.0</v>
      </c>
      <c r="O1085" s="60"/>
      <c r="P1085" s="50">
        <v>6.0</v>
      </c>
      <c r="Q1085" s="280">
        <v>1101.0</v>
      </c>
      <c r="R1085" s="276">
        <v>-6.6E-4</v>
      </c>
      <c r="S1085" s="280">
        <v>1095.0</v>
      </c>
      <c r="T1085" s="280">
        <v>1101.0</v>
      </c>
      <c r="U1085" s="62">
        <v>1.132</v>
      </c>
      <c r="V1085" s="277">
        <v>0.19</v>
      </c>
      <c r="W1085" s="277">
        <v>0.0</v>
      </c>
      <c r="X1085" s="280">
        <v>1010.0</v>
      </c>
      <c r="Y1085" s="280">
        <v>237.0</v>
      </c>
      <c r="Z1085" s="50" t="b">
        <v>1</v>
      </c>
      <c r="AA1085" s="50" t="s">
        <v>138</v>
      </c>
      <c r="AB1085" s="50" t="s">
        <v>140</v>
      </c>
    </row>
    <row r="1086">
      <c r="A1086" s="280" t="s">
        <v>362</v>
      </c>
      <c r="B1086" s="280" t="s">
        <v>362</v>
      </c>
      <c r="C1086" s="288">
        <v>44551.0</v>
      </c>
      <c r="D1086" s="288">
        <v>44581.0</v>
      </c>
      <c r="E1086" s="280" t="s">
        <v>268</v>
      </c>
      <c r="F1086" s="101" t="s">
        <v>4</v>
      </c>
      <c r="G1086" s="280" t="s">
        <v>9</v>
      </c>
      <c r="H1086" s="273" t="s">
        <v>999</v>
      </c>
      <c r="I1086" s="281">
        <v>250.0</v>
      </c>
      <c r="J1086" s="280">
        <v>43.0</v>
      </c>
      <c r="K1086" s="271">
        <f t="shared" si="1"/>
        <v>10750</v>
      </c>
      <c r="L1086" s="280">
        <v>2576.0</v>
      </c>
      <c r="M1086" s="280">
        <v>849.0</v>
      </c>
      <c r="N1086" s="282">
        <v>0.0</v>
      </c>
      <c r="O1086" s="60"/>
      <c r="P1086" s="50">
        <v>0.0</v>
      </c>
      <c r="Q1086" s="280">
        <v>343.0</v>
      </c>
      <c r="R1086" s="276">
        <v>-6.6E-4</v>
      </c>
      <c r="S1086" s="280">
        <v>336.0</v>
      </c>
      <c r="T1086" s="280">
        <v>336.0</v>
      </c>
      <c r="U1086" s="62">
        <v>1.132</v>
      </c>
      <c r="V1086" s="277">
        <v>0.19</v>
      </c>
      <c r="W1086" s="277">
        <v>0.0</v>
      </c>
      <c r="X1086" s="280">
        <v>308.0</v>
      </c>
      <c r="Y1086" s="280">
        <v>72.0</v>
      </c>
      <c r="Z1086" s="50" t="b">
        <v>1</v>
      </c>
      <c r="AA1086" s="50" t="s">
        <v>138</v>
      </c>
      <c r="AB1086" s="50" t="s">
        <v>140</v>
      </c>
    </row>
    <row r="1087">
      <c r="A1087" s="280" t="s">
        <v>362</v>
      </c>
      <c r="B1087" s="280" t="s">
        <v>362</v>
      </c>
      <c r="C1087" s="288">
        <v>44551.0</v>
      </c>
      <c r="D1087" s="288">
        <v>44581.0</v>
      </c>
      <c r="E1087" s="280" t="s">
        <v>268</v>
      </c>
      <c r="F1087" s="101" t="s">
        <v>4</v>
      </c>
      <c r="G1087" s="280" t="s">
        <v>9</v>
      </c>
      <c r="H1087" s="273" t="s">
        <v>1000</v>
      </c>
      <c r="I1087" s="281">
        <v>500.0</v>
      </c>
      <c r="J1087" s="280">
        <v>5.0</v>
      </c>
      <c r="K1087" s="271">
        <f t="shared" si="1"/>
        <v>2500</v>
      </c>
      <c r="L1087" s="280">
        <v>1263.0</v>
      </c>
      <c r="M1087" s="280">
        <v>566.0</v>
      </c>
      <c r="N1087" s="282">
        <v>3.0</v>
      </c>
      <c r="O1087" s="60"/>
      <c r="P1087" s="50">
        <v>3.0</v>
      </c>
      <c r="Q1087" s="280">
        <v>962.0</v>
      </c>
      <c r="R1087" s="276">
        <v>-6.6E-4</v>
      </c>
      <c r="S1087" s="280">
        <v>960.0</v>
      </c>
      <c r="T1087" s="280">
        <v>963.0</v>
      </c>
      <c r="U1087" s="62">
        <v>1.132</v>
      </c>
      <c r="V1087" s="277">
        <v>0.19</v>
      </c>
      <c r="W1087" s="277">
        <v>0.0</v>
      </c>
      <c r="X1087" s="280">
        <v>883.0</v>
      </c>
      <c r="Y1087" s="280">
        <v>207.0</v>
      </c>
      <c r="Z1087" s="50" t="b">
        <v>1</v>
      </c>
      <c r="AA1087" s="50" t="s">
        <v>138</v>
      </c>
      <c r="AB1087" s="50" t="s">
        <v>140</v>
      </c>
    </row>
    <row r="1088">
      <c r="A1088" s="280" t="s">
        <v>362</v>
      </c>
      <c r="B1088" s="271" t="s">
        <v>189</v>
      </c>
      <c r="C1088" s="288">
        <v>44551.0</v>
      </c>
      <c r="D1088" s="288">
        <v>44581.0</v>
      </c>
      <c r="E1088" s="280" t="s">
        <v>268</v>
      </c>
      <c r="F1088" s="138" t="s">
        <v>12</v>
      </c>
      <c r="G1088" s="271" t="s">
        <v>5</v>
      </c>
      <c r="H1088" s="273" t="s">
        <v>86</v>
      </c>
      <c r="I1088" s="281">
        <v>100.0</v>
      </c>
      <c r="J1088" s="280">
        <v>1.0</v>
      </c>
      <c r="K1088" s="271">
        <f t="shared" si="1"/>
        <v>100</v>
      </c>
      <c r="L1088" s="280">
        <v>27.0</v>
      </c>
      <c r="M1088" s="280">
        <v>-100.0</v>
      </c>
      <c r="N1088" s="275">
        <v>2.0</v>
      </c>
      <c r="O1088" s="60"/>
      <c r="P1088" s="50">
        <v>2.0</v>
      </c>
      <c r="Q1088" s="280">
        <v>3.0</v>
      </c>
      <c r="R1088" s="276">
        <v>0.0</v>
      </c>
      <c r="S1088" s="280">
        <v>3.0</v>
      </c>
      <c r="T1088" s="280">
        <v>-98.0</v>
      </c>
      <c r="U1088" s="62">
        <v>1.0</v>
      </c>
      <c r="V1088" s="277">
        <v>0.19</v>
      </c>
      <c r="W1088" s="277">
        <v>0.0</v>
      </c>
      <c r="X1088" s="280">
        <v>-79.0</v>
      </c>
      <c r="Y1088" s="280">
        <v>-19.0</v>
      </c>
      <c r="Z1088" s="50" t="b">
        <v>1</v>
      </c>
      <c r="AA1088" s="50" t="s">
        <v>138</v>
      </c>
      <c r="AB1088" s="50" t="s">
        <v>138</v>
      </c>
    </row>
    <row r="1089">
      <c r="A1089" s="280" t="s">
        <v>362</v>
      </c>
      <c r="B1089" s="271" t="s">
        <v>189</v>
      </c>
      <c r="C1089" s="288">
        <v>44551.0</v>
      </c>
      <c r="D1089" s="288">
        <v>44581.0</v>
      </c>
      <c r="E1089" s="280" t="s">
        <v>268</v>
      </c>
      <c r="F1089" s="138" t="s">
        <v>12</v>
      </c>
      <c r="G1089" s="271" t="s">
        <v>5</v>
      </c>
      <c r="H1089" s="273" t="s">
        <v>62</v>
      </c>
      <c r="I1089" s="281">
        <v>25.0</v>
      </c>
      <c r="J1089" s="280">
        <v>10.0</v>
      </c>
      <c r="K1089" s="271">
        <f t="shared" si="1"/>
        <v>250</v>
      </c>
      <c r="L1089" s="280">
        <v>3594.0</v>
      </c>
      <c r="M1089" s="280">
        <v>150.0</v>
      </c>
      <c r="N1089" s="275">
        <v>7.0</v>
      </c>
      <c r="O1089" s="60"/>
      <c r="P1089" s="50">
        <v>7.0</v>
      </c>
      <c r="Q1089" s="280">
        <v>151.0</v>
      </c>
      <c r="R1089" s="276">
        <v>0.0</v>
      </c>
      <c r="S1089" s="280">
        <v>151.0</v>
      </c>
      <c r="T1089" s="280">
        <v>157.0</v>
      </c>
      <c r="U1089" s="62">
        <v>1.0</v>
      </c>
      <c r="V1089" s="277">
        <v>0.19</v>
      </c>
      <c r="W1089" s="277">
        <v>0.0</v>
      </c>
      <c r="X1089" s="280">
        <v>127.0</v>
      </c>
      <c r="Y1089" s="280">
        <v>30.0</v>
      </c>
      <c r="Z1089" s="50" t="b">
        <v>1</v>
      </c>
      <c r="AA1089" s="50" t="s">
        <v>138</v>
      </c>
      <c r="AB1089" s="50" t="s">
        <v>138</v>
      </c>
    </row>
    <row r="1090">
      <c r="A1090" s="280" t="s">
        <v>362</v>
      </c>
      <c r="B1090" s="271" t="s">
        <v>189</v>
      </c>
      <c r="C1090" s="288">
        <v>44551.0</v>
      </c>
      <c r="D1090" s="288">
        <v>44581.0</v>
      </c>
      <c r="E1090" s="280" t="s">
        <v>268</v>
      </c>
      <c r="F1090" s="138" t="s">
        <v>12</v>
      </c>
      <c r="G1090" s="271" t="s">
        <v>5</v>
      </c>
      <c r="H1090" s="273" t="s">
        <v>101</v>
      </c>
      <c r="I1090" s="281">
        <v>500.0</v>
      </c>
      <c r="J1090" s="280">
        <v>16.0</v>
      </c>
      <c r="K1090" s="271">
        <f t="shared" si="1"/>
        <v>8000</v>
      </c>
      <c r="L1090" s="280">
        <v>-2495.0</v>
      </c>
      <c r="M1090" s="280">
        <v>-4000.0</v>
      </c>
      <c r="N1090" s="275">
        <v>224.0</v>
      </c>
      <c r="O1090" s="60"/>
      <c r="P1090" s="50">
        <v>224.0</v>
      </c>
      <c r="Q1090" s="280">
        <v>-2753.0</v>
      </c>
      <c r="R1090" s="276">
        <v>0.0</v>
      </c>
      <c r="S1090" s="280">
        <v>-2753.0</v>
      </c>
      <c r="T1090" s="280">
        <v>-3776.0</v>
      </c>
      <c r="U1090" s="62">
        <v>1.0</v>
      </c>
      <c r="V1090" s="277">
        <v>0.19</v>
      </c>
      <c r="W1090" s="277">
        <v>0.0</v>
      </c>
      <c r="X1090" s="280">
        <v>-3059.0</v>
      </c>
      <c r="Y1090" s="280">
        <v>-717.0</v>
      </c>
      <c r="Z1090" s="50" t="b">
        <v>1</v>
      </c>
      <c r="AA1090" s="50" t="s">
        <v>138</v>
      </c>
      <c r="AB1090" s="50" t="s">
        <v>138</v>
      </c>
    </row>
    <row r="1091">
      <c r="A1091" s="280" t="s">
        <v>362</v>
      </c>
      <c r="B1091" s="271" t="s">
        <v>189</v>
      </c>
      <c r="C1091" s="288">
        <v>44551.0</v>
      </c>
      <c r="D1091" s="288">
        <v>44581.0</v>
      </c>
      <c r="E1091" s="280" t="s">
        <v>268</v>
      </c>
      <c r="F1091" s="138" t="s">
        <v>12</v>
      </c>
      <c r="G1091" s="271" t="s">
        <v>5</v>
      </c>
      <c r="H1091" s="273" t="s">
        <v>97</v>
      </c>
      <c r="I1091" s="281">
        <v>250.0</v>
      </c>
      <c r="J1091" s="280">
        <v>33.0</v>
      </c>
      <c r="K1091" s="271">
        <f t="shared" si="1"/>
        <v>8250</v>
      </c>
      <c r="L1091" s="280">
        <v>-298.0</v>
      </c>
      <c r="M1091" s="280">
        <v>-2000.0</v>
      </c>
      <c r="N1091" s="275">
        <v>211.0</v>
      </c>
      <c r="O1091" s="60"/>
      <c r="P1091" s="50">
        <v>211.0</v>
      </c>
      <c r="Q1091" s="280">
        <v>-659.0</v>
      </c>
      <c r="R1091" s="276">
        <v>0.0</v>
      </c>
      <c r="S1091" s="280">
        <v>-659.0</v>
      </c>
      <c r="T1091" s="280">
        <v>-1789.0</v>
      </c>
      <c r="U1091" s="62">
        <v>1.0</v>
      </c>
      <c r="V1091" s="277">
        <v>0.19</v>
      </c>
      <c r="W1091" s="277">
        <v>0.0</v>
      </c>
      <c r="X1091" s="280">
        <v>-1449.0</v>
      </c>
      <c r="Y1091" s="280">
        <v>-340.0</v>
      </c>
      <c r="Z1091" s="50" t="b">
        <v>1</v>
      </c>
      <c r="AA1091" s="50" t="s">
        <v>138</v>
      </c>
      <c r="AB1091" s="50" t="s">
        <v>138</v>
      </c>
    </row>
    <row r="1092">
      <c r="A1092" s="280" t="s">
        <v>362</v>
      </c>
      <c r="B1092" s="271" t="s">
        <v>189</v>
      </c>
      <c r="C1092" s="288">
        <v>44551.0</v>
      </c>
      <c r="D1092" s="288">
        <v>44581.0</v>
      </c>
      <c r="E1092" s="280" t="s">
        <v>268</v>
      </c>
      <c r="F1092" s="138" t="s">
        <v>12</v>
      </c>
      <c r="G1092" s="271" t="s">
        <v>5</v>
      </c>
      <c r="H1092" s="273" t="s">
        <v>96</v>
      </c>
      <c r="I1092" s="281">
        <v>250.0</v>
      </c>
      <c r="J1092" s="280">
        <v>153.0</v>
      </c>
      <c r="K1092" s="271">
        <f t="shared" si="1"/>
        <v>38250</v>
      </c>
      <c r="L1092" s="280">
        <v>-1383.0</v>
      </c>
      <c r="M1092" s="280">
        <v>-3000.0</v>
      </c>
      <c r="N1092" s="275">
        <v>954.0</v>
      </c>
      <c r="O1092" s="60"/>
      <c r="P1092" s="50">
        <v>954.0</v>
      </c>
      <c r="Q1092" s="280">
        <v>-2623.0</v>
      </c>
      <c r="R1092" s="276">
        <v>0.0</v>
      </c>
      <c r="S1092" s="280">
        <v>-2623.0</v>
      </c>
      <c r="T1092" s="280">
        <v>-2046.0</v>
      </c>
      <c r="U1092" s="62">
        <v>1.0</v>
      </c>
      <c r="V1092" s="277">
        <v>0.19</v>
      </c>
      <c r="W1092" s="277">
        <v>0.0</v>
      </c>
      <c r="X1092" s="280">
        <v>-1657.0</v>
      </c>
      <c r="Y1092" s="280">
        <v>-389.0</v>
      </c>
      <c r="Z1092" s="50" t="b">
        <v>1</v>
      </c>
      <c r="AA1092" s="50" t="s">
        <v>138</v>
      </c>
      <c r="AB1092" s="50" t="s">
        <v>138</v>
      </c>
    </row>
    <row r="1093">
      <c r="A1093" s="280" t="s">
        <v>362</v>
      </c>
      <c r="B1093" s="271" t="s">
        <v>189</v>
      </c>
      <c r="C1093" s="288">
        <v>44551.0</v>
      </c>
      <c r="D1093" s="288">
        <v>44581.0</v>
      </c>
      <c r="E1093" s="280" t="s">
        <v>268</v>
      </c>
      <c r="F1093" s="138" t="s">
        <v>12</v>
      </c>
      <c r="G1093" s="271" t="s">
        <v>5</v>
      </c>
      <c r="H1093" s="273" t="s">
        <v>74</v>
      </c>
      <c r="I1093" s="281">
        <v>50.0</v>
      </c>
      <c r="J1093" s="280">
        <v>548.0</v>
      </c>
      <c r="K1093" s="271">
        <f t="shared" si="1"/>
        <v>27400</v>
      </c>
      <c r="L1093" s="280">
        <v>31781.0</v>
      </c>
      <c r="M1093" s="280">
        <v>-750.0</v>
      </c>
      <c r="N1093" s="275">
        <v>787.0</v>
      </c>
      <c r="O1093" s="60"/>
      <c r="P1093" s="50">
        <v>787.0</v>
      </c>
      <c r="Q1093" s="280">
        <v>1193.0</v>
      </c>
      <c r="R1093" s="276">
        <v>0.0</v>
      </c>
      <c r="S1093" s="280">
        <v>1193.0</v>
      </c>
      <c r="T1093" s="280">
        <v>37.0</v>
      </c>
      <c r="U1093" s="62">
        <v>1.0</v>
      </c>
      <c r="V1093" s="277">
        <v>0.19</v>
      </c>
      <c r="W1093" s="277">
        <v>0.0</v>
      </c>
      <c r="X1093" s="280">
        <v>30.0</v>
      </c>
      <c r="Y1093" s="280">
        <v>7.0</v>
      </c>
      <c r="Z1093" s="50" t="b">
        <v>1</v>
      </c>
      <c r="AA1093" s="50" t="s">
        <v>138</v>
      </c>
      <c r="AB1093" s="50" t="s">
        <v>138</v>
      </c>
    </row>
    <row r="1094">
      <c r="A1094" s="280" t="s">
        <v>362</v>
      </c>
      <c r="B1094" s="271" t="s">
        <v>189</v>
      </c>
      <c r="C1094" s="288">
        <v>44551.0</v>
      </c>
      <c r="D1094" s="288">
        <v>44581.0</v>
      </c>
      <c r="E1094" s="280" t="s">
        <v>268</v>
      </c>
      <c r="F1094" s="138" t="s">
        <v>12</v>
      </c>
      <c r="G1094" s="271" t="s">
        <v>5</v>
      </c>
      <c r="H1094" s="273" t="s">
        <v>85</v>
      </c>
      <c r="I1094" s="281">
        <v>100.0</v>
      </c>
      <c r="J1094" s="280">
        <v>1121.0</v>
      </c>
      <c r="K1094" s="271">
        <f t="shared" si="1"/>
        <v>112100</v>
      </c>
      <c r="L1094" s="280">
        <v>29709.0</v>
      </c>
      <c r="M1094" s="280">
        <v>-4000.0</v>
      </c>
      <c r="N1094" s="275">
        <v>2649.0</v>
      </c>
      <c r="O1094" s="60"/>
      <c r="P1094" s="109">
        <v>2649.0</v>
      </c>
      <c r="Q1094" s="280">
        <v>-485.0</v>
      </c>
      <c r="R1094" s="276">
        <v>0.0</v>
      </c>
      <c r="S1094" s="280">
        <v>-485.0</v>
      </c>
      <c r="T1094" s="280">
        <v>-1351.0</v>
      </c>
      <c r="U1094" s="62">
        <v>1.0</v>
      </c>
      <c r="V1094" s="277">
        <v>0.19</v>
      </c>
      <c r="W1094" s="277">
        <v>0.0</v>
      </c>
      <c r="X1094" s="280">
        <v>-1094.0</v>
      </c>
      <c r="Y1094" s="280">
        <v>-257.0</v>
      </c>
      <c r="Z1094" s="50" t="b">
        <v>1</v>
      </c>
      <c r="AA1094" s="50" t="s">
        <v>138</v>
      </c>
      <c r="AB1094" s="50" t="s">
        <v>138</v>
      </c>
    </row>
    <row r="1095">
      <c r="A1095" s="101" t="s">
        <v>416</v>
      </c>
      <c r="B1095" s="101" t="s">
        <v>190</v>
      </c>
      <c r="C1095" s="278">
        <v>44551.0</v>
      </c>
      <c r="D1095" s="278">
        <v>44581.0</v>
      </c>
      <c r="E1095" s="271" t="s">
        <v>268</v>
      </c>
      <c r="F1095" s="138" t="s">
        <v>4</v>
      </c>
      <c r="G1095" s="271" t="s">
        <v>5</v>
      </c>
      <c r="H1095" s="273" t="s">
        <v>45</v>
      </c>
      <c r="I1095" s="274">
        <v>10.0</v>
      </c>
      <c r="J1095" s="271">
        <v>4040.0</v>
      </c>
      <c r="K1095" s="271">
        <f t="shared" si="1"/>
        <v>40400</v>
      </c>
      <c r="L1095" s="271">
        <v>199702.0</v>
      </c>
      <c r="M1095" s="271">
        <v>-630.0</v>
      </c>
      <c r="N1095" s="275">
        <v>1535.0</v>
      </c>
      <c r="O1095" s="60"/>
      <c r="P1095" s="109">
        <v>1535.0</v>
      </c>
      <c r="Q1095" s="271">
        <v>590.0</v>
      </c>
      <c r="R1095" s="276">
        <v>-6.6E-4</v>
      </c>
      <c r="S1095" s="271">
        <v>564.0</v>
      </c>
      <c r="T1095" s="271">
        <v>2099.0</v>
      </c>
      <c r="U1095" s="62">
        <v>1.0</v>
      </c>
      <c r="V1095" s="277">
        <v>0.25</v>
      </c>
      <c r="W1095" s="277">
        <v>0.0</v>
      </c>
      <c r="X1095" s="271">
        <v>1574.0</v>
      </c>
      <c r="Y1095" s="271">
        <v>525.0</v>
      </c>
      <c r="Z1095" s="50" t="b">
        <v>1</v>
      </c>
      <c r="AA1095" s="50" t="s">
        <v>138</v>
      </c>
      <c r="AB1095" s="50" t="s">
        <v>138</v>
      </c>
    </row>
    <row r="1096">
      <c r="A1096" s="101" t="s">
        <v>416</v>
      </c>
      <c r="B1096" s="101" t="s">
        <v>190</v>
      </c>
      <c r="C1096" s="278">
        <v>44551.0</v>
      </c>
      <c r="D1096" s="278">
        <v>44581.0</v>
      </c>
      <c r="E1096" s="271" t="s">
        <v>268</v>
      </c>
      <c r="F1096" s="138" t="s">
        <v>12</v>
      </c>
      <c r="G1096" s="271" t="s">
        <v>5</v>
      </c>
      <c r="H1096" s="273" t="s">
        <v>35</v>
      </c>
      <c r="I1096" s="274">
        <v>5.0</v>
      </c>
      <c r="J1096" s="271">
        <v>10.0</v>
      </c>
      <c r="K1096" s="271">
        <f t="shared" si="1"/>
        <v>50</v>
      </c>
      <c r="L1096" s="271"/>
      <c r="M1096" s="271">
        <v>-20.0</v>
      </c>
      <c r="N1096" s="275">
        <v>2.0</v>
      </c>
      <c r="O1096" s="60"/>
      <c r="P1096" s="50">
        <v>2.0</v>
      </c>
      <c r="Q1096" s="271"/>
      <c r="R1096" s="276">
        <v>0.0</v>
      </c>
      <c r="S1096" s="271"/>
      <c r="T1096" s="271">
        <v>-18.0</v>
      </c>
      <c r="U1096" s="62">
        <v>1.0</v>
      </c>
      <c r="V1096" s="277">
        <v>0.25</v>
      </c>
      <c r="W1096" s="277">
        <v>0.0</v>
      </c>
      <c r="X1096" s="271">
        <v>-14.0</v>
      </c>
      <c r="Y1096" s="271">
        <v>-5.0</v>
      </c>
      <c r="Z1096" s="50" t="b">
        <v>1</v>
      </c>
      <c r="AA1096" s="50" t="s">
        <v>138</v>
      </c>
      <c r="AB1096" s="50" t="s">
        <v>138</v>
      </c>
    </row>
    <row r="1097">
      <c r="A1097" s="280" t="s">
        <v>150</v>
      </c>
      <c r="B1097" s="280" t="s">
        <v>150</v>
      </c>
      <c r="C1097" s="288">
        <v>44551.0</v>
      </c>
      <c r="D1097" s="288">
        <v>44581.0</v>
      </c>
      <c r="E1097" s="280" t="s">
        <v>268</v>
      </c>
      <c r="F1097" s="101" t="s">
        <v>4</v>
      </c>
      <c r="G1097" s="280" t="s">
        <v>9</v>
      </c>
      <c r="H1097" s="273" t="s">
        <v>66</v>
      </c>
      <c r="I1097" s="281">
        <v>25.0</v>
      </c>
      <c r="J1097" s="280">
        <v>506.0</v>
      </c>
      <c r="K1097" s="271">
        <f t="shared" si="1"/>
        <v>12650</v>
      </c>
      <c r="L1097" s="280">
        <v>22513.0</v>
      </c>
      <c r="M1097" s="280">
        <v>-368.0</v>
      </c>
      <c r="N1097" s="282">
        <v>240.0</v>
      </c>
      <c r="O1097" s="60"/>
      <c r="P1097" s="50">
        <v>240.0</v>
      </c>
      <c r="Q1097" s="280">
        <v>-100.0</v>
      </c>
      <c r="R1097" s="276">
        <v>-6.6E-4</v>
      </c>
      <c r="S1097" s="280">
        <v>-108.0</v>
      </c>
      <c r="T1097" s="280">
        <v>132.0</v>
      </c>
      <c r="U1097" s="62">
        <v>1.0</v>
      </c>
      <c r="V1097" s="277">
        <v>0.3</v>
      </c>
      <c r="W1097" s="277">
        <v>0.0</v>
      </c>
      <c r="X1097" s="280">
        <v>92.0</v>
      </c>
      <c r="Y1097" s="280">
        <v>40.0</v>
      </c>
      <c r="Z1097" s="50" t="b">
        <v>1</v>
      </c>
      <c r="AA1097" s="50" t="s">
        <v>140</v>
      </c>
      <c r="AB1097" s="50" t="s">
        <v>140</v>
      </c>
    </row>
    <row r="1098">
      <c r="A1098" s="101" t="s">
        <v>505</v>
      </c>
      <c r="B1098" s="271" t="s">
        <v>166</v>
      </c>
      <c r="C1098" s="278">
        <v>44551.0</v>
      </c>
      <c r="D1098" s="278">
        <v>44581.0</v>
      </c>
      <c r="E1098" s="271" t="s">
        <v>268</v>
      </c>
      <c r="F1098" s="101" t="s">
        <v>4</v>
      </c>
      <c r="G1098" s="271" t="s">
        <v>5</v>
      </c>
      <c r="H1098" s="273" t="s">
        <v>45</v>
      </c>
      <c r="I1098" s="281">
        <v>10.0</v>
      </c>
      <c r="J1098" s="280">
        <v>2899.0</v>
      </c>
      <c r="K1098" s="271">
        <f t="shared" si="1"/>
        <v>28990</v>
      </c>
      <c r="L1098" s="280">
        <v>96710.0</v>
      </c>
      <c r="M1098" s="280">
        <v>320.0</v>
      </c>
      <c r="N1098" s="275">
        <v>1468.0</v>
      </c>
      <c r="O1098" s="60"/>
      <c r="P1098" s="109">
        <v>1468.0</v>
      </c>
      <c r="Q1098" s="280">
        <v>-371.0</v>
      </c>
      <c r="R1098" s="276">
        <v>-6.6E-4</v>
      </c>
      <c r="S1098" s="280">
        <v>-390.0</v>
      </c>
      <c r="T1098" s="280">
        <v>1078.0</v>
      </c>
      <c r="U1098" s="62">
        <v>1.0</v>
      </c>
      <c r="V1098" s="277">
        <v>0.25</v>
      </c>
      <c r="W1098" s="277">
        <v>0.0</v>
      </c>
      <c r="X1098" s="280">
        <v>808.0</v>
      </c>
      <c r="Y1098" s="280">
        <v>269.0</v>
      </c>
      <c r="Z1098" s="50" t="b">
        <v>1</v>
      </c>
      <c r="AA1098" s="50" t="s">
        <v>138</v>
      </c>
      <c r="AB1098" s="50" t="s">
        <v>138</v>
      </c>
    </row>
    <row r="1099">
      <c r="A1099" s="101" t="s">
        <v>505</v>
      </c>
      <c r="B1099" s="271" t="s">
        <v>166</v>
      </c>
      <c r="C1099" s="278">
        <v>44551.0</v>
      </c>
      <c r="D1099" s="278">
        <v>44581.0</v>
      </c>
      <c r="E1099" s="271" t="s">
        <v>268</v>
      </c>
      <c r="F1099" s="101" t="s">
        <v>12</v>
      </c>
      <c r="G1099" s="271" t="s">
        <v>5</v>
      </c>
      <c r="H1099" s="273" t="s">
        <v>48</v>
      </c>
      <c r="I1099" s="274">
        <v>10.0</v>
      </c>
      <c r="J1099" s="271">
        <v>6.0</v>
      </c>
      <c r="K1099" s="271">
        <f t="shared" si="1"/>
        <v>60</v>
      </c>
      <c r="L1099" s="271"/>
      <c r="M1099" s="271">
        <v>-10.0</v>
      </c>
      <c r="N1099" s="275">
        <v>3.0</v>
      </c>
      <c r="O1099" s="60"/>
      <c r="P1099" s="50">
        <v>3.0</v>
      </c>
      <c r="Q1099" s="271"/>
      <c r="R1099" s="276">
        <v>0.0</v>
      </c>
      <c r="S1099" s="271"/>
      <c r="T1099" s="271">
        <v>-7.0</v>
      </c>
      <c r="U1099" s="62">
        <v>1.0</v>
      </c>
      <c r="V1099" s="277">
        <v>0.25</v>
      </c>
      <c r="W1099" s="277">
        <v>0.0</v>
      </c>
      <c r="X1099" s="271">
        <v>-5.0</v>
      </c>
      <c r="Y1099" s="271">
        <v>-2.0</v>
      </c>
      <c r="Z1099" s="50" t="b">
        <v>1</v>
      </c>
      <c r="AA1099" s="50" t="s">
        <v>138</v>
      </c>
      <c r="AB1099" s="50" t="s">
        <v>138</v>
      </c>
    </row>
    <row r="1100">
      <c r="A1100" s="280" t="s">
        <v>199</v>
      </c>
      <c r="B1100" s="280" t="s">
        <v>1003</v>
      </c>
      <c r="C1100" s="283">
        <v>44551.0</v>
      </c>
      <c r="D1100" s="283">
        <v>44581.0</v>
      </c>
      <c r="E1100" s="280" t="s">
        <v>268</v>
      </c>
      <c r="F1100" s="138" t="s">
        <v>4</v>
      </c>
      <c r="G1100" s="280" t="s">
        <v>9</v>
      </c>
      <c r="H1100" s="273" t="s">
        <v>53</v>
      </c>
      <c r="I1100" s="281">
        <v>10.0</v>
      </c>
      <c r="J1100" s="280">
        <v>1837.0</v>
      </c>
      <c r="K1100" s="271">
        <f t="shared" si="1"/>
        <v>18370</v>
      </c>
      <c r="L1100" s="280">
        <v>172876.0</v>
      </c>
      <c r="M1100" s="280">
        <v>1245.0</v>
      </c>
      <c r="N1100" s="282">
        <v>170.0</v>
      </c>
      <c r="O1100" s="60"/>
      <c r="P1100" s="50">
        <v>170.0</v>
      </c>
      <c r="Q1100" s="280">
        <v>1503.0</v>
      </c>
      <c r="R1100" s="276">
        <v>-6.6E-4</v>
      </c>
      <c r="S1100" s="280">
        <v>1491.0</v>
      </c>
      <c r="T1100" s="280">
        <v>1661.0</v>
      </c>
      <c r="U1100" s="62">
        <v>1.0</v>
      </c>
      <c r="V1100" s="277">
        <v>0.2</v>
      </c>
      <c r="W1100" s="277">
        <v>0.0</v>
      </c>
      <c r="X1100" s="280">
        <v>1329.0</v>
      </c>
      <c r="Y1100" s="280">
        <v>332.0</v>
      </c>
      <c r="Z1100" s="50" t="b">
        <v>1</v>
      </c>
      <c r="AA1100" s="50" t="s">
        <v>140</v>
      </c>
      <c r="AB1100" s="50" t="s">
        <v>140</v>
      </c>
    </row>
    <row r="1101">
      <c r="A1101" s="101" t="s">
        <v>199</v>
      </c>
      <c r="B1101" s="101" t="s">
        <v>199</v>
      </c>
      <c r="C1101" s="283">
        <v>44551.0</v>
      </c>
      <c r="D1101" s="283">
        <v>44581.0</v>
      </c>
      <c r="E1101" s="280" t="s">
        <v>268</v>
      </c>
      <c r="F1101" s="138" t="s">
        <v>4</v>
      </c>
      <c r="G1101" s="271" t="s">
        <v>5</v>
      </c>
      <c r="H1101" s="273" t="s">
        <v>45</v>
      </c>
      <c r="I1101" s="281">
        <v>10.0</v>
      </c>
      <c r="J1101" s="280">
        <v>194.0</v>
      </c>
      <c r="K1101" s="271">
        <f t="shared" si="1"/>
        <v>1940</v>
      </c>
      <c r="L1101" s="280">
        <v>5839.0</v>
      </c>
      <c r="M1101" s="280">
        <v>-40.0</v>
      </c>
      <c r="N1101" s="275">
        <v>90.0</v>
      </c>
      <c r="O1101" s="60"/>
      <c r="P1101" s="50">
        <v>90.0</v>
      </c>
      <c r="Q1101" s="280">
        <v>-36.0</v>
      </c>
      <c r="R1101" s="276">
        <v>-6.6E-4</v>
      </c>
      <c r="S1101" s="280">
        <v>-38.0</v>
      </c>
      <c r="T1101" s="280">
        <v>52.0</v>
      </c>
      <c r="U1101" s="62">
        <v>0.883</v>
      </c>
      <c r="V1101" s="277">
        <v>0.2</v>
      </c>
      <c r="W1101" s="277">
        <v>0.0</v>
      </c>
      <c r="X1101" s="280">
        <v>37.0</v>
      </c>
      <c r="Y1101" s="280">
        <v>9.0</v>
      </c>
      <c r="Z1101" s="50" t="b">
        <v>1</v>
      </c>
      <c r="AA1101" s="50" t="s">
        <v>140</v>
      </c>
      <c r="AB1101" s="50" t="s">
        <v>138</v>
      </c>
    </row>
    <row r="1102">
      <c r="A1102" s="101" t="s">
        <v>546</v>
      </c>
      <c r="B1102" s="101" t="s">
        <v>202</v>
      </c>
      <c r="C1102" s="278">
        <v>44551.0</v>
      </c>
      <c r="D1102" s="278">
        <v>44581.0</v>
      </c>
      <c r="E1102" s="271" t="s">
        <v>331</v>
      </c>
      <c r="F1102" s="138" t="s">
        <v>4</v>
      </c>
      <c r="G1102" s="271" t="s">
        <v>13</v>
      </c>
      <c r="H1102" s="273" t="s">
        <v>85</v>
      </c>
      <c r="I1102" s="274">
        <v>100.0</v>
      </c>
      <c r="J1102" s="271">
        <v>184.0</v>
      </c>
      <c r="K1102" s="271">
        <f t="shared" si="1"/>
        <v>18400</v>
      </c>
      <c r="L1102" s="271">
        <v>5118.0</v>
      </c>
      <c r="M1102" s="271">
        <v>-2900.0</v>
      </c>
      <c r="N1102" s="275">
        <v>1008.97</v>
      </c>
      <c r="O1102" s="60"/>
      <c r="P1102" s="109">
        <v>1009.0</v>
      </c>
      <c r="Q1102" s="271">
        <v>123.0</v>
      </c>
      <c r="R1102" s="276">
        <v>-6.57E-4</v>
      </c>
      <c r="S1102" s="271">
        <v>111.0</v>
      </c>
      <c r="T1102" s="271">
        <v>1120.0</v>
      </c>
      <c r="U1102" s="62">
        <v>1.0</v>
      </c>
      <c r="V1102" s="277">
        <v>0.11</v>
      </c>
      <c r="W1102" s="277">
        <v>0.03</v>
      </c>
      <c r="X1102" s="271">
        <v>963.0</v>
      </c>
      <c r="Y1102" s="271">
        <v>157.0</v>
      </c>
      <c r="Z1102" s="50" t="b">
        <v>1</v>
      </c>
      <c r="AA1102" s="50" t="s">
        <v>138</v>
      </c>
      <c r="AB1102" s="50" t="s">
        <v>138</v>
      </c>
    </row>
    <row r="1103">
      <c r="A1103" s="101" t="s">
        <v>546</v>
      </c>
      <c r="B1103" s="101" t="s">
        <v>202</v>
      </c>
      <c r="C1103" s="278">
        <v>44551.0</v>
      </c>
      <c r="D1103" s="278">
        <v>44581.0</v>
      </c>
      <c r="E1103" s="271" t="s">
        <v>331</v>
      </c>
      <c r="F1103" s="138" t="s">
        <v>4</v>
      </c>
      <c r="G1103" s="271" t="s">
        <v>13</v>
      </c>
      <c r="H1103" s="273" t="s">
        <v>93</v>
      </c>
      <c r="I1103" s="274">
        <v>200.0</v>
      </c>
      <c r="J1103" s="271">
        <v>4985.0</v>
      </c>
      <c r="K1103" s="271">
        <f t="shared" si="1"/>
        <v>997000</v>
      </c>
      <c r="L1103" s="271">
        <v>58370.0</v>
      </c>
      <c r="M1103" s="271">
        <v>-33400.0</v>
      </c>
      <c r="N1103" s="275">
        <v>54671.03</v>
      </c>
      <c r="O1103" s="60"/>
      <c r="P1103" s="109">
        <v>54671.0</v>
      </c>
      <c r="Q1103" s="271">
        <v>-39530.0</v>
      </c>
      <c r="R1103" s="276">
        <v>-6.57E-4</v>
      </c>
      <c r="S1103" s="271">
        <v>-40185.0</v>
      </c>
      <c r="T1103" s="271">
        <v>14486.0</v>
      </c>
      <c r="U1103" s="62">
        <v>1.0</v>
      </c>
      <c r="V1103" s="277">
        <v>0.11</v>
      </c>
      <c r="W1103" s="277">
        <v>0.03</v>
      </c>
      <c r="X1103" s="271">
        <v>12458.0</v>
      </c>
      <c r="Y1103" s="271">
        <v>2028.0</v>
      </c>
      <c r="Z1103" s="50" t="b">
        <v>1</v>
      </c>
      <c r="AA1103" s="50" t="s">
        <v>138</v>
      </c>
      <c r="AB1103" s="50" t="s">
        <v>138</v>
      </c>
    </row>
    <row r="1104">
      <c r="A1104" s="101" t="s">
        <v>160</v>
      </c>
      <c r="B1104" s="101" t="s">
        <v>160</v>
      </c>
      <c r="C1104" s="278">
        <v>44551.0</v>
      </c>
      <c r="D1104" s="278">
        <v>44581.0</v>
      </c>
      <c r="E1104" s="271" t="s">
        <v>268</v>
      </c>
      <c r="F1104" s="138" t="s">
        <v>4</v>
      </c>
      <c r="G1104" s="101" t="s">
        <v>5</v>
      </c>
      <c r="H1104" s="273" t="s">
        <v>45</v>
      </c>
      <c r="I1104" s="274">
        <v>10.0</v>
      </c>
      <c r="J1104" s="271">
        <v>2789.0</v>
      </c>
      <c r="K1104" s="271">
        <f t="shared" si="1"/>
        <v>27890</v>
      </c>
      <c r="L1104" s="271">
        <v>72965.0</v>
      </c>
      <c r="M1104" s="271">
        <v>-1040.0</v>
      </c>
      <c r="N1104" s="275">
        <v>1425.0</v>
      </c>
      <c r="O1104" s="60"/>
      <c r="P1104" s="109">
        <v>1425.0</v>
      </c>
      <c r="Q1104" s="271">
        <v>-725.0</v>
      </c>
      <c r="R1104" s="276">
        <v>-6.6E-4</v>
      </c>
      <c r="S1104" s="271">
        <v>-744.0</v>
      </c>
      <c r="T1104" s="271">
        <v>681.0</v>
      </c>
      <c r="U1104" s="62">
        <v>1.0</v>
      </c>
      <c r="V1104" s="277">
        <v>0.3</v>
      </c>
      <c r="W1104" s="277">
        <v>0.0</v>
      </c>
      <c r="X1104" s="271">
        <v>477.0</v>
      </c>
      <c r="Y1104" s="271">
        <v>204.0</v>
      </c>
      <c r="Z1104" s="50" t="b">
        <v>1</v>
      </c>
      <c r="AA1104" s="50" t="s">
        <v>138</v>
      </c>
      <c r="AB1104" s="50" t="s">
        <v>138</v>
      </c>
    </row>
    <row r="1105">
      <c r="A1105" s="101" t="s">
        <v>207</v>
      </c>
      <c r="B1105" s="101" t="s">
        <v>208</v>
      </c>
      <c r="C1105" s="278">
        <v>44551.0</v>
      </c>
      <c r="D1105" s="278">
        <v>44581.0</v>
      </c>
      <c r="E1105" s="271" t="s">
        <v>268</v>
      </c>
      <c r="F1105" s="138" t="s">
        <v>4</v>
      </c>
      <c r="G1105" s="101" t="s">
        <v>13</v>
      </c>
      <c r="H1105" s="273" t="s">
        <v>34</v>
      </c>
      <c r="I1105" s="274">
        <v>5.0</v>
      </c>
      <c r="J1105" s="271">
        <v>5788.0</v>
      </c>
      <c r="K1105" s="271">
        <f t="shared" si="1"/>
        <v>28940</v>
      </c>
      <c r="L1105" s="271">
        <v>101129.0</v>
      </c>
      <c r="M1105" s="271">
        <v>-155.0</v>
      </c>
      <c r="N1105" s="275">
        <f>2295</f>
        <v>2295</v>
      </c>
      <c r="O1105" s="60"/>
      <c r="P1105" s="109">
        <v>2295.0</v>
      </c>
      <c r="Q1105" s="271">
        <v>-676.0</v>
      </c>
      <c r="R1105" s="276">
        <v>-6.6E-4</v>
      </c>
      <c r="S1105" s="271">
        <v>-695.0</v>
      </c>
      <c r="T1105" s="271">
        <v>1600.0</v>
      </c>
      <c r="U1105" s="62">
        <v>1.0</v>
      </c>
      <c r="V1105" s="277">
        <v>0.25</v>
      </c>
      <c r="W1105" s="277">
        <v>0.0</v>
      </c>
      <c r="X1105" s="271">
        <v>1200.0</v>
      </c>
      <c r="Y1105" s="271">
        <v>400.0</v>
      </c>
      <c r="Z1105" s="50" t="b">
        <v>1</v>
      </c>
      <c r="AA1105" s="50" t="s">
        <v>138</v>
      </c>
      <c r="AB1105" s="50" t="s">
        <v>138</v>
      </c>
    </row>
    <row r="1106">
      <c r="A1106" s="101" t="s">
        <v>207</v>
      </c>
      <c r="B1106" s="101" t="s">
        <v>208</v>
      </c>
      <c r="C1106" s="278">
        <v>44551.0</v>
      </c>
      <c r="D1106" s="278">
        <v>44581.0</v>
      </c>
      <c r="E1106" s="271" t="s">
        <v>268</v>
      </c>
      <c r="F1106" s="138" t="s">
        <v>4</v>
      </c>
      <c r="G1106" s="101" t="s">
        <v>13</v>
      </c>
      <c r="H1106" s="273" t="s">
        <v>45</v>
      </c>
      <c r="I1106" s="274">
        <v>10.0</v>
      </c>
      <c r="J1106" s="271">
        <v>1036.0</v>
      </c>
      <c r="K1106" s="271">
        <f t="shared" si="1"/>
        <v>10360</v>
      </c>
      <c r="L1106" s="271">
        <v>17407.0</v>
      </c>
      <c r="M1106" s="271">
        <v>590.0</v>
      </c>
      <c r="N1106" s="275">
        <f>124*5</f>
        <v>620</v>
      </c>
      <c r="O1106" s="60"/>
      <c r="P1106" s="50">
        <v>620.0</v>
      </c>
      <c r="Q1106" s="271">
        <v>-259.0</v>
      </c>
      <c r="R1106" s="276">
        <v>-6.6E-4</v>
      </c>
      <c r="S1106" s="271">
        <v>-266.0</v>
      </c>
      <c r="T1106" s="271">
        <v>354.0</v>
      </c>
      <c r="U1106" s="62">
        <v>1.0</v>
      </c>
      <c r="V1106" s="277">
        <v>0.25</v>
      </c>
      <c r="W1106" s="277">
        <v>0.0</v>
      </c>
      <c r="X1106" s="271">
        <v>266.0</v>
      </c>
      <c r="Y1106" s="271">
        <v>89.0</v>
      </c>
      <c r="Z1106" s="50" t="b">
        <v>1</v>
      </c>
      <c r="AA1106" s="50" t="s">
        <v>138</v>
      </c>
      <c r="AB1106" s="50" t="s">
        <v>138</v>
      </c>
    </row>
    <row r="1107">
      <c r="A1107" s="101" t="s">
        <v>207</v>
      </c>
      <c r="B1107" s="101" t="s">
        <v>208</v>
      </c>
      <c r="C1107" s="278">
        <v>44551.0</v>
      </c>
      <c r="D1107" s="278">
        <v>44581.0</v>
      </c>
      <c r="E1107" s="271" t="s">
        <v>268</v>
      </c>
      <c r="F1107" s="138" t="s">
        <v>4</v>
      </c>
      <c r="G1107" s="101" t="s">
        <v>13</v>
      </c>
      <c r="H1107" s="273" t="s">
        <v>59</v>
      </c>
      <c r="I1107" s="274">
        <v>20.0</v>
      </c>
      <c r="J1107" s="271">
        <v>791.0</v>
      </c>
      <c r="K1107" s="271">
        <f t="shared" si="1"/>
        <v>15820</v>
      </c>
      <c r="L1107" s="271">
        <v>14230.0</v>
      </c>
      <c r="M1107" s="271">
        <v>-940.0</v>
      </c>
      <c r="N1107" s="275">
        <f>15*10+8*20</f>
        <v>310</v>
      </c>
      <c r="O1107" s="60"/>
      <c r="P1107" s="50">
        <v>310.0</v>
      </c>
      <c r="Q1107" s="271">
        <v>-341.0</v>
      </c>
      <c r="R1107" s="276">
        <v>-6.6E-4</v>
      </c>
      <c r="S1107" s="271">
        <v>-352.0</v>
      </c>
      <c r="T1107" s="271">
        <v>-42.0</v>
      </c>
      <c r="U1107" s="62">
        <v>1.0</v>
      </c>
      <c r="V1107" s="277">
        <v>0.25</v>
      </c>
      <c r="W1107" s="277">
        <v>0.0</v>
      </c>
      <c r="X1107" s="271">
        <v>-31.0</v>
      </c>
      <c r="Y1107" s="271">
        <v>-10.0</v>
      </c>
      <c r="Z1107" s="50" t="b">
        <v>1</v>
      </c>
      <c r="AA1107" s="50" t="s">
        <v>138</v>
      </c>
      <c r="AB1107" s="50" t="s">
        <v>138</v>
      </c>
    </row>
    <row r="1108">
      <c r="A1108" s="271" t="s">
        <v>154</v>
      </c>
      <c r="B1108" s="271" t="s">
        <v>154</v>
      </c>
      <c r="C1108" s="278">
        <v>44562.0</v>
      </c>
      <c r="D1108" s="278">
        <v>44581.0</v>
      </c>
      <c r="E1108" s="271" t="s">
        <v>268</v>
      </c>
      <c r="F1108" s="101" t="s">
        <v>12</v>
      </c>
      <c r="G1108" s="271" t="s">
        <v>13</v>
      </c>
      <c r="H1108" s="273" t="s">
        <v>59</v>
      </c>
      <c r="I1108" s="274">
        <v>20.0</v>
      </c>
      <c r="J1108" s="271">
        <v>413.0</v>
      </c>
      <c r="K1108" s="271">
        <f t="shared" si="1"/>
        <v>8260</v>
      </c>
      <c r="L1108" s="271">
        <v>6156.0</v>
      </c>
      <c r="M1108" s="271">
        <v>40.0</v>
      </c>
      <c r="N1108" s="275">
        <v>200.0</v>
      </c>
      <c r="O1108" s="60"/>
      <c r="P1108" s="50">
        <v>200.0</v>
      </c>
      <c r="Q1108" s="271">
        <v>-252.0</v>
      </c>
      <c r="R1108" s="276">
        <v>0.0</v>
      </c>
      <c r="S1108" s="271">
        <v>-252.0</v>
      </c>
      <c r="T1108" s="271">
        <v>240.0</v>
      </c>
      <c r="U1108" s="62">
        <v>1.0</v>
      </c>
      <c r="V1108" s="277">
        <v>0.25</v>
      </c>
      <c r="W1108" s="277">
        <v>0.0</v>
      </c>
      <c r="X1108" s="271">
        <v>180.0</v>
      </c>
      <c r="Y1108" s="271">
        <v>60.0</v>
      </c>
      <c r="Z1108" s="50" t="b">
        <v>1</v>
      </c>
      <c r="AA1108" s="50" t="s">
        <v>138</v>
      </c>
      <c r="AB1108" s="50" t="s">
        <v>138</v>
      </c>
    </row>
    <row r="1109">
      <c r="A1109" s="271" t="s">
        <v>154</v>
      </c>
      <c r="B1109" s="271" t="s">
        <v>154</v>
      </c>
      <c r="C1109" s="278">
        <v>44562.0</v>
      </c>
      <c r="D1109" s="278">
        <v>44581.0</v>
      </c>
      <c r="E1109" s="271" t="s">
        <v>268</v>
      </c>
      <c r="F1109" s="101" t="s">
        <v>12</v>
      </c>
      <c r="G1109" s="271" t="s">
        <v>13</v>
      </c>
      <c r="H1109" s="273" t="s">
        <v>45</v>
      </c>
      <c r="I1109" s="274">
        <v>10.0</v>
      </c>
      <c r="J1109" s="271">
        <v>400.0</v>
      </c>
      <c r="K1109" s="271">
        <f t="shared" si="1"/>
        <v>4000</v>
      </c>
      <c r="L1109" s="271">
        <v>2389.0</v>
      </c>
      <c r="M1109" s="271">
        <v>60.0</v>
      </c>
      <c r="N1109" s="275">
        <v>135.0</v>
      </c>
      <c r="O1109" s="60"/>
      <c r="P1109" s="50">
        <v>135.0</v>
      </c>
      <c r="Q1109" s="271">
        <v>-225.0</v>
      </c>
      <c r="R1109" s="276">
        <v>0.0</v>
      </c>
      <c r="S1109" s="271">
        <v>-225.0</v>
      </c>
      <c r="T1109" s="271">
        <v>195.0</v>
      </c>
      <c r="U1109" s="62">
        <v>1.0</v>
      </c>
      <c r="V1109" s="277">
        <v>0.25</v>
      </c>
      <c r="W1109" s="277">
        <v>0.0</v>
      </c>
      <c r="X1109" s="271">
        <v>146.0</v>
      </c>
      <c r="Y1109" s="271">
        <v>49.0</v>
      </c>
      <c r="Z1109" s="50" t="b">
        <v>1</v>
      </c>
      <c r="AA1109" s="50" t="s">
        <v>138</v>
      </c>
      <c r="AB1109" s="50" t="s">
        <v>138</v>
      </c>
    </row>
    <row r="1110">
      <c r="A1110" s="101" t="s">
        <v>216</v>
      </c>
      <c r="B1110" s="101" t="s">
        <v>216</v>
      </c>
      <c r="C1110" s="278">
        <v>44551.0</v>
      </c>
      <c r="D1110" s="278">
        <v>44581.0</v>
      </c>
      <c r="E1110" s="271" t="s">
        <v>268</v>
      </c>
      <c r="F1110" s="138" t="s">
        <v>4</v>
      </c>
      <c r="G1110" s="101" t="s">
        <v>5</v>
      </c>
      <c r="H1110" s="273" t="s">
        <v>85</v>
      </c>
      <c r="I1110" s="274">
        <v>100.0</v>
      </c>
      <c r="J1110" s="271">
        <v>718.0</v>
      </c>
      <c r="K1110" s="271">
        <f t="shared" si="1"/>
        <v>71800</v>
      </c>
      <c r="L1110" s="271">
        <v>-5742.0</v>
      </c>
      <c r="M1110" s="271">
        <v>-7700.0</v>
      </c>
      <c r="N1110" s="275">
        <v>3005.0</v>
      </c>
      <c r="O1110" s="60"/>
      <c r="P1110" s="109">
        <v>3005.0</v>
      </c>
      <c r="Q1110" s="271">
        <v>-4919.0</v>
      </c>
      <c r="R1110" s="276">
        <v>-6.6E-4</v>
      </c>
      <c r="S1110" s="271">
        <v>-4967.0</v>
      </c>
      <c r="T1110" s="271">
        <v>-1962.0</v>
      </c>
      <c r="U1110" s="62">
        <v>1.0</v>
      </c>
      <c r="V1110" s="277">
        <v>0.1</v>
      </c>
      <c r="W1110" s="277">
        <v>0.0</v>
      </c>
      <c r="X1110" s="271">
        <v>-1766.0</v>
      </c>
      <c r="Y1110" s="271">
        <v>-196.0</v>
      </c>
      <c r="Z1110" s="50" t="b">
        <v>1</v>
      </c>
      <c r="AA1110" s="50" t="s">
        <v>138</v>
      </c>
      <c r="AB1110" s="50" t="s">
        <v>138</v>
      </c>
    </row>
    <row r="1111">
      <c r="A1111" s="101" t="s">
        <v>216</v>
      </c>
      <c r="B1111" s="101" t="s">
        <v>216</v>
      </c>
      <c r="C1111" s="278">
        <v>44551.0</v>
      </c>
      <c r="D1111" s="278">
        <v>44581.0</v>
      </c>
      <c r="E1111" s="271" t="s">
        <v>268</v>
      </c>
      <c r="F1111" s="138" t="s">
        <v>4</v>
      </c>
      <c r="G1111" s="101" t="s">
        <v>5</v>
      </c>
      <c r="H1111" s="273" t="s">
        <v>96</v>
      </c>
      <c r="I1111" s="274">
        <v>250.0</v>
      </c>
      <c r="J1111" s="271">
        <v>671.0</v>
      </c>
      <c r="K1111" s="271">
        <f t="shared" si="1"/>
        <v>167750</v>
      </c>
      <c r="L1111" s="271">
        <v>-11348.0</v>
      </c>
      <c r="M1111" s="271">
        <v>-15500.0</v>
      </c>
      <c r="N1111" s="275">
        <v>7502.0</v>
      </c>
      <c r="O1111" s="60"/>
      <c r="P1111" s="109">
        <v>7502.0</v>
      </c>
      <c r="Q1111" s="271">
        <v>-13957.0</v>
      </c>
      <c r="R1111" s="276">
        <v>-6.6E-4</v>
      </c>
      <c r="S1111" s="271">
        <v>-14068.0</v>
      </c>
      <c r="T1111" s="271">
        <v>-6566.0</v>
      </c>
      <c r="U1111" s="62">
        <v>1.0</v>
      </c>
      <c r="V1111" s="277">
        <v>0.1</v>
      </c>
      <c r="W1111" s="277">
        <v>0.0</v>
      </c>
      <c r="X1111" s="271">
        <v>-5909.0</v>
      </c>
      <c r="Y1111" s="271">
        <v>-657.0</v>
      </c>
      <c r="Z1111" s="50" t="b">
        <v>1</v>
      </c>
      <c r="AA1111" s="50" t="s">
        <v>138</v>
      </c>
      <c r="AB1111" s="50" t="s">
        <v>138</v>
      </c>
    </row>
    <row r="1112">
      <c r="A1112" s="101" t="s">
        <v>216</v>
      </c>
      <c r="B1112" s="101" t="s">
        <v>216</v>
      </c>
      <c r="C1112" s="278">
        <v>44551.0</v>
      </c>
      <c r="D1112" s="278">
        <v>44581.0</v>
      </c>
      <c r="E1112" s="271" t="s">
        <v>268</v>
      </c>
      <c r="F1112" s="138" t="s">
        <v>4</v>
      </c>
      <c r="G1112" s="101" t="s">
        <v>5</v>
      </c>
      <c r="H1112" s="273" t="s">
        <v>97</v>
      </c>
      <c r="I1112" s="274">
        <v>250.0</v>
      </c>
      <c r="J1112" s="271">
        <v>205.0</v>
      </c>
      <c r="K1112" s="271">
        <f t="shared" si="1"/>
        <v>51250</v>
      </c>
      <c r="L1112" s="271">
        <v>1510.0</v>
      </c>
      <c r="M1112" s="271">
        <v>-3250.0</v>
      </c>
      <c r="N1112" s="275">
        <v>2209.0</v>
      </c>
      <c r="O1112" s="60"/>
      <c r="P1112" s="109">
        <v>2209.0</v>
      </c>
      <c r="Q1112" s="271">
        <v>-1432.0</v>
      </c>
      <c r="R1112" s="276">
        <v>-6.6E-4</v>
      </c>
      <c r="S1112" s="271">
        <v>-1466.0</v>
      </c>
      <c r="T1112" s="271">
        <v>743.0</v>
      </c>
      <c r="U1112" s="62">
        <v>1.0</v>
      </c>
      <c r="V1112" s="277">
        <v>0.1</v>
      </c>
      <c r="W1112" s="277">
        <v>0.0</v>
      </c>
      <c r="X1112" s="271">
        <v>669.0</v>
      </c>
      <c r="Y1112" s="271">
        <v>74.0</v>
      </c>
      <c r="Z1112" s="50" t="b">
        <v>1</v>
      </c>
      <c r="AA1112" s="50" t="s">
        <v>138</v>
      </c>
      <c r="AB1112" s="50" t="s">
        <v>138</v>
      </c>
    </row>
    <row r="1113">
      <c r="A1113" s="101" t="s">
        <v>216</v>
      </c>
      <c r="B1113" s="101" t="s">
        <v>216</v>
      </c>
      <c r="C1113" s="278">
        <v>44551.0</v>
      </c>
      <c r="D1113" s="278">
        <v>44581.0</v>
      </c>
      <c r="E1113" s="271" t="s">
        <v>268</v>
      </c>
      <c r="F1113" s="138" t="s">
        <v>4</v>
      </c>
      <c r="G1113" s="101" t="s">
        <v>5</v>
      </c>
      <c r="H1113" s="273" t="s">
        <v>101</v>
      </c>
      <c r="I1113" s="274">
        <v>500.0</v>
      </c>
      <c r="J1113" s="271">
        <v>19.0</v>
      </c>
      <c r="K1113" s="271">
        <f t="shared" si="1"/>
        <v>9500</v>
      </c>
      <c r="L1113" s="271">
        <v>-1652.0</v>
      </c>
      <c r="M1113" s="271">
        <v>2500.0</v>
      </c>
      <c r="N1113" s="275">
        <v>794.0</v>
      </c>
      <c r="O1113" s="60"/>
      <c r="P1113" s="50">
        <v>794.0</v>
      </c>
      <c r="Q1113" s="271">
        <v>-2036.0</v>
      </c>
      <c r="R1113" s="276">
        <v>-6.6E-4</v>
      </c>
      <c r="S1113" s="271">
        <v>-2042.0</v>
      </c>
      <c r="T1113" s="271">
        <v>-1248.0</v>
      </c>
      <c r="U1113" s="62">
        <v>1.0</v>
      </c>
      <c r="V1113" s="277">
        <v>0.1</v>
      </c>
      <c r="W1113" s="277">
        <v>0.0</v>
      </c>
      <c r="X1113" s="271">
        <v>-1123.0</v>
      </c>
      <c r="Y1113" s="271">
        <v>-125.0</v>
      </c>
      <c r="Z1113" s="50" t="b">
        <v>1</v>
      </c>
      <c r="AA1113" s="50" t="s">
        <v>138</v>
      </c>
      <c r="AB1113" s="50" t="s">
        <v>138</v>
      </c>
    </row>
    <row r="1114">
      <c r="A1114" s="101" t="s">
        <v>216</v>
      </c>
      <c r="B1114" s="101" t="s">
        <v>216</v>
      </c>
      <c r="C1114" s="278">
        <v>44551.0</v>
      </c>
      <c r="D1114" s="278">
        <v>44581.0</v>
      </c>
      <c r="E1114" s="271" t="s">
        <v>268</v>
      </c>
      <c r="F1114" s="138" t="s">
        <v>4</v>
      </c>
      <c r="G1114" s="101" t="s">
        <v>5</v>
      </c>
      <c r="H1114" s="273" t="s">
        <v>102</v>
      </c>
      <c r="I1114" s="274">
        <v>500.0</v>
      </c>
      <c r="J1114" s="271">
        <v>1.0</v>
      </c>
      <c r="K1114" s="271">
        <f t="shared" si="1"/>
        <v>500</v>
      </c>
      <c r="L1114" s="271">
        <v>-132.0</v>
      </c>
      <c r="M1114" s="271">
        <v>-500.0</v>
      </c>
      <c r="N1114" s="275">
        <v>40.0</v>
      </c>
      <c r="O1114" s="60"/>
      <c r="P1114" s="50">
        <v>40.0</v>
      </c>
      <c r="Q1114" s="271">
        <v>-232.0</v>
      </c>
      <c r="R1114" s="276">
        <v>-6.6E-4</v>
      </c>
      <c r="S1114" s="271">
        <v>-233.0</v>
      </c>
      <c r="T1114" s="271">
        <v>-193.0</v>
      </c>
      <c r="U1114" s="62">
        <v>1.0</v>
      </c>
      <c r="V1114" s="277">
        <v>0.1</v>
      </c>
      <c r="W1114" s="277">
        <v>0.0</v>
      </c>
      <c r="X1114" s="271">
        <v>-173.0</v>
      </c>
      <c r="Y1114" s="271">
        <v>-19.0</v>
      </c>
      <c r="Z1114" s="50" t="b">
        <v>1</v>
      </c>
      <c r="AA1114" s="50" t="s">
        <v>138</v>
      </c>
      <c r="AB1114" s="50" t="s">
        <v>138</v>
      </c>
    </row>
    <row r="1115">
      <c r="A1115" s="101" t="s">
        <v>177</v>
      </c>
      <c r="B1115" s="101" t="s">
        <v>177</v>
      </c>
      <c r="C1115" s="278">
        <v>44551.0</v>
      </c>
      <c r="D1115" s="278">
        <v>44592.0</v>
      </c>
      <c r="E1115" s="280" t="s">
        <v>268</v>
      </c>
      <c r="F1115" s="138" t="s">
        <v>8</v>
      </c>
      <c r="G1115" s="280" t="s">
        <v>5</v>
      </c>
      <c r="H1115" s="273" t="s">
        <v>75</v>
      </c>
      <c r="I1115" s="274">
        <v>50.0</v>
      </c>
      <c r="J1115" s="271">
        <v>2.0</v>
      </c>
      <c r="K1115" s="271">
        <f t="shared" si="1"/>
        <v>100</v>
      </c>
      <c r="L1115" s="271">
        <v>-77.0</v>
      </c>
      <c r="M1115" s="271">
        <v>0.0</v>
      </c>
      <c r="N1115" s="275">
        <v>4.0</v>
      </c>
      <c r="O1115" s="60"/>
      <c r="P1115" s="50">
        <v>4.0</v>
      </c>
      <c r="Q1115" s="271">
        <v>-18.0</v>
      </c>
      <c r="R1115" s="276">
        <v>0.002984</v>
      </c>
      <c r="S1115" s="271">
        <v>-18.0</v>
      </c>
      <c r="T1115" s="271">
        <v>-14.0</v>
      </c>
      <c r="U1115" s="62">
        <v>1.0</v>
      </c>
      <c r="V1115" s="277">
        <v>0.12</v>
      </c>
      <c r="W1115" s="277">
        <v>0.0</v>
      </c>
      <c r="X1115" s="271">
        <v>-12.0</v>
      </c>
      <c r="Y1115" s="271">
        <v>-2.0</v>
      </c>
      <c r="Z1115" s="50" t="b">
        <v>1</v>
      </c>
      <c r="AA1115" s="50" t="s">
        <v>138</v>
      </c>
      <c r="AB1115" s="50" t="s">
        <v>138</v>
      </c>
    </row>
    <row r="1116">
      <c r="A1116" s="101" t="s">
        <v>177</v>
      </c>
      <c r="B1116" s="101" t="s">
        <v>177</v>
      </c>
      <c r="C1116" s="278">
        <v>44551.0</v>
      </c>
      <c r="D1116" s="278">
        <v>44592.0</v>
      </c>
      <c r="E1116" s="280" t="s">
        <v>268</v>
      </c>
      <c r="F1116" s="138" t="s">
        <v>8</v>
      </c>
      <c r="G1116" s="280" t="s">
        <v>5</v>
      </c>
      <c r="H1116" s="273" t="s">
        <v>86</v>
      </c>
      <c r="I1116" s="274">
        <v>100.0</v>
      </c>
      <c r="J1116" s="271">
        <v>10.0</v>
      </c>
      <c r="K1116" s="271">
        <f t="shared" si="1"/>
        <v>1000</v>
      </c>
      <c r="L1116" s="271">
        <v>-1041.0</v>
      </c>
      <c r="M1116" s="271">
        <v>-300.0</v>
      </c>
      <c r="N1116" s="275">
        <v>32.0</v>
      </c>
      <c r="O1116" s="60"/>
      <c r="P1116" s="50">
        <v>32.0</v>
      </c>
      <c r="Q1116" s="271">
        <v>-379.0</v>
      </c>
      <c r="R1116" s="276">
        <v>1.91E-4</v>
      </c>
      <c r="S1116" s="271">
        <v>-379.0</v>
      </c>
      <c r="T1116" s="271">
        <v>-347.0</v>
      </c>
      <c r="U1116" s="62">
        <v>1.0</v>
      </c>
      <c r="V1116" s="277">
        <v>0.12</v>
      </c>
      <c r="W1116" s="277">
        <v>0.0</v>
      </c>
      <c r="X1116" s="271">
        <v>-305.0</v>
      </c>
      <c r="Y1116" s="271">
        <v>-42.0</v>
      </c>
      <c r="Z1116" s="50" t="b">
        <v>1</v>
      </c>
      <c r="AA1116" s="50" t="s">
        <v>138</v>
      </c>
      <c r="AB1116" s="50" t="s">
        <v>138</v>
      </c>
    </row>
    <row r="1117">
      <c r="A1117" s="101" t="s">
        <v>177</v>
      </c>
      <c r="B1117" s="101" t="s">
        <v>177</v>
      </c>
      <c r="C1117" s="278">
        <v>44551.0</v>
      </c>
      <c r="D1117" s="278">
        <v>44592.0</v>
      </c>
      <c r="E1117" s="280" t="s">
        <v>268</v>
      </c>
      <c r="F1117" s="138" t="s">
        <v>8</v>
      </c>
      <c r="G1117" s="280" t="s">
        <v>5</v>
      </c>
      <c r="H1117" s="273" t="s">
        <v>85</v>
      </c>
      <c r="I1117" s="274">
        <v>100.0</v>
      </c>
      <c r="J1117" s="271">
        <v>4489.0</v>
      </c>
      <c r="K1117" s="271">
        <f t="shared" si="1"/>
        <v>448900</v>
      </c>
      <c r="L1117" s="271">
        <v>112992.0</v>
      </c>
      <c r="M1117" s="271">
        <v>-3600.0</v>
      </c>
      <c r="N1117" s="275">
        <v>14424.0</v>
      </c>
      <c r="O1117" s="60"/>
      <c r="P1117" s="109">
        <v>14424.0</v>
      </c>
      <c r="Q1117" s="271">
        <v>-3063.0</v>
      </c>
      <c r="R1117" s="276">
        <v>3.42E-4</v>
      </c>
      <c r="S1117" s="271">
        <v>-2909.0</v>
      </c>
      <c r="T1117" s="271">
        <v>11515.0</v>
      </c>
      <c r="U1117" s="62">
        <v>1.0</v>
      </c>
      <c r="V1117" s="277">
        <v>0.12</v>
      </c>
      <c r="W1117" s="277">
        <v>0.0</v>
      </c>
      <c r="X1117" s="271">
        <v>10133.0</v>
      </c>
      <c r="Y1117" s="271">
        <v>1382.0</v>
      </c>
      <c r="Z1117" s="50" t="b">
        <v>1</v>
      </c>
      <c r="AA1117" s="50" t="s">
        <v>138</v>
      </c>
      <c r="AB1117" s="50" t="s">
        <v>138</v>
      </c>
    </row>
    <row r="1118">
      <c r="A1118" s="280" t="s">
        <v>177</v>
      </c>
      <c r="B1118" s="280" t="s">
        <v>903</v>
      </c>
      <c r="C1118" s="283">
        <v>44562.0</v>
      </c>
      <c r="D1118" s="283">
        <v>44592.0</v>
      </c>
      <c r="E1118" s="280" t="s">
        <v>268</v>
      </c>
      <c r="F1118" s="138" t="s">
        <v>8</v>
      </c>
      <c r="G1118" s="280" t="s">
        <v>16</v>
      </c>
      <c r="H1118" s="273" t="s">
        <v>85</v>
      </c>
      <c r="I1118" s="281">
        <v>100.0</v>
      </c>
      <c r="J1118" s="280">
        <v>863.0</v>
      </c>
      <c r="K1118" s="271">
        <f t="shared" si="1"/>
        <v>86300</v>
      </c>
      <c r="L1118" s="280">
        <v>22171.0</v>
      </c>
      <c r="M1118" s="280">
        <v>2100.0</v>
      </c>
      <c r="N1118" s="282">
        <v>3666.0</v>
      </c>
      <c r="O1118" s="60"/>
      <c r="P1118" s="109">
        <v>3666.0</v>
      </c>
      <c r="Q1118" s="280">
        <v>-471.0</v>
      </c>
      <c r="R1118" s="276">
        <v>4.0E-5</v>
      </c>
      <c r="S1118" s="280">
        <v>-468.0</v>
      </c>
      <c r="T1118" s="280">
        <v>3198.0</v>
      </c>
      <c r="U1118" s="62">
        <v>1.0</v>
      </c>
      <c r="V1118" s="277">
        <v>0.12</v>
      </c>
      <c r="W1118" s="277">
        <v>0.0</v>
      </c>
      <c r="X1118" s="280">
        <v>2814.0</v>
      </c>
      <c r="Y1118" s="280">
        <v>384.0</v>
      </c>
      <c r="Z1118" s="50" t="b">
        <v>1</v>
      </c>
      <c r="AA1118" s="50" t="s">
        <v>138</v>
      </c>
      <c r="AB1118" s="50" t="s">
        <v>138</v>
      </c>
    </row>
    <row r="1119">
      <c r="A1119" s="280" t="s">
        <v>459</v>
      </c>
      <c r="B1119" s="280" t="s">
        <v>145</v>
      </c>
      <c r="C1119" s="283">
        <v>44551.0</v>
      </c>
      <c r="D1119" s="283">
        <v>44592.0</v>
      </c>
      <c r="E1119" s="280" t="s">
        <v>331</v>
      </c>
      <c r="F1119" s="138" t="s">
        <v>8</v>
      </c>
      <c r="G1119" s="280" t="s">
        <v>9</v>
      </c>
      <c r="H1119" s="273" t="s">
        <v>89</v>
      </c>
      <c r="I1119" s="281">
        <v>100.0</v>
      </c>
      <c r="J1119" s="280">
        <v>2208.0</v>
      </c>
      <c r="K1119" s="271">
        <f t="shared" si="1"/>
        <v>220800</v>
      </c>
      <c r="L1119" s="280">
        <v>90184.0</v>
      </c>
      <c r="M1119" s="280">
        <v>-1100.0</v>
      </c>
      <c r="N1119" s="282">
        <v>7125.0</v>
      </c>
      <c r="O1119" s="60"/>
      <c r="P1119" s="109">
        <v>7125.0</v>
      </c>
      <c r="Q1119" s="280">
        <v>-3196.0</v>
      </c>
      <c r="R1119" s="276">
        <v>3.66E-4</v>
      </c>
      <c r="S1119" s="280">
        <v>-3115.0</v>
      </c>
      <c r="T1119" s="280">
        <v>4010.0</v>
      </c>
      <c r="U1119" s="62">
        <v>1.0</v>
      </c>
      <c r="V1119" s="277">
        <v>0.1</v>
      </c>
      <c r="W1119" s="277">
        <v>0.1</v>
      </c>
      <c r="X1119" s="280">
        <v>3208.0</v>
      </c>
      <c r="Y1119" s="280">
        <v>802.0</v>
      </c>
      <c r="Z1119" s="50" t="b">
        <v>1</v>
      </c>
      <c r="AA1119" s="50" t="s">
        <v>140</v>
      </c>
      <c r="AB1119" s="50" t="s">
        <v>140</v>
      </c>
    </row>
    <row r="1120">
      <c r="A1120" s="101" t="s">
        <v>181</v>
      </c>
      <c r="B1120" s="101" t="s">
        <v>181</v>
      </c>
      <c r="C1120" s="278">
        <v>44562.0</v>
      </c>
      <c r="D1120" s="278">
        <v>44592.0</v>
      </c>
      <c r="E1120" s="271" t="s">
        <v>331</v>
      </c>
      <c r="F1120" s="138" t="s">
        <v>12</v>
      </c>
      <c r="G1120" s="280" t="s">
        <v>5</v>
      </c>
      <c r="H1120" s="114" t="s">
        <v>85</v>
      </c>
      <c r="I1120" s="274">
        <v>100.0</v>
      </c>
      <c r="J1120" s="271">
        <v>528.0</v>
      </c>
      <c r="K1120" s="271">
        <f t="shared" si="1"/>
        <v>52800</v>
      </c>
      <c r="L1120" s="271">
        <f>33*528</f>
        <v>17424</v>
      </c>
      <c r="M1120" s="271">
        <v>5800.0</v>
      </c>
      <c r="N1120" s="275">
        <v>1431.0</v>
      </c>
      <c r="O1120" s="60"/>
      <c r="P1120" s="109">
        <v>1431.0</v>
      </c>
      <c r="Q1120" s="271">
        <v>415.0</v>
      </c>
      <c r="R1120" s="276">
        <v>0.0</v>
      </c>
      <c r="S1120" s="271">
        <v>415.0</v>
      </c>
      <c r="T1120" s="271">
        <v>7231.0</v>
      </c>
      <c r="U1120" s="62">
        <v>1.0</v>
      </c>
      <c r="V1120" s="277">
        <v>0.06</v>
      </c>
      <c r="W1120" s="277">
        <v>0.12</v>
      </c>
      <c r="X1120" s="271">
        <v>5929.0</v>
      </c>
      <c r="Y1120" s="271">
        <v>1302.0</v>
      </c>
      <c r="Z1120" s="50" t="b">
        <v>1</v>
      </c>
      <c r="AA1120" s="50" t="s">
        <v>138</v>
      </c>
      <c r="AB1120" s="50" t="s">
        <v>138</v>
      </c>
    </row>
    <row r="1121">
      <c r="A1121" s="280" t="s">
        <v>693</v>
      </c>
      <c r="B1121" s="280" t="s">
        <v>159</v>
      </c>
      <c r="C1121" s="283">
        <v>44551.0</v>
      </c>
      <c r="D1121" s="283">
        <v>44592.0</v>
      </c>
      <c r="E1121" s="280" t="s">
        <v>268</v>
      </c>
      <c r="F1121" s="138" t="s">
        <v>8</v>
      </c>
      <c r="G1121" s="280" t="s">
        <v>9</v>
      </c>
      <c r="H1121" s="273" t="s">
        <v>53</v>
      </c>
      <c r="I1121" s="281">
        <v>10.0</v>
      </c>
      <c r="J1121" s="280">
        <v>1944.0</v>
      </c>
      <c r="K1121" s="271">
        <f t="shared" si="1"/>
        <v>19440</v>
      </c>
      <c r="L1121" s="280">
        <v>130093.0</v>
      </c>
      <c r="M1121" s="280">
        <v>-1260.0</v>
      </c>
      <c r="N1121" s="282">
        <v>768.62</v>
      </c>
      <c r="O1121" s="60"/>
      <c r="P1121" s="50">
        <v>769.0</v>
      </c>
      <c r="Q1121" s="280">
        <v>510.0</v>
      </c>
      <c r="R1121" s="276">
        <v>3.66E-4</v>
      </c>
      <c r="S1121" s="280">
        <v>517.0</v>
      </c>
      <c r="T1121" s="280">
        <v>1286.0</v>
      </c>
      <c r="U1121" s="62">
        <v>1.0</v>
      </c>
      <c r="V1121" s="277">
        <v>0.17</v>
      </c>
      <c r="W1121" s="277">
        <v>0.0</v>
      </c>
      <c r="X1121" s="280">
        <v>1067.0</v>
      </c>
      <c r="Y1121" s="280">
        <v>219.0</v>
      </c>
      <c r="Z1121" s="50" t="b">
        <v>1</v>
      </c>
      <c r="AA1121" s="50" t="s">
        <v>140</v>
      </c>
      <c r="AB1121" s="50" t="s">
        <v>140</v>
      </c>
    </row>
    <row r="1122">
      <c r="A1122" s="280" t="s">
        <v>693</v>
      </c>
      <c r="B1122" s="280" t="s">
        <v>159</v>
      </c>
      <c r="C1122" s="283">
        <v>44551.0</v>
      </c>
      <c r="D1122" s="283">
        <v>44592.0</v>
      </c>
      <c r="E1122" s="280" t="s">
        <v>268</v>
      </c>
      <c r="F1122" s="138" t="s">
        <v>8</v>
      </c>
      <c r="G1122" s="280" t="s">
        <v>9</v>
      </c>
      <c r="H1122" s="273" t="s">
        <v>66</v>
      </c>
      <c r="I1122" s="281">
        <v>25.0</v>
      </c>
      <c r="J1122" s="280">
        <v>122.0</v>
      </c>
      <c r="K1122" s="271">
        <f t="shared" si="1"/>
        <v>3050</v>
      </c>
      <c r="L1122" s="280">
        <v>9594.0</v>
      </c>
      <c r="M1122" s="280">
        <v>-750.0</v>
      </c>
      <c r="N1122" s="282">
        <v>1.38</v>
      </c>
      <c r="O1122" s="60"/>
      <c r="P1122" s="50">
        <v>1.0</v>
      </c>
      <c r="Q1122" s="280">
        <v>155.0</v>
      </c>
      <c r="R1122" s="276">
        <v>4.36E-4</v>
      </c>
      <c r="S1122" s="280">
        <v>156.0</v>
      </c>
      <c r="T1122" s="280">
        <v>157.0</v>
      </c>
      <c r="U1122" s="62">
        <v>1.0</v>
      </c>
      <c r="V1122" s="277">
        <v>0.17</v>
      </c>
      <c r="W1122" s="277">
        <v>0.0</v>
      </c>
      <c r="X1122" s="280">
        <v>131.0</v>
      </c>
      <c r="Y1122" s="280">
        <v>27.0</v>
      </c>
      <c r="Z1122" s="50" t="b">
        <v>1</v>
      </c>
      <c r="AA1122" s="50" t="s">
        <v>140</v>
      </c>
      <c r="AB1122" s="50" t="s">
        <v>140</v>
      </c>
    </row>
    <row r="1123">
      <c r="A1123" s="280" t="s">
        <v>693</v>
      </c>
      <c r="B1123" s="280" t="s">
        <v>159</v>
      </c>
      <c r="C1123" s="283">
        <v>44551.0</v>
      </c>
      <c r="D1123" s="283">
        <v>44592.0</v>
      </c>
      <c r="E1123" s="280" t="s">
        <v>268</v>
      </c>
      <c r="F1123" s="138" t="s">
        <v>12</v>
      </c>
      <c r="G1123" s="280" t="s">
        <v>9</v>
      </c>
      <c r="H1123" s="273" t="s">
        <v>79</v>
      </c>
      <c r="I1123" s="281">
        <v>50.0</v>
      </c>
      <c r="J1123" s="280">
        <v>1.0</v>
      </c>
      <c r="K1123" s="271">
        <f t="shared" si="1"/>
        <v>50</v>
      </c>
      <c r="L1123" s="280">
        <v>-335.0</v>
      </c>
      <c r="M1123" s="280">
        <v>50.0</v>
      </c>
      <c r="N1123" s="282">
        <v>0.0</v>
      </c>
      <c r="O1123" s="60"/>
      <c r="P1123" s="50">
        <v>0.0</v>
      </c>
      <c r="Q1123" s="280">
        <v>-35.0</v>
      </c>
      <c r="R1123" s="276">
        <v>0.0</v>
      </c>
      <c r="S1123" s="280">
        <v>-35.0</v>
      </c>
      <c r="T1123" s="280">
        <v>50.0</v>
      </c>
      <c r="U1123" s="62">
        <v>1.0</v>
      </c>
      <c r="V1123" s="277">
        <v>0.17</v>
      </c>
      <c r="W1123" s="277">
        <v>0.0</v>
      </c>
      <c r="X1123" s="280">
        <v>42.0</v>
      </c>
      <c r="Y1123" s="280">
        <v>9.0</v>
      </c>
      <c r="Z1123" s="50" t="b">
        <v>1</v>
      </c>
      <c r="AA1123" s="50" t="s">
        <v>140</v>
      </c>
      <c r="AB1123" s="50" t="s">
        <v>140</v>
      </c>
    </row>
    <row r="1124">
      <c r="A1124" s="101" t="s">
        <v>197</v>
      </c>
      <c r="B1124" s="101" t="s">
        <v>197</v>
      </c>
      <c r="C1124" s="278">
        <v>44551.0</v>
      </c>
      <c r="D1124" s="278">
        <v>44592.0</v>
      </c>
      <c r="E1124" s="280" t="s">
        <v>268</v>
      </c>
      <c r="F1124" s="138" t="s">
        <v>8</v>
      </c>
      <c r="G1124" s="271" t="s">
        <v>5</v>
      </c>
      <c r="H1124" s="273" t="s">
        <v>48</v>
      </c>
      <c r="I1124" s="274">
        <v>10.0</v>
      </c>
      <c r="J1124" s="271">
        <v>42.0</v>
      </c>
      <c r="K1124" s="271">
        <f t="shared" si="1"/>
        <v>420</v>
      </c>
      <c r="L1124" s="271">
        <v>1229.0</v>
      </c>
      <c r="M1124" s="271">
        <v>120.0</v>
      </c>
      <c r="N1124" s="275">
        <v>31.0</v>
      </c>
      <c r="O1124" s="60"/>
      <c r="P1124" s="50">
        <v>31.0</v>
      </c>
      <c r="Q1124" s="271">
        <v>6.0</v>
      </c>
      <c r="R1124" s="276">
        <v>0.001208</v>
      </c>
      <c r="S1124" s="271">
        <v>7.0</v>
      </c>
      <c r="T1124" s="271">
        <v>38.0</v>
      </c>
      <c r="U1124" s="62">
        <v>1.0</v>
      </c>
      <c r="V1124" s="277">
        <v>0.17</v>
      </c>
      <c r="W1124" s="277">
        <v>0.0</v>
      </c>
      <c r="X1124" s="271">
        <v>32.0</v>
      </c>
      <c r="Y1124" s="271">
        <v>6.0</v>
      </c>
      <c r="Z1124" s="50" t="b">
        <v>1</v>
      </c>
      <c r="AA1124" s="50" t="s">
        <v>138</v>
      </c>
      <c r="AB1124" s="50" t="s">
        <v>138</v>
      </c>
    </row>
    <row r="1125">
      <c r="A1125" s="101" t="s">
        <v>197</v>
      </c>
      <c r="B1125" s="101" t="s">
        <v>197</v>
      </c>
      <c r="C1125" s="278">
        <v>44551.0</v>
      </c>
      <c r="D1125" s="278">
        <v>44592.0</v>
      </c>
      <c r="E1125" s="280" t="s">
        <v>268</v>
      </c>
      <c r="F1125" s="138" t="s">
        <v>8</v>
      </c>
      <c r="G1125" s="271" t="s">
        <v>5</v>
      </c>
      <c r="H1125" s="273" t="s">
        <v>45</v>
      </c>
      <c r="I1125" s="274">
        <v>10.0</v>
      </c>
      <c r="J1125" s="271">
        <v>107.0</v>
      </c>
      <c r="K1125" s="271">
        <f t="shared" si="1"/>
        <v>1070</v>
      </c>
      <c r="L1125" s="271">
        <v>5211.0</v>
      </c>
      <c r="M1125" s="271">
        <v>-90.0</v>
      </c>
      <c r="N1125" s="275">
        <v>80.0</v>
      </c>
      <c r="O1125" s="60"/>
      <c r="P1125" s="50">
        <v>80.0</v>
      </c>
      <c r="Q1125" s="271">
        <v>16.0</v>
      </c>
      <c r="R1125" s="276">
        <v>5.56E-4</v>
      </c>
      <c r="S1125" s="271">
        <v>17.0</v>
      </c>
      <c r="T1125" s="271">
        <v>97.0</v>
      </c>
      <c r="U1125" s="62">
        <v>1.0</v>
      </c>
      <c r="V1125" s="277">
        <v>0.17</v>
      </c>
      <c r="W1125" s="277">
        <v>0.0</v>
      </c>
      <c r="X1125" s="271">
        <v>81.0</v>
      </c>
      <c r="Y1125" s="271">
        <v>16.0</v>
      </c>
      <c r="Z1125" s="50" t="b">
        <v>1</v>
      </c>
      <c r="AA1125" s="50" t="s">
        <v>138</v>
      </c>
      <c r="AB1125" s="50" t="s">
        <v>138</v>
      </c>
    </row>
    <row r="1126">
      <c r="A1126" s="101" t="s">
        <v>197</v>
      </c>
      <c r="B1126" s="101" t="s">
        <v>197</v>
      </c>
      <c r="C1126" s="278">
        <v>44551.0</v>
      </c>
      <c r="D1126" s="278">
        <v>44592.0</v>
      </c>
      <c r="E1126" s="280" t="s">
        <v>268</v>
      </c>
      <c r="F1126" s="138" t="s">
        <v>8</v>
      </c>
      <c r="G1126" s="271" t="s">
        <v>5</v>
      </c>
      <c r="H1126" s="273" t="s">
        <v>62</v>
      </c>
      <c r="I1126" s="274">
        <v>25.0</v>
      </c>
      <c r="J1126" s="271">
        <v>855.0</v>
      </c>
      <c r="K1126" s="271">
        <f t="shared" si="1"/>
        <v>21375</v>
      </c>
      <c r="L1126" s="271">
        <v>37237.0</v>
      </c>
      <c r="M1126" s="271">
        <v>-575.0</v>
      </c>
      <c r="N1126" s="275">
        <v>1369.0</v>
      </c>
      <c r="O1126" s="60"/>
      <c r="P1126" s="109">
        <v>1369.0</v>
      </c>
      <c r="Q1126" s="271">
        <v>358.0</v>
      </c>
      <c r="R1126" s="276">
        <v>3.64E-4</v>
      </c>
      <c r="S1126" s="271">
        <v>366.0</v>
      </c>
      <c r="T1126" s="271">
        <v>1735.0</v>
      </c>
      <c r="U1126" s="62">
        <v>1.0</v>
      </c>
      <c r="V1126" s="277">
        <v>0.17</v>
      </c>
      <c r="W1126" s="277">
        <v>0.0</v>
      </c>
      <c r="X1126" s="271">
        <v>1440.0</v>
      </c>
      <c r="Y1126" s="271">
        <v>295.0</v>
      </c>
      <c r="Z1126" s="50" t="b">
        <v>1</v>
      </c>
      <c r="AA1126" s="50" t="s">
        <v>138</v>
      </c>
      <c r="AB1126" s="50" t="s">
        <v>138</v>
      </c>
    </row>
    <row r="1127">
      <c r="A1127" s="101" t="s">
        <v>197</v>
      </c>
      <c r="B1127" s="101" t="s">
        <v>197</v>
      </c>
      <c r="C1127" s="278">
        <v>44551.0</v>
      </c>
      <c r="D1127" s="278">
        <v>44592.0</v>
      </c>
      <c r="E1127" s="280" t="s">
        <v>268</v>
      </c>
      <c r="F1127" s="138" t="s">
        <v>8</v>
      </c>
      <c r="G1127" s="271" t="s">
        <v>5</v>
      </c>
      <c r="H1127" s="273" t="s">
        <v>74</v>
      </c>
      <c r="I1127" s="274">
        <v>50.0</v>
      </c>
      <c r="J1127" s="271">
        <v>392.0</v>
      </c>
      <c r="K1127" s="271">
        <f t="shared" si="1"/>
        <v>19600</v>
      </c>
      <c r="L1127" s="271">
        <v>24052.0</v>
      </c>
      <c r="M1127" s="271">
        <v>950.0</v>
      </c>
      <c r="N1127" s="275">
        <v>1254.0</v>
      </c>
      <c r="O1127" s="60"/>
      <c r="P1127" s="109">
        <v>1254.0</v>
      </c>
      <c r="Q1127" s="271">
        <v>976.0</v>
      </c>
      <c r="R1127" s="276">
        <v>3.79E-4</v>
      </c>
      <c r="S1127" s="271">
        <v>983.0</v>
      </c>
      <c r="T1127" s="271">
        <v>2237.0</v>
      </c>
      <c r="U1127" s="62">
        <v>1.0</v>
      </c>
      <c r="V1127" s="277">
        <v>0.17</v>
      </c>
      <c r="W1127" s="277">
        <v>0.0</v>
      </c>
      <c r="X1127" s="271">
        <v>1857.0</v>
      </c>
      <c r="Y1127" s="271">
        <v>380.0</v>
      </c>
      <c r="Z1127" s="50" t="b">
        <v>1</v>
      </c>
      <c r="AA1127" s="50" t="s">
        <v>138</v>
      </c>
      <c r="AB1127" s="50" t="s">
        <v>138</v>
      </c>
    </row>
    <row r="1128">
      <c r="A1128" s="271" t="s">
        <v>154</v>
      </c>
      <c r="B1128" s="271" t="s">
        <v>154</v>
      </c>
      <c r="C1128" s="278">
        <v>44582.0</v>
      </c>
      <c r="D1128" s="278">
        <v>44592.0</v>
      </c>
      <c r="E1128" s="271" t="s">
        <v>268</v>
      </c>
      <c r="F1128" s="101" t="s">
        <v>8</v>
      </c>
      <c r="G1128" s="271" t="s">
        <v>13</v>
      </c>
      <c r="H1128" s="273" t="s">
        <v>59</v>
      </c>
      <c r="I1128" s="274">
        <v>20.0</v>
      </c>
      <c r="J1128" s="271">
        <v>1514.0</v>
      </c>
      <c r="K1128" s="271">
        <f t="shared" si="1"/>
        <v>30280</v>
      </c>
      <c r="L1128" s="271">
        <v>17446.0</v>
      </c>
      <c r="M1128" s="271">
        <v>-560.0</v>
      </c>
      <c r="N1128" s="275">
        <f>1057-170</f>
        <v>887</v>
      </c>
      <c r="O1128" s="60"/>
      <c r="P1128" s="50">
        <v>887.0</v>
      </c>
      <c r="Q1128" s="271">
        <v>-1217.0</v>
      </c>
      <c r="R1128" s="276">
        <v>0.002931</v>
      </c>
      <c r="S1128" s="271">
        <v>-1128.0</v>
      </c>
      <c r="T1128" s="271">
        <v>-241.0</v>
      </c>
      <c r="U1128" s="62">
        <v>1.0</v>
      </c>
      <c r="V1128" s="277">
        <v>0.25</v>
      </c>
      <c r="W1128" s="277">
        <v>0.0</v>
      </c>
      <c r="X1128" s="271">
        <v>-181.0</v>
      </c>
      <c r="Y1128" s="271">
        <v>-60.0</v>
      </c>
      <c r="Z1128" s="50" t="b">
        <v>1</v>
      </c>
      <c r="AA1128" s="50" t="s">
        <v>138</v>
      </c>
      <c r="AB1128" s="50" t="s">
        <v>138</v>
      </c>
    </row>
    <row r="1129">
      <c r="A1129" s="271" t="s">
        <v>154</v>
      </c>
      <c r="B1129" s="271" t="s">
        <v>154</v>
      </c>
      <c r="C1129" s="278">
        <v>44582.0</v>
      </c>
      <c r="D1129" s="278">
        <v>44592.0</v>
      </c>
      <c r="E1129" s="271" t="s">
        <v>268</v>
      </c>
      <c r="F1129" s="101" t="s">
        <v>8</v>
      </c>
      <c r="G1129" s="271" t="s">
        <v>13</v>
      </c>
      <c r="H1129" s="273" t="s">
        <v>74</v>
      </c>
      <c r="I1129" s="274">
        <v>50.0</v>
      </c>
      <c r="J1129" s="271">
        <v>22.0</v>
      </c>
      <c r="K1129" s="271">
        <f t="shared" si="1"/>
        <v>1100</v>
      </c>
      <c r="L1129" s="271">
        <v>-431.0</v>
      </c>
      <c r="M1129" s="271">
        <v>-300.0</v>
      </c>
      <c r="N1129" s="275">
        <v>300.0</v>
      </c>
      <c r="O1129" s="60"/>
      <c r="P1129" s="50">
        <v>300.0</v>
      </c>
      <c r="Q1129" s="271">
        <v>-143.0</v>
      </c>
      <c r="R1129" s="276">
        <v>0.017874</v>
      </c>
      <c r="S1129" s="271">
        <v>-123.0</v>
      </c>
      <c r="T1129" s="271">
        <v>177.0</v>
      </c>
      <c r="U1129" s="62">
        <v>1.0</v>
      </c>
      <c r="V1129" s="277">
        <v>0.25</v>
      </c>
      <c r="W1129" s="277">
        <v>0.0</v>
      </c>
      <c r="X1129" s="271">
        <v>133.0</v>
      </c>
      <c r="Y1129" s="271">
        <v>44.0</v>
      </c>
      <c r="Z1129" s="50" t="b">
        <v>1</v>
      </c>
      <c r="AA1129" s="50" t="s">
        <v>138</v>
      </c>
      <c r="AB1129" s="50" t="s">
        <v>138</v>
      </c>
    </row>
    <row r="1130">
      <c r="A1130" s="101" t="s">
        <v>267</v>
      </c>
      <c r="B1130" s="101" t="s">
        <v>267</v>
      </c>
      <c r="C1130" s="278">
        <v>44582.0</v>
      </c>
      <c r="D1130" s="278">
        <v>44612.0</v>
      </c>
      <c r="E1130" s="271" t="s">
        <v>268</v>
      </c>
      <c r="F1130" s="138" t="s">
        <v>4</v>
      </c>
      <c r="G1130" s="101" t="s">
        <v>5</v>
      </c>
      <c r="H1130" s="273" t="s">
        <v>35</v>
      </c>
      <c r="I1130" s="274">
        <v>5.0</v>
      </c>
      <c r="J1130" s="271">
        <v>3.0</v>
      </c>
      <c r="K1130" s="271">
        <f t="shared" si="1"/>
        <v>15</v>
      </c>
      <c r="L1130" s="271">
        <v>48.0</v>
      </c>
      <c r="M1130" s="271">
        <v>10.0</v>
      </c>
      <c r="N1130" s="275">
        <v>1.0</v>
      </c>
      <c r="O1130" s="60"/>
      <c r="P1130" s="50">
        <v>1.0</v>
      </c>
      <c r="Q1130" s="271">
        <v>-1.0</v>
      </c>
      <c r="R1130" s="276">
        <v>-0.0015</v>
      </c>
      <c r="S1130" s="271">
        <v>-1.0</v>
      </c>
      <c r="T1130" s="271">
        <v>0.0</v>
      </c>
      <c r="U1130" s="62">
        <v>1.0</v>
      </c>
      <c r="V1130" s="277">
        <v>0.15</v>
      </c>
      <c r="W1130" s="277">
        <v>0.0</v>
      </c>
      <c r="X1130" s="271">
        <v>0.0</v>
      </c>
      <c r="Y1130" s="271">
        <v>0.0</v>
      </c>
      <c r="Z1130" s="50" t="b">
        <v>1</v>
      </c>
      <c r="AA1130" s="50" t="s">
        <v>138</v>
      </c>
      <c r="AB1130" s="50" t="s">
        <v>138</v>
      </c>
    </row>
    <row r="1131">
      <c r="A1131" s="101" t="s">
        <v>267</v>
      </c>
      <c r="B1131" s="101" t="s">
        <v>267</v>
      </c>
      <c r="C1131" s="278">
        <v>44582.0</v>
      </c>
      <c r="D1131" s="278">
        <v>44612.0</v>
      </c>
      <c r="E1131" s="271" t="s">
        <v>268</v>
      </c>
      <c r="F1131" s="138" t="s">
        <v>4</v>
      </c>
      <c r="G1131" s="101" t="s">
        <v>5</v>
      </c>
      <c r="H1131" s="273" t="s">
        <v>45</v>
      </c>
      <c r="I1131" s="274">
        <v>10.0</v>
      </c>
      <c r="J1131" s="271">
        <v>1.0</v>
      </c>
      <c r="K1131" s="271">
        <f t="shared" si="1"/>
        <v>10</v>
      </c>
      <c r="L1131" s="271">
        <v>-299.0</v>
      </c>
      <c r="M1131" s="271">
        <v>-10.0</v>
      </c>
      <c r="N1131" s="275"/>
      <c r="O1131" s="60"/>
      <c r="P1131" s="101"/>
      <c r="Q1131" s="271">
        <v>-6.0</v>
      </c>
      <c r="R1131" s="276">
        <v>-0.0015</v>
      </c>
      <c r="S1131" s="271">
        <v>-6.0</v>
      </c>
      <c r="T1131" s="271">
        <v>-6.0</v>
      </c>
      <c r="U1131" s="62">
        <v>1.0</v>
      </c>
      <c r="V1131" s="277">
        <v>0.15</v>
      </c>
      <c r="W1131" s="277">
        <v>0.0</v>
      </c>
      <c r="X1131" s="271">
        <v>-5.0</v>
      </c>
      <c r="Y1131" s="271">
        <v>-1.0</v>
      </c>
      <c r="Z1131" s="50" t="b">
        <v>1</v>
      </c>
      <c r="AA1131" s="50" t="s">
        <v>138</v>
      </c>
      <c r="AB1131" s="50" t="s">
        <v>138</v>
      </c>
    </row>
    <row r="1132">
      <c r="A1132" s="101" t="s">
        <v>267</v>
      </c>
      <c r="B1132" s="101" t="s">
        <v>267</v>
      </c>
      <c r="C1132" s="278">
        <v>44582.0</v>
      </c>
      <c r="D1132" s="278">
        <v>44612.0</v>
      </c>
      <c r="E1132" s="271" t="s">
        <v>268</v>
      </c>
      <c r="F1132" s="138" t="s">
        <v>4</v>
      </c>
      <c r="G1132" s="101" t="s">
        <v>5</v>
      </c>
      <c r="H1132" s="273" t="s">
        <v>48</v>
      </c>
      <c r="I1132" s="274">
        <v>10.0</v>
      </c>
      <c r="J1132" s="271">
        <v>104.0</v>
      </c>
      <c r="K1132" s="271">
        <f t="shared" si="1"/>
        <v>1040</v>
      </c>
      <c r="L1132" s="271">
        <v>-4463.0</v>
      </c>
      <c r="M1132" s="271">
        <v>-140.0</v>
      </c>
      <c r="N1132" s="275">
        <v>46.0</v>
      </c>
      <c r="O1132" s="60"/>
      <c r="P1132" s="50">
        <v>46.0</v>
      </c>
      <c r="Q1132" s="271">
        <v>-213.0</v>
      </c>
      <c r="R1132" s="276">
        <v>-0.0015</v>
      </c>
      <c r="S1132" s="271">
        <v>-215.0</v>
      </c>
      <c r="T1132" s="271">
        <v>-169.0</v>
      </c>
      <c r="U1132" s="62">
        <v>1.0</v>
      </c>
      <c r="V1132" s="277">
        <v>0.15</v>
      </c>
      <c r="W1132" s="277">
        <v>0.0</v>
      </c>
      <c r="X1132" s="271">
        <v>-144.0</v>
      </c>
      <c r="Y1132" s="271">
        <v>-25.0</v>
      </c>
      <c r="Z1132" s="50" t="b">
        <v>1</v>
      </c>
      <c r="AA1132" s="50" t="s">
        <v>138</v>
      </c>
      <c r="AB1132" s="50" t="s">
        <v>138</v>
      </c>
    </row>
    <row r="1133">
      <c r="A1133" s="101" t="s">
        <v>267</v>
      </c>
      <c r="B1133" s="101" t="s">
        <v>267</v>
      </c>
      <c r="C1133" s="278">
        <v>44582.0</v>
      </c>
      <c r="D1133" s="278">
        <v>44612.0</v>
      </c>
      <c r="E1133" s="271" t="s">
        <v>268</v>
      </c>
      <c r="F1133" s="138" t="s">
        <v>4</v>
      </c>
      <c r="G1133" s="101" t="s">
        <v>5</v>
      </c>
      <c r="H1133" s="273" t="s">
        <v>62</v>
      </c>
      <c r="I1133" s="274">
        <v>25.0</v>
      </c>
      <c r="J1133" s="271">
        <v>407.0</v>
      </c>
      <c r="K1133" s="271">
        <f t="shared" si="1"/>
        <v>10175</v>
      </c>
      <c r="L1133" s="271">
        <v>7059.0</v>
      </c>
      <c r="M1133" s="271">
        <v>-475.0</v>
      </c>
      <c r="N1133" s="275">
        <v>383.0</v>
      </c>
      <c r="O1133" s="60"/>
      <c r="P1133" s="50">
        <v>383.0</v>
      </c>
      <c r="Q1133" s="271">
        <v>-324.0</v>
      </c>
      <c r="R1133" s="276">
        <v>-0.0015</v>
      </c>
      <c r="S1133" s="271">
        <v>-339.0</v>
      </c>
      <c r="T1133" s="271">
        <v>44.0</v>
      </c>
      <c r="U1133" s="62">
        <v>1.0</v>
      </c>
      <c r="V1133" s="277">
        <v>0.15</v>
      </c>
      <c r="W1133" s="277">
        <v>0.0</v>
      </c>
      <c r="X1133" s="271">
        <v>37.0</v>
      </c>
      <c r="Y1133" s="271">
        <v>7.0</v>
      </c>
      <c r="Z1133" s="50" t="b">
        <v>1</v>
      </c>
      <c r="AA1133" s="50" t="s">
        <v>138</v>
      </c>
      <c r="AB1133" s="50" t="s">
        <v>138</v>
      </c>
    </row>
    <row r="1134">
      <c r="A1134" s="101" t="s">
        <v>267</v>
      </c>
      <c r="B1134" s="101" t="s">
        <v>267</v>
      </c>
      <c r="C1134" s="278">
        <v>44582.0</v>
      </c>
      <c r="D1134" s="278">
        <v>44612.0</v>
      </c>
      <c r="E1134" s="271" t="s">
        <v>268</v>
      </c>
      <c r="F1134" s="138" t="s">
        <v>4</v>
      </c>
      <c r="G1134" s="101" t="s">
        <v>5</v>
      </c>
      <c r="H1134" s="273" t="s">
        <v>63</v>
      </c>
      <c r="I1134" s="274">
        <v>25.0</v>
      </c>
      <c r="J1134" s="271">
        <v>2645.0</v>
      </c>
      <c r="K1134" s="271">
        <f t="shared" si="1"/>
        <v>66125</v>
      </c>
      <c r="L1134" s="271">
        <v>20001.0</v>
      </c>
      <c r="M1134" s="271">
        <v>-3125.0</v>
      </c>
      <c r="N1134" s="275">
        <v>2488.0</v>
      </c>
      <c r="O1134" s="60"/>
      <c r="P1134" s="109">
        <v>2488.0</v>
      </c>
      <c r="Q1134" s="271">
        <v>-2687.0</v>
      </c>
      <c r="R1134" s="276">
        <v>-0.0015</v>
      </c>
      <c r="S1134" s="271">
        <v>-2786.0</v>
      </c>
      <c r="T1134" s="271">
        <v>-298.0</v>
      </c>
      <c r="U1134" s="62">
        <v>1.0</v>
      </c>
      <c r="V1134" s="277">
        <v>0.15</v>
      </c>
      <c r="W1134" s="277">
        <v>0.0</v>
      </c>
      <c r="X1134" s="271">
        <v>-253.0</v>
      </c>
      <c r="Y1134" s="271">
        <v>-45.0</v>
      </c>
      <c r="Z1134" s="50" t="b">
        <v>1</v>
      </c>
      <c r="AA1134" s="50" t="s">
        <v>138</v>
      </c>
      <c r="AB1134" s="50" t="s">
        <v>138</v>
      </c>
    </row>
    <row r="1135">
      <c r="A1135" s="101" t="s">
        <v>267</v>
      </c>
      <c r="B1135" s="101" t="s">
        <v>267</v>
      </c>
      <c r="C1135" s="278">
        <v>44582.0</v>
      </c>
      <c r="D1135" s="278">
        <v>44612.0</v>
      </c>
      <c r="E1135" s="271" t="s">
        <v>268</v>
      </c>
      <c r="F1135" s="138" t="s">
        <v>4</v>
      </c>
      <c r="G1135" s="101" t="s">
        <v>5</v>
      </c>
      <c r="H1135" s="273" t="s">
        <v>74</v>
      </c>
      <c r="I1135" s="274">
        <v>50.0</v>
      </c>
      <c r="J1135" s="271">
        <v>185.0</v>
      </c>
      <c r="K1135" s="271">
        <f t="shared" si="1"/>
        <v>9250</v>
      </c>
      <c r="L1135" s="271">
        <v>7237.0</v>
      </c>
      <c r="M1135" s="271">
        <v>-700.0</v>
      </c>
      <c r="N1135" s="275">
        <v>348.0</v>
      </c>
      <c r="O1135" s="60"/>
      <c r="P1135" s="50">
        <v>348.0</v>
      </c>
      <c r="Q1135" s="271">
        <v>79.0</v>
      </c>
      <c r="R1135" s="276">
        <v>-0.0015</v>
      </c>
      <c r="S1135" s="271">
        <v>65.0</v>
      </c>
      <c r="T1135" s="271">
        <v>413.0</v>
      </c>
      <c r="U1135" s="62">
        <v>1.0</v>
      </c>
      <c r="V1135" s="277">
        <v>0.15</v>
      </c>
      <c r="W1135" s="277">
        <v>0.0</v>
      </c>
      <c r="X1135" s="271">
        <v>351.0</v>
      </c>
      <c r="Y1135" s="271">
        <v>62.0</v>
      </c>
      <c r="Z1135" s="50" t="b">
        <v>1</v>
      </c>
      <c r="AA1135" s="50" t="s">
        <v>138</v>
      </c>
      <c r="AB1135" s="50" t="s">
        <v>138</v>
      </c>
    </row>
    <row r="1136">
      <c r="A1136" s="101" t="s">
        <v>267</v>
      </c>
      <c r="B1136" s="101" t="s">
        <v>267</v>
      </c>
      <c r="C1136" s="278">
        <v>44582.0</v>
      </c>
      <c r="D1136" s="278">
        <v>44612.0</v>
      </c>
      <c r="E1136" s="271" t="s">
        <v>268</v>
      </c>
      <c r="F1136" s="138" t="s">
        <v>4</v>
      </c>
      <c r="G1136" s="101" t="s">
        <v>5</v>
      </c>
      <c r="H1136" s="273" t="s">
        <v>75</v>
      </c>
      <c r="I1136" s="274">
        <v>50.0</v>
      </c>
      <c r="J1136" s="271">
        <v>223.0</v>
      </c>
      <c r="K1136" s="271">
        <f t="shared" si="1"/>
        <v>11150</v>
      </c>
      <c r="L1136" s="271">
        <v>4062.0</v>
      </c>
      <c r="M1136" s="271">
        <v>-250.0</v>
      </c>
      <c r="N1136" s="275">
        <v>419.0</v>
      </c>
      <c r="O1136" s="60"/>
      <c r="P1136" s="50">
        <v>419.0</v>
      </c>
      <c r="Q1136" s="271">
        <v>-86.0</v>
      </c>
      <c r="R1136" s="276">
        <v>-0.0015</v>
      </c>
      <c r="S1136" s="271">
        <v>-103.0</v>
      </c>
      <c r="T1136" s="271">
        <v>316.0</v>
      </c>
      <c r="U1136" s="62">
        <v>1.0</v>
      </c>
      <c r="V1136" s="277">
        <v>0.15</v>
      </c>
      <c r="W1136" s="277">
        <v>0.0</v>
      </c>
      <c r="X1136" s="271">
        <v>269.0</v>
      </c>
      <c r="Y1136" s="271">
        <v>47.0</v>
      </c>
      <c r="Z1136" s="50" t="b">
        <v>1</v>
      </c>
      <c r="AA1136" s="50" t="s">
        <v>138</v>
      </c>
      <c r="AB1136" s="50" t="s">
        <v>138</v>
      </c>
    </row>
    <row r="1137">
      <c r="A1137" s="101" t="s">
        <v>267</v>
      </c>
      <c r="B1137" s="101" t="s">
        <v>267</v>
      </c>
      <c r="C1137" s="278">
        <v>44582.0</v>
      </c>
      <c r="D1137" s="278">
        <v>44612.0</v>
      </c>
      <c r="E1137" s="271" t="s">
        <v>268</v>
      </c>
      <c r="F1137" s="138" t="s">
        <v>12</v>
      </c>
      <c r="G1137" s="101" t="s">
        <v>5</v>
      </c>
      <c r="H1137" s="273" t="s">
        <v>28</v>
      </c>
      <c r="I1137" s="274">
        <v>2.0</v>
      </c>
      <c r="J1137" s="271">
        <v>2.0</v>
      </c>
      <c r="K1137" s="271">
        <f t="shared" si="1"/>
        <v>4</v>
      </c>
      <c r="L1137" s="271"/>
      <c r="M1137" s="271">
        <v>-4.0</v>
      </c>
      <c r="N1137" s="275"/>
      <c r="O1137" s="60"/>
      <c r="P1137" s="101"/>
      <c r="Q1137" s="271"/>
      <c r="R1137" s="276">
        <v>0.0</v>
      </c>
      <c r="S1137" s="271"/>
      <c r="T1137" s="271">
        <v>-4.0</v>
      </c>
      <c r="U1137" s="62">
        <v>1.0</v>
      </c>
      <c r="V1137" s="277">
        <v>0.15</v>
      </c>
      <c r="W1137" s="277">
        <v>0.0</v>
      </c>
      <c r="X1137" s="271">
        <v>-3.0</v>
      </c>
      <c r="Y1137" s="271">
        <v>-1.0</v>
      </c>
      <c r="Z1137" s="50" t="b">
        <v>1</v>
      </c>
      <c r="AA1137" s="50" t="s">
        <v>138</v>
      </c>
      <c r="AB1137" s="50" t="s">
        <v>138</v>
      </c>
    </row>
    <row r="1138">
      <c r="A1138" s="101" t="s">
        <v>267</v>
      </c>
      <c r="B1138" s="101" t="s">
        <v>267</v>
      </c>
      <c r="C1138" s="278">
        <v>44582.0</v>
      </c>
      <c r="D1138" s="278">
        <v>44612.0</v>
      </c>
      <c r="E1138" s="271" t="s">
        <v>268</v>
      </c>
      <c r="F1138" s="138" t="s">
        <v>12</v>
      </c>
      <c r="G1138" s="101" t="s">
        <v>5</v>
      </c>
      <c r="H1138" s="273" t="s">
        <v>29</v>
      </c>
      <c r="I1138" s="274">
        <v>2.0</v>
      </c>
      <c r="J1138" s="271">
        <v>1.0</v>
      </c>
      <c r="K1138" s="271">
        <f t="shared" si="1"/>
        <v>2</v>
      </c>
      <c r="L1138" s="271"/>
      <c r="M1138" s="271">
        <v>4.0</v>
      </c>
      <c r="N1138" s="275"/>
      <c r="O1138" s="60"/>
      <c r="P1138" s="101"/>
      <c r="Q1138" s="271"/>
      <c r="R1138" s="276">
        <v>0.0</v>
      </c>
      <c r="S1138" s="271"/>
      <c r="T1138" s="271">
        <v>4.0</v>
      </c>
      <c r="U1138" s="62">
        <v>1.0</v>
      </c>
      <c r="V1138" s="277">
        <v>0.15</v>
      </c>
      <c r="W1138" s="277">
        <v>0.0</v>
      </c>
      <c r="X1138" s="271">
        <v>3.0</v>
      </c>
      <c r="Y1138" s="271">
        <v>1.0</v>
      </c>
      <c r="Z1138" s="50" t="b">
        <v>1</v>
      </c>
      <c r="AA1138" s="50" t="s">
        <v>138</v>
      </c>
      <c r="AB1138" s="50" t="s">
        <v>138</v>
      </c>
    </row>
    <row r="1139">
      <c r="A1139" s="101" t="s">
        <v>148</v>
      </c>
      <c r="B1139" s="101" t="s">
        <v>148</v>
      </c>
      <c r="C1139" s="278">
        <v>44582.0</v>
      </c>
      <c r="D1139" s="278">
        <v>44612.0</v>
      </c>
      <c r="E1139" s="271" t="s">
        <v>331</v>
      </c>
      <c r="F1139" s="138" t="s">
        <v>4</v>
      </c>
      <c r="G1139" s="101" t="s">
        <v>5</v>
      </c>
      <c r="H1139" s="273" t="s">
        <v>74</v>
      </c>
      <c r="I1139" s="274">
        <v>50.0</v>
      </c>
      <c r="J1139" s="271">
        <v>4767.0</v>
      </c>
      <c r="K1139" s="271">
        <f t="shared" si="1"/>
        <v>238350</v>
      </c>
      <c r="L1139" s="271">
        <v>126592.0</v>
      </c>
      <c r="M1139" s="271">
        <v>-6300.0</v>
      </c>
      <c r="N1139" s="275">
        <v>14000.0</v>
      </c>
      <c r="O1139" s="60"/>
      <c r="P1139" s="109">
        <v>14000.0</v>
      </c>
      <c r="Q1139" s="271">
        <v>-3269.0</v>
      </c>
      <c r="R1139" s="276">
        <v>-1.9E-4</v>
      </c>
      <c r="S1139" s="271">
        <v>-3315.0</v>
      </c>
      <c r="T1139" s="271">
        <v>10685.0</v>
      </c>
      <c r="U1139" s="62">
        <v>1.0</v>
      </c>
      <c r="V1139" s="277">
        <v>0.15</v>
      </c>
      <c r="W1139" s="277">
        <v>0.05</v>
      </c>
      <c r="X1139" s="271">
        <v>8548.0</v>
      </c>
      <c r="Y1139" s="271">
        <v>2137.0</v>
      </c>
      <c r="Z1139" s="50" t="b">
        <v>1</v>
      </c>
      <c r="AA1139" s="50" t="s">
        <v>138</v>
      </c>
      <c r="AB1139" s="50" t="s">
        <v>138</v>
      </c>
    </row>
    <row r="1140">
      <c r="A1140" s="101" t="s">
        <v>182</v>
      </c>
      <c r="B1140" s="280" t="s">
        <v>1004</v>
      </c>
      <c r="C1140" s="283">
        <v>44582.0</v>
      </c>
      <c r="D1140" s="283">
        <v>44612.0</v>
      </c>
      <c r="E1140" s="280" t="s">
        <v>268</v>
      </c>
      <c r="F1140" s="138" t="s">
        <v>4</v>
      </c>
      <c r="G1140" s="280" t="s">
        <v>9</v>
      </c>
      <c r="H1140" s="273" t="s">
        <v>53</v>
      </c>
      <c r="I1140" s="281">
        <v>10.0</v>
      </c>
      <c r="J1140" s="280">
        <v>916.0</v>
      </c>
      <c r="K1140" s="271">
        <f t="shared" si="1"/>
        <v>9160</v>
      </c>
      <c r="L1140" s="280">
        <v>38261.0</v>
      </c>
      <c r="M1140" s="280">
        <v>-511.0</v>
      </c>
      <c r="N1140" s="282">
        <v>290.0</v>
      </c>
      <c r="O1140" s="60"/>
      <c r="P1140" s="50">
        <v>290.0</v>
      </c>
      <c r="Q1140" s="280">
        <v>-180.0</v>
      </c>
      <c r="R1140" s="276">
        <v>-1.9E-4</v>
      </c>
      <c r="S1140" s="280">
        <v>-182.0</v>
      </c>
      <c r="T1140" s="280">
        <v>108.0</v>
      </c>
      <c r="U1140" s="62">
        <v>1.136</v>
      </c>
      <c r="V1140" s="277">
        <v>0.2</v>
      </c>
      <c r="W1140" s="277">
        <v>0.0</v>
      </c>
      <c r="X1140" s="280">
        <v>98.0</v>
      </c>
      <c r="Y1140" s="280">
        <v>25.0</v>
      </c>
      <c r="Z1140" s="50" t="b">
        <v>1</v>
      </c>
      <c r="AA1140" s="50" t="s">
        <v>138</v>
      </c>
      <c r="AB1140" s="50" t="s">
        <v>140</v>
      </c>
    </row>
    <row r="1141">
      <c r="A1141" s="101" t="s">
        <v>182</v>
      </c>
      <c r="B1141" s="101" t="s">
        <v>182</v>
      </c>
      <c r="C1141" s="283">
        <v>44582.0</v>
      </c>
      <c r="D1141" s="283">
        <v>44612.0</v>
      </c>
      <c r="E1141" s="280" t="s">
        <v>268</v>
      </c>
      <c r="F1141" s="138" t="s">
        <v>4</v>
      </c>
      <c r="G1141" s="271" t="s">
        <v>5</v>
      </c>
      <c r="H1141" s="273" t="s">
        <v>45</v>
      </c>
      <c r="I1141" s="281">
        <v>10.0</v>
      </c>
      <c r="J1141" s="280">
        <v>53.0</v>
      </c>
      <c r="K1141" s="271">
        <f t="shared" si="1"/>
        <v>530</v>
      </c>
      <c r="L1141" s="280">
        <v>7780.0</v>
      </c>
      <c r="M1141" s="280">
        <v>20.0</v>
      </c>
      <c r="N1141" s="275">
        <v>4.0</v>
      </c>
      <c r="O1141" s="60"/>
      <c r="P1141" s="50">
        <v>4.0</v>
      </c>
      <c r="Q1141" s="280">
        <v>106.0</v>
      </c>
      <c r="R1141" s="276">
        <v>-1.9E-4</v>
      </c>
      <c r="S1141" s="280">
        <v>106.0</v>
      </c>
      <c r="T1141" s="280">
        <v>110.0</v>
      </c>
      <c r="U1141" s="62">
        <v>1.0</v>
      </c>
      <c r="V1141" s="277">
        <v>0.2</v>
      </c>
      <c r="W1141" s="277">
        <v>0.0</v>
      </c>
      <c r="X1141" s="280">
        <v>88.0</v>
      </c>
      <c r="Y1141" s="280">
        <v>22.0</v>
      </c>
      <c r="Z1141" s="50" t="b">
        <v>1</v>
      </c>
      <c r="AA1141" s="50" t="s">
        <v>138</v>
      </c>
      <c r="AB1141" s="50" t="s">
        <v>138</v>
      </c>
    </row>
    <row r="1142">
      <c r="A1142" s="280" t="s">
        <v>345</v>
      </c>
      <c r="B1142" s="280" t="s">
        <v>992</v>
      </c>
      <c r="C1142" s="283">
        <v>44582.0</v>
      </c>
      <c r="D1142" s="283">
        <v>44612.0</v>
      </c>
      <c r="E1142" s="280" t="s">
        <v>331</v>
      </c>
      <c r="F1142" s="138" t="s">
        <v>4</v>
      </c>
      <c r="G1142" s="280" t="s">
        <v>9</v>
      </c>
      <c r="H1142" s="273" t="s">
        <v>53</v>
      </c>
      <c r="I1142" s="281">
        <v>10.0</v>
      </c>
      <c r="J1142" s="280">
        <v>632.0</v>
      </c>
      <c r="K1142" s="271">
        <f t="shared" si="1"/>
        <v>6320</v>
      </c>
      <c r="L1142" s="280">
        <v>43498.0</v>
      </c>
      <c r="M1142" s="280">
        <v>364.0</v>
      </c>
      <c r="N1142" s="282">
        <v>1747.99</v>
      </c>
      <c r="O1142" s="60"/>
      <c r="P1142" s="109">
        <v>1748.0</v>
      </c>
      <c r="Q1142" s="280">
        <v>228.0</v>
      </c>
      <c r="R1142" s="276">
        <v>-1.9E-4</v>
      </c>
      <c r="S1142" s="280">
        <v>227.0</v>
      </c>
      <c r="T1142" s="280">
        <v>1975.0</v>
      </c>
      <c r="U1142" s="62">
        <v>1.136</v>
      </c>
      <c r="V1142" s="277">
        <v>0.15</v>
      </c>
      <c r="W1142" s="277">
        <v>0.05</v>
      </c>
      <c r="X1142" s="280">
        <v>1795.0</v>
      </c>
      <c r="Y1142" s="280">
        <v>449.0</v>
      </c>
      <c r="Z1142" s="50" t="b">
        <v>1</v>
      </c>
      <c r="AA1142" s="50" t="s">
        <v>138</v>
      </c>
      <c r="AB1142" s="50" t="s">
        <v>140</v>
      </c>
    </row>
    <row r="1143">
      <c r="A1143" s="280" t="s">
        <v>345</v>
      </c>
      <c r="B1143" s="280" t="s">
        <v>992</v>
      </c>
      <c r="C1143" s="283">
        <v>44582.0</v>
      </c>
      <c r="D1143" s="283">
        <v>44612.0</v>
      </c>
      <c r="E1143" s="280" t="s">
        <v>331</v>
      </c>
      <c r="F1143" s="138" t="s">
        <v>4</v>
      </c>
      <c r="G1143" s="280" t="s">
        <v>9</v>
      </c>
      <c r="H1143" s="273" t="s">
        <v>66</v>
      </c>
      <c r="I1143" s="281">
        <v>25.0</v>
      </c>
      <c r="J1143" s="280">
        <v>2042.0</v>
      </c>
      <c r="K1143" s="271">
        <f t="shared" si="1"/>
        <v>51050</v>
      </c>
      <c r="L1143" s="280">
        <v>138353.0</v>
      </c>
      <c r="M1143" s="280">
        <v>1789.0</v>
      </c>
      <c r="N1143" s="282">
        <v>162.01</v>
      </c>
      <c r="O1143" s="60"/>
      <c r="P1143" s="50">
        <v>162.0</v>
      </c>
      <c r="Q1143" s="280">
        <v>1745.0</v>
      </c>
      <c r="R1143" s="276">
        <v>-1.9E-4</v>
      </c>
      <c r="S1143" s="280">
        <v>1736.0</v>
      </c>
      <c r="T1143" s="280">
        <v>1898.0</v>
      </c>
      <c r="U1143" s="62">
        <v>1.136</v>
      </c>
      <c r="V1143" s="277">
        <v>0.15</v>
      </c>
      <c r="W1143" s="277">
        <v>0.05</v>
      </c>
      <c r="X1143" s="280">
        <v>1725.0</v>
      </c>
      <c r="Y1143" s="280">
        <v>431.0</v>
      </c>
      <c r="Z1143" s="50" t="b">
        <v>1</v>
      </c>
      <c r="AA1143" s="50" t="s">
        <v>138</v>
      </c>
      <c r="AB1143" s="50" t="s">
        <v>140</v>
      </c>
    </row>
    <row r="1144">
      <c r="A1144" s="280" t="s">
        <v>362</v>
      </c>
      <c r="B1144" s="280" t="s">
        <v>362</v>
      </c>
      <c r="C1144" s="283">
        <v>44582.0</v>
      </c>
      <c r="D1144" s="283">
        <v>44612.0</v>
      </c>
      <c r="E1144" s="280" t="s">
        <v>268</v>
      </c>
      <c r="F1144" s="138" t="s">
        <v>4</v>
      </c>
      <c r="G1144" s="280" t="s">
        <v>9</v>
      </c>
      <c r="H1144" s="273" t="s">
        <v>79</v>
      </c>
      <c r="I1144" s="281">
        <v>50.0</v>
      </c>
      <c r="J1144" s="280">
        <v>237.0</v>
      </c>
      <c r="K1144" s="271">
        <f t="shared" si="1"/>
        <v>11850</v>
      </c>
      <c r="L1144" s="280">
        <v>4864.0</v>
      </c>
      <c r="M1144" s="280">
        <v>-1420.0</v>
      </c>
      <c r="N1144" s="282">
        <v>8357.77</v>
      </c>
      <c r="O1144" s="60"/>
      <c r="P1144" s="109">
        <v>8358.0</v>
      </c>
      <c r="Q1144" s="280">
        <v>-607.0</v>
      </c>
      <c r="R1144" s="276">
        <v>-1.9E-4</v>
      </c>
      <c r="S1144" s="280">
        <v>-609.0</v>
      </c>
      <c r="T1144" s="280">
        <v>7749.0</v>
      </c>
      <c r="U1144" s="62">
        <v>1.136</v>
      </c>
      <c r="V1144" s="277">
        <v>0.19</v>
      </c>
      <c r="W1144" s="277">
        <v>0.0</v>
      </c>
      <c r="X1144" s="280">
        <v>7130.0</v>
      </c>
      <c r="Y1144" s="280">
        <v>1672.0</v>
      </c>
      <c r="Z1144" s="50" t="b">
        <v>1</v>
      </c>
      <c r="AA1144" s="50" t="s">
        <v>138</v>
      </c>
      <c r="AB1144" s="50" t="s">
        <v>140</v>
      </c>
    </row>
    <row r="1145">
      <c r="A1145" s="280" t="s">
        <v>362</v>
      </c>
      <c r="B1145" s="280" t="s">
        <v>362</v>
      </c>
      <c r="C1145" s="283">
        <v>44582.0</v>
      </c>
      <c r="D1145" s="283">
        <v>44612.0</v>
      </c>
      <c r="E1145" s="280" t="s">
        <v>268</v>
      </c>
      <c r="F1145" s="138" t="s">
        <v>4</v>
      </c>
      <c r="G1145" s="280" t="s">
        <v>9</v>
      </c>
      <c r="H1145" s="273" t="s">
        <v>89</v>
      </c>
      <c r="I1145" s="281">
        <v>100.0</v>
      </c>
      <c r="J1145" s="280">
        <v>1216.0</v>
      </c>
      <c r="K1145" s="271">
        <f t="shared" si="1"/>
        <v>121600</v>
      </c>
      <c r="L1145" s="280">
        <v>35390.0</v>
      </c>
      <c r="M1145" s="280">
        <v>0.0</v>
      </c>
      <c r="N1145" s="282">
        <v>1230.07</v>
      </c>
      <c r="O1145" s="60"/>
      <c r="P1145" s="109">
        <v>1230.0</v>
      </c>
      <c r="Q1145" s="280">
        <v>-4311.0</v>
      </c>
      <c r="R1145" s="276">
        <v>-1.9E-4</v>
      </c>
      <c r="S1145" s="280">
        <v>-4334.0</v>
      </c>
      <c r="T1145" s="280">
        <v>-3104.0</v>
      </c>
      <c r="U1145" s="62">
        <v>1.136</v>
      </c>
      <c r="V1145" s="277">
        <v>0.19</v>
      </c>
      <c r="W1145" s="277">
        <v>0.0</v>
      </c>
      <c r="X1145" s="280">
        <v>-2856.0</v>
      </c>
      <c r="Y1145" s="280">
        <v>-670.0</v>
      </c>
      <c r="Z1145" s="50" t="b">
        <v>1</v>
      </c>
      <c r="AA1145" s="50" t="s">
        <v>138</v>
      </c>
      <c r="AB1145" s="50" t="s">
        <v>140</v>
      </c>
    </row>
    <row r="1146">
      <c r="A1146" s="280" t="s">
        <v>362</v>
      </c>
      <c r="B1146" s="280" t="s">
        <v>362</v>
      </c>
      <c r="C1146" s="283">
        <v>44582.0</v>
      </c>
      <c r="D1146" s="283">
        <v>44612.0</v>
      </c>
      <c r="E1146" s="280" t="s">
        <v>268</v>
      </c>
      <c r="F1146" s="138" t="s">
        <v>4</v>
      </c>
      <c r="G1146" s="280" t="s">
        <v>9</v>
      </c>
      <c r="H1146" s="273" t="s">
        <v>999</v>
      </c>
      <c r="I1146" s="281">
        <v>250.0</v>
      </c>
      <c r="J1146" s="280">
        <v>261.0</v>
      </c>
      <c r="K1146" s="271">
        <f t="shared" si="1"/>
        <v>65250</v>
      </c>
      <c r="L1146" s="280">
        <v>8913.0</v>
      </c>
      <c r="M1146" s="280">
        <v>-284.0</v>
      </c>
      <c r="N1146" s="282">
        <v>0.0</v>
      </c>
      <c r="O1146" s="60"/>
      <c r="P1146" s="50">
        <v>0.0</v>
      </c>
      <c r="Q1146" s="280">
        <v>-1085.0</v>
      </c>
      <c r="R1146" s="276">
        <v>-1.9E-4</v>
      </c>
      <c r="S1146" s="280">
        <v>-1097.0</v>
      </c>
      <c r="T1146" s="280">
        <v>-1097.0</v>
      </c>
      <c r="U1146" s="62">
        <v>1.136</v>
      </c>
      <c r="V1146" s="277">
        <v>0.19</v>
      </c>
      <c r="W1146" s="277">
        <v>0.0</v>
      </c>
      <c r="X1146" s="280">
        <v>-1010.0</v>
      </c>
      <c r="Y1146" s="280">
        <v>-237.0</v>
      </c>
      <c r="Z1146" s="50" t="b">
        <v>1</v>
      </c>
      <c r="AA1146" s="50" t="s">
        <v>138</v>
      </c>
      <c r="AB1146" s="50" t="s">
        <v>140</v>
      </c>
    </row>
    <row r="1147">
      <c r="A1147" s="280" t="s">
        <v>362</v>
      </c>
      <c r="B1147" s="280" t="s">
        <v>362</v>
      </c>
      <c r="C1147" s="283">
        <v>44582.0</v>
      </c>
      <c r="D1147" s="283">
        <v>44612.0</v>
      </c>
      <c r="E1147" s="280" t="s">
        <v>268</v>
      </c>
      <c r="F1147" s="138" t="s">
        <v>4</v>
      </c>
      <c r="G1147" s="280" t="s">
        <v>9</v>
      </c>
      <c r="H1147" s="273" t="s">
        <v>1000</v>
      </c>
      <c r="I1147" s="281">
        <v>500.0</v>
      </c>
      <c r="J1147" s="280">
        <v>43.0</v>
      </c>
      <c r="K1147" s="271">
        <f t="shared" si="1"/>
        <v>21500</v>
      </c>
      <c r="L1147" s="280">
        <v>-201.0</v>
      </c>
      <c r="M1147" s="280">
        <v>-5112.0</v>
      </c>
      <c r="N1147" s="282">
        <v>723.51</v>
      </c>
      <c r="O1147" s="60"/>
      <c r="P1147" s="50">
        <v>724.0</v>
      </c>
      <c r="Q1147" s="280">
        <v>-1869.0</v>
      </c>
      <c r="R1147" s="276">
        <v>-1.9E-4</v>
      </c>
      <c r="S1147" s="280">
        <v>-1873.0</v>
      </c>
      <c r="T1147" s="280">
        <v>-1150.0</v>
      </c>
      <c r="U1147" s="62">
        <v>1.136</v>
      </c>
      <c r="V1147" s="277">
        <v>0.19</v>
      </c>
      <c r="W1147" s="277">
        <v>0.0</v>
      </c>
      <c r="X1147" s="280">
        <v>-1058.0</v>
      </c>
      <c r="Y1147" s="280">
        <v>-248.0</v>
      </c>
      <c r="Z1147" s="50" t="b">
        <v>1</v>
      </c>
      <c r="AA1147" s="50" t="s">
        <v>138</v>
      </c>
      <c r="AB1147" s="50" t="s">
        <v>140</v>
      </c>
    </row>
    <row r="1148">
      <c r="A1148" s="280" t="s">
        <v>362</v>
      </c>
      <c r="B1148" s="271" t="s">
        <v>189</v>
      </c>
      <c r="C1148" s="288">
        <v>44582.0</v>
      </c>
      <c r="D1148" s="283">
        <v>44612.0</v>
      </c>
      <c r="E1148" s="280" t="s">
        <v>268</v>
      </c>
      <c r="F1148" s="138" t="s">
        <v>12</v>
      </c>
      <c r="G1148" s="271" t="s">
        <v>5</v>
      </c>
      <c r="H1148" s="273" t="s">
        <v>85</v>
      </c>
      <c r="I1148" s="274">
        <v>100.0</v>
      </c>
      <c r="J1148" s="271">
        <v>143.0</v>
      </c>
      <c r="K1148" s="271">
        <f t="shared" si="1"/>
        <v>14300</v>
      </c>
      <c r="L1148" s="271">
        <v>11690.0</v>
      </c>
      <c r="M1148" s="271">
        <v>3700.0</v>
      </c>
      <c r="N1148" s="275">
        <v>64.0</v>
      </c>
      <c r="O1148" s="60"/>
      <c r="P1148" s="50">
        <v>64.0</v>
      </c>
      <c r="Q1148" s="271">
        <v>1419.0</v>
      </c>
      <c r="R1148" s="276">
        <v>0.0</v>
      </c>
      <c r="S1148" s="271">
        <v>1419.0</v>
      </c>
      <c r="T1148" s="271">
        <v>3764.0</v>
      </c>
      <c r="U1148" s="62">
        <v>1.0</v>
      </c>
      <c r="V1148" s="277">
        <v>0.19</v>
      </c>
      <c r="W1148" s="277">
        <v>0.0</v>
      </c>
      <c r="X1148" s="271">
        <v>3049.0</v>
      </c>
      <c r="Y1148" s="271">
        <v>715.0</v>
      </c>
      <c r="Z1148" s="50" t="b">
        <v>1</v>
      </c>
      <c r="AA1148" s="50" t="s">
        <v>138</v>
      </c>
      <c r="AB1148" s="50" t="s">
        <v>138</v>
      </c>
    </row>
    <row r="1149">
      <c r="A1149" s="280" t="s">
        <v>362</v>
      </c>
      <c r="B1149" s="271" t="s">
        <v>189</v>
      </c>
      <c r="C1149" s="288">
        <v>44582.0</v>
      </c>
      <c r="D1149" s="283">
        <v>44612.0</v>
      </c>
      <c r="E1149" s="280" t="s">
        <v>268</v>
      </c>
      <c r="F1149" s="138" t="s">
        <v>12</v>
      </c>
      <c r="G1149" s="271" t="s">
        <v>5</v>
      </c>
      <c r="H1149" s="273" t="s">
        <v>96</v>
      </c>
      <c r="I1149" s="274">
        <v>250.0</v>
      </c>
      <c r="J1149" s="271">
        <v>32.0</v>
      </c>
      <c r="K1149" s="271">
        <f t="shared" si="1"/>
        <v>8000</v>
      </c>
      <c r="L1149" s="271">
        <v>1351.0</v>
      </c>
      <c r="M1149" s="271">
        <v>-1000.0</v>
      </c>
      <c r="N1149" s="275">
        <v>36.0</v>
      </c>
      <c r="O1149" s="60"/>
      <c r="P1149" s="50">
        <v>36.0</v>
      </c>
      <c r="Q1149" s="271">
        <v>222.0</v>
      </c>
      <c r="R1149" s="276">
        <v>0.0</v>
      </c>
      <c r="S1149" s="271">
        <v>222.0</v>
      </c>
      <c r="T1149" s="271">
        <v>-964.0</v>
      </c>
      <c r="U1149" s="62">
        <v>1.0</v>
      </c>
      <c r="V1149" s="277">
        <v>0.19</v>
      </c>
      <c r="W1149" s="277">
        <v>0.0</v>
      </c>
      <c r="X1149" s="271">
        <v>-781.0</v>
      </c>
      <c r="Y1149" s="271">
        <v>-183.0</v>
      </c>
      <c r="Z1149" s="50" t="b">
        <v>1</v>
      </c>
      <c r="AA1149" s="50" t="s">
        <v>138</v>
      </c>
      <c r="AB1149" s="50" t="s">
        <v>138</v>
      </c>
    </row>
    <row r="1150">
      <c r="A1150" s="101" t="s">
        <v>416</v>
      </c>
      <c r="B1150" s="101" t="s">
        <v>190</v>
      </c>
      <c r="C1150" s="278">
        <v>44582.0</v>
      </c>
      <c r="D1150" s="278">
        <v>44612.0</v>
      </c>
      <c r="E1150" s="271" t="s">
        <v>268</v>
      </c>
      <c r="F1150" s="138" t="s">
        <v>4</v>
      </c>
      <c r="G1150" s="271" t="s">
        <v>5</v>
      </c>
      <c r="H1150" s="273" t="s">
        <v>45</v>
      </c>
      <c r="I1150" s="274">
        <v>10.0</v>
      </c>
      <c r="J1150" s="271">
        <v>3841.0</v>
      </c>
      <c r="K1150" s="271">
        <f t="shared" si="1"/>
        <v>38410</v>
      </c>
      <c r="L1150" s="271">
        <v>215009.0</v>
      </c>
      <c r="M1150" s="271">
        <v>1710.0</v>
      </c>
      <c r="N1150" s="275">
        <v>1761.0</v>
      </c>
      <c r="O1150" s="60"/>
      <c r="P1150" s="109">
        <v>1761.0</v>
      </c>
      <c r="Q1150" s="271">
        <v>1103.0</v>
      </c>
      <c r="R1150" s="276">
        <v>-1.9E-4</v>
      </c>
      <c r="S1150" s="271">
        <v>1095.0</v>
      </c>
      <c r="T1150" s="271">
        <v>2856.0</v>
      </c>
      <c r="U1150" s="62">
        <v>1.0</v>
      </c>
      <c r="V1150" s="277">
        <v>0.25</v>
      </c>
      <c r="W1150" s="277">
        <v>0.0</v>
      </c>
      <c r="X1150" s="271">
        <v>2142.0</v>
      </c>
      <c r="Y1150" s="271">
        <v>714.0</v>
      </c>
      <c r="Z1150" s="50" t="b">
        <v>1</v>
      </c>
      <c r="AA1150" s="50" t="s">
        <v>138</v>
      </c>
      <c r="AB1150" s="50" t="s">
        <v>138</v>
      </c>
    </row>
    <row r="1151">
      <c r="A1151" s="101" t="s">
        <v>416</v>
      </c>
      <c r="B1151" s="101" t="s">
        <v>190</v>
      </c>
      <c r="C1151" s="278">
        <v>44582.0</v>
      </c>
      <c r="D1151" s="278">
        <v>44612.0</v>
      </c>
      <c r="E1151" s="271" t="s">
        <v>268</v>
      </c>
      <c r="F1151" s="138" t="s">
        <v>4</v>
      </c>
      <c r="G1151" s="271" t="s">
        <v>5</v>
      </c>
      <c r="H1151" s="273" t="s">
        <v>62</v>
      </c>
      <c r="I1151" s="274">
        <v>25.0</v>
      </c>
      <c r="J1151" s="271">
        <v>568.0</v>
      </c>
      <c r="K1151" s="271">
        <f t="shared" si="1"/>
        <v>14200</v>
      </c>
      <c r="L1151" s="271">
        <v>31589.0</v>
      </c>
      <c r="M1151" s="271">
        <v>725.0</v>
      </c>
      <c r="N1151" s="275">
        <v>558.0</v>
      </c>
      <c r="O1151" s="60"/>
      <c r="P1151" s="50">
        <v>558.0</v>
      </c>
      <c r="Q1151" s="271">
        <v>580.0</v>
      </c>
      <c r="R1151" s="276">
        <v>-1.9E-4</v>
      </c>
      <c r="S1151" s="271">
        <v>578.0</v>
      </c>
      <c r="T1151" s="271">
        <v>1136.0</v>
      </c>
      <c r="U1151" s="62">
        <v>1.0</v>
      </c>
      <c r="V1151" s="277">
        <v>0.25</v>
      </c>
      <c r="W1151" s="277">
        <v>0.0</v>
      </c>
      <c r="X1151" s="271">
        <v>852.0</v>
      </c>
      <c r="Y1151" s="271">
        <v>284.0</v>
      </c>
      <c r="Z1151" s="50" t="b">
        <v>1</v>
      </c>
      <c r="AA1151" s="50" t="s">
        <v>138</v>
      </c>
      <c r="AB1151" s="50" t="s">
        <v>138</v>
      </c>
    </row>
    <row r="1152">
      <c r="A1152" s="280" t="s">
        <v>150</v>
      </c>
      <c r="B1152" s="280" t="s">
        <v>150</v>
      </c>
      <c r="C1152" s="283">
        <v>44582.0</v>
      </c>
      <c r="D1152" s="283">
        <v>44612.0</v>
      </c>
      <c r="E1152" s="280" t="s">
        <v>268</v>
      </c>
      <c r="F1152" s="138" t="s">
        <v>4</v>
      </c>
      <c r="G1152" s="280" t="s">
        <v>9</v>
      </c>
      <c r="H1152" s="273" t="s">
        <v>66</v>
      </c>
      <c r="I1152" s="281">
        <v>25.0</v>
      </c>
      <c r="J1152" s="280">
        <v>1190.0</v>
      </c>
      <c r="K1152" s="271">
        <f t="shared" si="1"/>
        <v>29750</v>
      </c>
      <c r="L1152" s="280">
        <v>50318.0</v>
      </c>
      <c r="M1152" s="280">
        <v>-312.0</v>
      </c>
      <c r="N1152" s="282">
        <v>632.5</v>
      </c>
      <c r="O1152" s="60"/>
      <c r="P1152" s="50">
        <v>633.0</v>
      </c>
      <c r="Q1152" s="280">
        <v>-340.0</v>
      </c>
      <c r="R1152" s="276">
        <v>-1.9E-4</v>
      </c>
      <c r="S1152" s="280">
        <v>-346.0</v>
      </c>
      <c r="T1152" s="280">
        <v>287.0</v>
      </c>
      <c r="U1152" s="62">
        <v>1.0</v>
      </c>
      <c r="V1152" s="277">
        <v>0.3</v>
      </c>
      <c r="W1152" s="277">
        <v>0.0</v>
      </c>
      <c r="X1152" s="280">
        <v>201.0</v>
      </c>
      <c r="Y1152" s="280">
        <v>86.0</v>
      </c>
      <c r="Z1152" s="50" t="b">
        <v>1</v>
      </c>
      <c r="AA1152" s="50" t="s">
        <v>140</v>
      </c>
      <c r="AB1152" s="50" t="s">
        <v>140</v>
      </c>
    </row>
    <row r="1153">
      <c r="A1153" s="101" t="s">
        <v>505</v>
      </c>
      <c r="B1153" s="271" t="s">
        <v>166</v>
      </c>
      <c r="C1153" s="278">
        <v>44582.0</v>
      </c>
      <c r="D1153" s="278">
        <v>44612.0</v>
      </c>
      <c r="E1153" s="271" t="s">
        <v>268</v>
      </c>
      <c r="F1153" s="101" t="s">
        <v>4</v>
      </c>
      <c r="G1153" s="271" t="s">
        <v>5</v>
      </c>
      <c r="H1153" s="273" t="s">
        <v>35</v>
      </c>
      <c r="I1153" s="281">
        <v>5.0</v>
      </c>
      <c r="J1153" s="280">
        <v>10.0</v>
      </c>
      <c r="K1153" s="271">
        <f t="shared" si="1"/>
        <v>50</v>
      </c>
      <c r="L1153" s="280">
        <v>0.0</v>
      </c>
      <c r="M1153" s="280">
        <v>5.0</v>
      </c>
      <c r="N1153" s="275">
        <v>1.0</v>
      </c>
      <c r="O1153" s="60"/>
      <c r="P1153" s="50">
        <v>1.0</v>
      </c>
      <c r="Q1153" s="280">
        <v>-4.0</v>
      </c>
      <c r="R1153" s="276">
        <v>-1.9E-4</v>
      </c>
      <c r="S1153" s="280">
        <v>-4.0</v>
      </c>
      <c r="T1153" s="280">
        <v>-3.0</v>
      </c>
      <c r="U1153" s="62">
        <v>1.0</v>
      </c>
      <c r="V1153" s="277">
        <v>0.25</v>
      </c>
      <c r="W1153" s="277">
        <v>0.0</v>
      </c>
      <c r="X1153" s="280">
        <v>-3.0</v>
      </c>
      <c r="Y1153" s="280">
        <v>-1.0</v>
      </c>
      <c r="Z1153" s="50" t="b">
        <v>1</v>
      </c>
      <c r="AA1153" s="50" t="s">
        <v>138</v>
      </c>
      <c r="AB1153" s="50" t="s">
        <v>138</v>
      </c>
    </row>
    <row r="1154">
      <c r="A1154" s="101" t="s">
        <v>505</v>
      </c>
      <c r="B1154" s="271" t="s">
        <v>166</v>
      </c>
      <c r="C1154" s="278">
        <v>44582.0</v>
      </c>
      <c r="D1154" s="278">
        <v>44612.0</v>
      </c>
      <c r="E1154" s="271" t="s">
        <v>268</v>
      </c>
      <c r="F1154" s="101" t="s">
        <v>4</v>
      </c>
      <c r="G1154" s="271" t="s">
        <v>5</v>
      </c>
      <c r="H1154" s="273" t="s">
        <v>45</v>
      </c>
      <c r="I1154" s="281">
        <v>10.0</v>
      </c>
      <c r="J1154" s="280">
        <v>1408.0</v>
      </c>
      <c r="K1154" s="271">
        <f t="shared" si="1"/>
        <v>14080</v>
      </c>
      <c r="L1154" s="280">
        <v>21434.0</v>
      </c>
      <c r="M1154" s="280">
        <v>-770.0</v>
      </c>
      <c r="N1154" s="275">
        <v>323.0</v>
      </c>
      <c r="O1154" s="60"/>
      <c r="P1154" s="50">
        <v>323.0</v>
      </c>
      <c r="Q1154" s="280">
        <v>-617.0</v>
      </c>
      <c r="R1154" s="276">
        <v>-1.9E-4</v>
      </c>
      <c r="S1154" s="280">
        <v>-619.0</v>
      </c>
      <c r="T1154" s="280">
        <v>-296.0</v>
      </c>
      <c r="U1154" s="62">
        <v>1.0</v>
      </c>
      <c r="V1154" s="277">
        <v>0.25</v>
      </c>
      <c r="W1154" s="277">
        <v>0.0</v>
      </c>
      <c r="X1154" s="280">
        <v>-222.0</v>
      </c>
      <c r="Y1154" s="280">
        <v>-74.0</v>
      </c>
      <c r="Z1154" s="50" t="b">
        <v>1</v>
      </c>
      <c r="AA1154" s="50" t="s">
        <v>138</v>
      </c>
      <c r="AB1154" s="50" t="s">
        <v>138</v>
      </c>
    </row>
    <row r="1155">
      <c r="A1155" s="101" t="s">
        <v>199</v>
      </c>
      <c r="B1155" s="101" t="s">
        <v>199</v>
      </c>
      <c r="C1155" s="283">
        <v>44582.0</v>
      </c>
      <c r="D1155" s="278">
        <v>44612.0</v>
      </c>
      <c r="E1155" s="280" t="s">
        <v>268</v>
      </c>
      <c r="F1155" s="138" t="s">
        <v>4</v>
      </c>
      <c r="G1155" s="271" t="s">
        <v>5</v>
      </c>
      <c r="H1155" s="273" t="s">
        <v>45</v>
      </c>
      <c r="I1155" s="281">
        <v>10.0</v>
      </c>
      <c r="J1155" s="280">
        <v>1329.0</v>
      </c>
      <c r="K1155" s="271">
        <f t="shared" si="1"/>
        <v>13290</v>
      </c>
      <c r="L1155" s="280">
        <v>78954.0</v>
      </c>
      <c r="M1155" s="280">
        <v>360.0</v>
      </c>
      <c r="N1155" s="275">
        <v>275.0</v>
      </c>
      <c r="O1155" s="60"/>
      <c r="P1155" s="50">
        <v>275.0</v>
      </c>
      <c r="Q1155" s="280">
        <v>490.0</v>
      </c>
      <c r="R1155" s="276">
        <v>-1.9E-4</v>
      </c>
      <c r="S1155" s="280">
        <v>487.0</v>
      </c>
      <c r="T1155" s="280">
        <v>762.0</v>
      </c>
      <c r="U1155" s="62">
        <v>1.0</v>
      </c>
      <c r="V1155" s="277">
        <v>0.2</v>
      </c>
      <c r="W1155" s="277">
        <v>0.0</v>
      </c>
      <c r="X1155" s="280">
        <v>610.0</v>
      </c>
      <c r="Y1155" s="280">
        <v>152.0</v>
      </c>
      <c r="Z1155" s="50" t="b">
        <v>1</v>
      </c>
      <c r="AA1155" s="50" t="s">
        <v>138</v>
      </c>
      <c r="AB1155" s="50" t="s">
        <v>138</v>
      </c>
    </row>
    <row r="1156">
      <c r="A1156" s="101" t="s">
        <v>199</v>
      </c>
      <c r="B1156" s="101" t="s">
        <v>199</v>
      </c>
      <c r="C1156" s="283">
        <v>44582.0</v>
      </c>
      <c r="D1156" s="278">
        <v>44612.0</v>
      </c>
      <c r="E1156" s="280" t="s">
        <v>268</v>
      </c>
      <c r="F1156" s="138" t="s">
        <v>4</v>
      </c>
      <c r="G1156" s="271" t="s">
        <v>5</v>
      </c>
      <c r="H1156" s="273" t="s">
        <v>48</v>
      </c>
      <c r="I1156" s="281">
        <v>10.0</v>
      </c>
      <c r="J1156" s="280">
        <v>1.0</v>
      </c>
      <c r="K1156" s="271">
        <f t="shared" si="1"/>
        <v>10</v>
      </c>
      <c r="L1156" s="280">
        <v>7.0</v>
      </c>
      <c r="M1156" s="280">
        <v>-10.0</v>
      </c>
      <c r="N1156" s="275"/>
      <c r="O1156" s="60"/>
      <c r="P1156" s="101"/>
      <c r="Q1156" s="280">
        <v>-1.0</v>
      </c>
      <c r="R1156" s="276">
        <v>-1.9E-4</v>
      </c>
      <c r="S1156" s="280">
        <v>-1.0</v>
      </c>
      <c r="T1156" s="280">
        <v>-1.0</v>
      </c>
      <c r="U1156" s="62">
        <v>1.0</v>
      </c>
      <c r="V1156" s="277">
        <v>0.2</v>
      </c>
      <c r="W1156" s="277">
        <v>0.0</v>
      </c>
      <c r="X1156" s="280">
        <v>0.0</v>
      </c>
      <c r="Y1156" s="280">
        <v>0.0</v>
      </c>
      <c r="Z1156" s="50" t="b">
        <v>1</v>
      </c>
      <c r="AA1156" s="50" t="s">
        <v>138</v>
      </c>
      <c r="AB1156" s="50" t="s">
        <v>138</v>
      </c>
    </row>
    <row r="1157">
      <c r="A1157" s="280" t="s">
        <v>199</v>
      </c>
      <c r="B1157" s="280" t="s">
        <v>1003</v>
      </c>
      <c r="C1157" s="283">
        <v>44582.0</v>
      </c>
      <c r="D1157" s="278">
        <v>44612.0</v>
      </c>
      <c r="E1157" s="280" t="s">
        <v>268</v>
      </c>
      <c r="F1157" s="138" t="s">
        <v>4</v>
      </c>
      <c r="G1157" s="280" t="s">
        <v>9</v>
      </c>
      <c r="H1157" s="273" t="s">
        <v>53</v>
      </c>
      <c r="I1157" s="281">
        <v>10.0</v>
      </c>
      <c r="J1157" s="280">
        <v>348.0</v>
      </c>
      <c r="K1157" s="271">
        <f t="shared" si="1"/>
        <v>3480</v>
      </c>
      <c r="L1157" s="280">
        <v>24305.0</v>
      </c>
      <c r="M1157" s="280">
        <v>23.0</v>
      </c>
      <c r="N1157" s="282">
        <v>40.0</v>
      </c>
      <c r="O1157" s="60"/>
      <c r="P1157" s="50">
        <v>40.0</v>
      </c>
      <c r="Q1157" s="280">
        <v>132.0</v>
      </c>
      <c r="R1157" s="276">
        <v>-1.9E-4</v>
      </c>
      <c r="S1157" s="280">
        <v>131.0</v>
      </c>
      <c r="T1157" s="280">
        <v>171.0</v>
      </c>
      <c r="U1157" s="62">
        <v>1.136</v>
      </c>
      <c r="V1157" s="277">
        <v>0.2</v>
      </c>
      <c r="W1157" s="277">
        <v>0.0</v>
      </c>
      <c r="X1157" s="280">
        <v>156.0</v>
      </c>
      <c r="Y1157" s="280">
        <v>39.0</v>
      </c>
      <c r="Z1157" s="50" t="b">
        <v>1</v>
      </c>
      <c r="AA1157" s="50" t="s">
        <v>138</v>
      </c>
      <c r="AB1157" s="50" t="s">
        <v>140</v>
      </c>
    </row>
    <row r="1158">
      <c r="A1158" s="101" t="s">
        <v>546</v>
      </c>
      <c r="B1158" s="101" t="s">
        <v>202</v>
      </c>
      <c r="C1158" s="278">
        <v>44582.0</v>
      </c>
      <c r="D1158" s="278">
        <v>44612.0</v>
      </c>
      <c r="E1158" s="271" t="s">
        <v>331</v>
      </c>
      <c r="F1158" s="138" t="s">
        <v>4</v>
      </c>
      <c r="G1158" s="271" t="s">
        <v>13</v>
      </c>
      <c r="H1158" s="273" t="s">
        <v>85</v>
      </c>
      <c r="I1158" s="274">
        <v>100.0</v>
      </c>
      <c r="J1158" s="271">
        <v>10.0</v>
      </c>
      <c r="K1158" s="271">
        <f t="shared" si="1"/>
        <v>1000</v>
      </c>
      <c r="L1158" s="271">
        <v>-515.0</v>
      </c>
      <c r="M1158" s="271">
        <v>-800.0</v>
      </c>
      <c r="N1158" s="275">
        <v>409.0</v>
      </c>
      <c r="O1158" s="60"/>
      <c r="P1158" s="50">
        <v>409.0</v>
      </c>
      <c r="Q1158" s="271">
        <v>-214.0</v>
      </c>
      <c r="R1158" s="276">
        <v>-1.9E-4</v>
      </c>
      <c r="S1158" s="271">
        <v>-215.0</v>
      </c>
      <c r="T1158" s="271">
        <v>194.0</v>
      </c>
      <c r="U1158" s="62">
        <v>1.0</v>
      </c>
      <c r="V1158" s="277">
        <v>0.11</v>
      </c>
      <c r="W1158" s="277">
        <v>0.03</v>
      </c>
      <c r="X1158" s="271">
        <v>167.0</v>
      </c>
      <c r="Y1158" s="271">
        <v>27.0</v>
      </c>
      <c r="Z1158" s="50" t="b">
        <v>1</v>
      </c>
      <c r="AA1158" s="50" t="s">
        <v>138</v>
      </c>
      <c r="AB1158" s="50" t="s">
        <v>138</v>
      </c>
    </row>
    <row r="1159">
      <c r="A1159" s="101" t="s">
        <v>546</v>
      </c>
      <c r="B1159" s="101" t="s">
        <v>202</v>
      </c>
      <c r="C1159" s="278">
        <v>44582.0</v>
      </c>
      <c r="D1159" s="278">
        <v>44612.0</v>
      </c>
      <c r="E1159" s="271" t="s">
        <v>331</v>
      </c>
      <c r="F1159" s="138" t="s">
        <v>4</v>
      </c>
      <c r="G1159" s="271" t="s">
        <v>13</v>
      </c>
      <c r="H1159" s="273" t="s">
        <v>93</v>
      </c>
      <c r="I1159" s="274">
        <v>200.0</v>
      </c>
      <c r="J1159" s="271">
        <v>4516.0</v>
      </c>
      <c r="K1159" s="271">
        <f t="shared" si="1"/>
        <v>903200</v>
      </c>
      <c r="L1159" s="271">
        <v>47183.0</v>
      </c>
      <c r="M1159" s="271">
        <v>-49800.0</v>
      </c>
      <c r="N1159" s="275">
        <f>47796+43*200+1200</f>
        <v>57596</v>
      </c>
      <c r="O1159" s="60"/>
      <c r="P1159" s="109">
        <v>57596.0</v>
      </c>
      <c r="Q1159" s="271">
        <v>-37968.0</v>
      </c>
      <c r="R1159" s="276">
        <v>-1.9E-4</v>
      </c>
      <c r="S1159" s="271">
        <v>-38139.0</v>
      </c>
      <c r="T1159" s="271">
        <v>19457.0</v>
      </c>
      <c r="U1159" s="62">
        <v>1.0</v>
      </c>
      <c r="V1159" s="277">
        <v>0.11</v>
      </c>
      <c r="W1159" s="277">
        <v>0.03</v>
      </c>
      <c r="X1159" s="271">
        <v>16733.0</v>
      </c>
      <c r="Y1159" s="271">
        <v>2724.0</v>
      </c>
      <c r="Z1159" s="50" t="b">
        <v>1</v>
      </c>
      <c r="AA1159" s="50" t="s">
        <v>138</v>
      </c>
      <c r="AB1159" s="50" t="s">
        <v>138</v>
      </c>
    </row>
    <row r="1160">
      <c r="A1160" s="101" t="s">
        <v>160</v>
      </c>
      <c r="B1160" s="101" t="s">
        <v>160</v>
      </c>
      <c r="C1160" s="278">
        <v>44582.0</v>
      </c>
      <c r="D1160" s="278">
        <v>44612.0</v>
      </c>
      <c r="E1160" s="271" t="s">
        <v>268</v>
      </c>
      <c r="F1160" s="138" t="s">
        <v>4</v>
      </c>
      <c r="G1160" s="101" t="s">
        <v>5</v>
      </c>
      <c r="H1160" s="273" t="s">
        <v>45</v>
      </c>
      <c r="I1160" s="274">
        <v>10.0</v>
      </c>
      <c r="J1160" s="271">
        <v>1016.0</v>
      </c>
      <c r="K1160" s="271">
        <f t="shared" si="1"/>
        <v>10160</v>
      </c>
      <c r="L1160" s="271">
        <v>20037.0</v>
      </c>
      <c r="M1160" s="271">
        <v>210.0</v>
      </c>
      <c r="N1160" s="275">
        <v>1216.0</v>
      </c>
      <c r="O1160" s="60"/>
      <c r="P1160" s="109">
        <v>1216.0</v>
      </c>
      <c r="Q1160" s="271">
        <v>-330.0</v>
      </c>
      <c r="R1160" s="276">
        <v>-1.9E-4</v>
      </c>
      <c r="S1160" s="271">
        <v>-332.0</v>
      </c>
      <c r="T1160" s="271">
        <v>884.0</v>
      </c>
      <c r="U1160" s="62">
        <v>1.0</v>
      </c>
      <c r="V1160" s="277">
        <v>0.25</v>
      </c>
      <c r="W1160" s="277">
        <v>0.0</v>
      </c>
      <c r="X1160" s="271">
        <v>663.0</v>
      </c>
      <c r="Y1160" s="271">
        <v>221.0</v>
      </c>
      <c r="Z1160" s="50" t="b">
        <v>1</v>
      </c>
      <c r="AA1160" s="50" t="s">
        <v>138</v>
      </c>
      <c r="AB1160" s="50" t="s">
        <v>138</v>
      </c>
    </row>
    <row r="1161">
      <c r="A1161" s="101" t="s">
        <v>207</v>
      </c>
      <c r="B1161" s="101" t="s">
        <v>208</v>
      </c>
      <c r="C1161" s="278">
        <v>44582.0</v>
      </c>
      <c r="D1161" s="278">
        <v>44612.0</v>
      </c>
      <c r="E1161" s="271" t="s">
        <v>268</v>
      </c>
      <c r="F1161" s="138" t="s">
        <v>4</v>
      </c>
      <c r="G1161" s="101" t="s">
        <v>13</v>
      </c>
      <c r="H1161" s="273" t="s">
        <v>45</v>
      </c>
      <c r="I1161" s="274">
        <v>10.0</v>
      </c>
      <c r="J1161" s="271">
        <v>1848.0</v>
      </c>
      <c r="K1161" s="271">
        <f t="shared" si="1"/>
        <v>18480</v>
      </c>
      <c r="L1161" s="271">
        <v>38866.0</v>
      </c>
      <c r="M1161" s="271">
        <v>830.0</v>
      </c>
      <c r="N1161" s="275">
        <v>975.06</v>
      </c>
      <c r="O1161" s="60"/>
      <c r="P1161" s="50">
        <v>975.0</v>
      </c>
      <c r="Q1161" s="271">
        <v>-237.0</v>
      </c>
      <c r="R1161" s="276">
        <v>-1.9E-4</v>
      </c>
      <c r="S1161" s="271">
        <v>-241.0</v>
      </c>
      <c r="T1161" s="271">
        <v>734.0</v>
      </c>
      <c r="U1161" s="62">
        <v>1.0</v>
      </c>
      <c r="V1161" s="277">
        <v>0.22</v>
      </c>
      <c r="W1161" s="277">
        <v>0.0</v>
      </c>
      <c r="X1161" s="271">
        <v>573.0</v>
      </c>
      <c r="Y1161" s="271">
        <v>162.0</v>
      </c>
      <c r="Z1161" s="50" t="b">
        <v>1</v>
      </c>
      <c r="AA1161" s="50" t="s">
        <v>138</v>
      </c>
      <c r="AB1161" s="50" t="s">
        <v>138</v>
      </c>
    </row>
    <row r="1162">
      <c r="A1162" s="101" t="s">
        <v>207</v>
      </c>
      <c r="B1162" s="101" t="s">
        <v>208</v>
      </c>
      <c r="C1162" s="278">
        <v>44582.0</v>
      </c>
      <c r="D1162" s="278">
        <v>44612.0</v>
      </c>
      <c r="E1162" s="271" t="s">
        <v>268</v>
      </c>
      <c r="F1162" s="138" t="s">
        <v>4</v>
      </c>
      <c r="G1162" s="101" t="s">
        <v>13</v>
      </c>
      <c r="H1162" s="273" t="s">
        <v>59</v>
      </c>
      <c r="I1162" s="274">
        <v>20.0</v>
      </c>
      <c r="J1162" s="271">
        <v>3455.0</v>
      </c>
      <c r="K1162" s="271">
        <f t="shared" si="1"/>
        <v>69100</v>
      </c>
      <c r="L1162" s="271">
        <v>33942.0</v>
      </c>
      <c r="M1162" s="271">
        <v>-5280.0</v>
      </c>
      <c r="N1162" s="275">
        <v>3645.94</v>
      </c>
      <c r="O1162" s="60"/>
      <c r="P1162" s="109">
        <v>3646.0</v>
      </c>
      <c r="Q1162" s="271">
        <v>-3053.0</v>
      </c>
      <c r="R1162" s="276">
        <v>-1.9E-4</v>
      </c>
      <c r="S1162" s="271">
        <v>-3067.0</v>
      </c>
      <c r="T1162" s="271">
        <v>579.0</v>
      </c>
      <c r="U1162" s="62">
        <v>1.0</v>
      </c>
      <c r="V1162" s="277">
        <v>0.22</v>
      </c>
      <c r="W1162" s="277">
        <v>0.0</v>
      </c>
      <c r="X1162" s="271">
        <v>452.0</v>
      </c>
      <c r="Y1162" s="271">
        <v>127.0</v>
      </c>
      <c r="Z1162" s="50" t="b">
        <v>1</v>
      </c>
      <c r="AA1162" s="50" t="s">
        <v>138</v>
      </c>
      <c r="AB1162" s="50" t="s">
        <v>138</v>
      </c>
    </row>
    <row r="1163">
      <c r="A1163" s="101" t="s">
        <v>216</v>
      </c>
      <c r="B1163" s="101" t="s">
        <v>216</v>
      </c>
      <c r="C1163" s="278">
        <v>44582.0</v>
      </c>
      <c r="D1163" s="278">
        <v>44612.0</v>
      </c>
      <c r="E1163" s="271" t="s">
        <v>268</v>
      </c>
      <c r="F1163" s="138" t="s">
        <v>4</v>
      </c>
      <c r="G1163" s="101" t="s">
        <v>5</v>
      </c>
      <c r="H1163" s="273" t="s">
        <v>35</v>
      </c>
      <c r="I1163" s="274">
        <v>5.0</v>
      </c>
      <c r="J1163" s="271">
        <v>1.0</v>
      </c>
      <c r="K1163" s="271">
        <f t="shared" si="1"/>
        <v>5</v>
      </c>
      <c r="L1163" s="271">
        <v>-363.0</v>
      </c>
      <c r="M1163" s="271">
        <v>-5.0</v>
      </c>
      <c r="N1163" s="275"/>
      <c r="O1163" s="60"/>
      <c r="P1163" s="101"/>
      <c r="Q1163" s="271">
        <v>-4.0</v>
      </c>
      <c r="R1163" s="276">
        <v>-1.9E-4</v>
      </c>
      <c r="S1163" s="271">
        <v>-4.0</v>
      </c>
      <c r="T1163" s="271">
        <v>-4.0</v>
      </c>
      <c r="U1163" s="62">
        <v>1.0</v>
      </c>
      <c r="V1163" s="277">
        <v>0.1</v>
      </c>
      <c r="W1163" s="277">
        <v>0.0</v>
      </c>
      <c r="X1163" s="271">
        <v>-3.0</v>
      </c>
      <c r="Y1163" s="271">
        <v>0.0</v>
      </c>
      <c r="Z1163" s="50" t="b">
        <v>1</v>
      </c>
      <c r="AA1163" s="50" t="s">
        <v>138</v>
      </c>
      <c r="AB1163" s="50" t="s">
        <v>138</v>
      </c>
    </row>
    <row r="1164">
      <c r="A1164" s="101" t="s">
        <v>216</v>
      </c>
      <c r="B1164" s="101" t="s">
        <v>216</v>
      </c>
      <c r="C1164" s="278">
        <v>44582.0</v>
      </c>
      <c r="D1164" s="278">
        <v>44612.0</v>
      </c>
      <c r="E1164" s="271" t="s">
        <v>268</v>
      </c>
      <c r="F1164" s="138" t="s">
        <v>4</v>
      </c>
      <c r="G1164" s="101" t="s">
        <v>5</v>
      </c>
      <c r="H1164" s="273" t="s">
        <v>85</v>
      </c>
      <c r="I1164" s="274">
        <v>100.0</v>
      </c>
      <c r="J1164" s="271">
        <v>1073.0</v>
      </c>
      <c r="K1164" s="271">
        <f t="shared" si="1"/>
        <v>107300</v>
      </c>
      <c r="L1164" s="271">
        <v>27960.0</v>
      </c>
      <c r="M1164" s="271">
        <v>-3800.0</v>
      </c>
      <c r="N1164" s="275">
        <v>2826.0</v>
      </c>
      <c r="O1164" s="60"/>
      <c r="P1164" s="109">
        <v>2826.0</v>
      </c>
      <c r="Q1164" s="271">
        <v>-504.0</v>
      </c>
      <c r="R1164" s="276">
        <v>-1.9E-4</v>
      </c>
      <c r="S1164" s="271">
        <v>-524.0</v>
      </c>
      <c r="T1164" s="271">
        <v>2302.0</v>
      </c>
      <c r="U1164" s="62">
        <v>1.0</v>
      </c>
      <c r="V1164" s="277">
        <v>0.1</v>
      </c>
      <c r="W1164" s="277">
        <v>0.0</v>
      </c>
      <c r="X1164" s="271">
        <v>2072.0</v>
      </c>
      <c r="Y1164" s="271">
        <v>230.0</v>
      </c>
      <c r="Z1164" s="50" t="b">
        <v>1</v>
      </c>
      <c r="AA1164" s="50" t="s">
        <v>138</v>
      </c>
      <c r="AB1164" s="50" t="s">
        <v>138</v>
      </c>
    </row>
    <row r="1165">
      <c r="A1165" s="101" t="s">
        <v>216</v>
      </c>
      <c r="B1165" s="101" t="s">
        <v>216</v>
      </c>
      <c r="C1165" s="278">
        <v>44582.0</v>
      </c>
      <c r="D1165" s="278">
        <v>44612.0</v>
      </c>
      <c r="E1165" s="271" t="s">
        <v>268</v>
      </c>
      <c r="F1165" s="138" t="s">
        <v>4</v>
      </c>
      <c r="G1165" s="101" t="s">
        <v>5</v>
      </c>
      <c r="H1165" s="273" t="s">
        <v>86</v>
      </c>
      <c r="I1165" s="274">
        <v>100.0</v>
      </c>
      <c r="J1165" s="271">
        <v>1.0</v>
      </c>
      <c r="K1165" s="271">
        <f t="shared" si="1"/>
        <v>100</v>
      </c>
      <c r="L1165" s="271">
        <v>-165.0</v>
      </c>
      <c r="M1165" s="271">
        <v>-100.0</v>
      </c>
      <c r="N1165" s="275">
        <v>3.0</v>
      </c>
      <c r="O1165" s="60"/>
      <c r="P1165" s="50">
        <v>3.0</v>
      </c>
      <c r="Q1165" s="271">
        <v>-57.0</v>
      </c>
      <c r="R1165" s="276">
        <v>-1.9E-4</v>
      </c>
      <c r="S1165" s="271">
        <v>-57.0</v>
      </c>
      <c r="T1165" s="271">
        <v>-54.0</v>
      </c>
      <c r="U1165" s="62">
        <v>1.0</v>
      </c>
      <c r="V1165" s="277">
        <v>0.1</v>
      </c>
      <c r="W1165" s="277">
        <v>0.0</v>
      </c>
      <c r="X1165" s="271">
        <v>-49.0</v>
      </c>
      <c r="Y1165" s="271">
        <v>-5.0</v>
      </c>
      <c r="Z1165" s="50" t="b">
        <v>1</v>
      </c>
      <c r="AA1165" s="50" t="s">
        <v>138</v>
      </c>
      <c r="AB1165" s="50" t="s">
        <v>138</v>
      </c>
    </row>
    <row r="1166">
      <c r="A1166" s="101" t="s">
        <v>216</v>
      </c>
      <c r="B1166" s="101" t="s">
        <v>216</v>
      </c>
      <c r="C1166" s="278">
        <v>44582.0</v>
      </c>
      <c r="D1166" s="278">
        <v>44612.0</v>
      </c>
      <c r="E1166" s="271" t="s">
        <v>268</v>
      </c>
      <c r="F1166" s="138" t="s">
        <v>4</v>
      </c>
      <c r="G1166" s="101" t="s">
        <v>5</v>
      </c>
      <c r="H1166" s="273" t="s">
        <v>96</v>
      </c>
      <c r="I1166" s="274">
        <v>250.0</v>
      </c>
      <c r="J1166" s="271">
        <v>680.0</v>
      </c>
      <c r="K1166" s="271">
        <f t="shared" si="1"/>
        <v>170000</v>
      </c>
      <c r="L1166" s="271">
        <v>19011.0</v>
      </c>
      <c r="M1166" s="271">
        <v>1000.0</v>
      </c>
      <c r="N1166" s="275">
        <v>4478.0</v>
      </c>
      <c r="O1166" s="60"/>
      <c r="P1166" s="109">
        <v>4478.0</v>
      </c>
      <c r="Q1166" s="271">
        <v>209.0</v>
      </c>
      <c r="R1166" s="276">
        <v>-1.9E-4</v>
      </c>
      <c r="S1166" s="271">
        <v>177.0</v>
      </c>
      <c r="T1166" s="271">
        <v>4655.0</v>
      </c>
      <c r="U1166" s="62">
        <v>1.0</v>
      </c>
      <c r="V1166" s="277">
        <v>0.1</v>
      </c>
      <c r="W1166" s="277">
        <v>0.0</v>
      </c>
      <c r="X1166" s="271">
        <v>4189.0</v>
      </c>
      <c r="Y1166" s="271">
        <v>465.0</v>
      </c>
      <c r="Z1166" s="50" t="b">
        <v>1</v>
      </c>
      <c r="AA1166" s="50" t="s">
        <v>138</v>
      </c>
      <c r="AB1166" s="50" t="s">
        <v>138</v>
      </c>
    </row>
    <row r="1167">
      <c r="A1167" s="101" t="s">
        <v>216</v>
      </c>
      <c r="B1167" s="101" t="s">
        <v>216</v>
      </c>
      <c r="C1167" s="278">
        <v>44582.0</v>
      </c>
      <c r="D1167" s="278">
        <v>44612.0</v>
      </c>
      <c r="E1167" s="271" t="s">
        <v>268</v>
      </c>
      <c r="F1167" s="138" t="s">
        <v>4</v>
      </c>
      <c r="G1167" s="101" t="s">
        <v>5</v>
      </c>
      <c r="H1167" s="273" t="s">
        <v>97</v>
      </c>
      <c r="I1167" s="274">
        <v>250.0</v>
      </c>
      <c r="J1167" s="271">
        <v>235.0</v>
      </c>
      <c r="K1167" s="271">
        <f t="shared" si="1"/>
        <v>58750</v>
      </c>
      <c r="L1167" s="271">
        <v>3881.0</v>
      </c>
      <c r="M1167" s="271">
        <v>1500.0</v>
      </c>
      <c r="N1167" s="275">
        <v>1548.0</v>
      </c>
      <c r="O1167" s="60"/>
      <c r="P1167" s="109">
        <v>1548.0</v>
      </c>
      <c r="Q1167" s="271">
        <v>43.0</v>
      </c>
      <c r="R1167" s="276">
        <v>-1.9E-4</v>
      </c>
      <c r="S1167" s="271">
        <v>32.0</v>
      </c>
      <c r="T1167" s="271">
        <v>1580.0</v>
      </c>
      <c r="U1167" s="62">
        <v>1.0</v>
      </c>
      <c r="V1167" s="277">
        <v>0.1</v>
      </c>
      <c r="W1167" s="277">
        <v>0.0</v>
      </c>
      <c r="X1167" s="271">
        <v>1422.0</v>
      </c>
      <c r="Y1167" s="271">
        <v>158.0</v>
      </c>
      <c r="Z1167" s="50" t="b">
        <v>1</v>
      </c>
      <c r="AA1167" s="50" t="s">
        <v>138</v>
      </c>
      <c r="AB1167" s="50" t="s">
        <v>138</v>
      </c>
    </row>
    <row r="1168">
      <c r="A1168" s="101" t="s">
        <v>149</v>
      </c>
      <c r="B1168" s="101" t="s">
        <v>149</v>
      </c>
      <c r="C1168" s="278">
        <v>44582.0</v>
      </c>
      <c r="D1168" s="278">
        <v>44620.0</v>
      </c>
      <c r="E1168" s="271" t="s">
        <v>268</v>
      </c>
      <c r="F1168" s="138" t="s">
        <v>12</v>
      </c>
      <c r="G1168" s="101" t="s">
        <v>5</v>
      </c>
      <c r="H1168" s="273" t="s">
        <v>35</v>
      </c>
      <c r="I1168" s="274">
        <v>5.0</v>
      </c>
      <c r="J1168" s="271">
        <v>1.0</v>
      </c>
      <c r="K1168" s="271">
        <f t="shared" si="1"/>
        <v>5</v>
      </c>
      <c r="L1168" s="271">
        <v>659.0</v>
      </c>
      <c r="M1168" s="271">
        <v>5.0</v>
      </c>
      <c r="N1168" s="275"/>
      <c r="O1168" s="60"/>
      <c r="P1168" s="101"/>
      <c r="Q1168" s="271">
        <v>6.0</v>
      </c>
      <c r="R1168" s="276">
        <v>0.0</v>
      </c>
      <c r="S1168" s="271">
        <v>6.0</v>
      </c>
      <c r="T1168" s="271">
        <v>5.0</v>
      </c>
      <c r="U1168" s="62">
        <v>1.0</v>
      </c>
      <c r="V1168" s="277">
        <v>0.22</v>
      </c>
      <c r="W1168" s="277">
        <v>0.0</v>
      </c>
      <c r="X1168" s="271">
        <v>4.0</v>
      </c>
      <c r="Y1168" s="271">
        <v>1.0</v>
      </c>
      <c r="Z1168" s="50" t="b">
        <v>1</v>
      </c>
      <c r="AA1168" s="50" t="s">
        <v>138</v>
      </c>
      <c r="AB1168" s="50" t="s">
        <v>138</v>
      </c>
    </row>
    <row r="1169">
      <c r="A1169" s="101" t="s">
        <v>149</v>
      </c>
      <c r="B1169" s="101" t="s">
        <v>149</v>
      </c>
      <c r="C1169" s="278">
        <v>44582.0</v>
      </c>
      <c r="D1169" s="278">
        <v>44620.0</v>
      </c>
      <c r="E1169" s="271" t="s">
        <v>268</v>
      </c>
      <c r="F1169" s="138" t="s">
        <v>12</v>
      </c>
      <c r="G1169" s="101" t="s">
        <v>5</v>
      </c>
      <c r="H1169" s="273" t="s">
        <v>85</v>
      </c>
      <c r="I1169" s="274">
        <v>100.0</v>
      </c>
      <c r="J1169" s="271">
        <v>2669.0</v>
      </c>
      <c r="K1169" s="271">
        <f t="shared" si="1"/>
        <v>266900</v>
      </c>
      <c r="L1169" s="271">
        <f>30*269</f>
        <v>8070</v>
      </c>
      <c r="M1169" s="271">
        <v>4300.0</v>
      </c>
      <c r="N1169" s="275">
        <v>12257.0</v>
      </c>
      <c r="O1169" s="60"/>
      <c r="P1169" s="109">
        <v>12257.0</v>
      </c>
      <c r="Q1169" s="271">
        <v>-12900.0</v>
      </c>
      <c r="R1169" s="276">
        <v>0.0</v>
      </c>
      <c r="S1169" s="271">
        <v>-12900.0</v>
      </c>
      <c r="T1169" s="271">
        <v>16557.0</v>
      </c>
      <c r="U1169" s="62">
        <v>1.0</v>
      </c>
      <c r="V1169" s="277">
        <v>0.22</v>
      </c>
      <c r="W1169" s="277">
        <v>0.0</v>
      </c>
      <c r="X1169" s="271">
        <v>12914.0</v>
      </c>
      <c r="Y1169" s="271">
        <v>3643.0</v>
      </c>
      <c r="Z1169" s="50" t="b">
        <v>1</v>
      </c>
      <c r="AA1169" s="50" t="s">
        <v>138</v>
      </c>
      <c r="AB1169" s="50" t="s">
        <v>138</v>
      </c>
    </row>
    <row r="1170">
      <c r="A1170" s="101" t="s">
        <v>149</v>
      </c>
      <c r="B1170" s="101" t="s">
        <v>149</v>
      </c>
      <c r="C1170" s="278">
        <v>44582.0</v>
      </c>
      <c r="D1170" s="278">
        <v>44620.0</v>
      </c>
      <c r="E1170" s="271" t="s">
        <v>268</v>
      </c>
      <c r="F1170" s="138" t="s">
        <v>12</v>
      </c>
      <c r="G1170" s="101" t="s">
        <v>5</v>
      </c>
      <c r="H1170" s="273" t="s">
        <v>74</v>
      </c>
      <c r="I1170" s="274">
        <v>50.0</v>
      </c>
      <c r="J1170" s="271">
        <v>70.0</v>
      </c>
      <c r="K1170" s="271">
        <f t="shared" si="1"/>
        <v>3500</v>
      </c>
      <c r="L1170" s="271">
        <f>-12*J1170</f>
        <v>-840</v>
      </c>
      <c r="M1170" s="271">
        <v>-400.0</v>
      </c>
      <c r="N1170" s="275">
        <v>193.0</v>
      </c>
      <c r="O1170" s="60"/>
      <c r="P1170" s="50">
        <v>193.0</v>
      </c>
      <c r="Q1170" s="271">
        <v>-302.0</v>
      </c>
      <c r="R1170" s="276">
        <v>0.0</v>
      </c>
      <c r="S1170" s="271">
        <v>-302.0</v>
      </c>
      <c r="T1170" s="271">
        <v>-207.0</v>
      </c>
      <c r="U1170" s="62">
        <v>1.0</v>
      </c>
      <c r="V1170" s="277">
        <v>0.22</v>
      </c>
      <c r="W1170" s="277">
        <v>0.0</v>
      </c>
      <c r="X1170" s="271">
        <v>-161.0</v>
      </c>
      <c r="Y1170" s="271">
        <v>-46.0</v>
      </c>
      <c r="Z1170" s="50" t="b">
        <v>1</v>
      </c>
      <c r="AA1170" s="50" t="s">
        <v>138</v>
      </c>
      <c r="AB1170" s="50" t="s">
        <v>138</v>
      </c>
    </row>
    <row r="1171">
      <c r="A1171" s="101" t="s">
        <v>177</v>
      </c>
      <c r="B1171" s="101" t="s">
        <v>177</v>
      </c>
      <c r="C1171" s="278">
        <v>44593.0</v>
      </c>
      <c r="D1171" s="278">
        <v>44620.0</v>
      </c>
      <c r="E1171" s="280" t="s">
        <v>268</v>
      </c>
      <c r="F1171" s="138" t="s">
        <v>8</v>
      </c>
      <c r="G1171" s="280" t="s">
        <v>5</v>
      </c>
      <c r="H1171" s="273" t="s">
        <v>85</v>
      </c>
      <c r="I1171" s="274">
        <v>100.0</v>
      </c>
      <c r="J1171" s="271">
        <v>4669.0</v>
      </c>
      <c r="K1171" s="271">
        <f t="shared" si="1"/>
        <v>466900</v>
      </c>
      <c r="L1171" s="271">
        <v>94508.0</v>
      </c>
      <c r="M1171" s="271">
        <v>-16500.0</v>
      </c>
      <c r="N1171" s="275">
        <v>15706.0</v>
      </c>
      <c r="O1171" s="60"/>
      <c r="P1171" s="109">
        <v>15706.0</v>
      </c>
      <c r="Q1171" s="271">
        <v>-7499.0</v>
      </c>
      <c r="R1171" s="276">
        <v>0.001938</v>
      </c>
      <c r="S1171" s="271">
        <v>-6594.0</v>
      </c>
      <c r="T1171" s="271">
        <v>9112.0</v>
      </c>
      <c r="U1171" s="62">
        <v>1.0</v>
      </c>
      <c r="V1171" s="277">
        <v>0.12</v>
      </c>
      <c r="W1171" s="277">
        <v>0.0</v>
      </c>
      <c r="X1171" s="271">
        <v>8019.0</v>
      </c>
      <c r="Y1171" s="271">
        <v>1093.0</v>
      </c>
      <c r="Z1171" s="50" t="b">
        <v>1</v>
      </c>
      <c r="AA1171" s="50" t="s">
        <v>138</v>
      </c>
      <c r="AB1171" s="50" t="s">
        <v>138</v>
      </c>
    </row>
    <row r="1172">
      <c r="A1172" s="101" t="s">
        <v>177</v>
      </c>
      <c r="B1172" s="101" t="s">
        <v>177</v>
      </c>
      <c r="C1172" s="278">
        <v>44593.0</v>
      </c>
      <c r="D1172" s="278">
        <v>44620.0</v>
      </c>
      <c r="E1172" s="280" t="s">
        <v>268</v>
      </c>
      <c r="F1172" s="138" t="s">
        <v>8</v>
      </c>
      <c r="G1172" s="280" t="s">
        <v>5</v>
      </c>
      <c r="H1172" s="273" t="s">
        <v>75</v>
      </c>
      <c r="I1172" s="274">
        <v>50.0</v>
      </c>
      <c r="J1172" s="271">
        <v>2.0</v>
      </c>
      <c r="K1172" s="271">
        <f t="shared" si="1"/>
        <v>100</v>
      </c>
      <c r="L1172" s="271">
        <v>164.0</v>
      </c>
      <c r="M1172" s="271">
        <v>50.0</v>
      </c>
      <c r="N1172" s="275">
        <v>4.0</v>
      </c>
      <c r="O1172" s="60"/>
      <c r="P1172" s="50">
        <v>4.0</v>
      </c>
      <c r="Q1172" s="271">
        <v>19.0</v>
      </c>
      <c r="R1172" s="276">
        <v>5.79E-4</v>
      </c>
      <c r="S1172" s="271">
        <v>19.0</v>
      </c>
      <c r="T1172" s="271">
        <v>23.0</v>
      </c>
      <c r="U1172" s="62">
        <v>1.0</v>
      </c>
      <c r="V1172" s="277">
        <v>0.12</v>
      </c>
      <c r="W1172" s="277">
        <v>0.0</v>
      </c>
      <c r="X1172" s="271">
        <v>20.0</v>
      </c>
      <c r="Y1172" s="271">
        <v>3.0</v>
      </c>
      <c r="Z1172" s="50" t="b">
        <v>1</v>
      </c>
      <c r="AA1172" s="50" t="s">
        <v>138</v>
      </c>
      <c r="AB1172" s="50" t="s">
        <v>138</v>
      </c>
    </row>
    <row r="1173">
      <c r="A1173" s="101" t="s">
        <v>177</v>
      </c>
      <c r="B1173" s="101" t="s">
        <v>177</v>
      </c>
      <c r="C1173" s="278">
        <v>44593.0</v>
      </c>
      <c r="D1173" s="278">
        <v>44620.0</v>
      </c>
      <c r="E1173" s="280" t="s">
        <v>268</v>
      </c>
      <c r="F1173" s="138" t="s">
        <v>8</v>
      </c>
      <c r="G1173" s="280" t="s">
        <v>5</v>
      </c>
      <c r="H1173" s="273" t="s">
        <v>86</v>
      </c>
      <c r="I1173" s="274">
        <v>100.0</v>
      </c>
      <c r="J1173" s="271">
        <v>4330.0</v>
      </c>
      <c r="K1173" s="271">
        <f t="shared" si="1"/>
        <v>433000</v>
      </c>
      <c r="L1173" s="271">
        <v>39228.0</v>
      </c>
      <c r="M1173" s="271">
        <v>-3000.0</v>
      </c>
      <c r="N1173" s="275">
        <v>14565.0</v>
      </c>
      <c r="O1173" s="60"/>
      <c r="P1173" s="109">
        <v>14565.0</v>
      </c>
      <c r="Q1173" s="271">
        <v>-11128.0</v>
      </c>
      <c r="R1173" s="276">
        <v>0.001921</v>
      </c>
      <c r="S1173" s="271">
        <v>-10296.0</v>
      </c>
      <c r="T1173" s="271">
        <v>4269.0</v>
      </c>
      <c r="U1173" s="62">
        <v>1.0</v>
      </c>
      <c r="V1173" s="277">
        <v>0.12</v>
      </c>
      <c r="W1173" s="277">
        <v>0.0</v>
      </c>
      <c r="X1173" s="271">
        <v>3757.0</v>
      </c>
      <c r="Y1173" s="271">
        <v>512.0</v>
      </c>
      <c r="Z1173" s="50" t="b">
        <v>1</v>
      </c>
      <c r="AA1173" s="50" t="s">
        <v>138</v>
      </c>
      <c r="AB1173" s="50" t="s">
        <v>138</v>
      </c>
    </row>
    <row r="1174">
      <c r="A1174" s="280" t="s">
        <v>459</v>
      </c>
      <c r="B1174" s="280" t="s">
        <v>145</v>
      </c>
      <c r="C1174" s="283">
        <v>44593.0</v>
      </c>
      <c r="D1174" s="283">
        <v>44620.0</v>
      </c>
      <c r="E1174" s="280" t="s">
        <v>331</v>
      </c>
      <c r="F1174" s="138" t="s">
        <v>8</v>
      </c>
      <c r="G1174" s="280" t="s">
        <v>9</v>
      </c>
      <c r="H1174" s="273" t="s">
        <v>89</v>
      </c>
      <c r="I1174" s="281">
        <v>100.0</v>
      </c>
      <c r="J1174" s="280">
        <v>1513.0</v>
      </c>
      <c r="K1174" s="271">
        <f t="shared" si="1"/>
        <v>151300</v>
      </c>
      <c r="L1174" s="280">
        <v>54467.0</v>
      </c>
      <c r="M1174" s="280">
        <v>-11000.0</v>
      </c>
      <c r="N1174" s="282">
        <v>5235.0</v>
      </c>
      <c r="O1174" s="60"/>
      <c r="P1174" s="109">
        <v>5235.0</v>
      </c>
      <c r="Q1174" s="280">
        <v>-3695.0</v>
      </c>
      <c r="R1174" s="276">
        <v>0.001926</v>
      </c>
      <c r="S1174" s="280">
        <v>-3404.0</v>
      </c>
      <c r="T1174" s="280">
        <v>1831.0</v>
      </c>
      <c r="U1174" s="62">
        <v>1.0</v>
      </c>
      <c r="V1174" s="277">
        <v>0.1</v>
      </c>
      <c r="W1174" s="277">
        <v>0.1</v>
      </c>
      <c r="X1174" s="280">
        <v>1465.0</v>
      </c>
      <c r="Y1174" s="280">
        <v>366.0</v>
      </c>
      <c r="Z1174" s="50" t="b">
        <v>1</v>
      </c>
      <c r="AA1174" s="50" t="s">
        <v>140</v>
      </c>
      <c r="AB1174" s="50" t="s">
        <v>140</v>
      </c>
    </row>
    <row r="1175">
      <c r="A1175" s="101" t="s">
        <v>181</v>
      </c>
      <c r="B1175" s="101" t="s">
        <v>181</v>
      </c>
      <c r="C1175" s="278">
        <v>44593.0</v>
      </c>
      <c r="D1175" s="278">
        <v>44620.0</v>
      </c>
      <c r="E1175" s="271" t="s">
        <v>331</v>
      </c>
      <c r="F1175" s="138" t="s">
        <v>12</v>
      </c>
      <c r="G1175" s="280" t="s">
        <v>5</v>
      </c>
      <c r="H1175" s="114" t="s">
        <v>85</v>
      </c>
      <c r="I1175" s="274">
        <v>100.0</v>
      </c>
      <c r="J1175" s="271">
        <v>1196.0</v>
      </c>
      <c r="K1175" s="271">
        <f t="shared" si="1"/>
        <v>119600</v>
      </c>
      <c r="L1175" s="271">
        <f>33*1196</f>
        <v>39468</v>
      </c>
      <c r="M1175" s="271">
        <v>-5300.0</v>
      </c>
      <c r="N1175" s="275">
        <f>16055-N620-N761-N908-N1013-875</f>
        <v>11834</v>
      </c>
      <c r="O1175" s="60"/>
      <c r="P1175" s="109">
        <v>15178.0</v>
      </c>
      <c r="Q1175" s="271">
        <v>939.0</v>
      </c>
      <c r="R1175" s="276">
        <v>0.0</v>
      </c>
      <c r="S1175" s="271">
        <v>939.0</v>
      </c>
      <c r="T1175" s="271">
        <v>9878.0</v>
      </c>
      <c r="U1175" s="62">
        <v>1.0</v>
      </c>
      <c r="V1175" s="277">
        <v>0.15</v>
      </c>
      <c r="W1175" s="277">
        <v>0.0</v>
      </c>
      <c r="X1175" s="271">
        <v>8396.0</v>
      </c>
      <c r="Y1175" s="271">
        <v>1482.0</v>
      </c>
      <c r="Z1175" s="50" t="b">
        <v>1</v>
      </c>
      <c r="AA1175" s="50" t="s">
        <v>138</v>
      </c>
      <c r="AB1175" s="50" t="s">
        <v>138</v>
      </c>
    </row>
    <row r="1176">
      <c r="A1176" s="280" t="s">
        <v>693</v>
      </c>
      <c r="B1176" s="280" t="s">
        <v>159</v>
      </c>
      <c r="C1176" s="283">
        <v>44593.0</v>
      </c>
      <c r="D1176" s="283">
        <v>44620.0</v>
      </c>
      <c r="E1176" s="280" t="s">
        <v>268</v>
      </c>
      <c r="F1176" s="138" t="s">
        <v>8</v>
      </c>
      <c r="G1176" s="280" t="s">
        <v>9</v>
      </c>
      <c r="H1176" s="273" t="s">
        <v>66</v>
      </c>
      <c r="I1176" s="281">
        <v>25.0</v>
      </c>
      <c r="J1176" s="280">
        <v>129.0</v>
      </c>
      <c r="K1176" s="271">
        <f t="shared" si="1"/>
        <v>3225</v>
      </c>
      <c r="L1176" s="280">
        <v>13743.0</v>
      </c>
      <c r="M1176" s="280">
        <v>600.0</v>
      </c>
      <c r="N1176" s="282">
        <v>158.71</v>
      </c>
      <c r="O1176" s="60"/>
      <c r="P1176" s="50">
        <v>159.0</v>
      </c>
      <c r="Q1176" s="280">
        <v>330.0</v>
      </c>
      <c r="R1176" s="276">
        <v>0.002094</v>
      </c>
      <c r="S1176" s="280">
        <v>337.0</v>
      </c>
      <c r="T1176" s="280">
        <v>496.0</v>
      </c>
      <c r="U1176" s="62">
        <v>1.0</v>
      </c>
      <c r="V1176" s="277">
        <v>0.25</v>
      </c>
      <c r="W1176" s="277">
        <v>0.0</v>
      </c>
      <c r="X1176" s="280">
        <v>372.0</v>
      </c>
      <c r="Y1176" s="280">
        <v>124.0</v>
      </c>
      <c r="Z1176" s="50" t="b">
        <v>1</v>
      </c>
      <c r="AA1176" s="50" t="s">
        <v>140</v>
      </c>
      <c r="AB1176" s="50" t="s">
        <v>140</v>
      </c>
    </row>
    <row r="1177">
      <c r="A1177" s="280" t="s">
        <v>693</v>
      </c>
      <c r="B1177" s="280" t="s">
        <v>159</v>
      </c>
      <c r="C1177" s="283">
        <v>44593.0</v>
      </c>
      <c r="D1177" s="283">
        <v>44620.0</v>
      </c>
      <c r="E1177" s="280" t="s">
        <v>268</v>
      </c>
      <c r="F1177" s="138" t="s">
        <v>8</v>
      </c>
      <c r="G1177" s="280" t="s">
        <v>9</v>
      </c>
      <c r="H1177" s="273" t="s">
        <v>53</v>
      </c>
      <c r="I1177" s="281">
        <v>10.0</v>
      </c>
      <c r="J1177" s="280">
        <v>745.0</v>
      </c>
      <c r="K1177" s="271">
        <f t="shared" si="1"/>
        <v>7450</v>
      </c>
      <c r="L1177" s="280">
        <v>48749.0</v>
      </c>
      <c r="M1177" s="280">
        <v>-1170.0</v>
      </c>
      <c r="N1177" s="282">
        <v>26.29</v>
      </c>
      <c r="O1177" s="60"/>
      <c r="P1177" s="50">
        <v>26.0</v>
      </c>
      <c r="Q1177" s="280">
        <v>210.0</v>
      </c>
      <c r="R1177" s="276">
        <v>0.002026</v>
      </c>
      <c r="S1177" s="280">
        <v>225.0</v>
      </c>
      <c r="T1177" s="280">
        <v>251.0</v>
      </c>
      <c r="U1177" s="62">
        <v>1.0</v>
      </c>
      <c r="V1177" s="277">
        <v>0.25</v>
      </c>
      <c r="W1177" s="277">
        <v>0.0</v>
      </c>
      <c r="X1177" s="280">
        <v>188.0</v>
      </c>
      <c r="Y1177" s="280">
        <v>63.0</v>
      </c>
      <c r="Z1177" s="50" t="b">
        <v>1</v>
      </c>
      <c r="AA1177" s="50" t="s">
        <v>140</v>
      </c>
      <c r="AB1177" s="50" t="s">
        <v>140</v>
      </c>
    </row>
    <row r="1178">
      <c r="A1178" s="101" t="s">
        <v>197</v>
      </c>
      <c r="B1178" s="101" t="s">
        <v>197</v>
      </c>
      <c r="C1178" s="278">
        <v>44593.0</v>
      </c>
      <c r="D1178" s="278">
        <v>44620.0</v>
      </c>
      <c r="E1178" s="280" t="s">
        <v>268</v>
      </c>
      <c r="F1178" s="138" t="s">
        <v>8</v>
      </c>
      <c r="G1178" s="271" t="s">
        <v>5</v>
      </c>
      <c r="H1178" s="273" t="s">
        <v>62</v>
      </c>
      <c r="I1178" s="274">
        <v>25.0</v>
      </c>
      <c r="J1178" s="271">
        <v>1387.0</v>
      </c>
      <c r="K1178" s="271">
        <f t="shared" si="1"/>
        <v>34675</v>
      </c>
      <c r="L1178" s="271">
        <v>69084.0</v>
      </c>
      <c r="M1178" s="271">
        <v>-325.0</v>
      </c>
      <c r="N1178" s="275">
        <v>1181.0</v>
      </c>
      <c r="O1178" s="60"/>
      <c r="P1178" s="109">
        <v>1181.0</v>
      </c>
      <c r="Q1178" s="271">
        <v>983.0</v>
      </c>
      <c r="R1178" s="276">
        <v>0.002037</v>
      </c>
      <c r="S1178" s="271">
        <v>1054.0</v>
      </c>
      <c r="T1178" s="271">
        <v>2235.0</v>
      </c>
      <c r="U1178" s="62">
        <v>1.0</v>
      </c>
      <c r="V1178" s="277">
        <v>0.17</v>
      </c>
      <c r="W1178" s="277">
        <v>0.0</v>
      </c>
      <c r="X1178" s="271">
        <v>1855.0</v>
      </c>
      <c r="Y1178" s="271">
        <v>380.0</v>
      </c>
      <c r="Z1178" s="50" t="b">
        <v>1</v>
      </c>
      <c r="AA1178" s="50" t="s">
        <v>138</v>
      </c>
      <c r="AB1178" s="50" t="s">
        <v>138</v>
      </c>
    </row>
    <row r="1179">
      <c r="A1179" s="101" t="s">
        <v>197</v>
      </c>
      <c r="B1179" s="101" t="s">
        <v>197</v>
      </c>
      <c r="C1179" s="278">
        <v>44593.0</v>
      </c>
      <c r="D1179" s="278">
        <v>44620.0</v>
      </c>
      <c r="E1179" s="280" t="s">
        <v>268</v>
      </c>
      <c r="F1179" s="138" t="s">
        <v>8</v>
      </c>
      <c r="G1179" s="271" t="s">
        <v>5</v>
      </c>
      <c r="H1179" s="273" t="s">
        <v>74</v>
      </c>
      <c r="I1179" s="274">
        <v>50.0</v>
      </c>
      <c r="J1179" s="271">
        <v>443.0</v>
      </c>
      <c r="K1179" s="271">
        <f t="shared" si="1"/>
        <v>22150</v>
      </c>
      <c r="L1179" s="271">
        <v>15161.0</v>
      </c>
      <c r="M1179" s="271">
        <v>250.0</v>
      </c>
      <c r="N1179" s="275">
        <v>754.0</v>
      </c>
      <c r="O1179" s="60"/>
      <c r="P1179" s="50">
        <v>754.0</v>
      </c>
      <c r="Q1179" s="271">
        <v>-12.0</v>
      </c>
      <c r="R1179" s="276">
        <v>0.001984</v>
      </c>
      <c r="S1179" s="271">
        <v>32.0</v>
      </c>
      <c r="T1179" s="271">
        <v>786.0</v>
      </c>
      <c r="U1179" s="62">
        <v>1.0</v>
      </c>
      <c r="V1179" s="277">
        <v>0.17</v>
      </c>
      <c r="W1179" s="277">
        <v>0.0</v>
      </c>
      <c r="X1179" s="271">
        <v>652.0</v>
      </c>
      <c r="Y1179" s="271">
        <v>134.0</v>
      </c>
      <c r="Z1179" s="50" t="b">
        <v>1</v>
      </c>
      <c r="AA1179" s="50" t="s">
        <v>138</v>
      </c>
      <c r="AB1179" s="50" t="s">
        <v>138</v>
      </c>
    </row>
    <row r="1180">
      <c r="A1180" s="101" t="s">
        <v>197</v>
      </c>
      <c r="B1180" s="101" t="s">
        <v>197</v>
      </c>
      <c r="C1180" s="278">
        <v>44593.0</v>
      </c>
      <c r="D1180" s="278">
        <v>44620.0</v>
      </c>
      <c r="E1180" s="280" t="s">
        <v>268</v>
      </c>
      <c r="F1180" s="138" t="s">
        <v>8</v>
      </c>
      <c r="G1180" s="271" t="s">
        <v>5</v>
      </c>
      <c r="H1180" s="273" t="s">
        <v>75</v>
      </c>
      <c r="I1180" s="274">
        <v>50.0</v>
      </c>
      <c r="J1180" s="271">
        <v>364.0</v>
      </c>
      <c r="K1180" s="271">
        <f t="shared" si="1"/>
        <v>18200</v>
      </c>
      <c r="L1180" s="271">
        <v>5410.0</v>
      </c>
      <c r="M1180" s="271">
        <v>-1050.0</v>
      </c>
      <c r="N1180" s="275">
        <v>620.0</v>
      </c>
      <c r="O1180" s="60"/>
      <c r="P1180" s="50">
        <v>620.0</v>
      </c>
      <c r="Q1180" s="271">
        <v>-329.0</v>
      </c>
      <c r="R1180" s="276">
        <v>0.001913</v>
      </c>
      <c r="S1180" s="271">
        <v>-294.0</v>
      </c>
      <c r="T1180" s="271">
        <v>326.0</v>
      </c>
      <c r="U1180" s="62">
        <v>1.0</v>
      </c>
      <c r="V1180" s="277">
        <v>0.17</v>
      </c>
      <c r="W1180" s="277">
        <v>0.0</v>
      </c>
      <c r="X1180" s="271">
        <v>271.0</v>
      </c>
      <c r="Y1180" s="271">
        <v>55.0</v>
      </c>
      <c r="Z1180" s="50" t="b">
        <v>1</v>
      </c>
      <c r="AA1180" s="50" t="s">
        <v>138</v>
      </c>
      <c r="AB1180" s="50" t="s">
        <v>138</v>
      </c>
    </row>
    <row r="1181">
      <c r="A1181" s="271" t="s">
        <v>154</v>
      </c>
      <c r="B1181" s="271" t="s">
        <v>154</v>
      </c>
      <c r="C1181" s="278">
        <v>44593.0</v>
      </c>
      <c r="D1181" s="278">
        <v>44620.0</v>
      </c>
      <c r="E1181" s="271" t="s">
        <v>268</v>
      </c>
      <c r="F1181" s="101" t="s">
        <v>8</v>
      </c>
      <c r="G1181" s="271" t="s">
        <v>5</v>
      </c>
      <c r="H1181" s="273" t="s">
        <v>63</v>
      </c>
      <c r="I1181" s="274">
        <v>25.0</v>
      </c>
      <c r="J1181" s="271">
        <v>5335.0</v>
      </c>
      <c r="K1181" s="271">
        <f t="shared" si="1"/>
        <v>133375</v>
      </c>
      <c r="L1181" s="271">
        <v>67550.0</v>
      </c>
      <c r="M1181" s="271">
        <v>-4625.0</v>
      </c>
      <c r="N1181" s="275">
        <v>4967.0</v>
      </c>
      <c r="O1181" s="60"/>
      <c r="P1181" s="109">
        <v>4967.0</v>
      </c>
      <c r="Q1181" s="271">
        <v>-3317.0</v>
      </c>
      <c r="R1181" s="276">
        <v>0.001919</v>
      </c>
      <c r="S1181" s="271">
        <v>-3061.0</v>
      </c>
      <c r="T1181" s="271">
        <v>1906.0</v>
      </c>
      <c r="U1181" s="62">
        <v>1.0</v>
      </c>
      <c r="V1181" s="277">
        <v>0.25</v>
      </c>
      <c r="W1181" s="277">
        <v>0.0</v>
      </c>
      <c r="X1181" s="271">
        <v>1430.0</v>
      </c>
      <c r="Y1181" s="271">
        <v>477.0</v>
      </c>
      <c r="Z1181" s="50" t="b">
        <v>1</v>
      </c>
      <c r="AA1181" s="50" t="s">
        <v>138</v>
      </c>
      <c r="AB1181" s="50" t="s">
        <v>138</v>
      </c>
    </row>
    <row r="1182">
      <c r="A1182" s="271" t="s">
        <v>154</v>
      </c>
      <c r="B1182" s="271" t="s">
        <v>154</v>
      </c>
      <c r="C1182" s="278">
        <v>44593.0</v>
      </c>
      <c r="D1182" s="278">
        <v>44620.0</v>
      </c>
      <c r="E1182" s="271" t="s">
        <v>268</v>
      </c>
      <c r="F1182" s="101" t="s">
        <v>12</v>
      </c>
      <c r="G1182" s="271" t="s">
        <v>5</v>
      </c>
      <c r="H1182" s="273" t="s">
        <v>48</v>
      </c>
      <c r="I1182" s="274">
        <v>10.0</v>
      </c>
      <c r="J1182" s="271">
        <v>6.0</v>
      </c>
      <c r="K1182" s="271">
        <f t="shared" si="1"/>
        <v>60</v>
      </c>
      <c r="L1182" s="271"/>
      <c r="M1182" s="271">
        <v>-40.0</v>
      </c>
      <c r="N1182" s="275">
        <v>3.0</v>
      </c>
      <c r="O1182" s="60"/>
      <c r="P1182" s="50">
        <v>3.0</v>
      </c>
      <c r="Q1182" s="271"/>
      <c r="R1182" s="276">
        <v>0.0</v>
      </c>
      <c r="S1182" s="271"/>
      <c r="T1182" s="271">
        <v>-37.0</v>
      </c>
      <c r="U1182" s="62">
        <v>1.0</v>
      </c>
      <c r="V1182" s="277">
        <v>0.25</v>
      </c>
      <c r="W1182" s="277">
        <v>0.0</v>
      </c>
      <c r="X1182" s="271">
        <v>-28.0</v>
      </c>
      <c r="Y1182" s="271">
        <v>-9.0</v>
      </c>
      <c r="Z1182" s="50" t="b">
        <v>1</v>
      </c>
      <c r="AA1182" s="50" t="s">
        <v>138</v>
      </c>
      <c r="AB1182" s="50" t="s">
        <v>138</v>
      </c>
    </row>
    <row r="1183">
      <c r="A1183" s="101" t="s">
        <v>267</v>
      </c>
      <c r="B1183" s="101" t="s">
        <v>267</v>
      </c>
      <c r="C1183" s="278">
        <v>44613.0</v>
      </c>
      <c r="D1183" s="278">
        <v>44640.0</v>
      </c>
      <c r="E1183" s="271" t="s">
        <v>268</v>
      </c>
      <c r="F1183" s="138" t="s">
        <v>4</v>
      </c>
      <c r="G1183" s="101" t="s">
        <v>5</v>
      </c>
      <c r="H1183" s="273" t="s">
        <v>45</v>
      </c>
      <c r="I1183" s="274">
        <v>10.0</v>
      </c>
      <c r="J1183" s="271">
        <v>109.0</v>
      </c>
      <c r="K1183" s="271">
        <f t="shared" si="1"/>
        <v>1090</v>
      </c>
      <c r="L1183" s="271">
        <v>7540.0</v>
      </c>
      <c r="M1183" s="271">
        <v>-40.0</v>
      </c>
      <c r="N1183" s="275">
        <v>22.0</v>
      </c>
      <c r="O1183" s="60"/>
      <c r="P1183" s="50">
        <v>22.0</v>
      </c>
      <c r="Q1183" s="271">
        <v>58.0</v>
      </c>
      <c r="R1183" s="276">
        <v>-0.0015</v>
      </c>
      <c r="S1183" s="271">
        <v>56.0</v>
      </c>
      <c r="T1183" s="271">
        <v>78.0</v>
      </c>
      <c r="U1183" s="62">
        <v>1.0</v>
      </c>
      <c r="V1183" s="277">
        <v>0.15</v>
      </c>
      <c r="W1183" s="277">
        <v>0.0</v>
      </c>
      <c r="X1183" s="271">
        <v>66.0</v>
      </c>
      <c r="Y1183" s="271">
        <v>12.0</v>
      </c>
      <c r="Z1183" s="50" t="b">
        <v>1</v>
      </c>
      <c r="AA1183" s="50" t="s">
        <v>138</v>
      </c>
      <c r="AB1183" s="50" t="s">
        <v>138</v>
      </c>
    </row>
    <row r="1184">
      <c r="A1184" s="101" t="s">
        <v>267</v>
      </c>
      <c r="B1184" s="101" t="s">
        <v>267</v>
      </c>
      <c r="C1184" s="278">
        <v>44613.0</v>
      </c>
      <c r="D1184" s="278">
        <v>44640.0</v>
      </c>
      <c r="E1184" s="271" t="s">
        <v>268</v>
      </c>
      <c r="F1184" s="138" t="s">
        <v>4</v>
      </c>
      <c r="G1184" s="101" t="s">
        <v>5</v>
      </c>
      <c r="H1184" s="273" t="s">
        <v>48</v>
      </c>
      <c r="I1184" s="274">
        <v>10.0</v>
      </c>
      <c r="J1184" s="271">
        <v>19.0</v>
      </c>
      <c r="K1184" s="271">
        <f t="shared" si="1"/>
        <v>190</v>
      </c>
      <c r="L1184" s="271">
        <v>-1019.0</v>
      </c>
      <c r="M1184" s="271">
        <v>-100.0</v>
      </c>
      <c r="N1184" s="275">
        <v>4.0</v>
      </c>
      <c r="O1184" s="60"/>
      <c r="P1184" s="50">
        <v>4.0</v>
      </c>
      <c r="Q1184" s="271">
        <v>-45.0</v>
      </c>
      <c r="R1184" s="276">
        <v>-0.0015</v>
      </c>
      <c r="S1184" s="271">
        <v>-45.0</v>
      </c>
      <c r="T1184" s="271">
        <v>-41.0</v>
      </c>
      <c r="U1184" s="62">
        <v>1.0</v>
      </c>
      <c r="V1184" s="277">
        <v>0.15</v>
      </c>
      <c r="W1184" s="277">
        <v>0.0</v>
      </c>
      <c r="X1184" s="271">
        <v>-35.0</v>
      </c>
      <c r="Y1184" s="271">
        <v>-6.0</v>
      </c>
      <c r="Z1184" s="50" t="b">
        <v>1</v>
      </c>
      <c r="AA1184" s="50" t="s">
        <v>138</v>
      </c>
      <c r="AB1184" s="50" t="s">
        <v>138</v>
      </c>
    </row>
    <row r="1185">
      <c r="A1185" s="101" t="s">
        <v>267</v>
      </c>
      <c r="B1185" s="101" t="s">
        <v>267</v>
      </c>
      <c r="C1185" s="278">
        <v>44613.0</v>
      </c>
      <c r="D1185" s="278">
        <v>44640.0</v>
      </c>
      <c r="E1185" s="271" t="s">
        <v>268</v>
      </c>
      <c r="F1185" s="138" t="s">
        <v>4</v>
      </c>
      <c r="G1185" s="101" t="s">
        <v>5</v>
      </c>
      <c r="H1185" s="273" t="s">
        <v>62</v>
      </c>
      <c r="I1185" s="274">
        <v>25.0</v>
      </c>
      <c r="J1185" s="271">
        <v>530.0</v>
      </c>
      <c r="K1185" s="271">
        <f t="shared" si="1"/>
        <v>13250</v>
      </c>
      <c r="L1185" s="271">
        <v>43915.0</v>
      </c>
      <c r="M1185" s="271">
        <v>100.0</v>
      </c>
      <c r="N1185" s="275">
        <v>226.0</v>
      </c>
      <c r="O1185" s="60"/>
      <c r="P1185" s="50">
        <v>226.0</v>
      </c>
      <c r="Q1185" s="271">
        <v>1188.0</v>
      </c>
      <c r="R1185" s="276">
        <v>-0.0015</v>
      </c>
      <c r="S1185" s="271">
        <v>1168.0</v>
      </c>
      <c r="T1185" s="271">
        <v>1394.0</v>
      </c>
      <c r="U1185" s="62">
        <v>1.0</v>
      </c>
      <c r="V1185" s="277">
        <v>0.15</v>
      </c>
      <c r="W1185" s="277">
        <v>0.0</v>
      </c>
      <c r="X1185" s="271">
        <v>1185.0</v>
      </c>
      <c r="Y1185" s="271">
        <v>209.0</v>
      </c>
      <c r="Z1185" s="50" t="b">
        <v>1</v>
      </c>
      <c r="AA1185" s="50" t="s">
        <v>138</v>
      </c>
      <c r="AB1185" s="50" t="s">
        <v>138</v>
      </c>
    </row>
    <row r="1186">
      <c r="A1186" s="101" t="s">
        <v>267</v>
      </c>
      <c r="B1186" s="101" t="s">
        <v>267</v>
      </c>
      <c r="C1186" s="278">
        <v>44613.0</v>
      </c>
      <c r="D1186" s="278">
        <v>44640.0</v>
      </c>
      <c r="E1186" s="271" t="s">
        <v>268</v>
      </c>
      <c r="F1186" s="138" t="s">
        <v>4</v>
      </c>
      <c r="G1186" s="101" t="s">
        <v>5</v>
      </c>
      <c r="H1186" s="273" t="s">
        <v>63</v>
      </c>
      <c r="I1186" s="274">
        <v>25.0</v>
      </c>
      <c r="J1186" s="271">
        <v>592.0</v>
      </c>
      <c r="K1186" s="271">
        <f t="shared" si="1"/>
        <v>14800</v>
      </c>
      <c r="L1186" s="271">
        <v>15802.0</v>
      </c>
      <c r="M1186" s="271">
        <v>-1375.0</v>
      </c>
      <c r="N1186" s="275">
        <v>257.0</v>
      </c>
      <c r="O1186" s="60"/>
      <c r="P1186" s="50">
        <v>257.0</v>
      </c>
      <c r="Q1186" s="271">
        <v>274.0</v>
      </c>
      <c r="R1186" s="276">
        <v>-0.0015</v>
      </c>
      <c r="S1186" s="271">
        <v>252.0</v>
      </c>
      <c r="T1186" s="271">
        <v>509.0</v>
      </c>
      <c r="U1186" s="62">
        <v>1.0</v>
      </c>
      <c r="V1186" s="277">
        <v>0.15</v>
      </c>
      <c r="W1186" s="277">
        <v>0.0</v>
      </c>
      <c r="X1186" s="271">
        <v>432.0</v>
      </c>
      <c r="Y1186" s="271">
        <v>76.0</v>
      </c>
      <c r="Z1186" s="50" t="b">
        <v>1</v>
      </c>
      <c r="AA1186" s="50" t="s">
        <v>138</v>
      </c>
      <c r="AB1186" s="50" t="s">
        <v>138</v>
      </c>
    </row>
    <row r="1187">
      <c r="A1187" s="101" t="s">
        <v>148</v>
      </c>
      <c r="B1187" s="101" t="s">
        <v>148</v>
      </c>
      <c r="C1187" s="278">
        <v>44613.0</v>
      </c>
      <c r="D1187" s="278">
        <v>44640.0</v>
      </c>
      <c r="E1187" s="271" t="s">
        <v>331</v>
      </c>
      <c r="F1187" s="138" t="s">
        <v>4</v>
      </c>
      <c r="G1187" s="101" t="s">
        <v>5</v>
      </c>
      <c r="H1187" s="273" t="s">
        <v>74</v>
      </c>
      <c r="I1187" s="274">
        <v>50.0</v>
      </c>
      <c r="J1187" s="271">
        <v>20.0</v>
      </c>
      <c r="K1187" s="271">
        <f t="shared" si="1"/>
        <v>1000</v>
      </c>
      <c r="L1187" s="271">
        <v>1716.0</v>
      </c>
      <c r="M1187" s="271">
        <v>-350.0</v>
      </c>
      <c r="N1187" s="275">
        <v>16.0</v>
      </c>
      <c r="O1187" s="60"/>
      <c r="P1187" s="50">
        <v>16.0</v>
      </c>
      <c r="Q1187" s="271">
        <v>95.0</v>
      </c>
      <c r="R1187" s="276">
        <v>-8.2E-4</v>
      </c>
      <c r="S1187" s="271">
        <v>94.0</v>
      </c>
      <c r="T1187" s="271">
        <v>110.0</v>
      </c>
      <c r="U1187" s="62">
        <v>1.0</v>
      </c>
      <c r="V1187" s="277">
        <v>0.15</v>
      </c>
      <c r="W1187" s="277">
        <v>0.05</v>
      </c>
      <c r="X1187" s="271">
        <v>88.0</v>
      </c>
      <c r="Y1187" s="271">
        <v>22.0</v>
      </c>
      <c r="Z1187" s="50" t="b">
        <v>1</v>
      </c>
      <c r="AA1187" s="50" t="s">
        <v>138</v>
      </c>
      <c r="AB1187" s="50" t="s">
        <v>138</v>
      </c>
    </row>
    <row r="1188">
      <c r="A1188" s="101" t="s">
        <v>148</v>
      </c>
      <c r="B1188" s="101" t="s">
        <v>148</v>
      </c>
      <c r="C1188" s="278">
        <v>44613.0</v>
      </c>
      <c r="D1188" s="278">
        <v>44640.0</v>
      </c>
      <c r="E1188" s="271" t="s">
        <v>331</v>
      </c>
      <c r="F1188" s="138" t="s">
        <v>4</v>
      </c>
      <c r="G1188" s="101" t="s">
        <v>5</v>
      </c>
      <c r="H1188" s="273" t="s">
        <v>85</v>
      </c>
      <c r="I1188" s="274">
        <v>100.0</v>
      </c>
      <c r="J1188" s="271">
        <v>1300.0</v>
      </c>
      <c r="K1188" s="271">
        <f t="shared" si="1"/>
        <v>130000</v>
      </c>
      <c r="L1188" s="271">
        <v>66506.0</v>
      </c>
      <c r="M1188" s="271">
        <v>-3400.0</v>
      </c>
      <c r="N1188" s="275">
        <v>1734.0</v>
      </c>
      <c r="O1188" s="60"/>
      <c r="P1188" s="109">
        <v>1734.0</v>
      </c>
      <c r="Q1188" s="271">
        <v>5415.0</v>
      </c>
      <c r="R1188" s="276">
        <v>-8.2E-4</v>
      </c>
      <c r="S1188" s="271">
        <v>5309.0</v>
      </c>
      <c r="T1188" s="271">
        <v>7043.0</v>
      </c>
      <c r="U1188" s="62">
        <v>1.0</v>
      </c>
      <c r="V1188" s="277">
        <v>0.15</v>
      </c>
      <c r="W1188" s="277">
        <v>0.05</v>
      </c>
      <c r="X1188" s="271">
        <v>5634.0</v>
      </c>
      <c r="Y1188" s="271">
        <v>1409.0</v>
      </c>
      <c r="Z1188" s="50" t="b">
        <v>1</v>
      </c>
      <c r="AA1188" s="50" t="s">
        <v>138</v>
      </c>
      <c r="AB1188" s="50" t="s">
        <v>138</v>
      </c>
    </row>
    <row r="1189">
      <c r="A1189" s="101" t="s">
        <v>148</v>
      </c>
      <c r="B1189" s="101" t="s">
        <v>148</v>
      </c>
      <c r="C1189" s="278">
        <v>44613.0</v>
      </c>
      <c r="D1189" s="278">
        <v>44640.0</v>
      </c>
      <c r="E1189" s="271" t="s">
        <v>331</v>
      </c>
      <c r="F1189" s="138" t="s">
        <v>12</v>
      </c>
      <c r="G1189" s="101" t="s">
        <v>5</v>
      </c>
      <c r="H1189" s="273" t="s">
        <v>6</v>
      </c>
      <c r="I1189" s="274">
        <v>0.25</v>
      </c>
      <c r="J1189" s="271">
        <v>51.0</v>
      </c>
      <c r="K1189" s="271">
        <f t="shared" si="1"/>
        <v>12.75</v>
      </c>
      <c r="L1189" s="271"/>
      <c r="M1189" s="271">
        <v>-5.0</v>
      </c>
      <c r="N1189" s="275"/>
      <c r="O1189" s="60"/>
      <c r="P1189" s="101"/>
      <c r="Q1189" s="271"/>
      <c r="R1189" s="276">
        <v>0.0</v>
      </c>
      <c r="S1189" s="271"/>
      <c r="T1189" s="271">
        <v>-5.0</v>
      </c>
      <c r="U1189" s="62">
        <v>1.0</v>
      </c>
      <c r="V1189" s="277">
        <v>0.15</v>
      </c>
      <c r="W1189" s="277">
        <v>0.05</v>
      </c>
      <c r="X1189" s="271">
        <v>-4.0</v>
      </c>
      <c r="Y1189" s="271">
        <v>-1.0</v>
      </c>
      <c r="Z1189" s="50" t="b">
        <v>1</v>
      </c>
      <c r="AA1189" s="50" t="s">
        <v>138</v>
      </c>
      <c r="AB1189" s="50" t="s">
        <v>138</v>
      </c>
    </row>
    <row r="1190">
      <c r="A1190" s="101" t="s">
        <v>182</v>
      </c>
      <c r="B1190" s="280">
        <v>66.5622</v>
      </c>
      <c r="C1190" s="288">
        <v>44613.0</v>
      </c>
      <c r="D1190" s="288">
        <v>44640.0</v>
      </c>
      <c r="E1190" s="280" t="s">
        <v>268</v>
      </c>
      <c r="F1190" s="101" t="s">
        <v>4</v>
      </c>
      <c r="G1190" s="280" t="s">
        <v>9</v>
      </c>
      <c r="H1190" s="273" t="s">
        <v>53</v>
      </c>
      <c r="I1190" s="281">
        <v>10.0</v>
      </c>
      <c r="J1190" s="280">
        <v>48.0</v>
      </c>
      <c r="K1190" s="271">
        <f t="shared" si="1"/>
        <v>480</v>
      </c>
      <c r="L1190" s="280">
        <v>1310.0</v>
      </c>
      <c r="M1190" s="280">
        <v>486.0</v>
      </c>
      <c r="N1190" s="282">
        <v>65.0</v>
      </c>
      <c r="O1190" s="60"/>
      <c r="P1190" s="50">
        <v>65.0</v>
      </c>
      <c r="Q1190" s="280">
        <v>-19.0</v>
      </c>
      <c r="R1190" s="276">
        <v>-8.2E-4</v>
      </c>
      <c r="S1190" s="280">
        <v>-19.0</v>
      </c>
      <c r="T1190" s="280">
        <v>46.0</v>
      </c>
      <c r="U1190" s="62">
        <v>1.105</v>
      </c>
      <c r="V1190" s="277">
        <v>0.2</v>
      </c>
      <c r="W1190" s="277">
        <v>0.0</v>
      </c>
      <c r="X1190" s="280">
        <v>41.0</v>
      </c>
      <c r="Y1190" s="280">
        <v>10.0</v>
      </c>
      <c r="Z1190" s="50" t="b">
        <v>1</v>
      </c>
      <c r="AA1190" s="50" t="s">
        <v>138</v>
      </c>
      <c r="AB1190" s="50" t="s">
        <v>140</v>
      </c>
    </row>
    <row r="1191">
      <c r="A1191" s="101" t="s">
        <v>182</v>
      </c>
      <c r="B1191" s="101" t="s">
        <v>182</v>
      </c>
      <c r="C1191" s="288">
        <v>44613.0</v>
      </c>
      <c r="D1191" s="288">
        <v>44640.0</v>
      </c>
      <c r="E1191" s="280" t="s">
        <v>268</v>
      </c>
      <c r="F1191" s="101" t="s">
        <v>4</v>
      </c>
      <c r="G1191" s="271" t="s">
        <v>5</v>
      </c>
      <c r="H1191" s="273" t="s">
        <v>45</v>
      </c>
      <c r="I1191" s="281">
        <v>10.0</v>
      </c>
      <c r="J1191" s="280">
        <v>72.0</v>
      </c>
      <c r="K1191" s="271">
        <f t="shared" si="1"/>
        <v>720</v>
      </c>
      <c r="L1191" s="280">
        <v>2664.0</v>
      </c>
      <c r="M1191" s="280">
        <v>30.0</v>
      </c>
      <c r="N1191" s="275"/>
      <c r="O1191" s="60"/>
      <c r="P1191" s="101"/>
      <c r="Q1191" s="280">
        <v>-8.0</v>
      </c>
      <c r="R1191" s="276">
        <v>-8.2E-4</v>
      </c>
      <c r="S1191" s="280">
        <v>-9.0</v>
      </c>
      <c r="T1191" s="280">
        <v>-9.0</v>
      </c>
      <c r="U1191" s="62">
        <v>1.0</v>
      </c>
      <c r="V1191" s="277">
        <v>0.2</v>
      </c>
      <c r="W1191" s="277">
        <v>0.0</v>
      </c>
      <c r="X1191" s="280">
        <v>-7.0</v>
      </c>
      <c r="Y1191" s="280">
        <v>-2.0</v>
      </c>
      <c r="Z1191" s="50" t="b">
        <v>1</v>
      </c>
      <c r="AA1191" s="50" t="s">
        <v>138</v>
      </c>
      <c r="AB1191" s="50" t="s">
        <v>138</v>
      </c>
    </row>
    <row r="1192">
      <c r="A1192" s="280" t="s">
        <v>345</v>
      </c>
      <c r="B1192" s="280" t="s">
        <v>992</v>
      </c>
      <c r="C1192" s="283">
        <v>44613.0</v>
      </c>
      <c r="D1192" s="283">
        <v>44640.0</v>
      </c>
      <c r="E1192" s="280" t="s">
        <v>331</v>
      </c>
      <c r="F1192" s="138" t="s">
        <v>4</v>
      </c>
      <c r="G1192" s="280" t="s">
        <v>9</v>
      </c>
      <c r="H1192" s="273" t="s">
        <v>53</v>
      </c>
      <c r="I1192" s="281">
        <v>10.0</v>
      </c>
      <c r="J1192" s="280">
        <v>739.0</v>
      </c>
      <c r="K1192" s="271">
        <f t="shared" si="1"/>
        <v>7390</v>
      </c>
      <c r="L1192" s="280">
        <v>31262.0</v>
      </c>
      <c r="M1192" s="280">
        <v>111.0</v>
      </c>
      <c r="N1192" s="282">
        <v>929.9</v>
      </c>
      <c r="O1192" s="60"/>
      <c r="P1192" s="50">
        <v>930.0</v>
      </c>
      <c r="Q1192" s="280">
        <v>-87.0</v>
      </c>
      <c r="R1192" s="276">
        <v>-8.2E-4</v>
      </c>
      <c r="S1192" s="280">
        <v>-94.0</v>
      </c>
      <c r="T1192" s="280">
        <v>836.0</v>
      </c>
      <c r="U1192" s="62">
        <v>1.0</v>
      </c>
      <c r="V1192" s="277">
        <v>0.15</v>
      </c>
      <c r="W1192" s="277">
        <v>0.1</v>
      </c>
      <c r="X1192" s="280">
        <v>627.0</v>
      </c>
      <c r="Y1192" s="280">
        <v>209.0</v>
      </c>
      <c r="Z1192" s="50" t="b">
        <v>1</v>
      </c>
      <c r="AA1192" s="50" t="s">
        <v>140</v>
      </c>
      <c r="AB1192" s="50" t="s">
        <v>140</v>
      </c>
    </row>
    <row r="1193">
      <c r="A1193" s="280" t="s">
        <v>345</v>
      </c>
      <c r="B1193" s="280" t="s">
        <v>992</v>
      </c>
      <c r="C1193" s="283">
        <v>44613.0</v>
      </c>
      <c r="D1193" s="283">
        <v>44640.0</v>
      </c>
      <c r="E1193" s="280" t="s">
        <v>331</v>
      </c>
      <c r="F1193" s="138" t="s">
        <v>4</v>
      </c>
      <c r="G1193" s="280" t="s">
        <v>9</v>
      </c>
      <c r="H1193" s="290" t="s">
        <v>66</v>
      </c>
      <c r="I1193" s="281">
        <v>25.0</v>
      </c>
      <c r="J1193" s="280">
        <v>1388.0</v>
      </c>
      <c r="K1193" s="271">
        <f t="shared" si="1"/>
        <v>34700</v>
      </c>
      <c r="L1193" s="280">
        <v>77421.0</v>
      </c>
      <c r="M1193" s="280">
        <v>257.0</v>
      </c>
      <c r="N1193" s="282">
        <v>50.1</v>
      </c>
      <c r="O1193" s="60"/>
      <c r="P1193" s="50">
        <v>50.0</v>
      </c>
      <c r="Q1193" s="280">
        <v>395.0</v>
      </c>
      <c r="R1193" s="276">
        <v>-8.2E-4</v>
      </c>
      <c r="S1193" s="280">
        <v>366.0</v>
      </c>
      <c r="T1193" s="280">
        <v>417.0</v>
      </c>
      <c r="U1193" s="62">
        <v>1.0</v>
      </c>
      <c r="V1193" s="277">
        <v>0.15</v>
      </c>
      <c r="W1193" s="277">
        <v>0.1</v>
      </c>
      <c r="X1193" s="280">
        <v>312.0</v>
      </c>
      <c r="Y1193" s="280">
        <v>104.0</v>
      </c>
      <c r="Z1193" s="50" t="b">
        <v>1</v>
      </c>
      <c r="AA1193" s="50" t="s">
        <v>140</v>
      </c>
      <c r="AB1193" s="50" t="s">
        <v>140</v>
      </c>
    </row>
    <row r="1194">
      <c r="A1194" s="101" t="s">
        <v>170</v>
      </c>
      <c r="B1194" s="101" t="s">
        <v>170</v>
      </c>
      <c r="C1194" s="278">
        <v>44628.0</v>
      </c>
      <c r="D1194" s="278">
        <v>44640.0</v>
      </c>
      <c r="E1194" s="271" t="s">
        <v>268</v>
      </c>
      <c r="F1194" s="101" t="s">
        <v>4</v>
      </c>
      <c r="G1194" s="271" t="s">
        <v>5</v>
      </c>
      <c r="H1194" s="273" t="s">
        <v>35</v>
      </c>
      <c r="I1194" s="274">
        <v>5.0</v>
      </c>
      <c r="J1194" s="271">
        <v>90.0</v>
      </c>
      <c r="K1194" s="271">
        <f t="shared" si="1"/>
        <v>450</v>
      </c>
      <c r="L1194" s="271">
        <f>33*90</f>
        <v>2970</v>
      </c>
      <c r="M1194" s="271">
        <v>0.0</v>
      </c>
      <c r="N1194" s="275">
        <v>6.0</v>
      </c>
      <c r="O1194" s="60"/>
      <c r="P1194" s="50">
        <v>6.0</v>
      </c>
      <c r="Q1194" s="271">
        <v>-13.0</v>
      </c>
      <c r="R1194" s="276">
        <v>-8.2E-4</v>
      </c>
      <c r="S1194" s="271">
        <v>-13.0</v>
      </c>
      <c r="T1194" s="271">
        <v>-7.0</v>
      </c>
      <c r="U1194" s="62">
        <v>1.0</v>
      </c>
      <c r="V1194" s="277">
        <v>0.17</v>
      </c>
      <c r="W1194" s="277">
        <v>0.0</v>
      </c>
      <c r="X1194" s="271">
        <v>-6.0</v>
      </c>
      <c r="Y1194" s="271">
        <v>-1.0</v>
      </c>
      <c r="Z1194" s="50" t="b">
        <v>1</v>
      </c>
      <c r="AA1194" s="50" t="s">
        <v>138</v>
      </c>
      <c r="AB1194" s="50" t="s">
        <v>138</v>
      </c>
    </row>
    <row r="1195">
      <c r="A1195" s="101" t="s">
        <v>170</v>
      </c>
      <c r="B1195" s="101" t="s">
        <v>170</v>
      </c>
      <c r="C1195" s="278">
        <v>44628.0</v>
      </c>
      <c r="D1195" s="278">
        <v>44640.0</v>
      </c>
      <c r="E1195" s="271" t="s">
        <v>268</v>
      </c>
      <c r="F1195" s="101" t="s">
        <v>4</v>
      </c>
      <c r="G1195" s="271" t="s">
        <v>5</v>
      </c>
      <c r="H1195" s="273" t="s">
        <v>45</v>
      </c>
      <c r="I1195" s="274">
        <v>10.0</v>
      </c>
      <c r="J1195" s="271">
        <v>649.0</v>
      </c>
      <c r="K1195" s="271">
        <f t="shared" si="1"/>
        <v>6490</v>
      </c>
      <c r="L1195" s="271">
        <f>69*649</f>
        <v>44781</v>
      </c>
      <c r="M1195" s="271">
        <v>200.0</v>
      </c>
      <c r="N1195" s="275">
        <v>69.0</v>
      </c>
      <c r="O1195" s="60"/>
      <c r="P1195" s="50">
        <v>69.0</v>
      </c>
      <c r="Q1195" s="271">
        <v>341.0</v>
      </c>
      <c r="R1195" s="276">
        <v>-8.2E-4</v>
      </c>
      <c r="S1195" s="271">
        <v>336.0</v>
      </c>
      <c r="T1195" s="271">
        <v>405.0</v>
      </c>
      <c r="U1195" s="62">
        <v>1.0</v>
      </c>
      <c r="V1195" s="277">
        <v>0.17</v>
      </c>
      <c r="W1195" s="277">
        <v>0.0</v>
      </c>
      <c r="X1195" s="271">
        <v>336.0</v>
      </c>
      <c r="Y1195" s="271">
        <v>69.0</v>
      </c>
      <c r="Z1195" s="50" t="b">
        <v>1</v>
      </c>
      <c r="AA1195" s="50" t="s">
        <v>138</v>
      </c>
      <c r="AB1195" s="50" t="s">
        <v>138</v>
      </c>
    </row>
    <row r="1196">
      <c r="A1196" s="280" t="s">
        <v>362</v>
      </c>
      <c r="B1196" s="280" t="s">
        <v>362</v>
      </c>
      <c r="C1196" s="288">
        <v>44613.0</v>
      </c>
      <c r="D1196" s="288">
        <v>44640.0</v>
      </c>
      <c r="E1196" s="280" t="s">
        <v>268</v>
      </c>
      <c r="F1196" s="101" t="s">
        <v>4</v>
      </c>
      <c r="G1196" s="280" t="s">
        <v>9</v>
      </c>
      <c r="H1196" s="273" t="s">
        <v>89</v>
      </c>
      <c r="I1196" s="281">
        <v>100.0</v>
      </c>
      <c r="J1196" s="280">
        <v>30.0</v>
      </c>
      <c r="K1196" s="271">
        <f t="shared" si="1"/>
        <v>3000</v>
      </c>
      <c r="L1196" s="280">
        <v>1401.0</v>
      </c>
      <c r="M1196" s="280">
        <v>-995.0</v>
      </c>
      <c r="N1196" s="282">
        <v>1155.0</v>
      </c>
      <c r="O1196" s="60"/>
      <c r="P1196" s="109">
        <v>1155.0</v>
      </c>
      <c r="Q1196" s="280">
        <v>-12.0</v>
      </c>
      <c r="R1196" s="276">
        <v>-8.2E-4</v>
      </c>
      <c r="S1196" s="280">
        <v>-14.0</v>
      </c>
      <c r="T1196" s="280">
        <v>1141.0</v>
      </c>
      <c r="U1196" s="62">
        <v>1.083</v>
      </c>
      <c r="V1196" s="277">
        <v>0.19</v>
      </c>
      <c r="W1196" s="277">
        <v>0.0</v>
      </c>
      <c r="X1196" s="280">
        <v>1001.0</v>
      </c>
      <c r="Y1196" s="280">
        <v>235.0</v>
      </c>
      <c r="Z1196" s="50" t="b">
        <v>1</v>
      </c>
      <c r="AA1196" s="50" t="s">
        <v>138</v>
      </c>
      <c r="AB1196" s="50" t="s">
        <v>140</v>
      </c>
    </row>
    <row r="1197">
      <c r="A1197" s="101" t="s">
        <v>416</v>
      </c>
      <c r="B1197" s="101" t="s">
        <v>190</v>
      </c>
      <c r="C1197" s="278">
        <v>44613.0</v>
      </c>
      <c r="D1197" s="278">
        <v>44640.0</v>
      </c>
      <c r="E1197" s="271" t="s">
        <v>268</v>
      </c>
      <c r="F1197" s="138" t="s">
        <v>4</v>
      </c>
      <c r="G1197" s="271" t="s">
        <v>5</v>
      </c>
      <c r="H1197" s="273" t="s">
        <v>45</v>
      </c>
      <c r="I1197" s="274">
        <v>10.0</v>
      </c>
      <c r="J1197" s="271">
        <v>1035.0</v>
      </c>
      <c r="K1197" s="271">
        <f t="shared" si="1"/>
        <v>10350</v>
      </c>
      <c r="L1197" s="271">
        <v>33050.0</v>
      </c>
      <c r="M1197" s="271">
        <v>1010.0</v>
      </c>
      <c r="N1197" s="275">
        <v>52.0</v>
      </c>
      <c r="O1197" s="60"/>
      <c r="P1197" s="50">
        <v>52.0</v>
      </c>
      <c r="Q1197" s="271">
        <v>-174.0</v>
      </c>
      <c r="R1197" s="276">
        <v>-8.2E-4</v>
      </c>
      <c r="S1197" s="271">
        <v>-182.0</v>
      </c>
      <c r="T1197" s="271">
        <v>-130.0</v>
      </c>
      <c r="U1197" s="62">
        <v>1.0</v>
      </c>
      <c r="V1197" s="277">
        <v>0.25</v>
      </c>
      <c r="W1197" s="277">
        <v>0.0</v>
      </c>
      <c r="X1197" s="271">
        <v>-98.0</v>
      </c>
      <c r="Y1197" s="271">
        <v>-33.0</v>
      </c>
      <c r="Z1197" s="50" t="b">
        <v>1</v>
      </c>
      <c r="AA1197" s="50" t="s">
        <v>138</v>
      </c>
      <c r="AB1197" s="50" t="s">
        <v>138</v>
      </c>
    </row>
    <row r="1198">
      <c r="A1198" s="101" t="s">
        <v>416</v>
      </c>
      <c r="B1198" s="101" t="s">
        <v>190</v>
      </c>
      <c r="C1198" s="278">
        <v>44613.0</v>
      </c>
      <c r="D1198" s="278">
        <v>44640.0</v>
      </c>
      <c r="E1198" s="271" t="s">
        <v>268</v>
      </c>
      <c r="F1198" s="138" t="s">
        <v>4</v>
      </c>
      <c r="G1198" s="271" t="s">
        <v>5</v>
      </c>
      <c r="H1198" s="273" t="s">
        <v>62</v>
      </c>
      <c r="I1198" s="274">
        <v>25.0</v>
      </c>
      <c r="J1198" s="271">
        <v>24.0</v>
      </c>
      <c r="K1198" s="271">
        <f t="shared" si="1"/>
        <v>600</v>
      </c>
      <c r="L1198" s="271">
        <v>849.0</v>
      </c>
      <c r="M1198" s="271">
        <v>-200.0</v>
      </c>
      <c r="N1198" s="275">
        <v>3.0</v>
      </c>
      <c r="O1198" s="60"/>
      <c r="P1198" s="50">
        <v>3.0</v>
      </c>
      <c r="Q1198" s="271">
        <v>0.0</v>
      </c>
      <c r="R1198" s="276">
        <v>-8.2E-4</v>
      </c>
      <c r="S1198" s="271">
        <v>0.0</v>
      </c>
      <c r="T1198" s="271">
        <v>3.0</v>
      </c>
      <c r="U1198" s="62">
        <v>1.0</v>
      </c>
      <c r="V1198" s="277">
        <v>0.25</v>
      </c>
      <c r="W1198" s="277">
        <v>0.0</v>
      </c>
      <c r="X1198" s="271">
        <v>2.0</v>
      </c>
      <c r="Y1198" s="271">
        <v>1.0</v>
      </c>
      <c r="Z1198" s="50" t="b">
        <v>1</v>
      </c>
      <c r="AA1198" s="50" t="s">
        <v>138</v>
      </c>
      <c r="AB1198" s="50" t="s">
        <v>138</v>
      </c>
    </row>
    <row r="1199">
      <c r="A1199" s="280" t="s">
        <v>150</v>
      </c>
      <c r="B1199" s="280" t="s">
        <v>150</v>
      </c>
      <c r="C1199" s="283">
        <v>44613.0</v>
      </c>
      <c r="D1199" s="278">
        <v>44640.0</v>
      </c>
      <c r="E1199" s="280" t="s">
        <v>268</v>
      </c>
      <c r="F1199" s="138" t="s">
        <v>4</v>
      </c>
      <c r="G1199" s="280" t="s">
        <v>9</v>
      </c>
      <c r="H1199" s="273" t="s">
        <v>66</v>
      </c>
      <c r="I1199" s="274">
        <v>25.0</v>
      </c>
      <c r="J1199" s="271">
        <v>0.0</v>
      </c>
      <c r="K1199" s="271">
        <f t="shared" si="1"/>
        <v>0</v>
      </c>
      <c r="L1199" s="271">
        <v>0.0</v>
      </c>
      <c r="M1199" s="271">
        <v>0.0</v>
      </c>
      <c r="N1199" s="275"/>
      <c r="O1199" s="60"/>
      <c r="P1199" s="101"/>
      <c r="Q1199" s="271"/>
      <c r="R1199" s="276">
        <v>0.00324</v>
      </c>
      <c r="S1199" s="271"/>
      <c r="T1199" s="271"/>
      <c r="U1199" s="62">
        <v>1.0</v>
      </c>
      <c r="V1199" s="277">
        <v>0.3</v>
      </c>
      <c r="W1199" s="277">
        <v>0.0</v>
      </c>
      <c r="X1199" s="271"/>
      <c r="Y1199" s="271"/>
      <c r="Z1199" s="50" t="b">
        <v>1</v>
      </c>
      <c r="AA1199" s="50" t="s">
        <v>138</v>
      </c>
      <c r="AB1199" s="50" t="s">
        <v>138</v>
      </c>
    </row>
    <row r="1200">
      <c r="A1200" s="101" t="s">
        <v>195</v>
      </c>
      <c r="B1200" s="101" t="s">
        <v>195</v>
      </c>
      <c r="C1200" s="278">
        <v>44620.0</v>
      </c>
      <c r="D1200" s="278">
        <v>44640.0</v>
      </c>
      <c r="E1200" s="271" t="s">
        <v>331</v>
      </c>
      <c r="F1200" s="138" t="s">
        <v>4</v>
      </c>
      <c r="G1200" s="101" t="s">
        <v>5</v>
      </c>
      <c r="H1200" s="273" t="s">
        <v>85</v>
      </c>
      <c r="I1200" s="274">
        <v>100.0</v>
      </c>
      <c r="J1200" s="271">
        <v>3553.0</v>
      </c>
      <c r="K1200" s="271">
        <f t="shared" si="1"/>
        <v>355300</v>
      </c>
      <c r="L1200" s="271">
        <f>121784-30602</f>
        <v>91182</v>
      </c>
      <c r="M1200" s="271">
        <v>-8200.0</v>
      </c>
      <c r="N1200" s="275">
        <v>4649.0</v>
      </c>
      <c r="O1200" s="60"/>
      <c r="P1200" s="109">
        <v>4649.0</v>
      </c>
      <c r="Q1200" s="271">
        <v>-2096.0</v>
      </c>
      <c r="R1200" s="276">
        <v>-8.2E-4</v>
      </c>
      <c r="S1200" s="271">
        <v>-2387.0</v>
      </c>
      <c r="T1200" s="271">
        <v>2262.0</v>
      </c>
      <c r="U1200" s="62">
        <v>1.0</v>
      </c>
      <c r="V1200" s="277">
        <v>0.15</v>
      </c>
      <c r="W1200" s="277">
        <v>0.05</v>
      </c>
      <c r="X1200" s="271">
        <v>1809.0</v>
      </c>
      <c r="Y1200" s="271">
        <v>452.0</v>
      </c>
      <c r="Z1200" s="50" t="b">
        <v>1</v>
      </c>
      <c r="AA1200" s="50" t="s">
        <v>138</v>
      </c>
      <c r="AB1200" s="50" t="s">
        <v>138</v>
      </c>
    </row>
    <row r="1201">
      <c r="A1201" s="101" t="s">
        <v>195</v>
      </c>
      <c r="B1201" s="101" t="s">
        <v>195</v>
      </c>
      <c r="C1201" s="278">
        <v>44620.0</v>
      </c>
      <c r="D1201" s="278">
        <v>44640.0</v>
      </c>
      <c r="E1201" s="271" t="s">
        <v>331</v>
      </c>
      <c r="F1201" s="138" t="s">
        <v>4</v>
      </c>
      <c r="G1201" s="101" t="s">
        <v>5</v>
      </c>
      <c r="H1201" s="273" t="s">
        <v>86</v>
      </c>
      <c r="I1201" s="274">
        <v>100.0</v>
      </c>
      <c r="J1201" s="271">
        <v>3781.0</v>
      </c>
      <c r="K1201" s="271">
        <f t="shared" si="1"/>
        <v>378100</v>
      </c>
      <c r="L1201" s="271">
        <v>13796.0</v>
      </c>
      <c r="M1201" s="271">
        <v>-16300.0</v>
      </c>
      <c r="N1201" s="275">
        <v>4947.0</v>
      </c>
      <c r="O1201" s="60"/>
      <c r="P1201" s="109">
        <v>4947.0</v>
      </c>
      <c r="Q1201" s="271">
        <v>-16108.0</v>
      </c>
      <c r="R1201" s="276">
        <v>-8.2E-4</v>
      </c>
      <c r="S1201" s="271">
        <v>-16418.0</v>
      </c>
      <c r="T1201" s="271">
        <v>-11471.0</v>
      </c>
      <c r="U1201" s="62">
        <v>1.0</v>
      </c>
      <c r="V1201" s="277">
        <v>0.15</v>
      </c>
      <c r="W1201" s="277">
        <v>0.05</v>
      </c>
      <c r="X1201" s="271">
        <v>-9177.0</v>
      </c>
      <c r="Y1201" s="271">
        <v>-2294.0</v>
      </c>
      <c r="Z1201" s="50" t="b">
        <v>1</v>
      </c>
      <c r="AA1201" s="50" t="s">
        <v>138</v>
      </c>
      <c r="AB1201" s="50" t="s">
        <v>138</v>
      </c>
    </row>
    <row r="1202">
      <c r="A1202" s="101" t="s">
        <v>505</v>
      </c>
      <c r="B1202" s="271" t="s">
        <v>166</v>
      </c>
      <c r="C1202" s="278">
        <v>44613.0</v>
      </c>
      <c r="D1202" s="278">
        <v>44640.0</v>
      </c>
      <c r="E1202" s="271" t="s">
        <v>268</v>
      </c>
      <c r="F1202" s="101" t="s">
        <v>4</v>
      </c>
      <c r="G1202" s="271" t="s">
        <v>5</v>
      </c>
      <c r="H1202" s="273" t="s">
        <v>35</v>
      </c>
      <c r="I1202" s="281">
        <v>5.0</v>
      </c>
      <c r="J1202" s="280">
        <v>3705.0</v>
      </c>
      <c r="K1202" s="271">
        <f t="shared" si="1"/>
        <v>18525</v>
      </c>
      <c r="L1202" s="280">
        <v>281090.0</v>
      </c>
      <c r="M1202" s="280">
        <v>730.0</v>
      </c>
      <c r="N1202" s="275">
        <v>270.0</v>
      </c>
      <c r="O1202" s="60"/>
      <c r="P1202" s="50">
        <v>270.0</v>
      </c>
      <c r="Q1202" s="280">
        <v>908.0</v>
      </c>
      <c r="R1202" s="276">
        <v>-8.2E-4</v>
      </c>
      <c r="S1202" s="280">
        <v>893.0</v>
      </c>
      <c r="T1202" s="280">
        <v>1163.0</v>
      </c>
      <c r="U1202" s="62">
        <v>1.0</v>
      </c>
      <c r="V1202" s="277">
        <v>0.25</v>
      </c>
      <c r="W1202" s="277">
        <v>0.0</v>
      </c>
      <c r="X1202" s="280">
        <v>872.0</v>
      </c>
      <c r="Y1202" s="280">
        <v>291.0</v>
      </c>
      <c r="Z1202" s="50" t="b">
        <v>1</v>
      </c>
      <c r="AA1202" s="50" t="s">
        <v>138</v>
      </c>
      <c r="AB1202" s="50" t="s">
        <v>138</v>
      </c>
    </row>
    <row r="1203">
      <c r="A1203" s="101" t="s">
        <v>505</v>
      </c>
      <c r="B1203" s="271" t="s">
        <v>166</v>
      </c>
      <c r="C1203" s="278">
        <v>44613.0</v>
      </c>
      <c r="D1203" s="278">
        <v>44640.0</v>
      </c>
      <c r="E1203" s="271" t="s">
        <v>268</v>
      </c>
      <c r="F1203" s="101" t="s">
        <v>4</v>
      </c>
      <c r="G1203" s="271" t="s">
        <v>5</v>
      </c>
      <c r="H1203" s="273" t="s">
        <v>45</v>
      </c>
      <c r="I1203" s="281">
        <v>10.0</v>
      </c>
      <c r="J1203" s="280">
        <v>308.0</v>
      </c>
      <c r="K1203" s="271">
        <f t="shared" si="1"/>
        <v>3080</v>
      </c>
      <c r="L1203" s="280">
        <v>11920.0</v>
      </c>
      <c r="M1203" s="280">
        <v>-250.0</v>
      </c>
      <c r="N1203" s="275">
        <v>40.0</v>
      </c>
      <c r="O1203" s="60"/>
      <c r="P1203" s="50">
        <v>40.0</v>
      </c>
      <c r="Q1203" s="280">
        <v>-9.0</v>
      </c>
      <c r="R1203" s="276">
        <v>-8.2E-4</v>
      </c>
      <c r="S1203" s="280">
        <v>-12.0</v>
      </c>
      <c r="T1203" s="280">
        <v>28.0</v>
      </c>
      <c r="U1203" s="62">
        <v>1.0</v>
      </c>
      <c r="V1203" s="277">
        <v>0.25</v>
      </c>
      <c r="W1203" s="277">
        <v>0.0</v>
      </c>
      <c r="X1203" s="280">
        <v>21.0</v>
      </c>
      <c r="Y1203" s="280">
        <v>7.0</v>
      </c>
      <c r="Z1203" s="50" t="b">
        <v>1</v>
      </c>
      <c r="AA1203" s="50" t="s">
        <v>138</v>
      </c>
      <c r="AB1203" s="50" t="s">
        <v>138</v>
      </c>
    </row>
    <row r="1204">
      <c r="A1204" s="280" t="s">
        <v>199</v>
      </c>
      <c r="B1204" s="280" t="s">
        <v>1003</v>
      </c>
      <c r="C1204" s="288">
        <v>44613.0</v>
      </c>
      <c r="D1204" s="288">
        <v>44640.0</v>
      </c>
      <c r="E1204" s="280" t="s">
        <v>268</v>
      </c>
      <c r="F1204" s="101" t="s">
        <v>4</v>
      </c>
      <c r="G1204" s="280" t="s">
        <v>9</v>
      </c>
      <c r="H1204" s="273" t="s">
        <v>53</v>
      </c>
      <c r="I1204" s="281">
        <v>10.0</v>
      </c>
      <c r="J1204" s="280">
        <v>7.0</v>
      </c>
      <c r="K1204" s="271">
        <f t="shared" si="1"/>
        <v>70</v>
      </c>
      <c r="L1204" s="280">
        <v>342.0</v>
      </c>
      <c r="M1204" s="280">
        <v>0.0</v>
      </c>
      <c r="N1204" s="282">
        <v>0.0</v>
      </c>
      <c r="O1204" s="60"/>
      <c r="P1204" s="50">
        <v>0.0</v>
      </c>
      <c r="Q1204" s="280">
        <v>0.0</v>
      </c>
      <c r="R1204" s="276">
        <v>-8.2E-4</v>
      </c>
      <c r="S1204" s="280">
        <v>0.0</v>
      </c>
      <c r="T1204" s="280">
        <v>0.0</v>
      </c>
      <c r="U1204" s="62">
        <v>1.105</v>
      </c>
      <c r="V1204" s="277">
        <v>0.2</v>
      </c>
      <c r="W1204" s="277">
        <v>0.0</v>
      </c>
      <c r="X1204" s="280">
        <v>0.0</v>
      </c>
      <c r="Y1204" s="280">
        <v>0.0</v>
      </c>
      <c r="Z1204" s="50" t="b">
        <v>1</v>
      </c>
      <c r="AA1204" s="50" t="s">
        <v>138</v>
      </c>
      <c r="AB1204" s="50" t="s">
        <v>140</v>
      </c>
    </row>
    <row r="1205">
      <c r="A1205" s="101" t="s">
        <v>199</v>
      </c>
      <c r="B1205" s="101" t="s">
        <v>199</v>
      </c>
      <c r="C1205" s="288">
        <v>44613.0</v>
      </c>
      <c r="D1205" s="288">
        <v>44640.0</v>
      </c>
      <c r="E1205" s="280" t="s">
        <v>268</v>
      </c>
      <c r="F1205" s="138" t="s">
        <v>4</v>
      </c>
      <c r="G1205" s="271" t="s">
        <v>5</v>
      </c>
      <c r="H1205" s="273" t="s">
        <v>35</v>
      </c>
      <c r="I1205" s="281">
        <v>5.0</v>
      </c>
      <c r="J1205" s="280">
        <v>1.0</v>
      </c>
      <c r="K1205" s="271">
        <f t="shared" si="1"/>
        <v>5</v>
      </c>
      <c r="L1205" s="280">
        <v>643.0</v>
      </c>
      <c r="M1205" s="280">
        <v>10.0</v>
      </c>
      <c r="N1205" s="275"/>
      <c r="O1205" s="60"/>
      <c r="P1205" s="101"/>
      <c r="Q1205" s="280">
        <v>5.0</v>
      </c>
      <c r="R1205" s="276">
        <v>-8.2E-4</v>
      </c>
      <c r="S1205" s="280">
        <v>5.0</v>
      </c>
      <c r="T1205" s="280">
        <v>5.0</v>
      </c>
      <c r="U1205" s="62">
        <v>1.0</v>
      </c>
      <c r="V1205" s="277">
        <v>0.2</v>
      </c>
      <c r="W1205" s="277">
        <v>0.0</v>
      </c>
      <c r="X1205" s="280">
        <v>4.0</v>
      </c>
      <c r="Y1205" s="280">
        <v>1.0</v>
      </c>
      <c r="Z1205" s="50" t="b">
        <v>1</v>
      </c>
      <c r="AA1205" s="50" t="s">
        <v>140</v>
      </c>
      <c r="AB1205" s="50" t="s">
        <v>138</v>
      </c>
    </row>
    <row r="1206">
      <c r="A1206" s="101" t="s">
        <v>199</v>
      </c>
      <c r="B1206" s="101" t="s">
        <v>199</v>
      </c>
      <c r="C1206" s="288">
        <v>44613.0</v>
      </c>
      <c r="D1206" s="288">
        <v>44640.0</v>
      </c>
      <c r="E1206" s="280" t="s">
        <v>268</v>
      </c>
      <c r="F1206" s="138" t="s">
        <v>4</v>
      </c>
      <c r="G1206" s="271" t="s">
        <v>5</v>
      </c>
      <c r="H1206" s="273" t="s">
        <v>45</v>
      </c>
      <c r="I1206" s="281">
        <v>10.0</v>
      </c>
      <c r="J1206" s="280">
        <v>1073.0</v>
      </c>
      <c r="K1206" s="271">
        <f t="shared" si="1"/>
        <v>10730</v>
      </c>
      <c r="L1206" s="280">
        <v>36217.0</v>
      </c>
      <c r="M1206" s="280">
        <v>250.0</v>
      </c>
      <c r="N1206" s="275">
        <v>99.0</v>
      </c>
      <c r="O1206" s="60"/>
      <c r="P1206" s="50">
        <v>99.0</v>
      </c>
      <c r="Q1206" s="280">
        <v>-132.0</v>
      </c>
      <c r="R1206" s="276">
        <v>-8.2E-4</v>
      </c>
      <c r="S1206" s="280">
        <v>-140.0</v>
      </c>
      <c r="T1206" s="280">
        <v>-41.0</v>
      </c>
      <c r="U1206" s="62">
        <v>1.0</v>
      </c>
      <c r="V1206" s="277">
        <v>0.2</v>
      </c>
      <c r="W1206" s="277">
        <v>0.0</v>
      </c>
      <c r="X1206" s="280">
        <v>-33.0</v>
      </c>
      <c r="Y1206" s="280">
        <v>-8.0</v>
      </c>
      <c r="Z1206" s="50" t="b">
        <v>1</v>
      </c>
      <c r="AA1206" s="50" t="s">
        <v>138</v>
      </c>
      <c r="AB1206" s="50" t="s">
        <v>138</v>
      </c>
    </row>
    <row r="1207">
      <c r="A1207" s="101" t="s">
        <v>199</v>
      </c>
      <c r="B1207" s="101" t="s">
        <v>199</v>
      </c>
      <c r="C1207" s="288">
        <v>44613.0</v>
      </c>
      <c r="D1207" s="288">
        <v>44640.0</v>
      </c>
      <c r="E1207" s="280" t="s">
        <v>268</v>
      </c>
      <c r="F1207" s="138" t="s">
        <v>4</v>
      </c>
      <c r="G1207" s="271" t="s">
        <v>5</v>
      </c>
      <c r="H1207" s="273" t="s">
        <v>48</v>
      </c>
      <c r="I1207" s="281">
        <v>10.0</v>
      </c>
      <c r="J1207" s="280">
        <v>190.0</v>
      </c>
      <c r="K1207" s="271">
        <f t="shared" si="1"/>
        <v>1900</v>
      </c>
      <c r="L1207" s="280">
        <v>5015.0</v>
      </c>
      <c r="M1207" s="280">
        <v>450.0</v>
      </c>
      <c r="N1207" s="275">
        <v>561.0</v>
      </c>
      <c r="O1207" s="60"/>
      <c r="P1207" s="50">
        <v>561.0</v>
      </c>
      <c r="Q1207" s="280">
        <v>-37.0</v>
      </c>
      <c r="R1207" s="276">
        <v>-8.2E-4</v>
      </c>
      <c r="S1207" s="280">
        <v>-39.0</v>
      </c>
      <c r="T1207" s="280">
        <v>522.0</v>
      </c>
      <c r="U1207" s="62">
        <v>1.0</v>
      </c>
      <c r="V1207" s="277">
        <v>0.2</v>
      </c>
      <c r="W1207" s="277">
        <v>0.0</v>
      </c>
      <c r="X1207" s="280">
        <v>418.0</v>
      </c>
      <c r="Y1207" s="280">
        <v>104.0</v>
      </c>
      <c r="Z1207" s="50" t="b">
        <v>1</v>
      </c>
      <c r="AA1207" s="50" t="s">
        <v>138</v>
      </c>
      <c r="AB1207" s="50" t="s">
        <v>138</v>
      </c>
    </row>
    <row r="1208">
      <c r="A1208" s="101" t="s">
        <v>546</v>
      </c>
      <c r="B1208" s="101" t="s">
        <v>202</v>
      </c>
      <c r="C1208" s="278">
        <v>44613.0</v>
      </c>
      <c r="D1208" s="278">
        <v>44640.0</v>
      </c>
      <c r="E1208" s="271" t="s">
        <v>331</v>
      </c>
      <c r="F1208" s="138" t="s">
        <v>4</v>
      </c>
      <c r="G1208" s="271" t="s">
        <v>13</v>
      </c>
      <c r="H1208" s="273" t="s">
        <v>93</v>
      </c>
      <c r="I1208" s="274">
        <v>200.0</v>
      </c>
      <c r="J1208" s="271">
        <v>1687.0</v>
      </c>
      <c r="K1208" s="271">
        <f t="shared" si="1"/>
        <v>337400</v>
      </c>
      <c r="L1208" s="271">
        <v>12506.0</v>
      </c>
      <c r="M1208" s="271">
        <v>-19200.0</v>
      </c>
      <c r="N1208" s="275">
        <f>600+16034+14*200</f>
        <v>19434</v>
      </c>
      <c r="O1208" s="60"/>
      <c r="P1208" s="109">
        <v>19434.0</v>
      </c>
      <c r="Q1208" s="271">
        <v>-17547.0</v>
      </c>
      <c r="R1208" s="276">
        <v>-8.2E-4</v>
      </c>
      <c r="S1208" s="271">
        <v>-17824.0</v>
      </c>
      <c r="T1208" s="271">
        <v>1610.0</v>
      </c>
      <c r="U1208" s="62">
        <v>1.0</v>
      </c>
      <c r="V1208" s="277">
        <v>0.09</v>
      </c>
      <c r="W1208" s="277">
        <v>0.03</v>
      </c>
      <c r="X1208" s="271">
        <v>1417.0</v>
      </c>
      <c r="Y1208" s="271">
        <v>193.0</v>
      </c>
      <c r="Z1208" s="50" t="b">
        <v>1</v>
      </c>
      <c r="AA1208" s="50" t="s">
        <v>138</v>
      </c>
      <c r="AB1208" s="50" t="s">
        <v>138</v>
      </c>
    </row>
    <row r="1209">
      <c r="A1209" s="101" t="s">
        <v>160</v>
      </c>
      <c r="B1209" s="101" t="s">
        <v>160</v>
      </c>
      <c r="C1209" s="278">
        <v>44613.0</v>
      </c>
      <c r="D1209" s="278">
        <v>44640.0</v>
      </c>
      <c r="E1209" s="271" t="s">
        <v>268</v>
      </c>
      <c r="F1209" s="138" t="s">
        <v>4</v>
      </c>
      <c r="G1209" s="101" t="s">
        <v>5</v>
      </c>
      <c r="H1209" s="273" t="s">
        <v>35</v>
      </c>
      <c r="I1209" s="274">
        <v>5.0</v>
      </c>
      <c r="J1209" s="271">
        <v>162.0</v>
      </c>
      <c r="K1209" s="271">
        <f t="shared" si="1"/>
        <v>810</v>
      </c>
      <c r="L1209" s="271">
        <v>2702.0</v>
      </c>
      <c r="M1209" s="271">
        <v>-125.0</v>
      </c>
      <c r="N1209" s="275">
        <v>11.0</v>
      </c>
      <c r="O1209" s="60"/>
      <c r="P1209" s="50">
        <v>11.0</v>
      </c>
      <c r="Q1209" s="271">
        <v>-50.0</v>
      </c>
      <c r="R1209" s="276">
        <v>-8.2E-4</v>
      </c>
      <c r="S1209" s="271">
        <v>-51.0</v>
      </c>
      <c r="T1209" s="271">
        <v>-40.0</v>
      </c>
      <c r="U1209" s="62">
        <v>1.0</v>
      </c>
      <c r="V1209" s="277">
        <v>0.3</v>
      </c>
      <c r="W1209" s="277">
        <v>0.0</v>
      </c>
      <c r="X1209" s="271">
        <v>-28.0</v>
      </c>
      <c r="Y1209" s="271">
        <v>-12.0</v>
      </c>
      <c r="Z1209" s="50" t="b">
        <v>1</v>
      </c>
      <c r="AA1209" s="50" t="s">
        <v>138</v>
      </c>
      <c r="AB1209" s="50" t="s">
        <v>138</v>
      </c>
    </row>
    <row r="1210">
      <c r="A1210" s="101" t="s">
        <v>160</v>
      </c>
      <c r="B1210" s="101" t="s">
        <v>160</v>
      </c>
      <c r="C1210" s="278">
        <v>44613.0</v>
      </c>
      <c r="D1210" s="278">
        <v>44640.0</v>
      </c>
      <c r="E1210" s="271" t="s">
        <v>268</v>
      </c>
      <c r="F1210" s="138" t="s">
        <v>4</v>
      </c>
      <c r="G1210" s="101" t="s">
        <v>5</v>
      </c>
      <c r="H1210" s="273" t="s">
        <v>45</v>
      </c>
      <c r="I1210" s="274">
        <v>10.0</v>
      </c>
      <c r="J1210" s="271">
        <v>2153.0</v>
      </c>
      <c r="K1210" s="271">
        <f t="shared" si="1"/>
        <v>21530</v>
      </c>
      <c r="L1210" s="271">
        <v>90754.0</v>
      </c>
      <c r="M1210" s="271">
        <v>70.0</v>
      </c>
      <c r="N1210" s="275">
        <v>264.0</v>
      </c>
      <c r="O1210" s="60"/>
      <c r="P1210" s="50">
        <v>264.0</v>
      </c>
      <c r="Q1210" s="271">
        <v>49.0</v>
      </c>
      <c r="R1210" s="276">
        <v>-8.2E-4</v>
      </c>
      <c r="S1210" s="271">
        <v>32.0</v>
      </c>
      <c r="T1210" s="271">
        <v>296.0</v>
      </c>
      <c r="U1210" s="62">
        <v>1.0</v>
      </c>
      <c r="V1210" s="277">
        <v>0.3</v>
      </c>
      <c r="W1210" s="277">
        <v>0.0</v>
      </c>
      <c r="X1210" s="271">
        <v>207.0</v>
      </c>
      <c r="Y1210" s="271">
        <v>89.0</v>
      </c>
      <c r="Z1210" s="50" t="b">
        <v>1</v>
      </c>
      <c r="AA1210" s="50" t="s">
        <v>138</v>
      </c>
      <c r="AB1210" s="50" t="s">
        <v>138</v>
      </c>
    </row>
    <row r="1211">
      <c r="A1211" s="101" t="s">
        <v>207</v>
      </c>
      <c r="B1211" s="101" t="s">
        <v>208</v>
      </c>
      <c r="C1211" s="278">
        <v>44613.0</v>
      </c>
      <c r="D1211" s="278">
        <v>44640.0</v>
      </c>
      <c r="E1211" s="271" t="s">
        <v>268</v>
      </c>
      <c r="F1211" s="138" t="s">
        <v>4</v>
      </c>
      <c r="G1211" s="101" t="s">
        <v>13</v>
      </c>
      <c r="H1211" s="273" t="s">
        <v>45</v>
      </c>
      <c r="I1211" s="274">
        <v>10.0</v>
      </c>
      <c r="J1211" s="271">
        <v>2915.0</v>
      </c>
      <c r="K1211" s="271">
        <f t="shared" si="1"/>
        <v>29150</v>
      </c>
      <c r="L1211" s="271">
        <v>48916.0</v>
      </c>
      <c r="M1211" s="271">
        <v>-840.0</v>
      </c>
      <c r="N1211" s="275">
        <v>1468.42</v>
      </c>
      <c r="O1211" s="60"/>
      <c r="P1211" s="109">
        <v>1468.0</v>
      </c>
      <c r="Q1211" s="271">
        <v>-730.0</v>
      </c>
      <c r="R1211" s="276">
        <v>-8.2E-4</v>
      </c>
      <c r="S1211" s="271">
        <v>-754.0</v>
      </c>
      <c r="T1211" s="271">
        <v>714.0</v>
      </c>
      <c r="U1211" s="62">
        <v>1.0</v>
      </c>
      <c r="V1211" s="277">
        <v>0.22</v>
      </c>
      <c r="W1211" s="277">
        <v>0.0</v>
      </c>
      <c r="X1211" s="271">
        <v>557.0</v>
      </c>
      <c r="Y1211" s="271">
        <v>157.0</v>
      </c>
      <c r="Z1211" s="50" t="b">
        <v>1</v>
      </c>
      <c r="AA1211" s="50" t="s">
        <v>138</v>
      </c>
      <c r="AB1211" s="50" t="s">
        <v>138</v>
      </c>
    </row>
    <row r="1212">
      <c r="A1212" s="101" t="s">
        <v>207</v>
      </c>
      <c r="B1212" s="101" t="s">
        <v>208</v>
      </c>
      <c r="C1212" s="278">
        <v>44613.0</v>
      </c>
      <c r="D1212" s="278">
        <v>44640.0</v>
      </c>
      <c r="E1212" s="271" t="s">
        <v>268</v>
      </c>
      <c r="F1212" s="138" t="s">
        <v>4</v>
      </c>
      <c r="G1212" s="101" t="s">
        <v>13</v>
      </c>
      <c r="H1212" s="273" t="s">
        <v>59</v>
      </c>
      <c r="I1212" s="274">
        <v>20.0</v>
      </c>
      <c r="J1212" s="271">
        <v>2746.0</v>
      </c>
      <c r="K1212" s="271">
        <f t="shared" si="1"/>
        <v>54920</v>
      </c>
      <c r="L1212" s="271">
        <v>42974.0</v>
      </c>
      <c r="M1212" s="271">
        <v>-1700.0</v>
      </c>
      <c r="N1212" s="275">
        <v>2766.58</v>
      </c>
      <c r="O1212" s="60"/>
      <c r="P1212" s="109">
        <v>2767.0</v>
      </c>
      <c r="Q1212" s="271">
        <v>-1555.0</v>
      </c>
      <c r="R1212" s="276">
        <v>-8.2E-4</v>
      </c>
      <c r="S1212" s="271">
        <v>-1600.0</v>
      </c>
      <c r="T1212" s="271">
        <v>1167.0</v>
      </c>
      <c r="U1212" s="62">
        <v>1.0</v>
      </c>
      <c r="V1212" s="277">
        <v>0.22</v>
      </c>
      <c r="W1212" s="277">
        <v>0.0</v>
      </c>
      <c r="X1212" s="271">
        <v>910.0</v>
      </c>
      <c r="Y1212" s="271">
        <v>257.0</v>
      </c>
      <c r="Z1212" s="50" t="b">
        <v>1</v>
      </c>
      <c r="AA1212" s="50" t="s">
        <v>138</v>
      </c>
      <c r="AB1212" s="50" t="s">
        <v>138</v>
      </c>
    </row>
    <row r="1213">
      <c r="A1213" s="101" t="s">
        <v>210</v>
      </c>
      <c r="B1213" s="101" t="s">
        <v>210</v>
      </c>
      <c r="C1213" s="278">
        <v>44632.0</v>
      </c>
      <c r="D1213" s="278">
        <v>44640.0</v>
      </c>
      <c r="E1213" s="271" t="s">
        <v>268</v>
      </c>
      <c r="F1213" s="101" t="s">
        <v>4</v>
      </c>
      <c r="G1213" s="271" t="s">
        <v>5</v>
      </c>
      <c r="H1213" s="273" t="s">
        <v>45</v>
      </c>
      <c r="I1213" s="274">
        <v>10.0</v>
      </c>
      <c r="J1213" s="271">
        <v>404.0</v>
      </c>
      <c r="K1213" s="271">
        <f t="shared" si="1"/>
        <v>4040</v>
      </c>
      <c r="L1213" s="271">
        <f>68*404</f>
        <v>27472</v>
      </c>
      <c r="M1213" s="271">
        <v>500.0</v>
      </c>
      <c r="N1213" s="275">
        <v>45.0</v>
      </c>
      <c r="O1213" s="60"/>
      <c r="P1213" s="50">
        <v>45.0</v>
      </c>
      <c r="Q1213" s="271">
        <v>205.0</v>
      </c>
      <c r="R1213" s="276">
        <v>-8.2E-4</v>
      </c>
      <c r="S1213" s="271">
        <v>202.0</v>
      </c>
      <c r="T1213" s="271">
        <v>247.0</v>
      </c>
      <c r="U1213" s="62">
        <v>1.0</v>
      </c>
      <c r="V1213" s="277">
        <v>0.23</v>
      </c>
      <c r="W1213" s="277">
        <v>0.0</v>
      </c>
      <c r="X1213" s="271">
        <v>190.0</v>
      </c>
      <c r="Y1213" s="271">
        <v>57.0</v>
      </c>
      <c r="Z1213" s="50" t="b">
        <v>1</v>
      </c>
      <c r="AA1213" s="50" t="s">
        <v>138</v>
      </c>
      <c r="AB1213" s="50" t="s">
        <v>138</v>
      </c>
    </row>
    <row r="1214">
      <c r="A1214" s="101" t="s">
        <v>216</v>
      </c>
      <c r="B1214" s="101" t="s">
        <v>216</v>
      </c>
      <c r="C1214" s="278">
        <v>44613.0</v>
      </c>
      <c r="D1214" s="278">
        <v>44640.0</v>
      </c>
      <c r="E1214" s="271" t="s">
        <v>268</v>
      </c>
      <c r="F1214" s="138" t="s">
        <v>4</v>
      </c>
      <c r="G1214" s="101" t="s">
        <v>5</v>
      </c>
      <c r="H1214" s="273" t="s">
        <v>85</v>
      </c>
      <c r="I1214" s="274">
        <v>100.0</v>
      </c>
      <c r="J1214" s="271">
        <v>498.0</v>
      </c>
      <c r="K1214" s="271">
        <f t="shared" si="1"/>
        <v>49800</v>
      </c>
      <c r="L1214" s="271">
        <v>5294.0</v>
      </c>
      <c r="M1214" s="271">
        <v>400.0</v>
      </c>
      <c r="N1214" s="275">
        <v>3747.0</v>
      </c>
      <c r="O1214" s="60"/>
      <c r="P1214" s="109">
        <v>3747.0</v>
      </c>
      <c r="Q1214" s="271">
        <v>-1697.0</v>
      </c>
      <c r="R1214" s="276">
        <v>-8.2E-4</v>
      </c>
      <c r="S1214" s="271">
        <v>-1738.0</v>
      </c>
      <c r="T1214" s="271">
        <v>2009.0</v>
      </c>
      <c r="U1214" s="62">
        <v>1.0</v>
      </c>
      <c r="V1214" s="277">
        <v>0.1</v>
      </c>
      <c r="W1214" s="277">
        <v>0.0</v>
      </c>
      <c r="X1214" s="271">
        <v>1808.0</v>
      </c>
      <c r="Y1214" s="271">
        <v>201.0</v>
      </c>
      <c r="Z1214" s="50" t="b">
        <v>1</v>
      </c>
      <c r="AA1214" s="50" t="s">
        <v>138</v>
      </c>
      <c r="AB1214" s="50" t="s">
        <v>138</v>
      </c>
    </row>
    <row r="1215">
      <c r="A1215" s="101" t="s">
        <v>216</v>
      </c>
      <c r="B1215" s="101" t="s">
        <v>216</v>
      </c>
      <c r="C1215" s="278">
        <v>44613.0</v>
      </c>
      <c r="D1215" s="278">
        <v>44640.0</v>
      </c>
      <c r="E1215" s="271" t="s">
        <v>268</v>
      </c>
      <c r="F1215" s="138" t="s">
        <v>4</v>
      </c>
      <c r="G1215" s="101" t="s">
        <v>5</v>
      </c>
      <c r="H1215" s="273" t="s">
        <v>86</v>
      </c>
      <c r="I1215" s="274">
        <v>100.0</v>
      </c>
      <c r="J1215" s="271">
        <v>20.0</v>
      </c>
      <c r="K1215" s="271">
        <f t="shared" si="1"/>
        <v>2000</v>
      </c>
      <c r="L1215" s="271">
        <v>827.0</v>
      </c>
      <c r="M1215" s="271">
        <v>400.0</v>
      </c>
      <c r="N1215" s="275">
        <v>150.0</v>
      </c>
      <c r="O1215" s="60"/>
      <c r="P1215" s="50">
        <v>150.0</v>
      </c>
      <c r="Q1215" s="271">
        <v>150.0</v>
      </c>
      <c r="R1215" s="276">
        <v>-8.2E-4</v>
      </c>
      <c r="S1215" s="271">
        <v>149.0</v>
      </c>
      <c r="T1215" s="271">
        <v>299.0</v>
      </c>
      <c r="U1215" s="62">
        <v>1.0</v>
      </c>
      <c r="V1215" s="277">
        <v>0.1</v>
      </c>
      <c r="W1215" s="277">
        <v>0.0</v>
      </c>
      <c r="X1215" s="271">
        <v>269.0</v>
      </c>
      <c r="Y1215" s="271">
        <v>30.0</v>
      </c>
      <c r="Z1215" s="50" t="b">
        <v>1</v>
      </c>
      <c r="AA1215" s="50" t="s">
        <v>138</v>
      </c>
      <c r="AB1215" s="50" t="s">
        <v>138</v>
      </c>
    </row>
    <row r="1216">
      <c r="A1216" s="101" t="s">
        <v>216</v>
      </c>
      <c r="B1216" s="101" t="s">
        <v>216</v>
      </c>
      <c r="C1216" s="278">
        <v>44613.0</v>
      </c>
      <c r="D1216" s="278">
        <v>44640.0</v>
      </c>
      <c r="E1216" s="271" t="s">
        <v>268</v>
      </c>
      <c r="F1216" s="138" t="s">
        <v>4</v>
      </c>
      <c r="G1216" s="101" t="s">
        <v>5</v>
      </c>
      <c r="H1216" s="273" t="s">
        <v>96</v>
      </c>
      <c r="I1216" s="274">
        <v>250.0</v>
      </c>
      <c r="J1216" s="271">
        <v>163.0</v>
      </c>
      <c r="K1216" s="271">
        <f t="shared" si="1"/>
        <v>40750</v>
      </c>
      <c r="L1216" s="271">
        <v>16300.0</v>
      </c>
      <c r="M1216" s="271">
        <v>6500.0</v>
      </c>
      <c r="N1216" s="275">
        <v>3066.0</v>
      </c>
      <c r="O1216" s="60"/>
      <c r="P1216" s="109">
        <v>3066.0</v>
      </c>
      <c r="Q1216" s="271">
        <v>5555.0</v>
      </c>
      <c r="R1216" s="276">
        <v>-8.2E-4</v>
      </c>
      <c r="S1216" s="271">
        <v>5521.0</v>
      </c>
      <c r="T1216" s="271">
        <v>8587.0</v>
      </c>
      <c r="U1216" s="62">
        <v>1.0</v>
      </c>
      <c r="V1216" s="277">
        <v>0.1</v>
      </c>
      <c r="W1216" s="277">
        <v>0.0</v>
      </c>
      <c r="X1216" s="271">
        <v>7728.0</v>
      </c>
      <c r="Y1216" s="271">
        <v>859.0</v>
      </c>
      <c r="Z1216" s="50" t="b">
        <v>1</v>
      </c>
      <c r="AA1216" s="50" t="s">
        <v>138</v>
      </c>
      <c r="AB1216" s="50" t="s">
        <v>138</v>
      </c>
    </row>
    <row r="1217">
      <c r="A1217" s="101" t="s">
        <v>216</v>
      </c>
      <c r="B1217" s="101" t="s">
        <v>216</v>
      </c>
      <c r="C1217" s="278">
        <v>44613.0</v>
      </c>
      <c r="D1217" s="278">
        <v>44640.0</v>
      </c>
      <c r="E1217" s="271" t="s">
        <v>268</v>
      </c>
      <c r="F1217" s="138" t="s">
        <v>4</v>
      </c>
      <c r="G1217" s="101" t="s">
        <v>5</v>
      </c>
      <c r="H1217" s="273" t="s">
        <v>97</v>
      </c>
      <c r="I1217" s="274">
        <v>250.0</v>
      </c>
      <c r="J1217" s="271">
        <v>95.0</v>
      </c>
      <c r="K1217" s="271">
        <f t="shared" si="1"/>
        <v>23750</v>
      </c>
      <c r="L1217" s="271">
        <v>964.0</v>
      </c>
      <c r="M1217" s="271">
        <v>-1000.0</v>
      </c>
      <c r="N1217" s="275">
        <v>1787.0</v>
      </c>
      <c r="O1217" s="60"/>
      <c r="P1217" s="109">
        <v>1787.0</v>
      </c>
      <c r="Q1217" s="271">
        <v>-471.0</v>
      </c>
      <c r="R1217" s="276">
        <v>-8.2E-4</v>
      </c>
      <c r="S1217" s="271">
        <v>-490.0</v>
      </c>
      <c r="T1217" s="271">
        <v>1297.0</v>
      </c>
      <c r="U1217" s="62">
        <v>1.0</v>
      </c>
      <c r="V1217" s="277">
        <v>0.1</v>
      </c>
      <c r="W1217" s="277">
        <v>0.0</v>
      </c>
      <c r="X1217" s="271">
        <v>1167.0</v>
      </c>
      <c r="Y1217" s="271">
        <v>130.0</v>
      </c>
      <c r="Z1217" s="50" t="b">
        <v>1</v>
      </c>
      <c r="AA1217" s="50" t="s">
        <v>138</v>
      </c>
      <c r="AB1217" s="50" t="s">
        <v>138</v>
      </c>
    </row>
    <row r="1218">
      <c r="A1218" s="280" t="s">
        <v>144</v>
      </c>
      <c r="B1218" s="280" t="s">
        <v>144</v>
      </c>
      <c r="C1218" s="288">
        <v>44613.0</v>
      </c>
      <c r="D1218" s="288">
        <v>44641.0</v>
      </c>
      <c r="E1218" s="280" t="s">
        <v>268</v>
      </c>
      <c r="F1218" s="101" t="s">
        <v>4</v>
      </c>
      <c r="G1218" s="280" t="s">
        <v>9</v>
      </c>
      <c r="H1218" s="273" t="s">
        <v>53</v>
      </c>
      <c r="I1218" s="281">
        <v>10.0</v>
      </c>
      <c r="J1218" s="280">
        <v>78.0</v>
      </c>
      <c r="K1218" s="271">
        <f t="shared" si="1"/>
        <v>780</v>
      </c>
      <c r="L1218" s="280">
        <v>8167.0</v>
      </c>
      <c r="M1218" s="280">
        <v>-177.0</v>
      </c>
      <c r="N1218" s="282">
        <v>0.0</v>
      </c>
      <c r="O1218" s="60"/>
      <c r="P1218" s="50">
        <v>0.0</v>
      </c>
      <c r="Q1218" s="280">
        <v>79.0</v>
      </c>
      <c r="R1218" s="276">
        <v>-8.2E-4</v>
      </c>
      <c r="S1218" s="280">
        <v>78.0</v>
      </c>
      <c r="T1218" s="280">
        <v>78.0</v>
      </c>
      <c r="U1218" s="62">
        <v>1.0</v>
      </c>
      <c r="V1218" s="277">
        <v>0.2</v>
      </c>
      <c r="W1218" s="277">
        <v>0.0</v>
      </c>
      <c r="X1218" s="280">
        <v>63.0</v>
      </c>
      <c r="Y1218" s="280">
        <v>16.0</v>
      </c>
      <c r="Z1218" s="50" t="b">
        <v>1</v>
      </c>
      <c r="AA1218" s="50" t="s">
        <v>140</v>
      </c>
      <c r="AB1218" s="50" t="s">
        <v>140</v>
      </c>
    </row>
    <row r="1219">
      <c r="A1219" s="101" t="s">
        <v>149</v>
      </c>
      <c r="B1219" s="101" t="s">
        <v>149</v>
      </c>
      <c r="C1219" s="278">
        <v>44621.0</v>
      </c>
      <c r="D1219" s="278">
        <v>44651.0</v>
      </c>
      <c r="E1219" s="271" t="s">
        <v>268</v>
      </c>
      <c r="F1219" s="138" t="s">
        <v>12</v>
      </c>
      <c r="G1219" s="101" t="s">
        <v>5</v>
      </c>
      <c r="H1219" s="273" t="s">
        <v>85</v>
      </c>
      <c r="I1219" s="274">
        <v>100.0</v>
      </c>
      <c r="J1219" s="271">
        <v>2.0</v>
      </c>
      <c r="K1219" s="271">
        <f t="shared" si="1"/>
        <v>200</v>
      </c>
      <c r="L1219" s="271"/>
      <c r="M1219" s="271">
        <v>0.0</v>
      </c>
      <c r="N1219" s="275">
        <v>65.0</v>
      </c>
      <c r="O1219" s="60"/>
      <c r="P1219" s="50">
        <v>65.0</v>
      </c>
      <c r="Q1219" s="271"/>
      <c r="R1219" s="276">
        <v>0.0</v>
      </c>
      <c r="S1219" s="271"/>
      <c r="T1219" s="271">
        <v>65.0</v>
      </c>
      <c r="U1219" s="62">
        <v>1.0</v>
      </c>
      <c r="V1219" s="277">
        <v>0.22</v>
      </c>
      <c r="W1219" s="277">
        <v>0.0</v>
      </c>
      <c r="X1219" s="271">
        <v>51.0</v>
      </c>
      <c r="Y1219" s="271">
        <v>14.0</v>
      </c>
      <c r="Z1219" s="50" t="b">
        <v>1</v>
      </c>
      <c r="AA1219" s="50" t="s">
        <v>138</v>
      </c>
      <c r="AB1219" s="50" t="s">
        <v>138</v>
      </c>
    </row>
    <row r="1220">
      <c r="A1220" s="101" t="s">
        <v>149</v>
      </c>
      <c r="B1220" s="101" t="s">
        <v>149</v>
      </c>
      <c r="C1220" s="278">
        <v>44621.0</v>
      </c>
      <c r="D1220" s="278">
        <v>44651.0</v>
      </c>
      <c r="E1220" s="271" t="s">
        <v>268</v>
      </c>
      <c r="F1220" s="138" t="s">
        <v>12</v>
      </c>
      <c r="G1220" s="101" t="s">
        <v>5</v>
      </c>
      <c r="H1220" s="273" t="s">
        <v>62</v>
      </c>
      <c r="I1220" s="274">
        <v>25.0</v>
      </c>
      <c r="J1220" s="271">
        <v>1.0</v>
      </c>
      <c r="K1220" s="271">
        <f t="shared" si="1"/>
        <v>25</v>
      </c>
      <c r="L1220" s="271"/>
      <c r="M1220" s="271">
        <v>50.0</v>
      </c>
      <c r="N1220" s="275">
        <v>10.0</v>
      </c>
      <c r="O1220" s="60"/>
      <c r="P1220" s="50">
        <v>10.0</v>
      </c>
      <c r="Q1220" s="271"/>
      <c r="R1220" s="276">
        <v>0.0</v>
      </c>
      <c r="S1220" s="271"/>
      <c r="T1220" s="271">
        <v>60.0</v>
      </c>
      <c r="U1220" s="62">
        <v>1.0</v>
      </c>
      <c r="V1220" s="277">
        <v>0.22</v>
      </c>
      <c r="W1220" s="277">
        <v>0.0</v>
      </c>
      <c r="X1220" s="271">
        <v>47.0</v>
      </c>
      <c r="Y1220" s="271">
        <v>13.0</v>
      </c>
      <c r="Z1220" s="50" t="b">
        <v>1</v>
      </c>
      <c r="AA1220" s="50" t="s">
        <v>138</v>
      </c>
      <c r="AB1220" s="50" t="s">
        <v>138</v>
      </c>
    </row>
    <row r="1221">
      <c r="A1221" s="101" t="s">
        <v>177</v>
      </c>
      <c r="B1221" s="101" t="s">
        <v>177</v>
      </c>
      <c r="C1221" s="278">
        <v>44621.0</v>
      </c>
      <c r="D1221" s="278">
        <v>44651.0</v>
      </c>
      <c r="E1221" s="280" t="s">
        <v>268</v>
      </c>
      <c r="F1221" s="138" t="s">
        <v>8</v>
      </c>
      <c r="G1221" s="280" t="s">
        <v>5</v>
      </c>
      <c r="H1221" s="273" t="s">
        <v>85</v>
      </c>
      <c r="I1221" s="274">
        <v>100.0</v>
      </c>
      <c r="J1221" s="271">
        <v>246.0</v>
      </c>
      <c r="K1221" s="271">
        <f t="shared" si="1"/>
        <v>24600</v>
      </c>
      <c r="L1221" s="271">
        <v>9386.0</v>
      </c>
      <c r="M1221" s="271">
        <v>-1700.0</v>
      </c>
      <c r="N1221" s="275">
        <v>810.0</v>
      </c>
      <c r="O1221" s="60"/>
      <c r="P1221" s="50">
        <v>810.0</v>
      </c>
      <c r="Q1221" s="271">
        <v>421.0</v>
      </c>
      <c r="R1221" s="276">
        <v>0.00139</v>
      </c>
      <c r="S1221" s="271">
        <v>456.0</v>
      </c>
      <c r="T1221" s="271">
        <v>1266.0</v>
      </c>
      <c r="U1221" s="62">
        <v>1.0</v>
      </c>
      <c r="V1221" s="277">
        <v>0.12</v>
      </c>
      <c r="W1221" s="277">
        <v>0.0</v>
      </c>
      <c r="X1221" s="271">
        <v>1114.0</v>
      </c>
      <c r="Y1221" s="271">
        <v>152.0</v>
      </c>
      <c r="Z1221" s="50" t="b">
        <v>1</v>
      </c>
      <c r="AA1221" s="50" t="s">
        <v>138</v>
      </c>
      <c r="AB1221" s="50" t="s">
        <v>138</v>
      </c>
    </row>
    <row r="1222">
      <c r="A1222" s="101" t="s">
        <v>177</v>
      </c>
      <c r="B1222" s="101" t="s">
        <v>177</v>
      </c>
      <c r="C1222" s="278">
        <v>44621.0</v>
      </c>
      <c r="D1222" s="278">
        <v>44651.0</v>
      </c>
      <c r="E1222" s="280" t="s">
        <v>268</v>
      </c>
      <c r="F1222" s="138" t="s">
        <v>8</v>
      </c>
      <c r="G1222" s="280" t="s">
        <v>5</v>
      </c>
      <c r="H1222" s="273" t="s">
        <v>86</v>
      </c>
      <c r="I1222" s="274">
        <v>100.0</v>
      </c>
      <c r="J1222" s="271">
        <v>4183.0</v>
      </c>
      <c r="K1222" s="271">
        <f t="shared" si="1"/>
        <v>418300</v>
      </c>
      <c r="L1222" s="271">
        <v>39738.0</v>
      </c>
      <c r="M1222" s="271">
        <v>-7500.0</v>
      </c>
      <c r="N1222" s="275">
        <v>13820.0</v>
      </c>
      <c r="O1222" s="60"/>
      <c r="P1222" s="109">
        <v>13820.0</v>
      </c>
      <c r="Q1222" s="271">
        <v>-10335.0</v>
      </c>
      <c r="R1222" s="276">
        <v>0.001338</v>
      </c>
      <c r="S1222" s="271">
        <v>-9775.0</v>
      </c>
      <c r="T1222" s="271">
        <v>4045.0</v>
      </c>
      <c r="U1222" s="62">
        <v>1.0</v>
      </c>
      <c r="V1222" s="277">
        <v>0.12</v>
      </c>
      <c r="W1222" s="277">
        <v>0.0</v>
      </c>
      <c r="X1222" s="271">
        <v>3560.0</v>
      </c>
      <c r="Y1222" s="271">
        <v>485.0</v>
      </c>
      <c r="Z1222" s="50" t="b">
        <v>1</v>
      </c>
      <c r="AA1222" s="50" t="s">
        <v>138</v>
      </c>
      <c r="AB1222" s="50" t="s">
        <v>138</v>
      </c>
    </row>
    <row r="1223">
      <c r="A1223" s="101" t="s">
        <v>177</v>
      </c>
      <c r="B1223" s="101" t="s">
        <v>177</v>
      </c>
      <c r="C1223" s="278">
        <v>44621.0</v>
      </c>
      <c r="D1223" s="278">
        <v>44651.0</v>
      </c>
      <c r="E1223" s="280" t="s">
        <v>268</v>
      </c>
      <c r="F1223" s="138" t="s">
        <v>8</v>
      </c>
      <c r="G1223" s="280" t="s">
        <v>5</v>
      </c>
      <c r="H1223" s="273" t="s">
        <v>75</v>
      </c>
      <c r="I1223" s="274">
        <v>50.0</v>
      </c>
      <c r="J1223" s="271">
        <v>111.0</v>
      </c>
      <c r="K1223" s="271">
        <f t="shared" si="1"/>
        <v>5550</v>
      </c>
      <c r="L1223" s="271">
        <v>-1515.0</v>
      </c>
      <c r="M1223" s="271">
        <v>-1200.0</v>
      </c>
      <c r="N1223" s="275">
        <v>220.0</v>
      </c>
      <c r="O1223" s="60"/>
      <c r="P1223" s="50">
        <v>220.0</v>
      </c>
      <c r="Q1223" s="271">
        <v>-592.0</v>
      </c>
      <c r="R1223" s="276">
        <v>0.001136</v>
      </c>
      <c r="S1223" s="271">
        <v>-586.0</v>
      </c>
      <c r="T1223" s="271">
        <v>-366.0</v>
      </c>
      <c r="U1223" s="62">
        <v>1.0</v>
      </c>
      <c r="V1223" s="277">
        <v>0.12</v>
      </c>
      <c r="W1223" s="277">
        <v>0.0</v>
      </c>
      <c r="X1223" s="271">
        <v>-322.0</v>
      </c>
      <c r="Y1223" s="271">
        <v>-44.0</v>
      </c>
      <c r="Z1223" s="50" t="b">
        <v>1</v>
      </c>
      <c r="AA1223" s="50" t="s">
        <v>138</v>
      </c>
      <c r="AB1223" s="50" t="s">
        <v>138</v>
      </c>
    </row>
    <row r="1224">
      <c r="A1224" s="280" t="s">
        <v>459</v>
      </c>
      <c r="B1224" s="280" t="s">
        <v>145</v>
      </c>
      <c r="C1224" s="288">
        <v>44621.0</v>
      </c>
      <c r="D1224" s="288">
        <v>44651.0</v>
      </c>
      <c r="E1224" s="280" t="s">
        <v>331</v>
      </c>
      <c r="F1224" s="101" t="s">
        <v>8</v>
      </c>
      <c r="G1224" s="280" t="s">
        <v>9</v>
      </c>
      <c r="H1224" s="290" t="s">
        <v>89</v>
      </c>
      <c r="I1224" s="281">
        <v>100.0</v>
      </c>
      <c r="J1224" s="280">
        <v>910.0</v>
      </c>
      <c r="K1224" s="271">
        <f t="shared" si="1"/>
        <v>91000</v>
      </c>
      <c r="L1224" s="280">
        <v>37989.0</v>
      </c>
      <c r="M1224" s="280">
        <v>-3200.0</v>
      </c>
      <c r="N1224" s="282">
        <v>3040.0</v>
      </c>
      <c r="O1224" s="60"/>
      <c r="P1224" s="109">
        <v>3040.0</v>
      </c>
      <c r="Q1224" s="280">
        <v>-1169.0</v>
      </c>
      <c r="R1224" s="276">
        <v>0.001359</v>
      </c>
      <c r="S1224" s="280">
        <v>-1045.0</v>
      </c>
      <c r="T1224" s="280">
        <v>1995.0</v>
      </c>
      <c r="U1224" s="62">
        <v>1.0</v>
      </c>
      <c r="V1224" s="277">
        <v>0.1</v>
      </c>
      <c r="W1224" s="277">
        <v>0.1</v>
      </c>
      <c r="X1224" s="280">
        <v>1596.0</v>
      </c>
      <c r="Y1224" s="280">
        <v>399.0</v>
      </c>
      <c r="Z1224" s="50" t="b">
        <v>1</v>
      </c>
      <c r="AA1224" s="50" t="s">
        <v>140</v>
      </c>
      <c r="AB1224" s="50" t="s">
        <v>140</v>
      </c>
    </row>
    <row r="1225">
      <c r="A1225" s="280" t="s">
        <v>459</v>
      </c>
      <c r="B1225" s="280" t="s">
        <v>145</v>
      </c>
      <c r="C1225" s="288">
        <v>44621.0</v>
      </c>
      <c r="D1225" s="288">
        <v>44651.0</v>
      </c>
      <c r="E1225" s="280" t="s">
        <v>331</v>
      </c>
      <c r="F1225" s="101" t="s">
        <v>8</v>
      </c>
      <c r="G1225" s="280" t="s">
        <v>5</v>
      </c>
      <c r="H1225" s="273" t="s">
        <v>74</v>
      </c>
      <c r="I1225" s="274">
        <v>50.0</v>
      </c>
      <c r="J1225" s="271">
        <v>18.0</v>
      </c>
      <c r="K1225" s="271">
        <f t="shared" si="1"/>
        <v>900</v>
      </c>
      <c r="L1225" s="271">
        <v>1173.0</v>
      </c>
      <c r="M1225" s="271">
        <v>200.0</v>
      </c>
      <c r="N1225" s="275">
        <v>10.0</v>
      </c>
      <c r="O1225" s="60"/>
      <c r="P1225" s="50">
        <v>10.0</v>
      </c>
      <c r="Q1225" s="271">
        <v>51.0</v>
      </c>
      <c r="R1225" s="276">
        <v>9.39E-4</v>
      </c>
      <c r="S1225" s="271">
        <v>52.0</v>
      </c>
      <c r="T1225" s="271">
        <v>62.0</v>
      </c>
      <c r="U1225" s="62">
        <v>0.915</v>
      </c>
      <c r="V1225" s="277">
        <v>0.1</v>
      </c>
      <c r="W1225" s="277">
        <v>0.1</v>
      </c>
      <c r="X1225" s="271">
        <v>45.0</v>
      </c>
      <c r="Y1225" s="271">
        <v>11.0</v>
      </c>
      <c r="Z1225" s="50" t="b">
        <v>1</v>
      </c>
      <c r="AA1225" s="50" t="s">
        <v>140</v>
      </c>
      <c r="AB1225" s="50" t="s">
        <v>138</v>
      </c>
    </row>
    <row r="1226">
      <c r="A1226" s="280" t="s">
        <v>459</v>
      </c>
      <c r="B1226" s="280" t="s">
        <v>145</v>
      </c>
      <c r="C1226" s="288">
        <v>44621.0</v>
      </c>
      <c r="D1226" s="288">
        <v>44651.0</v>
      </c>
      <c r="E1226" s="280" t="s">
        <v>331</v>
      </c>
      <c r="F1226" s="101" t="s">
        <v>8</v>
      </c>
      <c r="G1226" s="280" t="s">
        <v>5</v>
      </c>
      <c r="H1226" s="273" t="s">
        <v>85</v>
      </c>
      <c r="I1226" s="274">
        <v>100.0</v>
      </c>
      <c r="J1226" s="271">
        <v>81.0</v>
      </c>
      <c r="K1226" s="271">
        <f t="shared" si="1"/>
        <v>8100</v>
      </c>
      <c r="L1226" s="271">
        <v>3692.0</v>
      </c>
      <c r="M1226" s="271">
        <v>-600.0</v>
      </c>
      <c r="N1226" s="275">
        <v>75.0</v>
      </c>
      <c r="O1226" s="60"/>
      <c r="P1226" s="50">
        <v>75.0</v>
      </c>
      <c r="Q1226" s="271">
        <v>255.0</v>
      </c>
      <c r="R1226" s="276">
        <v>0.001408</v>
      </c>
      <c r="S1226" s="271">
        <v>266.0</v>
      </c>
      <c r="T1226" s="271">
        <v>341.0</v>
      </c>
      <c r="U1226" s="62">
        <v>0.915</v>
      </c>
      <c r="V1226" s="277">
        <v>0.1</v>
      </c>
      <c r="W1226" s="277">
        <v>0.1</v>
      </c>
      <c r="X1226" s="271">
        <v>250.0</v>
      </c>
      <c r="Y1226" s="271">
        <v>62.0</v>
      </c>
      <c r="Z1226" s="50" t="b">
        <v>1</v>
      </c>
      <c r="AA1226" s="50" t="s">
        <v>140</v>
      </c>
      <c r="AB1226" s="50" t="s">
        <v>138</v>
      </c>
    </row>
    <row r="1227">
      <c r="A1227" s="101" t="s">
        <v>181</v>
      </c>
      <c r="B1227" s="101" t="s">
        <v>181</v>
      </c>
      <c r="C1227" s="278">
        <v>44621.0</v>
      </c>
      <c r="D1227" s="278">
        <v>44651.0</v>
      </c>
      <c r="E1227" s="271" t="s">
        <v>268</v>
      </c>
      <c r="F1227" s="138" t="s">
        <v>12</v>
      </c>
      <c r="G1227" s="280" t="s">
        <v>5</v>
      </c>
      <c r="H1227" s="114" t="s">
        <v>85</v>
      </c>
      <c r="I1227" s="274">
        <v>100.0</v>
      </c>
      <c r="J1227" s="271">
        <v>49.0</v>
      </c>
      <c r="K1227" s="271">
        <f t="shared" si="1"/>
        <v>4900</v>
      </c>
      <c r="L1227" s="271"/>
      <c r="M1227" s="271">
        <v>800.0</v>
      </c>
      <c r="N1227" s="275">
        <v>63.0</v>
      </c>
      <c r="O1227" s="60"/>
      <c r="P1227" s="50">
        <v>63.0</v>
      </c>
      <c r="Q1227" s="271"/>
      <c r="R1227" s="276">
        <v>0.0</v>
      </c>
      <c r="S1227" s="271"/>
      <c r="T1227" s="271">
        <v>863.0</v>
      </c>
      <c r="U1227" s="62">
        <v>1.0</v>
      </c>
      <c r="V1227" s="277">
        <v>0.15</v>
      </c>
      <c r="W1227" s="277">
        <v>0.0</v>
      </c>
      <c r="X1227" s="271">
        <v>734.0</v>
      </c>
      <c r="Y1227" s="271">
        <v>129.0</v>
      </c>
      <c r="Z1227" s="50" t="b">
        <v>1</v>
      </c>
      <c r="AA1227" s="50" t="s">
        <v>138</v>
      </c>
      <c r="AB1227" s="50" t="s">
        <v>138</v>
      </c>
    </row>
    <row r="1228">
      <c r="A1228" s="101" t="s">
        <v>181</v>
      </c>
      <c r="B1228" s="101" t="s">
        <v>181</v>
      </c>
      <c r="C1228" s="278">
        <v>44621.0</v>
      </c>
      <c r="D1228" s="278">
        <v>44651.0</v>
      </c>
      <c r="E1228" s="271" t="s">
        <v>268</v>
      </c>
      <c r="F1228" s="101" t="s">
        <v>8</v>
      </c>
      <c r="G1228" s="280" t="s">
        <v>5</v>
      </c>
      <c r="H1228" s="273" t="s">
        <v>96</v>
      </c>
      <c r="I1228" s="274">
        <v>250.0</v>
      </c>
      <c r="J1228" s="271">
        <v>296.0</v>
      </c>
      <c r="K1228" s="271">
        <f t="shared" si="1"/>
        <v>74000</v>
      </c>
      <c r="L1228" s="271">
        <v>-942.0</v>
      </c>
      <c r="M1228" s="271">
        <v>-2750.0</v>
      </c>
      <c r="N1228" s="275">
        <v>949.0</v>
      </c>
      <c r="O1228" s="60"/>
      <c r="P1228" s="50">
        <v>949.0</v>
      </c>
      <c r="Q1228" s="271">
        <v>-4261.0</v>
      </c>
      <c r="R1228" s="276">
        <v>0.001134</v>
      </c>
      <c r="S1228" s="271">
        <v>-4177.0</v>
      </c>
      <c r="T1228" s="271">
        <v>-3228.0</v>
      </c>
      <c r="U1228" s="62">
        <v>1.0</v>
      </c>
      <c r="V1228" s="277">
        <v>0.15</v>
      </c>
      <c r="W1228" s="277">
        <v>0.0</v>
      </c>
      <c r="X1228" s="271">
        <v>-2744.0</v>
      </c>
      <c r="Y1228" s="271">
        <v>-484.0</v>
      </c>
      <c r="Z1228" s="50" t="b">
        <v>1</v>
      </c>
      <c r="AA1228" s="50" t="s">
        <v>138</v>
      </c>
      <c r="AB1228" s="50" t="s">
        <v>138</v>
      </c>
    </row>
    <row r="1229">
      <c r="A1229" s="101" t="s">
        <v>181</v>
      </c>
      <c r="B1229" s="101" t="s">
        <v>181</v>
      </c>
      <c r="C1229" s="278">
        <v>44621.0</v>
      </c>
      <c r="D1229" s="278">
        <v>44651.0</v>
      </c>
      <c r="E1229" s="271" t="s">
        <v>268</v>
      </c>
      <c r="F1229" s="101" t="s">
        <v>8</v>
      </c>
      <c r="G1229" s="280" t="s">
        <v>5</v>
      </c>
      <c r="H1229" s="273" t="s">
        <v>101</v>
      </c>
      <c r="I1229" s="274">
        <v>500.0</v>
      </c>
      <c r="J1229" s="271">
        <v>6.0</v>
      </c>
      <c r="K1229" s="271">
        <f t="shared" si="1"/>
        <v>3000</v>
      </c>
      <c r="L1229" s="271">
        <v>596.0</v>
      </c>
      <c r="M1229" s="271">
        <v>0.0</v>
      </c>
      <c r="N1229" s="275">
        <v>38.0</v>
      </c>
      <c r="O1229" s="60"/>
      <c r="P1229" s="50">
        <v>38.0</v>
      </c>
      <c r="Q1229" s="271">
        <v>408.0</v>
      </c>
      <c r="R1229" s="276">
        <v>0.001317</v>
      </c>
      <c r="S1229" s="271">
        <v>412.0</v>
      </c>
      <c r="T1229" s="271">
        <v>450.0</v>
      </c>
      <c r="U1229" s="62">
        <v>1.0</v>
      </c>
      <c r="V1229" s="277">
        <v>0.15</v>
      </c>
      <c r="W1229" s="277">
        <v>0.0</v>
      </c>
      <c r="X1229" s="271">
        <v>383.0</v>
      </c>
      <c r="Y1229" s="271">
        <v>68.0</v>
      </c>
      <c r="Z1229" s="50" t="b">
        <v>1</v>
      </c>
      <c r="AA1229" s="50" t="s">
        <v>138</v>
      </c>
      <c r="AB1229" s="50" t="s">
        <v>138</v>
      </c>
    </row>
    <row r="1230">
      <c r="A1230" s="101" t="s">
        <v>181</v>
      </c>
      <c r="B1230" s="101" t="s">
        <v>181</v>
      </c>
      <c r="C1230" s="278">
        <v>44621.0</v>
      </c>
      <c r="D1230" s="278">
        <v>44651.0</v>
      </c>
      <c r="E1230" s="271" t="s">
        <v>268</v>
      </c>
      <c r="F1230" s="101" t="s">
        <v>8</v>
      </c>
      <c r="G1230" s="271" t="s">
        <v>13</v>
      </c>
      <c r="H1230" s="273" t="s">
        <v>74</v>
      </c>
      <c r="I1230" s="274">
        <v>50.0</v>
      </c>
      <c r="J1230" s="271">
        <v>833.0</v>
      </c>
      <c r="K1230" s="271">
        <f t="shared" si="1"/>
        <v>41650</v>
      </c>
      <c r="L1230" s="271">
        <v>14675.0</v>
      </c>
      <c r="M1230" s="271">
        <v>-2100.0</v>
      </c>
      <c r="N1230" s="275">
        <v>2243.77</v>
      </c>
      <c r="O1230" s="60"/>
      <c r="P1230" s="109">
        <v>2244.0</v>
      </c>
      <c r="Q1230" s="271">
        <v>-943.0</v>
      </c>
      <c r="R1230" s="276">
        <v>0.001812</v>
      </c>
      <c r="S1230" s="271">
        <v>-868.0</v>
      </c>
      <c r="T1230" s="271">
        <v>1376.0</v>
      </c>
      <c r="U1230" s="62">
        <v>1.0</v>
      </c>
      <c r="V1230" s="277">
        <v>0.15</v>
      </c>
      <c r="W1230" s="277">
        <v>0.0</v>
      </c>
      <c r="X1230" s="271">
        <v>1169.0</v>
      </c>
      <c r="Y1230" s="271">
        <v>206.0</v>
      </c>
      <c r="Z1230" s="50" t="b">
        <v>1</v>
      </c>
      <c r="AA1230" s="50" t="s">
        <v>138</v>
      </c>
      <c r="AB1230" s="50" t="s">
        <v>138</v>
      </c>
    </row>
    <row r="1231">
      <c r="A1231" s="101" t="s">
        <v>181</v>
      </c>
      <c r="B1231" s="101" t="s">
        <v>181</v>
      </c>
      <c r="C1231" s="278">
        <v>44621.0</v>
      </c>
      <c r="D1231" s="278">
        <v>44651.0</v>
      </c>
      <c r="E1231" s="271" t="s">
        <v>268</v>
      </c>
      <c r="F1231" s="101" t="s">
        <v>8</v>
      </c>
      <c r="G1231" s="271" t="s">
        <v>13</v>
      </c>
      <c r="H1231" s="114" t="s">
        <v>85</v>
      </c>
      <c r="I1231" s="274">
        <v>100.0</v>
      </c>
      <c r="J1231" s="271">
        <v>5933.0</v>
      </c>
      <c r="K1231" s="271">
        <f t="shared" si="1"/>
        <v>593300</v>
      </c>
      <c r="L1231" s="271">
        <v>64837.0</v>
      </c>
      <c r="M1231" s="271">
        <v>-20500.0</v>
      </c>
      <c r="N1231" s="275">
        <v>31962.23</v>
      </c>
      <c r="O1231" s="60"/>
      <c r="P1231" s="109">
        <v>31962.0</v>
      </c>
      <c r="Q1231" s="271">
        <v>-24856.0</v>
      </c>
      <c r="R1231" s="276">
        <v>-2.35E-4</v>
      </c>
      <c r="S1231" s="271">
        <v>-24996.0</v>
      </c>
      <c r="T1231" s="271">
        <v>6966.0</v>
      </c>
      <c r="U1231" s="62">
        <v>1.0</v>
      </c>
      <c r="V1231" s="277">
        <v>0.15</v>
      </c>
      <c r="W1231" s="277">
        <v>0.0</v>
      </c>
      <c r="X1231" s="271">
        <v>5921.0</v>
      </c>
      <c r="Y1231" s="271">
        <v>1045.0</v>
      </c>
      <c r="Z1231" s="50" t="b">
        <v>1</v>
      </c>
      <c r="AA1231" s="50" t="s">
        <v>138</v>
      </c>
      <c r="AB1231" s="50" t="s">
        <v>138</v>
      </c>
    </row>
    <row r="1232">
      <c r="A1232" s="280" t="s">
        <v>693</v>
      </c>
      <c r="B1232" s="280" t="s">
        <v>159</v>
      </c>
      <c r="C1232" s="288">
        <v>44621.0</v>
      </c>
      <c r="D1232" s="288">
        <v>44651.0</v>
      </c>
      <c r="E1232" s="280" t="s">
        <v>268</v>
      </c>
      <c r="F1232" s="101" t="s">
        <v>8</v>
      </c>
      <c r="G1232" s="280" t="s">
        <v>9</v>
      </c>
      <c r="H1232" s="273" t="s">
        <v>53</v>
      </c>
      <c r="I1232" s="281">
        <v>10.0</v>
      </c>
      <c r="J1232" s="280">
        <v>588.0</v>
      </c>
      <c r="K1232" s="271">
        <f t="shared" si="1"/>
        <v>5880</v>
      </c>
      <c r="L1232" s="280">
        <v>50266.0</v>
      </c>
      <c r="M1232" s="280">
        <v>40.0</v>
      </c>
      <c r="N1232" s="282">
        <v>317.0</v>
      </c>
      <c r="O1232" s="60"/>
      <c r="P1232" s="50">
        <v>317.0</v>
      </c>
      <c r="Q1232" s="280">
        <v>379.0</v>
      </c>
      <c r="R1232" s="276">
        <v>0.001258</v>
      </c>
      <c r="S1232" s="280">
        <v>386.0</v>
      </c>
      <c r="T1232" s="280">
        <v>703.0</v>
      </c>
      <c r="U1232" s="62">
        <v>1.0</v>
      </c>
      <c r="V1232" s="277">
        <v>0.17</v>
      </c>
      <c r="W1232" s="277">
        <v>0.0</v>
      </c>
      <c r="X1232" s="280">
        <v>583.0</v>
      </c>
      <c r="Y1232" s="280">
        <v>120.0</v>
      </c>
      <c r="Z1232" s="50" t="b">
        <v>1</v>
      </c>
      <c r="AA1232" s="50" t="s">
        <v>140</v>
      </c>
      <c r="AB1232" s="50" t="s">
        <v>140</v>
      </c>
    </row>
    <row r="1233">
      <c r="A1233" s="280" t="s">
        <v>693</v>
      </c>
      <c r="B1233" s="280" t="s">
        <v>159</v>
      </c>
      <c r="C1233" s="288">
        <v>44621.0</v>
      </c>
      <c r="D1233" s="288">
        <v>44651.0</v>
      </c>
      <c r="E1233" s="280" t="s">
        <v>268</v>
      </c>
      <c r="F1233" s="101" t="s">
        <v>8</v>
      </c>
      <c r="G1233" s="280" t="s">
        <v>9</v>
      </c>
      <c r="H1233" s="273" t="s">
        <v>66</v>
      </c>
      <c r="I1233" s="281">
        <v>25.0</v>
      </c>
      <c r="J1233" s="280">
        <v>537.0</v>
      </c>
      <c r="K1233" s="271">
        <f t="shared" si="1"/>
        <v>13425</v>
      </c>
      <c r="L1233" s="280">
        <v>37822.0</v>
      </c>
      <c r="M1233" s="280">
        <v>-925.0</v>
      </c>
      <c r="N1233" s="282">
        <v>8.0</v>
      </c>
      <c r="O1233" s="60"/>
      <c r="P1233" s="50">
        <v>8.0</v>
      </c>
      <c r="Q1233" s="280">
        <v>499.0</v>
      </c>
      <c r="R1233" s="276">
        <v>0.001236</v>
      </c>
      <c r="S1233" s="280">
        <v>516.0</v>
      </c>
      <c r="T1233" s="280">
        <v>524.0</v>
      </c>
      <c r="U1233" s="62">
        <v>1.0</v>
      </c>
      <c r="V1233" s="277">
        <v>0.17</v>
      </c>
      <c r="W1233" s="277">
        <v>0.0</v>
      </c>
      <c r="X1233" s="280">
        <v>435.0</v>
      </c>
      <c r="Y1233" s="280">
        <v>89.0</v>
      </c>
      <c r="Z1233" s="50" t="b">
        <v>1</v>
      </c>
      <c r="AA1233" s="50" t="s">
        <v>140</v>
      </c>
      <c r="AB1233" s="50" t="s">
        <v>140</v>
      </c>
    </row>
    <row r="1234">
      <c r="A1234" s="101" t="s">
        <v>197</v>
      </c>
      <c r="B1234" s="101" t="s">
        <v>197</v>
      </c>
      <c r="C1234" s="278">
        <v>44621.0</v>
      </c>
      <c r="D1234" s="278">
        <v>44651.0</v>
      </c>
      <c r="E1234" s="280" t="s">
        <v>268</v>
      </c>
      <c r="F1234" s="138" t="s">
        <v>8</v>
      </c>
      <c r="G1234" s="271" t="s">
        <v>5</v>
      </c>
      <c r="H1234" s="273" t="s">
        <v>62</v>
      </c>
      <c r="I1234" s="274">
        <v>25.0</v>
      </c>
      <c r="J1234" s="271">
        <v>124.0</v>
      </c>
      <c r="K1234" s="271">
        <f t="shared" si="1"/>
        <v>3100</v>
      </c>
      <c r="L1234" s="271">
        <v>5389.0</v>
      </c>
      <c r="M1234" s="271">
        <v>375.0</v>
      </c>
      <c r="N1234" s="275">
        <v>126.0</v>
      </c>
      <c r="O1234" s="60"/>
      <c r="P1234" s="50">
        <v>126.0</v>
      </c>
      <c r="Q1234" s="271">
        <v>51.0</v>
      </c>
      <c r="R1234" s="276">
        <v>0.001155</v>
      </c>
      <c r="S1234" s="271">
        <v>55.0</v>
      </c>
      <c r="T1234" s="271">
        <v>181.0</v>
      </c>
      <c r="U1234" s="62">
        <v>1.0</v>
      </c>
      <c r="V1234" s="277">
        <v>0.17</v>
      </c>
      <c r="W1234" s="277">
        <v>0.0</v>
      </c>
      <c r="X1234" s="271">
        <v>150.0</v>
      </c>
      <c r="Y1234" s="271">
        <v>31.0</v>
      </c>
      <c r="Z1234" s="50" t="b">
        <v>1</v>
      </c>
      <c r="AA1234" s="50" t="s">
        <v>138</v>
      </c>
      <c r="AB1234" s="50" t="s">
        <v>138</v>
      </c>
    </row>
    <row r="1235">
      <c r="A1235" s="101" t="s">
        <v>197</v>
      </c>
      <c r="B1235" s="101" t="s">
        <v>197</v>
      </c>
      <c r="C1235" s="278">
        <v>44621.0</v>
      </c>
      <c r="D1235" s="278">
        <v>44651.0</v>
      </c>
      <c r="E1235" s="280" t="s">
        <v>268</v>
      </c>
      <c r="F1235" s="138" t="s">
        <v>8</v>
      </c>
      <c r="G1235" s="271" t="s">
        <v>5</v>
      </c>
      <c r="H1235" s="273" t="s">
        <v>74</v>
      </c>
      <c r="I1235" s="274">
        <v>50.0</v>
      </c>
      <c r="J1235" s="271">
        <v>1164.0</v>
      </c>
      <c r="K1235" s="271">
        <f t="shared" si="1"/>
        <v>58200</v>
      </c>
      <c r="L1235" s="271">
        <v>40928.0</v>
      </c>
      <c r="M1235" s="271">
        <v>-700.0</v>
      </c>
      <c r="N1235" s="275">
        <v>2364.0</v>
      </c>
      <c r="O1235" s="60"/>
      <c r="P1235" s="109">
        <v>2364.0</v>
      </c>
      <c r="Q1235" s="271">
        <v>70.0</v>
      </c>
      <c r="R1235" s="276">
        <v>0.001206</v>
      </c>
      <c r="S1235" s="271">
        <v>140.0</v>
      </c>
      <c r="T1235" s="271">
        <v>2504.0</v>
      </c>
      <c r="U1235" s="62">
        <v>1.0</v>
      </c>
      <c r="V1235" s="277">
        <v>0.17</v>
      </c>
      <c r="W1235" s="277">
        <v>0.0</v>
      </c>
      <c r="X1235" s="271">
        <v>2078.0</v>
      </c>
      <c r="Y1235" s="271">
        <v>426.0</v>
      </c>
      <c r="Z1235" s="50" t="b">
        <v>1</v>
      </c>
      <c r="AA1235" s="50" t="s">
        <v>138</v>
      </c>
      <c r="AB1235" s="50" t="s">
        <v>138</v>
      </c>
    </row>
    <row r="1236">
      <c r="A1236" s="101" t="s">
        <v>197</v>
      </c>
      <c r="B1236" s="101" t="s">
        <v>197</v>
      </c>
      <c r="C1236" s="278">
        <v>44621.0</v>
      </c>
      <c r="D1236" s="278">
        <v>44651.0</v>
      </c>
      <c r="E1236" s="280" t="s">
        <v>268</v>
      </c>
      <c r="F1236" s="138" t="s">
        <v>8</v>
      </c>
      <c r="G1236" s="271" t="s">
        <v>5</v>
      </c>
      <c r="H1236" s="273" t="s">
        <v>75</v>
      </c>
      <c r="I1236" s="274">
        <v>50.0</v>
      </c>
      <c r="J1236" s="271">
        <v>276.0</v>
      </c>
      <c r="K1236" s="271">
        <f t="shared" si="1"/>
        <v>13800</v>
      </c>
      <c r="L1236" s="271">
        <v>-1304.0</v>
      </c>
      <c r="M1236" s="271">
        <v>-1350.0</v>
      </c>
      <c r="N1236" s="275">
        <v>560.0</v>
      </c>
      <c r="O1236" s="60"/>
      <c r="P1236" s="50">
        <v>560.0</v>
      </c>
      <c r="Q1236" s="271">
        <v>-1085.0</v>
      </c>
      <c r="R1236" s="276">
        <v>0.001138</v>
      </c>
      <c r="S1236" s="271">
        <v>-1069.0</v>
      </c>
      <c r="T1236" s="271">
        <v>-509.0</v>
      </c>
      <c r="U1236" s="62">
        <v>1.0</v>
      </c>
      <c r="V1236" s="277">
        <v>0.17</v>
      </c>
      <c r="W1236" s="277">
        <v>0.0</v>
      </c>
      <c r="X1236" s="271">
        <v>-422.0</v>
      </c>
      <c r="Y1236" s="271">
        <v>-87.0</v>
      </c>
      <c r="Z1236" s="50" t="b">
        <v>1</v>
      </c>
      <c r="AA1236" s="50" t="s">
        <v>138</v>
      </c>
      <c r="AB1236" s="50" t="s">
        <v>138</v>
      </c>
    </row>
    <row r="1237">
      <c r="A1237" s="280" t="s">
        <v>176</v>
      </c>
      <c r="B1237" s="280" t="s">
        <v>176</v>
      </c>
      <c r="C1237" s="288">
        <v>44621.0</v>
      </c>
      <c r="D1237" s="288">
        <v>44651.0</v>
      </c>
      <c r="E1237" s="271" t="s">
        <v>268</v>
      </c>
      <c r="F1237" s="101" t="s">
        <v>8</v>
      </c>
      <c r="G1237" s="280" t="s">
        <v>5</v>
      </c>
      <c r="H1237" s="273" t="s">
        <v>62</v>
      </c>
      <c r="I1237" s="274">
        <v>25.0</v>
      </c>
      <c r="J1237" s="271">
        <v>77.0</v>
      </c>
      <c r="K1237" s="271">
        <f t="shared" si="1"/>
        <v>1925</v>
      </c>
      <c r="L1237" s="271">
        <v>6568.0</v>
      </c>
      <c r="M1237" s="271">
        <v>200.0</v>
      </c>
      <c r="N1237" s="275">
        <v>135.0</v>
      </c>
      <c r="O1237" s="60"/>
      <c r="P1237" s="50">
        <v>135.0</v>
      </c>
      <c r="Q1237" s="271">
        <v>181.0</v>
      </c>
      <c r="R1237" s="276">
        <v>0.00135</v>
      </c>
      <c r="S1237" s="271">
        <v>184.0</v>
      </c>
      <c r="T1237" s="271">
        <v>319.0</v>
      </c>
      <c r="U1237" s="62">
        <v>1.0</v>
      </c>
      <c r="V1237" s="277">
        <v>0.17</v>
      </c>
      <c r="W1237" s="277">
        <v>0.0</v>
      </c>
      <c r="X1237" s="271">
        <v>265.0</v>
      </c>
      <c r="Y1237" s="271">
        <v>54.0</v>
      </c>
      <c r="Z1237" s="50" t="b">
        <v>1</v>
      </c>
      <c r="AA1237" s="50" t="s">
        <v>138</v>
      </c>
      <c r="AB1237" s="50" t="s">
        <v>138</v>
      </c>
    </row>
    <row r="1238">
      <c r="A1238" s="271" t="s">
        <v>154</v>
      </c>
      <c r="B1238" s="271" t="s">
        <v>154</v>
      </c>
      <c r="C1238" s="278">
        <v>44621.0</v>
      </c>
      <c r="D1238" s="278">
        <v>44651.0</v>
      </c>
      <c r="E1238" s="271" t="s">
        <v>268</v>
      </c>
      <c r="F1238" s="101" t="s">
        <v>8</v>
      </c>
      <c r="G1238" s="271" t="s">
        <v>5</v>
      </c>
      <c r="H1238" s="273" t="s">
        <v>63</v>
      </c>
      <c r="I1238" s="274">
        <v>25.0</v>
      </c>
      <c r="J1238" s="271">
        <v>518.0</v>
      </c>
      <c r="K1238" s="271">
        <f t="shared" si="1"/>
        <v>12950</v>
      </c>
      <c r="L1238" s="271">
        <v>12017.0</v>
      </c>
      <c r="M1238" s="271">
        <v>-1275.0</v>
      </c>
      <c r="N1238" s="275">
        <v>260.0</v>
      </c>
      <c r="O1238" s="60"/>
      <c r="P1238" s="50">
        <v>260.0</v>
      </c>
      <c r="Q1238" s="271">
        <v>100.0</v>
      </c>
      <c r="R1238" s="276">
        <v>0.001184</v>
      </c>
      <c r="S1238" s="271">
        <v>115.0</v>
      </c>
      <c r="T1238" s="271">
        <v>375.0</v>
      </c>
      <c r="U1238" s="62">
        <v>1.0</v>
      </c>
      <c r="V1238" s="277">
        <v>0.35</v>
      </c>
      <c r="W1238" s="277">
        <v>0.0</v>
      </c>
      <c r="X1238" s="271">
        <v>244.0</v>
      </c>
      <c r="Y1238" s="271">
        <v>131.0</v>
      </c>
      <c r="Z1238" s="50" t="b">
        <v>1</v>
      </c>
      <c r="AA1238" s="50" t="s">
        <v>138</v>
      </c>
      <c r="AB1238" s="50" t="s">
        <v>138</v>
      </c>
    </row>
    <row r="1239">
      <c r="A1239" s="101" t="s">
        <v>267</v>
      </c>
      <c r="B1239" s="101" t="s">
        <v>267</v>
      </c>
      <c r="C1239" s="278">
        <v>44641.0</v>
      </c>
      <c r="D1239" s="278">
        <v>44671.0</v>
      </c>
      <c r="E1239" s="271" t="s">
        <v>268</v>
      </c>
      <c r="F1239" s="138" t="s">
        <v>4</v>
      </c>
      <c r="G1239" s="101" t="s">
        <v>5</v>
      </c>
      <c r="H1239" s="273" t="s">
        <v>35</v>
      </c>
      <c r="I1239" s="274">
        <v>5.0</v>
      </c>
      <c r="J1239" s="271">
        <v>1.0</v>
      </c>
      <c r="K1239" s="271">
        <f t="shared" si="1"/>
        <v>5</v>
      </c>
      <c r="L1239" s="271">
        <v>-64.0</v>
      </c>
      <c r="M1239" s="271">
        <v>10.0</v>
      </c>
      <c r="N1239" s="275">
        <v>0.0</v>
      </c>
      <c r="O1239" s="60"/>
      <c r="P1239" s="50">
        <v>0.0</v>
      </c>
      <c r="Q1239" s="271">
        <v>-1.0</v>
      </c>
      <c r="R1239" s="276">
        <v>-0.0015</v>
      </c>
      <c r="S1239" s="271">
        <v>-1.0</v>
      </c>
      <c r="T1239" s="271">
        <v>-1.0</v>
      </c>
      <c r="U1239" s="62">
        <v>1.0</v>
      </c>
      <c r="V1239" s="277">
        <v>0.15</v>
      </c>
      <c r="W1239" s="277">
        <v>0.0</v>
      </c>
      <c r="X1239" s="271">
        <v>-1.0</v>
      </c>
      <c r="Y1239" s="271">
        <v>0.0</v>
      </c>
      <c r="Z1239" s="50" t="b">
        <v>1</v>
      </c>
      <c r="AA1239" s="50" t="s">
        <v>138</v>
      </c>
      <c r="AB1239" s="50" t="s">
        <v>138</v>
      </c>
    </row>
    <row r="1240">
      <c r="A1240" s="101" t="s">
        <v>267</v>
      </c>
      <c r="B1240" s="101" t="s">
        <v>267</v>
      </c>
      <c r="C1240" s="278">
        <v>44641.0</v>
      </c>
      <c r="D1240" s="278">
        <v>44671.0</v>
      </c>
      <c r="E1240" s="271" t="s">
        <v>268</v>
      </c>
      <c r="F1240" s="138" t="s">
        <v>4</v>
      </c>
      <c r="G1240" s="101" t="s">
        <v>5</v>
      </c>
      <c r="H1240" s="273" t="s">
        <v>45</v>
      </c>
      <c r="I1240" s="274">
        <v>10.0</v>
      </c>
      <c r="J1240" s="271">
        <v>126.0</v>
      </c>
      <c r="K1240" s="271">
        <f t="shared" si="1"/>
        <v>1260</v>
      </c>
      <c r="L1240" s="271">
        <v>6834.0</v>
      </c>
      <c r="M1240" s="271">
        <v>-80.0</v>
      </c>
      <c r="N1240" s="275">
        <v>44.0</v>
      </c>
      <c r="O1240" s="60"/>
      <c r="P1240" s="50">
        <v>44.0</v>
      </c>
      <c r="Q1240" s="271">
        <v>32.0</v>
      </c>
      <c r="R1240" s="276">
        <v>-0.0015</v>
      </c>
      <c r="S1240" s="271">
        <v>30.0</v>
      </c>
      <c r="T1240" s="271">
        <v>74.0</v>
      </c>
      <c r="U1240" s="62">
        <v>1.0</v>
      </c>
      <c r="V1240" s="277">
        <v>0.15</v>
      </c>
      <c r="W1240" s="277">
        <v>0.0</v>
      </c>
      <c r="X1240" s="271">
        <v>63.0</v>
      </c>
      <c r="Y1240" s="271">
        <v>11.0</v>
      </c>
      <c r="Z1240" s="50" t="b">
        <v>1</v>
      </c>
      <c r="AA1240" s="50" t="s">
        <v>138</v>
      </c>
      <c r="AB1240" s="50" t="s">
        <v>138</v>
      </c>
    </row>
    <row r="1241">
      <c r="A1241" s="101" t="s">
        <v>267</v>
      </c>
      <c r="B1241" s="101" t="s">
        <v>267</v>
      </c>
      <c r="C1241" s="278">
        <v>44641.0</v>
      </c>
      <c r="D1241" s="278">
        <v>44671.0</v>
      </c>
      <c r="E1241" s="271" t="s">
        <v>268</v>
      </c>
      <c r="F1241" s="138" t="s">
        <v>4</v>
      </c>
      <c r="G1241" s="101" t="s">
        <v>5</v>
      </c>
      <c r="H1241" s="273" t="s">
        <v>62</v>
      </c>
      <c r="I1241" s="274">
        <v>25.0</v>
      </c>
      <c r="J1241" s="271">
        <v>307.0</v>
      </c>
      <c r="K1241" s="271">
        <f t="shared" si="1"/>
        <v>7675</v>
      </c>
      <c r="L1241" s="271">
        <v>-3287.0</v>
      </c>
      <c r="M1241" s="271">
        <v>-525.0</v>
      </c>
      <c r="N1241" s="275">
        <v>231.0</v>
      </c>
      <c r="O1241" s="60"/>
      <c r="P1241" s="50">
        <v>231.0</v>
      </c>
      <c r="Q1241" s="271">
        <v>-644.0</v>
      </c>
      <c r="R1241" s="276">
        <v>-0.0015</v>
      </c>
      <c r="S1241" s="271">
        <v>-655.0</v>
      </c>
      <c r="T1241" s="271">
        <v>-424.0</v>
      </c>
      <c r="U1241" s="62">
        <v>1.0</v>
      </c>
      <c r="V1241" s="277">
        <v>0.15</v>
      </c>
      <c r="W1241" s="277">
        <v>0.0</v>
      </c>
      <c r="X1241" s="271">
        <v>-360.0</v>
      </c>
      <c r="Y1241" s="271">
        <v>-64.0</v>
      </c>
      <c r="Z1241" s="50" t="b">
        <v>1</v>
      </c>
      <c r="AA1241" s="50" t="s">
        <v>138</v>
      </c>
      <c r="AB1241" s="50" t="s">
        <v>138</v>
      </c>
    </row>
    <row r="1242">
      <c r="A1242" s="101" t="s">
        <v>148</v>
      </c>
      <c r="B1242" s="101" t="s">
        <v>148</v>
      </c>
      <c r="C1242" s="278">
        <v>44641.0</v>
      </c>
      <c r="D1242" s="278">
        <v>44671.0</v>
      </c>
      <c r="E1242" s="271" t="s">
        <v>331</v>
      </c>
      <c r="F1242" s="138" t="s">
        <v>4</v>
      </c>
      <c r="G1242" s="101" t="s">
        <v>5</v>
      </c>
      <c r="H1242" s="273" t="s">
        <v>85</v>
      </c>
      <c r="I1242" s="274">
        <v>100.0</v>
      </c>
      <c r="J1242" s="271">
        <v>2500.0</v>
      </c>
      <c r="K1242" s="271">
        <f t="shared" si="1"/>
        <v>250000</v>
      </c>
      <c r="L1242" s="271">
        <v>47269.0</v>
      </c>
      <c r="M1242" s="271">
        <v>-7500.0</v>
      </c>
      <c r="N1242" s="275">
        <v>8804.0</v>
      </c>
      <c r="O1242" s="60"/>
      <c r="P1242" s="109">
        <v>8804.0</v>
      </c>
      <c r="Q1242" s="271">
        <v>-4641.0</v>
      </c>
      <c r="R1242" s="276">
        <v>0.00324</v>
      </c>
      <c r="S1242" s="271">
        <v>-3831.0</v>
      </c>
      <c r="T1242" s="271">
        <v>4973.0</v>
      </c>
      <c r="U1242" s="62">
        <v>1.0</v>
      </c>
      <c r="V1242" s="277">
        <v>0.15</v>
      </c>
      <c r="W1242" s="277">
        <v>0.05</v>
      </c>
      <c r="X1242" s="271">
        <v>3978.0</v>
      </c>
      <c r="Y1242" s="271">
        <v>995.0</v>
      </c>
      <c r="Z1242" s="50" t="b">
        <v>1</v>
      </c>
      <c r="AA1242" s="50" t="s">
        <v>138</v>
      </c>
      <c r="AB1242" s="50" t="s">
        <v>138</v>
      </c>
    </row>
    <row r="1243">
      <c r="A1243" s="101" t="s">
        <v>148</v>
      </c>
      <c r="B1243" s="101" t="s">
        <v>148</v>
      </c>
      <c r="C1243" s="278">
        <v>44641.0</v>
      </c>
      <c r="D1243" s="278">
        <v>44671.0</v>
      </c>
      <c r="E1243" s="271" t="s">
        <v>331</v>
      </c>
      <c r="F1243" s="138" t="s">
        <v>12</v>
      </c>
      <c r="G1243" s="101" t="s">
        <v>5</v>
      </c>
      <c r="H1243" s="273" t="s">
        <v>35</v>
      </c>
      <c r="I1243" s="274">
        <v>5.0</v>
      </c>
      <c r="J1243" s="271">
        <v>1.0</v>
      </c>
      <c r="K1243" s="271">
        <f t="shared" si="1"/>
        <v>5</v>
      </c>
      <c r="L1243" s="271"/>
      <c r="M1243" s="271">
        <v>-5.0</v>
      </c>
      <c r="N1243" s="275">
        <v>1.0</v>
      </c>
      <c r="O1243" s="60"/>
      <c r="P1243" s="50">
        <v>1.0</v>
      </c>
      <c r="Q1243" s="271"/>
      <c r="R1243" s="276">
        <v>0.0</v>
      </c>
      <c r="S1243" s="271"/>
      <c r="T1243" s="271">
        <v>-4.0</v>
      </c>
      <c r="U1243" s="62">
        <v>1.0</v>
      </c>
      <c r="V1243" s="277">
        <v>0.15</v>
      </c>
      <c r="W1243" s="277">
        <v>0.05</v>
      </c>
      <c r="X1243" s="271">
        <v>-3.0</v>
      </c>
      <c r="Y1243" s="271">
        <v>-1.0</v>
      </c>
      <c r="Z1243" s="50" t="b">
        <v>1</v>
      </c>
      <c r="AA1243" s="50" t="s">
        <v>138</v>
      </c>
      <c r="AB1243" s="50" t="s">
        <v>138</v>
      </c>
    </row>
    <row r="1244">
      <c r="A1244" s="101" t="s">
        <v>182</v>
      </c>
      <c r="B1244" s="101" t="s">
        <v>182</v>
      </c>
      <c r="C1244" s="288">
        <v>44641.0</v>
      </c>
      <c r="D1244" s="278">
        <v>44671.0</v>
      </c>
      <c r="E1244" s="280" t="s">
        <v>268</v>
      </c>
      <c r="F1244" s="101" t="s">
        <v>4</v>
      </c>
      <c r="G1244" s="271" t="s">
        <v>5</v>
      </c>
      <c r="H1244" s="273" t="s">
        <v>35</v>
      </c>
      <c r="I1244" s="281">
        <v>5.0</v>
      </c>
      <c r="J1244" s="280">
        <v>3.0</v>
      </c>
      <c r="K1244" s="271">
        <f t="shared" si="1"/>
        <v>15</v>
      </c>
      <c r="L1244" s="280">
        <v>-33.0</v>
      </c>
      <c r="M1244" s="280">
        <v>0.0</v>
      </c>
      <c r="N1244" s="275"/>
      <c r="O1244" s="60"/>
      <c r="P1244" s="101"/>
      <c r="Q1244" s="280">
        <v>-2.0</v>
      </c>
      <c r="R1244" s="276">
        <v>0.00324</v>
      </c>
      <c r="S1244" s="280">
        <v>-2.0</v>
      </c>
      <c r="T1244" s="280">
        <v>-2.0</v>
      </c>
      <c r="U1244" s="62">
        <v>1.0</v>
      </c>
      <c r="V1244" s="277">
        <v>0.2</v>
      </c>
      <c r="W1244" s="277">
        <v>0.0</v>
      </c>
      <c r="X1244" s="280">
        <v>-1.0</v>
      </c>
      <c r="Y1244" s="280">
        <v>0.0</v>
      </c>
      <c r="Z1244" s="50" t="b">
        <v>1</v>
      </c>
      <c r="AA1244" s="50" t="s">
        <v>138</v>
      </c>
      <c r="AB1244" s="50" t="s">
        <v>138</v>
      </c>
    </row>
    <row r="1245">
      <c r="A1245" s="101" t="s">
        <v>182</v>
      </c>
      <c r="B1245" s="101" t="s">
        <v>182</v>
      </c>
      <c r="C1245" s="288">
        <v>44641.0</v>
      </c>
      <c r="D1245" s="278">
        <v>44671.0</v>
      </c>
      <c r="E1245" s="280" t="s">
        <v>268</v>
      </c>
      <c r="F1245" s="101" t="s">
        <v>4</v>
      </c>
      <c r="G1245" s="271" t="s">
        <v>5</v>
      </c>
      <c r="H1245" s="273" t="s">
        <v>45</v>
      </c>
      <c r="I1245" s="281">
        <v>10.0</v>
      </c>
      <c r="J1245" s="280">
        <v>610.0</v>
      </c>
      <c r="K1245" s="271">
        <f t="shared" si="1"/>
        <v>6100</v>
      </c>
      <c r="L1245" s="280">
        <v>20130.0</v>
      </c>
      <c r="M1245" s="280">
        <v>-100.0</v>
      </c>
      <c r="N1245" s="275">
        <v>95.0</v>
      </c>
      <c r="O1245" s="60"/>
      <c r="P1245" s="50">
        <v>95.0</v>
      </c>
      <c r="Q1245" s="280">
        <v>-82.0</v>
      </c>
      <c r="R1245" s="276">
        <v>0.00324</v>
      </c>
      <c r="S1245" s="280">
        <v>-62.0</v>
      </c>
      <c r="T1245" s="280">
        <v>33.0</v>
      </c>
      <c r="U1245" s="62">
        <v>1.0</v>
      </c>
      <c r="V1245" s="277">
        <v>0.2</v>
      </c>
      <c r="W1245" s="277">
        <v>0.0</v>
      </c>
      <c r="X1245" s="280">
        <v>26.0</v>
      </c>
      <c r="Y1245" s="280">
        <v>7.0</v>
      </c>
      <c r="Z1245" s="50" t="b">
        <v>1</v>
      </c>
      <c r="AA1245" s="50" t="s">
        <v>138</v>
      </c>
      <c r="AB1245" s="50" t="s">
        <v>138</v>
      </c>
    </row>
    <row r="1246">
      <c r="A1246" s="280" t="s">
        <v>345</v>
      </c>
      <c r="B1246" s="280" t="s">
        <v>905</v>
      </c>
      <c r="C1246" s="283">
        <v>44641.0</v>
      </c>
      <c r="D1246" s="283">
        <v>44671.0</v>
      </c>
      <c r="E1246" s="280" t="s">
        <v>331</v>
      </c>
      <c r="F1246" s="138" t="s">
        <v>4</v>
      </c>
      <c r="G1246" s="271" t="s">
        <v>13</v>
      </c>
      <c r="H1246" s="290" t="s">
        <v>59</v>
      </c>
      <c r="I1246" s="281">
        <v>20.0</v>
      </c>
      <c r="J1246" s="280">
        <v>1093.0</v>
      </c>
      <c r="K1246" s="271">
        <f t="shared" si="1"/>
        <v>21860</v>
      </c>
      <c r="L1246" s="280">
        <v>-756.0</v>
      </c>
      <c r="M1246" s="280">
        <v>-1260.0</v>
      </c>
      <c r="N1246" s="275">
        <f>814+9*20</f>
        <v>994</v>
      </c>
      <c r="O1246" s="60"/>
      <c r="P1246" s="50">
        <v>994.0</v>
      </c>
      <c r="Q1246" s="280">
        <v>-1647.0</v>
      </c>
      <c r="R1246" s="276">
        <v>0.00324</v>
      </c>
      <c r="S1246" s="280">
        <v>-1576.0</v>
      </c>
      <c r="T1246" s="280">
        <v>-582.0</v>
      </c>
      <c r="U1246" s="62">
        <v>1.0</v>
      </c>
      <c r="V1246" s="277">
        <v>0.15</v>
      </c>
      <c r="W1246" s="277">
        <v>0.1</v>
      </c>
      <c r="X1246" s="280">
        <v>-436.0</v>
      </c>
      <c r="Y1246" s="280">
        <v>-145.0</v>
      </c>
      <c r="Z1246" s="50" t="b">
        <v>1</v>
      </c>
      <c r="AA1246" s="50" t="s">
        <v>138</v>
      </c>
      <c r="AB1246" s="50" t="s">
        <v>138</v>
      </c>
    </row>
    <row r="1247">
      <c r="A1247" s="280" t="s">
        <v>345</v>
      </c>
      <c r="B1247" s="280" t="s">
        <v>992</v>
      </c>
      <c r="C1247" s="283">
        <v>44641.0</v>
      </c>
      <c r="D1247" s="283">
        <v>44671.0</v>
      </c>
      <c r="E1247" s="280" t="s">
        <v>331</v>
      </c>
      <c r="F1247" s="138" t="s">
        <v>4</v>
      </c>
      <c r="G1247" s="280" t="s">
        <v>9</v>
      </c>
      <c r="H1247" s="290" t="s">
        <v>53</v>
      </c>
      <c r="I1247" s="281">
        <v>10.0</v>
      </c>
      <c r="J1247" s="280">
        <v>2.0</v>
      </c>
      <c r="K1247" s="271">
        <f t="shared" si="1"/>
        <v>20</v>
      </c>
      <c r="L1247" s="280">
        <v>0.0</v>
      </c>
      <c r="M1247" s="280">
        <v>-22.0</v>
      </c>
      <c r="N1247" s="282">
        <v>27.3</v>
      </c>
      <c r="O1247" s="60"/>
      <c r="P1247" s="50">
        <v>27.0</v>
      </c>
      <c r="Q1247" s="280">
        <v>-42.0</v>
      </c>
      <c r="R1247" s="276">
        <v>0.00324</v>
      </c>
      <c r="S1247" s="280">
        <v>-42.0</v>
      </c>
      <c r="T1247" s="280">
        <v>-14.0</v>
      </c>
      <c r="U1247" s="62">
        <v>1.0</v>
      </c>
      <c r="V1247" s="277">
        <v>0.15</v>
      </c>
      <c r="W1247" s="277">
        <v>0.1</v>
      </c>
      <c r="X1247" s="280">
        <v>-11.0</v>
      </c>
      <c r="Y1247" s="280">
        <v>-4.0</v>
      </c>
      <c r="Z1247" s="50" t="b">
        <v>1</v>
      </c>
      <c r="AA1247" s="50" t="s">
        <v>140</v>
      </c>
      <c r="AB1247" s="50" t="s">
        <v>140</v>
      </c>
    </row>
    <row r="1248">
      <c r="A1248" s="280" t="s">
        <v>345</v>
      </c>
      <c r="B1248" s="280" t="s">
        <v>992</v>
      </c>
      <c r="C1248" s="283">
        <v>44641.0</v>
      </c>
      <c r="D1248" s="283">
        <v>44671.0</v>
      </c>
      <c r="E1248" s="280" t="s">
        <v>331</v>
      </c>
      <c r="F1248" s="138" t="s">
        <v>4</v>
      </c>
      <c r="G1248" s="280" t="s">
        <v>9</v>
      </c>
      <c r="H1248" s="290" t="s">
        <v>66</v>
      </c>
      <c r="I1248" s="281">
        <v>25.0</v>
      </c>
      <c r="J1248" s="280">
        <v>556.0</v>
      </c>
      <c r="K1248" s="271">
        <f t="shared" si="1"/>
        <v>13900</v>
      </c>
      <c r="L1248" s="280">
        <v>13700.0</v>
      </c>
      <c r="M1248" s="280">
        <v>-893.0</v>
      </c>
      <c r="N1248" s="282">
        <v>217.7</v>
      </c>
      <c r="O1248" s="60"/>
      <c r="P1248" s="50">
        <v>218.0</v>
      </c>
      <c r="Q1248" s="280">
        <v>-608.0</v>
      </c>
      <c r="R1248" s="276">
        <v>0.00324</v>
      </c>
      <c r="S1248" s="280">
        <v>-563.0</v>
      </c>
      <c r="T1248" s="280">
        <v>-346.0</v>
      </c>
      <c r="U1248" s="62">
        <v>1.0</v>
      </c>
      <c r="V1248" s="277">
        <v>0.15</v>
      </c>
      <c r="W1248" s="277">
        <v>0.1</v>
      </c>
      <c r="X1248" s="280">
        <v>-259.0</v>
      </c>
      <c r="Y1248" s="280">
        <v>-86.0</v>
      </c>
      <c r="Z1248" s="50" t="b">
        <v>1</v>
      </c>
      <c r="AA1248" s="50" t="s">
        <v>140</v>
      </c>
      <c r="AB1248" s="50" t="s">
        <v>140</v>
      </c>
    </row>
    <row r="1249">
      <c r="A1249" s="101" t="s">
        <v>170</v>
      </c>
      <c r="B1249" s="101" t="s">
        <v>170</v>
      </c>
      <c r="C1249" s="278">
        <v>44641.0</v>
      </c>
      <c r="D1249" s="278">
        <v>44671.0</v>
      </c>
      <c r="E1249" s="271" t="s">
        <v>268</v>
      </c>
      <c r="F1249" s="101" t="s">
        <v>4</v>
      </c>
      <c r="G1249" s="271" t="s">
        <v>5</v>
      </c>
      <c r="H1249" s="273" t="s">
        <v>35</v>
      </c>
      <c r="I1249" s="274">
        <v>5.0</v>
      </c>
      <c r="J1249" s="271">
        <v>144.0</v>
      </c>
      <c r="K1249" s="271">
        <f t="shared" si="1"/>
        <v>720</v>
      </c>
      <c r="L1249" s="271">
        <v>-1895.0</v>
      </c>
      <c r="M1249" s="271">
        <v>-95.0</v>
      </c>
      <c r="N1249" s="275">
        <v>42.0</v>
      </c>
      <c r="O1249" s="60"/>
      <c r="P1249" s="50">
        <v>42.0</v>
      </c>
      <c r="Q1249" s="271">
        <v>-80.0</v>
      </c>
      <c r="R1249" s="276">
        <v>0.00324</v>
      </c>
      <c r="S1249" s="271">
        <v>-78.0</v>
      </c>
      <c r="T1249" s="271">
        <v>-36.0</v>
      </c>
      <c r="U1249" s="62">
        <v>1.0</v>
      </c>
      <c r="V1249" s="277">
        <v>0.23</v>
      </c>
      <c r="W1249" s="277">
        <v>0.0</v>
      </c>
      <c r="X1249" s="271">
        <v>-28.0</v>
      </c>
      <c r="Y1249" s="271">
        <v>-8.0</v>
      </c>
      <c r="Z1249" s="50" t="b">
        <v>1</v>
      </c>
      <c r="AA1249" s="50" t="s">
        <v>138</v>
      </c>
      <c r="AB1249" s="50" t="s">
        <v>138</v>
      </c>
    </row>
    <row r="1250">
      <c r="A1250" s="101" t="s">
        <v>170</v>
      </c>
      <c r="B1250" s="101" t="s">
        <v>170</v>
      </c>
      <c r="C1250" s="278">
        <v>44641.0</v>
      </c>
      <c r="D1250" s="278">
        <v>44671.0</v>
      </c>
      <c r="E1250" s="271" t="s">
        <v>268</v>
      </c>
      <c r="F1250" s="101" t="s">
        <v>4</v>
      </c>
      <c r="G1250" s="271" t="s">
        <v>5</v>
      </c>
      <c r="H1250" s="273" t="s">
        <v>45</v>
      </c>
      <c r="I1250" s="274">
        <v>10.0</v>
      </c>
      <c r="J1250" s="271">
        <v>1299.0</v>
      </c>
      <c r="K1250" s="271">
        <f t="shared" si="1"/>
        <v>12990</v>
      </c>
      <c r="L1250" s="271">
        <v>65338.0</v>
      </c>
      <c r="M1250" s="271">
        <v>360.0</v>
      </c>
      <c r="N1250" s="275">
        <v>658.0</v>
      </c>
      <c r="O1250" s="60"/>
      <c r="P1250" s="50">
        <v>658.0</v>
      </c>
      <c r="Q1250" s="271">
        <v>237.0</v>
      </c>
      <c r="R1250" s="276">
        <v>0.00324</v>
      </c>
      <c r="S1250" s="271">
        <v>279.0</v>
      </c>
      <c r="T1250" s="271">
        <v>937.0</v>
      </c>
      <c r="U1250" s="62">
        <v>1.0</v>
      </c>
      <c r="V1250" s="277">
        <v>0.23</v>
      </c>
      <c r="W1250" s="277">
        <v>0.0</v>
      </c>
      <c r="X1250" s="271">
        <v>722.0</v>
      </c>
      <c r="Y1250" s="271">
        <v>216.0</v>
      </c>
      <c r="Z1250" s="50" t="b">
        <v>1</v>
      </c>
      <c r="AA1250" s="50" t="s">
        <v>138</v>
      </c>
      <c r="AB1250" s="50" t="s">
        <v>138</v>
      </c>
    </row>
    <row r="1251">
      <c r="A1251" s="280" t="s">
        <v>362</v>
      </c>
      <c r="B1251" s="271" t="s">
        <v>189</v>
      </c>
      <c r="C1251" s="288">
        <v>44641.0</v>
      </c>
      <c r="D1251" s="278">
        <v>44671.0</v>
      </c>
      <c r="E1251" s="280" t="s">
        <v>268</v>
      </c>
      <c r="F1251" s="138" t="s">
        <v>12</v>
      </c>
      <c r="G1251" s="271" t="s">
        <v>5</v>
      </c>
      <c r="H1251" s="273" t="s">
        <v>85</v>
      </c>
      <c r="I1251" s="274">
        <v>100.0</v>
      </c>
      <c r="J1251" s="271">
        <v>83.0</v>
      </c>
      <c r="K1251" s="271">
        <f t="shared" si="1"/>
        <v>8300</v>
      </c>
      <c r="L1251" s="271">
        <v>2506.0</v>
      </c>
      <c r="M1251" s="271">
        <v>300.0</v>
      </c>
      <c r="N1251" s="275">
        <v>65.0</v>
      </c>
      <c r="O1251" s="60"/>
      <c r="P1251" s="50">
        <v>65.0</v>
      </c>
      <c r="Q1251" s="271">
        <v>21.0</v>
      </c>
      <c r="R1251" s="276">
        <v>0.0</v>
      </c>
      <c r="S1251" s="271">
        <v>21.0</v>
      </c>
      <c r="T1251" s="271">
        <v>365.0</v>
      </c>
      <c r="U1251" s="62">
        <v>1.0</v>
      </c>
      <c r="V1251" s="277">
        <v>0.19</v>
      </c>
      <c r="W1251" s="277">
        <v>0.0</v>
      </c>
      <c r="X1251" s="271">
        <v>296.0</v>
      </c>
      <c r="Y1251" s="271">
        <v>69.0</v>
      </c>
      <c r="Z1251" s="50" t="b">
        <v>1</v>
      </c>
      <c r="AA1251" s="50" t="s">
        <v>138</v>
      </c>
      <c r="AB1251" s="50" t="s">
        <v>138</v>
      </c>
    </row>
    <row r="1252">
      <c r="A1252" s="280" t="s">
        <v>362</v>
      </c>
      <c r="B1252" s="271" t="s">
        <v>189</v>
      </c>
      <c r="C1252" s="288">
        <v>44641.0</v>
      </c>
      <c r="D1252" s="278">
        <v>44671.0</v>
      </c>
      <c r="E1252" s="280" t="s">
        <v>268</v>
      </c>
      <c r="F1252" s="138" t="s">
        <v>12</v>
      </c>
      <c r="G1252" s="271" t="s">
        <v>5</v>
      </c>
      <c r="H1252" s="273" t="s">
        <v>74</v>
      </c>
      <c r="I1252" s="274">
        <v>50.0</v>
      </c>
      <c r="J1252" s="271">
        <v>550.0</v>
      </c>
      <c r="K1252" s="271">
        <f t="shared" si="1"/>
        <v>27500</v>
      </c>
      <c r="L1252" s="271">
        <v>12818.0</v>
      </c>
      <c r="M1252" s="271">
        <v>-2300.0</v>
      </c>
      <c r="N1252" s="275">
        <v>258.0</v>
      </c>
      <c r="O1252" s="60"/>
      <c r="P1252" s="50">
        <v>258.0</v>
      </c>
      <c r="Q1252" s="271">
        <v>-572.0</v>
      </c>
      <c r="R1252" s="276">
        <v>0.0</v>
      </c>
      <c r="S1252" s="271">
        <v>-572.0</v>
      </c>
      <c r="T1252" s="271">
        <v>-2042.0</v>
      </c>
      <c r="U1252" s="62">
        <v>1.0</v>
      </c>
      <c r="V1252" s="277">
        <v>0.19</v>
      </c>
      <c r="W1252" s="277">
        <v>0.0</v>
      </c>
      <c r="X1252" s="271">
        <v>-1654.0</v>
      </c>
      <c r="Y1252" s="271">
        <v>-388.0</v>
      </c>
      <c r="Z1252" s="50" t="b">
        <v>1</v>
      </c>
      <c r="AA1252" s="50" t="s">
        <v>138</v>
      </c>
      <c r="AB1252" s="50" t="s">
        <v>138</v>
      </c>
    </row>
    <row r="1253">
      <c r="A1253" s="280" t="s">
        <v>362</v>
      </c>
      <c r="B1253" s="271" t="s">
        <v>189</v>
      </c>
      <c r="C1253" s="288">
        <v>44641.0</v>
      </c>
      <c r="D1253" s="278">
        <v>44671.0</v>
      </c>
      <c r="E1253" s="280" t="s">
        <v>268</v>
      </c>
      <c r="F1253" s="138" t="s">
        <v>12</v>
      </c>
      <c r="G1253" s="271" t="s">
        <v>5</v>
      </c>
      <c r="H1253" s="273" t="s">
        <v>62</v>
      </c>
      <c r="I1253" s="274">
        <v>25.0</v>
      </c>
      <c r="J1253" s="271">
        <v>7.0</v>
      </c>
      <c r="K1253" s="271">
        <f t="shared" si="1"/>
        <v>175</v>
      </c>
      <c r="L1253" s="271">
        <v>631.0</v>
      </c>
      <c r="M1253" s="271">
        <v>-50.0</v>
      </c>
      <c r="N1253" s="275">
        <v>2.0</v>
      </c>
      <c r="O1253" s="60"/>
      <c r="P1253" s="50">
        <v>2.0</v>
      </c>
      <c r="Q1253" s="271">
        <v>18.0</v>
      </c>
      <c r="R1253" s="276">
        <v>0.0</v>
      </c>
      <c r="S1253" s="271">
        <v>18.0</v>
      </c>
      <c r="T1253" s="271">
        <v>-48.0</v>
      </c>
      <c r="U1253" s="62">
        <v>1.0</v>
      </c>
      <c r="V1253" s="277">
        <v>0.19</v>
      </c>
      <c r="W1253" s="277">
        <v>0.0</v>
      </c>
      <c r="X1253" s="271">
        <v>-39.0</v>
      </c>
      <c r="Y1253" s="271">
        <v>-9.0</v>
      </c>
      <c r="Z1253" s="50" t="b">
        <v>1</v>
      </c>
      <c r="AA1253" s="50" t="s">
        <v>138</v>
      </c>
      <c r="AB1253" s="50" t="s">
        <v>138</v>
      </c>
    </row>
    <row r="1254">
      <c r="A1254" s="101" t="s">
        <v>416</v>
      </c>
      <c r="B1254" s="101" t="s">
        <v>190</v>
      </c>
      <c r="C1254" s="278">
        <v>44641.0</v>
      </c>
      <c r="D1254" s="278">
        <v>44671.0</v>
      </c>
      <c r="E1254" s="271" t="s">
        <v>268</v>
      </c>
      <c r="F1254" s="138" t="s">
        <v>4</v>
      </c>
      <c r="G1254" s="271" t="s">
        <v>5</v>
      </c>
      <c r="H1254" s="273" t="s">
        <v>62</v>
      </c>
      <c r="I1254" s="274">
        <v>25.0</v>
      </c>
      <c r="J1254" s="271">
        <v>0.0</v>
      </c>
      <c r="K1254" s="271">
        <f t="shared" si="1"/>
        <v>0</v>
      </c>
      <c r="L1254" s="271"/>
      <c r="M1254" s="271">
        <v>0.0</v>
      </c>
      <c r="N1254" s="275"/>
      <c r="O1254" s="60"/>
      <c r="P1254" s="101"/>
      <c r="Q1254" s="271"/>
      <c r="R1254" s="276">
        <v>0.0</v>
      </c>
      <c r="S1254" s="271"/>
      <c r="T1254" s="271"/>
      <c r="U1254" s="62">
        <v>1.0</v>
      </c>
      <c r="V1254" s="277">
        <v>0.0</v>
      </c>
      <c r="W1254" s="277">
        <v>0.0</v>
      </c>
      <c r="X1254" s="271"/>
      <c r="Y1254" s="271"/>
      <c r="Z1254" s="50" t="b">
        <v>1</v>
      </c>
      <c r="AA1254" s="50" t="s">
        <v>138</v>
      </c>
      <c r="AB1254" s="50" t="s">
        <v>138</v>
      </c>
    </row>
    <row r="1255">
      <c r="A1255" s="280" t="s">
        <v>150</v>
      </c>
      <c r="B1255" s="280" t="s">
        <v>152</v>
      </c>
      <c r="C1255" s="283">
        <v>44641.0</v>
      </c>
      <c r="D1255" s="278">
        <v>44671.0</v>
      </c>
      <c r="E1255" s="280" t="s">
        <v>268</v>
      </c>
      <c r="F1255" s="138" t="s">
        <v>4</v>
      </c>
      <c r="G1255" s="280" t="s">
        <v>5</v>
      </c>
      <c r="H1255" s="273" t="s">
        <v>62</v>
      </c>
      <c r="I1255" s="274">
        <v>25.0</v>
      </c>
      <c r="J1255" s="271">
        <v>99.0</v>
      </c>
      <c r="K1255" s="271">
        <f t="shared" si="1"/>
        <v>2475</v>
      </c>
      <c r="L1255" s="271">
        <v>-428.0</v>
      </c>
      <c r="M1255" s="271">
        <v>-100.0</v>
      </c>
      <c r="N1255" s="275">
        <v>48.0</v>
      </c>
      <c r="O1255" s="60"/>
      <c r="P1255" s="50">
        <v>48.0</v>
      </c>
      <c r="Q1255" s="271">
        <v>-178.0</v>
      </c>
      <c r="R1255" s="276">
        <v>0.00324</v>
      </c>
      <c r="S1255" s="271">
        <v>-170.0</v>
      </c>
      <c r="T1255" s="271">
        <v>-122.0</v>
      </c>
      <c r="U1255" s="62">
        <v>1.0</v>
      </c>
      <c r="V1255" s="277">
        <v>0.3</v>
      </c>
      <c r="W1255" s="277">
        <v>0.0</v>
      </c>
      <c r="X1255" s="271">
        <v>-86.0</v>
      </c>
      <c r="Y1255" s="271">
        <v>-37.0</v>
      </c>
      <c r="Z1255" s="50" t="b">
        <v>1</v>
      </c>
      <c r="AA1255" s="50" t="s">
        <v>138</v>
      </c>
      <c r="AB1255" s="50" t="s">
        <v>138</v>
      </c>
    </row>
    <row r="1256">
      <c r="A1256" s="101" t="s">
        <v>195</v>
      </c>
      <c r="B1256" s="101" t="s">
        <v>195</v>
      </c>
      <c r="C1256" s="278">
        <v>44641.0</v>
      </c>
      <c r="D1256" s="278">
        <v>44671.0</v>
      </c>
      <c r="E1256" s="271" t="s">
        <v>331</v>
      </c>
      <c r="F1256" s="138" t="s">
        <v>4</v>
      </c>
      <c r="G1256" s="101" t="s">
        <v>5</v>
      </c>
      <c r="H1256" s="273" t="s">
        <v>85</v>
      </c>
      <c r="I1256" s="274">
        <v>100.0</v>
      </c>
      <c r="J1256" s="271">
        <v>6732.0</v>
      </c>
      <c r="K1256" s="271">
        <f t="shared" si="1"/>
        <v>673200</v>
      </c>
      <c r="L1256" s="271">
        <v>166833.0</v>
      </c>
      <c r="M1256" s="271">
        <v>17400.0</v>
      </c>
      <c r="N1256" s="275">
        <v>32911.0</v>
      </c>
      <c r="O1256" s="60"/>
      <c r="P1256" s="109">
        <v>32911.0</v>
      </c>
      <c r="Q1256" s="271">
        <v>-5083.0</v>
      </c>
      <c r="R1256" s="276">
        <v>0.00324</v>
      </c>
      <c r="S1256" s="271">
        <v>-2902.0</v>
      </c>
      <c r="T1256" s="271">
        <v>30009.0</v>
      </c>
      <c r="U1256" s="62">
        <v>1.0</v>
      </c>
      <c r="V1256" s="277">
        <v>0.15</v>
      </c>
      <c r="W1256" s="277">
        <v>0.05</v>
      </c>
      <c r="X1256" s="271">
        <v>24007.0</v>
      </c>
      <c r="Y1256" s="271">
        <v>6002.0</v>
      </c>
      <c r="Z1256" s="50" t="b">
        <v>1</v>
      </c>
      <c r="AA1256" s="50" t="s">
        <v>138</v>
      </c>
      <c r="AB1256" s="50" t="s">
        <v>138</v>
      </c>
    </row>
    <row r="1257">
      <c r="A1257" s="101" t="s">
        <v>195</v>
      </c>
      <c r="B1257" s="101" t="s">
        <v>195</v>
      </c>
      <c r="C1257" s="278">
        <v>44641.0</v>
      </c>
      <c r="D1257" s="278">
        <v>44671.0</v>
      </c>
      <c r="E1257" s="271" t="s">
        <v>331</v>
      </c>
      <c r="F1257" s="138" t="s">
        <v>4</v>
      </c>
      <c r="G1257" s="101" t="s">
        <v>5</v>
      </c>
      <c r="H1257" s="273" t="s">
        <v>86</v>
      </c>
      <c r="I1257" s="274">
        <v>100.0</v>
      </c>
      <c r="J1257" s="271">
        <v>23.0</v>
      </c>
      <c r="K1257" s="271">
        <f t="shared" si="1"/>
        <v>2300</v>
      </c>
      <c r="L1257" s="271">
        <v>1774.0</v>
      </c>
      <c r="M1257" s="271">
        <v>1700.0</v>
      </c>
      <c r="N1257" s="275">
        <v>112.0</v>
      </c>
      <c r="O1257" s="60"/>
      <c r="P1257" s="50">
        <v>112.0</v>
      </c>
      <c r="Q1257" s="271">
        <v>430.0</v>
      </c>
      <c r="R1257" s="276">
        <v>0.00324</v>
      </c>
      <c r="S1257" s="271">
        <v>437.0</v>
      </c>
      <c r="T1257" s="271">
        <v>549.0</v>
      </c>
      <c r="U1257" s="62">
        <v>1.0</v>
      </c>
      <c r="V1257" s="277">
        <v>0.15</v>
      </c>
      <c r="W1257" s="277">
        <v>0.05</v>
      </c>
      <c r="X1257" s="271">
        <v>440.0</v>
      </c>
      <c r="Y1257" s="271">
        <v>110.0</v>
      </c>
      <c r="Z1257" s="50" t="b">
        <v>1</v>
      </c>
      <c r="AA1257" s="50" t="s">
        <v>138</v>
      </c>
      <c r="AB1257" s="50" t="s">
        <v>138</v>
      </c>
    </row>
    <row r="1258">
      <c r="A1258" s="101" t="s">
        <v>195</v>
      </c>
      <c r="B1258" s="101" t="s">
        <v>195</v>
      </c>
      <c r="C1258" s="278">
        <v>44641.0</v>
      </c>
      <c r="D1258" s="278">
        <v>44671.0</v>
      </c>
      <c r="E1258" s="271" t="s">
        <v>331</v>
      </c>
      <c r="F1258" s="138" t="s">
        <v>4</v>
      </c>
      <c r="G1258" s="101" t="s">
        <v>5</v>
      </c>
      <c r="H1258" s="273" t="s">
        <v>96</v>
      </c>
      <c r="I1258" s="274">
        <v>250.0</v>
      </c>
      <c r="J1258" s="271">
        <v>1234.0</v>
      </c>
      <c r="K1258" s="271">
        <f t="shared" si="1"/>
        <v>308500</v>
      </c>
      <c r="L1258" s="271">
        <v>24218.0</v>
      </c>
      <c r="M1258" s="271">
        <v>-3500.0</v>
      </c>
      <c r="N1258" s="275">
        <v>15082.0</v>
      </c>
      <c r="O1258" s="60"/>
      <c r="P1258" s="109">
        <v>15082.0</v>
      </c>
      <c r="Q1258" s="271">
        <v>-4542.0</v>
      </c>
      <c r="R1258" s="276">
        <v>0.00324</v>
      </c>
      <c r="S1258" s="271">
        <v>-3542.0</v>
      </c>
      <c r="T1258" s="271">
        <v>11540.0</v>
      </c>
      <c r="U1258" s="62">
        <v>1.0</v>
      </c>
      <c r="V1258" s="277">
        <v>0.15</v>
      </c>
      <c r="W1258" s="277">
        <v>0.05</v>
      </c>
      <c r="X1258" s="271">
        <v>9232.0</v>
      </c>
      <c r="Y1258" s="271">
        <v>2308.0</v>
      </c>
      <c r="Z1258" s="50" t="b">
        <v>1</v>
      </c>
      <c r="AA1258" s="50" t="s">
        <v>138</v>
      </c>
      <c r="AB1258" s="50" t="s">
        <v>138</v>
      </c>
    </row>
    <row r="1259">
      <c r="A1259" s="101" t="s">
        <v>195</v>
      </c>
      <c r="B1259" s="101" t="s">
        <v>195</v>
      </c>
      <c r="C1259" s="278">
        <v>44641.0</v>
      </c>
      <c r="D1259" s="278">
        <v>44671.0</v>
      </c>
      <c r="E1259" s="271" t="s">
        <v>331</v>
      </c>
      <c r="F1259" s="138" t="s">
        <v>12</v>
      </c>
      <c r="G1259" s="101" t="s">
        <v>5</v>
      </c>
      <c r="H1259" s="273" t="s">
        <v>35</v>
      </c>
      <c r="I1259" s="274">
        <v>5.0</v>
      </c>
      <c r="J1259" s="271">
        <v>1.0</v>
      </c>
      <c r="K1259" s="271">
        <f t="shared" si="1"/>
        <v>5</v>
      </c>
      <c r="L1259" s="271"/>
      <c r="M1259" s="271">
        <v>-5.0</v>
      </c>
      <c r="N1259" s="275"/>
      <c r="O1259" s="60"/>
      <c r="P1259" s="101"/>
      <c r="Q1259" s="271"/>
      <c r="R1259" s="276">
        <v>0.0</v>
      </c>
      <c r="S1259" s="271"/>
      <c r="T1259" s="271">
        <v>-5.0</v>
      </c>
      <c r="U1259" s="62">
        <v>1.0</v>
      </c>
      <c r="V1259" s="277">
        <v>0.15</v>
      </c>
      <c r="W1259" s="277">
        <v>0.05</v>
      </c>
      <c r="X1259" s="271">
        <v>-4.0</v>
      </c>
      <c r="Y1259" s="271">
        <v>-1.0</v>
      </c>
      <c r="Z1259" s="50" t="b">
        <v>1</v>
      </c>
      <c r="AA1259" s="50" t="s">
        <v>138</v>
      </c>
      <c r="AB1259" s="50" t="s">
        <v>138</v>
      </c>
    </row>
    <row r="1260">
      <c r="A1260" s="101" t="s">
        <v>505</v>
      </c>
      <c r="B1260" s="271" t="s">
        <v>166</v>
      </c>
      <c r="C1260" s="278">
        <v>44641.0</v>
      </c>
      <c r="D1260" s="278">
        <v>44671.0</v>
      </c>
      <c r="E1260" s="271" t="s">
        <v>268</v>
      </c>
      <c r="F1260" s="101" t="s">
        <v>4</v>
      </c>
      <c r="G1260" s="271" t="s">
        <v>5</v>
      </c>
      <c r="H1260" s="273" t="s">
        <v>35</v>
      </c>
      <c r="I1260" s="281">
        <v>5.0</v>
      </c>
      <c r="J1260" s="280">
        <v>3.0</v>
      </c>
      <c r="K1260" s="271">
        <f t="shared" si="1"/>
        <v>15</v>
      </c>
      <c r="L1260" s="280">
        <v>262.0</v>
      </c>
      <c r="M1260" s="280">
        <v>-15.0</v>
      </c>
      <c r="N1260" s="275">
        <v>1.0</v>
      </c>
      <c r="O1260" s="60"/>
      <c r="P1260" s="50">
        <v>1.0</v>
      </c>
      <c r="Q1260" s="280">
        <v>1.0</v>
      </c>
      <c r="R1260" s="276">
        <v>0.00324</v>
      </c>
      <c r="S1260" s="280">
        <v>1.0</v>
      </c>
      <c r="T1260" s="280">
        <v>2.0</v>
      </c>
      <c r="U1260" s="62">
        <v>1.0</v>
      </c>
      <c r="V1260" s="277">
        <v>0.25</v>
      </c>
      <c r="W1260" s="277">
        <v>0.0</v>
      </c>
      <c r="X1260" s="280">
        <v>2.0</v>
      </c>
      <c r="Y1260" s="280">
        <v>1.0</v>
      </c>
      <c r="Z1260" s="50" t="b">
        <v>1</v>
      </c>
      <c r="AA1260" s="50" t="s">
        <v>138</v>
      </c>
      <c r="AB1260" s="50" t="s">
        <v>138</v>
      </c>
    </row>
    <row r="1261">
      <c r="A1261" s="101" t="s">
        <v>505</v>
      </c>
      <c r="B1261" s="271" t="s">
        <v>166</v>
      </c>
      <c r="C1261" s="278">
        <v>44641.0</v>
      </c>
      <c r="D1261" s="278">
        <v>44671.0</v>
      </c>
      <c r="E1261" s="271" t="s">
        <v>268</v>
      </c>
      <c r="F1261" s="101" t="s">
        <v>4</v>
      </c>
      <c r="G1261" s="271" t="s">
        <v>5</v>
      </c>
      <c r="H1261" s="273" t="s">
        <v>45</v>
      </c>
      <c r="I1261" s="281">
        <v>10.0</v>
      </c>
      <c r="J1261" s="280">
        <v>2226.0</v>
      </c>
      <c r="K1261" s="271">
        <f t="shared" si="1"/>
        <v>22260</v>
      </c>
      <c r="L1261" s="280">
        <v>116093.0</v>
      </c>
      <c r="M1261" s="280">
        <v>-30.0</v>
      </c>
      <c r="N1261" s="275">
        <v>1104.0</v>
      </c>
      <c r="O1261" s="60"/>
      <c r="P1261" s="109">
        <v>1104.0</v>
      </c>
      <c r="Q1261" s="280">
        <v>482.0</v>
      </c>
      <c r="R1261" s="276">
        <v>0.00324</v>
      </c>
      <c r="S1261" s="280">
        <v>554.0</v>
      </c>
      <c r="T1261" s="280">
        <v>1658.0</v>
      </c>
      <c r="U1261" s="62">
        <v>1.0</v>
      </c>
      <c r="V1261" s="277">
        <v>0.25</v>
      </c>
      <c r="W1261" s="277">
        <v>0.0</v>
      </c>
      <c r="X1261" s="280">
        <v>1244.0</v>
      </c>
      <c r="Y1261" s="280">
        <v>415.0</v>
      </c>
      <c r="Z1261" s="50" t="b">
        <v>1</v>
      </c>
      <c r="AA1261" s="50" t="s">
        <v>138</v>
      </c>
      <c r="AB1261" s="50" t="s">
        <v>138</v>
      </c>
    </row>
    <row r="1262">
      <c r="A1262" s="101" t="s">
        <v>199</v>
      </c>
      <c r="B1262" s="101" t="s">
        <v>199</v>
      </c>
      <c r="C1262" s="288">
        <v>44641.0</v>
      </c>
      <c r="D1262" s="278">
        <v>44671.0</v>
      </c>
      <c r="E1262" s="280" t="s">
        <v>268</v>
      </c>
      <c r="F1262" s="138" t="s">
        <v>4</v>
      </c>
      <c r="G1262" s="271" t="s">
        <v>5</v>
      </c>
      <c r="H1262" s="273" t="s">
        <v>35</v>
      </c>
      <c r="I1262" s="281">
        <v>5.0</v>
      </c>
      <c r="J1262" s="280">
        <v>42.0</v>
      </c>
      <c r="K1262" s="271">
        <f t="shared" si="1"/>
        <v>210</v>
      </c>
      <c r="L1262" s="280">
        <v>2176.0</v>
      </c>
      <c r="M1262" s="280">
        <v>0.0</v>
      </c>
      <c r="N1262" s="275">
        <v>11.0</v>
      </c>
      <c r="O1262" s="60"/>
      <c r="P1262" s="50">
        <v>11.0</v>
      </c>
      <c r="Q1262" s="280">
        <v>1.0</v>
      </c>
      <c r="R1262" s="276">
        <v>0.00324</v>
      </c>
      <c r="S1262" s="280">
        <v>2.0</v>
      </c>
      <c r="T1262" s="280">
        <v>13.0</v>
      </c>
      <c r="U1262" s="62">
        <v>1.0</v>
      </c>
      <c r="V1262" s="277">
        <v>0.2</v>
      </c>
      <c r="W1262" s="277">
        <v>0.0</v>
      </c>
      <c r="X1262" s="280">
        <v>10.0</v>
      </c>
      <c r="Y1262" s="280">
        <v>3.0</v>
      </c>
      <c r="Z1262" s="50" t="b">
        <v>1</v>
      </c>
      <c r="AA1262" s="50" t="s">
        <v>138</v>
      </c>
      <c r="AB1262" s="50" t="s">
        <v>138</v>
      </c>
    </row>
    <row r="1263">
      <c r="A1263" s="101" t="s">
        <v>199</v>
      </c>
      <c r="B1263" s="101" t="s">
        <v>199</v>
      </c>
      <c r="C1263" s="288">
        <v>44641.0</v>
      </c>
      <c r="D1263" s="278">
        <v>44671.0</v>
      </c>
      <c r="E1263" s="280" t="s">
        <v>268</v>
      </c>
      <c r="F1263" s="138" t="s">
        <v>4</v>
      </c>
      <c r="G1263" s="271" t="s">
        <v>5</v>
      </c>
      <c r="H1263" s="273" t="s">
        <v>38</v>
      </c>
      <c r="I1263" s="281">
        <v>5.0</v>
      </c>
      <c r="J1263" s="280">
        <v>405.0</v>
      </c>
      <c r="K1263" s="271">
        <f t="shared" si="1"/>
        <v>2025</v>
      </c>
      <c r="L1263" s="280">
        <v>8998.0</v>
      </c>
      <c r="M1263" s="280">
        <v>35.0</v>
      </c>
      <c r="N1263" s="275">
        <v>102.0</v>
      </c>
      <c r="O1263" s="60"/>
      <c r="P1263" s="50">
        <v>102.0</v>
      </c>
      <c r="Q1263" s="280">
        <v>-43.0</v>
      </c>
      <c r="R1263" s="276">
        <v>0.00324</v>
      </c>
      <c r="S1263" s="280">
        <v>-36.0</v>
      </c>
      <c r="T1263" s="280">
        <v>66.0</v>
      </c>
      <c r="U1263" s="62">
        <v>1.0</v>
      </c>
      <c r="V1263" s="277">
        <v>0.2</v>
      </c>
      <c r="W1263" s="277">
        <v>0.0</v>
      </c>
      <c r="X1263" s="280">
        <v>53.0</v>
      </c>
      <c r="Y1263" s="280">
        <v>13.0</v>
      </c>
      <c r="Z1263" s="50" t="b">
        <v>1</v>
      </c>
      <c r="AA1263" s="50" t="s">
        <v>138</v>
      </c>
      <c r="AB1263" s="50" t="s">
        <v>138</v>
      </c>
    </row>
    <row r="1264">
      <c r="A1264" s="101" t="s">
        <v>199</v>
      </c>
      <c r="B1264" s="101" t="s">
        <v>199</v>
      </c>
      <c r="C1264" s="288">
        <v>44641.0</v>
      </c>
      <c r="D1264" s="278">
        <v>44671.0</v>
      </c>
      <c r="E1264" s="280" t="s">
        <v>268</v>
      </c>
      <c r="F1264" s="138" t="s">
        <v>4</v>
      </c>
      <c r="G1264" s="271" t="s">
        <v>5</v>
      </c>
      <c r="H1264" s="273" t="s">
        <v>45</v>
      </c>
      <c r="I1264" s="281">
        <v>10.0</v>
      </c>
      <c r="J1264" s="280">
        <v>1172.0</v>
      </c>
      <c r="K1264" s="271">
        <f t="shared" si="1"/>
        <v>11720</v>
      </c>
      <c r="L1264" s="280">
        <v>81540.0</v>
      </c>
      <c r="M1264" s="280">
        <v>870.0</v>
      </c>
      <c r="N1264" s="275">
        <v>518.0</v>
      </c>
      <c r="O1264" s="60"/>
      <c r="P1264" s="50">
        <v>518.0</v>
      </c>
      <c r="Q1264" s="280">
        <v>628.0</v>
      </c>
      <c r="R1264" s="276">
        <v>0.00324</v>
      </c>
      <c r="S1264" s="280">
        <v>666.0</v>
      </c>
      <c r="T1264" s="280">
        <v>1184.0</v>
      </c>
      <c r="U1264" s="62">
        <v>1.0</v>
      </c>
      <c r="V1264" s="277">
        <v>0.2</v>
      </c>
      <c r="W1264" s="277">
        <v>0.0</v>
      </c>
      <c r="X1264" s="280">
        <v>948.0</v>
      </c>
      <c r="Y1264" s="280">
        <v>237.0</v>
      </c>
      <c r="Z1264" s="50" t="b">
        <v>1</v>
      </c>
      <c r="AA1264" s="50" t="s">
        <v>138</v>
      </c>
      <c r="AB1264" s="50" t="s">
        <v>138</v>
      </c>
    </row>
    <row r="1265">
      <c r="A1265" s="101" t="s">
        <v>199</v>
      </c>
      <c r="B1265" s="101" t="s">
        <v>199</v>
      </c>
      <c r="C1265" s="288">
        <v>44641.0</v>
      </c>
      <c r="D1265" s="278">
        <v>44671.0</v>
      </c>
      <c r="E1265" s="280" t="s">
        <v>268</v>
      </c>
      <c r="F1265" s="138" t="s">
        <v>4</v>
      </c>
      <c r="G1265" s="271" t="s">
        <v>5</v>
      </c>
      <c r="H1265" s="273" t="s">
        <v>48</v>
      </c>
      <c r="I1265" s="281">
        <v>10.0</v>
      </c>
      <c r="J1265" s="280">
        <v>1799.0</v>
      </c>
      <c r="K1265" s="271">
        <f t="shared" si="1"/>
        <v>17990</v>
      </c>
      <c r="L1265" s="280">
        <v>20742.0</v>
      </c>
      <c r="M1265" s="280">
        <v>-1200.0</v>
      </c>
      <c r="N1265" s="275">
        <v>794.0</v>
      </c>
      <c r="O1265" s="60"/>
      <c r="P1265" s="50">
        <v>794.0</v>
      </c>
      <c r="Q1265" s="280">
        <v>-697.0</v>
      </c>
      <c r="R1265" s="276">
        <v>0.00324</v>
      </c>
      <c r="S1265" s="280">
        <v>-639.0</v>
      </c>
      <c r="T1265" s="280">
        <v>155.0</v>
      </c>
      <c r="U1265" s="62">
        <v>1.0</v>
      </c>
      <c r="V1265" s="277">
        <v>0.2</v>
      </c>
      <c r="W1265" s="277">
        <v>0.0</v>
      </c>
      <c r="X1265" s="280">
        <v>124.0</v>
      </c>
      <c r="Y1265" s="280">
        <v>31.0</v>
      </c>
      <c r="Z1265" s="50" t="b">
        <v>1</v>
      </c>
      <c r="AA1265" s="50" t="s">
        <v>138</v>
      </c>
      <c r="AB1265" s="50" t="s">
        <v>138</v>
      </c>
    </row>
    <row r="1266">
      <c r="A1266" s="101" t="s">
        <v>546</v>
      </c>
      <c r="B1266" s="101" t="s">
        <v>202</v>
      </c>
      <c r="C1266" s="278">
        <v>44641.0</v>
      </c>
      <c r="D1266" s="278">
        <v>44671.0</v>
      </c>
      <c r="E1266" s="271" t="s">
        <v>331</v>
      </c>
      <c r="F1266" s="138" t="s">
        <v>4</v>
      </c>
      <c r="G1266" s="271" t="s">
        <v>13</v>
      </c>
      <c r="H1266" s="273" t="s">
        <v>85</v>
      </c>
      <c r="I1266" s="274">
        <v>100.0</v>
      </c>
      <c r="J1266" s="271">
        <v>2.0</v>
      </c>
      <c r="K1266" s="271">
        <f t="shared" si="1"/>
        <v>200</v>
      </c>
      <c r="L1266" s="271">
        <v>148.0</v>
      </c>
      <c r="M1266" s="271">
        <v>-200.0</v>
      </c>
      <c r="N1266" s="275"/>
      <c r="O1266" s="60"/>
      <c r="P1266" s="101"/>
      <c r="Q1266" s="271">
        <v>28.0</v>
      </c>
      <c r="R1266" s="276">
        <v>0.00324</v>
      </c>
      <c r="S1266" s="271">
        <v>29.0</v>
      </c>
      <c r="T1266" s="271">
        <v>29.0</v>
      </c>
      <c r="U1266" s="62">
        <v>1.0</v>
      </c>
      <c r="V1266" s="277">
        <v>0.09</v>
      </c>
      <c r="W1266" s="277">
        <v>0.03</v>
      </c>
      <c r="X1266" s="271">
        <v>25.0</v>
      </c>
      <c r="Y1266" s="271">
        <v>3.0</v>
      </c>
      <c r="Z1266" s="50" t="b">
        <v>1</v>
      </c>
      <c r="AA1266" s="50" t="s">
        <v>138</v>
      </c>
      <c r="AB1266" s="50" t="s">
        <v>138</v>
      </c>
    </row>
    <row r="1267">
      <c r="A1267" s="101" t="s">
        <v>546</v>
      </c>
      <c r="B1267" s="101" t="s">
        <v>202</v>
      </c>
      <c r="C1267" s="278">
        <v>44641.0</v>
      </c>
      <c r="D1267" s="278">
        <v>44671.0</v>
      </c>
      <c r="E1267" s="271" t="s">
        <v>331</v>
      </c>
      <c r="F1267" s="138" t="s">
        <v>4</v>
      </c>
      <c r="G1267" s="271" t="s">
        <v>13</v>
      </c>
      <c r="H1267" s="273" t="s">
        <v>93</v>
      </c>
      <c r="I1267" s="274">
        <v>200.0</v>
      </c>
      <c r="J1267" s="271">
        <v>4513.0</v>
      </c>
      <c r="K1267" s="271">
        <f t="shared" si="1"/>
        <v>902600</v>
      </c>
      <c r="L1267" s="271">
        <v>38941.0</v>
      </c>
      <c r="M1267" s="271">
        <v>-65200.0</v>
      </c>
      <c r="N1267" s="275">
        <v>49114.0</v>
      </c>
      <c r="O1267" s="60"/>
      <c r="P1267" s="109">
        <v>49114.0</v>
      </c>
      <c r="Q1267" s="271">
        <v>-43788.0</v>
      </c>
      <c r="R1267" s="276">
        <v>0.00324</v>
      </c>
      <c r="S1267" s="271">
        <v>-40863.0</v>
      </c>
      <c r="T1267" s="271">
        <v>8251.0</v>
      </c>
      <c r="U1267" s="62">
        <v>1.0</v>
      </c>
      <c r="V1267" s="277">
        <v>0.09</v>
      </c>
      <c r="W1267" s="277">
        <v>0.03</v>
      </c>
      <c r="X1267" s="271">
        <v>7261.0</v>
      </c>
      <c r="Y1267" s="271">
        <v>990.0</v>
      </c>
      <c r="Z1267" s="50" t="b">
        <v>1</v>
      </c>
      <c r="AA1267" s="50" t="s">
        <v>138</v>
      </c>
      <c r="AB1267" s="50" t="s">
        <v>138</v>
      </c>
    </row>
    <row r="1268">
      <c r="A1268" s="101" t="s">
        <v>160</v>
      </c>
      <c r="B1268" s="101" t="s">
        <v>160</v>
      </c>
      <c r="C1268" s="278">
        <v>44641.0</v>
      </c>
      <c r="D1268" s="278">
        <v>44671.0</v>
      </c>
      <c r="E1268" s="271" t="s">
        <v>268</v>
      </c>
      <c r="F1268" s="138" t="s">
        <v>4</v>
      </c>
      <c r="G1268" s="101" t="s">
        <v>5</v>
      </c>
      <c r="H1268" s="273" t="s">
        <v>35</v>
      </c>
      <c r="I1268" s="274">
        <v>5.0</v>
      </c>
      <c r="J1268" s="271">
        <v>12.0</v>
      </c>
      <c r="K1268" s="271">
        <f t="shared" si="1"/>
        <v>60</v>
      </c>
      <c r="L1268" s="271">
        <v>1356.0</v>
      </c>
      <c r="M1268" s="271">
        <v>15.0</v>
      </c>
      <c r="N1268" s="275">
        <v>3.0</v>
      </c>
      <c r="O1268" s="60"/>
      <c r="P1268" s="50">
        <v>3.0</v>
      </c>
      <c r="Q1268" s="271">
        <v>7.0</v>
      </c>
      <c r="R1268" s="276">
        <v>0.00324</v>
      </c>
      <c r="S1268" s="271">
        <v>7.0</v>
      </c>
      <c r="T1268" s="271">
        <v>10.0</v>
      </c>
      <c r="U1268" s="62">
        <v>1.0</v>
      </c>
      <c r="V1268" s="277">
        <v>0.3</v>
      </c>
      <c r="W1268" s="277">
        <v>0.0</v>
      </c>
      <c r="X1268" s="271">
        <v>7.0</v>
      </c>
      <c r="Y1268" s="271">
        <v>3.0</v>
      </c>
      <c r="Z1268" s="50" t="b">
        <v>1</v>
      </c>
      <c r="AA1268" s="50" t="s">
        <v>138</v>
      </c>
      <c r="AB1268" s="50" t="s">
        <v>138</v>
      </c>
    </row>
    <row r="1269">
      <c r="A1269" s="101" t="s">
        <v>160</v>
      </c>
      <c r="B1269" s="101" t="s">
        <v>160</v>
      </c>
      <c r="C1269" s="278">
        <v>44641.0</v>
      </c>
      <c r="D1269" s="278">
        <v>44671.0</v>
      </c>
      <c r="E1269" s="271" t="s">
        <v>268</v>
      </c>
      <c r="F1269" s="138" t="s">
        <v>4</v>
      </c>
      <c r="G1269" s="101" t="s">
        <v>5</v>
      </c>
      <c r="H1269" s="273" t="s">
        <v>45</v>
      </c>
      <c r="I1269" s="274">
        <v>10.0</v>
      </c>
      <c r="J1269" s="271">
        <v>3011.0</v>
      </c>
      <c r="K1269" s="271">
        <f t="shared" si="1"/>
        <v>30110</v>
      </c>
      <c r="L1269" s="271">
        <v>82416.0</v>
      </c>
      <c r="M1269" s="271">
        <v>-1030.0</v>
      </c>
      <c r="N1269" s="275">
        <v>1332.0</v>
      </c>
      <c r="O1269" s="60"/>
      <c r="P1269" s="109">
        <v>1332.0</v>
      </c>
      <c r="Q1269" s="271">
        <v>-716.0</v>
      </c>
      <c r="R1269" s="276">
        <v>0.00324</v>
      </c>
      <c r="S1269" s="271">
        <v>-619.0</v>
      </c>
      <c r="T1269" s="271">
        <v>713.0</v>
      </c>
      <c r="U1269" s="62">
        <v>1.0</v>
      </c>
      <c r="V1269" s="277">
        <v>0.3</v>
      </c>
      <c r="W1269" s="277">
        <v>0.0</v>
      </c>
      <c r="X1269" s="271">
        <v>499.0</v>
      </c>
      <c r="Y1269" s="271">
        <v>214.0</v>
      </c>
      <c r="Z1269" s="50" t="b">
        <v>1</v>
      </c>
      <c r="AA1269" s="50" t="s">
        <v>138</v>
      </c>
      <c r="AB1269" s="50" t="s">
        <v>138</v>
      </c>
    </row>
    <row r="1270">
      <c r="A1270" s="101" t="s">
        <v>207</v>
      </c>
      <c r="B1270" s="101" t="s">
        <v>208</v>
      </c>
      <c r="C1270" s="278">
        <v>44641.0</v>
      </c>
      <c r="D1270" s="278">
        <v>44671.0</v>
      </c>
      <c r="E1270" s="271" t="s">
        <v>268</v>
      </c>
      <c r="F1270" s="138" t="s">
        <v>4</v>
      </c>
      <c r="G1270" s="101" t="s">
        <v>13</v>
      </c>
      <c r="H1270" s="273" t="s">
        <v>45</v>
      </c>
      <c r="I1270" s="274">
        <v>10.0</v>
      </c>
      <c r="J1270" s="271">
        <v>2.0</v>
      </c>
      <c r="K1270" s="271">
        <f t="shared" si="1"/>
        <v>20</v>
      </c>
      <c r="L1270" s="271">
        <v>-808.0</v>
      </c>
      <c r="M1270" s="271">
        <v>30.0</v>
      </c>
      <c r="N1270" s="275">
        <v>1.13</v>
      </c>
      <c r="O1270" s="60"/>
      <c r="P1270" s="50">
        <v>1.0</v>
      </c>
      <c r="Q1270" s="271">
        <v>-25.0</v>
      </c>
      <c r="R1270" s="276">
        <v>0.00324</v>
      </c>
      <c r="S1270" s="271">
        <v>-25.0</v>
      </c>
      <c r="T1270" s="271">
        <v>-24.0</v>
      </c>
      <c r="U1270" s="62">
        <v>1.0</v>
      </c>
      <c r="V1270" s="277">
        <v>0.22</v>
      </c>
      <c r="W1270" s="277">
        <v>0.0</v>
      </c>
      <c r="X1270" s="271">
        <v>-18.0</v>
      </c>
      <c r="Y1270" s="271">
        <v>-5.0</v>
      </c>
      <c r="Z1270" s="50" t="b">
        <v>1</v>
      </c>
      <c r="AA1270" s="50" t="s">
        <v>138</v>
      </c>
      <c r="AB1270" s="50" t="s">
        <v>138</v>
      </c>
    </row>
    <row r="1271">
      <c r="A1271" s="101" t="s">
        <v>207</v>
      </c>
      <c r="B1271" s="101" t="s">
        <v>208</v>
      </c>
      <c r="C1271" s="278">
        <v>44641.0</v>
      </c>
      <c r="D1271" s="278">
        <v>44671.0</v>
      </c>
      <c r="E1271" s="271" t="s">
        <v>268</v>
      </c>
      <c r="F1271" s="138" t="s">
        <v>4</v>
      </c>
      <c r="G1271" s="101" t="s">
        <v>13</v>
      </c>
      <c r="H1271" s="273" t="s">
        <v>59</v>
      </c>
      <c r="I1271" s="274">
        <v>20.0</v>
      </c>
      <c r="J1271" s="271">
        <v>427.0</v>
      </c>
      <c r="K1271" s="271">
        <f t="shared" si="1"/>
        <v>8540</v>
      </c>
      <c r="L1271" s="271">
        <v>17142.0</v>
      </c>
      <c r="M1271" s="271">
        <v>-420.0</v>
      </c>
      <c r="N1271" s="275">
        <v>481.6</v>
      </c>
      <c r="O1271" s="60"/>
      <c r="P1271" s="50">
        <v>482.0</v>
      </c>
      <c r="Q1271" s="271">
        <v>360.0</v>
      </c>
      <c r="R1271" s="276">
        <v>0.00324</v>
      </c>
      <c r="S1271" s="271">
        <v>388.0</v>
      </c>
      <c r="T1271" s="271">
        <v>869.0</v>
      </c>
      <c r="U1271" s="62">
        <v>1.0</v>
      </c>
      <c r="V1271" s="277">
        <v>0.22</v>
      </c>
      <c r="W1271" s="277">
        <v>0.0</v>
      </c>
      <c r="X1271" s="271">
        <v>678.0</v>
      </c>
      <c r="Y1271" s="271">
        <v>191.0</v>
      </c>
      <c r="Z1271" s="50" t="b">
        <v>1</v>
      </c>
      <c r="AA1271" s="50" t="s">
        <v>138</v>
      </c>
      <c r="AB1271" s="50" t="s">
        <v>138</v>
      </c>
    </row>
    <row r="1272">
      <c r="A1272" s="101" t="s">
        <v>207</v>
      </c>
      <c r="B1272" s="101" t="s">
        <v>208</v>
      </c>
      <c r="C1272" s="278">
        <v>44641.0</v>
      </c>
      <c r="D1272" s="278">
        <v>44671.0</v>
      </c>
      <c r="E1272" s="271" t="s">
        <v>268</v>
      </c>
      <c r="F1272" s="138" t="s">
        <v>4</v>
      </c>
      <c r="G1272" s="101" t="s">
        <v>13</v>
      </c>
      <c r="H1272" s="273" t="s">
        <v>74</v>
      </c>
      <c r="I1272" s="274">
        <v>50.0</v>
      </c>
      <c r="J1272" s="271">
        <v>1923.0</v>
      </c>
      <c r="K1272" s="271">
        <f t="shared" si="1"/>
        <v>96150</v>
      </c>
      <c r="L1272" s="271">
        <v>28945.0</v>
      </c>
      <c r="M1272" s="271">
        <v>750.0</v>
      </c>
      <c r="N1272" s="275">
        <v>5422.27</v>
      </c>
      <c r="O1272" s="60"/>
      <c r="P1272" s="109">
        <v>5422.0</v>
      </c>
      <c r="Q1272" s="271">
        <v>-2888.0</v>
      </c>
      <c r="R1272" s="276">
        <v>0.00324</v>
      </c>
      <c r="S1272" s="271">
        <v>-2576.0</v>
      </c>
      <c r="T1272" s="271">
        <v>2846.0</v>
      </c>
      <c r="U1272" s="62">
        <v>1.0</v>
      </c>
      <c r="V1272" s="277">
        <v>0.22</v>
      </c>
      <c r="W1272" s="277">
        <v>0.0</v>
      </c>
      <c r="X1272" s="271">
        <v>2220.0</v>
      </c>
      <c r="Y1272" s="271">
        <v>626.0</v>
      </c>
      <c r="Z1272" s="50" t="b">
        <v>1</v>
      </c>
      <c r="AA1272" s="50" t="s">
        <v>138</v>
      </c>
      <c r="AB1272" s="50" t="s">
        <v>138</v>
      </c>
    </row>
    <row r="1273">
      <c r="A1273" s="101" t="s">
        <v>210</v>
      </c>
      <c r="B1273" s="101" t="s">
        <v>210</v>
      </c>
      <c r="C1273" s="278">
        <v>44641.0</v>
      </c>
      <c r="D1273" s="278">
        <v>44671.0</v>
      </c>
      <c r="E1273" s="271" t="s">
        <v>268</v>
      </c>
      <c r="F1273" s="101" t="s">
        <v>4</v>
      </c>
      <c r="G1273" s="271" t="s">
        <v>5</v>
      </c>
      <c r="H1273" s="273" t="s">
        <v>45</v>
      </c>
      <c r="I1273" s="274">
        <v>10.0</v>
      </c>
      <c r="J1273" s="271">
        <v>1932.0</v>
      </c>
      <c r="K1273" s="271">
        <f t="shared" si="1"/>
        <v>19320</v>
      </c>
      <c r="L1273" s="271">
        <v>125504.0</v>
      </c>
      <c r="M1273" s="271">
        <v>460.0</v>
      </c>
      <c r="N1273" s="275">
        <v>380.0</v>
      </c>
      <c r="O1273" s="60"/>
      <c r="P1273" s="50">
        <v>380.0</v>
      </c>
      <c r="Q1273" s="271">
        <v>892.0</v>
      </c>
      <c r="R1273" s="276">
        <v>0.00324</v>
      </c>
      <c r="S1273" s="271">
        <v>955.0</v>
      </c>
      <c r="T1273" s="271">
        <v>1335.0</v>
      </c>
      <c r="U1273" s="62">
        <v>1.0</v>
      </c>
      <c r="V1273" s="277">
        <v>0.23</v>
      </c>
      <c r="W1273" s="277">
        <v>0.0</v>
      </c>
      <c r="X1273" s="271">
        <v>1028.0</v>
      </c>
      <c r="Y1273" s="271">
        <v>307.0</v>
      </c>
      <c r="Z1273" s="50" t="b">
        <v>1</v>
      </c>
      <c r="AA1273" s="50" t="s">
        <v>138</v>
      </c>
      <c r="AB1273" s="50" t="s">
        <v>138</v>
      </c>
    </row>
    <row r="1274">
      <c r="A1274" s="101" t="s">
        <v>210</v>
      </c>
      <c r="B1274" s="101" t="s">
        <v>210</v>
      </c>
      <c r="C1274" s="278">
        <v>44641.0</v>
      </c>
      <c r="D1274" s="278">
        <v>44671.0</v>
      </c>
      <c r="E1274" s="271" t="s">
        <v>268</v>
      </c>
      <c r="F1274" s="101" t="s">
        <v>4</v>
      </c>
      <c r="G1274" s="271" t="s">
        <v>5</v>
      </c>
      <c r="H1274" s="273" t="s">
        <v>62</v>
      </c>
      <c r="I1274" s="274">
        <v>25.0</v>
      </c>
      <c r="J1274" s="271">
        <v>250.0</v>
      </c>
      <c r="K1274" s="271">
        <f t="shared" si="1"/>
        <v>6250</v>
      </c>
      <c r="L1274" s="271">
        <v>217.0</v>
      </c>
      <c r="M1274" s="271">
        <v>-775.0</v>
      </c>
      <c r="N1274" s="275">
        <v>105.0</v>
      </c>
      <c r="O1274" s="60"/>
      <c r="P1274" s="50">
        <v>105.0</v>
      </c>
      <c r="Q1274" s="271">
        <v>-386.0</v>
      </c>
      <c r="R1274" s="276">
        <v>0.00324</v>
      </c>
      <c r="S1274" s="271">
        <v>-366.0</v>
      </c>
      <c r="T1274" s="271">
        <v>-261.0</v>
      </c>
      <c r="U1274" s="62">
        <v>1.0</v>
      </c>
      <c r="V1274" s="277">
        <v>0.23</v>
      </c>
      <c r="W1274" s="277">
        <v>0.0</v>
      </c>
      <c r="X1274" s="271">
        <v>-201.0</v>
      </c>
      <c r="Y1274" s="271">
        <v>-60.0</v>
      </c>
      <c r="Z1274" s="50" t="b">
        <v>1</v>
      </c>
      <c r="AA1274" s="50" t="s">
        <v>138</v>
      </c>
      <c r="AB1274" s="50" t="s">
        <v>138</v>
      </c>
    </row>
    <row r="1275">
      <c r="A1275" s="101" t="s">
        <v>216</v>
      </c>
      <c r="B1275" s="101" t="s">
        <v>217</v>
      </c>
      <c r="C1275" s="278">
        <v>44641.0</v>
      </c>
      <c r="D1275" s="278">
        <v>44671.0</v>
      </c>
      <c r="E1275" s="271" t="s">
        <v>268</v>
      </c>
      <c r="F1275" s="138" t="s">
        <v>4</v>
      </c>
      <c r="G1275" s="271" t="s">
        <v>13</v>
      </c>
      <c r="H1275" s="273" t="s">
        <v>59</v>
      </c>
      <c r="I1275" s="274">
        <v>20.0</v>
      </c>
      <c r="J1275" s="271">
        <v>84.0</v>
      </c>
      <c r="K1275" s="271">
        <f t="shared" si="1"/>
        <v>1680</v>
      </c>
      <c r="L1275" s="271">
        <v>2562.0</v>
      </c>
      <c r="M1275" s="271">
        <v>-160.0</v>
      </c>
      <c r="N1275" s="275"/>
      <c r="O1275" s="60"/>
      <c r="P1275" s="101"/>
      <c r="Q1275" s="271">
        <v>24.0</v>
      </c>
      <c r="R1275" s="276">
        <v>0.00324</v>
      </c>
      <c r="S1275" s="271">
        <v>30.0</v>
      </c>
      <c r="T1275" s="271">
        <v>30.0</v>
      </c>
      <c r="U1275" s="62">
        <v>1.0</v>
      </c>
      <c r="V1275" s="277">
        <v>0.1</v>
      </c>
      <c r="W1275" s="277">
        <v>0.0</v>
      </c>
      <c r="X1275" s="271">
        <v>27.0</v>
      </c>
      <c r="Y1275" s="271">
        <v>3.0</v>
      </c>
      <c r="Z1275" s="50" t="b">
        <v>1</v>
      </c>
      <c r="AA1275" s="50" t="s">
        <v>138</v>
      </c>
      <c r="AB1275" s="50" t="s">
        <v>138</v>
      </c>
    </row>
    <row r="1276">
      <c r="A1276" s="101" t="s">
        <v>216</v>
      </c>
      <c r="B1276" s="101" t="s">
        <v>216</v>
      </c>
      <c r="C1276" s="278">
        <v>44641.0</v>
      </c>
      <c r="D1276" s="278">
        <v>44671.0</v>
      </c>
      <c r="E1276" s="271" t="s">
        <v>268</v>
      </c>
      <c r="F1276" s="138" t="s">
        <v>4</v>
      </c>
      <c r="G1276" s="101" t="s">
        <v>5</v>
      </c>
      <c r="H1276" s="273" t="s">
        <v>35</v>
      </c>
      <c r="I1276" s="274">
        <v>5.0</v>
      </c>
      <c r="J1276" s="271">
        <v>1.0</v>
      </c>
      <c r="K1276" s="271">
        <f t="shared" si="1"/>
        <v>5</v>
      </c>
      <c r="L1276" s="271">
        <v>164.0</v>
      </c>
      <c r="M1276" s="271">
        <v>-5.0</v>
      </c>
      <c r="N1276" s="275"/>
      <c r="O1276" s="60"/>
      <c r="P1276" s="101"/>
      <c r="Q1276" s="271">
        <v>1.0</v>
      </c>
      <c r="R1276" s="276">
        <v>0.00324</v>
      </c>
      <c r="S1276" s="271">
        <v>1.0</v>
      </c>
      <c r="T1276" s="271">
        <v>1.0</v>
      </c>
      <c r="U1276" s="62">
        <v>1.0</v>
      </c>
      <c r="V1276" s="277">
        <v>0.1</v>
      </c>
      <c r="W1276" s="277">
        <v>0.0</v>
      </c>
      <c r="X1276" s="271">
        <v>1.0</v>
      </c>
      <c r="Y1276" s="271">
        <v>0.0</v>
      </c>
      <c r="Z1276" s="50" t="b">
        <v>1</v>
      </c>
      <c r="AA1276" s="50" t="s">
        <v>138</v>
      </c>
      <c r="AB1276" s="50" t="s">
        <v>138</v>
      </c>
    </row>
    <row r="1277">
      <c r="A1277" s="101" t="s">
        <v>216</v>
      </c>
      <c r="B1277" s="101" t="s">
        <v>216</v>
      </c>
      <c r="C1277" s="278">
        <v>44641.0</v>
      </c>
      <c r="D1277" s="278">
        <v>44671.0</v>
      </c>
      <c r="E1277" s="271" t="s">
        <v>268</v>
      </c>
      <c r="F1277" s="138" t="s">
        <v>4</v>
      </c>
      <c r="G1277" s="101" t="s">
        <v>5</v>
      </c>
      <c r="H1277" s="273" t="s">
        <v>85</v>
      </c>
      <c r="I1277" s="274">
        <v>100.0</v>
      </c>
      <c r="J1277" s="271">
        <v>522.0</v>
      </c>
      <c r="K1277" s="271">
        <f t="shared" si="1"/>
        <v>52200</v>
      </c>
      <c r="L1277" s="271">
        <v>7177.0</v>
      </c>
      <c r="M1277" s="271">
        <v>200.0</v>
      </c>
      <c r="N1277" s="275">
        <v>768.0</v>
      </c>
      <c r="O1277" s="60"/>
      <c r="P1277" s="50">
        <v>768.0</v>
      </c>
      <c r="Q1277" s="271">
        <v>-1474.0</v>
      </c>
      <c r="R1277" s="276">
        <v>0.00324</v>
      </c>
      <c r="S1277" s="271">
        <v>-1304.0</v>
      </c>
      <c r="T1277" s="271">
        <v>-536.0</v>
      </c>
      <c r="U1277" s="62">
        <v>1.0</v>
      </c>
      <c r="V1277" s="277">
        <v>0.1</v>
      </c>
      <c r="W1277" s="277">
        <v>0.0</v>
      </c>
      <c r="X1277" s="271">
        <v>-483.0</v>
      </c>
      <c r="Y1277" s="271">
        <v>-54.0</v>
      </c>
      <c r="Z1277" s="50" t="b">
        <v>1</v>
      </c>
      <c r="AA1277" s="50" t="s">
        <v>138</v>
      </c>
      <c r="AB1277" s="50" t="s">
        <v>138</v>
      </c>
    </row>
    <row r="1278">
      <c r="A1278" s="101" t="s">
        <v>216</v>
      </c>
      <c r="B1278" s="101" t="s">
        <v>216</v>
      </c>
      <c r="C1278" s="278">
        <v>44641.0</v>
      </c>
      <c r="D1278" s="278">
        <v>44671.0</v>
      </c>
      <c r="E1278" s="271" t="s">
        <v>268</v>
      </c>
      <c r="F1278" s="138" t="s">
        <v>4</v>
      </c>
      <c r="G1278" s="101" t="s">
        <v>5</v>
      </c>
      <c r="H1278" s="273" t="s">
        <v>86</v>
      </c>
      <c r="I1278" s="274">
        <v>100.0</v>
      </c>
      <c r="J1278" s="271">
        <v>1.0</v>
      </c>
      <c r="K1278" s="271">
        <f t="shared" si="1"/>
        <v>100</v>
      </c>
      <c r="L1278" s="271">
        <v>395.0</v>
      </c>
      <c r="M1278" s="271">
        <v>-100.0</v>
      </c>
      <c r="N1278" s="275">
        <v>1.0</v>
      </c>
      <c r="O1278" s="60"/>
      <c r="P1278" s="50">
        <v>1.0</v>
      </c>
      <c r="Q1278" s="271">
        <v>118.0</v>
      </c>
      <c r="R1278" s="276">
        <v>0.00324</v>
      </c>
      <c r="S1278" s="271">
        <v>118.0</v>
      </c>
      <c r="T1278" s="271">
        <v>119.0</v>
      </c>
      <c r="U1278" s="62">
        <v>1.0</v>
      </c>
      <c r="V1278" s="277">
        <v>0.1</v>
      </c>
      <c r="W1278" s="277">
        <v>0.0</v>
      </c>
      <c r="X1278" s="271">
        <v>107.0</v>
      </c>
      <c r="Y1278" s="271">
        <v>12.0</v>
      </c>
      <c r="Z1278" s="50" t="b">
        <v>1</v>
      </c>
      <c r="AA1278" s="50" t="s">
        <v>138</v>
      </c>
      <c r="AB1278" s="50" t="s">
        <v>138</v>
      </c>
    </row>
    <row r="1279">
      <c r="A1279" s="101" t="s">
        <v>216</v>
      </c>
      <c r="B1279" s="101" t="s">
        <v>216</v>
      </c>
      <c r="C1279" s="278">
        <v>44641.0</v>
      </c>
      <c r="D1279" s="278">
        <v>44671.0</v>
      </c>
      <c r="E1279" s="271" t="s">
        <v>268</v>
      </c>
      <c r="F1279" s="138" t="s">
        <v>4</v>
      </c>
      <c r="G1279" s="101" t="s">
        <v>5</v>
      </c>
      <c r="H1279" s="273" t="s">
        <v>96</v>
      </c>
      <c r="I1279" s="274">
        <v>250.0</v>
      </c>
      <c r="J1279" s="271">
        <v>673.0</v>
      </c>
      <c r="K1279" s="271">
        <f t="shared" si="1"/>
        <v>168250</v>
      </c>
      <c r="L1279" s="271">
        <v>13328.0</v>
      </c>
      <c r="M1279" s="271">
        <v>12250.0</v>
      </c>
      <c r="N1279" s="275">
        <v>2476.0</v>
      </c>
      <c r="O1279" s="60"/>
      <c r="P1279" s="109">
        <v>2476.0</v>
      </c>
      <c r="Q1279" s="271">
        <v>-2421.0</v>
      </c>
      <c r="R1279" s="276">
        <v>0.00324</v>
      </c>
      <c r="S1279" s="271">
        <v>-1875.0</v>
      </c>
      <c r="T1279" s="271">
        <v>601.0</v>
      </c>
      <c r="U1279" s="62">
        <v>1.0</v>
      </c>
      <c r="V1279" s="277">
        <v>0.1</v>
      </c>
      <c r="W1279" s="277">
        <v>0.0</v>
      </c>
      <c r="X1279" s="271">
        <v>541.0</v>
      </c>
      <c r="Y1279" s="271">
        <v>60.0</v>
      </c>
      <c r="Z1279" s="50" t="b">
        <v>1</v>
      </c>
      <c r="AA1279" s="50" t="s">
        <v>138</v>
      </c>
      <c r="AB1279" s="50" t="s">
        <v>138</v>
      </c>
    </row>
    <row r="1280">
      <c r="A1280" s="101" t="s">
        <v>216</v>
      </c>
      <c r="B1280" s="101" t="s">
        <v>216</v>
      </c>
      <c r="C1280" s="278">
        <v>44641.0</v>
      </c>
      <c r="D1280" s="278">
        <v>44671.0</v>
      </c>
      <c r="E1280" s="271" t="s">
        <v>268</v>
      </c>
      <c r="F1280" s="138" t="s">
        <v>4</v>
      </c>
      <c r="G1280" s="101" t="s">
        <v>5</v>
      </c>
      <c r="H1280" s="273" t="s">
        <v>97</v>
      </c>
      <c r="I1280" s="274">
        <v>250.0</v>
      </c>
      <c r="J1280" s="271">
        <v>107.0</v>
      </c>
      <c r="K1280" s="271">
        <f t="shared" si="1"/>
        <v>26750</v>
      </c>
      <c r="L1280" s="271">
        <v>-117.0</v>
      </c>
      <c r="M1280" s="271">
        <v>1500.0</v>
      </c>
      <c r="N1280" s="275">
        <v>394.0</v>
      </c>
      <c r="O1280" s="60"/>
      <c r="P1280" s="50">
        <v>394.0</v>
      </c>
      <c r="Q1280" s="271">
        <v>-1472.0</v>
      </c>
      <c r="R1280" s="276">
        <v>0.00324</v>
      </c>
      <c r="S1280" s="271">
        <v>-1385.0</v>
      </c>
      <c r="T1280" s="271">
        <v>-991.0</v>
      </c>
      <c r="U1280" s="62">
        <v>1.0</v>
      </c>
      <c r="V1280" s="277">
        <v>0.1</v>
      </c>
      <c r="W1280" s="277">
        <v>0.0</v>
      </c>
      <c r="X1280" s="271">
        <v>-892.0</v>
      </c>
      <c r="Y1280" s="271">
        <v>-99.0</v>
      </c>
      <c r="Z1280" s="50" t="b">
        <v>1</v>
      </c>
      <c r="AA1280" s="50" t="s">
        <v>138</v>
      </c>
      <c r="AB1280" s="50" t="s">
        <v>138</v>
      </c>
    </row>
    <row r="1281">
      <c r="A1281" s="101" t="s">
        <v>216</v>
      </c>
      <c r="B1281" s="101" t="s">
        <v>216</v>
      </c>
      <c r="C1281" s="278">
        <v>44641.0</v>
      </c>
      <c r="D1281" s="278">
        <v>44671.0</v>
      </c>
      <c r="E1281" s="271" t="s">
        <v>268</v>
      </c>
      <c r="F1281" s="138" t="s">
        <v>4</v>
      </c>
      <c r="G1281" s="101" t="s">
        <v>5</v>
      </c>
      <c r="H1281" s="273" t="s">
        <v>101</v>
      </c>
      <c r="I1281" s="274">
        <v>500.0</v>
      </c>
      <c r="J1281" s="271">
        <v>2.0</v>
      </c>
      <c r="K1281" s="271">
        <f t="shared" si="1"/>
        <v>1000</v>
      </c>
      <c r="L1281" s="271">
        <v>-450.0</v>
      </c>
      <c r="M1281" s="271">
        <v>500.0</v>
      </c>
      <c r="N1281" s="275">
        <v>15.0</v>
      </c>
      <c r="O1281" s="60"/>
      <c r="P1281" s="50">
        <v>15.0</v>
      </c>
      <c r="Q1281" s="271">
        <v>-474.0</v>
      </c>
      <c r="R1281" s="276">
        <v>0.00324</v>
      </c>
      <c r="S1281" s="271">
        <v>-471.0</v>
      </c>
      <c r="T1281" s="271">
        <v>-456.0</v>
      </c>
      <c r="U1281" s="62">
        <v>1.0</v>
      </c>
      <c r="V1281" s="277">
        <v>0.1</v>
      </c>
      <c r="W1281" s="277">
        <v>0.0</v>
      </c>
      <c r="X1281" s="271">
        <v>-410.0</v>
      </c>
      <c r="Y1281" s="271">
        <v>-46.0</v>
      </c>
      <c r="Z1281" s="50" t="b">
        <v>1</v>
      </c>
      <c r="AA1281" s="50" t="s">
        <v>138</v>
      </c>
      <c r="AB1281" s="50" t="s">
        <v>138</v>
      </c>
    </row>
    <row r="1282">
      <c r="A1282" s="271" t="s">
        <v>143</v>
      </c>
      <c r="B1282" s="271" t="s">
        <v>139</v>
      </c>
      <c r="C1282" s="278">
        <v>44649.0</v>
      </c>
      <c r="D1282" s="278">
        <v>44681.0</v>
      </c>
      <c r="E1282" s="271" t="s">
        <v>268</v>
      </c>
      <c r="F1282" s="138" t="s">
        <v>8</v>
      </c>
      <c r="G1282" s="271" t="s">
        <v>5</v>
      </c>
      <c r="H1282" s="271" t="s">
        <v>62</v>
      </c>
      <c r="I1282" s="274">
        <v>25.0</v>
      </c>
      <c r="J1282" s="271">
        <v>322.0</v>
      </c>
      <c r="K1282" s="271">
        <f t="shared" si="1"/>
        <v>8050</v>
      </c>
      <c r="L1282" s="287">
        <f>322*22.2</f>
        <v>7148.4</v>
      </c>
      <c r="M1282" s="287">
        <v>-50.0</v>
      </c>
      <c r="N1282" s="275">
        <v>144.0</v>
      </c>
      <c r="O1282" s="60"/>
      <c r="P1282" s="50">
        <v>144.0</v>
      </c>
      <c r="Q1282" s="287">
        <v>-184.0</v>
      </c>
      <c r="R1282" s="276">
        <v>1.02E-4</v>
      </c>
      <c r="S1282" s="287">
        <v>-183.0</v>
      </c>
      <c r="T1282" s="287">
        <v>-39.0</v>
      </c>
      <c r="U1282" s="62">
        <v>1.0</v>
      </c>
      <c r="V1282" s="277">
        <v>0.23</v>
      </c>
      <c r="W1282" s="277">
        <v>0.0</v>
      </c>
      <c r="X1282" s="287">
        <v>-30.0</v>
      </c>
      <c r="Y1282" s="287">
        <v>-9.0</v>
      </c>
      <c r="Z1282" s="50" t="b">
        <v>1</v>
      </c>
      <c r="AA1282" s="50" t="s">
        <v>138</v>
      </c>
      <c r="AB1282" s="50" t="s">
        <v>138</v>
      </c>
    </row>
    <row r="1283">
      <c r="A1283" s="271" t="s">
        <v>143</v>
      </c>
      <c r="B1283" s="271" t="s">
        <v>139</v>
      </c>
      <c r="C1283" s="278">
        <v>44649.0</v>
      </c>
      <c r="D1283" s="278">
        <v>44681.0</v>
      </c>
      <c r="E1283" s="271" t="s">
        <v>268</v>
      </c>
      <c r="F1283" s="138" t="s">
        <v>8</v>
      </c>
      <c r="G1283" s="271" t="s">
        <v>5</v>
      </c>
      <c r="H1283" s="271" t="s">
        <v>45</v>
      </c>
      <c r="I1283" s="274">
        <v>10.0</v>
      </c>
      <c r="J1283" s="271">
        <v>1951.0</v>
      </c>
      <c r="K1283" s="271">
        <f t="shared" si="1"/>
        <v>19510</v>
      </c>
      <c r="L1283" s="287">
        <f>53.45*1951</f>
        <v>104280.95</v>
      </c>
      <c r="M1283" s="287">
        <v>-60.0</v>
      </c>
      <c r="N1283" s="275">
        <v>408.0</v>
      </c>
      <c r="O1283" s="60"/>
      <c r="P1283" s="50">
        <v>408.0</v>
      </c>
      <c r="Q1283" s="287">
        <v>469.0</v>
      </c>
      <c r="R1283" s="276">
        <v>1.49E-4</v>
      </c>
      <c r="S1283" s="287">
        <v>472.0</v>
      </c>
      <c r="T1283" s="287">
        <v>880.0</v>
      </c>
      <c r="U1283" s="62">
        <v>1.0</v>
      </c>
      <c r="V1283" s="277">
        <v>0.23</v>
      </c>
      <c r="W1283" s="277">
        <v>0.0</v>
      </c>
      <c r="X1283" s="287">
        <v>678.0</v>
      </c>
      <c r="Y1283" s="287">
        <v>202.0</v>
      </c>
      <c r="Z1283" s="50" t="b">
        <v>1</v>
      </c>
      <c r="AA1283" s="50" t="s">
        <v>138</v>
      </c>
      <c r="AB1283" s="50" t="s">
        <v>138</v>
      </c>
    </row>
    <row r="1284">
      <c r="A1284" s="271" t="s">
        <v>143</v>
      </c>
      <c r="B1284" s="271" t="s">
        <v>139</v>
      </c>
      <c r="C1284" s="278">
        <v>44649.0</v>
      </c>
      <c r="D1284" s="278">
        <v>44681.0</v>
      </c>
      <c r="E1284" s="271" t="s">
        <v>268</v>
      </c>
      <c r="F1284" s="138" t="s">
        <v>12</v>
      </c>
      <c r="G1284" s="271" t="s">
        <v>5</v>
      </c>
      <c r="H1284" s="271" t="s">
        <v>20</v>
      </c>
      <c r="I1284" s="274">
        <v>1.0</v>
      </c>
      <c r="J1284" s="271">
        <v>22.0</v>
      </c>
      <c r="K1284" s="271">
        <f t="shared" si="1"/>
        <v>22</v>
      </c>
      <c r="L1284" s="271"/>
      <c r="M1284" s="271">
        <v>6.0</v>
      </c>
      <c r="N1284" s="275"/>
      <c r="O1284" s="60"/>
      <c r="P1284" s="101"/>
      <c r="Q1284" s="271"/>
      <c r="R1284" s="276">
        <v>0.0</v>
      </c>
      <c r="S1284" s="271"/>
      <c r="T1284" s="271">
        <v>6.0</v>
      </c>
      <c r="U1284" s="62">
        <v>1.0</v>
      </c>
      <c r="V1284" s="277">
        <v>0.23</v>
      </c>
      <c r="W1284" s="277">
        <v>0.0</v>
      </c>
      <c r="X1284" s="271">
        <v>5.0</v>
      </c>
      <c r="Y1284" s="271">
        <v>1.0</v>
      </c>
      <c r="Z1284" s="50" t="b">
        <v>1</v>
      </c>
      <c r="AA1284" s="50" t="s">
        <v>138</v>
      </c>
      <c r="AB1284" s="50" t="s">
        <v>138</v>
      </c>
    </row>
    <row r="1285">
      <c r="A1285" s="271" t="s">
        <v>143</v>
      </c>
      <c r="B1285" s="271" t="s">
        <v>139</v>
      </c>
      <c r="C1285" s="278">
        <v>44649.0</v>
      </c>
      <c r="D1285" s="278">
        <v>44681.0</v>
      </c>
      <c r="E1285" s="271" t="s">
        <v>268</v>
      </c>
      <c r="F1285" s="138" t="s">
        <v>12</v>
      </c>
      <c r="G1285" s="271" t="s">
        <v>5</v>
      </c>
      <c r="H1285" s="271" t="s">
        <v>6</v>
      </c>
      <c r="I1285" s="274">
        <v>0.25</v>
      </c>
      <c r="J1285" s="271">
        <v>1.0</v>
      </c>
      <c r="K1285" s="271">
        <f t="shared" si="1"/>
        <v>0.25</v>
      </c>
      <c r="L1285" s="271"/>
      <c r="M1285" s="271">
        <v>0.0</v>
      </c>
      <c r="N1285" s="275"/>
      <c r="O1285" s="60"/>
      <c r="P1285" s="101"/>
      <c r="Q1285" s="271"/>
      <c r="R1285" s="276">
        <v>0.0</v>
      </c>
      <c r="S1285" s="271"/>
      <c r="T1285" s="271">
        <v>0.0</v>
      </c>
      <c r="U1285" s="62">
        <v>1.0</v>
      </c>
      <c r="V1285" s="277">
        <v>0.23</v>
      </c>
      <c r="W1285" s="277">
        <v>0.0</v>
      </c>
      <c r="X1285" s="271">
        <v>0.0</v>
      </c>
      <c r="Y1285" s="271">
        <v>0.0</v>
      </c>
      <c r="Z1285" s="50" t="b">
        <v>1</v>
      </c>
      <c r="AA1285" s="50" t="s">
        <v>138</v>
      </c>
      <c r="AB1285" s="50" t="s">
        <v>138</v>
      </c>
    </row>
    <row r="1286">
      <c r="A1286" s="271" t="s">
        <v>143</v>
      </c>
      <c r="B1286" s="271" t="s">
        <v>139</v>
      </c>
      <c r="C1286" s="278">
        <v>44649.0</v>
      </c>
      <c r="D1286" s="278">
        <v>44681.0</v>
      </c>
      <c r="E1286" s="271" t="s">
        <v>268</v>
      </c>
      <c r="F1286" s="138" t="s">
        <v>12</v>
      </c>
      <c r="G1286" s="271" t="s">
        <v>5</v>
      </c>
      <c r="H1286" s="271" t="s">
        <v>35</v>
      </c>
      <c r="I1286" s="274">
        <v>5.0</v>
      </c>
      <c r="J1286" s="271">
        <v>209.0</v>
      </c>
      <c r="K1286" s="271">
        <f t="shared" si="1"/>
        <v>1045</v>
      </c>
      <c r="L1286" s="271"/>
      <c r="M1286" s="271">
        <v>90.0</v>
      </c>
      <c r="N1286" s="275">
        <v>25.0</v>
      </c>
      <c r="O1286" s="60"/>
      <c r="P1286" s="50">
        <v>25.0</v>
      </c>
      <c r="Q1286" s="271"/>
      <c r="R1286" s="276">
        <v>0.0</v>
      </c>
      <c r="S1286" s="271"/>
      <c r="T1286" s="271">
        <v>115.0</v>
      </c>
      <c r="U1286" s="62">
        <v>1.0</v>
      </c>
      <c r="V1286" s="277">
        <v>0.23</v>
      </c>
      <c r="W1286" s="277">
        <v>0.0</v>
      </c>
      <c r="X1286" s="271">
        <v>89.0</v>
      </c>
      <c r="Y1286" s="271">
        <v>26.0</v>
      </c>
      <c r="Z1286" s="50" t="b">
        <v>1</v>
      </c>
      <c r="AA1286" s="50" t="s">
        <v>138</v>
      </c>
      <c r="AB1286" s="50" t="s">
        <v>138</v>
      </c>
    </row>
    <row r="1287">
      <c r="A1287" s="101" t="s">
        <v>177</v>
      </c>
      <c r="B1287" s="101" t="s">
        <v>177</v>
      </c>
      <c r="C1287" s="278">
        <v>44652.0</v>
      </c>
      <c r="D1287" s="278">
        <v>44681.0</v>
      </c>
      <c r="E1287" s="280" t="s">
        <v>268</v>
      </c>
      <c r="F1287" s="138" t="s">
        <v>8</v>
      </c>
      <c r="G1287" s="280" t="s">
        <v>5</v>
      </c>
      <c r="H1287" s="273" t="s">
        <v>75</v>
      </c>
      <c r="I1287" s="274">
        <v>50.0</v>
      </c>
      <c r="J1287" s="271">
        <v>1099.0</v>
      </c>
      <c r="K1287" s="271">
        <f t="shared" si="1"/>
        <v>54950</v>
      </c>
      <c r="L1287" s="271">
        <v>2882.0</v>
      </c>
      <c r="M1287" s="271">
        <v>-1400.0</v>
      </c>
      <c r="N1287" s="275">
        <v>2203.0</v>
      </c>
      <c r="O1287" s="60"/>
      <c r="P1287" s="109">
        <v>2203.0</v>
      </c>
      <c r="Q1287" s="271">
        <v>-3071.0</v>
      </c>
      <c r="R1287" s="276">
        <v>3.18E-4</v>
      </c>
      <c r="S1287" s="271">
        <v>-3054.0</v>
      </c>
      <c r="T1287" s="271">
        <v>-851.0</v>
      </c>
      <c r="U1287" s="62">
        <v>1.0</v>
      </c>
      <c r="V1287" s="277">
        <v>0.12</v>
      </c>
      <c r="W1287" s="277">
        <v>0.0</v>
      </c>
      <c r="X1287" s="271">
        <v>-749.0</v>
      </c>
      <c r="Y1287" s="271">
        <v>-102.0</v>
      </c>
      <c r="Z1287" s="50" t="b">
        <v>1</v>
      </c>
      <c r="AA1287" s="50" t="s">
        <v>138</v>
      </c>
      <c r="AB1287" s="50" t="s">
        <v>138</v>
      </c>
    </row>
    <row r="1288">
      <c r="A1288" s="101" t="s">
        <v>177</v>
      </c>
      <c r="B1288" s="101" t="s">
        <v>177</v>
      </c>
      <c r="C1288" s="278">
        <v>44652.0</v>
      </c>
      <c r="D1288" s="278">
        <v>44681.0</v>
      </c>
      <c r="E1288" s="280" t="s">
        <v>268</v>
      </c>
      <c r="F1288" s="138" t="s">
        <v>8</v>
      </c>
      <c r="G1288" s="280" t="s">
        <v>5</v>
      </c>
      <c r="H1288" s="273" t="s">
        <v>85</v>
      </c>
      <c r="I1288" s="274">
        <v>100.0</v>
      </c>
      <c r="J1288" s="271">
        <v>419.0</v>
      </c>
      <c r="K1288" s="271">
        <f t="shared" si="1"/>
        <v>41900</v>
      </c>
      <c r="L1288" s="271">
        <v>2697.0</v>
      </c>
      <c r="M1288" s="271">
        <v>2900.0</v>
      </c>
      <c r="N1288" s="275">
        <v>1400.0</v>
      </c>
      <c r="O1288" s="60"/>
      <c r="P1288" s="109">
        <v>1400.0</v>
      </c>
      <c r="Q1288" s="271">
        <v>-1757.0</v>
      </c>
      <c r="R1288" s="276">
        <v>3.13E-4</v>
      </c>
      <c r="S1288" s="271">
        <v>-1744.0</v>
      </c>
      <c r="T1288" s="271">
        <v>-344.0</v>
      </c>
      <c r="U1288" s="62">
        <v>1.0</v>
      </c>
      <c r="V1288" s="277">
        <v>0.12</v>
      </c>
      <c r="W1288" s="277">
        <v>0.0</v>
      </c>
      <c r="X1288" s="271">
        <v>-303.0</v>
      </c>
      <c r="Y1288" s="271">
        <v>-41.0</v>
      </c>
      <c r="Z1288" s="50" t="b">
        <v>1</v>
      </c>
      <c r="AA1288" s="50" t="s">
        <v>138</v>
      </c>
      <c r="AB1288" s="50" t="s">
        <v>138</v>
      </c>
    </row>
    <row r="1289">
      <c r="A1289" s="101" t="s">
        <v>177</v>
      </c>
      <c r="B1289" s="101" t="s">
        <v>177</v>
      </c>
      <c r="C1289" s="278">
        <v>44652.0</v>
      </c>
      <c r="D1289" s="278">
        <v>44681.0</v>
      </c>
      <c r="E1289" s="280" t="s">
        <v>268</v>
      </c>
      <c r="F1289" s="138" t="s">
        <v>8</v>
      </c>
      <c r="G1289" s="280" t="s">
        <v>5</v>
      </c>
      <c r="H1289" s="273" t="s">
        <v>86</v>
      </c>
      <c r="I1289" s="274">
        <v>100.0</v>
      </c>
      <c r="J1289" s="271">
        <v>4777.0</v>
      </c>
      <c r="K1289" s="271">
        <f t="shared" si="1"/>
        <v>477700</v>
      </c>
      <c r="L1289" s="271">
        <v>56885.0</v>
      </c>
      <c r="M1289" s="271">
        <v>1000.0</v>
      </c>
      <c r="N1289" s="275">
        <v>15972.0</v>
      </c>
      <c r="O1289" s="60"/>
      <c r="P1289" s="109">
        <v>15972.0</v>
      </c>
      <c r="Q1289" s="271">
        <v>-8026.0</v>
      </c>
      <c r="R1289" s="276">
        <v>3.22E-4</v>
      </c>
      <c r="S1289" s="271">
        <v>-7872.0</v>
      </c>
      <c r="T1289" s="271">
        <v>8100.0</v>
      </c>
      <c r="U1289" s="62">
        <v>1.0</v>
      </c>
      <c r="V1289" s="277">
        <v>0.12</v>
      </c>
      <c r="W1289" s="277">
        <v>0.0</v>
      </c>
      <c r="X1289" s="271">
        <v>7128.0</v>
      </c>
      <c r="Y1289" s="271">
        <v>972.0</v>
      </c>
      <c r="Z1289" s="50" t="b">
        <v>1</v>
      </c>
      <c r="AA1289" s="50" t="s">
        <v>138</v>
      </c>
      <c r="AB1289" s="50" t="s">
        <v>138</v>
      </c>
    </row>
    <row r="1290">
      <c r="A1290" s="101" t="s">
        <v>177</v>
      </c>
      <c r="B1290" s="101" t="s">
        <v>177</v>
      </c>
      <c r="C1290" s="278">
        <v>44652.0</v>
      </c>
      <c r="D1290" s="278">
        <v>44681.0</v>
      </c>
      <c r="E1290" s="280" t="s">
        <v>268</v>
      </c>
      <c r="F1290" s="138" t="s">
        <v>8</v>
      </c>
      <c r="G1290" s="280" t="s">
        <v>5</v>
      </c>
      <c r="H1290" s="273" t="s">
        <v>97</v>
      </c>
      <c r="I1290" s="274">
        <v>250.0</v>
      </c>
      <c r="J1290" s="271">
        <v>691.0</v>
      </c>
      <c r="K1290" s="271">
        <f t="shared" si="1"/>
        <v>172750</v>
      </c>
      <c r="L1290" s="271">
        <v>6948.0</v>
      </c>
      <c r="M1290" s="271">
        <v>-7000.0</v>
      </c>
      <c r="N1290" s="275">
        <v>5798.0</v>
      </c>
      <c r="O1290" s="60"/>
      <c r="P1290" s="109">
        <v>5798.0</v>
      </c>
      <c r="Q1290" s="271">
        <v>-3474.0</v>
      </c>
      <c r="R1290" s="276">
        <v>3.18E-4</v>
      </c>
      <c r="S1290" s="271">
        <v>-3419.0</v>
      </c>
      <c r="T1290" s="271">
        <v>2379.0</v>
      </c>
      <c r="U1290" s="62">
        <v>1.0</v>
      </c>
      <c r="V1290" s="277">
        <v>0.12</v>
      </c>
      <c r="W1290" s="277">
        <v>0.0</v>
      </c>
      <c r="X1290" s="271">
        <v>2094.0</v>
      </c>
      <c r="Y1290" s="271">
        <v>285.0</v>
      </c>
      <c r="Z1290" s="50" t="b">
        <v>1</v>
      </c>
      <c r="AA1290" s="50" t="s">
        <v>138</v>
      </c>
      <c r="AB1290" s="50" t="s">
        <v>138</v>
      </c>
    </row>
    <row r="1291">
      <c r="A1291" s="101" t="s">
        <v>177</v>
      </c>
      <c r="B1291" s="101" t="s">
        <v>177</v>
      </c>
      <c r="C1291" s="278">
        <v>44652.0</v>
      </c>
      <c r="D1291" s="278">
        <v>44681.0</v>
      </c>
      <c r="E1291" s="280" t="s">
        <v>268</v>
      </c>
      <c r="F1291" s="138" t="s">
        <v>8</v>
      </c>
      <c r="G1291" s="280" t="s">
        <v>5</v>
      </c>
      <c r="H1291" s="273" t="s">
        <v>96</v>
      </c>
      <c r="I1291" s="274">
        <v>250.0</v>
      </c>
      <c r="J1291" s="271">
        <v>485.0</v>
      </c>
      <c r="K1291" s="271">
        <f t="shared" si="1"/>
        <v>121250</v>
      </c>
      <c r="L1291" s="271">
        <v>-1422.0</v>
      </c>
      <c r="M1291" s="271">
        <v>-7750.0</v>
      </c>
      <c r="N1291" s="275">
        <v>4052.0</v>
      </c>
      <c r="O1291" s="60"/>
      <c r="P1291" s="109">
        <v>4052.0</v>
      </c>
      <c r="Q1291" s="271">
        <v>-6925.0</v>
      </c>
      <c r="R1291" s="276">
        <v>3.09E-4</v>
      </c>
      <c r="S1291" s="271">
        <v>-6887.0</v>
      </c>
      <c r="T1291" s="271">
        <v>-2835.0</v>
      </c>
      <c r="U1291" s="62">
        <v>1.0</v>
      </c>
      <c r="V1291" s="277">
        <v>0.12</v>
      </c>
      <c r="W1291" s="277">
        <v>0.0</v>
      </c>
      <c r="X1291" s="271">
        <v>-2495.0</v>
      </c>
      <c r="Y1291" s="271">
        <v>-340.0</v>
      </c>
      <c r="Z1291" s="50" t="b">
        <v>1</v>
      </c>
      <c r="AA1291" s="50" t="s">
        <v>138</v>
      </c>
      <c r="AB1291" s="50" t="s">
        <v>138</v>
      </c>
    </row>
    <row r="1292">
      <c r="A1292" s="280" t="s">
        <v>183</v>
      </c>
      <c r="B1292" s="280" t="s">
        <v>183</v>
      </c>
      <c r="C1292" s="283">
        <v>44662.0</v>
      </c>
      <c r="D1292" s="283">
        <v>44681.0</v>
      </c>
      <c r="E1292" s="280" t="s">
        <v>268</v>
      </c>
      <c r="F1292" s="138" t="s">
        <v>8</v>
      </c>
      <c r="G1292" s="280" t="s">
        <v>16</v>
      </c>
      <c r="H1292" s="290" t="s">
        <v>45</v>
      </c>
      <c r="I1292" s="50">
        <v>10.0</v>
      </c>
      <c r="J1292" s="101">
        <v>2906.0</v>
      </c>
      <c r="K1292" s="271">
        <f t="shared" si="1"/>
        <v>29060</v>
      </c>
      <c r="L1292" s="271">
        <v>128322.0</v>
      </c>
      <c r="M1292" s="271">
        <v>-760.0</v>
      </c>
      <c r="N1292" s="282">
        <v>1100.0</v>
      </c>
      <c r="O1292" s="60"/>
      <c r="P1292" s="109">
        <v>1100.0</v>
      </c>
      <c r="Q1292" s="271">
        <v>539.0</v>
      </c>
      <c r="R1292" s="276">
        <v>-0.001409</v>
      </c>
      <c r="S1292" s="271">
        <v>498.0</v>
      </c>
      <c r="T1292" s="271">
        <v>1598.0</v>
      </c>
      <c r="U1292" s="62">
        <v>1.0</v>
      </c>
      <c r="V1292" s="277">
        <v>0.17</v>
      </c>
      <c r="W1292" s="277">
        <v>0.0</v>
      </c>
      <c r="X1292" s="271">
        <v>1326.0</v>
      </c>
      <c r="Y1292" s="271">
        <v>272.0</v>
      </c>
      <c r="Z1292" s="50" t="b">
        <v>1</v>
      </c>
      <c r="AA1292" s="50" t="s">
        <v>138</v>
      </c>
      <c r="AB1292" s="50" t="s">
        <v>138</v>
      </c>
    </row>
    <row r="1293">
      <c r="A1293" s="280" t="s">
        <v>459</v>
      </c>
      <c r="B1293" s="280" t="s">
        <v>145</v>
      </c>
      <c r="C1293" s="283">
        <v>44652.0</v>
      </c>
      <c r="D1293" s="283">
        <v>44681.0</v>
      </c>
      <c r="E1293" s="280" t="s">
        <v>331</v>
      </c>
      <c r="F1293" s="138" t="s">
        <v>8</v>
      </c>
      <c r="G1293" s="280" t="s">
        <v>9</v>
      </c>
      <c r="H1293" s="290" t="s">
        <v>98</v>
      </c>
      <c r="I1293" s="281">
        <v>250.0</v>
      </c>
      <c r="J1293" s="280">
        <v>797.0</v>
      </c>
      <c r="K1293" s="271">
        <f t="shared" si="1"/>
        <v>199250</v>
      </c>
      <c r="L1293" s="280">
        <v>26605.0</v>
      </c>
      <c r="M1293" s="280">
        <v>18250.0</v>
      </c>
      <c r="N1293" s="282">
        <v>12321.56</v>
      </c>
      <c r="O1293" s="60"/>
      <c r="P1293" s="109">
        <v>12322.0</v>
      </c>
      <c r="Q1293" s="280">
        <v>-3324.0</v>
      </c>
      <c r="R1293" s="276">
        <v>3.23E-4</v>
      </c>
      <c r="S1293" s="280">
        <v>-3260.0</v>
      </c>
      <c r="T1293" s="280">
        <v>9062.0</v>
      </c>
      <c r="U1293" s="62">
        <v>1.0</v>
      </c>
      <c r="V1293" s="277">
        <v>0.1875</v>
      </c>
      <c r="W1293" s="277">
        <v>0.0625</v>
      </c>
      <c r="X1293" s="280">
        <v>6796.0</v>
      </c>
      <c r="Y1293" s="280">
        <v>2265.0</v>
      </c>
      <c r="Z1293" s="50" t="b">
        <v>1</v>
      </c>
      <c r="AA1293" s="50" t="s">
        <v>140</v>
      </c>
      <c r="AB1293" s="50" t="s">
        <v>140</v>
      </c>
    </row>
    <row r="1294">
      <c r="A1294" s="280" t="s">
        <v>459</v>
      </c>
      <c r="B1294" s="280" t="s">
        <v>145</v>
      </c>
      <c r="C1294" s="283">
        <v>44652.0</v>
      </c>
      <c r="D1294" s="283">
        <v>44681.0</v>
      </c>
      <c r="E1294" s="280" t="s">
        <v>331</v>
      </c>
      <c r="F1294" s="138" t="s">
        <v>8</v>
      </c>
      <c r="G1294" s="280" t="s">
        <v>9</v>
      </c>
      <c r="H1294" s="290" t="s">
        <v>89</v>
      </c>
      <c r="I1294" s="281">
        <v>100.0</v>
      </c>
      <c r="J1294" s="280">
        <v>1248.0</v>
      </c>
      <c r="K1294" s="271">
        <f t="shared" si="1"/>
        <v>124800</v>
      </c>
      <c r="L1294" s="280">
        <v>79179.0</v>
      </c>
      <c r="M1294" s="280">
        <v>4000.0</v>
      </c>
      <c r="N1294" s="282">
        <v>553.44</v>
      </c>
      <c r="O1294" s="60"/>
      <c r="P1294" s="50">
        <v>553.0</v>
      </c>
      <c r="Q1294" s="280">
        <v>3294.0</v>
      </c>
      <c r="R1294" s="276">
        <v>3.35E-4</v>
      </c>
      <c r="S1294" s="280">
        <v>3336.0</v>
      </c>
      <c r="T1294" s="280">
        <v>3889.0</v>
      </c>
      <c r="U1294" s="62">
        <v>1.0</v>
      </c>
      <c r="V1294" s="277">
        <v>0.1875</v>
      </c>
      <c r="W1294" s="277">
        <v>0.0625</v>
      </c>
      <c r="X1294" s="280">
        <v>2917.0</v>
      </c>
      <c r="Y1294" s="280">
        <v>972.0</v>
      </c>
      <c r="Z1294" s="50" t="b">
        <v>1</v>
      </c>
      <c r="AA1294" s="50" t="s">
        <v>140</v>
      </c>
      <c r="AB1294" s="50" t="s">
        <v>140</v>
      </c>
    </row>
    <row r="1295">
      <c r="A1295" s="101" t="s">
        <v>181</v>
      </c>
      <c r="B1295" s="101" t="s">
        <v>181</v>
      </c>
      <c r="C1295" s="278">
        <v>44652.0</v>
      </c>
      <c r="D1295" s="278">
        <v>44681.0</v>
      </c>
      <c r="E1295" s="271" t="s">
        <v>268</v>
      </c>
      <c r="F1295" s="101" t="s">
        <v>8</v>
      </c>
      <c r="G1295" s="271" t="s">
        <v>13</v>
      </c>
      <c r="H1295" s="114" t="s">
        <v>85</v>
      </c>
      <c r="I1295" s="274">
        <v>100.0</v>
      </c>
      <c r="J1295" s="271">
        <v>14189.0</v>
      </c>
      <c r="K1295" s="271">
        <f t="shared" si="1"/>
        <v>1418900</v>
      </c>
      <c r="L1295" s="271">
        <v>159427.0</v>
      </c>
      <c r="M1295" s="271">
        <v>-70000.0</v>
      </c>
      <c r="N1295" s="275">
        <v>73253.61</v>
      </c>
      <c r="O1295" s="60"/>
      <c r="P1295" s="109">
        <v>73254.0</v>
      </c>
      <c r="Q1295" s="271">
        <v>-59966.0</v>
      </c>
      <c r="R1295" s="276">
        <v>1.24E-4</v>
      </c>
      <c r="S1295" s="271">
        <v>-59790.0</v>
      </c>
      <c r="T1295" s="271">
        <v>13464.0</v>
      </c>
      <c r="U1295" s="62">
        <v>1.0</v>
      </c>
      <c r="V1295" s="277">
        <v>0.15</v>
      </c>
      <c r="W1295" s="277">
        <v>0.0</v>
      </c>
      <c r="X1295" s="271">
        <v>11444.0</v>
      </c>
      <c r="Y1295" s="271">
        <v>2020.0</v>
      </c>
      <c r="Z1295" s="50" t="b">
        <v>1</v>
      </c>
      <c r="AA1295" s="50" t="s">
        <v>138</v>
      </c>
      <c r="AB1295" s="50" t="s">
        <v>138</v>
      </c>
    </row>
    <row r="1296">
      <c r="A1296" s="101" t="s">
        <v>181</v>
      </c>
      <c r="B1296" s="101" t="s">
        <v>181</v>
      </c>
      <c r="C1296" s="278">
        <v>44652.0</v>
      </c>
      <c r="D1296" s="278">
        <v>44681.0</v>
      </c>
      <c r="E1296" s="271" t="s">
        <v>268</v>
      </c>
      <c r="F1296" s="101" t="s">
        <v>12</v>
      </c>
      <c r="G1296" s="271" t="s">
        <v>13</v>
      </c>
      <c r="H1296" s="114" t="s">
        <v>93</v>
      </c>
      <c r="I1296" s="274">
        <v>200.0</v>
      </c>
      <c r="J1296" s="271">
        <v>1129.0</v>
      </c>
      <c r="K1296" s="271">
        <f t="shared" si="1"/>
        <v>225800</v>
      </c>
      <c r="L1296" s="271">
        <v>-141.0</v>
      </c>
      <c r="M1296" s="271">
        <v>-26400.0</v>
      </c>
      <c r="N1296" s="275">
        <v>11657.39</v>
      </c>
      <c r="O1296" s="60"/>
      <c r="P1296" s="109">
        <v>11657.0</v>
      </c>
      <c r="Q1296" s="271">
        <v>-16640.0</v>
      </c>
      <c r="R1296" s="276">
        <v>0.0</v>
      </c>
      <c r="S1296" s="271">
        <v>-16640.0</v>
      </c>
      <c r="T1296" s="271">
        <v>-14743.0</v>
      </c>
      <c r="U1296" s="62">
        <v>1.0</v>
      </c>
      <c r="V1296" s="277">
        <v>0.15</v>
      </c>
      <c r="W1296" s="277">
        <v>0.0</v>
      </c>
      <c r="X1296" s="271">
        <v>-12531.0</v>
      </c>
      <c r="Y1296" s="271">
        <v>-2211.0</v>
      </c>
      <c r="Z1296" s="50" t="b">
        <v>1</v>
      </c>
      <c r="AA1296" s="50" t="s">
        <v>138</v>
      </c>
      <c r="AB1296" s="50" t="s">
        <v>138</v>
      </c>
    </row>
    <row r="1297">
      <c r="A1297" s="280" t="s">
        <v>693</v>
      </c>
      <c r="B1297" s="280" t="s">
        <v>159</v>
      </c>
      <c r="C1297" s="283">
        <v>44652.0</v>
      </c>
      <c r="D1297" s="283">
        <v>44681.0</v>
      </c>
      <c r="E1297" s="280" t="s">
        <v>268</v>
      </c>
      <c r="F1297" s="138" t="s">
        <v>8</v>
      </c>
      <c r="G1297" s="280" t="s">
        <v>9</v>
      </c>
      <c r="H1297" s="273" t="s">
        <v>53</v>
      </c>
      <c r="I1297" s="281">
        <v>10.0</v>
      </c>
      <c r="J1297" s="280">
        <v>133.0</v>
      </c>
      <c r="K1297" s="271">
        <f t="shared" si="1"/>
        <v>1330</v>
      </c>
      <c r="L1297" s="280">
        <v>7749.0</v>
      </c>
      <c r="M1297" s="280">
        <v>-170.0</v>
      </c>
      <c r="N1297" s="282">
        <v>370.38</v>
      </c>
      <c r="O1297" s="60"/>
      <c r="P1297" s="50">
        <v>370.0</v>
      </c>
      <c r="Q1297" s="280">
        <v>20.0</v>
      </c>
      <c r="R1297" s="276">
        <v>5.66E-4</v>
      </c>
      <c r="S1297" s="280">
        <v>21.0</v>
      </c>
      <c r="T1297" s="280">
        <v>391.0</v>
      </c>
      <c r="U1297" s="62">
        <v>1.0</v>
      </c>
      <c r="V1297" s="277">
        <v>0.25</v>
      </c>
      <c r="W1297" s="277">
        <v>0.0</v>
      </c>
      <c r="X1297" s="280">
        <v>294.0</v>
      </c>
      <c r="Y1297" s="280">
        <v>98.0</v>
      </c>
      <c r="Z1297" s="50" t="b">
        <v>1</v>
      </c>
      <c r="AA1297" s="50" t="s">
        <v>140</v>
      </c>
      <c r="AB1297" s="50" t="s">
        <v>140</v>
      </c>
    </row>
    <row r="1298">
      <c r="A1298" s="280" t="s">
        <v>693</v>
      </c>
      <c r="B1298" s="280" t="s">
        <v>159</v>
      </c>
      <c r="C1298" s="283">
        <v>44652.0</v>
      </c>
      <c r="D1298" s="283">
        <v>44681.0</v>
      </c>
      <c r="E1298" s="280" t="s">
        <v>268</v>
      </c>
      <c r="F1298" s="138" t="s">
        <v>8</v>
      </c>
      <c r="G1298" s="280" t="s">
        <v>9</v>
      </c>
      <c r="H1298" s="273" t="s">
        <v>66</v>
      </c>
      <c r="I1298" s="281">
        <v>25.0</v>
      </c>
      <c r="J1298" s="280">
        <v>805.0</v>
      </c>
      <c r="K1298" s="271">
        <f t="shared" si="1"/>
        <v>20125</v>
      </c>
      <c r="L1298" s="280">
        <v>57825.0</v>
      </c>
      <c r="M1298" s="280">
        <v>-1550.0</v>
      </c>
      <c r="N1298" s="282">
        <v>64.62</v>
      </c>
      <c r="O1298" s="60"/>
      <c r="P1298" s="50">
        <v>65.0</v>
      </c>
      <c r="Q1298" s="280">
        <v>800.0</v>
      </c>
      <c r="R1298" s="276">
        <v>3.21E-4</v>
      </c>
      <c r="S1298" s="280">
        <v>806.0</v>
      </c>
      <c r="T1298" s="280">
        <v>871.0</v>
      </c>
      <c r="U1298" s="62">
        <v>1.0</v>
      </c>
      <c r="V1298" s="277">
        <v>0.25</v>
      </c>
      <c r="W1298" s="277">
        <v>0.0</v>
      </c>
      <c r="X1298" s="280">
        <v>653.0</v>
      </c>
      <c r="Y1298" s="280">
        <v>218.0</v>
      </c>
      <c r="Z1298" s="50" t="b">
        <v>1</v>
      </c>
      <c r="AA1298" s="50" t="s">
        <v>140</v>
      </c>
      <c r="AB1298" s="50" t="s">
        <v>140</v>
      </c>
    </row>
    <row r="1299">
      <c r="A1299" s="101" t="s">
        <v>197</v>
      </c>
      <c r="B1299" s="101" t="s">
        <v>197</v>
      </c>
      <c r="C1299" s="278">
        <v>44652.0</v>
      </c>
      <c r="D1299" s="278">
        <v>44681.0</v>
      </c>
      <c r="E1299" s="280" t="s">
        <v>268</v>
      </c>
      <c r="F1299" s="138" t="s">
        <v>8</v>
      </c>
      <c r="G1299" s="271" t="s">
        <v>5</v>
      </c>
      <c r="H1299" s="273" t="s">
        <v>48</v>
      </c>
      <c r="I1299" s="274">
        <v>10.0</v>
      </c>
      <c r="J1299" s="271">
        <v>2.0</v>
      </c>
      <c r="K1299" s="271">
        <f t="shared" si="1"/>
        <v>20</v>
      </c>
      <c r="L1299" s="271">
        <v>-204.0</v>
      </c>
      <c r="M1299" s="271">
        <v>-20.0</v>
      </c>
      <c r="N1299" s="275"/>
      <c r="O1299" s="60"/>
      <c r="P1299" s="101"/>
      <c r="Q1299" s="271">
        <v>-8.0</v>
      </c>
      <c r="R1299" s="276">
        <v>-0.014169</v>
      </c>
      <c r="S1299" s="271">
        <v>-8.0</v>
      </c>
      <c r="T1299" s="271">
        <v>-8.0</v>
      </c>
      <c r="U1299" s="62">
        <v>1.0</v>
      </c>
      <c r="V1299" s="277">
        <v>0.25</v>
      </c>
      <c r="W1299" s="277">
        <v>0.0</v>
      </c>
      <c r="X1299" s="271">
        <v>-6.0</v>
      </c>
      <c r="Y1299" s="271">
        <v>-2.0</v>
      </c>
      <c r="Z1299" s="50" t="b">
        <v>1</v>
      </c>
      <c r="AA1299" s="50" t="s">
        <v>138</v>
      </c>
      <c r="AB1299" s="50" t="s">
        <v>138</v>
      </c>
    </row>
    <row r="1300">
      <c r="A1300" s="101" t="s">
        <v>197</v>
      </c>
      <c r="B1300" s="101" t="s">
        <v>197</v>
      </c>
      <c r="C1300" s="278">
        <v>44652.0</v>
      </c>
      <c r="D1300" s="278">
        <v>44681.0</v>
      </c>
      <c r="E1300" s="280" t="s">
        <v>268</v>
      </c>
      <c r="F1300" s="138" t="s">
        <v>8</v>
      </c>
      <c r="G1300" s="271" t="s">
        <v>5</v>
      </c>
      <c r="H1300" s="273" t="s">
        <v>62</v>
      </c>
      <c r="I1300" s="274">
        <v>25.0</v>
      </c>
      <c r="J1300" s="271">
        <v>390.0</v>
      </c>
      <c r="K1300" s="271">
        <f t="shared" si="1"/>
        <v>9750</v>
      </c>
      <c r="L1300" s="271">
        <v>10022.0</v>
      </c>
      <c r="M1300" s="271">
        <v>-1025.0</v>
      </c>
      <c r="N1300" s="275">
        <v>364.0</v>
      </c>
      <c r="O1300" s="60"/>
      <c r="P1300" s="50">
        <v>364.0</v>
      </c>
      <c r="Q1300" s="271">
        <v>-159.0</v>
      </c>
      <c r="R1300" s="276">
        <v>3.49E-4</v>
      </c>
      <c r="S1300" s="271">
        <v>-156.0</v>
      </c>
      <c r="T1300" s="271">
        <v>208.0</v>
      </c>
      <c r="U1300" s="62">
        <v>1.0</v>
      </c>
      <c r="V1300" s="277">
        <v>0.25</v>
      </c>
      <c r="W1300" s="277">
        <v>0.0</v>
      </c>
      <c r="X1300" s="271">
        <v>156.0</v>
      </c>
      <c r="Y1300" s="271">
        <v>52.0</v>
      </c>
      <c r="Z1300" s="50" t="b">
        <v>1</v>
      </c>
      <c r="AA1300" s="50" t="s">
        <v>138</v>
      </c>
      <c r="AB1300" s="50" t="s">
        <v>138</v>
      </c>
    </row>
    <row r="1301">
      <c r="A1301" s="101" t="s">
        <v>197</v>
      </c>
      <c r="B1301" s="101" t="s">
        <v>197</v>
      </c>
      <c r="C1301" s="278">
        <v>44652.0</v>
      </c>
      <c r="D1301" s="278">
        <v>44681.0</v>
      </c>
      <c r="E1301" s="280" t="s">
        <v>268</v>
      </c>
      <c r="F1301" s="138" t="s">
        <v>8</v>
      </c>
      <c r="G1301" s="271" t="s">
        <v>5</v>
      </c>
      <c r="H1301" s="273" t="s">
        <v>63</v>
      </c>
      <c r="I1301" s="274">
        <v>25.0</v>
      </c>
      <c r="J1301" s="271">
        <v>1.0</v>
      </c>
      <c r="K1301" s="271">
        <f t="shared" si="1"/>
        <v>25</v>
      </c>
      <c r="L1301" s="271">
        <v>-8.0</v>
      </c>
      <c r="M1301" s="271">
        <v>-25.0</v>
      </c>
      <c r="N1301" s="275"/>
      <c r="O1301" s="60"/>
      <c r="P1301" s="101"/>
      <c r="Q1301" s="271">
        <v>-2.0</v>
      </c>
      <c r="R1301" s="276">
        <v>0.008724</v>
      </c>
      <c r="S1301" s="271">
        <v>-2.0</v>
      </c>
      <c r="T1301" s="271">
        <v>-2.0</v>
      </c>
      <c r="U1301" s="62">
        <v>1.0</v>
      </c>
      <c r="V1301" s="277">
        <v>0.25</v>
      </c>
      <c r="W1301" s="277">
        <v>0.0</v>
      </c>
      <c r="X1301" s="271">
        <v>-2.0</v>
      </c>
      <c r="Y1301" s="271">
        <v>-1.0</v>
      </c>
      <c r="Z1301" s="50" t="b">
        <v>1</v>
      </c>
      <c r="AA1301" s="50" t="s">
        <v>138</v>
      </c>
      <c r="AB1301" s="50" t="s">
        <v>138</v>
      </c>
    </row>
    <row r="1302">
      <c r="A1302" s="101" t="s">
        <v>197</v>
      </c>
      <c r="B1302" s="101" t="s">
        <v>197</v>
      </c>
      <c r="C1302" s="278">
        <v>44652.0</v>
      </c>
      <c r="D1302" s="278">
        <v>44681.0</v>
      </c>
      <c r="E1302" s="280" t="s">
        <v>268</v>
      </c>
      <c r="F1302" s="138" t="s">
        <v>8</v>
      </c>
      <c r="G1302" s="271" t="s">
        <v>5</v>
      </c>
      <c r="H1302" s="273" t="s">
        <v>75</v>
      </c>
      <c r="I1302" s="274">
        <v>50.0</v>
      </c>
      <c r="J1302" s="271">
        <v>326.0</v>
      </c>
      <c r="K1302" s="271">
        <f t="shared" si="1"/>
        <v>16300</v>
      </c>
      <c r="L1302" s="271">
        <v>116.0</v>
      </c>
      <c r="M1302" s="271">
        <v>-100.0</v>
      </c>
      <c r="N1302" s="275">
        <v>609.0</v>
      </c>
      <c r="O1302" s="60"/>
      <c r="P1302" s="50">
        <v>609.0</v>
      </c>
      <c r="Q1302" s="271">
        <v>-1025.0</v>
      </c>
      <c r="R1302" s="276">
        <v>3.24E-4</v>
      </c>
      <c r="S1302" s="271">
        <v>-1020.0</v>
      </c>
      <c r="T1302" s="271">
        <v>-411.0</v>
      </c>
      <c r="U1302" s="62">
        <v>1.0</v>
      </c>
      <c r="V1302" s="277">
        <v>0.25</v>
      </c>
      <c r="W1302" s="277">
        <v>0.0</v>
      </c>
      <c r="X1302" s="271">
        <v>-308.0</v>
      </c>
      <c r="Y1302" s="271">
        <v>-103.0</v>
      </c>
      <c r="Z1302" s="50" t="b">
        <v>1</v>
      </c>
      <c r="AA1302" s="50" t="s">
        <v>138</v>
      </c>
      <c r="AB1302" s="50" t="s">
        <v>138</v>
      </c>
    </row>
    <row r="1303">
      <c r="A1303" s="101" t="s">
        <v>197</v>
      </c>
      <c r="B1303" s="101" t="s">
        <v>197</v>
      </c>
      <c r="C1303" s="278">
        <v>44652.0</v>
      </c>
      <c r="D1303" s="278">
        <v>44681.0</v>
      </c>
      <c r="E1303" s="280" t="s">
        <v>268</v>
      </c>
      <c r="F1303" s="138" t="s">
        <v>8</v>
      </c>
      <c r="G1303" s="271" t="s">
        <v>5</v>
      </c>
      <c r="H1303" s="273" t="s">
        <v>74</v>
      </c>
      <c r="I1303" s="274">
        <v>50.0</v>
      </c>
      <c r="J1303" s="271">
        <v>978.0</v>
      </c>
      <c r="K1303" s="271">
        <f t="shared" si="1"/>
        <v>48900</v>
      </c>
      <c r="L1303" s="271">
        <v>27373.0</v>
      </c>
      <c r="M1303" s="271">
        <v>-2350.0</v>
      </c>
      <c r="N1303" s="275">
        <v>1827.0</v>
      </c>
      <c r="O1303" s="60"/>
      <c r="P1303" s="109">
        <v>1827.0</v>
      </c>
      <c r="Q1303" s="271">
        <v>-592.0</v>
      </c>
      <c r="R1303" s="276">
        <v>3.21E-4</v>
      </c>
      <c r="S1303" s="271">
        <v>-576.0</v>
      </c>
      <c r="T1303" s="271">
        <v>1251.0</v>
      </c>
      <c r="U1303" s="62">
        <v>1.0</v>
      </c>
      <c r="V1303" s="277">
        <v>0.25</v>
      </c>
      <c r="W1303" s="277">
        <v>0.0</v>
      </c>
      <c r="X1303" s="271">
        <v>938.0</v>
      </c>
      <c r="Y1303" s="271">
        <v>313.0</v>
      </c>
      <c r="Z1303" s="50" t="b">
        <v>1</v>
      </c>
      <c r="AA1303" s="50" t="s">
        <v>138</v>
      </c>
      <c r="AB1303" s="50" t="s">
        <v>138</v>
      </c>
    </row>
    <row r="1304">
      <c r="A1304" s="280" t="s">
        <v>176</v>
      </c>
      <c r="B1304" s="280" t="s">
        <v>176</v>
      </c>
      <c r="C1304" s="288">
        <v>44652.0</v>
      </c>
      <c r="D1304" s="288">
        <v>44681.0</v>
      </c>
      <c r="E1304" s="271" t="s">
        <v>268</v>
      </c>
      <c r="F1304" s="101" t="s">
        <v>12</v>
      </c>
      <c r="G1304" s="271" t="s">
        <v>142</v>
      </c>
      <c r="H1304" s="273" t="s">
        <v>39</v>
      </c>
      <c r="I1304" s="274">
        <v>5.0</v>
      </c>
      <c r="J1304" s="271">
        <v>12.0</v>
      </c>
      <c r="K1304" s="271">
        <f t="shared" si="1"/>
        <v>60</v>
      </c>
      <c r="L1304" s="271">
        <v>244.0</v>
      </c>
      <c r="M1304" s="271">
        <v>-3.08</v>
      </c>
      <c r="N1304" s="275"/>
      <c r="O1304" s="60">
        <v>0.5</v>
      </c>
      <c r="P1304" s="50">
        <v>2.0</v>
      </c>
      <c r="Q1304" s="271">
        <v>-2.0</v>
      </c>
      <c r="R1304" s="276">
        <v>0.0</v>
      </c>
      <c r="S1304" s="271">
        <v>-2.0</v>
      </c>
      <c r="T1304" s="271">
        <v>-1.0</v>
      </c>
      <c r="U1304" s="62">
        <v>1.083</v>
      </c>
      <c r="V1304" s="277">
        <v>0.17</v>
      </c>
      <c r="W1304" s="277">
        <v>0.0</v>
      </c>
      <c r="X1304" s="271">
        <v>-1.0</v>
      </c>
      <c r="Y1304" s="271">
        <v>0.0</v>
      </c>
      <c r="Z1304" s="50" t="b">
        <v>1</v>
      </c>
      <c r="AA1304" s="50" t="s">
        <v>138</v>
      </c>
      <c r="AB1304" s="50" t="s">
        <v>140</v>
      </c>
    </row>
    <row r="1305">
      <c r="A1305" s="280" t="s">
        <v>176</v>
      </c>
      <c r="B1305" s="280" t="s">
        <v>176</v>
      </c>
      <c r="C1305" s="288">
        <v>44652.0</v>
      </c>
      <c r="D1305" s="288">
        <v>44681.0</v>
      </c>
      <c r="E1305" s="271" t="s">
        <v>268</v>
      </c>
      <c r="F1305" s="101" t="s">
        <v>12</v>
      </c>
      <c r="G1305" s="271" t="s">
        <v>142</v>
      </c>
      <c r="H1305" s="273" t="s">
        <v>50</v>
      </c>
      <c r="I1305" s="274">
        <v>10.0</v>
      </c>
      <c r="J1305" s="271">
        <v>1702.0</v>
      </c>
      <c r="K1305" s="271">
        <f t="shared" si="1"/>
        <v>17020</v>
      </c>
      <c r="L1305" s="271">
        <v>99431.0</v>
      </c>
      <c r="M1305" s="271">
        <v>-873.92</v>
      </c>
      <c r="N1305" s="275"/>
      <c r="O1305" s="60">
        <v>0.5</v>
      </c>
      <c r="P1305" s="50">
        <v>596.0</v>
      </c>
      <c r="Q1305" s="271">
        <v>531.0</v>
      </c>
      <c r="R1305" s="276">
        <v>0.0</v>
      </c>
      <c r="S1305" s="271">
        <v>531.0</v>
      </c>
      <c r="T1305" s="271">
        <v>-278.0</v>
      </c>
      <c r="U1305" s="62">
        <v>1.083</v>
      </c>
      <c r="V1305" s="277">
        <v>0.17</v>
      </c>
      <c r="W1305" s="277">
        <v>0.0</v>
      </c>
      <c r="X1305" s="271">
        <v>-250.0</v>
      </c>
      <c r="Y1305" s="271">
        <v>-51.0</v>
      </c>
      <c r="Z1305" s="50" t="b">
        <v>1</v>
      </c>
      <c r="AA1305" s="50" t="s">
        <v>138</v>
      </c>
      <c r="AB1305" s="50" t="s">
        <v>140</v>
      </c>
    </row>
    <row r="1306">
      <c r="A1306" s="101" t="s">
        <v>529</v>
      </c>
      <c r="B1306" s="101" t="s">
        <v>147</v>
      </c>
      <c r="C1306" s="278">
        <v>44657.0</v>
      </c>
      <c r="D1306" s="278">
        <v>44681.0</v>
      </c>
      <c r="E1306" s="271" t="s">
        <v>268</v>
      </c>
      <c r="F1306" s="101" t="s">
        <v>12</v>
      </c>
      <c r="G1306" s="271" t="s">
        <v>13</v>
      </c>
      <c r="H1306" s="273" t="s">
        <v>45</v>
      </c>
      <c r="I1306" s="274">
        <v>10.0</v>
      </c>
      <c r="J1306" s="271">
        <v>6439.0</v>
      </c>
      <c r="K1306" s="271">
        <f t="shared" si="1"/>
        <v>64390</v>
      </c>
      <c r="L1306" s="271">
        <v>75577.0</v>
      </c>
      <c r="M1306" s="271">
        <v>-1393.0</v>
      </c>
      <c r="N1306" s="275">
        <f>1664+480</f>
        <v>2144</v>
      </c>
      <c r="O1306" s="60"/>
      <c r="P1306" s="109">
        <v>2144.0</v>
      </c>
      <c r="Q1306" s="271">
        <v>-2548.0</v>
      </c>
      <c r="R1306" s="276">
        <v>0.0</v>
      </c>
      <c r="S1306" s="271">
        <v>-2548.0</v>
      </c>
      <c r="T1306" s="271">
        <v>751.0</v>
      </c>
      <c r="U1306" s="62">
        <v>1.0</v>
      </c>
      <c r="V1306" s="277">
        <v>0.3</v>
      </c>
      <c r="W1306" s="277">
        <v>0.0</v>
      </c>
      <c r="X1306" s="271">
        <v>526.0</v>
      </c>
      <c r="Y1306" s="271">
        <v>225.0</v>
      </c>
      <c r="Z1306" s="50" t="b">
        <v>1</v>
      </c>
      <c r="AA1306" s="50" t="s">
        <v>138</v>
      </c>
      <c r="AB1306" s="50" t="s">
        <v>138</v>
      </c>
    </row>
    <row r="1307">
      <c r="A1307" s="280" t="s">
        <v>154</v>
      </c>
      <c r="B1307" s="280" t="s">
        <v>155</v>
      </c>
      <c r="C1307" s="283">
        <v>44652.0</v>
      </c>
      <c r="D1307" s="283">
        <v>44681.0</v>
      </c>
      <c r="E1307" s="280" t="s">
        <v>268</v>
      </c>
      <c r="F1307" s="138" t="s">
        <v>12</v>
      </c>
      <c r="G1307" s="280" t="s">
        <v>9</v>
      </c>
      <c r="H1307" s="290" t="s">
        <v>56</v>
      </c>
      <c r="I1307" s="281">
        <v>10.0</v>
      </c>
      <c r="J1307" s="280">
        <v>2.0</v>
      </c>
      <c r="K1307" s="271">
        <f t="shared" si="1"/>
        <v>20</v>
      </c>
      <c r="L1307" s="280">
        <v>49.0</v>
      </c>
      <c r="M1307" s="280">
        <v>30.0</v>
      </c>
      <c r="N1307" s="282">
        <v>82.92</v>
      </c>
      <c r="O1307" s="60"/>
      <c r="P1307" s="50">
        <v>83.0</v>
      </c>
      <c r="Q1307" s="280">
        <v>0.0</v>
      </c>
      <c r="R1307" s="276">
        <v>0.0</v>
      </c>
      <c r="S1307" s="280">
        <v>0.0</v>
      </c>
      <c r="T1307" s="280">
        <v>113.0</v>
      </c>
      <c r="U1307" s="62">
        <v>1.055</v>
      </c>
      <c r="V1307" s="277">
        <v>0.25</v>
      </c>
      <c r="W1307" s="277">
        <v>0.0</v>
      </c>
      <c r="X1307" s="280">
        <v>89.0</v>
      </c>
      <c r="Y1307" s="280">
        <v>30.0</v>
      </c>
      <c r="Z1307" s="50" t="b">
        <v>1</v>
      </c>
      <c r="AA1307" s="50" t="s">
        <v>138</v>
      </c>
      <c r="AB1307" s="50" t="s">
        <v>140</v>
      </c>
    </row>
    <row r="1308">
      <c r="A1308" s="280" t="s">
        <v>154</v>
      </c>
      <c r="B1308" s="280" t="s">
        <v>155</v>
      </c>
      <c r="C1308" s="283">
        <v>44652.0</v>
      </c>
      <c r="D1308" s="283">
        <v>44681.0</v>
      </c>
      <c r="E1308" s="280" t="s">
        <v>268</v>
      </c>
      <c r="F1308" s="138" t="s">
        <v>12</v>
      </c>
      <c r="G1308" s="280" t="s">
        <v>9</v>
      </c>
      <c r="H1308" s="290" t="s">
        <v>71</v>
      </c>
      <c r="I1308" s="281">
        <v>25.0</v>
      </c>
      <c r="J1308" s="280">
        <v>687.0</v>
      </c>
      <c r="K1308" s="271">
        <f t="shared" si="1"/>
        <v>17175</v>
      </c>
      <c r="L1308" s="280">
        <v>16976.0</v>
      </c>
      <c r="M1308" s="280">
        <v>-1350.0</v>
      </c>
      <c r="N1308" s="282">
        <v>817.08</v>
      </c>
      <c r="O1308" s="60"/>
      <c r="P1308" s="50">
        <v>817.0</v>
      </c>
      <c r="Q1308" s="280">
        <v>-268.0</v>
      </c>
      <c r="R1308" s="276">
        <v>0.0</v>
      </c>
      <c r="S1308" s="280">
        <v>-268.0</v>
      </c>
      <c r="T1308" s="280">
        <v>-533.0</v>
      </c>
      <c r="U1308" s="62">
        <v>1.055</v>
      </c>
      <c r="V1308" s="277">
        <v>0.25</v>
      </c>
      <c r="W1308" s="277">
        <v>0.0</v>
      </c>
      <c r="X1308" s="280">
        <v>-422.0</v>
      </c>
      <c r="Y1308" s="280">
        <v>-141.0</v>
      </c>
      <c r="Z1308" s="50" t="b">
        <v>1</v>
      </c>
      <c r="AA1308" s="50" t="s">
        <v>138</v>
      </c>
      <c r="AB1308" s="50" t="s">
        <v>140</v>
      </c>
    </row>
    <row r="1309">
      <c r="A1309" s="280" t="s">
        <v>154</v>
      </c>
      <c r="B1309" s="280" t="s">
        <v>155</v>
      </c>
      <c r="C1309" s="283">
        <v>44652.0</v>
      </c>
      <c r="D1309" s="283">
        <v>44681.0</v>
      </c>
      <c r="E1309" s="280" t="s">
        <v>268</v>
      </c>
      <c r="F1309" s="138" t="s">
        <v>12</v>
      </c>
      <c r="G1309" s="280" t="s">
        <v>9</v>
      </c>
      <c r="H1309" s="290" t="s">
        <v>83</v>
      </c>
      <c r="I1309" s="281">
        <v>50.0</v>
      </c>
      <c r="J1309" s="280">
        <v>1559.0</v>
      </c>
      <c r="K1309" s="271">
        <f t="shared" si="1"/>
        <v>77950</v>
      </c>
      <c r="L1309" s="280">
        <v>7897.0</v>
      </c>
      <c r="M1309" s="280">
        <v>-4600.0</v>
      </c>
      <c r="N1309" s="282">
        <v>0.0</v>
      </c>
      <c r="O1309" s="60"/>
      <c r="P1309" s="50">
        <v>0.0</v>
      </c>
      <c r="Q1309" s="280">
        <v>-5827.0</v>
      </c>
      <c r="R1309" s="276">
        <v>0.0</v>
      </c>
      <c r="S1309" s="280">
        <v>-5827.0</v>
      </c>
      <c r="T1309" s="280">
        <v>-4600.0</v>
      </c>
      <c r="U1309" s="62">
        <v>1.055</v>
      </c>
      <c r="V1309" s="277">
        <v>0.25</v>
      </c>
      <c r="W1309" s="277">
        <v>0.0</v>
      </c>
      <c r="X1309" s="280">
        <v>-3640.0</v>
      </c>
      <c r="Y1309" s="280">
        <v>-1213.0</v>
      </c>
      <c r="Z1309" s="50" t="b">
        <v>1</v>
      </c>
      <c r="AA1309" s="50" t="s">
        <v>138</v>
      </c>
      <c r="AB1309" s="50" t="s">
        <v>140</v>
      </c>
    </row>
    <row r="1310">
      <c r="A1310" s="280" t="s">
        <v>154</v>
      </c>
      <c r="B1310" s="280" t="s">
        <v>155</v>
      </c>
      <c r="C1310" s="283">
        <v>44652.0</v>
      </c>
      <c r="D1310" s="283">
        <v>44681.0</v>
      </c>
      <c r="E1310" s="280" t="s">
        <v>268</v>
      </c>
      <c r="F1310" s="138" t="s">
        <v>8</v>
      </c>
      <c r="G1310" s="271" t="s">
        <v>5</v>
      </c>
      <c r="H1310" s="273" t="s">
        <v>63</v>
      </c>
      <c r="I1310" s="274">
        <v>25.0</v>
      </c>
      <c r="J1310" s="271">
        <v>187.0</v>
      </c>
      <c r="K1310" s="271">
        <f t="shared" si="1"/>
        <v>4675</v>
      </c>
      <c r="L1310" s="271">
        <v>5800.0</v>
      </c>
      <c r="M1310" s="271">
        <v>-700.0</v>
      </c>
      <c r="N1310" s="275"/>
      <c r="O1310" s="60"/>
      <c r="P1310" s="101"/>
      <c r="Q1310" s="271">
        <v>183.0</v>
      </c>
      <c r="R1310" s="276">
        <v>2.5E-4</v>
      </c>
      <c r="S1310" s="271">
        <v>184.0</v>
      </c>
      <c r="T1310" s="271">
        <v>184.0</v>
      </c>
      <c r="U1310" s="62">
        <v>1.0</v>
      </c>
      <c r="V1310" s="277">
        <v>0.25</v>
      </c>
      <c r="W1310" s="277">
        <v>0.0</v>
      </c>
      <c r="X1310" s="271">
        <v>138.0</v>
      </c>
      <c r="Y1310" s="271">
        <v>46.0</v>
      </c>
      <c r="Z1310" s="50" t="b">
        <v>1</v>
      </c>
      <c r="AA1310" s="50" t="s">
        <v>138</v>
      </c>
      <c r="AB1310" s="50" t="s">
        <v>138</v>
      </c>
    </row>
    <row r="1311">
      <c r="A1311" s="280" t="s">
        <v>154</v>
      </c>
      <c r="B1311" s="280" t="s">
        <v>155</v>
      </c>
      <c r="C1311" s="283">
        <v>44682.0</v>
      </c>
      <c r="D1311" s="283">
        <v>44697.0</v>
      </c>
      <c r="E1311" s="280" t="s">
        <v>268</v>
      </c>
      <c r="F1311" s="138" t="s">
        <v>12</v>
      </c>
      <c r="G1311" s="280" t="s">
        <v>9</v>
      </c>
      <c r="H1311" s="273" t="s">
        <v>65</v>
      </c>
      <c r="I1311" s="281">
        <v>25.0</v>
      </c>
      <c r="J1311" s="280">
        <v>55.0</v>
      </c>
      <c r="K1311" s="271">
        <f t="shared" si="1"/>
        <v>1375</v>
      </c>
      <c r="L1311" s="280">
        <v>1711.0</v>
      </c>
      <c r="M1311" s="280">
        <v>175.0</v>
      </c>
      <c r="N1311" s="282">
        <v>1039.0</v>
      </c>
      <c r="O1311" s="60"/>
      <c r="P1311" s="109">
        <v>1039.0</v>
      </c>
      <c r="Q1311" s="280">
        <v>-46.0</v>
      </c>
      <c r="R1311" s="276">
        <v>0.0</v>
      </c>
      <c r="S1311" s="280">
        <v>-46.0</v>
      </c>
      <c r="T1311" s="280">
        <v>1214.0</v>
      </c>
      <c r="U1311" s="62">
        <v>1.07</v>
      </c>
      <c r="V1311" s="277">
        <v>0.25</v>
      </c>
      <c r="W1311" s="277">
        <v>0.0</v>
      </c>
      <c r="X1311" s="280">
        <v>974.0</v>
      </c>
      <c r="Y1311" s="280">
        <v>325.0</v>
      </c>
      <c r="Z1311" s="50" t="b">
        <v>1</v>
      </c>
      <c r="AA1311" s="50" t="s">
        <v>138</v>
      </c>
      <c r="AB1311" s="50" t="s">
        <v>140</v>
      </c>
    </row>
    <row r="1312">
      <c r="A1312" s="280" t="s">
        <v>154</v>
      </c>
      <c r="B1312" s="280" t="s">
        <v>155</v>
      </c>
      <c r="C1312" s="283">
        <v>44682.0</v>
      </c>
      <c r="D1312" s="283">
        <v>44697.0</v>
      </c>
      <c r="E1312" s="280" t="s">
        <v>268</v>
      </c>
      <c r="F1312" s="138" t="s">
        <v>12</v>
      </c>
      <c r="G1312" s="280" t="s">
        <v>9</v>
      </c>
      <c r="H1312" s="290" t="s">
        <v>71</v>
      </c>
      <c r="I1312" s="281">
        <v>25.0</v>
      </c>
      <c r="J1312" s="280">
        <v>915.0</v>
      </c>
      <c r="K1312" s="271">
        <f t="shared" si="1"/>
        <v>22875</v>
      </c>
      <c r="L1312" s="280">
        <v>26164.0</v>
      </c>
      <c r="M1312" s="280">
        <v>1000.0</v>
      </c>
      <c r="N1312" s="282">
        <v>496.0</v>
      </c>
      <c r="O1312" s="60"/>
      <c r="P1312" s="50">
        <v>496.0</v>
      </c>
      <c r="Q1312" s="280">
        <v>-90.0</v>
      </c>
      <c r="R1312" s="276">
        <v>0.0</v>
      </c>
      <c r="S1312" s="280">
        <v>-90.0</v>
      </c>
      <c r="T1312" s="280">
        <v>1496.0</v>
      </c>
      <c r="U1312" s="62">
        <v>1.07</v>
      </c>
      <c r="V1312" s="277">
        <v>0.25</v>
      </c>
      <c r="W1312" s="277">
        <v>0.0</v>
      </c>
      <c r="X1312" s="280">
        <v>1201.0</v>
      </c>
      <c r="Y1312" s="280">
        <v>400.0</v>
      </c>
      <c r="Z1312" s="50" t="b">
        <v>1</v>
      </c>
      <c r="AA1312" s="50" t="s">
        <v>138</v>
      </c>
      <c r="AB1312" s="50" t="s">
        <v>140</v>
      </c>
    </row>
    <row r="1313">
      <c r="A1313" s="280" t="s">
        <v>154</v>
      </c>
      <c r="B1313" s="280" t="s">
        <v>155</v>
      </c>
      <c r="C1313" s="283">
        <v>44682.0</v>
      </c>
      <c r="D1313" s="283">
        <v>44697.0</v>
      </c>
      <c r="E1313" s="280" t="s">
        <v>268</v>
      </c>
      <c r="F1313" s="138" t="s">
        <v>12</v>
      </c>
      <c r="G1313" s="280" t="s">
        <v>9</v>
      </c>
      <c r="H1313" s="290" t="s">
        <v>83</v>
      </c>
      <c r="I1313" s="281">
        <v>50.0</v>
      </c>
      <c r="J1313" s="280">
        <v>567.0</v>
      </c>
      <c r="K1313" s="271">
        <f t="shared" si="1"/>
        <v>28350</v>
      </c>
      <c r="L1313" s="280">
        <v>8000.0</v>
      </c>
      <c r="M1313" s="280">
        <v>-3050.0</v>
      </c>
      <c r="N1313" s="282">
        <v>0.0</v>
      </c>
      <c r="O1313" s="60"/>
      <c r="P1313" s="50">
        <v>0.0</v>
      </c>
      <c r="Q1313" s="280">
        <v>-1348.0</v>
      </c>
      <c r="R1313" s="276">
        <v>0.0</v>
      </c>
      <c r="S1313" s="280">
        <v>-1348.0</v>
      </c>
      <c r="T1313" s="280">
        <v>-3050.0</v>
      </c>
      <c r="U1313" s="62">
        <v>1.07</v>
      </c>
      <c r="V1313" s="277">
        <v>0.25</v>
      </c>
      <c r="W1313" s="277">
        <v>0.0</v>
      </c>
      <c r="X1313" s="280">
        <v>-2448.0</v>
      </c>
      <c r="Y1313" s="280">
        <v>-816.0</v>
      </c>
      <c r="Z1313" s="50" t="b">
        <v>1</v>
      </c>
      <c r="AA1313" s="50" t="s">
        <v>138</v>
      </c>
      <c r="AB1313" s="50" t="s">
        <v>140</v>
      </c>
    </row>
    <row r="1314">
      <c r="A1314" s="280" t="s">
        <v>154</v>
      </c>
      <c r="B1314" s="280" t="s">
        <v>155</v>
      </c>
      <c r="C1314" s="283">
        <v>44682.0</v>
      </c>
      <c r="D1314" s="283">
        <v>44697.0</v>
      </c>
      <c r="E1314" s="280" t="s">
        <v>268</v>
      </c>
      <c r="F1314" s="138" t="s">
        <v>12</v>
      </c>
      <c r="G1314" s="280" t="s">
        <v>9</v>
      </c>
      <c r="H1314" s="290" t="s">
        <v>70</v>
      </c>
      <c r="I1314" s="281">
        <v>25.0</v>
      </c>
      <c r="J1314" s="280">
        <v>1932.0</v>
      </c>
      <c r="K1314" s="271">
        <f t="shared" si="1"/>
        <v>48300</v>
      </c>
      <c r="L1314" s="280">
        <v>39207.0</v>
      </c>
      <c r="M1314" s="280">
        <v>-2550.0</v>
      </c>
      <c r="N1314" s="282">
        <v>1242.0</v>
      </c>
      <c r="O1314" s="60"/>
      <c r="P1314" s="109">
        <v>1242.0</v>
      </c>
      <c r="Q1314" s="280">
        <v>-1395.0</v>
      </c>
      <c r="R1314" s="276">
        <v>0.0</v>
      </c>
      <c r="S1314" s="280">
        <v>-1395.0</v>
      </c>
      <c r="T1314" s="280">
        <v>-1308.0</v>
      </c>
      <c r="U1314" s="62">
        <v>1.07</v>
      </c>
      <c r="V1314" s="277">
        <v>0.25</v>
      </c>
      <c r="W1314" s="277">
        <v>0.0</v>
      </c>
      <c r="X1314" s="280">
        <v>-1050.0</v>
      </c>
      <c r="Y1314" s="280">
        <v>-350.0</v>
      </c>
      <c r="Z1314" s="50" t="b">
        <v>1</v>
      </c>
      <c r="AA1314" s="50" t="s">
        <v>138</v>
      </c>
      <c r="AB1314" s="50" t="s">
        <v>140</v>
      </c>
    </row>
    <row r="1315">
      <c r="A1315" s="280" t="s">
        <v>154</v>
      </c>
      <c r="B1315" s="280" t="s">
        <v>155</v>
      </c>
      <c r="C1315" s="283">
        <v>44682.0</v>
      </c>
      <c r="D1315" s="283">
        <v>44697.0</v>
      </c>
      <c r="E1315" s="280" t="s">
        <v>268</v>
      </c>
      <c r="F1315" s="138" t="s">
        <v>12</v>
      </c>
      <c r="G1315" s="280" t="s">
        <v>9</v>
      </c>
      <c r="H1315" s="290" t="s">
        <v>82</v>
      </c>
      <c r="I1315" s="281">
        <v>50.0</v>
      </c>
      <c r="J1315" s="280">
        <v>186.0</v>
      </c>
      <c r="K1315" s="271">
        <f t="shared" si="1"/>
        <v>9300</v>
      </c>
      <c r="L1315" s="280">
        <v>2355.0</v>
      </c>
      <c r="M1315" s="280">
        <v>-1850.0</v>
      </c>
      <c r="N1315" s="282">
        <v>168.0</v>
      </c>
      <c r="O1315" s="60"/>
      <c r="P1315" s="50">
        <v>168.0</v>
      </c>
      <c r="Q1315" s="280">
        <v>-482.0</v>
      </c>
      <c r="R1315" s="276">
        <v>0.0</v>
      </c>
      <c r="S1315" s="280">
        <v>-482.0</v>
      </c>
      <c r="T1315" s="280">
        <v>-1682.0</v>
      </c>
      <c r="U1315" s="62">
        <v>1.07</v>
      </c>
      <c r="V1315" s="277">
        <v>0.25</v>
      </c>
      <c r="W1315" s="277">
        <v>0.0</v>
      </c>
      <c r="X1315" s="280">
        <v>-1350.0</v>
      </c>
      <c r="Y1315" s="280">
        <v>-450.0</v>
      </c>
      <c r="Z1315" s="50" t="b">
        <v>1</v>
      </c>
      <c r="AA1315" s="50" t="s">
        <v>138</v>
      </c>
      <c r="AB1315" s="50" t="s">
        <v>140</v>
      </c>
    </row>
    <row r="1316">
      <c r="A1316" s="280" t="s">
        <v>154</v>
      </c>
      <c r="B1316" s="280" t="s">
        <v>155</v>
      </c>
      <c r="C1316" s="283">
        <v>44682.0</v>
      </c>
      <c r="D1316" s="283">
        <v>44697.0</v>
      </c>
      <c r="E1316" s="280" t="s">
        <v>268</v>
      </c>
      <c r="F1316" s="138" t="s">
        <v>12</v>
      </c>
      <c r="G1316" s="280" t="s">
        <v>9</v>
      </c>
      <c r="H1316" s="290" t="s">
        <v>91</v>
      </c>
      <c r="I1316" s="281">
        <v>100.0</v>
      </c>
      <c r="J1316" s="280">
        <v>36.0</v>
      </c>
      <c r="K1316" s="271">
        <f t="shared" si="1"/>
        <v>3600</v>
      </c>
      <c r="L1316" s="280">
        <v>-89.0</v>
      </c>
      <c r="M1316" s="280">
        <v>-500.0</v>
      </c>
      <c r="N1316" s="282">
        <v>65.0</v>
      </c>
      <c r="O1316" s="60"/>
      <c r="P1316" s="50">
        <v>65.0</v>
      </c>
      <c r="Q1316" s="280">
        <v>-351.0</v>
      </c>
      <c r="R1316" s="276">
        <v>0.0</v>
      </c>
      <c r="S1316" s="280">
        <v>-351.0</v>
      </c>
      <c r="T1316" s="280">
        <v>-435.0</v>
      </c>
      <c r="U1316" s="62">
        <v>1.07</v>
      </c>
      <c r="V1316" s="277">
        <v>0.25</v>
      </c>
      <c r="W1316" s="277">
        <v>0.0</v>
      </c>
      <c r="X1316" s="280">
        <v>-349.0</v>
      </c>
      <c r="Y1316" s="280">
        <v>-116.0</v>
      </c>
      <c r="Z1316" s="50" t="b">
        <v>1</v>
      </c>
      <c r="AA1316" s="50" t="s">
        <v>138</v>
      </c>
      <c r="AB1316" s="50" t="s">
        <v>140</v>
      </c>
    </row>
    <row r="1317">
      <c r="A1317" s="280" t="s">
        <v>154</v>
      </c>
      <c r="B1317" s="280" t="s">
        <v>155</v>
      </c>
      <c r="C1317" s="283">
        <v>44682.0</v>
      </c>
      <c r="D1317" s="283">
        <v>44697.0</v>
      </c>
      <c r="E1317" s="280" t="s">
        <v>268</v>
      </c>
      <c r="F1317" s="138" t="s">
        <v>12</v>
      </c>
      <c r="G1317" s="280" t="s">
        <v>9</v>
      </c>
      <c r="H1317" s="290" t="s">
        <v>99</v>
      </c>
      <c r="I1317" s="281">
        <v>250.0</v>
      </c>
      <c r="J1317" s="280">
        <v>3.0</v>
      </c>
      <c r="K1317" s="271">
        <f t="shared" si="1"/>
        <v>750</v>
      </c>
      <c r="L1317" s="280">
        <v>-495.0</v>
      </c>
      <c r="M1317" s="280">
        <v>250.0</v>
      </c>
      <c r="N1317" s="282">
        <v>14.0</v>
      </c>
      <c r="O1317" s="60"/>
      <c r="P1317" s="50">
        <v>14.0</v>
      </c>
      <c r="Q1317" s="280">
        <v>-437.0</v>
      </c>
      <c r="R1317" s="276">
        <v>0.0</v>
      </c>
      <c r="S1317" s="280">
        <v>-437.0</v>
      </c>
      <c r="T1317" s="280">
        <v>264.0</v>
      </c>
      <c r="U1317" s="62">
        <v>1.07</v>
      </c>
      <c r="V1317" s="277">
        <v>0.25</v>
      </c>
      <c r="W1317" s="277">
        <v>0.0</v>
      </c>
      <c r="X1317" s="280">
        <v>212.0</v>
      </c>
      <c r="Y1317" s="280">
        <v>71.0</v>
      </c>
      <c r="Z1317" s="50" t="b">
        <v>1</v>
      </c>
      <c r="AA1317" s="50" t="s">
        <v>138</v>
      </c>
      <c r="AB1317" s="50" t="s">
        <v>140</v>
      </c>
    </row>
    <row r="1318">
      <c r="A1318" s="280" t="s">
        <v>154</v>
      </c>
      <c r="B1318" s="280" t="s">
        <v>155</v>
      </c>
      <c r="C1318" s="283">
        <v>44682.0</v>
      </c>
      <c r="D1318" s="283">
        <v>44697.0</v>
      </c>
      <c r="E1318" s="280" t="s">
        <v>268</v>
      </c>
      <c r="F1318" s="138" t="s">
        <v>12</v>
      </c>
      <c r="G1318" s="280" t="s">
        <v>9</v>
      </c>
      <c r="H1318" s="290" t="s">
        <v>105</v>
      </c>
      <c r="I1318" s="281">
        <v>500.0</v>
      </c>
      <c r="J1318" s="280">
        <v>1.0</v>
      </c>
      <c r="K1318" s="271">
        <f t="shared" si="1"/>
        <v>500</v>
      </c>
      <c r="L1318" s="280">
        <v>-221.0</v>
      </c>
      <c r="M1318" s="280">
        <v>500.0</v>
      </c>
      <c r="N1318" s="282">
        <v>9.0</v>
      </c>
      <c r="O1318" s="60"/>
      <c r="P1318" s="50">
        <v>9.0</v>
      </c>
      <c r="Q1318" s="280">
        <v>-376.0</v>
      </c>
      <c r="R1318" s="276">
        <v>0.0</v>
      </c>
      <c r="S1318" s="280">
        <v>-376.0</v>
      </c>
      <c r="T1318" s="280">
        <v>509.0</v>
      </c>
      <c r="U1318" s="62">
        <v>1.07</v>
      </c>
      <c r="V1318" s="277">
        <v>0.25</v>
      </c>
      <c r="W1318" s="277">
        <v>0.0</v>
      </c>
      <c r="X1318" s="280">
        <v>408.0</v>
      </c>
      <c r="Y1318" s="280">
        <v>136.0</v>
      </c>
      <c r="Z1318" s="50" t="b">
        <v>1</v>
      </c>
      <c r="AA1318" s="50" t="s">
        <v>138</v>
      </c>
      <c r="AB1318" s="50" t="s">
        <v>140</v>
      </c>
    </row>
    <row r="1319">
      <c r="A1319" s="280" t="s">
        <v>154</v>
      </c>
      <c r="B1319" s="280" t="s">
        <v>155</v>
      </c>
      <c r="C1319" s="283">
        <v>44682.0</v>
      </c>
      <c r="D1319" s="283">
        <v>44697.0</v>
      </c>
      <c r="E1319" s="280" t="s">
        <v>268</v>
      </c>
      <c r="F1319" s="138" t="s">
        <v>12</v>
      </c>
      <c r="G1319" s="280" t="s">
        <v>9</v>
      </c>
      <c r="H1319" s="290" t="s">
        <v>89</v>
      </c>
      <c r="I1319" s="281">
        <v>100.0</v>
      </c>
      <c r="J1319" s="280">
        <v>3.0</v>
      </c>
      <c r="K1319" s="271">
        <f t="shared" si="1"/>
        <v>300</v>
      </c>
      <c r="L1319" s="280">
        <v>-28.0</v>
      </c>
      <c r="M1319" s="280">
        <v>-300.0</v>
      </c>
      <c r="N1319" s="282">
        <v>5.0</v>
      </c>
      <c r="O1319" s="60"/>
      <c r="P1319" s="50">
        <v>5.0</v>
      </c>
      <c r="Q1319" s="280">
        <v>-32.0</v>
      </c>
      <c r="R1319" s="276">
        <v>0.0</v>
      </c>
      <c r="S1319" s="280">
        <v>-32.0</v>
      </c>
      <c r="T1319" s="280">
        <v>-295.0</v>
      </c>
      <c r="U1319" s="62">
        <v>1.07</v>
      </c>
      <c r="V1319" s="277">
        <v>0.25</v>
      </c>
      <c r="W1319" s="277">
        <v>0.0</v>
      </c>
      <c r="X1319" s="280">
        <v>-237.0</v>
      </c>
      <c r="Y1319" s="280">
        <v>-79.0</v>
      </c>
      <c r="Z1319" s="50" t="b">
        <v>1</v>
      </c>
      <c r="AA1319" s="50" t="s">
        <v>138</v>
      </c>
      <c r="AB1319" s="50" t="s">
        <v>140</v>
      </c>
    </row>
    <row r="1320">
      <c r="A1320" s="101" t="s">
        <v>177</v>
      </c>
      <c r="B1320" s="101" t="s">
        <v>177</v>
      </c>
      <c r="C1320" s="278">
        <v>44682.0</v>
      </c>
      <c r="D1320" s="278">
        <v>44699.0</v>
      </c>
      <c r="E1320" s="280" t="s">
        <v>268</v>
      </c>
      <c r="F1320" s="138" t="s">
        <v>8</v>
      </c>
      <c r="G1320" s="280" t="s">
        <v>5</v>
      </c>
      <c r="H1320" s="273" t="s">
        <v>75</v>
      </c>
      <c r="I1320" s="274">
        <v>50.0</v>
      </c>
      <c r="J1320" s="271">
        <v>189.0</v>
      </c>
      <c r="K1320" s="271">
        <f t="shared" si="1"/>
        <v>9450</v>
      </c>
      <c r="L1320" s="271">
        <f>22*189</f>
        <v>4158</v>
      </c>
      <c r="M1320" s="271">
        <v>-350.0</v>
      </c>
      <c r="N1320" s="275">
        <v>427.04</v>
      </c>
      <c r="O1320" s="60"/>
      <c r="P1320" s="50">
        <v>427.0</v>
      </c>
      <c r="Q1320" s="271">
        <v>34.0</v>
      </c>
      <c r="R1320" s="276">
        <v>-0.0015</v>
      </c>
      <c r="S1320" s="271">
        <v>20.0</v>
      </c>
      <c r="T1320" s="271">
        <v>447.0</v>
      </c>
      <c r="U1320" s="62">
        <v>1.0</v>
      </c>
      <c r="V1320" s="277">
        <v>0.12</v>
      </c>
      <c r="W1320" s="277">
        <v>0.0</v>
      </c>
      <c r="X1320" s="271">
        <v>393.0</v>
      </c>
      <c r="Y1320" s="271">
        <v>54.0</v>
      </c>
      <c r="Z1320" s="50" t="b">
        <v>1</v>
      </c>
      <c r="AA1320" s="50" t="s">
        <v>138</v>
      </c>
      <c r="AB1320" s="50" t="s">
        <v>138</v>
      </c>
    </row>
    <row r="1321">
      <c r="A1321" s="101" t="s">
        <v>177</v>
      </c>
      <c r="B1321" s="101" t="s">
        <v>177</v>
      </c>
      <c r="C1321" s="278">
        <v>44682.0</v>
      </c>
      <c r="D1321" s="278">
        <v>44699.0</v>
      </c>
      <c r="E1321" s="280" t="s">
        <v>268</v>
      </c>
      <c r="F1321" s="138" t="s">
        <v>8</v>
      </c>
      <c r="G1321" s="280" t="s">
        <v>5</v>
      </c>
      <c r="H1321" s="273" t="s">
        <v>85</v>
      </c>
      <c r="I1321" s="274">
        <v>100.0</v>
      </c>
      <c r="J1321" s="271">
        <v>131.0</v>
      </c>
      <c r="K1321" s="271">
        <f t="shared" si="1"/>
        <v>13100</v>
      </c>
      <c r="L1321" s="271">
        <f>74*131</f>
        <v>9694</v>
      </c>
      <c r="M1321" s="271">
        <v>1300.0</v>
      </c>
      <c r="N1321" s="275">
        <v>493.32</v>
      </c>
      <c r="O1321" s="60"/>
      <c r="P1321" s="50">
        <v>0.0</v>
      </c>
      <c r="Q1321" s="271">
        <v>1105.0</v>
      </c>
      <c r="R1321" s="276">
        <v>-0.0015</v>
      </c>
      <c r="S1321" s="271">
        <v>1085.0</v>
      </c>
      <c r="T1321" s="271">
        <v>1085.0</v>
      </c>
      <c r="U1321" s="62">
        <v>1.0</v>
      </c>
      <c r="V1321" s="277">
        <v>0.12</v>
      </c>
      <c r="W1321" s="277">
        <v>0.0</v>
      </c>
      <c r="X1321" s="271">
        <v>955.0</v>
      </c>
      <c r="Y1321" s="271">
        <v>130.0</v>
      </c>
      <c r="Z1321" s="50" t="b">
        <v>1</v>
      </c>
      <c r="AA1321" s="50" t="s">
        <v>138</v>
      </c>
      <c r="AB1321" s="50" t="s">
        <v>138</v>
      </c>
    </row>
    <row r="1322">
      <c r="A1322" s="101" t="s">
        <v>177</v>
      </c>
      <c r="B1322" s="101" t="s">
        <v>177</v>
      </c>
      <c r="C1322" s="278">
        <v>44682.0</v>
      </c>
      <c r="D1322" s="278">
        <v>44699.0</v>
      </c>
      <c r="E1322" s="280" t="s">
        <v>268</v>
      </c>
      <c r="F1322" s="138" t="s">
        <v>8</v>
      </c>
      <c r="G1322" s="280" t="s">
        <v>5</v>
      </c>
      <c r="H1322" s="273" t="s">
        <v>86</v>
      </c>
      <c r="I1322" s="274">
        <v>100.0</v>
      </c>
      <c r="J1322" s="271">
        <v>2329.0</v>
      </c>
      <c r="K1322" s="271">
        <f t="shared" si="1"/>
        <v>232900</v>
      </c>
      <c r="L1322" s="271">
        <f>16*2329</f>
        <v>37264</v>
      </c>
      <c r="M1322" s="271">
        <v>-5200.0</v>
      </c>
      <c r="N1322" s="275">
        <v>8770.56</v>
      </c>
      <c r="O1322" s="60"/>
      <c r="P1322" s="109">
        <v>8771.0</v>
      </c>
      <c r="Q1322" s="271">
        <v>-1017.0</v>
      </c>
      <c r="R1322" s="276">
        <v>-0.0015</v>
      </c>
      <c r="S1322" s="271">
        <v>-1367.0</v>
      </c>
      <c r="T1322" s="271">
        <v>7404.0</v>
      </c>
      <c r="U1322" s="62">
        <v>1.0</v>
      </c>
      <c r="V1322" s="277">
        <v>0.12</v>
      </c>
      <c r="W1322" s="277">
        <v>0.0</v>
      </c>
      <c r="X1322" s="271">
        <v>6515.0</v>
      </c>
      <c r="Y1322" s="271">
        <v>888.0</v>
      </c>
      <c r="Z1322" s="50" t="b">
        <v>1</v>
      </c>
      <c r="AA1322" s="50" t="s">
        <v>138</v>
      </c>
      <c r="AB1322" s="50" t="s">
        <v>138</v>
      </c>
    </row>
    <row r="1323">
      <c r="A1323" s="101" t="s">
        <v>177</v>
      </c>
      <c r="B1323" s="101" t="s">
        <v>177</v>
      </c>
      <c r="C1323" s="278">
        <v>44682.0</v>
      </c>
      <c r="D1323" s="278">
        <v>44699.0</v>
      </c>
      <c r="E1323" s="280" t="s">
        <v>268</v>
      </c>
      <c r="F1323" s="138" t="s">
        <v>8</v>
      </c>
      <c r="G1323" s="280" t="s">
        <v>5</v>
      </c>
      <c r="H1323" s="273" t="s">
        <v>97</v>
      </c>
      <c r="I1323" s="274">
        <v>250.0</v>
      </c>
      <c r="J1323" s="271">
        <v>494.0</v>
      </c>
      <c r="K1323" s="271">
        <f t="shared" si="1"/>
        <v>123500</v>
      </c>
      <c r="L1323" s="271">
        <f>5*494</f>
        <v>2470</v>
      </c>
      <c r="M1323" s="271">
        <v>-12250.0</v>
      </c>
      <c r="N1323" s="275">
        <v>4650.77</v>
      </c>
      <c r="O1323" s="60"/>
      <c r="P1323" s="109">
        <v>4651.0</v>
      </c>
      <c r="Q1323" s="271">
        <v>-4482.0</v>
      </c>
      <c r="R1323" s="276">
        <v>-0.0015</v>
      </c>
      <c r="S1323" s="271">
        <v>-4667.0</v>
      </c>
      <c r="T1323" s="271">
        <v>-16.0</v>
      </c>
      <c r="U1323" s="62">
        <v>1.0</v>
      </c>
      <c r="V1323" s="277">
        <v>0.12</v>
      </c>
      <c r="W1323" s="277">
        <v>0.0</v>
      </c>
      <c r="X1323" s="271">
        <v>-14.0</v>
      </c>
      <c r="Y1323" s="271">
        <v>-2.0</v>
      </c>
      <c r="Z1323" s="50" t="b">
        <v>1</v>
      </c>
      <c r="AA1323" s="50" t="s">
        <v>138</v>
      </c>
      <c r="AB1323" s="50" t="s">
        <v>138</v>
      </c>
    </row>
    <row r="1324">
      <c r="A1324" s="101" t="s">
        <v>177</v>
      </c>
      <c r="B1324" s="101" t="s">
        <v>177</v>
      </c>
      <c r="C1324" s="278">
        <v>44682.0</v>
      </c>
      <c r="D1324" s="278">
        <v>44699.0</v>
      </c>
      <c r="E1324" s="280" t="s">
        <v>268</v>
      </c>
      <c r="F1324" s="138" t="s">
        <v>8</v>
      </c>
      <c r="G1324" s="280" t="s">
        <v>5</v>
      </c>
      <c r="H1324" s="273" t="s">
        <v>96</v>
      </c>
      <c r="I1324" s="274">
        <v>250.0</v>
      </c>
      <c r="J1324" s="271">
        <v>831.0</v>
      </c>
      <c r="K1324" s="271">
        <f t="shared" si="1"/>
        <v>207750</v>
      </c>
      <c r="L1324" s="271">
        <f>-8*831</f>
        <v>-6648</v>
      </c>
      <c r="M1324" s="271">
        <v>-15000.0</v>
      </c>
      <c r="N1324" s="275">
        <v>7823.46</v>
      </c>
      <c r="O1324" s="60"/>
      <c r="P1324" s="109">
        <v>7823.0</v>
      </c>
      <c r="Q1324" s="271">
        <v>-13916.0</v>
      </c>
      <c r="R1324" s="276">
        <v>-0.0015</v>
      </c>
      <c r="S1324" s="271">
        <v>-14227.0</v>
      </c>
      <c r="T1324" s="271">
        <v>-6404.0</v>
      </c>
      <c r="U1324" s="62">
        <v>1.0</v>
      </c>
      <c r="V1324" s="277">
        <v>0.12</v>
      </c>
      <c r="W1324" s="277">
        <v>0.0</v>
      </c>
      <c r="X1324" s="271">
        <v>-5635.0</v>
      </c>
      <c r="Y1324" s="271">
        <v>-768.0</v>
      </c>
      <c r="Z1324" s="50" t="b">
        <v>1</v>
      </c>
      <c r="AA1324" s="50" t="s">
        <v>138</v>
      </c>
      <c r="AB1324" s="50" t="s">
        <v>138</v>
      </c>
    </row>
    <row r="1325">
      <c r="A1325" s="101" t="s">
        <v>267</v>
      </c>
      <c r="B1325" s="101" t="s">
        <v>267</v>
      </c>
      <c r="C1325" s="278">
        <v>44672.0</v>
      </c>
      <c r="D1325" s="278">
        <v>44701.0</v>
      </c>
      <c r="E1325" s="271" t="s">
        <v>268</v>
      </c>
      <c r="F1325" s="138" t="s">
        <v>4</v>
      </c>
      <c r="G1325" s="101" t="s">
        <v>5</v>
      </c>
      <c r="H1325" s="273" t="s">
        <v>38</v>
      </c>
      <c r="I1325" s="274">
        <v>5.0</v>
      </c>
      <c r="J1325" s="271">
        <v>5.0</v>
      </c>
      <c r="K1325" s="271">
        <f t="shared" si="1"/>
        <v>25</v>
      </c>
      <c r="L1325" s="271">
        <v>-372.0</v>
      </c>
      <c r="M1325" s="271">
        <v>5.0</v>
      </c>
      <c r="N1325" s="275">
        <v>1.0</v>
      </c>
      <c r="O1325" s="60"/>
      <c r="P1325" s="50">
        <v>1.0</v>
      </c>
      <c r="Q1325" s="271">
        <v>-8.0</v>
      </c>
      <c r="R1325" s="276">
        <v>-0.0015</v>
      </c>
      <c r="S1325" s="271">
        <v>-8.0</v>
      </c>
      <c r="T1325" s="271">
        <v>-7.0</v>
      </c>
      <c r="U1325" s="62">
        <v>1.0</v>
      </c>
      <c r="V1325" s="277">
        <v>0.15</v>
      </c>
      <c r="W1325" s="277">
        <v>0.0</v>
      </c>
      <c r="X1325" s="271">
        <v>-6.0</v>
      </c>
      <c r="Y1325" s="271">
        <v>-1.0</v>
      </c>
      <c r="Z1325" s="50" t="b">
        <v>1</v>
      </c>
      <c r="AA1325" s="50" t="s">
        <v>138</v>
      </c>
      <c r="AB1325" s="50" t="s">
        <v>138</v>
      </c>
    </row>
    <row r="1326">
      <c r="A1326" s="101" t="s">
        <v>267</v>
      </c>
      <c r="B1326" s="101" t="s">
        <v>267</v>
      </c>
      <c r="C1326" s="278">
        <v>44672.0</v>
      </c>
      <c r="D1326" s="278">
        <v>44701.0</v>
      </c>
      <c r="E1326" s="271" t="s">
        <v>268</v>
      </c>
      <c r="F1326" s="138" t="s">
        <v>4</v>
      </c>
      <c r="G1326" s="101" t="s">
        <v>5</v>
      </c>
      <c r="H1326" s="273" t="s">
        <v>45</v>
      </c>
      <c r="I1326" s="274">
        <v>10.0</v>
      </c>
      <c r="J1326" s="271">
        <v>460.0</v>
      </c>
      <c r="K1326" s="271">
        <f t="shared" si="1"/>
        <v>4600</v>
      </c>
      <c r="L1326" s="271">
        <v>18400.0</v>
      </c>
      <c r="M1326" s="271">
        <v>-350.0</v>
      </c>
      <c r="N1326" s="275">
        <v>154.0</v>
      </c>
      <c r="O1326" s="60"/>
      <c r="P1326" s="50">
        <v>154.0</v>
      </c>
      <c r="Q1326" s="271">
        <v>-3.0</v>
      </c>
      <c r="R1326" s="276">
        <v>-0.0015</v>
      </c>
      <c r="S1326" s="271">
        <v>-10.0</v>
      </c>
      <c r="T1326" s="271">
        <v>144.0</v>
      </c>
      <c r="U1326" s="62">
        <v>1.0</v>
      </c>
      <c r="V1326" s="277">
        <v>0.15</v>
      </c>
      <c r="W1326" s="277">
        <v>0.0</v>
      </c>
      <c r="X1326" s="271">
        <v>123.0</v>
      </c>
      <c r="Y1326" s="271">
        <v>22.0</v>
      </c>
      <c r="Z1326" s="50" t="b">
        <v>1</v>
      </c>
      <c r="AA1326" s="50" t="s">
        <v>138</v>
      </c>
      <c r="AB1326" s="50" t="s">
        <v>138</v>
      </c>
    </row>
    <row r="1327">
      <c r="A1327" s="101" t="s">
        <v>267</v>
      </c>
      <c r="B1327" s="101" t="s">
        <v>267</v>
      </c>
      <c r="C1327" s="278">
        <v>44672.0</v>
      </c>
      <c r="D1327" s="278">
        <v>44701.0</v>
      </c>
      <c r="E1327" s="271" t="s">
        <v>268</v>
      </c>
      <c r="F1327" s="138" t="s">
        <v>4</v>
      </c>
      <c r="G1327" s="101" t="s">
        <v>5</v>
      </c>
      <c r="H1327" s="273" t="s">
        <v>48</v>
      </c>
      <c r="I1327" s="274">
        <v>10.0</v>
      </c>
      <c r="J1327" s="271">
        <v>205.0</v>
      </c>
      <c r="K1327" s="271">
        <f t="shared" si="1"/>
        <v>2050</v>
      </c>
      <c r="L1327" s="271">
        <v>-337.0</v>
      </c>
      <c r="M1327" s="271">
        <v>-500.0</v>
      </c>
      <c r="N1327" s="275">
        <v>69.0</v>
      </c>
      <c r="O1327" s="60"/>
      <c r="P1327" s="50">
        <v>69.0</v>
      </c>
      <c r="Q1327" s="271">
        <v>-162.0</v>
      </c>
      <c r="R1327" s="276">
        <v>-0.0015</v>
      </c>
      <c r="S1327" s="271">
        <v>-165.0</v>
      </c>
      <c r="T1327" s="271">
        <v>-96.0</v>
      </c>
      <c r="U1327" s="62">
        <v>1.0</v>
      </c>
      <c r="V1327" s="277">
        <v>0.15</v>
      </c>
      <c r="W1327" s="277">
        <v>0.0</v>
      </c>
      <c r="X1327" s="271">
        <v>-82.0</v>
      </c>
      <c r="Y1327" s="271">
        <v>-14.0</v>
      </c>
      <c r="Z1327" s="50" t="b">
        <v>1</v>
      </c>
      <c r="AA1327" s="50" t="s">
        <v>138</v>
      </c>
      <c r="AB1327" s="50" t="s">
        <v>138</v>
      </c>
    </row>
    <row r="1328">
      <c r="A1328" s="101" t="s">
        <v>267</v>
      </c>
      <c r="B1328" s="101" t="s">
        <v>267</v>
      </c>
      <c r="C1328" s="278">
        <v>44672.0</v>
      </c>
      <c r="D1328" s="278">
        <v>44701.0</v>
      </c>
      <c r="E1328" s="271" t="s">
        <v>268</v>
      </c>
      <c r="F1328" s="138" t="s">
        <v>4</v>
      </c>
      <c r="G1328" s="101" t="s">
        <v>5</v>
      </c>
      <c r="H1328" s="273" t="s">
        <v>62</v>
      </c>
      <c r="I1328" s="274">
        <v>25.0</v>
      </c>
      <c r="J1328" s="271">
        <v>757.0</v>
      </c>
      <c r="K1328" s="271">
        <f t="shared" si="1"/>
        <v>18925</v>
      </c>
      <c r="L1328" s="271">
        <v>23296.0</v>
      </c>
      <c r="M1328" s="271">
        <v>150.0</v>
      </c>
      <c r="N1328" s="275">
        <v>542.0</v>
      </c>
      <c r="O1328" s="60"/>
      <c r="P1328" s="50">
        <v>542.0</v>
      </c>
      <c r="Q1328" s="271">
        <v>-131.0</v>
      </c>
      <c r="R1328" s="276">
        <v>-0.0015</v>
      </c>
      <c r="S1328" s="271">
        <v>-160.0</v>
      </c>
      <c r="T1328" s="271">
        <v>382.0</v>
      </c>
      <c r="U1328" s="62">
        <v>1.0</v>
      </c>
      <c r="V1328" s="277">
        <v>0.15</v>
      </c>
      <c r="W1328" s="277">
        <v>0.0</v>
      </c>
      <c r="X1328" s="271">
        <v>325.0</v>
      </c>
      <c r="Y1328" s="271">
        <v>57.0</v>
      </c>
      <c r="Z1328" s="50" t="b">
        <v>1</v>
      </c>
      <c r="AA1328" s="50" t="s">
        <v>138</v>
      </c>
      <c r="AB1328" s="50" t="s">
        <v>138</v>
      </c>
    </row>
    <row r="1329">
      <c r="A1329" s="101" t="s">
        <v>267</v>
      </c>
      <c r="B1329" s="101" t="s">
        <v>267</v>
      </c>
      <c r="C1329" s="278">
        <v>44672.0</v>
      </c>
      <c r="D1329" s="278">
        <v>44701.0</v>
      </c>
      <c r="E1329" s="271" t="s">
        <v>268</v>
      </c>
      <c r="F1329" s="138" t="s">
        <v>4</v>
      </c>
      <c r="G1329" s="101" t="s">
        <v>5</v>
      </c>
      <c r="H1329" s="273" t="s">
        <v>63</v>
      </c>
      <c r="I1329" s="274">
        <v>25.0</v>
      </c>
      <c r="J1329" s="271">
        <v>187.0</v>
      </c>
      <c r="K1329" s="271">
        <f t="shared" si="1"/>
        <v>4675</v>
      </c>
      <c r="L1329" s="271">
        <v>1032.0</v>
      </c>
      <c r="M1329" s="271">
        <v>125.0</v>
      </c>
      <c r="N1329" s="275">
        <v>134.0</v>
      </c>
      <c r="O1329" s="60"/>
      <c r="P1329" s="50">
        <v>134.0</v>
      </c>
      <c r="Q1329" s="271">
        <v>-219.0</v>
      </c>
      <c r="R1329" s="276">
        <v>-0.0015</v>
      </c>
      <c r="S1329" s="271">
        <v>-226.0</v>
      </c>
      <c r="T1329" s="271">
        <v>-92.0</v>
      </c>
      <c r="U1329" s="62">
        <v>1.0</v>
      </c>
      <c r="V1329" s="277">
        <v>0.15</v>
      </c>
      <c r="W1329" s="277">
        <v>0.0</v>
      </c>
      <c r="X1329" s="271">
        <v>-79.0</v>
      </c>
      <c r="Y1329" s="271">
        <v>-14.0</v>
      </c>
      <c r="Z1329" s="50" t="b">
        <v>1</v>
      </c>
      <c r="AA1329" s="50" t="s">
        <v>138</v>
      </c>
      <c r="AB1329" s="50" t="s">
        <v>138</v>
      </c>
    </row>
    <row r="1330">
      <c r="A1330" s="101" t="s">
        <v>148</v>
      </c>
      <c r="B1330" s="101" t="s">
        <v>148</v>
      </c>
      <c r="C1330" s="278">
        <v>44672.0</v>
      </c>
      <c r="D1330" s="278">
        <v>44701.0</v>
      </c>
      <c r="E1330" s="271" t="s">
        <v>331</v>
      </c>
      <c r="F1330" s="138" t="s">
        <v>4</v>
      </c>
      <c r="G1330" s="101" t="s">
        <v>5</v>
      </c>
      <c r="H1330" s="273" t="s">
        <v>74</v>
      </c>
      <c r="I1330" s="274">
        <v>50.0</v>
      </c>
      <c r="J1330" s="271">
        <v>52.0</v>
      </c>
      <c r="K1330" s="271">
        <f t="shared" si="1"/>
        <v>2600</v>
      </c>
      <c r="L1330" s="271">
        <v>-896.0</v>
      </c>
      <c r="M1330" s="271">
        <v>150.0</v>
      </c>
      <c r="N1330" s="275">
        <v>97.0</v>
      </c>
      <c r="O1330" s="60"/>
      <c r="P1330" s="50">
        <v>97.0</v>
      </c>
      <c r="Q1330" s="271">
        <v>-251.0</v>
      </c>
      <c r="R1330" s="276">
        <v>8.8E-4</v>
      </c>
      <c r="S1330" s="271">
        <v>-249.0</v>
      </c>
      <c r="T1330" s="271">
        <v>-152.0</v>
      </c>
      <c r="U1330" s="62">
        <v>1.0</v>
      </c>
      <c r="V1330" s="277">
        <v>0.15</v>
      </c>
      <c r="W1330" s="277">
        <v>0.05</v>
      </c>
      <c r="X1330" s="271">
        <v>-122.0</v>
      </c>
      <c r="Y1330" s="271">
        <v>-30.0</v>
      </c>
      <c r="Z1330" s="50" t="b">
        <v>1</v>
      </c>
      <c r="AA1330" s="50" t="s">
        <v>138</v>
      </c>
      <c r="AB1330" s="50" t="s">
        <v>138</v>
      </c>
    </row>
    <row r="1331">
      <c r="A1331" s="101" t="s">
        <v>148</v>
      </c>
      <c r="B1331" s="101" t="s">
        <v>148</v>
      </c>
      <c r="C1331" s="278">
        <v>44672.0</v>
      </c>
      <c r="D1331" s="278">
        <v>44701.0</v>
      </c>
      <c r="E1331" s="271" t="s">
        <v>331</v>
      </c>
      <c r="F1331" s="138" t="s">
        <v>4</v>
      </c>
      <c r="G1331" s="101" t="s">
        <v>5</v>
      </c>
      <c r="H1331" s="273" t="s">
        <v>85</v>
      </c>
      <c r="I1331" s="274">
        <v>100.0</v>
      </c>
      <c r="J1331" s="271">
        <v>4601.0</v>
      </c>
      <c r="K1331" s="271">
        <f t="shared" si="1"/>
        <v>460100</v>
      </c>
      <c r="L1331" s="271">
        <v>71768.0</v>
      </c>
      <c r="M1331" s="271">
        <v>-200.0</v>
      </c>
      <c r="N1331" s="275">
        <v>14341.0</v>
      </c>
      <c r="O1331" s="60"/>
      <c r="P1331" s="109">
        <v>14341.0</v>
      </c>
      <c r="Q1331" s="271">
        <v>-11529.0</v>
      </c>
      <c r="R1331" s="276">
        <v>8.8E-4</v>
      </c>
      <c r="S1331" s="271">
        <v>-11124.0</v>
      </c>
      <c r="T1331" s="271">
        <v>3217.0</v>
      </c>
      <c r="U1331" s="62">
        <v>1.0</v>
      </c>
      <c r="V1331" s="277">
        <v>0.15</v>
      </c>
      <c r="W1331" s="277">
        <v>0.05</v>
      </c>
      <c r="X1331" s="271">
        <v>2574.0</v>
      </c>
      <c r="Y1331" s="271">
        <v>643.0</v>
      </c>
      <c r="Z1331" s="50" t="b">
        <v>1</v>
      </c>
      <c r="AA1331" s="50" t="s">
        <v>138</v>
      </c>
      <c r="AB1331" s="50" t="s">
        <v>138</v>
      </c>
    </row>
    <row r="1332">
      <c r="A1332" s="101" t="s">
        <v>148</v>
      </c>
      <c r="B1332" s="101" t="s">
        <v>148</v>
      </c>
      <c r="C1332" s="278">
        <v>44672.0</v>
      </c>
      <c r="D1332" s="278">
        <v>44701.0</v>
      </c>
      <c r="E1332" s="271" t="s">
        <v>331</v>
      </c>
      <c r="F1332" s="138" t="s">
        <v>4</v>
      </c>
      <c r="G1332" s="101" t="s">
        <v>5</v>
      </c>
      <c r="H1332" s="273" t="s">
        <v>86</v>
      </c>
      <c r="I1332" s="274">
        <v>100.0</v>
      </c>
      <c r="J1332" s="271">
        <v>68.0</v>
      </c>
      <c r="K1332" s="271">
        <f t="shared" si="1"/>
        <v>6800</v>
      </c>
      <c r="L1332" s="271">
        <v>274.0</v>
      </c>
      <c r="M1332" s="271">
        <v>2200.0</v>
      </c>
      <c r="N1332" s="275">
        <v>212.0</v>
      </c>
      <c r="O1332" s="60"/>
      <c r="P1332" s="50">
        <v>212.0</v>
      </c>
      <c r="Q1332" s="271">
        <v>-290.0</v>
      </c>
      <c r="R1332" s="276">
        <v>8.8E-4</v>
      </c>
      <c r="S1332" s="271">
        <v>-284.0</v>
      </c>
      <c r="T1332" s="271">
        <v>-72.0</v>
      </c>
      <c r="U1332" s="62">
        <v>1.0</v>
      </c>
      <c r="V1332" s="277">
        <v>0.15</v>
      </c>
      <c r="W1332" s="277">
        <v>0.05</v>
      </c>
      <c r="X1332" s="271">
        <v>-57.0</v>
      </c>
      <c r="Y1332" s="271">
        <v>-14.0</v>
      </c>
      <c r="Z1332" s="50" t="b">
        <v>1</v>
      </c>
      <c r="AA1332" s="50" t="s">
        <v>138</v>
      </c>
      <c r="AB1332" s="50" t="s">
        <v>138</v>
      </c>
    </row>
    <row r="1333">
      <c r="A1333" s="101" t="s">
        <v>182</v>
      </c>
      <c r="B1333" s="101" t="s">
        <v>182</v>
      </c>
      <c r="C1333" s="278">
        <v>44672.0</v>
      </c>
      <c r="D1333" s="278">
        <v>44701.0</v>
      </c>
      <c r="E1333" s="280" t="s">
        <v>268</v>
      </c>
      <c r="F1333" s="101" t="s">
        <v>4</v>
      </c>
      <c r="G1333" s="271" t="s">
        <v>5</v>
      </c>
      <c r="H1333" s="273" t="s">
        <v>45</v>
      </c>
      <c r="I1333" s="274">
        <v>10.0</v>
      </c>
      <c r="J1333" s="271">
        <v>0.0</v>
      </c>
      <c r="K1333" s="271">
        <f t="shared" si="1"/>
        <v>0</v>
      </c>
      <c r="L1333" s="271"/>
      <c r="M1333" s="271">
        <v>0.0</v>
      </c>
      <c r="N1333" s="275"/>
      <c r="O1333" s="60"/>
      <c r="P1333" s="101"/>
      <c r="Q1333" s="271"/>
      <c r="R1333" s="276">
        <v>0.0</v>
      </c>
      <c r="S1333" s="271"/>
      <c r="T1333" s="271"/>
      <c r="U1333" s="62">
        <v>1.0</v>
      </c>
      <c r="V1333" s="277">
        <v>0.2</v>
      </c>
      <c r="W1333" s="277">
        <v>0.0</v>
      </c>
      <c r="X1333" s="271"/>
      <c r="Y1333" s="271"/>
      <c r="Z1333" s="50" t="b">
        <v>1</v>
      </c>
      <c r="AA1333" s="50" t="s">
        <v>138</v>
      </c>
      <c r="AB1333" s="50" t="s">
        <v>138</v>
      </c>
    </row>
    <row r="1334">
      <c r="A1334" s="101" t="s">
        <v>170</v>
      </c>
      <c r="B1334" s="101" t="s">
        <v>170</v>
      </c>
      <c r="C1334" s="278">
        <v>44672.0</v>
      </c>
      <c r="D1334" s="278">
        <v>44701.0</v>
      </c>
      <c r="E1334" s="271" t="s">
        <v>268</v>
      </c>
      <c r="F1334" s="101" t="s">
        <v>4</v>
      </c>
      <c r="G1334" s="271" t="s">
        <v>5</v>
      </c>
      <c r="H1334" s="273" t="s">
        <v>45</v>
      </c>
      <c r="I1334" s="274">
        <v>10.0</v>
      </c>
      <c r="J1334" s="271">
        <v>1308.0</v>
      </c>
      <c r="K1334" s="271">
        <f t="shared" si="1"/>
        <v>13080</v>
      </c>
      <c r="L1334" s="271">
        <v>66660.0</v>
      </c>
      <c r="M1334" s="271">
        <v>190.0</v>
      </c>
      <c r="N1334" s="275">
        <v>801.0</v>
      </c>
      <c r="O1334" s="60"/>
      <c r="P1334" s="50">
        <v>801.0</v>
      </c>
      <c r="Q1334" s="271">
        <v>255.0</v>
      </c>
      <c r="R1334" s="276">
        <v>8.8E-4</v>
      </c>
      <c r="S1334" s="271">
        <v>266.0</v>
      </c>
      <c r="T1334" s="271">
        <v>1067.0</v>
      </c>
      <c r="U1334" s="62">
        <v>1.0</v>
      </c>
      <c r="V1334" s="277">
        <v>0.23</v>
      </c>
      <c r="W1334" s="277">
        <v>0.0</v>
      </c>
      <c r="X1334" s="271">
        <v>822.0</v>
      </c>
      <c r="Y1334" s="271">
        <v>245.0</v>
      </c>
      <c r="Z1334" s="50" t="b">
        <v>1</v>
      </c>
      <c r="AA1334" s="50" t="s">
        <v>138</v>
      </c>
      <c r="AB1334" s="50" t="s">
        <v>138</v>
      </c>
    </row>
    <row r="1335">
      <c r="A1335" s="101" t="s">
        <v>170</v>
      </c>
      <c r="B1335" s="101" t="s">
        <v>170</v>
      </c>
      <c r="C1335" s="278">
        <v>44672.0</v>
      </c>
      <c r="D1335" s="278">
        <v>44701.0</v>
      </c>
      <c r="E1335" s="271" t="s">
        <v>268</v>
      </c>
      <c r="F1335" s="101" t="s">
        <v>4</v>
      </c>
      <c r="G1335" s="271" t="s">
        <v>5</v>
      </c>
      <c r="H1335" s="273" t="s">
        <v>62</v>
      </c>
      <c r="I1335" s="274">
        <v>25.0</v>
      </c>
      <c r="J1335" s="271">
        <v>195.0</v>
      </c>
      <c r="K1335" s="271">
        <f t="shared" si="1"/>
        <v>4875</v>
      </c>
      <c r="L1335" s="271">
        <v>3603.0</v>
      </c>
      <c r="M1335" s="271">
        <v>0.0</v>
      </c>
      <c r="N1335" s="275">
        <v>256.0</v>
      </c>
      <c r="O1335" s="60"/>
      <c r="P1335" s="50">
        <v>256.0</v>
      </c>
      <c r="Q1335" s="271">
        <v>-145.0</v>
      </c>
      <c r="R1335" s="276">
        <v>8.8E-4</v>
      </c>
      <c r="S1335" s="271">
        <v>-141.0</v>
      </c>
      <c r="T1335" s="271">
        <v>115.0</v>
      </c>
      <c r="U1335" s="62">
        <v>1.0</v>
      </c>
      <c r="V1335" s="277">
        <v>0.23</v>
      </c>
      <c r="W1335" s="277">
        <v>0.0</v>
      </c>
      <c r="X1335" s="271">
        <v>89.0</v>
      </c>
      <c r="Y1335" s="271">
        <v>27.0</v>
      </c>
      <c r="Z1335" s="50" t="b">
        <v>1</v>
      </c>
      <c r="AA1335" s="50" t="s">
        <v>138</v>
      </c>
      <c r="AB1335" s="50" t="s">
        <v>138</v>
      </c>
    </row>
    <row r="1336">
      <c r="A1336" s="280" t="s">
        <v>362</v>
      </c>
      <c r="B1336" s="271" t="s">
        <v>189</v>
      </c>
      <c r="C1336" s="278">
        <v>44672.0</v>
      </c>
      <c r="D1336" s="278">
        <v>44701.0</v>
      </c>
      <c r="E1336" s="280" t="s">
        <v>268</v>
      </c>
      <c r="F1336" s="138" t="s">
        <v>12</v>
      </c>
      <c r="G1336" s="271" t="s">
        <v>5</v>
      </c>
      <c r="H1336" s="273" t="s">
        <v>6</v>
      </c>
      <c r="I1336" s="274">
        <v>0.25</v>
      </c>
      <c r="J1336" s="271">
        <v>31.0</v>
      </c>
      <c r="K1336" s="271">
        <f t="shared" si="1"/>
        <v>7.75</v>
      </c>
      <c r="L1336" s="287">
        <f>1870/21*31</f>
        <v>2760.47619</v>
      </c>
      <c r="M1336" s="287">
        <v>2.0</v>
      </c>
      <c r="N1336" s="275"/>
      <c r="O1336" s="60"/>
      <c r="P1336" s="101"/>
      <c r="Q1336" s="287">
        <v>1.0</v>
      </c>
      <c r="R1336" s="276">
        <v>0.0</v>
      </c>
      <c r="S1336" s="287">
        <v>1.0</v>
      </c>
      <c r="T1336" s="287">
        <v>2.0</v>
      </c>
      <c r="U1336" s="62">
        <v>1.0</v>
      </c>
      <c r="V1336" s="277">
        <v>0.19</v>
      </c>
      <c r="W1336" s="277">
        <v>0.0</v>
      </c>
      <c r="X1336" s="287">
        <v>2.0</v>
      </c>
      <c r="Y1336" s="287">
        <v>0.0</v>
      </c>
      <c r="Z1336" s="50" t="b">
        <v>1</v>
      </c>
      <c r="AA1336" s="50" t="s">
        <v>138</v>
      </c>
      <c r="AB1336" s="50" t="s">
        <v>138</v>
      </c>
    </row>
    <row r="1337">
      <c r="A1337" s="280" t="s">
        <v>362</v>
      </c>
      <c r="B1337" s="271" t="s">
        <v>189</v>
      </c>
      <c r="C1337" s="278">
        <v>44672.0</v>
      </c>
      <c r="D1337" s="278">
        <v>44701.0</v>
      </c>
      <c r="E1337" s="280" t="s">
        <v>268</v>
      </c>
      <c r="F1337" s="138" t="s">
        <v>12</v>
      </c>
      <c r="G1337" s="271" t="s">
        <v>5</v>
      </c>
      <c r="H1337" s="273" t="s">
        <v>85</v>
      </c>
      <c r="I1337" s="274">
        <v>100.0</v>
      </c>
      <c r="J1337" s="271">
        <v>2150.0</v>
      </c>
      <c r="K1337" s="271">
        <f t="shared" si="1"/>
        <v>215000</v>
      </c>
      <c r="L1337" s="287">
        <f t="shared" ref="L1337:L1338" si="2">61399/2159*J1337</f>
        <v>61143.05234</v>
      </c>
      <c r="M1337" s="287">
        <v>4400.0</v>
      </c>
      <c r="N1337" s="275">
        <v>8634.0</v>
      </c>
      <c r="O1337" s="60"/>
      <c r="P1337" s="109">
        <v>8634.0</v>
      </c>
      <c r="Q1337" s="287">
        <v>-150.0</v>
      </c>
      <c r="R1337" s="276">
        <v>0.0</v>
      </c>
      <c r="S1337" s="287">
        <v>-150.0</v>
      </c>
      <c r="T1337" s="287">
        <v>13034.0</v>
      </c>
      <c r="U1337" s="62">
        <v>1.0</v>
      </c>
      <c r="V1337" s="277">
        <v>0.19</v>
      </c>
      <c r="W1337" s="277">
        <v>0.0</v>
      </c>
      <c r="X1337" s="287">
        <v>10558.0</v>
      </c>
      <c r="Y1337" s="287">
        <v>2476.0</v>
      </c>
      <c r="Z1337" s="50" t="b">
        <v>1</v>
      </c>
      <c r="AA1337" s="50" t="s">
        <v>138</v>
      </c>
      <c r="AB1337" s="50" t="s">
        <v>138</v>
      </c>
    </row>
    <row r="1338">
      <c r="A1338" s="280" t="s">
        <v>362</v>
      </c>
      <c r="B1338" s="271" t="s">
        <v>189</v>
      </c>
      <c r="C1338" s="278">
        <v>44672.0</v>
      </c>
      <c r="D1338" s="278">
        <v>44701.0</v>
      </c>
      <c r="E1338" s="280" t="s">
        <v>268</v>
      </c>
      <c r="F1338" s="138" t="s">
        <v>12</v>
      </c>
      <c r="G1338" s="271" t="s">
        <v>5</v>
      </c>
      <c r="H1338" s="273" t="s">
        <v>86</v>
      </c>
      <c r="I1338" s="274">
        <v>100.0</v>
      </c>
      <c r="J1338" s="271">
        <v>9.0</v>
      </c>
      <c r="K1338" s="271">
        <f t="shared" si="1"/>
        <v>900</v>
      </c>
      <c r="L1338" s="287">
        <f t="shared" si="2"/>
        <v>255.947661</v>
      </c>
      <c r="M1338" s="287">
        <v>-400.0</v>
      </c>
      <c r="N1338" s="275">
        <v>36.0</v>
      </c>
      <c r="O1338" s="60"/>
      <c r="P1338" s="50">
        <v>36.0</v>
      </c>
      <c r="Q1338" s="287">
        <v>31.0</v>
      </c>
      <c r="R1338" s="276">
        <v>0.0</v>
      </c>
      <c r="S1338" s="287">
        <v>31.0</v>
      </c>
      <c r="T1338" s="287">
        <v>-364.0</v>
      </c>
      <c r="U1338" s="62">
        <v>1.0</v>
      </c>
      <c r="V1338" s="277">
        <v>0.19</v>
      </c>
      <c r="W1338" s="277">
        <v>0.0</v>
      </c>
      <c r="X1338" s="287">
        <v>-295.0</v>
      </c>
      <c r="Y1338" s="287">
        <v>-69.0</v>
      </c>
      <c r="Z1338" s="50" t="b">
        <v>1</v>
      </c>
      <c r="AA1338" s="50" t="s">
        <v>138</v>
      </c>
      <c r="AB1338" s="50" t="s">
        <v>138</v>
      </c>
    </row>
    <row r="1339">
      <c r="A1339" s="280" t="s">
        <v>362</v>
      </c>
      <c r="B1339" s="271" t="s">
        <v>189</v>
      </c>
      <c r="C1339" s="278">
        <v>44672.0</v>
      </c>
      <c r="D1339" s="278">
        <v>44701.0</v>
      </c>
      <c r="E1339" s="280" t="s">
        <v>268</v>
      </c>
      <c r="F1339" s="138" t="s">
        <v>12</v>
      </c>
      <c r="G1339" s="271" t="s">
        <v>5</v>
      </c>
      <c r="H1339" s="273" t="s">
        <v>62</v>
      </c>
      <c r="I1339" s="274">
        <v>25.0</v>
      </c>
      <c r="J1339" s="271">
        <v>32.0</v>
      </c>
      <c r="K1339" s="271">
        <f t="shared" si="1"/>
        <v>800</v>
      </c>
      <c r="L1339" s="271">
        <f>1391/16*32</f>
        <v>2782</v>
      </c>
      <c r="M1339" s="271">
        <v>300.0</v>
      </c>
      <c r="N1339" s="275">
        <v>39.0</v>
      </c>
      <c r="O1339" s="60"/>
      <c r="P1339" s="50">
        <v>39.0</v>
      </c>
      <c r="Q1339" s="271">
        <v>78.0</v>
      </c>
      <c r="R1339" s="276">
        <v>0.0</v>
      </c>
      <c r="S1339" s="271">
        <v>78.0</v>
      </c>
      <c r="T1339" s="271">
        <v>339.0</v>
      </c>
      <c r="U1339" s="62">
        <v>1.0</v>
      </c>
      <c r="V1339" s="277">
        <v>0.19</v>
      </c>
      <c r="W1339" s="277">
        <v>0.0</v>
      </c>
      <c r="X1339" s="271">
        <v>275.0</v>
      </c>
      <c r="Y1339" s="271">
        <v>64.0</v>
      </c>
      <c r="Z1339" s="50" t="b">
        <v>1</v>
      </c>
      <c r="AA1339" s="50" t="s">
        <v>138</v>
      </c>
      <c r="AB1339" s="50" t="s">
        <v>138</v>
      </c>
    </row>
    <row r="1340">
      <c r="A1340" s="280" t="s">
        <v>362</v>
      </c>
      <c r="B1340" s="271" t="s">
        <v>189</v>
      </c>
      <c r="C1340" s="278">
        <v>44672.0</v>
      </c>
      <c r="D1340" s="278">
        <v>44701.0</v>
      </c>
      <c r="E1340" s="280" t="s">
        <v>268</v>
      </c>
      <c r="F1340" s="138" t="s">
        <v>12</v>
      </c>
      <c r="G1340" s="271" t="s">
        <v>5</v>
      </c>
      <c r="H1340" s="273" t="s">
        <v>63</v>
      </c>
      <c r="I1340" s="274">
        <v>25.0</v>
      </c>
      <c r="J1340" s="271">
        <v>12.0</v>
      </c>
      <c r="K1340" s="271">
        <f t="shared" si="1"/>
        <v>300</v>
      </c>
      <c r="L1340" s="271">
        <f>1391/16*12</f>
        <v>1043.25</v>
      </c>
      <c r="M1340" s="271">
        <v>-100.0</v>
      </c>
      <c r="N1340" s="275">
        <v>14.0</v>
      </c>
      <c r="O1340" s="60"/>
      <c r="P1340" s="50">
        <v>14.0</v>
      </c>
      <c r="Q1340" s="271">
        <v>61.0</v>
      </c>
      <c r="R1340" s="276">
        <v>0.0</v>
      </c>
      <c r="S1340" s="271">
        <v>61.0</v>
      </c>
      <c r="T1340" s="271">
        <v>-86.0</v>
      </c>
      <c r="U1340" s="62">
        <v>1.0</v>
      </c>
      <c r="V1340" s="277">
        <v>0.19</v>
      </c>
      <c r="W1340" s="277">
        <v>0.0</v>
      </c>
      <c r="X1340" s="271">
        <v>-70.0</v>
      </c>
      <c r="Y1340" s="271">
        <v>-16.0</v>
      </c>
      <c r="Z1340" s="50" t="b">
        <v>1</v>
      </c>
      <c r="AA1340" s="50" t="s">
        <v>138</v>
      </c>
      <c r="AB1340" s="50" t="s">
        <v>138</v>
      </c>
    </row>
    <row r="1341">
      <c r="A1341" s="280" t="s">
        <v>362</v>
      </c>
      <c r="B1341" s="271" t="s">
        <v>189</v>
      </c>
      <c r="C1341" s="278">
        <v>44672.0</v>
      </c>
      <c r="D1341" s="278">
        <v>44701.0</v>
      </c>
      <c r="E1341" s="280" t="s">
        <v>268</v>
      </c>
      <c r="F1341" s="138" t="s">
        <v>12</v>
      </c>
      <c r="G1341" s="271" t="s">
        <v>5</v>
      </c>
      <c r="H1341" s="273" t="s">
        <v>96</v>
      </c>
      <c r="I1341" s="274">
        <v>250.0</v>
      </c>
      <c r="J1341" s="271">
        <v>39.0</v>
      </c>
      <c r="K1341" s="271">
        <f t="shared" si="1"/>
        <v>9750</v>
      </c>
      <c r="L1341" s="271">
        <v>-2050.0</v>
      </c>
      <c r="M1341" s="271">
        <v>-2750.0</v>
      </c>
      <c r="N1341" s="275">
        <v>391.0</v>
      </c>
      <c r="O1341" s="60"/>
      <c r="P1341" s="50">
        <v>391.0</v>
      </c>
      <c r="Q1341" s="271">
        <v>-1466.0</v>
      </c>
      <c r="R1341" s="276">
        <v>0.0</v>
      </c>
      <c r="S1341" s="271">
        <v>-1466.0</v>
      </c>
      <c r="T1341" s="271">
        <v>-2359.0</v>
      </c>
      <c r="U1341" s="62">
        <v>1.0</v>
      </c>
      <c r="V1341" s="277">
        <v>0.19</v>
      </c>
      <c r="W1341" s="277">
        <v>0.0</v>
      </c>
      <c r="X1341" s="271">
        <v>-1911.0</v>
      </c>
      <c r="Y1341" s="271">
        <v>-448.0</v>
      </c>
      <c r="Z1341" s="50" t="b">
        <v>1</v>
      </c>
      <c r="AA1341" s="50" t="s">
        <v>138</v>
      </c>
      <c r="AB1341" s="50" t="s">
        <v>138</v>
      </c>
    </row>
    <row r="1342">
      <c r="A1342" s="280" t="s">
        <v>362</v>
      </c>
      <c r="B1342" s="271" t="s">
        <v>189</v>
      </c>
      <c r="C1342" s="278">
        <v>44672.0</v>
      </c>
      <c r="D1342" s="278">
        <v>44701.0</v>
      </c>
      <c r="E1342" s="280" t="s">
        <v>268</v>
      </c>
      <c r="F1342" s="138" t="s">
        <v>12</v>
      </c>
      <c r="G1342" s="271" t="s">
        <v>5</v>
      </c>
      <c r="H1342" s="273" t="s">
        <v>74</v>
      </c>
      <c r="I1342" s="274">
        <v>50.0</v>
      </c>
      <c r="J1342" s="271">
        <v>83.0</v>
      </c>
      <c r="K1342" s="271">
        <f t="shared" si="1"/>
        <v>4150</v>
      </c>
      <c r="L1342" s="287">
        <f t="shared" ref="L1342:L1343" si="3">3148/75*J1342</f>
        <v>3483.786667</v>
      </c>
      <c r="M1342" s="287">
        <v>450.0</v>
      </c>
      <c r="N1342" s="275">
        <v>200.0</v>
      </c>
      <c r="O1342" s="60"/>
      <c r="P1342" s="50">
        <v>200.0</v>
      </c>
      <c r="Q1342" s="287">
        <v>57.0</v>
      </c>
      <c r="R1342" s="276">
        <v>0.0</v>
      </c>
      <c r="S1342" s="287">
        <v>57.0</v>
      </c>
      <c r="T1342" s="287">
        <v>650.0</v>
      </c>
      <c r="U1342" s="62">
        <v>1.0</v>
      </c>
      <c r="V1342" s="277">
        <v>0.19</v>
      </c>
      <c r="W1342" s="277">
        <v>0.0</v>
      </c>
      <c r="X1342" s="287">
        <v>527.0</v>
      </c>
      <c r="Y1342" s="287">
        <v>124.0</v>
      </c>
      <c r="Z1342" s="50" t="b">
        <v>1</v>
      </c>
      <c r="AA1342" s="50" t="s">
        <v>138</v>
      </c>
      <c r="AB1342" s="50" t="s">
        <v>138</v>
      </c>
    </row>
    <row r="1343">
      <c r="A1343" s="280" t="s">
        <v>362</v>
      </c>
      <c r="B1343" s="271" t="s">
        <v>189</v>
      </c>
      <c r="C1343" s="278">
        <v>44672.0</v>
      </c>
      <c r="D1343" s="278">
        <v>44701.0</v>
      </c>
      <c r="E1343" s="280" t="s">
        <v>268</v>
      </c>
      <c r="F1343" s="138" t="s">
        <v>12</v>
      </c>
      <c r="G1343" s="271" t="s">
        <v>5</v>
      </c>
      <c r="H1343" s="273" t="s">
        <v>75</v>
      </c>
      <c r="I1343" s="274">
        <v>50.0</v>
      </c>
      <c r="J1343" s="271">
        <v>4.0</v>
      </c>
      <c r="K1343" s="271">
        <f t="shared" si="1"/>
        <v>200</v>
      </c>
      <c r="L1343" s="287">
        <f t="shared" si="3"/>
        <v>167.8933333</v>
      </c>
      <c r="M1343" s="287">
        <v>-100.0</v>
      </c>
      <c r="N1343" s="275">
        <v>10.0</v>
      </c>
      <c r="O1343" s="60"/>
      <c r="P1343" s="50">
        <v>10.0</v>
      </c>
      <c r="Q1343" s="287">
        <v>13.0</v>
      </c>
      <c r="R1343" s="276">
        <v>0.0</v>
      </c>
      <c r="S1343" s="287">
        <v>13.0</v>
      </c>
      <c r="T1343" s="287">
        <v>-90.0</v>
      </c>
      <c r="U1343" s="62">
        <v>1.0</v>
      </c>
      <c r="V1343" s="277">
        <v>0.19</v>
      </c>
      <c r="W1343" s="277">
        <v>0.0</v>
      </c>
      <c r="X1343" s="287">
        <v>-73.0</v>
      </c>
      <c r="Y1343" s="287">
        <v>-17.0</v>
      </c>
      <c r="Z1343" s="50" t="b">
        <v>1</v>
      </c>
      <c r="AA1343" s="50" t="s">
        <v>138</v>
      </c>
      <c r="AB1343" s="50" t="s">
        <v>138</v>
      </c>
    </row>
    <row r="1344">
      <c r="A1344" s="280" t="s">
        <v>362</v>
      </c>
      <c r="B1344" s="271" t="s">
        <v>189</v>
      </c>
      <c r="C1344" s="278">
        <v>44672.0</v>
      </c>
      <c r="D1344" s="278">
        <v>44701.0</v>
      </c>
      <c r="E1344" s="280" t="s">
        <v>268</v>
      </c>
      <c r="F1344" s="138" t="s">
        <v>12</v>
      </c>
      <c r="G1344" s="271" t="s">
        <v>5</v>
      </c>
      <c r="H1344" s="273" t="s">
        <v>101</v>
      </c>
      <c r="I1344" s="274">
        <v>500.0</v>
      </c>
      <c r="J1344" s="271">
        <v>5.0</v>
      </c>
      <c r="K1344" s="271">
        <f t="shared" si="1"/>
        <v>2500</v>
      </c>
      <c r="L1344" s="271">
        <v>-747.0</v>
      </c>
      <c r="M1344" s="271">
        <v>-1500.0</v>
      </c>
      <c r="N1344" s="275">
        <v>100.0</v>
      </c>
      <c r="O1344" s="60"/>
      <c r="P1344" s="50">
        <v>100.0</v>
      </c>
      <c r="Q1344" s="271">
        <v>-829.0</v>
      </c>
      <c r="R1344" s="276">
        <v>0.0</v>
      </c>
      <c r="S1344" s="271">
        <v>-829.0</v>
      </c>
      <c r="T1344" s="271">
        <v>-1400.0</v>
      </c>
      <c r="U1344" s="62">
        <v>1.0</v>
      </c>
      <c r="V1344" s="277">
        <v>0.19</v>
      </c>
      <c r="W1344" s="277">
        <v>0.0</v>
      </c>
      <c r="X1344" s="271">
        <v>-1134.0</v>
      </c>
      <c r="Y1344" s="271">
        <v>-266.0</v>
      </c>
      <c r="Z1344" s="50" t="b">
        <v>1</v>
      </c>
      <c r="AA1344" s="50" t="s">
        <v>138</v>
      </c>
      <c r="AB1344" s="50" t="s">
        <v>138</v>
      </c>
    </row>
    <row r="1345">
      <c r="A1345" s="101" t="s">
        <v>416</v>
      </c>
      <c r="B1345" s="101" t="s">
        <v>190</v>
      </c>
      <c r="C1345" s="278">
        <v>44672.0</v>
      </c>
      <c r="D1345" s="278">
        <v>44701.0</v>
      </c>
      <c r="E1345" s="271" t="s">
        <v>268</v>
      </c>
      <c r="F1345" s="138" t="s">
        <v>4</v>
      </c>
      <c r="G1345" s="271" t="s">
        <v>5</v>
      </c>
      <c r="H1345" s="273" t="s">
        <v>45</v>
      </c>
      <c r="I1345" s="274">
        <v>10.0</v>
      </c>
      <c r="J1345" s="271">
        <v>1706.0</v>
      </c>
      <c r="K1345" s="271">
        <f t="shared" si="1"/>
        <v>17060</v>
      </c>
      <c r="L1345" s="271">
        <v>118874.0</v>
      </c>
      <c r="M1345" s="271">
        <v>850.0</v>
      </c>
      <c r="N1345" s="275">
        <v>815.0</v>
      </c>
      <c r="O1345" s="60"/>
      <c r="P1345" s="50">
        <v>815.0</v>
      </c>
      <c r="Q1345" s="271">
        <v>887.0</v>
      </c>
      <c r="R1345" s="276">
        <v>8.8E-4</v>
      </c>
      <c r="S1345" s="271">
        <v>902.0</v>
      </c>
      <c r="T1345" s="271">
        <v>1717.0</v>
      </c>
      <c r="U1345" s="62">
        <v>1.0</v>
      </c>
      <c r="V1345" s="277">
        <v>0.2</v>
      </c>
      <c r="W1345" s="277">
        <v>0.0</v>
      </c>
      <c r="X1345" s="271">
        <v>1374.0</v>
      </c>
      <c r="Y1345" s="271">
        <v>343.0</v>
      </c>
      <c r="Z1345" s="50" t="b">
        <v>1</v>
      </c>
      <c r="AA1345" s="50" t="s">
        <v>138</v>
      </c>
      <c r="AB1345" s="50" t="s">
        <v>138</v>
      </c>
    </row>
    <row r="1346">
      <c r="A1346" s="280" t="s">
        <v>150</v>
      </c>
      <c r="B1346" s="280" t="s">
        <v>152</v>
      </c>
      <c r="C1346" s="278">
        <v>44672.0</v>
      </c>
      <c r="D1346" s="278">
        <v>44701.0</v>
      </c>
      <c r="E1346" s="280" t="s">
        <v>268</v>
      </c>
      <c r="F1346" s="138" t="s">
        <v>4</v>
      </c>
      <c r="G1346" s="280" t="s">
        <v>5</v>
      </c>
      <c r="H1346" s="273" t="s">
        <v>62</v>
      </c>
      <c r="I1346" s="274">
        <v>25.0</v>
      </c>
      <c r="J1346" s="271">
        <v>58.0</v>
      </c>
      <c r="K1346" s="271">
        <f t="shared" si="1"/>
        <v>1450</v>
      </c>
      <c r="L1346" s="271">
        <v>6005.0</v>
      </c>
      <c r="M1346" s="271">
        <v>0.0</v>
      </c>
      <c r="N1346" s="275">
        <v>1.0</v>
      </c>
      <c r="O1346" s="60"/>
      <c r="P1346" s="50">
        <v>1.0</v>
      </c>
      <c r="Q1346" s="271">
        <v>187.0</v>
      </c>
      <c r="R1346" s="276">
        <v>8.8E-4</v>
      </c>
      <c r="S1346" s="271">
        <v>188.0</v>
      </c>
      <c r="T1346" s="271">
        <v>189.0</v>
      </c>
      <c r="U1346" s="62">
        <v>1.0</v>
      </c>
      <c r="V1346" s="277">
        <v>0.3</v>
      </c>
      <c r="W1346" s="277">
        <v>0.0</v>
      </c>
      <c r="X1346" s="271">
        <v>132.0</v>
      </c>
      <c r="Y1346" s="271">
        <v>57.0</v>
      </c>
      <c r="Z1346" s="50" t="b">
        <v>1</v>
      </c>
      <c r="AA1346" s="50" t="s">
        <v>138</v>
      </c>
      <c r="AB1346" s="50" t="s">
        <v>138</v>
      </c>
    </row>
    <row r="1347">
      <c r="A1347" s="101" t="s">
        <v>195</v>
      </c>
      <c r="B1347" s="101" t="s">
        <v>195</v>
      </c>
      <c r="C1347" s="278">
        <v>44672.0</v>
      </c>
      <c r="D1347" s="278">
        <v>44701.0</v>
      </c>
      <c r="E1347" s="271" t="s">
        <v>331</v>
      </c>
      <c r="F1347" s="138" t="s">
        <v>4</v>
      </c>
      <c r="G1347" s="101" t="s">
        <v>5</v>
      </c>
      <c r="H1347" s="273" t="s">
        <v>85</v>
      </c>
      <c r="I1347" s="274">
        <v>100.0</v>
      </c>
      <c r="J1347" s="271">
        <v>4338.0</v>
      </c>
      <c r="K1347" s="271">
        <f t="shared" si="1"/>
        <v>433800</v>
      </c>
      <c r="L1347" s="271">
        <v>122159.0</v>
      </c>
      <c r="M1347" s="271">
        <v>-4300.0</v>
      </c>
      <c r="N1347" s="275">
        <v>7135.0</v>
      </c>
      <c r="O1347" s="60"/>
      <c r="P1347" s="109">
        <v>7135.0</v>
      </c>
      <c r="Q1347" s="271">
        <v>-549.0</v>
      </c>
      <c r="R1347" s="276">
        <v>-0.0015</v>
      </c>
      <c r="S1347" s="271">
        <v>-1200.0</v>
      </c>
      <c r="T1347" s="271">
        <v>5935.0</v>
      </c>
      <c r="U1347" s="62">
        <v>1.0</v>
      </c>
      <c r="V1347" s="277">
        <v>0.15</v>
      </c>
      <c r="W1347" s="277">
        <v>0.05</v>
      </c>
      <c r="X1347" s="271">
        <v>4748.0</v>
      </c>
      <c r="Y1347" s="271">
        <v>1187.0</v>
      </c>
      <c r="Z1347" s="50" t="b">
        <v>1</v>
      </c>
      <c r="AA1347" s="50" t="s">
        <v>138</v>
      </c>
      <c r="AB1347" s="50" t="s">
        <v>138</v>
      </c>
    </row>
    <row r="1348">
      <c r="A1348" s="101" t="s">
        <v>195</v>
      </c>
      <c r="B1348" s="101" t="s">
        <v>195</v>
      </c>
      <c r="C1348" s="278">
        <v>44672.0</v>
      </c>
      <c r="D1348" s="278">
        <v>44701.0</v>
      </c>
      <c r="E1348" s="271" t="s">
        <v>331</v>
      </c>
      <c r="F1348" s="138" t="s">
        <v>4</v>
      </c>
      <c r="G1348" s="101" t="s">
        <v>5</v>
      </c>
      <c r="H1348" s="273" t="s">
        <v>86</v>
      </c>
      <c r="I1348" s="274">
        <v>100.0</v>
      </c>
      <c r="J1348" s="271">
        <v>2258.0</v>
      </c>
      <c r="K1348" s="271">
        <f t="shared" si="1"/>
        <v>225800</v>
      </c>
      <c r="L1348" s="271">
        <v>21437.0</v>
      </c>
      <c r="M1348" s="271">
        <v>3200.0</v>
      </c>
      <c r="N1348" s="275">
        <v>3714.0</v>
      </c>
      <c r="O1348" s="60"/>
      <c r="P1348" s="109">
        <v>3714.0</v>
      </c>
      <c r="Q1348" s="271">
        <v>-5507.0</v>
      </c>
      <c r="R1348" s="276">
        <v>-0.0015</v>
      </c>
      <c r="S1348" s="271">
        <v>-5845.0</v>
      </c>
      <c r="T1348" s="271">
        <v>-2131.0</v>
      </c>
      <c r="U1348" s="62">
        <v>1.0</v>
      </c>
      <c r="V1348" s="277">
        <v>0.15</v>
      </c>
      <c r="W1348" s="277">
        <v>0.05</v>
      </c>
      <c r="X1348" s="271">
        <v>-1705.0</v>
      </c>
      <c r="Y1348" s="271">
        <v>-426.0</v>
      </c>
      <c r="Z1348" s="50" t="b">
        <v>1</v>
      </c>
      <c r="AA1348" s="50" t="s">
        <v>138</v>
      </c>
      <c r="AB1348" s="50" t="s">
        <v>138</v>
      </c>
    </row>
    <row r="1349">
      <c r="A1349" s="101" t="s">
        <v>195</v>
      </c>
      <c r="B1349" s="101" t="s">
        <v>195</v>
      </c>
      <c r="C1349" s="278">
        <v>44672.0</v>
      </c>
      <c r="D1349" s="278">
        <v>44701.0</v>
      </c>
      <c r="E1349" s="271" t="s">
        <v>331</v>
      </c>
      <c r="F1349" s="138" t="s">
        <v>12</v>
      </c>
      <c r="G1349" s="101" t="s">
        <v>5</v>
      </c>
      <c r="H1349" s="273" t="s">
        <v>6</v>
      </c>
      <c r="I1349" s="274">
        <v>0.25</v>
      </c>
      <c r="J1349" s="271">
        <v>7.0</v>
      </c>
      <c r="K1349" s="271">
        <f t="shared" si="1"/>
        <v>1.75</v>
      </c>
      <c r="L1349" s="271"/>
      <c r="M1349" s="271">
        <v>1.0</v>
      </c>
      <c r="N1349" s="275"/>
      <c r="O1349" s="60"/>
      <c r="P1349" s="101"/>
      <c r="Q1349" s="271"/>
      <c r="R1349" s="276">
        <v>0.0</v>
      </c>
      <c r="S1349" s="271"/>
      <c r="T1349" s="271">
        <v>1.0</v>
      </c>
      <c r="U1349" s="62">
        <v>1.0</v>
      </c>
      <c r="V1349" s="277">
        <v>0.15</v>
      </c>
      <c r="W1349" s="277">
        <v>0.05</v>
      </c>
      <c r="X1349" s="271">
        <v>1.0</v>
      </c>
      <c r="Y1349" s="271">
        <v>0.0</v>
      </c>
      <c r="Z1349" s="50" t="b">
        <v>1</v>
      </c>
      <c r="AA1349" s="50" t="s">
        <v>138</v>
      </c>
      <c r="AB1349" s="50" t="s">
        <v>138</v>
      </c>
    </row>
    <row r="1350">
      <c r="A1350" s="101" t="s">
        <v>195</v>
      </c>
      <c r="B1350" s="101" t="s">
        <v>195</v>
      </c>
      <c r="C1350" s="278">
        <v>44672.0</v>
      </c>
      <c r="D1350" s="278">
        <v>44701.0</v>
      </c>
      <c r="E1350" s="271" t="s">
        <v>331</v>
      </c>
      <c r="F1350" s="138" t="s">
        <v>12</v>
      </c>
      <c r="G1350" s="101" t="s">
        <v>5</v>
      </c>
      <c r="H1350" s="273" t="s">
        <v>74</v>
      </c>
      <c r="I1350" s="274">
        <v>50.0</v>
      </c>
      <c r="J1350" s="271">
        <v>1.0</v>
      </c>
      <c r="K1350" s="271">
        <f t="shared" si="1"/>
        <v>50</v>
      </c>
      <c r="L1350" s="271"/>
      <c r="M1350" s="271">
        <v>-50.0</v>
      </c>
      <c r="N1350" s="275">
        <v>1.0</v>
      </c>
      <c r="O1350" s="60"/>
      <c r="P1350" s="50">
        <v>1.0</v>
      </c>
      <c r="Q1350" s="271"/>
      <c r="R1350" s="276">
        <v>0.0</v>
      </c>
      <c r="S1350" s="271"/>
      <c r="T1350" s="271">
        <v>-49.0</v>
      </c>
      <c r="U1350" s="62">
        <v>1.0</v>
      </c>
      <c r="V1350" s="277">
        <v>0.15</v>
      </c>
      <c r="W1350" s="277">
        <v>0.05</v>
      </c>
      <c r="X1350" s="271">
        <v>-39.0</v>
      </c>
      <c r="Y1350" s="271">
        <v>-10.0</v>
      </c>
      <c r="Z1350" s="50" t="b">
        <v>1</v>
      </c>
      <c r="AA1350" s="50" t="s">
        <v>138</v>
      </c>
      <c r="AB1350" s="50" t="s">
        <v>138</v>
      </c>
    </row>
    <row r="1351">
      <c r="A1351" s="280" t="s">
        <v>477</v>
      </c>
      <c r="B1351" s="280" t="s">
        <v>164</v>
      </c>
      <c r="C1351" s="283">
        <v>44672.0</v>
      </c>
      <c r="D1351" s="278">
        <v>44701.0</v>
      </c>
      <c r="E1351" s="280" t="s">
        <v>331</v>
      </c>
      <c r="F1351" s="138" t="s">
        <v>4</v>
      </c>
      <c r="G1351" s="271" t="s">
        <v>13</v>
      </c>
      <c r="H1351" s="271" t="s">
        <v>85</v>
      </c>
      <c r="I1351" s="274">
        <v>100.0</v>
      </c>
      <c r="J1351" s="271">
        <v>8252.0</v>
      </c>
      <c r="K1351" s="271">
        <f t="shared" si="1"/>
        <v>825200</v>
      </c>
      <c r="L1351" s="271">
        <v>76719.0</v>
      </c>
      <c r="M1351" s="271">
        <v>-41600.0</v>
      </c>
      <c r="N1351" s="275">
        <v>46848.0</v>
      </c>
      <c r="O1351" s="60"/>
      <c r="P1351" s="109">
        <v>46848.0</v>
      </c>
      <c r="Q1351" s="271">
        <v>-38444.0</v>
      </c>
      <c r="R1351" s="276">
        <v>8.8E-4</v>
      </c>
      <c r="S1351" s="271">
        <v>-37718.0</v>
      </c>
      <c r="T1351" s="271">
        <v>9130.0</v>
      </c>
      <c r="U1351" s="62">
        <v>1.0</v>
      </c>
      <c r="V1351" s="277">
        <v>0.15</v>
      </c>
      <c r="W1351" s="277">
        <v>0.05</v>
      </c>
      <c r="X1351" s="271">
        <v>7304.0</v>
      </c>
      <c r="Y1351" s="271">
        <v>1826.0</v>
      </c>
      <c r="Z1351" s="50" t="b">
        <v>1</v>
      </c>
      <c r="AA1351" s="50" t="s">
        <v>138</v>
      </c>
      <c r="AB1351" s="50" t="s">
        <v>138</v>
      </c>
    </row>
    <row r="1352">
      <c r="A1352" s="101" t="s">
        <v>505</v>
      </c>
      <c r="B1352" s="271" t="s">
        <v>166</v>
      </c>
      <c r="C1352" s="278">
        <v>44672.0</v>
      </c>
      <c r="D1352" s="278">
        <v>44701.0</v>
      </c>
      <c r="E1352" s="271" t="s">
        <v>268</v>
      </c>
      <c r="F1352" s="101" t="s">
        <v>4</v>
      </c>
      <c r="G1352" s="271" t="s">
        <v>5</v>
      </c>
      <c r="H1352" s="273" t="s">
        <v>35</v>
      </c>
      <c r="I1352" s="281">
        <v>5.0</v>
      </c>
      <c r="J1352" s="280">
        <v>2.0</v>
      </c>
      <c r="K1352" s="271">
        <f t="shared" si="1"/>
        <v>10</v>
      </c>
      <c r="L1352" s="280">
        <v>1385.0</v>
      </c>
      <c r="M1352" s="280">
        <v>15.0</v>
      </c>
      <c r="N1352" s="275">
        <v>1.0</v>
      </c>
      <c r="O1352" s="60"/>
      <c r="P1352" s="50">
        <v>1.0</v>
      </c>
      <c r="Q1352" s="280">
        <v>12.0</v>
      </c>
      <c r="R1352" s="276">
        <v>8.8E-4</v>
      </c>
      <c r="S1352" s="280">
        <v>12.0</v>
      </c>
      <c r="T1352" s="280">
        <v>13.0</v>
      </c>
      <c r="U1352" s="62">
        <v>1.0</v>
      </c>
      <c r="V1352" s="277">
        <v>0.25</v>
      </c>
      <c r="W1352" s="277">
        <v>0.0</v>
      </c>
      <c r="X1352" s="280">
        <v>9.0</v>
      </c>
      <c r="Y1352" s="280">
        <v>3.0</v>
      </c>
      <c r="Z1352" s="50" t="b">
        <v>1</v>
      </c>
      <c r="AA1352" s="50" t="s">
        <v>138</v>
      </c>
      <c r="AB1352" s="50" t="s">
        <v>138</v>
      </c>
    </row>
    <row r="1353">
      <c r="A1353" s="101" t="s">
        <v>505</v>
      </c>
      <c r="B1353" s="271" t="s">
        <v>166</v>
      </c>
      <c r="C1353" s="278">
        <v>44672.0</v>
      </c>
      <c r="D1353" s="278">
        <v>44701.0</v>
      </c>
      <c r="E1353" s="271" t="s">
        <v>268</v>
      </c>
      <c r="F1353" s="101" t="s">
        <v>4</v>
      </c>
      <c r="G1353" s="271" t="s">
        <v>5</v>
      </c>
      <c r="H1353" s="273" t="s">
        <v>45</v>
      </c>
      <c r="I1353" s="281">
        <v>10.0</v>
      </c>
      <c r="J1353" s="280">
        <v>2757.0</v>
      </c>
      <c r="K1353" s="271">
        <f t="shared" si="1"/>
        <v>27570</v>
      </c>
      <c r="L1353" s="280">
        <v>164495.0</v>
      </c>
      <c r="M1353" s="280">
        <v>200.0</v>
      </c>
      <c r="N1353" s="275">
        <v>1503.0</v>
      </c>
      <c r="O1353" s="60"/>
      <c r="P1353" s="109">
        <v>1503.0</v>
      </c>
      <c r="Q1353" s="280">
        <v>977.0</v>
      </c>
      <c r="R1353" s="276">
        <v>8.8E-4</v>
      </c>
      <c r="S1353" s="280">
        <v>1001.0</v>
      </c>
      <c r="T1353" s="280">
        <v>2504.0</v>
      </c>
      <c r="U1353" s="62">
        <v>1.0</v>
      </c>
      <c r="V1353" s="277">
        <v>0.25</v>
      </c>
      <c r="W1353" s="277">
        <v>0.0</v>
      </c>
      <c r="X1353" s="280">
        <v>1878.0</v>
      </c>
      <c r="Y1353" s="280">
        <v>626.0</v>
      </c>
      <c r="Z1353" s="50" t="b">
        <v>1</v>
      </c>
      <c r="AA1353" s="50" t="s">
        <v>138</v>
      </c>
      <c r="AB1353" s="50" t="s">
        <v>138</v>
      </c>
    </row>
    <row r="1354">
      <c r="A1354" s="101" t="s">
        <v>199</v>
      </c>
      <c r="B1354" s="101" t="s">
        <v>199</v>
      </c>
      <c r="C1354" s="278">
        <v>44672.0</v>
      </c>
      <c r="D1354" s="278">
        <v>44701.0</v>
      </c>
      <c r="E1354" s="280" t="s">
        <v>268</v>
      </c>
      <c r="F1354" s="138" t="s">
        <v>4</v>
      </c>
      <c r="G1354" s="271" t="s">
        <v>5</v>
      </c>
      <c r="H1354" s="273" t="s">
        <v>35</v>
      </c>
      <c r="I1354" s="281">
        <v>5.0</v>
      </c>
      <c r="J1354" s="280">
        <v>16.0</v>
      </c>
      <c r="K1354" s="271">
        <f t="shared" si="1"/>
        <v>80</v>
      </c>
      <c r="L1354" s="280">
        <v>1437.0</v>
      </c>
      <c r="M1354" s="280">
        <v>0.0</v>
      </c>
      <c r="N1354" s="275">
        <v>3.0</v>
      </c>
      <c r="O1354" s="60"/>
      <c r="P1354" s="50">
        <v>3.0</v>
      </c>
      <c r="Q1354" s="280">
        <v>6.0</v>
      </c>
      <c r="R1354" s="276">
        <v>8.8E-4</v>
      </c>
      <c r="S1354" s="280">
        <v>6.0</v>
      </c>
      <c r="T1354" s="280">
        <v>9.0</v>
      </c>
      <c r="U1354" s="62">
        <v>1.0</v>
      </c>
      <c r="V1354" s="277">
        <v>0.2</v>
      </c>
      <c r="W1354" s="277">
        <v>0.0</v>
      </c>
      <c r="X1354" s="280">
        <v>7.0</v>
      </c>
      <c r="Y1354" s="280">
        <v>2.0</v>
      </c>
      <c r="Z1354" s="50" t="b">
        <v>1</v>
      </c>
      <c r="AA1354" s="50" t="s">
        <v>138</v>
      </c>
      <c r="AB1354" s="50" t="s">
        <v>138</v>
      </c>
    </row>
    <row r="1355">
      <c r="A1355" s="101" t="s">
        <v>199</v>
      </c>
      <c r="B1355" s="101" t="s">
        <v>199</v>
      </c>
      <c r="C1355" s="278">
        <v>44672.0</v>
      </c>
      <c r="D1355" s="278">
        <v>44701.0</v>
      </c>
      <c r="E1355" s="280" t="s">
        <v>268</v>
      </c>
      <c r="F1355" s="138" t="s">
        <v>4</v>
      </c>
      <c r="G1355" s="271" t="s">
        <v>5</v>
      </c>
      <c r="H1355" s="273" t="s">
        <v>38</v>
      </c>
      <c r="I1355" s="281">
        <v>5.0</v>
      </c>
      <c r="J1355" s="280">
        <v>19.0</v>
      </c>
      <c r="K1355" s="271">
        <f t="shared" si="1"/>
        <v>95</v>
      </c>
      <c r="L1355" s="280">
        <v>-695.0</v>
      </c>
      <c r="M1355" s="280">
        <v>-45.0</v>
      </c>
      <c r="N1355" s="275">
        <v>4.0</v>
      </c>
      <c r="O1355" s="60"/>
      <c r="P1355" s="50">
        <v>4.0</v>
      </c>
      <c r="Q1355" s="280">
        <v>-19.0</v>
      </c>
      <c r="R1355" s="276">
        <v>8.8E-4</v>
      </c>
      <c r="S1355" s="280">
        <v>-19.0</v>
      </c>
      <c r="T1355" s="280">
        <v>-15.0</v>
      </c>
      <c r="U1355" s="62">
        <v>1.0</v>
      </c>
      <c r="V1355" s="277">
        <v>0.2</v>
      </c>
      <c r="W1355" s="277">
        <v>0.0</v>
      </c>
      <c r="X1355" s="280">
        <v>-12.0</v>
      </c>
      <c r="Y1355" s="280">
        <v>-3.0</v>
      </c>
      <c r="Z1355" s="50" t="b">
        <v>1</v>
      </c>
      <c r="AA1355" s="50" t="s">
        <v>138</v>
      </c>
      <c r="AB1355" s="50" t="s">
        <v>138</v>
      </c>
    </row>
    <row r="1356">
      <c r="A1356" s="101" t="s">
        <v>199</v>
      </c>
      <c r="B1356" s="101" t="s">
        <v>199</v>
      </c>
      <c r="C1356" s="278">
        <v>44672.0</v>
      </c>
      <c r="D1356" s="278">
        <v>44701.0</v>
      </c>
      <c r="E1356" s="280" t="s">
        <v>268</v>
      </c>
      <c r="F1356" s="138" t="s">
        <v>4</v>
      </c>
      <c r="G1356" s="271" t="s">
        <v>5</v>
      </c>
      <c r="H1356" s="273" t="s">
        <v>45</v>
      </c>
      <c r="I1356" s="281">
        <v>10.0</v>
      </c>
      <c r="J1356" s="280">
        <v>1840.0</v>
      </c>
      <c r="K1356" s="271">
        <f t="shared" si="1"/>
        <v>18400</v>
      </c>
      <c r="L1356" s="280">
        <v>98455.0</v>
      </c>
      <c r="M1356" s="280">
        <v>320.0</v>
      </c>
      <c r="N1356" s="275">
        <v>625.0</v>
      </c>
      <c r="O1356" s="60"/>
      <c r="P1356" s="50">
        <v>625.0</v>
      </c>
      <c r="Q1356" s="280">
        <v>444.0</v>
      </c>
      <c r="R1356" s="276">
        <v>8.8E-4</v>
      </c>
      <c r="S1356" s="280">
        <v>461.0</v>
      </c>
      <c r="T1356" s="280">
        <v>1086.0</v>
      </c>
      <c r="U1356" s="62">
        <v>1.0</v>
      </c>
      <c r="V1356" s="277">
        <v>0.2</v>
      </c>
      <c r="W1356" s="277">
        <v>0.0</v>
      </c>
      <c r="X1356" s="280">
        <v>868.0</v>
      </c>
      <c r="Y1356" s="280">
        <v>217.0</v>
      </c>
      <c r="Z1356" s="50" t="b">
        <v>1</v>
      </c>
      <c r="AA1356" s="50" t="s">
        <v>138</v>
      </c>
      <c r="AB1356" s="50" t="s">
        <v>138</v>
      </c>
    </row>
    <row r="1357">
      <c r="A1357" s="101" t="s">
        <v>199</v>
      </c>
      <c r="B1357" s="101" t="s">
        <v>199</v>
      </c>
      <c r="C1357" s="278">
        <v>44672.0</v>
      </c>
      <c r="D1357" s="278">
        <v>44701.0</v>
      </c>
      <c r="E1357" s="280" t="s">
        <v>268</v>
      </c>
      <c r="F1357" s="138" t="s">
        <v>4</v>
      </c>
      <c r="G1357" s="271" t="s">
        <v>5</v>
      </c>
      <c r="H1357" s="273" t="s">
        <v>48</v>
      </c>
      <c r="I1357" s="281">
        <v>10.0</v>
      </c>
      <c r="J1357" s="280">
        <v>348.0</v>
      </c>
      <c r="K1357" s="271">
        <f t="shared" si="1"/>
        <v>3480</v>
      </c>
      <c r="L1357" s="280">
        <v>-93.0</v>
      </c>
      <c r="M1357" s="280">
        <v>-350.0</v>
      </c>
      <c r="N1357" s="275">
        <v>118.0</v>
      </c>
      <c r="O1357" s="60"/>
      <c r="P1357" s="50">
        <v>118.0</v>
      </c>
      <c r="Q1357" s="280">
        <v>-260.0</v>
      </c>
      <c r="R1357" s="276">
        <v>8.8E-4</v>
      </c>
      <c r="S1357" s="280">
        <v>-257.0</v>
      </c>
      <c r="T1357" s="280">
        <v>-139.0</v>
      </c>
      <c r="U1357" s="62">
        <v>1.0</v>
      </c>
      <c r="V1357" s="277">
        <v>0.2</v>
      </c>
      <c r="W1357" s="277">
        <v>0.0</v>
      </c>
      <c r="X1357" s="280">
        <v>-111.0</v>
      </c>
      <c r="Y1357" s="280">
        <v>-28.0</v>
      </c>
      <c r="Z1357" s="50" t="b">
        <v>1</v>
      </c>
      <c r="AA1357" s="50" t="s">
        <v>138</v>
      </c>
      <c r="AB1357" s="50" t="s">
        <v>138</v>
      </c>
    </row>
    <row r="1358">
      <c r="A1358" s="101" t="s">
        <v>199</v>
      </c>
      <c r="B1358" s="280" t="s">
        <v>1003</v>
      </c>
      <c r="C1358" s="278">
        <v>44672.0</v>
      </c>
      <c r="D1358" s="278">
        <v>44701.0</v>
      </c>
      <c r="E1358" s="280" t="s">
        <v>268</v>
      </c>
      <c r="F1358" s="101" t="s">
        <v>4</v>
      </c>
      <c r="G1358" s="280" t="s">
        <v>9</v>
      </c>
      <c r="H1358" s="273" t="s">
        <v>53</v>
      </c>
      <c r="I1358" s="281">
        <v>10.0</v>
      </c>
      <c r="J1358" s="280">
        <v>31.0</v>
      </c>
      <c r="K1358" s="271">
        <f t="shared" si="1"/>
        <v>310</v>
      </c>
      <c r="L1358" s="280">
        <v>-922.0</v>
      </c>
      <c r="M1358" s="280">
        <v>42.0</v>
      </c>
      <c r="N1358" s="275"/>
      <c r="O1358" s="60"/>
      <c r="P1358" s="101"/>
      <c r="Q1358" s="280">
        <v>-44.0</v>
      </c>
      <c r="R1358" s="276">
        <v>8.8E-4</v>
      </c>
      <c r="S1358" s="280">
        <v>-44.0</v>
      </c>
      <c r="T1358" s="280">
        <v>-44.0</v>
      </c>
      <c r="U1358" s="62">
        <v>1.055</v>
      </c>
      <c r="V1358" s="277">
        <v>0.2</v>
      </c>
      <c r="W1358" s="277">
        <v>0.0</v>
      </c>
      <c r="X1358" s="280">
        <v>-37.0</v>
      </c>
      <c r="Y1358" s="280">
        <v>-9.0</v>
      </c>
      <c r="Z1358" s="50" t="b">
        <v>1</v>
      </c>
      <c r="AA1358" s="50" t="s">
        <v>138</v>
      </c>
      <c r="AB1358" s="50" t="s">
        <v>140</v>
      </c>
    </row>
    <row r="1359">
      <c r="A1359" s="101" t="s">
        <v>156</v>
      </c>
      <c r="B1359" s="101" t="s">
        <v>153</v>
      </c>
      <c r="C1359" s="278">
        <v>44672.0</v>
      </c>
      <c r="D1359" s="278">
        <v>44701.0</v>
      </c>
      <c r="E1359" s="271" t="s">
        <v>268</v>
      </c>
      <c r="F1359" s="101" t="s">
        <v>4</v>
      </c>
      <c r="G1359" s="271" t="s">
        <v>13</v>
      </c>
      <c r="H1359" s="273" t="s">
        <v>59</v>
      </c>
      <c r="I1359" s="274">
        <v>20.0</v>
      </c>
      <c r="J1359" s="271">
        <v>3731.0</v>
      </c>
      <c r="K1359" s="271">
        <f t="shared" si="1"/>
        <v>74620</v>
      </c>
      <c r="L1359" s="271">
        <v>32609.0</v>
      </c>
      <c r="M1359" s="271">
        <v>-1820.0</v>
      </c>
      <c r="N1359" s="275">
        <v>4122.0</v>
      </c>
      <c r="O1359" s="60"/>
      <c r="P1359" s="109">
        <v>4122.0</v>
      </c>
      <c r="Q1359" s="271">
        <v>-3569.0</v>
      </c>
      <c r="R1359" s="276">
        <v>8.8E-4</v>
      </c>
      <c r="S1359" s="271">
        <v>-3503.0</v>
      </c>
      <c r="T1359" s="271">
        <v>619.0</v>
      </c>
      <c r="U1359" s="62">
        <v>1.0</v>
      </c>
      <c r="V1359" s="277">
        <v>0.2</v>
      </c>
      <c r="W1359" s="277">
        <v>0.0</v>
      </c>
      <c r="X1359" s="271">
        <v>495.0</v>
      </c>
      <c r="Y1359" s="271">
        <v>124.0</v>
      </c>
      <c r="Z1359" s="50" t="b">
        <v>1</v>
      </c>
      <c r="AA1359" s="50" t="s">
        <v>138</v>
      </c>
      <c r="AB1359" s="50" t="s">
        <v>138</v>
      </c>
    </row>
    <row r="1360">
      <c r="A1360" s="101" t="s">
        <v>156</v>
      </c>
      <c r="B1360" s="101" t="s">
        <v>153</v>
      </c>
      <c r="C1360" s="278">
        <v>44672.0</v>
      </c>
      <c r="D1360" s="278">
        <v>44701.0</v>
      </c>
      <c r="E1360" s="271" t="s">
        <v>268</v>
      </c>
      <c r="F1360" s="101" t="s">
        <v>4</v>
      </c>
      <c r="G1360" s="271" t="s">
        <v>13</v>
      </c>
      <c r="H1360" s="273" t="s">
        <v>74</v>
      </c>
      <c r="I1360" s="274">
        <v>50.0</v>
      </c>
      <c r="J1360" s="271">
        <v>569.0</v>
      </c>
      <c r="K1360" s="271">
        <f t="shared" si="1"/>
        <v>28450</v>
      </c>
      <c r="L1360" s="271">
        <v>2136.0</v>
      </c>
      <c r="M1360" s="271">
        <v>-4250.0</v>
      </c>
      <c r="N1360" s="275">
        <v>1727.0</v>
      </c>
      <c r="O1360" s="60"/>
      <c r="P1360" s="109">
        <v>1727.0</v>
      </c>
      <c r="Q1360" s="271">
        <v>-1769.0</v>
      </c>
      <c r="R1360" s="276">
        <v>8.8E-4</v>
      </c>
      <c r="S1360" s="271">
        <v>-1744.0</v>
      </c>
      <c r="T1360" s="271">
        <v>-17.0</v>
      </c>
      <c r="U1360" s="62">
        <v>1.0</v>
      </c>
      <c r="V1360" s="277">
        <v>0.2</v>
      </c>
      <c r="W1360" s="277">
        <v>0.0</v>
      </c>
      <c r="X1360" s="271">
        <v>-14.0</v>
      </c>
      <c r="Y1360" s="271">
        <v>-3.0</v>
      </c>
      <c r="Z1360" s="50" t="b">
        <v>1</v>
      </c>
      <c r="AA1360" s="50" t="s">
        <v>138</v>
      </c>
      <c r="AB1360" s="50" t="s">
        <v>138</v>
      </c>
    </row>
    <row r="1361">
      <c r="A1361" s="101" t="s">
        <v>156</v>
      </c>
      <c r="B1361" s="101" t="s">
        <v>153</v>
      </c>
      <c r="C1361" s="278">
        <v>44672.0</v>
      </c>
      <c r="D1361" s="278">
        <v>44701.0</v>
      </c>
      <c r="E1361" s="271" t="s">
        <v>268</v>
      </c>
      <c r="F1361" s="101" t="s">
        <v>4</v>
      </c>
      <c r="G1361" s="271" t="s">
        <v>13</v>
      </c>
      <c r="H1361" s="273" t="s">
        <v>85</v>
      </c>
      <c r="I1361" s="274">
        <v>100.0</v>
      </c>
      <c r="J1361" s="271">
        <v>1.0</v>
      </c>
      <c r="K1361" s="271">
        <f t="shared" si="1"/>
        <v>100</v>
      </c>
      <c r="L1361" s="271">
        <v>182.0</v>
      </c>
      <c r="M1361" s="271">
        <v>-100.0</v>
      </c>
      <c r="N1361" s="275">
        <v>6.07</v>
      </c>
      <c r="O1361" s="60"/>
      <c r="P1361" s="50">
        <v>6.0</v>
      </c>
      <c r="Q1361" s="271">
        <v>45.0</v>
      </c>
      <c r="R1361" s="276">
        <v>8.8E-4</v>
      </c>
      <c r="S1361" s="271">
        <v>45.0</v>
      </c>
      <c r="T1361" s="271">
        <v>51.0</v>
      </c>
      <c r="U1361" s="62">
        <v>1.0</v>
      </c>
      <c r="V1361" s="277">
        <v>0.2</v>
      </c>
      <c r="W1361" s="277">
        <v>0.0</v>
      </c>
      <c r="X1361" s="271">
        <v>41.0</v>
      </c>
      <c r="Y1361" s="271">
        <v>10.0</v>
      </c>
      <c r="Z1361" s="50" t="b">
        <v>1</v>
      </c>
      <c r="AA1361" s="50" t="s">
        <v>138</v>
      </c>
      <c r="AB1361" s="50" t="s">
        <v>138</v>
      </c>
    </row>
    <row r="1362">
      <c r="A1362" s="101" t="s">
        <v>156</v>
      </c>
      <c r="B1362" s="101" t="s">
        <v>158</v>
      </c>
      <c r="C1362" s="278">
        <v>44672.0</v>
      </c>
      <c r="D1362" s="278">
        <v>44701.0</v>
      </c>
      <c r="E1362" s="271" t="s">
        <v>268</v>
      </c>
      <c r="F1362" s="101" t="s">
        <v>4</v>
      </c>
      <c r="G1362" s="271" t="s">
        <v>9</v>
      </c>
      <c r="H1362" s="273" t="s">
        <v>65</v>
      </c>
      <c r="I1362" s="274">
        <v>25.0</v>
      </c>
      <c r="J1362" s="271">
        <v>18.0</v>
      </c>
      <c r="K1362" s="271">
        <f t="shared" si="1"/>
        <v>450</v>
      </c>
      <c r="L1362" s="271">
        <v>1893.0</v>
      </c>
      <c r="M1362" s="271">
        <v>264.0</v>
      </c>
      <c r="N1362" s="275">
        <v>45.0</v>
      </c>
      <c r="O1362" s="60"/>
      <c r="P1362" s="50">
        <v>45.0</v>
      </c>
      <c r="Q1362" s="271">
        <v>44.0</v>
      </c>
      <c r="R1362" s="276">
        <v>8.8E-4</v>
      </c>
      <c r="S1362" s="271">
        <v>44.0</v>
      </c>
      <c r="T1362" s="271">
        <v>89.0</v>
      </c>
      <c r="U1362" s="62">
        <v>1.055</v>
      </c>
      <c r="V1362" s="277">
        <v>0.2</v>
      </c>
      <c r="W1362" s="277">
        <v>0.0</v>
      </c>
      <c r="X1362" s="271">
        <v>75.0</v>
      </c>
      <c r="Y1362" s="271">
        <v>19.0</v>
      </c>
      <c r="Z1362" s="50" t="b">
        <v>1</v>
      </c>
      <c r="AA1362" s="50" t="s">
        <v>138</v>
      </c>
      <c r="AB1362" s="50" t="s">
        <v>140</v>
      </c>
    </row>
    <row r="1363">
      <c r="A1363" s="101" t="s">
        <v>156</v>
      </c>
      <c r="B1363" s="101" t="s">
        <v>158</v>
      </c>
      <c r="C1363" s="278">
        <v>44672.0</v>
      </c>
      <c r="D1363" s="278">
        <v>44701.0</v>
      </c>
      <c r="E1363" s="271" t="s">
        <v>268</v>
      </c>
      <c r="F1363" s="101" t="s">
        <v>4</v>
      </c>
      <c r="G1363" s="271" t="s">
        <v>9</v>
      </c>
      <c r="H1363" s="273" t="s">
        <v>78</v>
      </c>
      <c r="I1363" s="274">
        <v>50.0</v>
      </c>
      <c r="J1363" s="271">
        <v>557.0</v>
      </c>
      <c r="K1363" s="271">
        <f t="shared" si="1"/>
        <v>27850</v>
      </c>
      <c r="L1363" s="271">
        <v>31649.0</v>
      </c>
      <c r="M1363" s="271">
        <v>475.0</v>
      </c>
      <c r="N1363" s="275">
        <v>200.0</v>
      </c>
      <c r="O1363" s="60"/>
      <c r="P1363" s="50">
        <v>200.0</v>
      </c>
      <c r="Q1363" s="271">
        <v>363.0</v>
      </c>
      <c r="R1363" s="276">
        <v>8.8E-4</v>
      </c>
      <c r="S1363" s="271">
        <v>388.0</v>
      </c>
      <c r="T1363" s="271">
        <v>588.0</v>
      </c>
      <c r="U1363" s="62">
        <v>1.055</v>
      </c>
      <c r="V1363" s="277">
        <v>0.2</v>
      </c>
      <c r="W1363" s="277">
        <v>0.0</v>
      </c>
      <c r="X1363" s="271">
        <v>496.0</v>
      </c>
      <c r="Y1363" s="271">
        <v>124.0</v>
      </c>
      <c r="Z1363" s="50" t="b">
        <v>1</v>
      </c>
      <c r="AA1363" s="50" t="s">
        <v>138</v>
      </c>
      <c r="AB1363" s="50" t="s">
        <v>140</v>
      </c>
    </row>
    <row r="1364">
      <c r="A1364" s="101" t="s">
        <v>156</v>
      </c>
      <c r="B1364" s="101" t="s">
        <v>156</v>
      </c>
      <c r="C1364" s="278">
        <v>44672.0</v>
      </c>
      <c r="D1364" s="278">
        <v>44701.0</v>
      </c>
      <c r="E1364" s="271" t="s">
        <v>268</v>
      </c>
      <c r="F1364" s="101" t="s">
        <v>4</v>
      </c>
      <c r="G1364" s="271" t="s">
        <v>5</v>
      </c>
      <c r="H1364" s="273" t="s">
        <v>62</v>
      </c>
      <c r="I1364" s="274">
        <v>25.0</v>
      </c>
      <c r="J1364" s="271">
        <v>51.0</v>
      </c>
      <c r="K1364" s="271">
        <f t="shared" si="1"/>
        <v>1275</v>
      </c>
      <c r="L1364" s="271">
        <v>3448.0</v>
      </c>
      <c r="M1364" s="271">
        <v>175.0</v>
      </c>
      <c r="N1364" s="275">
        <v>214.0</v>
      </c>
      <c r="O1364" s="60"/>
      <c r="P1364" s="50">
        <v>214.0</v>
      </c>
      <c r="Q1364" s="271">
        <v>78.0</v>
      </c>
      <c r="R1364" s="276">
        <v>8.8E-4</v>
      </c>
      <c r="S1364" s="271">
        <v>79.0</v>
      </c>
      <c r="T1364" s="271">
        <v>293.0</v>
      </c>
      <c r="U1364" s="62">
        <v>1.0</v>
      </c>
      <c r="V1364" s="277">
        <v>0.2</v>
      </c>
      <c r="W1364" s="277">
        <v>0.0</v>
      </c>
      <c r="X1364" s="271">
        <v>235.0</v>
      </c>
      <c r="Y1364" s="271">
        <v>59.0</v>
      </c>
      <c r="Z1364" s="50" t="b">
        <v>1</v>
      </c>
      <c r="AA1364" s="50" t="s">
        <v>138</v>
      </c>
      <c r="AB1364" s="50" t="s">
        <v>138</v>
      </c>
    </row>
    <row r="1365">
      <c r="A1365" s="101" t="s">
        <v>156</v>
      </c>
      <c r="B1365" s="101" t="s">
        <v>156</v>
      </c>
      <c r="C1365" s="278">
        <v>44672.0</v>
      </c>
      <c r="D1365" s="278">
        <v>44701.0</v>
      </c>
      <c r="E1365" s="271" t="s">
        <v>268</v>
      </c>
      <c r="F1365" s="101" t="s">
        <v>4</v>
      </c>
      <c r="G1365" s="271" t="s">
        <v>5</v>
      </c>
      <c r="H1365" s="273" t="s">
        <v>74</v>
      </c>
      <c r="I1365" s="274">
        <v>50.0</v>
      </c>
      <c r="J1365" s="271">
        <v>28.0</v>
      </c>
      <c r="K1365" s="271">
        <f t="shared" si="1"/>
        <v>1400</v>
      </c>
      <c r="L1365" s="271">
        <v>780.0</v>
      </c>
      <c r="M1365" s="271">
        <v>0.0</v>
      </c>
      <c r="N1365" s="275">
        <v>235.0</v>
      </c>
      <c r="O1365" s="60"/>
      <c r="P1365" s="50">
        <v>235.0</v>
      </c>
      <c r="Q1365" s="271">
        <v>-17.0</v>
      </c>
      <c r="R1365" s="276">
        <v>8.8E-4</v>
      </c>
      <c r="S1365" s="271">
        <v>-16.0</v>
      </c>
      <c r="T1365" s="271">
        <v>219.0</v>
      </c>
      <c r="U1365" s="62">
        <v>1.0</v>
      </c>
      <c r="V1365" s="277">
        <v>0.2</v>
      </c>
      <c r="W1365" s="277">
        <v>0.0</v>
      </c>
      <c r="X1365" s="271">
        <v>175.0</v>
      </c>
      <c r="Y1365" s="271">
        <v>44.0</v>
      </c>
      <c r="Z1365" s="50" t="b">
        <v>1</v>
      </c>
      <c r="AA1365" s="50" t="s">
        <v>138</v>
      </c>
      <c r="AB1365" s="50" t="s">
        <v>138</v>
      </c>
    </row>
    <row r="1366">
      <c r="A1366" s="101" t="s">
        <v>546</v>
      </c>
      <c r="B1366" s="101" t="s">
        <v>202</v>
      </c>
      <c r="C1366" s="278">
        <v>44672.0</v>
      </c>
      <c r="D1366" s="278">
        <v>44701.0</v>
      </c>
      <c r="E1366" s="271" t="s">
        <v>331</v>
      </c>
      <c r="F1366" s="138" t="s">
        <v>4</v>
      </c>
      <c r="G1366" s="271" t="s">
        <v>13</v>
      </c>
      <c r="H1366" s="273" t="s">
        <v>85</v>
      </c>
      <c r="I1366" s="274">
        <v>100.0</v>
      </c>
      <c r="J1366" s="271">
        <v>466.0</v>
      </c>
      <c r="K1366" s="271">
        <f t="shared" si="1"/>
        <v>46600</v>
      </c>
      <c r="L1366" s="271">
        <v>5102.0</v>
      </c>
      <c r="M1366" s="271">
        <v>-3300.0</v>
      </c>
      <c r="N1366" s="275">
        <v>2532.75</v>
      </c>
      <c r="O1366" s="60"/>
      <c r="P1366" s="109">
        <v>2533.0</v>
      </c>
      <c r="Q1366" s="271">
        <v>-1950.0</v>
      </c>
      <c r="R1366" s="276">
        <v>8.8E-4</v>
      </c>
      <c r="S1366" s="271">
        <v>-1909.0</v>
      </c>
      <c r="T1366" s="271">
        <v>624.0</v>
      </c>
      <c r="U1366" s="62">
        <v>1.0</v>
      </c>
      <c r="V1366" s="277">
        <v>0.09</v>
      </c>
      <c r="W1366" s="277">
        <v>0.03</v>
      </c>
      <c r="X1366" s="271">
        <v>549.0</v>
      </c>
      <c r="Y1366" s="271">
        <v>75.0</v>
      </c>
      <c r="Z1366" s="50" t="b">
        <v>1</v>
      </c>
      <c r="AA1366" s="50" t="s">
        <v>138</v>
      </c>
      <c r="AB1366" s="50" t="s">
        <v>138</v>
      </c>
    </row>
    <row r="1367">
      <c r="A1367" s="101" t="s">
        <v>546</v>
      </c>
      <c r="B1367" s="101" t="s">
        <v>202</v>
      </c>
      <c r="C1367" s="278">
        <v>44672.0</v>
      </c>
      <c r="D1367" s="278">
        <v>44701.0</v>
      </c>
      <c r="E1367" s="271" t="s">
        <v>331</v>
      </c>
      <c r="F1367" s="138" t="s">
        <v>4</v>
      </c>
      <c r="G1367" s="271" t="s">
        <v>13</v>
      </c>
      <c r="H1367" s="273" t="s">
        <v>93</v>
      </c>
      <c r="I1367" s="274">
        <v>200.0</v>
      </c>
      <c r="J1367" s="271">
        <v>2709.0</v>
      </c>
      <c r="K1367" s="271">
        <f t="shared" si="1"/>
        <v>541800</v>
      </c>
      <c r="L1367" s="271">
        <v>6716.0</v>
      </c>
      <c r="M1367" s="271">
        <v>-22200.0</v>
      </c>
      <c r="N1367" s="275">
        <v>29447.25</v>
      </c>
      <c r="O1367" s="60"/>
      <c r="P1367" s="109">
        <v>29447.0</v>
      </c>
      <c r="Q1367" s="271">
        <v>-35868.0</v>
      </c>
      <c r="R1367" s="276">
        <v>8.8E-4</v>
      </c>
      <c r="S1367" s="271">
        <v>-35391.0</v>
      </c>
      <c r="T1367" s="271">
        <v>-5944.0</v>
      </c>
      <c r="U1367" s="62">
        <v>1.0</v>
      </c>
      <c r="V1367" s="277">
        <v>0.09</v>
      </c>
      <c r="W1367" s="277">
        <v>0.03</v>
      </c>
      <c r="X1367" s="271">
        <v>-5231.0</v>
      </c>
      <c r="Y1367" s="271">
        <v>-713.0</v>
      </c>
      <c r="Z1367" s="50" t="b">
        <v>1</v>
      </c>
      <c r="AA1367" s="50" t="s">
        <v>138</v>
      </c>
      <c r="AB1367" s="50" t="s">
        <v>138</v>
      </c>
    </row>
    <row r="1368">
      <c r="A1368" s="101" t="s">
        <v>160</v>
      </c>
      <c r="B1368" s="101" t="s">
        <v>160</v>
      </c>
      <c r="C1368" s="278">
        <v>44672.0</v>
      </c>
      <c r="D1368" s="278">
        <v>44701.0</v>
      </c>
      <c r="E1368" s="271" t="s">
        <v>268</v>
      </c>
      <c r="F1368" s="138" t="s">
        <v>4</v>
      </c>
      <c r="G1368" s="101" t="s">
        <v>5</v>
      </c>
      <c r="H1368" s="273" t="s">
        <v>45</v>
      </c>
      <c r="I1368" s="274">
        <v>10.0</v>
      </c>
      <c r="J1368" s="271">
        <v>2691.0</v>
      </c>
      <c r="K1368" s="271">
        <f t="shared" si="1"/>
        <v>26910</v>
      </c>
      <c r="L1368" s="271">
        <v>81314.0</v>
      </c>
      <c r="M1368" s="271">
        <v>-990.0</v>
      </c>
      <c r="N1368" s="275">
        <v>1945.0</v>
      </c>
      <c r="O1368" s="60"/>
      <c r="P1368" s="109">
        <v>1945.0</v>
      </c>
      <c r="Q1368" s="271">
        <v>-500.0</v>
      </c>
      <c r="R1368" s="276">
        <v>8.8E-4</v>
      </c>
      <c r="S1368" s="271">
        <v>-476.0</v>
      </c>
      <c r="T1368" s="271">
        <v>1469.0</v>
      </c>
      <c r="U1368" s="62">
        <v>1.0</v>
      </c>
      <c r="V1368" s="277">
        <v>0.25</v>
      </c>
      <c r="W1368" s="277">
        <v>0.0</v>
      </c>
      <c r="X1368" s="271">
        <v>1102.0</v>
      </c>
      <c r="Y1368" s="271">
        <v>367.0</v>
      </c>
      <c r="Z1368" s="50" t="b">
        <v>1</v>
      </c>
      <c r="AA1368" s="50" t="s">
        <v>138</v>
      </c>
      <c r="AB1368" s="50" t="s">
        <v>138</v>
      </c>
    </row>
    <row r="1369">
      <c r="A1369" s="101" t="s">
        <v>207</v>
      </c>
      <c r="B1369" s="101" t="s">
        <v>208</v>
      </c>
      <c r="C1369" s="278">
        <v>44672.0</v>
      </c>
      <c r="D1369" s="278">
        <v>44701.0</v>
      </c>
      <c r="E1369" s="271" t="s">
        <v>268</v>
      </c>
      <c r="F1369" s="138" t="s">
        <v>4</v>
      </c>
      <c r="G1369" s="101" t="s">
        <v>13</v>
      </c>
      <c r="H1369" s="273" t="s">
        <v>59</v>
      </c>
      <c r="I1369" s="274">
        <v>20.0</v>
      </c>
      <c r="J1369" s="271">
        <v>4073.0</v>
      </c>
      <c r="K1369" s="271">
        <f t="shared" si="1"/>
        <v>81460</v>
      </c>
      <c r="L1369" s="271">
        <v>53269.0</v>
      </c>
      <c r="M1369" s="271">
        <v>-3200.0</v>
      </c>
      <c r="N1369" s="275">
        <v>3502.07</v>
      </c>
      <c r="O1369" s="60"/>
      <c r="P1369" s="109">
        <v>3502.0</v>
      </c>
      <c r="Q1369" s="271">
        <v>-2909.0</v>
      </c>
      <c r="R1369" s="276">
        <v>8.8E-4</v>
      </c>
      <c r="S1369" s="271">
        <v>-2837.0</v>
      </c>
      <c r="T1369" s="271">
        <v>665.0</v>
      </c>
      <c r="U1369" s="62">
        <v>1.0</v>
      </c>
      <c r="V1369" s="277">
        <v>0.3</v>
      </c>
      <c r="W1369" s="277">
        <v>0.0</v>
      </c>
      <c r="X1369" s="271">
        <v>465.0</v>
      </c>
      <c r="Y1369" s="271">
        <v>199.0</v>
      </c>
      <c r="Z1369" s="50" t="b">
        <v>1</v>
      </c>
      <c r="AA1369" s="50" t="s">
        <v>138</v>
      </c>
      <c r="AB1369" s="50" t="s">
        <v>138</v>
      </c>
    </row>
    <row r="1370">
      <c r="A1370" s="101" t="s">
        <v>207</v>
      </c>
      <c r="B1370" s="101" t="s">
        <v>208</v>
      </c>
      <c r="C1370" s="278">
        <v>44672.0</v>
      </c>
      <c r="D1370" s="278">
        <v>44701.0</v>
      </c>
      <c r="E1370" s="271" t="s">
        <v>268</v>
      </c>
      <c r="F1370" s="138" t="s">
        <v>4</v>
      </c>
      <c r="G1370" s="101" t="s">
        <v>13</v>
      </c>
      <c r="H1370" s="273" t="s">
        <v>74</v>
      </c>
      <c r="I1370" s="274">
        <v>50.0</v>
      </c>
      <c r="J1370" s="271">
        <v>1524.0</v>
      </c>
      <c r="K1370" s="271">
        <f t="shared" si="1"/>
        <v>76200</v>
      </c>
      <c r="L1370" s="271">
        <v>5566.0</v>
      </c>
      <c r="M1370" s="271">
        <v>-8250.0</v>
      </c>
      <c r="N1370" s="275">
        <v>3275.93</v>
      </c>
      <c r="O1370" s="60"/>
      <c r="P1370" s="109">
        <v>3276.0</v>
      </c>
      <c r="Q1370" s="271">
        <v>-4787.0</v>
      </c>
      <c r="R1370" s="276">
        <v>8.8E-4</v>
      </c>
      <c r="S1370" s="271">
        <v>-4720.0</v>
      </c>
      <c r="T1370" s="271">
        <v>-1444.0</v>
      </c>
      <c r="U1370" s="62">
        <v>1.0</v>
      </c>
      <c r="V1370" s="277">
        <v>0.3</v>
      </c>
      <c r="W1370" s="277">
        <v>0.0</v>
      </c>
      <c r="X1370" s="271">
        <v>-1011.0</v>
      </c>
      <c r="Y1370" s="271">
        <v>-433.0</v>
      </c>
      <c r="Z1370" s="50" t="b">
        <v>1</v>
      </c>
      <c r="AA1370" s="50" t="s">
        <v>138</v>
      </c>
      <c r="AB1370" s="50" t="s">
        <v>138</v>
      </c>
    </row>
    <row r="1371">
      <c r="A1371" s="101" t="s">
        <v>210</v>
      </c>
      <c r="B1371" s="101" t="s">
        <v>210</v>
      </c>
      <c r="C1371" s="278">
        <v>44672.0</v>
      </c>
      <c r="D1371" s="278">
        <v>44701.0</v>
      </c>
      <c r="E1371" s="271" t="s">
        <v>268</v>
      </c>
      <c r="F1371" s="101" t="s">
        <v>4</v>
      </c>
      <c r="G1371" s="271" t="s">
        <v>5</v>
      </c>
      <c r="H1371" s="273" t="s">
        <v>45</v>
      </c>
      <c r="I1371" s="274">
        <v>10.0</v>
      </c>
      <c r="J1371" s="271">
        <v>164.0</v>
      </c>
      <c r="K1371" s="271">
        <f t="shared" si="1"/>
        <v>1640</v>
      </c>
      <c r="L1371" s="271">
        <v>17179.0</v>
      </c>
      <c r="M1371" s="271">
        <v>460.0</v>
      </c>
      <c r="N1371" s="275">
        <v>28.0</v>
      </c>
      <c r="O1371" s="60"/>
      <c r="P1371" s="50">
        <v>28.0</v>
      </c>
      <c r="Q1371" s="271">
        <v>194.0</v>
      </c>
      <c r="R1371" s="276">
        <v>8.8E-4</v>
      </c>
      <c r="S1371" s="271">
        <v>195.0</v>
      </c>
      <c r="T1371" s="271">
        <v>223.0</v>
      </c>
      <c r="U1371" s="62">
        <v>1.0</v>
      </c>
      <c r="V1371" s="277">
        <v>0.3</v>
      </c>
      <c r="W1371" s="277">
        <v>0.0</v>
      </c>
      <c r="X1371" s="271">
        <v>156.0</v>
      </c>
      <c r="Y1371" s="271">
        <v>67.0</v>
      </c>
      <c r="Z1371" s="50" t="b">
        <v>1</v>
      </c>
      <c r="AA1371" s="50" t="s">
        <v>138</v>
      </c>
      <c r="AB1371" s="50" t="s">
        <v>138</v>
      </c>
    </row>
    <row r="1372">
      <c r="A1372" s="101" t="s">
        <v>216</v>
      </c>
      <c r="B1372" s="101" t="s">
        <v>216</v>
      </c>
      <c r="C1372" s="278">
        <v>44672.0</v>
      </c>
      <c r="D1372" s="278">
        <v>44701.0</v>
      </c>
      <c r="E1372" s="271" t="s">
        <v>268</v>
      </c>
      <c r="F1372" s="138" t="s">
        <v>4</v>
      </c>
      <c r="G1372" s="101" t="s">
        <v>5</v>
      </c>
      <c r="H1372" s="273" t="s">
        <v>85</v>
      </c>
      <c r="I1372" s="274">
        <v>100.0</v>
      </c>
      <c r="J1372" s="271">
        <v>193.0</v>
      </c>
      <c r="K1372" s="271">
        <f t="shared" si="1"/>
        <v>19300</v>
      </c>
      <c r="L1372" s="271">
        <v>858.0</v>
      </c>
      <c r="M1372" s="271">
        <v>-1800.0</v>
      </c>
      <c r="N1372" s="275">
        <v>622.0</v>
      </c>
      <c r="O1372" s="60"/>
      <c r="P1372" s="50">
        <v>622.0</v>
      </c>
      <c r="Q1372" s="271">
        <v>-881.0</v>
      </c>
      <c r="R1372" s="276">
        <v>8.8E-4</v>
      </c>
      <c r="S1372" s="271">
        <v>-864.0</v>
      </c>
      <c r="T1372" s="271">
        <v>-242.0</v>
      </c>
      <c r="U1372" s="62">
        <v>1.0</v>
      </c>
      <c r="V1372" s="277">
        <v>0.1</v>
      </c>
      <c r="W1372" s="277">
        <v>0.0</v>
      </c>
      <c r="X1372" s="271">
        <v>-218.0</v>
      </c>
      <c r="Y1372" s="271">
        <v>-24.0</v>
      </c>
      <c r="Z1372" s="50" t="b">
        <v>1</v>
      </c>
      <c r="AA1372" s="50" t="s">
        <v>138</v>
      </c>
      <c r="AB1372" s="50" t="s">
        <v>138</v>
      </c>
    </row>
    <row r="1373">
      <c r="A1373" s="101" t="s">
        <v>216</v>
      </c>
      <c r="B1373" s="101" t="s">
        <v>216</v>
      </c>
      <c r="C1373" s="278">
        <v>44672.0</v>
      </c>
      <c r="D1373" s="278">
        <v>44701.0</v>
      </c>
      <c r="E1373" s="271" t="s">
        <v>268</v>
      </c>
      <c r="F1373" s="138" t="s">
        <v>4</v>
      </c>
      <c r="G1373" s="101" t="s">
        <v>5</v>
      </c>
      <c r="H1373" s="273" t="s">
        <v>86</v>
      </c>
      <c r="I1373" s="274">
        <v>100.0</v>
      </c>
      <c r="J1373" s="271">
        <v>580.0</v>
      </c>
      <c r="K1373" s="271">
        <f t="shared" si="1"/>
        <v>58000</v>
      </c>
      <c r="L1373" s="271">
        <v>2835.0</v>
      </c>
      <c r="M1373" s="271">
        <v>-200.0</v>
      </c>
      <c r="N1373" s="275">
        <v>1871.0</v>
      </c>
      <c r="O1373" s="60"/>
      <c r="P1373" s="109">
        <v>1871.0</v>
      </c>
      <c r="Q1373" s="271">
        <v>-2246.0</v>
      </c>
      <c r="R1373" s="276">
        <v>8.8E-4</v>
      </c>
      <c r="S1373" s="271">
        <v>-2195.0</v>
      </c>
      <c r="T1373" s="271">
        <v>-324.0</v>
      </c>
      <c r="U1373" s="62">
        <v>1.0</v>
      </c>
      <c r="V1373" s="277">
        <v>0.1</v>
      </c>
      <c r="W1373" s="277">
        <v>0.0</v>
      </c>
      <c r="X1373" s="271">
        <v>-292.0</v>
      </c>
      <c r="Y1373" s="271">
        <v>-32.0</v>
      </c>
      <c r="Z1373" s="50" t="b">
        <v>1</v>
      </c>
      <c r="AA1373" s="50" t="s">
        <v>138</v>
      </c>
      <c r="AB1373" s="50" t="s">
        <v>138</v>
      </c>
    </row>
    <row r="1374">
      <c r="A1374" s="101" t="s">
        <v>216</v>
      </c>
      <c r="B1374" s="101" t="s">
        <v>216</v>
      </c>
      <c r="C1374" s="278">
        <v>44672.0</v>
      </c>
      <c r="D1374" s="278">
        <v>44701.0</v>
      </c>
      <c r="E1374" s="271" t="s">
        <v>268</v>
      </c>
      <c r="F1374" s="138" t="s">
        <v>4</v>
      </c>
      <c r="G1374" s="101" t="s">
        <v>5</v>
      </c>
      <c r="H1374" s="273" t="s">
        <v>96</v>
      </c>
      <c r="I1374" s="274">
        <v>250.0</v>
      </c>
      <c r="J1374" s="271">
        <v>473.0</v>
      </c>
      <c r="K1374" s="271">
        <f t="shared" si="1"/>
        <v>118250</v>
      </c>
      <c r="L1374" s="271">
        <v>10056.0</v>
      </c>
      <c r="M1374" s="271">
        <v>-2750.0</v>
      </c>
      <c r="N1374" s="275">
        <v>3815.0</v>
      </c>
      <c r="O1374" s="60"/>
      <c r="P1374" s="109">
        <v>3815.0</v>
      </c>
      <c r="Q1374" s="271">
        <v>-1378.0</v>
      </c>
      <c r="R1374" s="276">
        <v>8.8E-4</v>
      </c>
      <c r="S1374" s="271">
        <v>-1274.0</v>
      </c>
      <c r="T1374" s="271">
        <v>2541.0</v>
      </c>
      <c r="U1374" s="62">
        <v>1.0</v>
      </c>
      <c r="V1374" s="277">
        <v>0.1</v>
      </c>
      <c r="W1374" s="277">
        <v>0.0</v>
      </c>
      <c r="X1374" s="271">
        <v>2287.0</v>
      </c>
      <c r="Y1374" s="271">
        <v>254.0</v>
      </c>
      <c r="Z1374" s="50" t="b">
        <v>1</v>
      </c>
      <c r="AA1374" s="50" t="s">
        <v>138</v>
      </c>
      <c r="AB1374" s="50" t="s">
        <v>138</v>
      </c>
    </row>
    <row r="1375">
      <c r="A1375" s="101" t="s">
        <v>216</v>
      </c>
      <c r="B1375" s="101" t="s">
        <v>216</v>
      </c>
      <c r="C1375" s="278">
        <v>44672.0</v>
      </c>
      <c r="D1375" s="278">
        <v>44701.0</v>
      </c>
      <c r="E1375" s="271" t="s">
        <v>268</v>
      </c>
      <c r="F1375" s="138" t="s">
        <v>4</v>
      </c>
      <c r="G1375" s="101" t="s">
        <v>5</v>
      </c>
      <c r="H1375" s="273" t="s">
        <v>97</v>
      </c>
      <c r="I1375" s="274">
        <v>250.0</v>
      </c>
      <c r="J1375" s="271">
        <v>563.0</v>
      </c>
      <c r="K1375" s="271">
        <f t="shared" si="1"/>
        <v>140750</v>
      </c>
      <c r="L1375" s="271">
        <v>6333.0</v>
      </c>
      <c r="M1375" s="271">
        <v>-17000.0</v>
      </c>
      <c r="N1375" s="275">
        <v>4540.0</v>
      </c>
      <c r="O1375" s="60"/>
      <c r="P1375" s="109">
        <v>4540.0</v>
      </c>
      <c r="Q1375" s="271">
        <v>-2304.0</v>
      </c>
      <c r="R1375" s="276">
        <v>8.8E-4</v>
      </c>
      <c r="S1375" s="271">
        <v>-2180.0</v>
      </c>
      <c r="T1375" s="271">
        <v>2360.0</v>
      </c>
      <c r="U1375" s="62">
        <v>1.0</v>
      </c>
      <c r="V1375" s="277">
        <v>0.1</v>
      </c>
      <c r="W1375" s="277">
        <v>0.0</v>
      </c>
      <c r="X1375" s="271">
        <v>2124.0</v>
      </c>
      <c r="Y1375" s="271">
        <v>236.0</v>
      </c>
      <c r="Z1375" s="50" t="b">
        <v>1</v>
      </c>
      <c r="AA1375" s="50" t="s">
        <v>138</v>
      </c>
      <c r="AB1375" s="50" t="s">
        <v>138</v>
      </c>
    </row>
    <row r="1376">
      <c r="A1376" s="271" t="s">
        <v>143</v>
      </c>
      <c r="B1376" s="271" t="s">
        <v>139</v>
      </c>
      <c r="C1376" s="278">
        <v>44682.0</v>
      </c>
      <c r="D1376" s="278">
        <v>44712.0</v>
      </c>
      <c r="E1376" s="271" t="s">
        <v>268</v>
      </c>
      <c r="F1376" s="138" t="s">
        <v>8</v>
      </c>
      <c r="G1376" s="271" t="s">
        <v>5</v>
      </c>
      <c r="H1376" s="271" t="s">
        <v>45</v>
      </c>
      <c r="I1376" s="274">
        <v>10.0</v>
      </c>
      <c r="J1376" s="271">
        <v>1337.0</v>
      </c>
      <c r="K1376" s="271">
        <f t="shared" si="1"/>
        <v>13370</v>
      </c>
      <c r="L1376" s="271">
        <v>74892.0</v>
      </c>
      <c r="M1376" s="271">
        <v>-280.0</v>
      </c>
      <c r="N1376" s="275">
        <v>473.0</v>
      </c>
      <c r="O1376" s="60"/>
      <c r="P1376" s="50">
        <v>473.0</v>
      </c>
      <c r="Q1376" s="271">
        <v>212.0</v>
      </c>
      <c r="R1376" s="276">
        <v>-0.001448</v>
      </c>
      <c r="S1376" s="271">
        <v>193.0</v>
      </c>
      <c r="T1376" s="271">
        <v>666.0</v>
      </c>
      <c r="U1376" s="62">
        <v>1.0</v>
      </c>
      <c r="V1376" s="277">
        <v>0.3</v>
      </c>
      <c r="W1376" s="277">
        <v>0.0</v>
      </c>
      <c r="X1376" s="271">
        <v>466.0</v>
      </c>
      <c r="Y1376" s="271">
        <v>200.0</v>
      </c>
      <c r="Z1376" s="50" t="b">
        <v>1</v>
      </c>
      <c r="AA1376" s="50" t="s">
        <v>138</v>
      </c>
      <c r="AB1376" s="50" t="s">
        <v>138</v>
      </c>
    </row>
    <row r="1377">
      <c r="A1377" s="271" t="s">
        <v>143</v>
      </c>
      <c r="B1377" s="271" t="s">
        <v>139</v>
      </c>
      <c r="C1377" s="278">
        <v>44682.0</v>
      </c>
      <c r="D1377" s="278">
        <v>44712.0</v>
      </c>
      <c r="E1377" s="271" t="s">
        <v>268</v>
      </c>
      <c r="F1377" s="138" t="s">
        <v>8</v>
      </c>
      <c r="G1377" s="271" t="s">
        <v>5</v>
      </c>
      <c r="H1377" s="271" t="s">
        <v>62</v>
      </c>
      <c r="I1377" s="274">
        <v>25.0</v>
      </c>
      <c r="J1377" s="271">
        <v>346.0</v>
      </c>
      <c r="K1377" s="271">
        <f t="shared" si="1"/>
        <v>8650</v>
      </c>
      <c r="L1377" s="271">
        <v>-3473.0</v>
      </c>
      <c r="M1377" s="271">
        <v>-750.0</v>
      </c>
      <c r="N1377" s="275">
        <v>263.0</v>
      </c>
      <c r="O1377" s="60"/>
      <c r="P1377" s="50">
        <v>263.0</v>
      </c>
      <c r="Q1377" s="271">
        <v>-820.0</v>
      </c>
      <c r="R1377" s="276">
        <v>-0.001318</v>
      </c>
      <c r="S1377" s="271">
        <v>-831.0</v>
      </c>
      <c r="T1377" s="271">
        <v>-568.0</v>
      </c>
      <c r="U1377" s="62">
        <v>1.0</v>
      </c>
      <c r="V1377" s="277">
        <v>0.3</v>
      </c>
      <c r="W1377" s="277">
        <v>0.0</v>
      </c>
      <c r="X1377" s="271">
        <v>-398.0</v>
      </c>
      <c r="Y1377" s="271">
        <v>-170.0</v>
      </c>
      <c r="Z1377" s="50" t="b">
        <v>1</v>
      </c>
      <c r="AA1377" s="50" t="s">
        <v>138</v>
      </c>
      <c r="AB1377" s="50" t="s">
        <v>138</v>
      </c>
    </row>
    <row r="1378">
      <c r="A1378" s="271" t="s">
        <v>143</v>
      </c>
      <c r="B1378" s="271" t="s">
        <v>139</v>
      </c>
      <c r="C1378" s="278">
        <v>44682.0</v>
      </c>
      <c r="D1378" s="278">
        <v>44712.0</v>
      </c>
      <c r="E1378" s="271" t="s">
        <v>268</v>
      </c>
      <c r="F1378" s="138" t="s">
        <v>12</v>
      </c>
      <c r="G1378" s="271" t="s">
        <v>5</v>
      </c>
      <c r="H1378" s="271" t="s">
        <v>6</v>
      </c>
      <c r="I1378" s="274">
        <v>0.25</v>
      </c>
      <c r="J1378" s="271">
        <v>1.0</v>
      </c>
      <c r="K1378" s="271">
        <f t="shared" si="1"/>
        <v>0.25</v>
      </c>
      <c r="L1378" s="271"/>
      <c r="M1378" s="271">
        <v>1.0</v>
      </c>
      <c r="N1378" s="275"/>
      <c r="O1378" s="60"/>
      <c r="P1378" s="101"/>
      <c r="Q1378" s="271"/>
      <c r="R1378" s="276">
        <v>0.0</v>
      </c>
      <c r="S1378" s="271"/>
      <c r="T1378" s="271">
        <v>1.0</v>
      </c>
      <c r="U1378" s="62">
        <v>1.0</v>
      </c>
      <c r="V1378" s="277">
        <v>0.3</v>
      </c>
      <c r="W1378" s="277">
        <v>0.0</v>
      </c>
      <c r="X1378" s="271">
        <v>1.0</v>
      </c>
      <c r="Y1378" s="271">
        <v>0.0</v>
      </c>
      <c r="Z1378" s="50" t="b">
        <v>1</v>
      </c>
      <c r="AA1378" s="50" t="s">
        <v>138</v>
      </c>
      <c r="AB1378" s="50" t="s">
        <v>138</v>
      </c>
    </row>
    <row r="1379">
      <c r="A1379" s="271" t="s">
        <v>143</v>
      </c>
      <c r="B1379" s="271" t="s">
        <v>139</v>
      </c>
      <c r="C1379" s="278">
        <v>44682.0</v>
      </c>
      <c r="D1379" s="278">
        <v>44712.0</v>
      </c>
      <c r="E1379" s="271" t="s">
        <v>268</v>
      </c>
      <c r="F1379" s="138" t="s">
        <v>12</v>
      </c>
      <c r="G1379" s="271" t="s">
        <v>5</v>
      </c>
      <c r="H1379" s="271" t="s">
        <v>35</v>
      </c>
      <c r="I1379" s="274">
        <v>5.0</v>
      </c>
      <c r="J1379" s="271">
        <v>613.0</v>
      </c>
      <c r="K1379" s="271">
        <f t="shared" si="1"/>
        <v>3065</v>
      </c>
      <c r="L1379" s="271"/>
      <c r="M1379" s="271">
        <v>-120.0</v>
      </c>
      <c r="N1379" s="275">
        <v>124.0</v>
      </c>
      <c r="O1379" s="60"/>
      <c r="P1379" s="50">
        <v>124.0</v>
      </c>
      <c r="Q1379" s="271"/>
      <c r="R1379" s="276">
        <v>0.0</v>
      </c>
      <c r="S1379" s="271"/>
      <c r="T1379" s="271">
        <v>4.0</v>
      </c>
      <c r="U1379" s="62">
        <v>1.0</v>
      </c>
      <c r="V1379" s="277">
        <v>0.3</v>
      </c>
      <c r="W1379" s="277">
        <v>0.0</v>
      </c>
      <c r="X1379" s="271">
        <v>3.0</v>
      </c>
      <c r="Y1379" s="271">
        <v>1.0</v>
      </c>
      <c r="Z1379" s="50" t="b">
        <v>1</v>
      </c>
      <c r="AA1379" s="50" t="s">
        <v>138</v>
      </c>
      <c r="AB1379" s="50" t="s">
        <v>138</v>
      </c>
    </row>
    <row r="1380">
      <c r="A1380" s="101" t="s">
        <v>149</v>
      </c>
      <c r="B1380" s="101" t="s">
        <v>149</v>
      </c>
      <c r="C1380" s="278">
        <v>44682.0</v>
      </c>
      <c r="D1380" s="278">
        <v>44712.0</v>
      </c>
      <c r="E1380" s="271" t="s">
        <v>268</v>
      </c>
      <c r="F1380" s="138" t="s">
        <v>12</v>
      </c>
      <c r="G1380" s="101" t="s">
        <v>5</v>
      </c>
      <c r="H1380" s="273" t="s">
        <v>74</v>
      </c>
      <c r="I1380" s="274">
        <v>50.0</v>
      </c>
      <c r="J1380" s="271">
        <v>192.0</v>
      </c>
      <c r="K1380" s="271">
        <f t="shared" si="1"/>
        <v>9600</v>
      </c>
      <c r="L1380" s="271">
        <v>3668.0</v>
      </c>
      <c r="M1380" s="271">
        <v>-750.0</v>
      </c>
      <c r="N1380" s="275">
        <v>481.0</v>
      </c>
      <c r="O1380" s="60"/>
      <c r="P1380" s="50">
        <v>481.0</v>
      </c>
      <c r="Q1380" s="271">
        <v>-274.0</v>
      </c>
      <c r="R1380" s="276">
        <v>0.0</v>
      </c>
      <c r="S1380" s="271">
        <v>-274.0</v>
      </c>
      <c r="T1380" s="271">
        <v>-269.0</v>
      </c>
      <c r="U1380" s="62">
        <v>1.0</v>
      </c>
      <c r="V1380" s="277">
        <v>0.22</v>
      </c>
      <c r="W1380" s="277">
        <v>0.0</v>
      </c>
      <c r="X1380" s="271">
        <v>-210.0</v>
      </c>
      <c r="Y1380" s="271">
        <v>-59.0</v>
      </c>
      <c r="Z1380" s="50" t="b">
        <v>1</v>
      </c>
      <c r="AA1380" s="50" t="s">
        <v>138</v>
      </c>
      <c r="AB1380" s="50" t="s">
        <v>138</v>
      </c>
    </row>
    <row r="1381">
      <c r="A1381" s="101" t="s">
        <v>149</v>
      </c>
      <c r="B1381" s="101" t="s">
        <v>149</v>
      </c>
      <c r="C1381" s="278">
        <v>44682.0</v>
      </c>
      <c r="D1381" s="278">
        <v>44712.0</v>
      </c>
      <c r="E1381" s="271" t="s">
        <v>268</v>
      </c>
      <c r="F1381" s="138" t="s">
        <v>12</v>
      </c>
      <c r="G1381" s="101" t="s">
        <v>5</v>
      </c>
      <c r="H1381" s="273" t="s">
        <v>85</v>
      </c>
      <c r="I1381" s="274">
        <v>100.0</v>
      </c>
      <c r="J1381" s="271">
        <v>1914.0</v>
      </c>
      <c r="K1381" s="271">
        <f t="shared" si="1"/>
        <v>191400</v>
      </c>
      <c r="L1381" s="271">
        <v>18072.0</v>
      </c>
      <c r="M1381" s="271">
        <v>-6800.0</v>
      </c>
      <c r="N1381" s="275">
        <v>8000.0</v>
      </c>
      <c r="O1381" s="60"/>
      <c r="P1381" s="109">
        <v>8000.0</v>
      </c>
      <c r="Q1381" s="271">
        <v>-6948.0</v>
      </c>
      <c r="R1381" s="276">
        <v>0.0</v>
      </c>
      <c r="S1381" s="271">
        <v>-6948.0</v>
      </c>
      <c r="T1381" s="271">
        <v>1200.0</v>
      </c>
      <c r="U1381" s="62">
        <v>1.0</v>
      </c>
      <c r="V1381" s="277">
        <v>0.22</v>
      </c>
      <c r="W1381" s="277">
        <v>0.0</v>
      </c>
      <c r="X1381" s="271">
        <v>936.0</v>
      </c>
      <c r="Y1381" s="271">
        <v>264.0</v>
      </c>
      <c r="Z1381" s="50" t="b">
        <v>1</v>
      </c>
      <c r="AA1381" s="50" t="s">
        <v>138</v>
      </c>
      <c r="AB1381" s="50" t="s">
        <v>138</v>
      </c>
    </row>
    <row r="1382">
      <c r="A1382" s="101" t="s">
        <v>177</v>
      </c>
      <c r="B1382" s="101" t="s">
        <v>177</v>
      </c>
      <c r="C1382" s="278">
        <v>44700.0</v>
      </c>
      <c r="D1382" s="278">
        <v>44712.0</v>
      </c>
      <c r="E1382" s="271" t="s">
        <v>331</v>
      </c>
      <c r="F1382" s="138" t="s">
        <v>8</v>
      </c>
      <c r="G1382" s="280" t="s">
        <v>5</v>
      </c>
      <c r="H1382" s="273" t="s">
        <v>85</v>
      </c>
      <c r="I1382" s="274">
        <v>100.0</v>
      </c>
      <c r="J1382" s="271">
        <v>3.0</v>
      </c>
      <c r="K1382" s="271">
        <f t="shared" si="1"/>
        <v>300</v>
      </c>
      <c r="L1382" s="271">
        <f>-412*3</f>
        <v>-1236</v>
      </c>
      <c r="M1382" s="271">
        <v>-300.0</v>
      </c>
      <c r="N1382" s="275">
        <v>11.3</v>
      </c>
      <c r="O1382" s="60"/>
      <c r="P1382" s="50">
        <v>11.0</v>
      </c>
      <c r="Q1382" s="271">
        <v>-248.0</v>
      </c>
      <c r="R1382" s="276">
        <v>-0.0015</v>
      </c>
      <c r="S1382" s="271">
        <v>-248.0</v>
      </c>
      <c r="T1382" s="271">
        <v>-237.0</v>
      </c>
      <c r="U1382" s="62">
        <v>1.0</v>
      </c>
      <c r="V1382" s="277">
        <v>0.175</v>
      </c>
      <c r="W1382" s="277">
        <v>0.075</v>
      </c>
      <c r="X1382" s="271">
        <v>-178.0</v>
      </c>
      <c r="Y1382" s="271">
        <v>-59.0</v>
      </c>
      <c r="Z1382" s="50" t="b">
        <v>1</v>
      </c>
      <c r="AA1382" s="50" t="s">
        <v>138</v>
      </c>
      <c r="AB1382" s="50" t="s">
        <v>138</v>
      </c>
    </row>
    <row r="1383">
      <c r="A1383" s="101" t="s">
        <v>177</v>
      </c>
      <c r="B1383" s="101" t="s">
        <v>177</v>
      </c>
      <c r="C1383" s="278">
        <v>44700.0</v>
      </c>
      <c r="D1383" s="278">
        <v>44712.0</v>
      </c>
      <c r="E1383" s="271" t="s">
        <v>331</v>
      </c>
      <c r="F1383" s="138" t="s">
        <v>8</v>
      </c>
      <c r="G1383" s="280" t="s">
        <v>5</v>
      </c>
      <c r="H1383" s="273" t="s">
        <v>86</v>
      </c>
      <c r="I1383" s="274">
        <v>100.0</v>
      </c>
      <c r="J1383" s="271">
        <v>1009.0</v>
      </c>
      <c r="K1383" s="271">
        <f t="shared" si="1"/>
        <v>100900</v>
      </c>
      <c r="L1383" s="271">
        <f>7*1009</f>
        <v>7063</v>
      </c>
      <c r="M1383" s="271">
        <v>-4500.0</v>
      </c>
      <c r="N1383" s="275">
        <v>3799.7</v>
      </c>
      <c r="O1383" s="60"/>
      <c r="P1383" s="109">
        <v>3800.0</v>
      </c>
      <c r="Q1383" s="271">
        <v>-3278.0</v>
      </c>
      <c r="R1383" s="276">
        <v>-0.0015</v>
      </c>
      <c r="S1383" s="271">
        <v>-3429.0</v>
      </c>
      <c r="T1383" s="271">
        <v>371.0</v>
      </c>
      <c r="U1383" s="62">
        <v>1.0</v>
      </c>
      <c r="V1383" s="277">
        <v>0.175</v>
      </c>
      <c r="W1383" s="277">
        <v>0.075</v>
      </c>
      <c r="X1383" s="271">
        <v>278.0</v>
      </c>
      <c r="Y1383" s="271">
        <v>93.0</v>
      </c>
      <c r="Z1383" s="50" t="b">
        <v>1</v>
      </c>
      <c r="AA1383" s="50" t="s">
        <v>138</v>
      </c>
      <c r="AB1383" s="50" t="s">
        <v>138</v>
      </c>
    </row>
    <row r="1384">
      <c r="A1384" s="101" t="s">
        <v>177</v>
      </c>
      <c r="B1384" s="101" t="s">
        <v>177</v>
      </c>
      <c r="C1384" s="278">
        <v>44700.0</v>
      </c>
      <c r="D1384" s="278">
        <v>44712.0</v>
      </c>
      <c r="E1384" s="271" t="s">
        <v>331</v>
      </c>
      <c r="F1384" s="138" t="s">
        <v>8</v>
      </c>
      <c r="G1384" s="280" t="s">
        <v>5</v>
      </c>
      <c r="H1384" s="273" t="s">
        <v>97</v>
      </c>
      <c r="I1384" s="274">
        <v>250.0</v>
      </c>
      <c r="J1384" s="271">
        <v>327.0</v>
      </c>
      <c r="K1384" s="271">
        <f t="shared" si="1"/>
        <v>81750</v>
      </c>
      <c r="L1384" s="271">
        <f>15*327</f>
        <v>4905</v>
      </c>
      <c r="M1384" s="271">
        <v>-500.0</v>
      </c>
      <c r="N1384" s="275">
        <v>3078.55</v>
      </c>
      <c r="O1384" s="60"/>
      <c r="P1384" s="109">
        <v>3079.0</v>
      </c>
      <c r="Q1384" s="271">
        <v>-406.0</v>
      </c>
      <c r="R1384" s="276">
        <v>-0.0015</v>
      </c>
      <c r="S1384" s="271">
        <v>-529.0</v>
      </c>
      <c r="T1384" s="271">
        <v>2549.0</v>
      </c>
      <c r="U1384" s="62">
        <v>1.0</v>
      </c>
      <c r="V1384" s="277">
        <v>0.175</v>
      </c>
      <c r="W1384" s="277">
        <v>0.075</v>
      </c>
      <c r="X1384" s="271">
        <v>1912.0</v>
      </c>
      <c r="Y1384" s="271">
        <v>637.0</v>
      </c>
      <c r="Z1384" s="50" t="b">
        <v>1</v>
      </c>
      <c r="AA1384" s="50" t="s">
        <v>138</v>
      </c>
      <c r="AB1384" s="50" t="s">
        <v>138</v>
      </c>
    </row>
    <row r="1385">
      <c r="A1385" s="101" t="s">
        <v>177</v>
      </c>
      <c r="B1385" s="101" t="s">
        <v>177</v>
      </c>
      <c r="C1385" s="278">
        <v>44700.0</v>
      </c>
      <c r="D1385" s="278">
        <v>44712.0</v>
      </c>
      <c r="E1385" s="271" t="s">
        <v>331</v>
      </c>
      <c r="F1385" s="138" t="s">
        <v>8</v>
      </c>
      <c r="G1385" s="280" t="s">
        <v>5</v>
      </c>
      <c r="H1385" s="273" t="s">
        <v>96</v>
      </c>
      <c r="I1385" s="274">
        <v>250.0</v>
      </c>
      <c r="J1385" s="271">
        <v>435.0</v>
      </c>
      <c r="K1385" s="271">
        <f t="shared" si="1"/>
        <v>108750</v>
      </c>
      <c r="L1385" s="271">
        <f>47*435</f>
        <v>20445</v>
      </c>
      <c r="M1385" s="271">
        <v>4750.0</v>
      </c>
      <c r="N1385" s="275">
        <v>4095.31</v>
      </c>
      <c r="O1385" s="60"/>
      <c r="P1385" s="109">
        <v>4095.0</v>
      </c>
      <c r="Q1385" s="271">
        <v>3955.0</v>
      </c>
      <c r="R1385" s="276">
        <v>-0.0015</v>
      </c>
      <c r="S1385" s="271">
        <v>3792.0</v>
      </c>
      <c r="T1385" s="271">
        <v>7887.0</v>
      </c>
      <c r="U1385" s="62">
        <v>1.0</v>
      </c>
      <c r="V1385" s="277">
        <v>0.175</v>
      </c>
      <c r="W1385" s="277">
        <v>0.075</v>
      </c>
      <c r="X1385" s="271">
        <v>5915.0</v>
      </c>
      <c r="Y1385" s="271">
        <v>1972.0</v>
      </c>
      <c r="Z1385" s="50" t="b">
        <v>1</v>
      </c>
      <c r="AA1385" s="50" t="s">
        <v>138</v>
      </c>
      <c r="AB1385" s="50" t="s">
        <v>138</v>
      </c>
    </row>
    <row r="1386">
      <c r="A1386" s="280" t="s">
        <v>183</v>
      </c>
      <c r="B1386" s="280" t="s">
        <v>183</v>
      </c>
      <c r="C1386" s="283">
        <v>44682.0</v>
      </c>
      <c r="D1386" s="283">
        <v>44712.0</v>
      </c>
      <c r="E1386" s="280" t="s">
        <v>268</v>
      </c>
      <c r="F1386" s="138" t="s">
        <v>8</v>
      </c>
      <c r="G1386" s="271" t="s">
        <v>5</v>
      </c>
      <c r="H1386" s="290" t="s">
        <v>35</v>
      </c>
      <c r="I1386" s="274">
        <v>5.0</v>
      </c>
      <c r="J1386" s="271">
        <v>121.0</v>
      </c>
      <c r="K1386" s="271">
        <f t="shared" si="1"/>
        <v>605</v>
      </c>
      <c r="L1386" s="271">
        <v>-4515.0</v>
      </c>
      <c r="M1386" s="271">
        <v>-50.0</v>
      </c>
      <c r="N1386" s="275"/>
      <c r="O1386" s="60"/>
      <c r="P1386" s="101"/>
      <c r="Q1386" s="271">
        <v>-94.0</v>
      </c>
      <c r="R1386" s="276">
        <v>-0.001405</v>
      </c>
      <c r="S1386" s="271">
        <v>-95.0</v>
      </c>
      <c r="T1386" s="271">
        <v>-95.0</v>
      </c>
      <c r="U1386" s="62">
        <v>1.0</v>
      </c>
      <c r="V1386" s="277">
        <v>0.3</v>
      </c>
      <c r="W1386" s="277">
        <v>0.0</v>
      </c>
      <c r="X1386" s="271">
        <v>-66.0</v>
      </c>
      <c r="Y1386" s="271">
        <v>-28.0</v>
      </c>
      <c r="Z1386" s="50" t="b">
        <v>1</v>
      </c>
      <c r="AA1386" s="50" t="s">
        <v>138</v>
      </c>
      <c r="AB1386" s="50" t="s">
        <v>138</v>
      </c>
    </row>
    <row r="1387">
      <c r="A1387" s="280" t="s">
        <v>183</v>
      </c>
      <c r="B1387" s="280" t="s">
        <v>183</v>
      </c>
      <c r="C1387" s="283">
        <v>44682.0</v>
      </c>
      <c r="D1387" s="283">
        <v>44712.0</v>
      </c>
      <c r="E1387" s="280" t="s">
        <v>268</v>
      </c>
      <c r="F1387" s="138" t="s">
        <v>8</v>
      </c>
      <c r="G1387" s="280" t="s">
        <v>16</v>
      </c>
      <c r="H1387" s="290" t="s">
        <v>49</v>
      </c>
      <c r="I1387" s="281">
        <v>10.0</v>
      </c>
      <c r="J1387" s="280">
        <v>2827.0</v>
      </c>
      <c r="K1387" s="271">
        <f t="shared" si="1"/>
        <v>28270</v>
      </c>
      <c r="L1387" s="280">
        <v>12317.0</v>
      </c>
      <c r="M1387" s="280">
        <v>-1760.0</v>
      </c>
      <c r="N1387" s="282">
        <v>1438.05</v>
      </c>
      <c r="O1387" s="60"/>
      <c r="P1387" s="109">
        <v>1438.0</v>
      </c>
      <c r="Q1387" s="280">
        <v>-1426.0</v>
      </c>
      <c r="R1387" s="276">
        <v>-0.004862</v>
      </c>
      <c r="S1387" s="280">
        <v>-1563.0</v>
      </c>
      <c r="T1387" s="280">
        <v>-125.0</v>
      </c>
      <c r="U1387" s="62">
        <v>1.0</v>
      </c>
      <c r="V1387" s="277">
        <v>0.3</v>
      </c>
      <c r="W1387" s="277">
        <v>0.0</v>
      </c>
      <c r="X1387" s="280">
        <v>-87.0</v>
      </c>
      <c r="Y1387" s="280">
        <v>-37.0</v>
      </c>
      <c r="Z1387" s="50" t="b">
        <v>1</v>
      </c>
      <c r="AA1387" s="50" t="s">
        <v>138</v>
      </c>
      <c r="AB1387" s="50" t="s">
        <v>138</v>
      </c>
    </row>
    <row r="1388">
      <c r="A1388" s="280" t="s">
        <v>183</v>
      </c>
      <c r="B1388" s="280" t="s">
        <v>183</v>
      </c>
      <c r="C1388" s="283">
        <v>44682.0</v>
      </c>
      <c r="D1388" s="283">
        <v>44712.0</v>
      </c>
      <c r="E1388" s="280" t="s">
        <v>268</v>
      </c>
      <c r="F1388" s="138" t="s">
        <v>8</v>
      </c>
      <c r="G1388" s="280" t="s">
        <v>16</v>
      </c>
      <c r="H1388" s="290" t="s">
        <v>45</v>
      </c>
      <c r="I1388" s="281">
        <v>10.0</v>
      </c>
      <c r="J1388" s="280">
        <v>1203.0</v>
      </c>
      <c r="K1388" s="271">
        <f t="shared" si="1"/>
        <v>12030</v>
      </c>
      <c r="L1388" s="280">
        <v>40006.0</v>
      </c>
      <c r="M1388" s="280">
        <v>-40.0</v>
      </c>
      <c r="N1388" s="282">
        <v>611.95</v>
      </c>
      <c r="O1388" s="60"/>
      <c r="P1388" s="50">
        <v>612.0</v>
      </c>
      <c r="Q1388" s="280">
        <v>-22.0</v>
      </c>
      <c r="R1388" s="276">
        <v>-0.005063</v>
      </c>
      <c r="S1388" s="280">
        <v>-83.0</v>
      </c>
      <c r="T1388" s="280">
        <v>529.0</v>
      </c>
      <c r="U1388" s="62">
        <v>1.0</v>
      </c>
      <c r="V1388" s="277">
        <v>0.3</v>
      </c>
      <c r="W1388" s="277">
        <v>0.0</v>
      </c>
      <c r="X1388" s="280">
        <v>370.0</v>
      </c>
      <c r="Y1388" s="280">
        <v>159.0</v>
      </c>
      <c r="Z1388" s="50" t="b">
        <v>1</v>
      </c>
      <c r="AA1388" s="50" t="s">
        <v>138</v>
      </c>
      <c r="AB1388" s="50" t="s">
        <v>138</v>
      </c>
    </row>
    <row r="1389">
      <c r="A1389" s="280" t="s">
        <v>185</v>
      </c>
      <c r="B1389" s="280" t="s">
        <v>185</v>
      </c>
      <c r="C1389" s="283">
        <v>44684.0</v>
      </c>
      <c r="D1389" s="283">
        <v>44712.0</v>
      </c>
      <c r="E1389" s="280" t="s">
        <v>268</v>
      </c>
      <c r="F1389" s="138" t="s">
        <v>12</v>
      </c>
      <c r="G1389" s="280" t="s">
        <v>142</v>
      </c>
      <c r="H1389" s="290" t="s">
        <v>39</v>
      </c>
      <c r="I1389" s="281">
        <v>5.0</v>
      </c>
      <c r="J1389" s="280">
        <v>1.0</v>
      </c>
      <c r="K1389" s="271">
        <f t="shared" si="1"/>
        <v>5</v>
      </c>
      <c r="L1389" s="280">
        <v>131.0</v>
      </c>
      <c r="M1389" s="280">
        <v>0.17</v>
      </c>
      <c r="N1389" s="282"/>
      <c r="O1389" s="60">
        <v>0.5</v>
      </c>
      <c r="P1389" s="50">
        <v>0.0</v>
      </c>
      <c r="Q1389" s="280">
        <v>4.0</v>
      </c>
      <c r="R1389" s="276">
        <v>0.0</v>
      </c>
      <c r="S1389" s="280">
        <v>4.0</v>
      </c>
      <c r="T1389" s="280">
        <v>0.0</v>
      </c>
      <c r="U1389" s="62">
        <v>1.05</v>
      </c>
      <c r="V1389" s="277">
        <v>0.17</v>
      </c>
      <c r="W1389" s="277">
        <v>0.0</v>
      </c>
      <c r="X1389" s="280">
        <v>0.0</v>
      </c>
      <c r="Y1389" s="280">
        <v>0.0</v>
      </c>
      <c r="Z1389" s="50" t="b">
        <v>1</v>
      </c>
      <c r="AA1389" s="50" t="s">
        <v>138</v>
      </c>
      <c r="AB1389" s="50" t="s">
        <v>140</v>
      </c>
    </row>
    <row r="1390">
      <c r="A1390" s="280" t="s">
        <v>185</v>
      </c>
      <c r="B1390" s="280" t="s">
        <v>185</v>
      </c>
      <c r="C1390" s="283">
        <v>44684.0</v>
      </c>
      <c r="D1390" s="283">
        <v>44712.0</v>
      </c>
      <c r="E1390" s="280" t="s">
        <v>268</v>
      </c>
      <c r="F1390" s="138" t="s">
        <v>12</v>
      </c>
      <c r="G1390" s="280" t="s">
        <v>142</v>
      </c>
      <c r="H1390" s="290" t="s">
        <v>50</v>
      </c>
      <c r="I1390" s="281">
        <v>10.0</v>
      </c>
      <c r="J1390" s="280">
        <v>5.0</v>
      </c>
      <c r="K1390" s="271">
        <f t="shared" si="1"/>
        <v>50</v>
      </c>
      <c r="L1390" s="280">
        <v>-1006.0</v>
      </c>
      <c r="M1390" s="280">
        <v>1.67</v>
      </c>
      <c r="N1390" s="282"/>
      <c r="O1390" s="60">
        <v>0.5</v>
      </c>
      <c r="P1390" s="50">
        <v>2.0</v>
      </c>
      <c r="Q1390" s="280">
        <v>-22.0</v>
      </c>
      <c r="R1390" s="276">
        <v>0.0</v>
      </c>
      <c r="S1390" s="280">
        <v>-22.0</v>
      </c>
      <c r="T1390" s="280">
        <v>3.0</v>
      </c>
      <c r="U1390" s="62">
        <v>1.05</v>
      </c>
      <c r="V1390" s="277">
        <v>0.17</v>
      </c>
      <c r="W1390" s="277">
        <v>0.0</v>
      </c>
      <c r="X1390" s="280">
        <v>3.0</v>
      </c>
      <c r="Y1390" s="280">
        <v>1.0</v>
      </c>
      <c r="Z1390" s="50" t="b">
        <v>1</v>
      </c>
      <c r="AA1390" s="50" t="s">
        <v>138</v>
      </c>
      <c r="AB1390" s="50" t="s">
        <v>140</v>
      </c>
    </row>
    <row r="1391">
      <c r="A1391" s="280" t="s">
        <v>185</v>
      </c>
      <c r="B1391" s="280" t="s">
        <v>185</v>
      </c>
      <c r="C1391" s="283">
        <v>44684.0</v>
      </c>
      <c r="D1391" s="283">
        <v>44712.0</v>
      </c>
      <c r="E1391" s="280" t="s">
        <v>268</v>
      </c>
      <c r="F1391" s="138" t="s">
        <v>12</v>
      </c>
      <c r="G1391" s="280" t="s">
        <v>142</v>
      </c>
      <c r="H1391" s="290" t="s">
        <v>61</v>
      </c>
      <c r="I1391" s="281">
        <v>20.0</v>
      </c>
      <c r="J1391" s="280">
        <v>2212.0</v>
      </c>
      <c r="K1391" s="271">
        <f t="shared" si="1"/>
        <v>44240</v>
      </c>
      <c r="L1391" s="280">
        <v>68572.0</v>
      </c>
      <c r="M1391" s="280">
        <v>1475.17</v>
      </c>
      <c r="N1391" s="282"/>
      <c r="O1391" s="60">
        <v>0.5</v>
      </c>
      <c r="P1391" s="109">
        <v>1548.0</v>
      </c>
      <c r="Q1391" s="280">
        <v>-866.0</v>
      </c>
      <c r="R1391" s="276">
        <v>0.0</v>
      </c>
      <c r="S1391" s="280">
        <v>-866.0</v>
      </c>
      <c r="T1391" s="280">
        <v>3024.0</v>
      </c>
      <c r="U1391" s="62">
        <v>1.05</v>
      </c>
      <c r="V1391" s="277">
        <v>0.17</v>
      </c>
      <c r="W1391" s="277">
        <v>0.0</v>
      </c>
      <c r="X1391" s="280">
        <v>2635.0</v>
      </c>
      <c r="Y1391" s="280">
        <v>540.0</v>
      </c>
      <c r="Z1391" s="50" t="b">
        <v>1</v>
      </c>
      <c r="AA1391" s="50" t="s">
        <v>138</v>
      </c>
      <c r="AB1391" s="50" t="s">
        <v>140</v>
      </c>
    </row>
    <row r="1392">
      <c r="A1392" s="280" t="s">
        <v>459</v>
      </c>
      <c r="B1392" s="280" t="s">
        <v>145</v>
      </c>
      <c r="C1392" s="283">
        <v>44682.0</v>
      </c>
      <c r="D1392" s="283">
        <v>44712.0</v>
      </c>
      <c r="E1392" s="280" t="s">
        <v>331</v>
      </c>
      <c r="F1392" s="138" t="s">
        <v>8</v>
      </c>
      <c r="G1392" s="280" t="s">
        <v>9</v>
      </c>
      <c r="H1392" s="290" t="s">
        <v>89</v>
      </c>
      <c r="I1392" s="281">
        <v>100.0</v>
      </c>
      <c r="J1392" s="280">
        <v>150.0</v>
      </c>
      <c r="K1392" s="271">
        <f t="shared" si="1"/>
        <v>15000</v>
      </c>
      <c r="L1392" s="280">
        <v>19013.0</v>
      </c>
      <c r="M1392" s="280">
        <v>3000.0</v>
      </c>
      <c r="N1392" s="282">
        <v>17622.99</v>
      </c>
      <c r="O1392" s="60"/>
      <c r="P1392" s="109">
        <v>17623.0</v>
      </c>
      <c r="Q1392" s="280">
        <v>2104.0</v>
      </c>
      <c r="R1392" s="276">
        <v>-0.001546</v>
      </c>
      <c r="S1392" s="280">
        <v>2080.0</v>
      </c>
      <c r="T1392" s="280">
        <v>19703.0</v>
      </c>
      <c r="U1392" s="62">
        <v>1.0</v>
      </c>
      <c r="V1392" s="277">
        <v>0.1875</v>
      </c>
      <c r="W1392" s="277">
        <v>0.0625</v>
      </c>
      <c r="X1392" s="280">
        <v>14778.0</v>
      </c>
      <c r="Y1392" s="280">
        <v>4926.0</v>
      </c>
      <c r="Z1392" s="50" t="b">
        <v>1</v>
      </c>
      <c r="AA1392" s="50" t="s">
        <v>140</v>
      </c>
      <c r="AB1392" s="50" t="s">
        <v>140</v>
      </c>
    </row>
    <row r="1393">
      <c r="A1393" s="280" t="s">
        <v>459</v>
      </c>
      <c r="B1393" s="280" t="s">
        <v>145</v>
      </c>
      <c r="C1393" s="283">
        <v>44682.0</v>
      </c>
      <c r="D1393" s="283">
        <v>44712.0</v>
      </c>
      <c r="E1393" s="280" t="s">
        <v>331</v>
      </c>
      <c r="F1393" s="138" t="s">
        <v>8</v>
      </c>
      <c r="G1393" s="280" t="s">
        <v>9</v>
      </c>
      <c r="H1393" s="290" t="s">
        <v>98</v>
      </c>
      <c r="I1393" s="281">
        <v>250.0</v>
      </c>
      <c r="J1393" s="280">
        <v>1444.0</v>
      </c>
      <c r="K1393" s="271">
        <f t="shared" si="1"/>
        <v>361000</v>
      </c>
      <c r="L1393" s="280">
        <v>46921.0</v>
      </c>
      <c r="M1393" s="280">
        <v>0.0</v>
      </c>
      <c r="N1393" s="282">
        <v>3852.01</v>
      </c>
      <c r="O1393" s="60"/>
      <c r="P1393" s="109">
        <v>3852.0</v>
      </c>
      <c r="Q1393" s="280">
        <v>-6840.0</v>
      </c>
      <c r="R1393" s="276">
        <v>-0.001352</v>
      </c>
      <c r="S1393" s="280">
        <v>-7328.0</v>
      </c>
      <c r="T1393" s="280">
        <v>-3476.0</v>
      </c>
      <c r="U1393" s="62">
        <v>1.0</v>
      </c>
      <c r="V1393" s="277">
        <v>0.1875</v>
      </c>
      <c r="W1393" s="277">
        <v>0.0625</v>
      </c>
      <c r="X1393" s="280">
        <v>-2607.0</v>
      </c>
      <c r="Y1393" s="280">
        <v>-869.0</v>
      </c>
      <c r="Z1393" s="50" t="b">
        <v>1</v>
      </c>
      <c r="AA1393" s="50" t="s">
        <v>140</v>
      </c>
      <c r="AB1393" s="50" t="s">
        <v>140</v>
      </c>
    </row>
    <row r="1394">
      <c r="A1394" s="280" t="s">
        <v>459</v>
      </c>
      <c r="B1394" s="280" t="s">
        <v>145</v>
      </c>
      <c r="C1394" s="283">
        <v>44682.0</v>
      </c>
      <c r="D1394" s="283">
        <v>44712.0</v>
      </c>
      <c r="E1394" s="280" t="s">
        <v>331</v>
      </c>
      <c r="F1394" s="138" t="s">
        <v>8</v>
      </c>
      <c r="G1394" s="280" t="s">
        <v>9</v>
      </c>
      <c r="H1394" s="290" t="s">
        <v>104</v>
      </c>
      <c r="I1394" s="281">
        <v>500.0</v>
      </c>
      <c r="J1394" s="280">
        <v>345.0</v>
      </c>
      <c r="K1394" s="271">
        <f t="shared" si="1"/>
        <v>172500</v>
      </c>
      <c r="L1394" s="280">
        <v>18414.0</v>
      </c>
      <c r="M1394" s="280">
        <v>-7500.0</v>
      </c>
      <c r="N1394" s="282">
        <v>0.0</v>
      </c>
      <c r="O1394" s="60"/>
      <c r="P1394" s="50">
        <v>0.0</v>
      </c>
      <c r="Q1394" s="280">
        <v>3330.0</v>
      </c>
      <c r="R1394" s="276">
        <v>-0.001405</v>
      </c>
      <c r="S1394" s="280">
        <v>3087.0</v>
      </c>
      <c r="T1394" s="280">
        <v>3087.0</v>
      </c>
      <c r="U1394" s="62">
        <v>1.0</v>
      </c>
      <c r="V1394" s="277">
        <v>0.1875</v>
      </c>
      <c r="W1394" s="277">
        <v>0.0625</v>
      </c>
      <c r="X1394" s="280">
        <v>2315.0</v>
      </c>
      <c r="Y1394" s="280">
        <v>772.0</v>
      </c>
      <c r="Z1394" s="50" t="b">
        <v>1</v>
      </c>
      <c r="AA1394" s="50" t="s">
        <v>140</v>
      </c>
      <c r="AB1394" s="50" t="s">
        <v>140</v>
      </c>
    </row>
    <row r="1395">
      <c r="A1395" s="101" t="s">
        <v>181</v>
      </c>
      <c r="B1395" s="101" t="s">
        <v>181</v>
      </c>
      <c r="C1395" s="278">
        <v>44682.0</v>
      </c>
      <c r="D1395" s="278">
        <v>44712.0</v>
      </c>
      <c r="E1395" s="271" t="s">
        <v>268</v>
      </c>
      <c r="F1395" s="101" t="s">
        <v>12</v>
      </c>
      <c r="G1395" s="271" t="s">
        <v>13</v>
      </c>
      <c r="H1395" s="114" t="s">
        <v>93</v>
      </c>
      <c r="I1395" s="274">
        <v>200.0</v>
      </c>
      <c r="J1395" s="271">
        <v>1728.0</v>
      </c>
      <c r="K1395" s="271">
        <f t="shared" si="1"/>
        <v>345600</v>
      </c>
      <c r="L1395" s="271">
        <v>2916.0</v>
      </c>
      <c r="M1395" s="271">
        <v>-29600.0</v>
      </c>
      <c r="N1395" s="275">
        <v>20699.89</v>
      </c>
      <c r="O1395" s="60"/>
      <c r="P1395" s="109">
        <v>20700.0</v>
      </c>
      <c r="Q1395" s="271">
        <v>-23666.0</v>
      </c>
      <c r="R1395" s="276">
        <v>0.0</v>
      </c>
      <c r="S1395" s="271">
        <v>-23666.0</v>
      </c>
      <c r="T1395" s="271">
        <v>-8900.0</v>
      </c>
      <c r="U1395" s="62">
        <v>1.0</v>
      </c>
      <c r="V1395" s="277">
        <v>0.15</v>
      </c>
      <c r="W1395" s="277">
        <v>0.0</v>
      </c>
      <c r="X1395" s="271">
        <v>-7565.0</v>
      </c>
      <c r="Y1395" s="271">
        <v>-1335.0</v>
      </c>
      <c r="Z1395" s="50" t="b">
        <v>1</v>
      </c>
      <c r="AA1395" s="50" t="s">
        <v>138</v>
      </c>
      <c r="AB1395" s="50" t="s">
        <v>138</v>
      </c>
    </row>
    <row r="1396">
      <c r="A1396" s="101" t="s">
        <v>181</v>
      </c>
      <c r="B1396" s="101" t="s">
        <v>181</v>
      </c>
      <c r="C1396" s="278">
        <v>44682.0</v>
      </c>
      <c r="D1396" s="278">
        <v>44712.0</v>
      </c>
      <c r="E1396" s="271" t="s">
        <v>268</v>
      </c>
      <c r="F1396" s="101" t="s">
        <v>8</v>
      </c>
      <c r="G1396" s="271" t="s">
        <v>13</v>
      </c>
      <c r="H1396" s="114" t="s">
        <v>85</v>
      </c>
      <c r="I1396" s="274">
        <v>100.0</v>
      </c>
      <c r="J1396" s="271">
        <v>9178.0</v>
      </c>
      <c r="K1396" s="271">
        <f t="shared" si="1"/>
        <v>917800</v>
      </c>
      <c r="L1396" s="271">
        <v>61200.0</v>
      </c>
      <c r="M1396" s="271">
        <v>-65500.0</v>
      </c>
      <c r="N1396" s="275">
        <v>54972.11</v>
      </c>
      <c r="O1396" s="60"/>
      <c r="P1396" s="109">
        <v>54972.0</v>
      </c>
      <c r="Q1396" s="271">
        <v>-49623.0</v>
      </c>
      <c r="R1396" s="276">
        <v>-0.001304</v>
      </c>
      <c r="S1396" s="271">
        <v>-50820.0</v>
      </c>
      <c r="T1396" s="271">
        <v>4152.0</v>
      </c>
      <c r="U1396" s="62">
        <v>1.0</v>
      </c>
      <c r="V1396" s="277">
        <v>0.15</v>
      </c>
      <c r="W1396" s="277">
        <v>0.0</v>
      </c>
      <c r="X1396" s="271">
        <v>3529.0</v>
      </c>
      <c r="Y1396" s="271">
        <v>623.0</v>
      </c>
      <c r="Z1396" s="50" t="b">
        <v>1</v>
      </c>
      <c r="AA1396" s="50" t="s">
        <v>138</v>
      </c>
      <c r="AB1396" s="50" t="s">
        <v>138</v>
      </c>
    </row>
    <row r="1397">
      <c r="A1397" s="280" t="s">
        <v>693</v>
      </c>
      <c r="B1397" s="280" t="s">
        <v>159</v>
      </c>
      <c r="C1397" s="283">
        <v>44682.0</v>
      </c>
      <c r="D1397" s="283">
        <v>44712.0</v>
      </c>
      <c r="E1397" s="280" t="s">
        <v>268</v>
      </c>
      <c r="F1397" s="138" t="s">
        <v>8</v>
      </c>
      <c r="G1397" s="280" t="s">
        <v>9</v>
      </c>
      <c r="H1397" s="290" t="s">
        <v>53</v>
      </c>
      <c r="I1397" s="281">
        <v>10.0</v>
      </c>
      <c r="J1397" s="280">
        <v>100.0</v>
      </c>
      <c r="K1397" s="271">
        <f t="shared" si="1"/>
        <v>1000</v>
      </c>
      <c r="L1397" s="280">
        <v>5910.0</v>
      </c>
      <c r="M1397" s="280">
        <v>-60.0</v>
      </c>
      <c r="N1397" s="282">
        <v>237.56</v>
      </c>
      <c r="O1397" s="60"/>
      <c r="P1397" s="50">
        <v>238.0</v>
      </c>
      <c r="Q1397" s="280">
        <v>22.0</v>
      </c>
      <c r="R1397" s="276">
        <v>-0.001735</v>
      </c>
      <c r="S1397" s="280">
        <v>20.0</v>
      </c>
      <c r="T1397" s="280">
        <v>258.0</v>
      </c>
      <c r="U1397" s="62">
        <v>1.0</v>
      </c>
      <c r="V1397" s="277">
        <v>0.17</v>
      </c>
      <c r="W1397" s="277">
        <v>0.0</v>
      </c>
      <c r="X1397" s="280">
        <v>214.0</v>
      </c>
      <c r="Y1397" s="280">
        <v>44.0</v>
      </c>
      <c r="Z1397" s="50" t="b">
        <v>1</v>
      </c>
      <c r="AA1397" s="50" t="s">
        <v>140</v>
      </c>
      <c r="AB1397" s="50" t="s">
        <v>140</v>
      </c>
    </row>
    <row r="1398">
      <c r="A1398" s="280" t="s">
        <v>693</v>
      </c>
      <c r="B1398" s="280" t="s">
        <v>159</v>
      </c>
      <c r="C1398" s="283">
        <v>44682.0</v>
      </c>
      <c r="D1398" s="283">
        <v>44712.0</v>
      </c>
      <c r="E1398" s="280" t="s">
        <v>268</v>
      </c>
      <c r="F1398" s="138" t="s">
        <v>8</v>
      </c>
      <c r="G1398" s="280" t="s">
        <v>9</v>
      </c>
      <c r="H1398" s="290" t="s">
        <v>66</v>
      </c>
      <c r="I1398" s="281">
        <v>25.0</v>
      </c>
      <c r="J1398" s="280">
        <v>28.0</v>
      </c>
      <c r="K1398" s="271">
        <f t="shared" si="1"/>
        <v>700</v>
      </c>
      <c r="L1398" s="280">
        <v>3278.0</v>
      </c>
      <c r="M1398" s="280">
        <v>275.0</v>
      </c>
      <c r="N1398" s="282">
        <v>1.91</v>
      </c>
      <c r="O1398" s="60"/>
      <c r="P1398" s="50">
        <v>2.0</v>
      </c>
      <c r="Q1398" s="280">
        <v>88.0</v>
      </c>
      <c r="R1398" s="276">
        <v>-0.001431</v>
      </c>
      <c r="S1398" s="280">
        <v>87.0</v>
      </c>
      <c r="T1398" s="280">
        <v>89.0</v>
      </c>
      <c r="U1398" s="62">
        <v>1.0</v>
      </c>
      <c r="V1398" s="277">
        <v>0.17</v>
      </c>
      <c r="W1398" s="277">
        <v>0.0</v>
      </c>
      <c r="X1398" s="280">
        <v>74.0</v>
      </c>
      <c r="Y1398" s="280">
        <v>15.0</v>
      </c>
      <c r="Z1398" s="50" t="b">
        <v>1</v>
      </c>
      <c r="AA1398" s="50" t="s">
        <v>140</v>
      </c>
      <c r="AB1398" s="50" t="s">
        <v>140</v>
      </c>
    </row>
    <row r="1399">
      <c r="A1399" s="280" t="s">
        <v>693</v>
      </c>
      <c r="B1399" s="280" t="s">
        <v>159</v>
      </c>
      <c r="C1399" s="283">
        <v>44682.0</v>
      </c>
      <c r="D1399" s="283">
        <v>44712.0</v>
      </c>
      <c r="E1399" s="280" t="s">
        <v>268</v>
      </c>
      <c r="F1399" s="138" t="s">
        <v>8</v>
      </c>
      <c r="G1399" s="280" t="s">
        <v>9</v>
      </c>
      <c r="H1399" s="290" t="s">
        <v>52</v>
      </c>
      <c r="I1399" s="281">
        <v>10.0</v>
      </c>
      <c r="J1399" s="280">
        <v>656.0</v>
      </c>
      <c r="K1399" s="271">
        <f t="shared" si="1"/>
        <v>6560</v>
      </c>
      <c r="L1399" s="280">
        <v>56231.0</v>
      </c>
      <c r="M1399" s="280">
        <v>320.0</v>
      </c>
      <c r="N1399" s="282">
        <v>0.0</v>
      </c>
      <c r="O1399" s="60"/>
      <c r="P1399" s="50">
        <v>0.0</v>
      </c>
      <c r="Q1399" s="280">
        <v>409.0</v>
      </c>
      <c r="R1399" s="276">
        <v>-0.001478</v>
      </c>
      <c r="S1399" s="280">
        <v>399.0</v>
      </c>
      <c r="T1399" s="280">
        <v>399.0</v>
      </c>
      <c r="U1399" s="62">
        <v>1.0</v>
      </c>
      <c r="V1399" s="277">
        <v>0.17</v>
      </c>
      <c r="W1399" s="277">
        <v>0.0</v>
      </c>
      <c r="X1399" s="280">
        <v>331.0</v>
      </c>
      <c r="Y1399" s="280">
        <v>68.0</v>
      </c>
      <c r="Z1399" s="50" t="b">
        <v>1</v>
      </c>
      <c r="AA1399" s="50" t="s">
        <v>140</v>
      </c>
      <c r="AB1399" s="50" t="s">
        <v>140</v>
      </c>
    </row>
    <row r="1400">
      <c r="A1400" s="280" t="s">
        <v>693</v>
      </c>
      <c r="B1400" s="280" t="s">
        <v>159</v>
      </c>
      <c r="C1400" s="283">
        <v>44682.0</v>
      </c>
      <c r="D1400" s="283">
        <v>44712.0</v>
      </c>
      <c r="E1400" s="280" t="s">
        <v>268</v>
      </c>
      <c r="F1400" s="138" t="s">
        <v>8</v>
      </c>
      <c r="G1400" s="280" t="s">
        <v>9</v>
      </c>
      <c r="H1400" s="273" t="s">
        <v>65</v>
      </c>
      <c r="I1400" s="281">
        <v>25.0</v>
      </c>
      <c r="J1400" s="280">
        <v>272.0</v>
      </c>
      <c r="K1400" s="271">
        <f t="shared" si="1"/>
        <v>6800</v>
      </c>
      <c r="L1400" s="280">
        <v>18289.0</v>
      </c>
      <c r="M1400" s="280">
        <v>525.0</v>
      </c>
      <c r="N1400" s="282">
        <v>15.53</v>
      </c>
      <c r="O1400" s="60"/>
      <c r="P1400" s="50">
        <v>16.0</v>
      </c>
      <c r="Q1400" s="280">
        <v>179.0</v>
      </c>
      <c r="R1400" s="276">
        <v>0.005852</v>
      </c>
      <c r="S1400" s="280">
        <v>219.0</v>
      </c>
      <c r="T1400" s="280">
        <v>235.0</v>
      </c>
      <c r="U1400" s="62">
        <v>1.0</v>
      </c>
      <c r="V1400" s="277">
        <v>0.17</v>
      </c>
      <c r="W1400" s="277">
        <v>0.0</v>
      </c>
      <c r="X1400" s="280">
        <v>195.0</v>
      </c>
      <c r="Y1400" s="280">
        <v>40.0</v>
      </c>
      <c r="Z1400" s="50" t="b">
        <v>1</v>
      </c>
      <c r="AA1400" s="50" t="s">
        <v>140</v>
      </c>
      <c r="AB1400" s="50" t="s">
        <v>140</v>
      </c>
    </row>
    <row r="1401">
      <c r="A1401" s="101" t="s">
        <v>197</v>
      </c>
      <c r="B1401" s="101" t="s">
        <v>197</v>
      </c>
      <c r="C1401" s="278">
        <v>44682.0</v>
      </c>
      <c r="D1401" s="278">
        <v>44712.0</v>
      </c>
      <c r="E1401" s="280" t="s">
        <v>268</v>
      </c>
      <c r="F1401" s="138" t="s">
        <v>8</v>
      </c>
      <c r="G1401" s="271" t="s">
        <v>5</v>
      </c>
      <c r="H1401" s="273" t="s">
        <v>48</v>
      </c>
      <c r="I1401" s="274">
        <v>10.0</v>
      </c>
      <c r="J1401" s="271">
        <v>25.0</v>
      </c>
      <c r="K1401" s="271">
        <f t="shared" si="1"/>
        <v>250</v>
      </c>
      <c r="L1401" s="271">
        <v>964.0</v>
      </c>
      <c r="M1401" s="271">
        <v>-40.0</v>
      </c>
      <c r="N1401" s="275">
        <v>12.0</v>
      </c>
      <c r="O1401" s="60"/>
      <c r="P1401" s="50">
        <v>12.0</v>
      </c>
      <c r="Q1401" s="271">
        <v>11.0</v>
      </c>
      <c r="R1401" s="276">
        <v>1.16E-4</v>
      </c>
      <c r="S1401" s="271">
        <v>11.0</v>
      </c>
      <c r="T1401" s="271">
        <v>23.0</v>
      </c>
      <c r="U1401" s="62">
        <v>1.0</v>
      </c>
      <c r="V1401" s="277">
        <v>0.25</v>
      </c>
      <c r="W1401" s="277">
        <v>0.0</v>
      </c>
      <c r="X1401" s="271">
        <v>17.0</v>
      </c>
      <c r="Y1401" s="271">
        <v>6.0</v>
      </c>
      <c r="Z1401" s="50" t="b">
        <v>1</v>
      </c>
      <c r="AA1401" s="50" t="s">
        <v>138</v>
      </c>
      <c r="AB1401" s="50" t="s">
        <v>138</v>
      </c>
    </row>
    <row r="1402">
      <c r="A1402" s="101" t="s">
        <v>197</v>
      </c>
      <c r="B1402" s="101" t="s">
        <v>197</v>
      </c>
      <c r="C1402" s="278">
        <v>44682.0</v>
      </c>
      <c r="D1402" s="278">
        <v>44712.0</v>
      </c>
      <c r="E1402" s="280" t="s">
        <v>268</v>
      </c>
      <c r="F1402" s="138" t="s">
        <v>8</v>
      </c>
      <c r="G1402" s="271" t="s">
        <v>5</v>
      </c>
      <c r="H1402" s="273" t="s">
        <v>62</v>
      </c>
      <c r="I1402" s="274">
        <v>25.0</v>
      </c>
      <c r="J1402" s="271">
        <v>600.0</v>
      </c>
      <c r="K1402" s="271">
        <f t="shared" si="1"/>
        <v>15000</v>
      </c>
      <c r="L1402" s="271">
        <v>-5346.0</v>
      </c>
      <c r="M1402" s="271">
        <v>-1350.0</v>
      </c>
      <c r="N1402" s="275">
        <v>610.0</v>
      </c>
      <c r="O1402" s="60"/>
      <c r="P1402" s="50">
        <v>610.0</v>
      </c>
      <c r="Q1402" s="271">
        <v>-1202.0</v>
      </c>
      <c r="R1402" s="276">
        <v>-0.001278</v>
      </c>
      <c r="S1402" s="271">
        <v>-1221.0</v>
      </c>
      <c r="T1402" s="271">
        <v>-611.0</v>
      </c>
      <c r="U1402" s="62">
        <v>1.0</v>
      </c>
      <c r="V1402" s="277">
        <v>0.25</v>
      </c>
      <c r="W1402" s="277">
        <v>0.0</v>
      </c>
      <c r="X1402" s="271">
        <v>-458.0</v>
      </c>
      <c r="Y1402" s="271">
        <v>-153.0</v>
      </c>
      <c r="Z1402" s="50" t="b">
        <v>1</v>
      </c>
      <c r="AA1402" s="50" t="s">
        <v>138</v>
      </c>
      <c r="AB1402" s="50" t="s">
        <v>138</v>
      </c>
    </row>
    <row r="1403">
      <c r="A1403" s="101" t="s">
        <v>197</v>
      </c>
      <c r="B1403" s="101" t="s">
        <v>197</v>
      </c>
      <c r="C1403" s="278">
        <v>44682.0</v>
      </c>
      <c r="D1403" s="278">
        <v>44712.0</v>
      </c>
      <c r="E1403" s="280" t="s">
        <v>268</v>
      </c>
      <c r="F1403" s="138" t="s">
        <v>8</v>
      </c>
      <c r="G1403" s="271" t="s">
        <v>5</v>
      </c>
      <c r="H1403" s="273" t="s">
        <v>74</v>
      </c>
      <c r="I1403" s="274">
        <v>50.0</v>
      </c>
      <c r="J1403" s="271">
        <v>1195.0</v>
      </c>
      <c r="K1403" s="271">
        <f t="shared" si="1"/>
        <v>59750</v>
      </c>
      <c r="L1403" s="271">
        <v>40816.0</v>
      </c>
      <c r="M1403" s="271">
        <v>-5250.0</v>
      </c>
      <c r="N1403" s="275">
        <v>2428.0</v>
      </c>
      <c r="O1403" s="60"/>
      <c r="P1403" s="109">
        <v>2428.0</v>
      </c>
      <c r="Q1403" s="271">
        <v>-10.0</v>
      </c>
      <c r="R1403" s="276">
        <v>-0.001377</v>
      </c>
      <c r="S1403" s="271">
        <v>-92.0</v>
      </c>
      <c r="T1403" s="271">
        <v>2336.0</v>
      </c>
      <c r="U1403" s="62">
        <v>1.0</v>
      </c>
      <c r="V1403" s="277">
        <v>0.25</v>
      </c>
      <c r="W1403" s="277">
        <v>0.0</v>
      </c>
      <c r="X1403" s="271">
        <v>1752.0</v>
      </c>
      <c r="Y1403" s="271">
        <v>584.0</v>
      </c>
      <c r="Z1403" s="50" t="b">
        <v>1</v>
      </c>
      <c r="AA1403" s="50" t="s">
        <v>138</v>
      </c>
      <c r="AB1403" s="50" t="s">
        <v>138</v>
      </c>
    </row>
    <row r="1404">
      <c r="A1404" s="280" t="s">
        <v>176</v>
      </c>
      <c r="B1404" s="280" t="s">
        <v>176</v>
      </c>
      <c r="C1404" s="278">
        <v>44682.0</v>
      </c>
      <c r="D1404" s="278">
        <v>44712.0</v>
      </c>
      <c r="E1404" s="271" t="s">
        <v>268</v>
      </c>
      <c r="F1404" s="101" t="s">
        <v>8</v>
      </c>
      <c r="G1404" s="280" t="s">
        <v>5</v>
      </c>
      <c r="H1404" s="273" t="s">
        <v>62</v>
      </c>
      <c r="I1404" s="274">
        <v>25.0</v>
      </c>
      <c r="J1404" s="271">
        <v>2970.0</v>
      </c>
      <c r="K1404" s="271">
        <f t="shared" si="1"/>
        <v>74250</v>
      </c>
      <c r="L1404" s="271">
        <v>142463.0</v>
      </c>
      <c r="M1404" s="271">
        <v>1425.0</v>
      </c>
      <c r="N1404" s="275">
        <v>3514.0</v>
      </c>
      <c r="O1404" s="60"/>
      <c r="P1404" s="109">
        <v>3514.0</v>
      </c>
      <c r="Q1404" s="271">
        <v>1852.0</v>
      </c>
      <c r="R1404" s="276">
        <v>-0.001417</v>
      </c>
      <c r="S1404" s="271">
        <v>1747.0</v>
      </c>
      <c r="T1404" s="271">
        <v>5261.0</v>
      </c>
      <c r="U1404" s="62">
        <v>1.0</v>
      </c>
      <c r="V1404" s="277">
        <v>0.17</v>
      </c>
      <c r="W1404" s="277">
        <v>0.0</v>
      </c>
      <c r="X1404" s="271">
        <v>4367.0</v>
      </c>
      <c r="Y1404" s="271">
        <v>894.0</v>
      </c>
      <c r="Z1404" s="50" t="b">
        <v>1</v>
      </c>
      <c r="AA1404" s="50" t="s">
        <v>138</v>
      </c>
      <c r="AB1404" s="50" t="s">
        <v>138</v>
      </c>
    </row>
    <row r="1405">
      <c r="A1405" s="280" t="s">
        <v>176</v>
      </c>
      <c r="B1405" s="280" t="s">
        <v>176</v>
      </c>
      <c r="C1405" s="278">
        <v>44682.0</v>
      </c>
      <c r="D1405" s="278">
        <v>44712.0</v>
      </c>
      <c r="E1405" s="271" t="s">
        <v>268</v>
      </c>
      <c r="F1405" s="101" t="s">
        <v>8</v>
      </c>
      <c r="G1405" s="280" t="s">
        <v>5</v>
      </c>
      <c r="H1405" s="273" t="s">
        <v>34</v>
      </c>
      <c r="I1405" s="274">
        <v>5.0</v>
      </c>
      <c r="J1405" s="271">
        <v>10.0</v>
      </c>
      <c r="K1405" s="271">
        <f t="shared" si="1"/>
        <v>50</v>
      </c>
      <c r="L1405" s="271">
        <v>1986.0</v>
      </c>
      <c r="M1405" s="271">
        <v>25.0</v>
      </c>
      <c r="N1405" s="275">
        <v>3.0</v>
      </c>
      <c r="O1405" s="60"/>
      <c r="P1405" s="50">
        <v>3.0</v>
      </c>
      <c r="Q1405" s="271">
        <v>15.0</v>
      </c>
      <c r="R1405" s="276">
        <v>-0.030292</v>
      </c>
      <c r="S1405" s="271">
        <v>13.0</v>
      </c>
      <c r="T1405" s="271">
        <v>16.0</v>
      </c>
      <c r="U1405" s="62">
        <v>1.0</v>
      </c>
      <c r="V1405" s="277">
        <v>0.17</v>
      </c>
      <c r="W1405" s="277">
        <v>0.0</v>
      </c>
      <c r="X1405" s="271">
        <v>13.0</v>
      </c>
      <c r="Y1405" s="271">
        <v>3.0</v>
      </c>
      <c r="Z1405" s="50" t="b">
        <v>1</v>
      </c>
      <c r="AA1405" s="50" t="s">
        <v>138</v>
      </c>
      <c r="AB1405" s="50" t="s">
        <v>138</v>
      </c>
    </row>
    <row r="1406">
      <c r="A1406" s="280" t="s">
        <v>176</v>
      </c>
      <c r="B1406" s="280" t="s">
        <v>176</v>
      </c>
      <c r="C1406" s="278">
        <v>44682.0</v>
      </c>
      <c r="D1406" s="278">
        <v>44712.0</v>
      </c>
      <c r="E1406" s="271" t="s">
        <v>268</v>
      </c>
      <c r="F1406" s="101" t="s">
        <v>8</v>
      </c>
      <c r="G1406" s="280" t="s">
        <v>5</v>
      </c>
      <c r="H1406" s="273" t="s">
        <v>45</v>
      </c>
      <c r="I1406" s="274">
        <v>10.0</v>
      </c>
      <c r="J1406" s="271">
        <v>30.0</v>
      </c>
      <c r="K1406" s="271">
        <f t="shared" si="1"/>
        <v>300</v>
      </c>
      <c r="L1406" s="271">
        <v>649.0</v>
      </c>
      <c r="M1406" s="271">
        <v>-190.0</v>
      </c>
      <c r="N1406" s="275">
        <v>16.0</v>
      </c>
      <c r="O1406" s="60"/>
      <c r="P1406" s="50">
        <v>16.0</v>
      </c>
      <c r="Q1406" s="271">
        <v>-10.0</v>
      </c>
      <c r="R1406" s="276">
        <v>-0.002349</v>
      </c>
      <c r="S1406" s="271">
        <v>-11.0</v>
      </c>
      <c r="T1406" s="271">
        <v>5.0</v>
      </c>
      <c r="U1406" s="62">
        <v>1.0</v>
      </c>
      <c r="V1406" s="277">
        <v>0.17</v>
      </c>
      <c r="W1406" s="277">
        <v>0.0</v>
      </c>
      <c r="X1406" s="271">
        <v>4.0</v>
      </c>
      <c r="Y1406" s="271">
        <v>1.0</v>
      </c>
      <c r="Z1406" s="50" t="b">
        <v>1</v>
      </c>
      <c r="AA1406" s="50" t="s">
        <v>138</v>
      </c>
      <c r="AB1406" s="50" t="s">
        <v>138</v>
      </c>
    </row>
    <row r="1407">
      <c r="A1407" s="280" t="s">
        <v>176</v>
      </c>
      <c r="B1407" s="280" t="s">
        <v>176</v>
      </c>
      <c r="C1407" s="278">
        <v>44687.0</v>
      </c>
      <c r="D1407" s="278">
        <v>44712.0</v>
      </c>
      <c r="E1407" s="271" t="s">
        <v>268</v>
      </c>
      <c r="F1407" s="101" t="s">
        <v>8</v>
      </c>
      <c r="G1407" s="280" t="s">
        <v>5</v>
      </c>
      <c r="H1407" s="273" t="s">
        <v>74</v>
      </c>
      <c r="I1407" s="274">
        <v>50.0</v>
      </c>
      <c r="J1407" s="271">
        <v>7.0</v>
      </c>
      <c r="K1407" s="271">
        <f t="shared" si="1"/>
        <v>350</v>
      </c>
      <c r="L1407" s="271">
        <v>-1417.0</v>
      </c>
      <c r="M1407" s="271">
        <v>-100.0</v>
      </c>
      <c r="N1407" s="275">
        <v>17.0</v>
      </c>
      <c r="O1407" s="60"/>
      <c r="P1407" s="50">
        <v>17.0</v>
      </c>
      <c r="Q1407" s="271">
        <v>-154.0</v>
      </c>
      <c r="R1407" s="276">
        <v>-6.37E-4</v>
      </c>
      <c r="S1407" s="271">
        <v>-154.0</v>
      </c>
      <c r="T1407" s="271">
        <v>-137.0</v>
      </c>
      <c r="U1407" s="62">
        <v>1.0</v>
      </c>
      <c r="V1407" s="277">
        <v>0.17</v>
      </c>
      <c r="W1407" s="277">
        <v>0.0</v>
      </c>
      <c r="X1407" s="271">
        <v>-114.0</v>
      </c>
      <c r="Y1407" s="271">
        <v>-23.0</v>
      </c>
      <c r="Z1407" s="50" t="b">
        <v>1</v>
      </c>
      <c r="AA1407" s="50" t="s">
        <v>138</v>
      </c>
      <c r="AB1407" s="50" t="s">
        <v>138</v>
      </c>
    </row>
    <row r="1408">
      <c r="A1408" s="280" t="s">
        <v>206</v>
      </c>
      <c r="B1408" s="280" t="s">
        <v>206</v>
      </c>
      <c r="C1408" s="283">
        <v>44685.0</v>
      </c>
      <c r="D1408" s="283">
        <v>44712.0</v>
      </c>
      <c r="E1408" s="280" t="s">
        <v>268</v>
      </c>
      <c r="F1408" s="138" t="s">
        <v>12</v>
      </c>
      <c r="G1408" s="280" t="s">
        <v>142</v>
      </c>
      <c r="H1408" s="290" t="s">
        <v>39</v>
      </c>
      <c r="I1408" s="281">
        <v>5.0</v>
      </c>
      <c r="J1408" s="280">
        <v>5.0</v>
      </c>
      <c r="K1408" s="271">
        <f t="shared" si="1"/>
        <v>25</v>
      </c>
      <c r="L1408" s="280">
        <v>0.0</v>
      </c>
      <c r="M1408" s="280">
        <v>-1.3</v>
      </c>
      <c r="N1408" s="282"/>
      <c r="O1408" s="60">
        <v>0.5</v>
      </c>
      <c r="P1408" s="50">
        <v>1.0</v>
      </c>
      <c r="Q1408" s="280">
        <v>-2.0</v>
      </c>
      <c r="R1408" s="276">
        <v>0.0</v>
      </c>
      <c r="S1408" s="280">
        <v>-2.0</v>
      </c>
      <c r="T1408" s="280">
        <v>0.0</v>
      </c>
      <c r="U1408" s="62">
        <v>1.0</v>
      </c>
      <c r="V1408" s="277">
        <v>0.3</v>
      </c>
      <c r="W1408" s="277">
        <v>0.0</v>
      </c>
      <c r="X1408" s="280">
        <v>0.0</v>
      </c>
      <c r="Y1408" s="280">
        <v>0.0</v>
      </c>
      <c r="Z1408" s="50" t="b">
        <v>1</v>
      </c>
      <c r="AA1408" s="50" t="s">
        <v>138</v>
      </c>
      <c r="AB1408" s="50" t="s">
        <v>138</v>
      </c>
    </row>
    <row r="1409">
      <c r="A1409" s="280" t="s">
        <v>206</v>
      </c>
      <c r="B1409" s="280" t="s">
        <v>206</v>
      </c>
      <c r="C1409" s="283">
        <v>44685.0</v>
      </c>
      <c r="D1409" s="283">
        <v>44712.0</v>
      </c>
      <c r="E1409" s="280" t="s">
        <v>268</v>
      </c>
      <c r="F1409" s="138" t="s">
        <v>12</v>
      </c>
      <c r="G1409" s="280" t="s">
        <v>142</v>
      </c>
      <c r="H1409" s="290" t="s">
        <v>50</v>
      </c>
      <c r="I1409" s="281">
        <v>10.0</v>
      </c>
      <c r="J1409" s="280">
        <v>10.0</v>
      </c>
      <c r="K1409" s="271">
        <f t="shared" si="1"/>
        <v>100</v>
      </c>
      <c r="L1409" s="280">
        <v>-150.0</v>
      </c>
      <c r="M1409" s="280">
        <v>-5.19</v>
      </c>
      <c r="N1409" s="282"/>
      <c r="O1409" s="60">
        <v>0.5</v>
      </c>
      <c r="P1409" s="50">
        <v>4.0</v>
      </c>
      <c r="Q1409" s="280">
        <v>-10.0</v>
      </c>
      <c r="R1409" s="276">
        <v>0.0</v>
      </c>
      <c r="S1409" s="280">
        <v>-10.0</v>
      </c>
      <c r="T1409" s="280">
        <v>-2.0</v>
      </c>
      <c r="U1409" s="62">
        <v>1.0</v>
      </c>
      <c r="V1409" s="277">
        <v>0.3</v>
      </c>
      <c r="W1409" s="277">
        <v>0.0</v>
      </c>
      <c r="X1409" s="280">
        <v>-1.0</v>
      </c>
      <c r="Y1409" s="280">
        <v>-1.0</v>
      </c>
      <c r="Z1409" s="50" t="b">
        <v>1</v>
      </c>
      <c r="AA1409" s="50" t="s">
        <v>138</v>
      </c>
      <c r="AB1409" s="50" t="s">
        <v>138</v>
      </c>
    </row>
    <row r="1410">
      <c r="A1410" s="280" t="s">
        <v>206</v>
      </c>
      <c r="B1410" s="280" t="s">
        <v>206</v>
      </c>
      <c r="C1410" s="283">
        <v>44685.0</v>
      </c>
      <c r="D1410" s="283">
        <v>44712.0</v>
      </c>
      <c r="E1410" s="280" t="s">
        <v>268</v>
      </c>
      <c r="F1410" s="138" t="s">
        <v>12</v>
      </c>
      <c r="G1410" s="280" t="s">
        <v>142</v>
      </c>
      <c r="H1410" s="290" t="s">
        <v>61</v>
      </c>
      <c r="I1410" s="281">
        <v>20.0</v>
      </c>
      <c r="J1410" s="280">
        <v>1315.0</v>
      </c>
      <c r="K1410" s="271">
        <f t="shared" si="1"/>
        <v>26300</v>
      </c>
      <c r="L1410" s="280">
        <v>53915.0</v>
      </c>
      <c r="M1410" s="280">
        <v>-1363.98</v>
      </c>
      <c r="N1410" s="282"/>
      <c r="O1410" s="60">
        <v>0.5</v>
      </c>
      <c r="P1410" s="50">
        <v>921.0</v>
      </c>
      <c r="Q1410" s="280">
        <v>-30.0</v>
      </c>
      <c r="R1410" s="276">
        <v>0.0</v>
      </c>
      <c r="S1410" s="280">
        <v>-30.0</v>
      </c>
      <c r="T1410" s="280">
        <v>-443.0</v>
      </c>
      <c r="U1410" s="62">
        <v>1.0</v>
      </c>
      <c r="V1410" s="277">
        <v>0.3</v>
      </c>
      <c r="W1410" s="277">
        <v>0.0</v>
      </c>
      <c r="X1410" s="280">
        <v>-310.0</v>
      </c>
      <c r="Y1410" s="280">
        <v>-133.0</v>
      </c>
      <c r="Z1410" s="50" t="b">
        <v>1</v>
      </c>
      <c r="AA1410" s="50" t="s">
        <v>138</v>
      </c>
      <c r="AB1410" s="50" t="s">
        <v>138</v>
      </c>
    </row>
    <row r="1411">
      <c r="A1411" s="280" t="s">
        <v>206</v>
      </c>
      <c r="B1411" s="280" t="s">
        <v>206</v>
      </c>
      <c r="C1411" s="283">
        <v>44685.0</v>
      </c>
      <c r="D1411" s="283">
        <v>44712.0</v>
      </c>
      <c r="E1411" s="280" t="s">
        <v>268</v>
      </c>
      <c r="F1411" s="138" t="s">
        <v>12</v>
      </c>
      <c r="G1411" s="280" t="s">
        <v>142</v>
      </c>
      <c r="H1411" s="290" t="s">
        <v>77</v>
      </c>
      <c r="I1411" s="281">
        <v>50.0</v>
      </c>
      <c r="J1411" s="280">
        <v>183.0</v>
      </c>
      <c r="K1411" s="271">
        <f t="shared" si="1"/>
        <v>9150</v>
      </c>
      <c r="L1411" s="280">
        <v>-3294.0</v>
      </c>
      <c r="M1411" s="280">
        <v>-474.54</v>
      </c>
      <c r="N1411" s="282"/>
      <c r="O1411" s="60">
        <v>0.5</v>
      </c>
      <c r="P1411" s="50">
        <v>320.0</v>
      </c>
      <c r="Q1411" s="280">
        <v>-1005.0</v>
      </c>
      <c r="R1411" s="276">
        <v>0.0</v>
      </c>
      <c r="S1411" s="280">
        <v>-1005.0</v>
      </c>
      <c r="T1411" s="280">
        <v>-154.0</v>
      </c>
      <c r="U1411" s="62">
        <v>1.0</v>
      </c>
      <c r="V1411" s="277">
        <v>0.3</v>
      </c>
      <c r="W1411" s="277">
        <v>0.0</v>
      </c>
      <c r="X1411" s="280">
        <v>-108.0</v>
      </c>
      <c r="Y1411" s="280">
        <v>-46.0</v>
      </c>
      <c r="Z1411" s="50" t="b">
        <v>1</v>
      </c>
      <c r="AA1411" s="50" t="s">
        <v>138</v>
      </c>
      <c r="AB1411" s="50" t="s">
        <v>138</v>
      </c>
    </row>
    <row r="1412">
      <c r="A1412" s="101" t="s">
        <v>529</v>
      </c>
      <c r="B1412" s="101" t="s">
        <v>147</v>
      </c>
      <c r="C1412" s="278">
        <v>44682.0</v>
      </c>
      <c r="D1412" s="278">
        <v>44712.0</v>
      </c>
      <c r="E1412" s="271" t="s">
        <v>268</v>
      </c>
      <c r="F1412" s="101" t="s">
        <v>12</v>
      </c>
      <c r="G1412" s="271" t="s">
        <v>13</v>
      </c>
      <c r="H1412" s="273" t="s">
        <v>59</v>
      </c>
      <c r="I1412" s="274">
        <v>20.0</v>
      </c>
      <c r="J1412" s="271">
        <v>3906.0</v>
      </c>
      <c r="K1412" s="271">
        <f t="shared" si="1"/>
        <v>78120</v>
      </c>
      <c r="L1412" s="271">
        <v>12689.0</v>
      </c>
      <c r="M1412" s="271">
        <v>-4880.0</v>
      </c>
      <c r="N1412" s="275">
        <v>4037.46</v>
      </c>
      <c r="O1412" s="60"/>
      <c r="P1412" s="109">
        <v>4037.0</v>
      </c>
      <c r="Q1412" s="271">
        <v>-4999.0</v>
      </c>
      <c r="R1412" s="276">
        <v>0.0</v>
      </c>
      <c r="S1412" s="271">
        <v>-4999.0</v>
      </c>
      <c r="T1412" s="271">
        <v>-843.0</v>
      </c>
      <c r="U1412" s="62">
        <v>1.0</v>
      </c>
      <c r="V1412" s="277">
        <v>0.17</v>
      </c>
      <c r="W1412" s="277">
        <v>0.0</v>
      </c>
      <c r="X1412" s="271">
        <v>-699.0</v>
      </c>
      <c r="Y1412" s="271">
        <v>-143.0</v>
      </c>
      <c r="Z1412" s="50" t="b">
        <v>1</v>
      </c>
      <c r="AA1412" s="50" t="s">
        <v>138</v>
      </c>
      <c r="AB1412" s="50" t="s">
        <v>138</v>
      </c>
    </row>
    <row r="1413">
      <c r="A1413" s="101" t="s">
        <v>529</v>
      </c>
      <c r="B1413" s="101" t="s">
        <v>147</v>
      </c>
      <c r="C1413" s="278">
        <v>44682.0</v>
      </c>
      <c r="D1413" s="278">
        <v>44712.0</v>
      </c>
      <c r="E1413" s="271" t="s">
        <v>268</v>
      </c>
      <c r="F1413" s="101" t="s">
        <v>12</v>
      </c>
      <c r="G1413" s="271" t="s">
        <v>13</v>
      </c>
      <c r="H1413" s="273" t="s">
        <v>45</v>
      </c>
      <c r="I1413" s="274">
        <v>10.0</v>
      </c>
      <c r="J1413" s="271">
        <v>2201.0</v>
      </c>
      <c r="K1413" s="271">
        <f t="shared" si="1"/>
        <v>22010</v>
      </c>
      <c r="L1413" s="271">
        <v>46501.0</v>
      </c>
      <c r="M1413" s="271">
        <v>-370.0</v>
      </c>
      <c r="N1413" s="275">
        <v>1137.54</v>
      </c>
      <c r="O1413" s="60"/>
      <c r="P1413" s="109">
        <v>1138.0</v>
      </c>
      <c r="Q1413" s="271">
        <v>-276.0</v>
      </c>
      <c r="R1413" s="276">
        <v>0.0</v>
      </c>
      <c r="S1413" s="271">
        <v>-276.0</v>
      </c>
      <c r="T1413" s="271">
        <v>768.0</v>
      </c>
      <c r="U1413" s="62">
        <v>1.0</v>
      </c>
      <c r="V1413" s="277">
        <v>0.17</v>
      </c>
      <c r="W1413" s="277">
        <v>0.0</v>
      </c>
      <c r="X1413" s="271">
        <v>637.0</v>
      </c>
      <c r="Y1413" s="271">
        <v>130.0</v>
      </c>
      <c r="Z1413" s="50" t="b">
        <v>1</v>
      </c>
      <c r="AA1413" s="50" t="s">
        <v>138</v>
      </c>
      <c r="AB1413" s="50" t="s">
        <v>138</v>
      </c>
    </row>
    <row r="1414">
      <c r="A1414" s="280" t="s">
        <v>210</v>
      </c>
      <c r="B1414" s="280" t="s">
        <v>211</v>
      </c>
      <c r="C1414" s="283">
        <v>44682.0</v>
      </c>
      <c r="D1414" s="283">
        <v>44712.0</v>
      </c>
      <c r="E1414" s="280" t="s">
        <v>268</v>
      </c>
      <c r="F1414" s="101" t="s">
        <v>4</v>
      </c>
      <c r="G1414" s="280" t="s">
        <v>16</v>
      </c>
      <c r="H1414" s="290" t="s">
        <v>59</v>
      </c>
      <c r="I1414" s="274">
        <v>20.0</v>
      </c>
      <c r="J1414" s="271">
        <v>1467.0</v>
      </c>
      <c r="K1414" s="271">
        <f t="shared" si="1"/>
        <v>29340</v>
      </c>
      <c r="L1414" s="271">
        <v>81147.0</v>
      </c>
      <c r="M1414" s="271">
        <v>120.0</v>
      </c>
      <c r="N1414" s="282">
        <v>1595.45</v>
      </c>
      <c r="O1414" s="60"/>
      <c r="P1414" s="109">
        <v>1595.0</v>
      </c>
      <c r="Q1414" s="271">
        <v>1159.0</v>
      </c>
      <c r="R1414" s="276">
        <v>0.00173</v>
      </c>
      <c r="S1414" s="271">
        <v>1210.0</v>
      </c>
      <c r="T1414" s="271">
        <v>2805.0</v>
      </c>
      <c r="U1414" s="62">
        <v>1.0</v>
      </c>
      <c r="V1414" s="277">
        <v>0.17</v>
      </c>
      <c r="W1414" s="277">
        <v>0.0</v>
      </c>
      <c r="X1414" s="271">
        <v>2328.0</v>
      </c>
      <c r="Y1414" s="271">
        <v>477.0</v>
      </c>
      <c r="Z1414" s="50" t="b">
        <v>1</v>
      </c>
      <c r="AA1414" s="50" t="s">
        <v>138</v>
      </c>
      <c r="AB1414" s="50" t="s">
        <v>138</v>
      </c>
    </row>
    <row r="1415">
      <c r="A1415" s="280" t="s">
        <v>210</v>
      </c>
      <c r="B1415" s="280" t="s">
        <v>211</v>
      </c>
      <c r="C1415" s="283">
        <v>44682.0</v>
      </c>
      <c r="D1415" s="283">
        <v>44712.0</v>
      </c>
      <c r="E1415" s="101" t="s">
        <v>268</v>
      </c>
      <c r="F1415" s="101" t="s">
        <v>12</v>
      </c>
      <c r="G1415" s="280" t="s">
        <v>16</v>
      </c>
      <c r="H1415" s="290" t="s">
        <v>33</v>
      </c>
      <c r="I1415" s="281">
        <v>3.0</v>
      </c>
      <c r="J1415" s="280">
        <v>3.0</v>
      </c>
      <c r="K1415" s="271">
        <f t="shared" si="1"/>
        <v>9</v>
      </c>
      <c r="L1415" s="280"/>
      <c r="M1415" s="280">
        <v>21.0</v>
      </c>
      <c r="N1415" s="282">
        <v>0.12</v>
      </c>
      <c r="O1415" s="60"/>
      <c r="P1415" s="50">
        <v>0.0</v>
      </c>
      <c r="Q1415" s="280"/>
      <c r="R1415" s="276">
        <v>0.0</v>
      </c>
      <c r="S1415" s="280"/>
      <c r="T1415" s="280">
        <v>21.0</v>
      </c>
      <c r="U1415" s="62">
        <v>1.0</v>
      </c>
      <c r="V1415" s="277">
        <v>0.17</v>
      </c>
      <c r="W1415" s="277">
        <v>0.0</v>
      </c>
      <c r="X1415" s="280">
        <v>18.0</v>
      </c>
      <c r="Y1415" s="280">
        <v>4.0</v>
      </c>
      <c r="Z1415" s="50" t="b">
        <v>1</v>
      </c>
      <c r="AA1415" s="50" t="s">
        <v>138</v>
      </c>
      <c r="AB1415" s="50" t="s">
        <v>138</v>
      </c>
    </row>
    <row r="1416">
      <c r="A1416" s="280" t="s">
        <v>210</v>
      </c>
      <c r="B1416" s="280" t="s">
        <v>211</v>
      </c>
      <c r="C1416" s="283">
        <v>44682.0</v>
      </c>
      <c r="D1416" s="283">
        <v>44712.0</v>
      </c>
      <c r="E1416" s="101" t="s">
        <v>268</v>
      </c>
      <c r="F1416" s="101" t="s">
        <v>12</v>
      </c>
      <c r="G1416" s="280" t="s">
        <v>16</v>
      </c>
      <c r="H1416" s="290" t="s">
        <v>35</v>
      </c>
      <c r="I1416" s="281">
        <v>5.0</v>
      </c>
      <c r="J1416" s="280">
        <v>1.0</v>
      </c>
      <c r="K1416" s="271">
        <f t="shared" si="1"/>
        <v>5</v>
      </c>
      <c r="L1416" s="280"/>
      <c r="M1416" s="280">
        <v>0.0</v>
      </c>
      <c r="N1416" s="282">
        <v>0.0</v>
      </c>
      <c r="O1416" s="60"/>
      <c r="P1416" s="50">
        <v>0.0</v>
      </c>
      <c r="Q1416" s="280"/>
      <c r="R1416" s="276">
        <v>0.0</v>
      </c>
      <c r="S1416" s="280"/>
      <c r="T1416" s="280">
        <v>0.0</v>
      </c>
      <c r="U1416" s="62">
        <v>1.0</v>
      </c>
      <c r="V1416" s="277">
        <v>0.17</v>
      </c>
      <c r="W1416" s="277">
        <v>0.0</v>
      </c>
      <c r="X1416" s="280">
        <v>0.0</v>
      </c>
      <c r="Y1416" s="280">
        <v>0.0</v>
      </c>
      <c r="Z1416" s="50" t="b">
        <v>1</v>
      </c>
      <c r="AA1416" s="50" t="s">
        <v>138</v>
      </c>
      <c r="AB1416" s="50" t="s">
        <v>138</v>
      </c>
    </row>
    <row r="1417">
      <c r="A1417" s="280" t="s">
        <v>210</v>
      </c>
      <c r="B1417" s="280" t="s">
        <v>211</v>
      </c>
      <c r="C1417" s="283">
        <v>44682.0</v>
      </c>
      <c r="D1417" s="283">
        <v>44712.0</v>
      </c>
      <c r="E1417" s="101" t="s">
        <v>268</v>
      </c>
      <c r="F1417" s="101" t="s">
        <v>12</v>
      </c>
      <c r="G1417" s="280" t="s">
        <v>16</v>
      </c>
      <c r="H1417" s="290" t="s">
        <v>74</v>
      </c>
      <c r="I1417" s="281">
        <v>50.0</v>
      </c>
      <c r="J1417" s="280">
        <v>56.0</v>
      </c>
      <c r="K1417" s="271">
        <f t="shared" si="1"/>
        <v>2800</v>
      </c>
      <c r="L1417" s="280"/>
      <c r="M1417" s="280">
        <v>-750.0</v>
      </c>
      <c r="N1417" s="282">
        <v>2.42</v>
      </c>
      <c r="O1417" s="60"/>
      <c r="P1417" s="50">
        <v>2.0</v>
      </c>
      <c r="Q1417" s="280"/>
      <c r="R1417" s="276">
        <v>0.0</v>
      </c>
      <c r="S1417" s="280"/>
      <c r="T1417" s="280">
        <v>-748.0</v>
      </c>
      <c r="U1417" s="62">
        <v>1.0</v>
      </c>
      <c r="V1417" s="277">
        <v>0.17</v>
      </c>
      <c r="W1417" s="277">
        <v>0.0</v>
      </c>
      <c r="X1417" s="280">
        <v>-620.0</v>
      </c>
      <c r="Y1417" s="280">
        <v>-127.0</v>
      </c>
      <c r="Z1417" s="50" t="b">
        <v>1</v>
      </c>
      <c r="AA1417" s="50" t="s">
        <v>138</v>
      </c>
      <c r="AB1417" s="50" t="s">
        <v>138</v>
      </c>
    </row>
    <row r="1418">
      <c r="A1418" s="280" t="s">
        <v>233</v>
      </c>
      <c r="B1418" s="280" t="s">
        <v>212</v>
      </c>
      <c r="C1418" s="283">
        <v>44682.0</v>
      </c>
      <c r="D1418" s="283">
        <v>44712.0</v>
      </c>
      <c r="E1418" s="280" t="s">
        <v>268</v>
      </c>
      <c r="F1418" s="138" t="s">
        <v>12</v>
      </c>
      <c r="G1418" s="280" t="s">
        <v>142</v>
      </c>
      <c r="H1418" s="290" t="s">
        <v>50</v>
      </c>
      <c r="I1418" s="281">
        <v>10.0</v>
      </c>
      <c r="J1418" s="280">
        <v>10.0</v>
      </c>
      <c r="K1418" s="271">
        <f t="shared" si="1"/>
        <v>100</v>
      </c>
      <c r="L1418" s="280">
        <v>-66.0</v>
      </c>
      <c r="M1418" s="280">
        <v>-4.38</v>
      </c>
      <c r="N1418" s="282"/>
      <c r="O1418" s="60">
        <v>0.5</v>
      </c>
      <c r="P1418" s="50">
        <v>4.0</v>
      </c>
      <c r="Q1418" s="280">
        <v>-9.0</v>
      </c>
      <c r="R1418" s="276">
        <v>0.0</v>
      </c>
      <c r="S1418" s="280">
        <v>-9.0</v>
      </c>
      <c r="T1418" s="280">
        <v>-1.0</v>
      </c>
      <c r="U1418" s="62">
        <v>0.935</v>
      </c>
      <c r="V1418" s="277">
        <v>0.3</v>
      </c>
      <c r="W1418" s="277">
        <v>0.0</v>
      </c>
      <c r="X1418" s="280">
        <v>-1.0</v>
      </c>
      <c r="Y1418" s="280">
        <v>0.0</v>
      </c>
      <c r="Z1418" s="50" t="b">
        <v>1</v>
      </c>
      <c r="AA1418" s="50" t="s">
        <v>140</v>
      </c>
      <c r="AB1418" s="50" t="s">
        <v>138</v>
      </c>
    </row>
    <row r="1419">
      <c r="A1419" s="280" t="s">
        <v>233</v>
      </c>
      <c r="B1419" s="280" t="s">
        <v>212</v>
      </c>
      <c r="C1419" s="283">
        <v>44682.0</v>
      </c>
      <c r="D1419" s="283">
        <v>44712.0</v>
      </c>
      <c r="E1419" s="280" t="s">
        <v>268</v>
      </c>
      <c r="F1419" s="138" t="s">
        <v>12</v>
      </c>
      <c r="G1419" s="280" t="s">
        <v>142</v>
      </c>
      <c r="H1419" s="290" t="s">
        <v>61</v>
      </c>
      <c r="I1419" s="281">
        <v>20.0</v>
      </c>
      <c r="J1419" s="280">
        <v>2214.0</v>
      </c>
      <c r="K1419" s="271">
        <f t="shared" si="1"/>
        <v>44280</v>
      </c>
      <c r="L1419" s="280">
        <v>66466.0</v>
      </c>
      <c r="M1419" s="280">
        <v>-1941.62</v>
      </c>
      <c r="N1419" s="282"/>
      <c r="O1419" s="60">
        <v>0.5</v>
      </c>
      <c r="P1419" s="109">
        <v>1550.0</v>
      </c>
      <c r="Q1419" s="280">
        <v>-947.0</v>
      </c>
      <c r="R1419" s="276">
        <v>0.0</v>
      </c>
      <c r="S1419" s="280">
        <v>-947.0</v>
      </c>
      <c r="T1419" s="280">
        <v>-392.0</v>
      </c>
      <c r="U1419" s="62">
        <v>0.935</v>
      </c>
      <c r="V1419" s="277">
        <v>0.3</v>
      </c>
      <c r="W1419" s="277">
        <v>0.0</v>
      </c>
      <c r="X1419" s="280">
        <v>-256.0</v>
      </c>
      <c r="Y1419" s="280">
        <v>-110.0</v>
      </c>
      <c r="Z1419" s="50" t="b">
        <v>1</v>
      </c>
      <c r="AA1419" s="50" t="s">
        <v>140</v>
      </c>
      <c r="AB1419" s="50" t="s">
        <v>138</v>
      </c>
    </row>
    <row r="1420">
      <c r="A1420" s="280" t="s">
        <v>154</v>
      </c>
      <c r="B1420" s="280" t="s">
        <v>155</v>
      </c>
      <c r="C1420" s="283">
        <v>44698.0</v>
      </c>
      <c r="D1420" s="283">
        <v>44712.0</v>
      </c>
      <c r="E1420" s="280" t="s">
        <v>268</v>
      </c>
      <c r="F1420" s="138" t="s">
        <v>8</v>
      </c>
      <c r="G1420" s="280" t="s">
        <v>9</v>
      </c>
      <c r="H1420" s="273" t="s">
        <v>65</v>
      </c>
      <c r="I1420" s="281">
        <v>25.0</v>
      </c>
      <c r="J1420" s="280">
        <v>11.0</v>
      </c>
      <c r="K1420" s="271">
        <f t="shared" si="1"/>
        <v>275</v>
      </c>
      <c r="L1420" s="280">
        <v>1811.0</v>
      </c>
      <c r="M1420" s="280">
        <v>125.0</v>
      </c>
      <c r="N1420" s="282">
        <v>5.0</v>
      </c>
      <c r="O1420" s="60"/>
      <c r="P1420" s="50">
        <v>5.0</v>
      </c>
      <c r="Q1420" s="280">
        <v>57.0</v>
      </c>
      <c r="R1420" s="276">
        <v>-0.003862</v>
      </c>
      <c r="S1420" s="280">
        <v>56.0</v>
      </c>
      <c r="T1420" s="280">
        <v>61.0</v>
      </c>
      <c r="U1420" s="62">
        <v>1.07</v>
      </c>
      <c r="V1420" s="277">
        <v>0.25</v>
      </c>
      <c r="W1420" s="277">
        <v>0.0</v>
      </c>
      <c r="X1420" s="280">
        <v>49.0</v>
      </c>
      <c r="Y1420" s="280">
        <v>16.0</v>
      </c>
      <c r="Z1420" s="50" t="b">
        <v>1</v>
      </c>
      <c r="AA1420" s="50" t="s">
        <v>138</v>
      </c>
      <c r="AB1420" s="50" t="s">
        <v>140</v>
      </c>
    </row>
    <row r="1421">
      <c r="A1421" s="280" t="s">
        <v>154</v>
      </c>
      <c r="B1421" s="280" t="s">
        <v>155</v>
      </c>
      <c r="C1421" s="283">
        <v>44698.0</v>
      </c>
      <c r="D1421" s="283">
        <v>44712.0</v>
      </c>
      <c r="E1421" s="280" t="s">
        <v>268</v>
      </c>
      <c r="F1421" s="138" t="s">
        <v>8</v>
      </c>
      <c r="G1421" s="280" t="s">
        <v>9</v>
      </c>
      <c r="H1421" s="273" t="s">
        <v>78</v>
      </c>
      <c r="I1421" s="281">
        <v>50.0</v>
      </c>
      <c r="J1421" s="280">
        <v>850.0</v>
      </c>
      <c r="K1421" s="271">
        <f t="shared" si="1"/>
        <v>42500</v>
      </c>
      <c r="L1421" s="280">
        <v>43413.0</v>
      </c>
      <c r="M1421" s="280">
        <v>-1735.0</v>
      </c>
      <c r="N1421" s="282">
        <v>766.0</v>
      </c>
      <c r="O1421" s="60"/>
      <c r="P1421" s="50">
        <v>766.0</v>
      </c>
      <c r="Q1421" s="280">
        <v>97.0</v>
      </c>
      <c r="R1421" s="276">
        <v>-0.001373</v>
      </c>
      <c r="S1421" s="280">
        <v>39.0</v>
      </c>
      <c r="T1421" s="280">
        <v>805.0</v>
      </c>
      <c r="U1421" s="62">
        <v>1.07</v>
      </c>
      <c r="V1421" s="277">
        <v>0.25</v>
      </c>
      <c r="W1421" s="277">
        <v>0.0</v>
      </c>
      <c r="X1421" s="280">
        <v>646.0</v>
      </c>
      <c r="Y1421" s="280">
        <v>215.0</v>
      </c>
      <c r="Z1421" s="50" t="b">
        <v>1</v>
      </c>
      <c r="AA1421" s="50" t="s">
        <v>138</v>
      </c>
      <c r="AB1421" s="50" t="s">
        <v>140</v>
      </c>
    </row>
    <row r="1422">
      <c r="A1422" s="280" t="s">
        <v>154</v>
      </c>
      <c r="B1422" s="280" t="s">
        <v>155</v>
      </c>
      <c r="C1422" s="283">
        <v>44704.0</v>
      </c>
      <c r="D1422" s="283">
        <v>44712.0</v>
      </c>
      <c r="E1422" s="280" t="s">
        <v>268</v>
      </c>
      <c r="F1422" s="138" t="s">
        <v>8</v>
      </c>
      <c r="G1422" s="280" t="s">
        <v>9</v>
      </c>
      <c r="H1422" s="290" t="s">
        <v>89</v>
      </c>
      <c r="I1422" s="281">
        <v>100.0</v>
      </c>
      <c r="J1422" s="280">
        <v>432.0</v>
      </c>
      <c r="K1422" s="271">
        <f t="shared" si="1"/>
        <v>43200</v>
      </c>
      <c r="L1422" s="280">
        <v>6153.0</v>
      </c>
      <c r="M1422" s="280">
        <v>-1654.0</v>
      </c>
      <c r="N1422" s="282">
        <v>779.0</v>
      </c>
      <c r="O1422" s="60"/>
      <c r="P1422" s="50">
        <v>779.0</v>
      </c>
      <c r="Q1422" s="280">
        <v>-2777.0</v>
      </c>
      <c r="R1422" s="276">
        <v>-0.001302</v>
      </c>
      <c r="S1422" s="280">
        <v>-2833.0</v>
      </c>
      <c r="T1422" s="280">
        <v>-2054.0</v>
      </c>
      <c r="U1422" s="62">
        <v>1.07</v>
      </c>
      <c r="V1422" s="277">
        <v>0.25</v>
      </c>
      <c r="W1422" s="277">
        <v>0.0</v>
      </c>
      <c r="X1422" s="280">
        <v>-1648.0</v>
      </c>
      <c r="Y1422" s="280">
        <v>-549.0</v>
      </c>
      <c r="Z1422" s="50" t="b">
        <v>1</v>
      </c>
      <c r="AA1422" s="50" t="s">
        <v>138</v>
      </c>
      <c r="AB1422" s="50" t="s">
        <v>140</v>
      </c>
    </row>
    <row r="1423">
      <c r="A1423" s="280" t="s">
        <v>154</v>
      </c>
      <c r="B1423" s="280" t="s">
        <v>154</v>
      </c>
      <c r="C1423" s="283">
        <v>44682.0</v>
      </c>
      <c r="D1423" s="283">
        <v>44712.0</v>
      </c>
      <c r="E1423" s="280" t="s">
        <v>268</v>
      </c>
      <c r="F1423" s="138" t="s">
        <v>12</v>
      </c>
      <c r="G1423" s="271" t="s">
        <v>5</v>
      </c>
      <c r="H1423" s="273" t="s">
        <v>63</v>
      </c>
      <c r="I1423" s="274">
        <v>25.0</v>
      </c>
      <c r="J1423" s="271">
        <v>101.0</v>
      </c>
      <c r="K1423" s="271">
        <f t="shared" si="1"/>
        <v>2525</v>
      </c>
      <c r="L1423" s="271"/>
      <c r="M1423" s="271">
        <v>275.0</v>
      </c>
      <c r="N1423" s="275">
        <v>20.0</v>
      </c>
      <c r="O1423" s="60"/>
      <c r="P1423" s="50">
        <v>20.0</v>
      </c>
      <c r="Q1423" s="271"/>
      <c r="R1423" s="276">
        <v>0.0</v>
      </c>
      <c r="S1423" s="271"/>
      <c r="T1423" s="271">
        <v>295.0</v>
      </c>
      <c r="U1423" s="62">
        <v>1.0</v>
      </c>
      <c r="V1423" s="277">
        <v>0.25</v>
      </c>
      <c r="W1423" s="277">
        <v>0.0</v>
      </c>
      <c r="X1423" s="271">
        <v>221.0</v>
      </c>
      <c r="Y1423" s="271">
        <v>74.0</v>
      </c>
      <c r="Z1423" s="50" t="b">
        <v>1</v>
      </c>
      <c r="AA1423" s="50" t="s">
        <v>138</v>
      </c>
      <c r="AB1423" s="50" t="s">
        <v>138</v>
      </c>
    </row>
    <row r="1424">
      <c r="A1424" s="101" t="s">
        <v>267</v>
      </c>
      <c r="B1424" s="101" t="s">
        <v>267</v>
      </c>
      <c r="C1424" s="278">
        <v>44702.0</v>
      </c>
      <c r="D1424" s="278">
        <v>44732.0</v>
      </c>
      <c r="E1424" s="271" t="s">
        <v>268</v>
      </c>
      <c r="F1424" s="138" t="s">
        <v>4</v>
      </c>
      <c r="G1424" s="101" t="s">
        <v>5</v>
      </c>
      <c r="H1424" s="273" t="s">
        <v>35</v>
      </c>
      <c r="I1424" s="274">
        <v>5.0</v>
      </c>
      <c r="J1424" s="271">
        <v>1.0</v>
      </c>
      <c r="K1424" s="271">
        <f t="shared" si="1"/>
        <v>5</v>
      </c>
      <c r="L1424" s="271">
        <v>52.0</v>
      </c>
      <c r="M1424" s="271">
        <v>10.0</v>
      </c>
      <c r="N1424" s="275"/>
      <c r="O1424" s="60"/>
      <c r="P1424" s="101"/>
      <c r="Q1424" s="271">
        <v>0.0</v>
      </c>
      <c r="R1424" s="276">
        <v>-0.0015</v>
      </c>
      <c r="S1424" s="271">
        <v>0.0</v>
      </c>
      <c r="T1424" s="271">
        <v>0.0</v>
      </c>
      <c r="U1424" s="62">
        <v>1.0</v>
      </c>
      <c r="V1424" s="277">
        <v>0.15</v>
      </c>
      <c r="W1424" s="277">
        <v>0.0</v>
      </c>
      <c r="X1424" s="271">
        <v>0.0</v>
      </c>
      <c r="Y1424" s="271">
        <v>0.0</v>
      </c>
      <c r="Z1424" s="50" t="b">
        <v>1</v>
      </c>
      <c r="AA1424" s="50" t="s">
        <v>138</v>
      </c>
      <c r="AB1424" s="50" t="s">
        <v>138</v>
      </c>
    </row>
    <row r="1425">
      <c r="A1425" s="101" t="s">
        <v>267</v>
      </c>
      <c r="B1425" s="101" t="s">
        <v>267</v>
      </c>
      <c r="C1425" s="278">
        <v>44702.0</v>
      </c>
      <c r="D1425" s="278">
        <v>44732.0</v>
      </c>
      <c r="E1425" s="271" t="s">
        <v>268</v>
      </c>
      <c r="F1425" s="138" t="s">
        <v>4</v>
      </c>
      <c r="G1425" s="101" t="s">
        <v>5</v>
      </c>
      <c r="H1425" s="273" t="s">
        <v>45</v>
      </c>
      <c r="I1425" s="274">
        <v>10.0</v>
      </c>
      <c r="J1425" s="271">
        <v>614.0</v>
      </c>
      <c r="K1425" s="271">
        <f t="shared" si="1"/>
        <v>6140</v>
      </c>
      <c r="L1425" s="271">
        <v>26252.0</v>
      </c>
      <c r="M1425" s="271">
        <v>50.0</v>
      </c>
      <c r="N1425" s="275">
        <v>270.0</v>
      </c>
      <c r="O1425" s="60"/>
      <c r="P1425" s="50">
        <v>270.0</v>
      </c>
      <c r="Q1425" s="271">
        <v>62.0</v>
      </c>
      <c r="R1425" s="276">
        <v>-0.0015</v>
      </c>
      <c r="S1425" s="271">
        <v>52.0</v>
      </c>
      <c r="T1425" s="271">
        <v>322.0</v>
      </c>
      <c r="U1425" s="62">
        <v>1.0</v>
      </c>
      <c r="V1425" s="277">
        <v>0.15</v>
      </c>
      <c r="W1425" s="277">
        <v>0.0</v>
      </c>
      <c r="X1425" s="271">
        <v>274.0</v>
      </c>
      <c r="Y1425" s="271">
        <v>48.0</v>
      </c>
      <c r="Z1425" s="50" t="b">
        <v>1</v>
      </c>
      <c r="AA1425" s="50" t="s">
        <v>138</v>
      </c>
      <c r="AB1425" s="50" t="s">
        <v>138</v>
      </c>
    </row>
    <row r="1426">
      <c r="A1426" s="101" t="s">
        <v>267</v>
      </c>
      <c r="B1426" s="101" t="s">
        <v>267</v>
      </c>
      <c r="C1426" s="278">
        <v>44702.0</v>
      </c>
      <c r="D1426" s="278">
        <v>44732.0</v>
      </c>
      <c r="E1426" s="271" t="s">
        <v>268</v>
      </c>
      <c r="F1426" s="138" t="s">
        <v>4</v>
      </c>
      <c r="G1426" s="101" t="s">
        <v>5</v>
      </c>
      <c r="H1426" s="273" t="s">
        <v>48</v>
      </c>
      <c r="I1426" s="274">
        <v>10.0</v>
      </c>
      <c r="J1426" s="271">
        <v>472.0</v>
      </c>
      <c r="K1426" s="271">
        <f t="shared" si="1"/>
        <v>4720</v>
      </c>
      <c r="L1426" s="271">
        <v>1146.0</v>
      </c>
      <c r="M1426" s="271">
        <v>-670.0</v>
      </c>
      <c r="N1426" s="275">
        <v>208.0</v>
      </c>
      <c r="O1426" s="60"/>
      <c r="P1426" s="50">
        <v>208.0</v>
      </c>
      <c r="Q1426" s="271">
        <v>-288.0</v>
      </c>
      <c r="R1426" s="276">
        <v>-0.0015</v>
      </c>
      <c r="S1426" s="271">
        <v>-295.0</v>
      </c>
      <c r="T1426" s="271">
        <v>-87.0</v>
      </c>
      <c r="U1426" s="62">
        <v>1.0</v>
      </c>
      <c r="V1426" s="277">
        <v>0.15</v>
      </c>
      <c r="W1426" s="277">
        <v>0.0</v>
      </c>
      <c r="X1426" s="271">
        <v>-74.0</v>
      </c>
      <c r="Y1426" s="271">
        <v>-13.0</v>
      </c>
      <c r="Z1426" s="50" t="b">
        <v>1</v>
      </c>
      <c r="AA1426" s="50" t="s">
        <v>138</v>
      </c>
      <c r="AB1426" s="50" t="s">
        <v>138</v>
      </c>
    </row>
    <row r="1427">
      <c r="A1427" s="101" t="s">
        <v>267</v>
      </c>
      <c r="B1427" s="101" t="s">
        <v>267</v>
      </c>
      <c r="C1427" s="278">
        <v>44702.0</v>
      </c>
      <c r="D1427" s="278">
        <v>44732.0</v>
      </c>
      <c r="E1427" s="271" t="s">
        <v>268</v>
      </c>
      <c r="F1427" s="138" t="s">
        <v>4</v>
      </c>
      <c r="G1427" s="101" t="s">
        <v>5</v>
      </c>
      <c r="H1427" s="273" t="s">
        <v>62</v>
      </c>
      <c r="I1427" s="274">
        <v>25.0</v>
      </c>
      <c r="J1427" s="271">
        <v>1004.0</v>
      </c>
      <c r="K1427" s="271">
        <f t="shared" si="1"/>
        <v>25100</v>
      </c>
      <c r="L1427" s="271">
        <v>54002.0</v>
      </c>
      <c r="M1427" s="271">
        <v>-400.0</v>
      </c>
      <c r="N1427" s="275">
        <v>947.0</v>
      </c>
      <c r="O1427" s="60"/>
      <c r="P1427" s="50">
        <v>947.0</v>
      </c>
      <c r="Q1427" s="271">
        <v>1018.0</v>
      </c>
      <c r="R1427" s="276">
        <v>-0.0015</v>
      </c>
      <c r="S1427" s="271">
        <v>980.0</v>
      </c>
      <c r="T1427" s="271">
        <v>1927.0</v>
      </c>
      <c r="U1427" s="62">
        <v>1.0</v>
      </c>
      <c r="V1427" s="277">
        <v>0.15</v>
      </c>
      <c r="W1427" s="277">
        <v>0.0</v>
      </c>
      <c r="X1427" s="271">
        <v>1638.0</v>
      </c>
      <c r="Y1427" s="271">
        <v>289.0</v>
      </c>
      <c r="Z1427" s="50" t="b">
        <v>0</v>
      </c>
      <c r="AA1427" s="50" t="s">
        <v>138</v>
      </c>
      <c r="AB1427" s="50" t="s">
        <v>138</v>
      </c>
    </row>
    <row r="1428">
      <c r="A1428" s="101" t="s">
        <v>267</v>
      </c>
      <c r="B1428" s="101" t="s">
        <v>267</v>
      </c>
      <c r="C1428" s="278">
        <v>44702.0</v>
      </c>
      <c r="D1428" s="278">
        <v>44732.0</v>
      </c>
      <c r="E1428" s="271" t="s">
        <v>268</v>
      </c>
      <c r="F1428" s="138" t="s">
        <v>4</v>
      </c>
      <c r="G1428" s="101" t="s">
        <v>5</v>
      </c>
      <c r="H1428" s="273" t="s">
        <v>63</v>
      </c>
      <c r="I1428" s="274">
        <v>25.0</v>
      </c>
      <c r="J1428" s="271">
        <v>1.0</v>
      </c>
      <c r="K1428" s="271">
        <f t="shared" si="1"/>
        <v>25</v>
      </c>
      <c r="L1428" s="271">
        <v>295.0</v>
      </c>
      <c r="M1428" s="271">
        <v>50.0</v>
      </c>
      <c r="N1428" s="275">
        <v>1.0</v>
      </c>
      <c r="O1428" s="60"/>
      <c r="P1428" s="50">
        <v>1.0</v>
      </c>
      <c r="Q1428" s="271">
        <v>21.0</v>
      </c>
      <c r="R1428" s="276">
        <v>-0.0015</v>
      </c>
      <c r="S1428" s="271">
        <v>21.0</v>
      </c>
      <c r="T1428" s="271">
        <v>22.0</v>
      </c>
      <c r="U1428" s="62">
        <v>1.0</v>
      </c>
      <c r="V1428" s="277">
        <v>0.15</v>
      </c>
      <c r="W1428" s="277">
        <v>0.0</v>
      </c>
      <c r="X1428" s="271">
        <v>19.0</v>
      </c>
      <c r="Y1428" s="271">
        <v>3.0</v>
      </c>
      <c r="Z1428" s="50" t="b">
        <v>1</v>
      </c>
      <c r="AA1428" s="50" t="s">
        <v>138</v>
      </c>
      <c r="AB1428" s="50" t="s">
        <v>138</v>
      </c>
    </row>
    <row r="1429">
      <c r="A1429" s="101" t="s">
        <v>267</v>
      </c>
      <c r="B1429" s="101" t="s">
        <v>267</v>
      </c>
      <c r="C1429" s="278">
        <v>44702.0</v>
      </c>
      <c r="D1429" s="278">
        <v>44732.0</v>
      </c>
      <c r="E1429" s="271" t="s">
        <v>268</v>
      </c>
      <c r="F1429" s="138" t="s">
        <v>4</v>
      </c>
      <c r="G1429" s="101" t="s">
        <v>5</v>
      </c>
      <c r="H1429" s="273" t="s">
        <v>74</v>
      </c>
      <c r="I1429" s="274">
        <v>50.0</v>
      </c>
      <c r="J1429" s="271">
        <v>1.0</v>
      </c>
      <c r="K1429" s="271">
        <f t="shared" si="1"/>
        <v>50</v>
      </c>
      <c r="L1429" s="271">
        <v>398.0</v>
      </c>
      <c r="M1429" s="271">
        <v>100.0</v>
      </c>
      <c r="N1429" s="275">
        <v>2.0</v>
      </c>
      <c r="O1429" s="60"/>
      <c r="P1429" s="50">
        <v>2.0</v>
      </c>
      <c r="Q1429" s="271">
        <v>34.0</v>
      </c>
      <c r="R1429" s="276">
        <v>-0.0015</v>
      </c>
      <c r="S1429" s="271">
        <v>34.0</v>
      </c>
      <c r="T1429" s="271">
        <v>36.0</v>
      </c>
      <c r="U1429" s="62">
        <v>1.0</v>
      </c>
      <c r="V1429" s="277">
        <v>0.15</v>
      </c>
      <c r="W1429" s="277">
        <v>0.0</v>
      </c>
      <c r="X1429" s="271">
        <v>30.0</v>
      </c>
      <c r="Y1429" s="271">
        <v>5.0</v>
      </c>
      <c r="Z1429" s="50" t="b">
        <v>1</v>
      </c>
      <c r="AA1429" s="50" t="s">
        <v>138</v>
      </c>
      <c r="AB1429" s="50" t="s">
        <v>138</v>
      </c>
    </row>
    <row r="1430">
      <c r="A1430" s="101" t="s">
        <v>148</v>
      </c>
      <c r="B1430" s="101" t="s">
        <v>148</v>
      </c>
      <c r="C1430" s="278">
        <v>44702.0</v>
      </c>
      <c r="D1430" s="278">
        <v>44732.0</v>
      </c>
      <c r="E1430" s="271" t="s">
        <v>331</v>
      </c>
      <c r="F1430" s="138" t="s">
        <v>4</v>
      </c>
      <c r="G1430" s="101" t="s">
        <v>5</v>
      </c>
      <c r="H1430" s="273" t="s">
        <v>85</v>
      </c>
      <c r="I1430" s="274">
        <v>100.0</v>
      </c>
      <c r="J1430" s="271">
        <v>1275.0</v>
      </c>
      <c r="K1430" s="271">
        <f t="shared" si="1"/>
        <v>127500</v>
      </c>
      <c r="L1430" s="271">
        <v>30193.0</v>
      </c>
      <c r="M1430" s="271">
        <v>-2700.0</v>
      </c>
      <c r="N1430" s="275">
        <v>6950.0</v>
      </c>
      <c r="O1430" s="60"/>
      <c r="P1430" s="109">
        <v>6950.0</v>
      </c>
      <c r="Q1430" s="271">
        <v>-1226.0</v>
      </c>
      <c r="R1430" s="276">
        <v>0.00173</v>
      </c>
      <c r="S1430" s="271">
        <v>-1005.0</v>
      </c>
      <c r="T1430" s="271">
        <v>5945.0</v>
      </c>
      <c r="U1430" s="62">
        <v>1.0</v>
      </c>
      <c r="V1430" s="277">
        <v>0.15</v>
      </c>
      <c r="W1430" s="277">
        <v>0.05</v>
      </c>
      <c r="X1430" s="271">
        <v>4756.0</v>
      </c>
      <c r="Y1430" s="271">
        <v>1189.0</v>
      </c>
      <c r="Z1430" s="50" t="b">
        <v>1</v>
      </c>
      <c r="AA1430" s="50" t="s">
        <v>138</v>
      </c>
      <c r="AB1430" s="50" t="s">
        <v>138</v>
      </c>
    </row>
    <row r="1431">
      <c r="A1431" s="101" t="s">
        <v>182</v>
      </c>
      <c r="B1431" s="101" t="s">
        <v>182</v>
      </c>
      <c r="C1431" s="278">
        <v>44702.0</v>
      </c>
      <c r="D1431" s="278">
        <v>44732.0</v>
      </c>
      <c r="E1431" s="280" t="s">
        <v>268</v>
      </c>
      <c r="F1431" s="101" t="s">
        <v>4</v>
      </c>
      <c r="G1431" s="271" t="s">
        <v>5</v>
      </c>
      <c r="H1431" s="273" t="s">
        <v>35</v>
      </c>
      <c r="I1431" s="281">
        <v>5.0</v>
      </c>
      <c r="J1431" s="280">
        <v>54.0</v>
      </c>
      <c r="K1431" s="271">
        <f t="shared" si="1"/>
        <v>270</v>
      </c>
      <c r="L1431" s="280">
        <v>7309.0</v>
      </c>
      <c r="M1431" s="280">
        <v>150.0</v>
      </c>
      <c r="N1431" s="275">
        <v>6.0</v>
      </c>
      <c r="O1431" s="60"/>
      <c r="P1431" s="50">
        <v>6.0</v>
      </c>
      <c r="Q1431" s="280">
        <v>42.0</v>
      </c>
      <c r="R1431" s="276">
        <v>0.00173</v>
      </c>
      <c r="S1431" s="280">
        <v>43.0</v>
      </c>
      <c r="T1431" s="280">
        <v>49.0</v>
      </c>
      <c r="U1431" s="62">
        <v>1.0</v>
      </c>
      <c r="V1431" s="277">
        <v>0.2</v>
      </c>
      <c r="W1431" s="277">
        <v>0.0</v>
      </c>
      <c r="X1431" s="280">
        <v>39.0</v>
      </c>
      <c r="Y1431" s="280">
        <v>10.0</v>
      </c>
      <c r="Z1431" s="50" t="b">
        <v>1</v>
      </c>
      <c r="AA1431" s="50" t="s">
        <v>138</v>
      </c>
      <c r="AB1431" s="50" t="s">
        <v>138</v>
      </c>
    </row>
    <row r="1432">
      <c r="A1432" s="101" t="s">
        <v>182</v>
      </c>
      <c r="B1432" s="101" t="s">
        <v>182</v>
      </c>
      <c r="C1432" s="278">
        <v>44702.0</v>
      </c>
      <c r="D1432" s="278">
        <v>44732.0</v>
      </c>
      <c r="E1432" s="280" t="s">
        <v>268</v>
      </c>
      <c r="F1432" s="101" t="s">
        <v>4</v>
      </c>
      <c r="G1432" s="271" t="s">
        <v>5</v>
      </c>
      <c r="H1432" s="273" t="s">
        <v>45</v>
      </c>
      <c r="I1432" s="281">
        <v>10.0</v>
      </c>
      <c r="J1432" s="280">
        <v>72.0</v>
      </c>
      <c r="K1432" s="271">
        <f t="shared" si="1"/>
        <v>720</v>
      </c>
      <c r="L1432" s="280">
        <v>5116.0</v>
      </c>
      <c r="M1432" s="280">
        <v>150.0</v>
      </c>
      <c r="N1432" s="275">
        <v>14.0</v>
      </c>
      <c r="O1432" s="60"/>
      <c r="P1432" s="50">
        <v>14.0</v>
      </c>
      <c r="Q1432" s="280">
        <v>41.0</v>
      </c>
      <c r="R1432" s="276">
        <v>0.00173</v>
      </c>
      <c r="S1432" s="280">
        <v>42.0</v>
      </c>
      <c r="T1432" s="280">
        <v>56.0</v>
      </c>
      <c r="U1432" s="62">
        <v>1.0</v>
      </c>
      <c r="V1432" s="277">
        <v>0.2</v>
      </c>
      <c r="W1432" s="277">
        <v>0.0</v>
      </c>
      <c r="X1432" s="280">
        <v>45.0</v>
      </c>
      <c r="Y1432" s="280">
        <v>11.0</v>
      </c>
      <c r="Z1432" s="50" t="b">
        <v>1</v>
      </c>
      <c r="AA1432" s="50" t="s">
        <v>138</v>
      </c>
      <c r="AB1432" s="50" t="s">
        <v>138</v>
      </c>
    </row>
    <row r="1433">
      <c r="A1433" s="280" t="s">
        <v>345</v>
      </c>
      <c r="B1433" s="280" t="s">
        <v>992</v>
      </c>
      <c r="C1433" s="283">
        <v>44702.0</v>
      </c>
      <c r="D1433" s="283">
        <v>44732.0</v>
      </c>
      <c r="E1433" s="280" t="s">
        <v>331</v>
      </c>
      <c r="F1433" s="138" t="s">
        <v>4</v>
      </c>
      <c r="G1433" s="280" t="s">
        <v>9</v>
      </c>
      <c r="H1433" s="290" t="s">
        <v>52</v>
      </c>
      <c r="I1433" s="281">
        <v>10.0</v>
      </c>
      <c r="J1433" s="280">
        <v>191.0</v>
      </c>
      <c r="K1433" s="271">
        <f t="shared" si="1"/>
        <v>1910</v>
      </c>
      <c r="L1433" s="280">
        <v>19316.0</v>
      </c>
      <c r="M1433" s="280">
        <v>168.0</v>
      </c>
      <c r="N1433" s="282">
        <v>146.74</v>
      </c>
      <c r="O1433" s="60"/>
      <c r="P1433" s="50">
        <v>147.0</v>
      </c>
      <c r="Q1433" s="280">
        <v>164.0</v>
      </c>
      <c r="R1433" s="276">
        <v>0.00173</v>
      </c>
      <c r="S1433" s="280">
        <v>167.0</v>
      </c>
      <c r="T1433" s="280">
        <v>314.0</v>
      </c>
      <c r="U1433" s="62">
        <v>1.0</v>
      </c>
      <c r="V1433" s="277">
        <v>0.15</v>
      </c>
      <c r="W1433" s="277">
        <v>0.1</v>
      </c>
      <c r="X1433" s="280">
        <v>235.0</v>
      </c>
      <c r="Y1433" s="280">
        <v>78.0</v>
      </c>
      <c r="Z1433" s="50" t="b">
        <v>1</v>
      </c>
      <c r="AA1433" s="50" t="s">
        <v>140</v>
      </c>
      <c r="AB1433" s="50" t="s">
        <v>140</v>
      </c>
    </row>
    <row r="1434">
      <c r="A1434" s="280" t="s">
        <v>345</v>
      </c>
      <c r="B1434" s="280" t="s">
        <v>992</v>
      </c>
      <c r="C1434" s="283">
        <v>44702.0</v>
      </c>
      <c r="D1434" s="283">
        <v>44732.0</v>
      </c>
      <c r="E1434" s="280" t="s">
        <v>331</v>
      </c>
      <c r="F1434" s="138" t="s">
        <v>4</v>
      </c>
      <c r="G1434" s="280" t="s">
        <v>9</v>
      </c>
      <c r="H1434" s="273" t="s">
        <v>65</v>
      </c>
      <c r="I1434" s="281">
        <v>25.0</v>
      </c>
      <c r="J1434" s="280">
        <v>148.0</v>
      </c>
      <c r="K1434" s="271">
        <f t="shared" si="1"/>
        <v>3700</v>
      </c>
      <c r="L1434" s="280">
        <v>8114.0</v>
      </c>
      <c r="M1434" s="280">
        <v>-737.0</v>
      </c>
      <c r="N1434" s="282">
        <v>3.26</v>
      </c>
      <c r="O1434" s="60"/>
      <c r="P1434" s="50">
        <v>3.0</v>
      </c>
      <c r="Q1434" s="280">
        <v>39.0</v>
      </c>
      <c r="R1434" s="276">
        <v>0.00173</v>
      </c>
      <c r="S1434" s="280">
        <v>46.0</v>
      </c>
      <c r="T1434" s="280">
        <v>49.0</v>
      </c>
      <c r="U1434" s="62">
        <v>1.0</v>
      </c>
      <c r="V1434" s="277">
        <v>0.15</v>
      </c>
      <c r="W1434" s="277">
        <v>0.1</v>
      </c>
      <c r="X1434" s="280">
        <v>37.0</v>
      </c>
      <c r="Y1434" s="280">
        <v>12.0</v>
      </c>
      <c r="Z1434" s="50" t="b">
        <v>1</v>
      </c>
      <c r="AA1434" s="50" t="s">
        <v>140</v>
      </c>
      <c r="AB1434" s="50" t="s">
        <v>140</v>
      </c>
    </row>
    <row r="1435">
      <c r="A1435" s="280" t="s">
        <v>345</v>
      </c>
      <c r="B1435" s="280" t="s">
        <v>992</v>
      </c>
      <c r="C1435" s="283">
        <v>44702.0</v>
      </c>
      <c r="D1435" s="283">
        <v>44732.0</v>
      </c>
      <c r="E1435" s="280" t="s">
        <v>331</v>
      </c>
      <c r="F1435" s="138" t="s">
        <v>12</v>
      </c>
      <c r="G1435" s="280" t="s">
        <v>9</v>
      </c>
      <c r="H1435" s="290" t="s">
        <v>1005</v>
      </c>
      <c r="I1435" s="281">
        <v>20.0</v>
      </c>
      <c r="J1435" s="280">
        <v>11.0</v>
      </c>
      <c r="K1435" s="271">
        <f t="shared" si="1"/>
        <v>220</v>
      </c>
      <c r="L1435" s="280">
        <v>-121.0</v>
      </c>
      <c r="M1435" s="280">
        <v>-68.0</v>
      </c>
      <c r="N1435" s="282">
        <v>0.0</v>
      </c>
      <c r="O1435" s="60"/>
      <c r="P1435" s="50">
        <v>0.0</v>
      </c>
      <c r="Q1435" s="280">
        <v>0.0</v>
      </c>
      <c r="R1435" s="276">
        <v>0.0</v>
      </c>
      <c r="S1435" s="280">
        <v>0.0</v>
      </c>
      <c r="T1435" s="280">
        <v>-68.0</v>
      </c>
      <c r="U1435" s="62">
        <v>1.0</v>
      </c>
      <c r="V1435" s="277">
        <v>0.15</v>
      </c>
      <c r="W1435" s="277">
        <v>0.1</v>
      </c>
      <c r="X1435" s="280">
        <v>-51.0</v>
      </c>
      <c r="Y1435" s="280">
        <v>-17.0</v>
      </c>
      <c r="Z1435" s="50" t="b">
        <v>1</v>
      </c>
      <c r="AA1435" s="50" t="s">
        <v>140</v>
      </c>
      <c r="AB1435" s="50" t="s">
        <v>140</v>
      </c>
    </row>
    <row r="1436">
      <c r="A1436" s="101" t="s">
        <v>170</v>
      </c>
      <c r="B1436" s="101" t="s">
        <v>170</v>
      </c>
      <c r="C1436" s="278">
        <v>44702.0</v>
      </c>
      <c r="D1436" s="278">
        <v>44732.0</v>
      </c>
      <c r="E1436" s="271" t="s">
        <v>268</v>
      </c>
      <c r="F1436" s="101" t="s">
        <v>4</v>
      </c>
      <c r="G1436" s="271" t="s">
        <v>5</v>
      </c>
      <c r="H1436" s="273" t="s">
        <v>35</v>
      </c>
      <c r="I1436" s="274">
        <v>5.0</v>
      </c>
      <c r="J1436" s="271">
        <v>12.0</v>
      </c>
      <c r="K1436" s="271">
        <f t="shared" si="1"/>
        <v>60</v>
      </c>
      <c r="L1436" s="271">
        <v>1463.0</v>
      </c>
      <c r="M1436" s="271">
        <v>-20.0</v>
      </c>
      <c r="N1436" s="275"/>
      <c r="O1436" s="60"/>
      <c r="P1436" s="101"/>
      <c r="Q1436" s="271">
        <v>8.0</v>
      </c>
      <c r="R1436" s="276">
        <v>0.00173</v>
      </c>
      <c r="S1436" s="271">
        <v>8.0</v>
      </c>
      <c r="T1436" s="271">
        <v>8.0</v>
      </c>
      <c r="U1436" s="62">
        <v>1.0</v>
      </c>
      <c r="V1436" s="277">
        <v>0.23</v>
      </c>
      <c r="W1436" s="277">
        <v>0.0</v>
      </c>
      <c r="X1436" s="271">
        <v>6.0</v>
      </c>
      <c r="Y1436" s="271">
        <v>2.0</v>
      </c>
      <c r="Z1436" s="50" t="b">
        <v>1</v>
      </c>
      <c r="AA1436" s="50" t="s">
        <v>138</v>
      </c>
      <c r="AB1436" s="50" t="s">
        <v>138</v>
      </c>
    </row>
    <row r="1437">
      <c r="A1437" s="101" t="s">
        <v>170</v>
      </c>
      <c r="B1437" s="101" t="s">
        <v>170</v>
      </c>
      <c r="C1437" s="278">
        <v>44702.0</v>
      </c>
      <c r="D1437" s="278">
        <v>44732.0</v>
      </c>
      <c r="E1437" s="271" t="s">
        <v>268</v>
      </c>
      <c r="F1437" s="101" t="s">
        <v>4</v>
      </c>
      <c r="G1437" s="271" t="s">
        <v>5</v>
      </c>
      <c r="H1437" s="273" t="s">
        <v>45</v>
      </c>
      <c r="I1437" s="274">
        <v>10.0</v>
      </c>
      <c r="J1437" s="271">
        <v>883.0</v>
      </c>
      <c r="K1437" s="271">
        <f t="shared" si="1"/>
        <v>8830</v>
      </c>
      <c r="L1437" s="271">
        <v>40163.0</v>
      </c>
      <c r="M1437" s="271">
        <v>350.0</v>
      </c>
      <c r="N1437" s="275">
        <v>675.0</v>
      </c>
      <c r="O1437" s="60"/>
      <c r="P1437" s="50">
        <v>675.0</v>
      </c>
      <c r="Q1437" s="271">
        <v>83.0</v>
      </c>
      <c r="R1437" s="276">
        <v>0.00173</v>
      </c>
      <c r="S1437" s="271">
        <v>99.0</v>
      </c>
      <c r="T1437" s="271">
        <v>774.0</v>
      </c>
      <c r="U1437" s="62">
        <v>1.0</v>
      </c>
      <c r="V1437" s="277">
        <v>0.23</v>
      </c>
      <c r="W1437" s="277">
        <v>0.0</v>
      </c>
      <c r="X1437" s="271">
        <v>596.0</v>
      </c>
      <c r="Y1437" s="271">
        <v>178.0</v>
      </c>
      <c r="Z1437" s="50" t="b">
        <v>1</v>
      </c>
      <c r="AA1437" s="50" t="s">
        <v>138</v>
      </c>
      <c r="AB1437" s="50" t="s">
        <v>138</v>
      </c>
    </row>
    <row r="1438">
      <c r="A1438" s="280" t="s">
        <v>362</v>
      </c>
      <c r="B1438" s="271" t="s">
        <v>189</v>
      </c>
      <c r="C1438" s="278">
        <v>44702.0</v>
      </c>
      <c r="D1438" s="278">
        <v>44732.0</v>
      </c>
      <c r="E1438" s="280" t="s">
        <v>268</v>
      </c>
      <c r="F1438" s="138" t="s">
        <v>12</v>
      </c>
      <c r="G1438" s="271" t="s">
        <v>5</v>
      </c>
      <c r="H1438" s="273" t="s">
        <v>86</v>
      </c>
      <c r="I1438" s="274">
        <v>100.0</v>
      </c>
      <c r="J1438" s="271">
        <v>129.0</v>
      </c>
      <c r="K1438" s="271">
        <f t="shared" si="1"/>
        <v>12900</v>
      </c>
      <c r="L1438" s="271"/>
      <c r="M1438" s="271">
        <v>-500.0</v>
      </c>
      <c r="N1438" s="275">
        <v>376.0</v>
      </c>
      <c r="O1438" s="60"/>
      <c r="P1438" s="50">
        <v>376.0</v>
      </c>
      <c r="Q1438" s="271"/>
      <c r="R1438" s="276">
        <v>0.0</v>
      </c>
      <c r="S1438" s="271"/>
      <c r="T1438" s="271">
        <v>-124.0</v>
      </c>
      <c r="U1438" s="62">
        <v>1.0</v>
      </c>
      <c r="V1438" s="277">
        <v>0.19</v>
      </c>
      <c r="W1438" s="277">
        <v>0.0</v>
      </c>
      <c r="X1438" s="271">
        <v>-100.0</v>
      </c>
      <c r="Y1438" s="271">
        <v>-24.0</v>
      </c>
      <c r="Z1438" s="50" t="b">
        <v>1</v>
      </c>
      <c r="AA1438" s="50" t="s">
        <v>138</v>
      </c>
      <c r="AB1438" s="50" t="s">
        <v>138</v>
      </c>
    </row>
    <row r="1439">
      <c r="A1439" s="280" t="s">
        <v>362</v>
      </c>
      <c r="B1439" s="271" t="s">
        <v>189</v>
      </c>
      <c r="C1439" s="278">
        <v>44702.0</v>
      </c>
      <c r="D1439" s="278">
        <v>44732.0</v>
      </c>
      <c r="E1439" s="280" t="s">
        <v>268</v>
      </c>
      <c r="F1439" s="138" t="s">
        <v>12</v>
      </c>
      <c r="G1439" s="271" t="s">
        <v>5</v>
      </c>
      <c r="H1439" s="273" t="s">
        <v>74</v>
      </c>
      <c r="I1439" s="274">
        <v>50.0</v>
      </c>
      <c r="J1439" s="271">
        <v>42.0</v>
      </c>
      <c r="K1439" s="271">
        <f t="shared" si="1"/>
        <v>2100</v>
      </c>
      <c r="L1439" s="271">
        <v>2486.0</v>
      </c>
      <c r="M1439" s="271">
        <v>100.0</v>
      </c>
      <c r="N1439" s="275">
        <v>73.0</v>
      </c>
      <c r="O1439" s="60"/>
      <c r="P1439" s="50">
        <v>73.0</v>
      </c>
      <c r="Q1439" s="271">
        <v>96.0</v>
      </c>
      <c r="R1439" s="276">
        <v>0.0</v>
      </c>
      <c r="S1439" s="271">
        <v>96.0</v>
      </c>
      <c r="T1439" s="271">
        <v>173.0</v>
      </c>
      <c r="U1439" s="62">
        <v>1.0</v>
      </c>
      <c r="V1439" s="277">
        <v>0.19</v>
      </c>
      <c r="W1439" s="277">
        <v>0.0</v>
      </c>
      <c r="X1439" s="271">
        <v>140.0</v>
      </c>
      <c r="Y1439" s="271">
        <v>33.0</v>
      </c>
      <c r="Z1439" s="50" t="b">
        <v>1</v>
      </c>
      <c r="AA1439" s="50" t="s">
        <v>138</v>
      </c>
      <c r="AB1439" s="50" t="s">
        <v>138</v>
      </c>
    </row>
    <row r="1440">
      <c r="A1440" s="280" t="s">
        <v>362</v>
      </c>
      <c r="B1440" s="271" t="s">
        <v>189</v>
      </c>
      <c r="C1440" s="278">
        <v>44702.0</v>
      </c>
      <c r="D1440" s="278">
        <v>44732.0</v>
      </c>
      <c r="E1440" s="280" t="s">
        <v>268</v>
      </c>
      <c r="F1440" s="138" t="s">
        <v>12</v>
      </c>
      <c r="G1440" s="271" t="s">
        <v>5</v>
      </c>
      <c r="H1440" s="273" t="s">
        <v>6</v>
      </c>
      <c r="I1440" s="274">
        <v>0.25</v>
      </c>
      <c r="J1440" s="271">
        <v>34.0</v>
      </c>
      <c r="K1440" s="271">
        <f t="shared" si="1"/>
        <v>8.5</v>
      </c>
      <c r="L1440" s="271">
        <v>6847.0</v>
      </c>
      <c r="M1440" s="271">
        <v>2.0</v>
      </c>
      <c r="N1440" s="275"/>
      <c r="O1440" s="60"/>
      <c r="P1440" s="101"/>
      <c r="Q1440" s="271">
        <v>2.0</v>
      </c>
      <c r="R1440" s="276">
        <v>0.0</v>
      </c>
      <c r="S1440" s="271">
        <v>2.0</v>
      </c>
      <c r="T1440" s="271">
        <v>2.0</v>
      </c>
      <c r="U1440" s="62">
        <v>1.0</v>
      </c>
      <c r="V1440" s="277">
        <v>0.19</v>
      </c>
      <c r="W1440" s="277">
        <v>0.0</v>
      </c>
      <c r="X1440" s="271">
        <v>2.0</v>
      </c>
      <c r="Y1440" s="271">
        <v>0.0</v>
      </c>
      <c r="Z1440" s="50" t="b">
        <v>1</v>
      </c>
      <c r="AA1440" s="50" t="s">
        <v>138</v>
      </c>
      <c r="AB1440" s="50" t="s">
        <v>138</v>
      </c>
    </row>
    <row r="1441">
      <c r="A1441" s="280" t="s">
        <v>362</v>
      </c>
      <c r="B1441" s="271" t="s">
        <v>189</v>
      </c>
      <c r="C1441" s="278">
        <v>44702.0</v>
      </c>
      <c r="D1441" s="278">
        <v>44732.0</v>
      </c>
      <c r="E1441" s="280" t="s">
        <v>268</v>
      </c>
      <c r="F1441" s="138" t="s">
        <v>12</v>
      </c>
      <c r="G1441" s="271" t="s">
        <v>5</v>
      </c>
      <c r="H1441" s="273" t="s">
        <v>101</v>
      </c>
      <c r="I1441" s="274">
        <v>500.0</v>
      </c>
      <c r="J1441" s="271">
        <v>16.0</v>
      </c>
      <c r="K1441" s="271">
        <f t="shared" si="1"/>
        <v>8000</v>
      </c>
      <c r="L1441" s="271">
        <v>918.0</v>
      </c>
      <c r="M1441" s="271">
        <v>-5000.0</v>
      </c>
      <c r="N1441" s="275">
        <v>233.0</v>
      </c>
      <c r="O1441" s="60"/>
      <c r="P1441" s="50">
        <v>233.0</v>
      </c>
      <c r="Q1441" s="271">
        <v>457.0</v>
      </c>
      <c r="R1441" s="276">
        <v>0.0</v>
      </c>
      <c r="S1441" s="271">
        <v>457.0</v>
      </c>
      <c r="T1441" s="271">
        <v>-4767.0</v>
      </c>
      <c r="U1441" s="62">
        <v>1.0</v>
      </c>
      <c r="V1441" s="277">
        <v>0.19</v>
      </c>
      <c r="W1441" s="277">
        <v>0.0</v>
      </c>
      <c r="X1441" s="271">
        <v>-3861.0</v>
      </c>
      <c r="Y1441" s="271">
        <v>-906.0</v>
      </c>
      <c r="Z1441" s="50" t="b">
        <v>1</v>
      </c>
      <c r="AA1441" s="50" t="s">
        <v>138</v>
      </c>
      <c r="AB1441" s="50" t="s">
        <v>138</v>
      </c>
    </row>
    <row r="1442">
      <c r="A1442" s="280" t="s">
        <v>362</v>
      </c>
      <c r="B1442" s="271" t="s">
        <v>189</v>
      </c>
      <c r="C1442" s="278">
        <v>44702.0</v>
      </c>
      <c r="D1442" s="278">
        <v>44732.0</v>
      </c>
      <c r="E1442" s="280" t="s">
        <v>268</v>
      </c>
      <c r="F1442" s="138" t="s">
        <v>12</v>
      </c>
      <c r="G1442" s="271" t="s">
        <v>5</v>
      </c>
      <c r="H1442" s="273" t="s">
        <v>85</v>
      </c>
      <c r="I1442" s="274">
        <v>100.0</v>
      </c>
      <c r="J1442" s="271">
        <v>2112.0</v>
      </c>
      <c r="K1442" s="271">
        <f t="shared" si="1"/>
        <v>211200</v>
      </c>
      <c r="L1442" s="271">
        <v>49045.0</v>
      </c>
      <c r="M1442" s="271">
        <v>1000.0</v>
      </c>
      <c r="N1442" s="275">
        <v>6157.0</v>
      </c>
      <c r="O1442" s="60"/>
      <c r="P1442" s="109">
        <v>6157.0</v>
      </c>
      <c r="Q1442" s="271">
        <v>-2212.0</v>
      </c>
      <c r="R1442" s="276">
        <v>0.0</v>
      </c>
      <c r="S1442" s="271">
        <v>-2212.0</v>
      </c>
      <c r="T1442" s="271">
        <v>7157.0</v>
      </c>
      <c r="U1442" s="62">
        <v>1.0</v>
      </c>
      <c r="V1442" s="277">
        <v>0.19</v>
      </c>
      <c r="W1442" s="277">
        <v>0.0</v>
      </c>
      <c r="X1442" s="271">
        <v>5797.0</v>
      </c>
      <c r="Y1442" s="271">
        <v>1360.0</v>
      </c>
      <c r="Z1442" s="50" t="b">
        <v>1</v>
      </c>
      <c r="AA1442" s="50" t="s">
        <v>138</v>
      </c>
      <c r="AB1442" s="50" t="s">
        <v>138</v>
      </c>
    </row>
    <row r="1443">
      <c r="A1443" s="280" t="s">
        <v>362</v>
      </c>
      <c r="B1443" s="271" t="s">
        <v>189</v>
      </c>
      <c r="C1443" s="278">
        <v>44702.0</v>
      </c>
      <c r="D1443" s="278">
        <v>44732.0</v>
      </c>
      <c r="E1443" s="280" t="s">
        <v>268</v>
      </c>
      <c r="F1443" s="138" t="s">
        <v>12</v>
      </c>
      <c r="G1443" s="271" t="s">
        <v>5</v>
      </c>
      <c r="H1443" s="273" t="s">
        <v>62</v>
      </c>
      <c r="I1443" s="274">
        <v>25.0</v>
      </c>
      <c r="J1443" s="271">
        <v>11.0</v>
      </c>
      <c r="K1443" s="271">
        <f t="shared" si="1"/>
        <v>275</v>
      </c>
      <c r="L1443" s="271">
        <v>2918.0</v>
      </c>
      <c r="M1443" s="271">
        <v>50.0</v>
      </c>
      <c r="N1443" s="275">
        <v>10.0</v>
      </c>
      <c r="O1443" s="60"/>
      <c r="P1443" s="50">
        <v>10.0</v>
      </c>
      <c r="Q1443" s="271">
        <v>118.0</v>
      </c>
      <c r="R1443" s="276">
        <v>0.0</v>
      </c>
      <c r="S1443" s="271">
        <v>118.0</v>
      </c>
      <c r="T1443" s="271">
        <v>60.0</v>
      </c>
      <c r="U1443" s="62">
        <v>1.0</v>
      </c>
      <c r="V1443" s="277">
        <v>0.19</v>
      </c>
      <c r="W1443" s="277">
        <v>0.0</v>
      </c>
      <c r="X1443" s="271">
        <v>49.0</v>
      </c>
      <c r="Y1443" s="271">
        <v>11.0</v>
      </c>
      <c r="Z1443" s="50" t="b">
        <v>1</v>
      </c>
      <c r="AA1443" s="50" t="s">
        <v>138</v>
      </c>
      <c r="AB1443" s="50" t="s">
        <v>138</v>
      </c>
    </row>
    <row r="1444">
      <c r="A1444" s="280" t="s">
        <v>362</v>
      </c>
      <c r="B1444" s="271" t="s">
        <v>189</v>
      </c>
      <c r="C1444" s="278">
        <v>44702.0</v>
      </c>
      <c r="D1444" s="278">
        <v>44732.0</v>
      </c>
      <c r="E1444" s="280" t="s">
        <v>268</v>
      </c>
      <c r="F1444" s="138" t="s">
        <v>12</v>
      </c>
      <c r="G1444" s="271" t="s">
        <v>5</v>
      </c>
      <c r="H1444" s="273" t="s">
        <v>96</v>
      </c>
      <c r="I1444" s="274">
        <v>250.0</v>
      </c>
      <c r="J1444" s="271">
        <v>178.0</v>
      </c>
      <c r="K1444" s="271">
        <f t="shared" si="1"/>
        <v>44500</v>
      </c>
      <c r="L1444" s="271">
        <v>-970.0</v>
      </c>
      <c r="M1444" s="271">
        <v>-5000.0</v>
      </c>
      <c r="N1444" s="275">
        <v>1297.0</v>
      </c>
      <c r="O1444" s="60"/>
      <c r="P1444" s="109">
        <v>1297.0</v>
      </c>
      <c r="Q1444" s="271">
        <v>-2752.0</v>
      </c>
      <c r="R1444" s="276">
        <v>0.0</v>
      </c>
      <c r="S1444" s="271">
        <v>-2752.0</v>
      </c>
      <c r="T1444" s="271">
        <v>-3703.0</v>
      </c>
      <c r="U1444" s="62">
        <v>1.0</v>
      </c>
      <c r="V1444" s="277">
        <v>0.19</v>
      </c>
      <c r="W1444" s="277">
        <v>0.0</v>
      </c>
      <c r="X1444" s="271">
        <v>-2999.0</v>
      </c>
      <c r="Y1444" s="271">
        <v>-704.0</v>
      </c>
      <c r="Z1444" s="50" t="b">
        <v>1</v>
      </c>
      <c r="AA1444" s="50" t="s">
        <v>138</v>
      </c>
      <c r="AB1444" s="50" t="s">
        <v>138</v>
      </c>
    </row>
    <row r="1445">
      <c r="A1445" s="280" t="s">
        <v>362</v>
      </c>
      <c r="B1445" s="271" t="s">
        <v>189</v>
      </c>
      <c r="C1445" s="278">
        <v>44702.0</v>
      </c>
      <c r="D1445" s="278">
        <v>44732.0</v>
      </c>
      <c r="E1445" s="280" t="s">
        <v>268</v>
      </c>
      <c r="F1445" s="138" t="s">
        <v>12</v>
      </c>
      <c r="G1445" s="271" t="s">
        <v>5</v>
      </c>
      <c r="H1445" s="273" t="s">
        <v>97</v>
      </c>
      <c r="I1445" s="274">
        <v>250.0</v>
      </c>
      <c r="J1445" s="271">
        <v>69.0</v>
      </c>
      <c r="K1445" s="271">
        <f t="shared" si="1"/>
        <v>17250</v>
      </c>
      <c r="L1445" s="271"/>
      <c r="M1445" s="271">
        <v>1750.0</v>
      </c>
      <c r="N1445" s="275">
        <v>503.0</v>
      </c>
      <c r="O1445" s="60"/>
      <c r="P1445" s="50">
        <v>503.0</v>
      </c>
      <c r="Q1445" s="271"/>
      <c r="R1445" s="276">
        <v>0.0</v>
      </c>
      <c r="S1445" s="271"/>
      <c r="T1445" s="271">
        <v>2253.0</v>
      </c>
      <c r="U1445" s="62">
        <v>1.0</v>
      </c>
      <c r="V1445" s="277">
        <v>0.19</v>
      </c>
      <c r="W1445" s="277">
        <v>0.0</v>
      </c>
      <c r="X1445" s="271">
        <v>1825.0</v>
      </c>
      <c r="Y1445" s="271">
        <v>428.0</v>
      </c>
      <c r="Z1445" s="50" t="b">
        <v>1</v>
      </c>
      <c r="AA1445" s="50" t="s">
        <v>138</v>
      </c>
      <c r="AB1445" s="50" t="s">
        <v>138</v>
      </c>
    </row>
    <row r="1446">
      <c r="A1446" s="101" t="s">
        <v>416</v>
      </c>
      <c r="B1446" s="101" t="s">
        <v>190</v>
      </c>
      <c r="C1446" s="278">
        <v>44702.0</v>
      </c>
      <c r="D1446" s="278">
        <v>44732.0</v>
      </c>
      <c r="E1446" s="271" t="s">
        <v>268</v>
      </c>
      <c r="F1446" s="138" t="s">
        <v>4</v>
      </c>
      <c r="G1446" s="271" t="s">
        <v>5</v>
      </c>
      <c r="H1446" s="273" t="s">
        <v>45</v>
      </c>
      <c r="I1446" s="274">
        <v>10.0</v>
      </c>
      <c r="J1446" s="271">
        <v>2310.0</v>
      </c>
      <c r="K1446" s="271">
        <f t="shared" si="1"/>
        <v>23100</v>
      </c>
      <c r="L1446" s="271">
        <v>139324.0</v>
      </c>
      <c r="M1446" s="271">
        <v>940.0</v>
      </c>
      <c r="N1446" s="275">
        <v>750.0</v>
      </c>
      <c r="O1446" s="60"/>
      <c r="P1446" s="50">
        <v>750.0</v>
      </c>
      <c r="Q1446" s="271">
        <v>813.0</v>
      </c>
      <c r="R1446" s="276">
        <v>0.00173</v>
      </c>
      <c r="S1446" s="271">
        <v>853.0</v>
      </c>
      <c r="T1446" s="271">
        <v>1603.0</v>
      </c>
      <c r="U1446" s="62">
        <v>1.0</v>
      </c>
      <c r="V1446" s="277">
        <v>0.2</v>
      </c>
      <c r="W1446" s="277">
        <v>0.0</v>
      </c>
      <c r="X1446" s="271">
        <v>1282.0</v>
      </c>
      <c r="Y1446" s="271">
        <v>321.0</v>
      </c>
      <c r="Z1446" s="50" t="b">
        <v>1</v>
      </c>
      <c r="AA1446" s="50" t="s">
        <v>138</v>
      </c>
      <c r="AB1446" s="50" t="s">
        <v>138</v>
      </c>
    </row>
    <row r="1447">
      <c r="A1447" s="101" t="s">
        <v>416</v>
      </c>
      <c r="B1447" s="101" t="s">
        <v>190</v>
      </c>
      <c r="C1447" s="278">
        <v>44702.0</v>
      </c>
      <c r="D1447" s="278">
        <v>44732.0</v>
      </c>
      <c r="E1447" s="271" t="s">
        <v>268</v>
      </c>
      <c r="F1447" s="138" t="s">
        <v>4</v>
      </c>
      <c r="G1447" s="271" t="s">
        <v>5</v>
      </c>
      <c r="H1447" s="273" t="s">
        <v>62</v>
      </c>
      <c r="I1447" s="274">
        <v>25.0</v>
      </c>
      <c r="J1447" s="271">
        <v>2055.0</v>
      </c>
      <c r="K1447" s="271">
        <f t="shared" si="1"/>
        <v>51375</v>
      </c>
      <c r="L1447" s="271">
        <v>96822.0</v>
      </c>
      <c r="M1447" s="271">
        <v>2350.0</v>
      </c>
      <c r="N1447" s="275">
        <v>1430.0</v>
      </c>
      <c r="O1447" s="60"/>
      <c r="P1447" s="109">
        <v>1430.0</v>
      </c>
      <c r="Q1447" s="271">
        <v>1128.0</v>
      </c>
      <c r="R1447" s="276">
        <v>0.00173</v>
      </c>
      <c r="S1447" s="271">
        <v>1217.0</v>
      </c>
      <c r="T1447" s="271">
        <v>2647.0</v>
      </c>
      <c r="U1447" s="62">
        <v>1.0</v>
      </c>
      <c r="V1447" s="277">
        <v>0.2</v>
      </c>
      <c r="W1447" s="277">
        <v>0.0</v>
      </c>
      <c r="X1447" s="271">
        <v>2117.0</v>
      </c>
      <c r="Y1447" s="271">
        <v>529.0</v>
      </c>
      <c r="Z1447" s="50" t="b">
        <v>1</v>
      </c>
      <c r="AA1447" s="50" t="s">
        <v>138</v>
      </c>
      <c r="AB1447" s="50" t="s">
        <v>138</v>
      </c>
    </row>
    <row r="1448">
      <c r="A1448" s="280" t="s">
        <v>150</v>
      </c>
      <c r="B1448" s="280" t="s">
        <v>152</v>
      </c>
      <c r="C1448" s="278">
        <v>44702.0</v>
      </c>
      <c r="D1448" s="278">
        <v>44732.0</v>
      </c>
      <c r="E1448" s="280" t="s">
        <v>268</v>
      </c>
      <c r="F1448" s="138" t="s">
        <v>4</v>
      </c>
      <c r="G1448" s="280" t="s">
        <v>5</v>
      </c>
      <c r="H1448" s="273" t="s">
        <v>62</v>
      </c>
      <c r="I1448" s="274">
        <v>25.0</v>
      </c>
      <c r="J1448" s="271">
        <v>595.0</v>
      </c>
      <c r="K1448" s="271">
        <f t="shared" si="1"/>
        <v>14875</v>
      </c>
      <c r="L1448" s="271">
        <v>23984.0</v>
      </c>
      <c r="M1448" s="271">
        <v>-75.0</v>
      </c>
      <c r="N1448" s="275">
        <v>559.0</v>
      </c>
      <c r="O1448" s="60"/>
      <c r="P1448" s="50">
        <v>559.0</v>
      </c>
      <c r="Q1448" s="271">
        <v>160.0</v>
      </c>
      <c r="R1448" s="276">
        <v>0.00173</v>
      </c>
      <c r="S1448" s="271">
        <v>186.0</v>
      </c>
      <c r="T1448" s="271">
        <v>745.0</v>
      </c>
      <c r="U1448" s="62">
        <v>1.0</v>
      </c>
      <c r="V1448" s="277">
        <v>0.3</v>
      </c>
      <c r="W1448" s="277">
        <v>0.0</v>
      </c>
      <c r="X1448" s="271">
        <v>521.0</v>
      </c>
      <c r="Y1448" s="271">
        <v>223.0</v>
      </c>
      <c r="Z1448" s="50" t="b">
        <v>1</v>
      </c>
      <c r="AA1448" s="50" t="s">
        <v>138</v>
      </c>
      <c r="AB1448" s="50" t="s">
        <v>138</v>
      </c>
    </row>
    <row r="1449">
      <c r="A1449" s="101" t="s">
        <v>195</v>
      </c>
      <c r="B1449" s="101" t="s">
        <v>195</v>
      </c>
      <c r="C1449" s="278">
        <v>44702.0</v>
      </c>
      <c r="D1449" s="278">
        <v>44732.0</v>
      </c>
      <c r="E1449" s="271" t="s">
        <v>331</v>
      </c>
      <c r="F1449" s="138" t="s">
        <v>4</v>
      </c>
      <c r="G1449" s="101" t="s">
        <v>5</v>
      </c>
      <c r="H1449" s="273" t="s">
        <v>85</v>
      </c>
      <c r="I1449" s="274">
        <v>100.0</v>
      </c>
      <c r="J1449" s="271">
        <v>7412.0</v>
      </c>
      <c r="K1449" s="271">
        <f t="shared" si="1"/>
        <v>741200</v>
      </c>
      <c r="L1449" s="271">
        <v>177039.0</v>
      </c>
      <c r="M1449" s="271">
        <v>-4000.0</v>
      </c>
      <c r="N1449" s="275">
        <v>25493.0</v>
      </c>
      <c r="O1449" s="60"/>
      <c r="P1449" s="109">
        <v>25493.0</v>
      </c>
      <c r="Q1449" s="271">
        <v>-6618.0</v>
      </c>
      <c r="R1449" s="276">
        <v>-0.0015</v>
      </c>
      <c r="S1449" s="271">
        <v>-7730.0</v>
      </c>
      <c r="T1449" s="271">
        <v>17763.0</v>
      </c>
      <c r="U1449" s="62">
        <v>1.0</v>
      </c>
      <c r="V1449" s="277">
        <v>0.1209</v>
      </c>
      <c r="W1449" s="277">
        <v>0.0403</v>
      </c>
      <c r="X1449" s="271">
        <v>14899.0</v>
      </c>
      <c r="Y1449" s="271">
        <v>2864.0</v>
      </c>
      <c r="Z1449" s="50" t="b">
        <v>1</v>
      </c>
      <c r="AA1449" s="50" t="s">
        <v>138</v>
      </c>
      <c r="AB1449" s="50" t="s">
        <v>138</v>
      </c>
    </row>
    <row r="1450">
      <c r="A1450" s="101" t="s">
        <v>195</v>
      </c>
      <c r="B1450" s="101" t="s">
        <v>195</v>
      </c>
      <c r="C1450" s="278">
        <v>44702.0</v>
      </c>
      <c r="D1450" s="278">
        <v>44732.0</v>
      </c>
      <c r="E1450" s="271" t="s">
        <v>331</v>
      </c>
      <c r="F1450" s="138" t="s">
        <v>4</v>
      </c>
      <c r="G1450" s="101" t="s">
        <v>5</v>
      </c>
      <c r="H1450" s="273" t="s">
        <v>86</v>
      </c>
      <c r="I1450" s="274">
        <v>100.0</v>
      </c>
      <c r="J1450" s="271">
        <v>716.0</v>
      </c>
      <c r="K1450" s="271">
        <f t="shared" si="1"/>
        <v>71600</v>
      </c>
      <c r="L1450" s="271">
        <v>3637.0</v>
      </c>
      <c r="M1450" s="271">
        <v>-6000.0</v>
      </c>
      <c r="N1450" s="275">
        <v>2463.0</v>
      </c>
      <c r="O1450" s="60"/>
      <c r="P1450" s="109">
        <v>2463.0</v>
      </c>
      <c r="Q1450" s="271">
        <v>-2709.0</v>
      </c>
      <c r="R1450" s="276">
        <v>-0.0015</v>
      </c>
      <c r="S1450" s="271">
        <v>-2816.0</v>
      </c>
      <c r="T1450" s="271">
        <v>-353.0</v>
      </c>
      <c r="U1450" s="62">
        <v>1.0</v>
      </c>
      <c r="V1450" s="277">
        <v>0.1209</v>
      </c>
      <c r="W1450" s="277">
        <v>0.0403</v>
      </c>
      <c r="X1450" s="271">
        <v>-296.0</v>
      </c>
      <c r="Y1450" s="271">
        <v>-57.0</v>
      </c>
      <c r="Z1450" s="50" t="b">
        <v>1</v>
      </c>
      <c r="AA1450" s="50" t="s">
        <v>138</v>
      </c>
      <c r="AB1450" s="50" t="s">
        <v>138</v>
      </c>
    </row>
    <row r="1451">
      <c r="A1451" s="101" t="s">
        <v>195</v>
      </c>
      <c r="B1451" s="101" t="s">
        <v>195</v>
      </c>
      <c r="C1451" s="278">
        <v>44702.0</v>
      </c>
      <c r="D1451" s="278">
        <v>44732.0</v>
      </c>
      <c r="E1451" s="271" t="s">
        <v>331</v>
      </c>
      <c r="F1451" s="138" t="s">
        <v>4</v>
      </c>
      <c r="G1451" s="101" t="s">
        <v>5</v>
      </c>
      <c r="H1451" s="273" t="s">
        <v>96</v>
      </c>
      <c r="I1451" s="274">
        <v>250.0</v>
      </c>
      <c r="J1451" s="271">
        <v>707.0</v>
      </c>
      <c r="K1451" s="271">
        <f t="shared" si="1"/>
        <v>176750</v>
      </c>
      <c r="L1451" s="271">
        <v>-533.0</v>
      </c>
      <c r="M1451" s="271">
        <v>-11000.0</v>
      </c>
      <c r="N1451" s="275">
        <v>6079.0</v>
      </c>
      <c r="O1451" s="60"/>
      <c r="P1451" s="109">
        <v>6079.0</v>
      </c>
      <c r="Q1451" s="271">
        <v>-9317.0</v>
      </c>
      <c r="R1451" s="276">
        <v>-0.0015</v>
      </c>
      <c r="S1451" s="271">
        <v>-9582.0</v>
      </c>
      <c r="T1451" s="271">
        <v>-3503.0</v>
      </c>
      <c r="U1451" s="62">
        <v>1.0</v>
      </c>
      <c r="V1451" s="277">
        <v>0.1209</v>
      </c>
      <c r="W1451" s="277">
        <v>0.0403</v>
      </c>
      <c r="X1451" s="271">
        <v>-2938.0</v>
      </c>
      <c r="Y1451" s="271">
        <v>-565.0</v>
      </c>
      <c r="Z1451" s="50" t="b">
        <v>1</v>
      </c>
      <c r="AA1451" s="50" t="s">
        <v>138</v>
      </c>
      <c r="AB1451" s="50" t="s">
        <v>138</v>
      </c>
    </row>
    <row r="1452">
      <c r="A1452" s="101" t="s">
        <v>195</v>
      </c>
      <c r="B1452" s="101" t="s">
        <v>195</v>
      </c>
      <c r="C1452" s="278">
        <v>44702.0</v>
      </c>
      <c r="D1452" s="278">
        <v>44732.0</v>
      </c>
      <c r="E1452" s="271" t="s">
        <v>331</v>
      </c>
      <c r="F1452" s="138" t="s">
        <v>4</v>
      </c>
      <c r="G1452" s="101" t="s">
        <v>5</v>
      </c>
      <c r="H1452" s="273" t="s">
        <v>97</v>
      </c>
      <c r="I1452" s="274">
        <v>250.0</v>
      </c>
      <c r="J1452" s="271">
        <v>37.0</v>
      </c>
      <c r="K1452" s="271">
        <f t="shared" si="1"/>
        <v>9250</v>
      </c>
      <c r="L1452" s="271">
        <v>-303.0</v>
      </c>
      <c r="M1452" s="271">
        <v>3000.0</v>
      </c>
      <c r="N1452" s="275">
        <v>318.0</v>
      </c>
      <c r="O1452" s="60"/>
      <c r="P1452" s="50">
        <v>318.0</v>
      </c>
      <c r="Q1452" s="271">
        <v>-712.0</v>
      </c>
      <c r="R1452" s="276">
        <v>-0.0015</v>
      </c>
      <c r="S1452" s="271">
        <v>-726.0</v>
      </c>
      <c r="T1452" s="271">
        <v>-408.0</v>
      </c>
      <c r="U1452" s="62">
        <v>1.0</v>
      </c>
      <c r="V1452" s="277">
        <v>0.1209</v>
      </c>
      <c r="W1452" s="277">
        <v>0.0403</v>
      </c>
      <c r="X1452" s="271">
        <v>-342.0</v>
      </c>
      <c r="Y1452" s="271">
        <v>-66.0</v>
      </c>
      <c r="Z1452" s="50" t="b">
        <v>1</v>
      </c>
      <c r="AA1452" s="50" t="s">
        <v>138</v>
      </c>
      <c r="AB1452" s="50" t="s">
        <v>138</v>
      </c>
    </row>
    <row r="1453">
      <c r="A1453" s="101" t="s">
        <v>195</v>
      </c>
      <c r="B1453" s="101" t="s">
        <v>195</v>
      </c>
      <c r="C1453" s="278">
        <v>44702.0</v>
      </c>
      <c r="D1453" s="278">
        <v>44732.0</v>
      </c>
      <c r="E1453" s="271" t="s">
        <v>331</v>
      </c>
      <c r="F1453" s="138" t="s">
        <v>4</v>
      </c>
      <c r="G1453" s="101" t="s">
        <v>5</v>
      </c>
      <c r="H1453" s="273" t="s">
        <v>74</v>
      </c>
      <c r="I1453" s="274">
        <v>50.0</v>
      </c>
      <c r="J1453" s="271">
        <v>23.0</v>
      </c>
      <c r="K1453" s="271">
        <f t="shared" si="1"/>
        <v>1150</v>
      </c>
      <c r="L1453" s="271"/>
      <c r="M1453" s="271">
        <v>650.0</v>
      </c>
      <c r="N1453" s="275">
        <v>47.0</v>
      </c>
      <c r="O1453" s="60"/>
      <c r="P1453" s="50">
        <v>47.0</v>
      </c>
      <c r="Q1453" s="271"/>
      <c r="R1453" s="276">
        <v>0.0</v>
      </c>
      <c r="S1453" s="271"/>
      <c r="T1453" s="271">
        <v>47.0</v>
      </c>
      <c r="U1453" s="62">
        <v>1.0</v>
      </c>
      <c r="V1453" s="277">
        <v>0.1209</v>
      </c>
      <c r="W1453" s="277">
        <v>0.0403</v>
      </c>
      <c r="X1453" s="271">
        <v>39.0</v>
      </c>
      <c r="Y1453" s="271">
        <v>8.0</v>
      </c>
      <c r="Z1453" s="50" t="b">
        <v>1</v>
      </c>
      <c r="AA1453" s="50" t="s">
        <v>138</v>
      </c>
      <c r="AB1453" s="50" t="s">
        <v>138</v>
      </c>
    </row>
    <row r="1454">
      <c r="A1454" s="280" t="s">
        <v>477</v>
      </c>
      <c r="B1454" s="280" t="s">
        <v>164</v>
      </c>
      <c r="C1454" s="278">
        <v>44702.0</v>
      </c>
      <c r="D1454" s="278">
        <v>44732.0</v>
      </c>
      <c r="E1454" s="280" t="s">
        <v>331</v>
      </c>
      <c r="F1454" s="138" t="s">
        <v>4</v>
      </c>
      <c r="G1454" s="271" t="s">
        <v>13</v>
      </c>
      <c r="H1454" s="271" t="s">
        <v>59</v>
      </c>
      <c r="I1454" s="274">
        <v>20.0</v>
      </c>
      <c r="J1454" s="271">
        <v>56.0</v>
      </c>
      <c r="K1454" s="271">
        <f t="shared" si="1"/>
        <v>1120</v>
      </c>
      <c r="L1454" s="271">
        <v>648.0</v>
      </c>
      <c r="M1454" s="271">
        <v>-240.0</v>
      </c>
      <c r="N1454" s="275">
        <v>61.48</v>
      </c>
      <c r="O1454" s="60"/>
      <c r="P1454" s="50">
        <v>61.0</v>
      </c>
      <c r="Q1454" s="271">
        <v>-45.0</v>
      </c>
      <c r="R1454" s="276">
        <v>0.00173</v>
      </c>
      <c r="S1454" s="271">
        <v>-43.0</v>
      </c>
      <c r="T1454" s="271">
        <v>19.0</v>
      </c>
      <c r="U1454" s="62">
        <v>1.0</v>
      </c>
      <c r="V1454" s="277">
        <v>0.15</v>
      </c>
      <c r="W1454" s="277">
        <v>0.05</v>
      </c>
      <c r="X1454" s="271">
        <v>15.0</v>
      </c>
      <c r="Y1454" s="271">
        <v>4.0</v>
      </c>
      <c r="Z1454" s="50" t="b">
        <v>1</v>
      </c>
      <c r="AA1454" s="50" t="s">
        <v>138</v>
      </c>
      <c r="AB1454" s="50" t="s">
        <v>138</v>
      </c>
    </row>
    <row r="1455">
      <c r="A1455" s="280" t="s">
        <v>477</v>
      </c>
      <c r="B1455" s="280" t="s">
        <v>164</v>
      </c>
      <c r="C1455" s="278">
        <v>44702.0</v>
      </c>
      <c r="D1455" s="278">
        <v>44732.0</v>
      </c>
      <c r="E1455" s="280" t="s">
        <v>331</v>
      </c>
      <c r="F1455" s="138" t="s">
        <v>4</v>
      </c>
      <c r="G1455" s="271" t="s">
        <v>13</v>
      </c>
      <c r="H1455" s="271" t="s">
        <v>74</v>
      </c>
      <c r="I1455" s="274">
        <v>50.0</v>
      </c>
      <c r="J1455" s="271">
        <v>44.0</v>
      </c>
      <c r="K1455" s="271">
        <f t="shared" si="1"/>
        <v>2200</v>
      </c>
      <c r="L1455" s="271">
        <v>98.0</v>
      </c>
      <c r="M1455" s="271">
        <v>-450.0</v>
      </c>
      <c r="N1455" s="275">
        <v>120.75</v>
      </c>
      <c r="O1455" s="60"/>
      <c r="P1455" s="50">
        <v>121.0</v>
      </c>
      <c r="Q1455" s="271">
        <v>-147.0</v>
      </c>
      <c r="R1455" s="276">
        <v>0.00173</v>
      </c>
      <c r="S1455" s="271">
        <v>-143.0</v>
      </c>
      <c r="T1455" s="271">
        <v>-23.0</v>
      </c>
      <c r="U1455" s="62">
        <v>1.0</v>
      </c>
      <c r="V1455" s="277">
        <v>0.15</v>
      </c>
      <c r="W1455" s="277">
        <v>0.05</v>
      </c>
      <c r="X1455" s="271">
        <v>-18.0</v>
      </c>
      <c r="Y1455" s="271">
        <v>-5.0</v>
      </c>
      <c r="Z1455" s="50" t="b">
        <v>1</v>
      </c>
      <c r="AA1455" s="50" t="s">
        <v>138</v>
      </c>
      <c r="AB1455" s="50" t="s">
        <v>138</v>
      </c>
    </row>
    <row r="1456">
      <c r="A1456" s="280" t="s">
        <v>477</v>
      </c>
      <c r="B1456" s="280" t="s">
        <v>164</v>
      </c>
      <c r="C1456" s="278">
        <v>44702.0</v>
      </c>
      <c r="D1456" s="278">
        <v>44732.0</v>
      </c>
      <c r="E1456" s="280" t="s">
        <v>331</v>
      </c>
      <c r="F1456" s="138" t="s">
        <v>4</v>
      </c>
      <c r="G1456" s="271" t="s">
        <v>13</v>
      </c>
      <c r="H1456" s="271" t="s">
        <v>85</v>
      </c>
      <c r="I1456" s="274">
        <v>100.0</v>
      </c>
      <c r="J1456" s="271">
        <v>2577.0</v>
      </c>
      <c r="K1456" s="271">
        <f t="shared" si="1"/>
        <v>257700</v>
      </c>
      <c r="L1456" s="271">
        <v>19738.0</v>
      </c>
      <c r="M1456" s="271">
        <v>-19200.0</v>
      </c>
      <c r="N1456" s="275">
        <v>14144.77</v>
      </c>
      <c r="O1456" s="60"/>
      <c r="P1456" s="109">
        <v>14145.0</v>
      </c>
      <c r="Q1456" s="271">
        <v>-13220.0</v>
      </c>
      <c r="R1456" s="276">
        <v>0.00173</v>
      </c>
      <c r="S1456" s="271">
        <v>-12774.0</v>
      </c>
      <c r="T1456" s="271">
        <v>1371.0</v>
      </c>
      <c r="U1456" s="62">
        <v>1.0</v>
      </c>
      <c r="V1456" s="277">
        <v>0.15</v>
      </c>
      <c r="W1456" s="277">
        <v>0.05</v>
      </c>
      <c r="X1456" s="271">
        <v>1097.0</v>
      </c>
      <c r="Y1456" s="271">
        <v>274.0</v>
      </c>
      <c r="Z1456" s="50" t="b">
        <v>1</v>
      </c>
      <c r="AA1456" s="50" t="s">
        <v>138</v>
      </c>
      <c r="AB1456" s="50" t="s">
        <v>138</v>
      </c>
    </row>
    <row r="1457">
      <c r="A1457" s="101" t="s">
        <v>505</v>
      </c>
      <c r="B1457" s="271" t="s">
        <v>166</v>
      </c>
      <c r="C1457" s="278">
        <v>44702.0</v>
      </c>
      <c r="D1457" s="278">
        <v>44732.0</v>
      </c>
      <c r="E1457" s="271" t="s">
        <v>268</v>
      </c>
      <c r="F1457" s="101" t="s">
        <v>4</v>
      </c>
      <c r="G1457" s="271" t="s">
        <v>5</v>
      </c>
      <c r="H1457" s="273" t="s">
        <v>45</v>
      </c>
      <c r="I1457" s="281">
        <v>10.0</v>
      </c>
      <c r="J1457" s="280">
        <v>4647.0</v>
      </c>
      <c r="K1457" s="271">
        <f t="shared" si="1"/>
        <v>46470</v>
      </c>
      <c r="L1457" s="280">
        <v>217602.0</v>
      </c>
      <c r="M1457" s="280">
        <v>-290.0</v>
      </c>
      <c r="N1457" s="275">
        <v>2900.0</v>
      </c>
      <c r="O1457" s="60"/>
      <c r="P1457" s="109">
        <v>2900.0</v>
      </c>
      <c r="Q1457" s="280">
        <v>553.0</v>
      </c>
      <c r="R1457" s="276">
        <v>0.00173</v>
      </c>
      <c r="S1457" s="280">
        <v>633.0</v>
      </c>
      <c r="T1457" s="280">
        <v>3533.0</v>
      </c>
      <c r="U1457" s="62">
        <v>1.0</v>
      </c>
      <c r="V1457" s="277">
        <v>0.25</v>
      </c>
      <c r="W1457" s="277">
        <v>0.0</v>
      </c>
      <c r="X1457" s="280">
        <v>2650.0</v>
      </c>
      <c r="Y1457" s="280">
        <v>883.0</v>
      </c>
      <c r="Z1457" s="50" t="b">
        <v>1</v>
      </c>
      <c r="AA1457" s="50" t="s">
        <v>138</v>
      </c>
      <c r="AB1457" s="50" t="s">
        <v>138</v>
      </c>
    </row>
    <row r="1458">
      <c r="A1458" s="101" t="s">
        <v>199</v>
      </c>
      <c r="B1458" s="101" t="s">
        <v>199</v>
      </c>
      <c r="C1458" s="278">
        <v>44702.0</v>
      </c>
      <c r="D1458" s="278">
        <v>44732.0</v>
      </c>
      <c r="E1458" s="280" t="s">
        <v>268</v>
      </c>
      <c r="F1458" s="138" t="s">
        <v>4</v>
      </c>
      <c r="G1458" s="271" t="s">
        <v>5</v>
      </c>
      <c r="H1458" s="273" t="s">
        <v>45</v>
      </c>
      <c r="I1458" s="281">
        <v>10.0</v>
      </c>
      <c r="J1458" s="280">
        <v>1020.0</v>
      </c>
      <c r="K1458" s="271">
        <f t="shared" si="1"/>
        <v>10200</v>
      </c>
      <c r="L1458" s="280">
        <v>39315.0</v>
      </c>
      <c r="M1458" s="280">
        <v>-420.0</v>
      </c>
      <c r="N1458" s="275">
        <v>617.0</v>
      </c>
      <c r="O1458" s="60"/>
      <c r="P1458" s="50">
        <v>617.0</v>
      </c>
      <c r="Q1458" s="280">
        <v>-34.0</v>
      </c>
      <c r="R1458" s="276">
        <v>0.00173</v>
      </c>
      <c r="S1458" s="280">
        <v>-16.0</v>
      </c>
      <c r="T1458" s="280">
        <v>601.0</v>
      </c>
      <c r="U1458" s="62">
        <v>1.0</v>
      </c>
      <c r="V1458" s="277">
        <v>0.2</v>
      </c>
      <c r="W1458" s="277">
        <v>0.0</v>
      </c>
      <c r="X1458" s="280">
        <v>481.0</v>
      </c>
      <c r="Y1458" s="280">
        <v>120.0</v>
      </c>
      <c r="Z1458" s="50" t="b">
        <v>1</v>
      </c>
      <c r="AA1458" s="50" t="s">
        <v>138</v>
      </c>
      <c r="AB1458" s="50" t="s">
        <v>138</v>
      </c>
    </row>
    <row r="1459">
      <c r="A1459" s="101" t="s">
        <v>199</v>
      </c>
      <c r="B1459" s="101" t="s">
        <v>199</v>
      </c>
      <c r="C1459" s="278">
        <v>44702.0</v>
      </c>
      <c r="D1459" s="278">
        <v>44732.0</v>
      </c>
      <c r="E1459" s="280" t="s">
        <v>268</v>
      </c>
      <c r="F1459" s="138" t="s">
        <v>4</v>
      </c>
      <c r="G1459" s="271" t="s">
        <v>5</v>
      </c>
      <c r="H1459" s="273" t="s">
        <v>48</v>
      </c>
      <c r="I1459" s="281">
        <v>10.0</v>
      </c>
      <c r="J1459" s="280">
        <v>1518.0</v>
      </c>
      <c r="K1459" s="271">
        <f t="shared" si="1"/>
        <v>15180</v>
      </c>
      <c r="L1459" s="280">
        <v>20622.0</v>
      </c>
      <c r="M1459" s="280">
        <v>-20.0</v>
      </c>
      <c r="N1459" s="275">
        <v>918.0</v>
      </c>
      <c r="O1459" s="60"/>
      <c r="P1459" s="50">
        <v>918.0</v>
      </c>
      <c r="Q1459" s="280">
        <v>-493.0</v>
      </c>
      <c r="R1459" s="276">
        <v>0.00173</v>
      </c>
      <c r="S1459" s="280">
        <v>-467.0</v>
      </c>
      <c r="T1459" s="280">
        <v>451.0</v>
      </c>
      <c r="U1459" s="62">
        <v>1.0</v>
      </c>
      <c r="V1459" s="277">
        <v>0.2</v>
      </c>
      <c r="W1459" s="277">
        <v>0.0</v>
      </c>
      <c r="X1459" s="280">
        <v>361.0</v>
      </c>
      <c r="Y1459" s="280">
        <v>90.0</v>
      </c>
      <c r="Z1459" s="50" t="b">
        <v>1</v>
      </c>
      <c r="AA1459" s="50" t="s">
        <v>138</v>
      </c>
      <c r="AB1459" s="50" t="s">
        <v>138</v>
      </c>
    </row>
    <row r="1460">
      <c r="A1460" s="101" t="s">
        <v>156</v>
      </c>
      <c r="B1460" s="101" t="s">
        <v>158</v>
      </c>
      <c r="C1460" s="278">
        <v>44702.0</v>
      </c>
      <c r="D1460" s="278">
        <v>44732.0</v>
      </c>
      <c r="E1460" s="271" t="s">
        <v>268</v>
      </c>
      <c r="F1460" s="101" t="s">
        <v>4</v>
      </c>
      <c r="G1460" s="271" t="s">
        <v>9</v>
      </c>
      <c r="H1460" s="273" t="s">
        <v>78</v>
      </c>
      <c r="I1460" s="274">
        <v>50.0</v>
      </c>
      <c r="J1460" s="271">
        <v>1664.0</v>
      </c>
      <c r="K1460" s="271">
        <f t="shared" si="1"/>
        <v>83200</v>
      </c>
      <c r="L1460" s="271">
        <v>82565.0</v>
      </c>
      <c r="M1460" s="271">
        <v>-2369.0</v>
      </c>
      <c r="N1460" s="275">
        <v>1940.0</v>
      </c>
      <c r="O1460" s="60"/>
      <c r="P1460" s="109">
        <v>1940.0</v>
      </c>
      <c r="Q1460" s="271">
        <v>-28.0</v>
      </c>
      <c r="R1460" s="276">
        <v>0.00173</v>
      </c>
      <c r="S1460" s="271">
        <v>116.0</v>
      </c>
      <c r="T1460" s="271">
        <v>2056.0</v>
      </c>
      <c r="U1460" s="62">
        <v>1.053</v>
      </c>
      <c r="V1460" s="277">
        <v>0.15</v>
      </c>
      <c r="W1460" s="277">
        <v>0.0</v>
      </c>
      <c r="X1460" s="271">
        <v>1840.0</v>
      </c>
      <c r="Y1460" s="271">
        <v>325.0</v>
      </c>
      <c r="Z1460" s="50" t="b">
        <v>1</v>
      </c>
      <c r="AA1460" s="50" t="s">
        <v>138</v>
      </c>
      <c r="AB1460" s="50" t="s">
        <v>140</v>
      </c>
    </row>
    <row r="1461">
      <c r="A1461" s="101" t="s">
        <v>156</v>
      </c>
      <c r="B1461" s="101" t="s">
        <v>156</v>
      </c>
      <c r="C1461" s="278">
        <v>44702.0</v>
      </c>
      <c r="D1461" s="278">
        <v>44732.0</v>
      </c>
      <c r="E1461" s="271" t="s">
        <v>268</v>
      </c>
      <c r="F1461" s="101" t="s">
        <v>4</v>
      </c>
      <c r="G1461" s="271" t="s">
        <v>13</v>
      </c>
      <c r="H1461" s="273" t="s">
        <v>74</v>
      </c>
      <c r="I1461" s="274">
        <v>50.0</v>
      </c>
      <c r="J1461" s="271">
        <v>747.0</v>
      </c>
      <c r="K1461" s="271">
        <f t="shared" si="1"/>
        <v>37350</v>
      </c>
      <c r="L1461" s="271">
        <v>15417.0</v>
      </c>
      <c r="M1461" s="271">
        <v>-3200.0</v>
      </c>
      <c r="N1461" s="275">
        <f>2030+5*50</f>
        <v>2280</v>
      </c>
      <c r="O1461" s="60"/>
      <c r="P1461" s="109">
        <v>2280.0</v>
      </c>
      <c r="Q1461" s="271">
        <v>-521.0</v>
      </c>
      <c r="R1461" s="276">
        <v>0.00173</v>
      </c>
      <c r="S1461" s="271">
        <v>-457.0</v>
      </c>
      <c r="T1461" s="271">
        <v>1823.0</v>
      </c>
      <c r="U1461" s="62">
        <v>1.0</v>
      </c>
      <c r="V1461" s="277">
        <v>0.15</v>
      </c>
      <c r="W1461" s="277">
        <v>0.0</v>
      </c>
      <c r="X1461" s="271">
        <v>1550.0</v>
      </c>
      <c r="Y1461" s="271">
        <v>273.0</v>
      </c>
      <c r="Z1461" s="50" t="b">
        <v>1</v>
      </c>
      <c r="AA1461" s="50" t="s">
        <v>138</v>
      </c>
      <c r="AB1461" s="50" t="s">
        <v>138</v>
      </c>
    </row>
    <row r="1462">
      <c r="A1462" s="101" t="s">
        <v>156</v>
      </c>
      <c r="B1462" s="101" t="s">
        <v>156</v>
      </c>
      <c r="C1462" s="278">
        <v>44702.0</v>
      </c>
      <c r="D1462" s="278">
        <v>44732.0</v>
      </c>
      <c r="E1462" s="271" t="s">
        <v>268</v>
      </c>
      <c r="F1462" s="101" t="s">
        <v>4</v>
      </c>
      <c r="G1462" s="271" t="s">
        <v>5</v>
      </c>
      <c r="H1462" s="273" t="s">
        <v>62</v>
      </c>
      <c r="I1462" s="274">
        <v>25.0</v>
      </c>
      <c r="J1462" s="271">
        <v>157.0</v>
      </c>
      <c r="K1462" s="271">
        <f t="shared" si="1"/>
        <v>3925</v>
      </c>
      <c r="L1462" s="271">
        <v>6020.0</v>
      </c>
      <c r="M1462" s="271">
        <v>-625.0</v>
      </c>
      <c r="N1462" s="275">
        <v>35.0</v>
      </c>
      <c r="O1462" s="60"/>
      <c r="P1462" s="50">
        <v>35.0</v>
      </c>
      <c r="Q1462" s="271">
        <v>28.0</v>
      </c>
      <c r="R1462" s="276">
        <v>0.00173</v>
      </c>
      <c r="S1462" s="271">
        <v>35.0</v>
      </c>
      <c r="T1462" s="271">
        <v>70.0</v>
      </c>
      <c r="U1462" s="62">
        <v>1.0</v>
      </c>
      <c r="V1462" s="277">
        <v>0.15</v>
      </c>
      <c r="W1462" s="277">
        <v>0.0</v>
      </c>
      <c r="X1462" s="271">
        <v>59.0</v>
      </c>
      <c r="Y1462" s="271">
        <v>10.0</v>
      </c>
      <c r="Z1462" s="50" t="b">
        <v>1</v>
      </c>
      <c r="AA1462" s="50" t="s">
        <v>138</v>
      </c>
      <c r="AB1462" s="50" t="s">
        <v>138</v>
      </c>
    </row>
    <row r="1463">
      <c r="A1463" s="101" t="s">
        <v>156</v>
      </c>
      <c r="B1463" s="101" t="s">
        <v>156</v>
      </c>
      <c r="C1463" s="278">
        <v>44702.0</v>
      </c>
      <c r="D1463" s="278">
        <v>44732.0</v>
      </c>
      <c r="E1463" s="271" t="s">
        <v>268</v>
      </c>
      <c r="F1463" s="101" t="s">
        <v>4</v>
      </c>
      <c r="G1463" s="271" t="s">
        <v>5</v>
      </c>
      <c r="H1463" s="273" t="s">
        <v>74</v>
      </c>
      <c r="I1463" s="274">
        <v>50.0</v>
      </c>
      <c r="J1463" s="271">
        <v>253.0</v>
      </c>
      <c r="K1463" s="271">
        <f t="shared" si="1"/>
        <v>12650</v>
      </c>
      <c r="L1463" s="271">
        <v>11376.0</v>
      </c>
      <c r="M1463" s="271">
        <v>-850.0</v>
      </c>
      <c r="N1463" s="275">
        <v>115.0</v>
      </c>
      <c r="O1463" s="60"/>
      <c r="P1463" s="50">
        <v>115.0</v>
      </c>
      <c r="Q1463" s="271">
        <v>245.0</v>
      </c>
      <c r="R1463" s="276">
        <v>0.00173</v>
      </c>
      <c r="S1463" s="271">
        <v>267.0</v>
      </c>
      <c r="T1463" s="271">
        <v>382.0</v>
      </c>
      <c r="U1463" s="62">
        <v>1.0</v>
      </c>
      <c r="V1463" s="277">
        <v>0.15</v>
      </c>
      <c r="W1463" s="277">
        <v>0.0</v>
      </c>
      <c r="X1463" s="271">
        <v>325.0</v>
      </c>
      <c r="Y1463" s="271">
        <v>57.0</v>
      </c>
      <c r="Z1463" s="50" t="b">
        <v>1</v>
      </c>
      <c r="AA1463" s="50" t="s">
        <v>138</v>
      </c>
      <c r="AB1463" s="50" t="s">
        <v>138</v>
      </c>
    </row>
    <row r="1464">
      <c r="A1464" s="101" t="s">
        <v>546</v>
      </c>
      <c r="B1464" s="101" t="s">
        <v>202</v>
      </c>
      <c r="C1464" s="278">
        <v>44702.0</v>
      </c>
      <c r="D1464" s="278">
        <v>44732.0</v>
      </c>
      <c r="E1464" s="271" t="s">
        <v>331</v>
      </c>
      <c r="F1464" s="138" t="s">
        <v>4</v>
      </c>
      <c r="G1464" s="271" t="s">
        <v>13</v>
      </c>
      <c r="H1464" s="273" t="s">
        <v>85</v>
      </c>
      <c r="I1464" s="274">
        <v>100.0</v>
      </c>
      <c r="J1464" s="271">
        <v>9217.0</v>
      </c>
      <c r="K1464" s="271">
        <f t="shared" si="1"/>
        <v>921700</v>
      </c>
      <c r="L1464" s="271">
        <v>46830.0</v>
      </c>
      <c r="M1464" s="271">
        <v>-41500.0</v>
      </c>
      <c r="N1464" s="275">
        <f>45344+66*100</f>
        <v>51944</v>
      </c>
      <c r="O1464" s="60"/>
      <c r="P1464" s="109">
        <v>51944.0</v>
      </c>
      <c r="Q1464" s="271">
        <v>-54117.0</v>
      </c>
      <c r="R1464" s="276">
        <v>0.00173</v>
      </c>
      <c r="S1464" s="271">
        <v>-52523.0</v>
      </c>
      <c r="T1464" s="271">
        <v>-579.0</v>
      </c>
      <c r="U1464" s="62">
        <v>1.0</v>
      </c>
      <c r="V1464" s="277">
        <v>0.09</v>
      </c>
      <c r="W1464" s="277">
        <v>0.03</v>
      </c>
      <c r="X1464" s="271">
        <v>-509.0</v>
      </c>
      <c r="Y1464" s="271">
        <v>-69.0</v>
      </c>
      <c r="Z1464" s="50" t="b">
        <v>1</v>
      </c>
      <c r="AA1464" s="50" t="s">
        <v>138</v>
      </c>
      <c r="AB1464" s="50" t="s">
        <v>138</v>
      </c>
    </row>
    <row r="1465">
      <c r="A1465" s="101" t="s">
        <v>160</v>
      </c>
      <c r="B1465" s="101" t="s">
        <v>160</v>
      </c>
      <c r="C1465" s="278">
        <v>44702.0</v>
      </c>
      <c r="D1465" s="278">
        <v>44732.0</v>
      </c>
      <c r="E1465" s="271" t="s">
        <v>268</v>
      </c>
      <c r="F1465" s="138" t="s">
        <v>4</v>
      </c>
      <c r="G1465" s="101" t="s">
        <v>5</v>
      </c>
      <c r="H1465" s="273" t="s">
        <v>45</v>
      </c>
      <c r="I1465" s="274">
        <v>10.0</v>
      </c>
      <c r="J1465" s="271">
        <v>2783.0</v>
      </c>
      <c r="K1465" s="271">
        <f t="shared" si="1"/>
        <v>27830</v>
      </c>
      <c r="L1465" s="271">
        <v>109853.0</v>
      </c>
      <c r="M1465" s="271">
        <v>810.0</v>
      </c>
      <c r="N1465" s="275">
        <v>1455.0</v>
      </c>
      <c r="O1465" s="60"/>
      <c r="P1465" s="109">
        <v>1455.0</v>
      </c>
      <c r="Q1465" s="271">
        <v>-75.0</v>
      </c>
      <c r="R1465" s="276">
        <v>0.00173</v>
      </c>
      <c r="S1465" s="271">
        <v>-27.0</v>
      </c>
      <c r="T1465" s="271">
        <v>1428.0</v>
      </c>
      <c r="U1465" s="62">
        <v>1.0</v>
      </c>
      <c r="V1465" s="277">
        <v>0.25</v>
      </c>
      <c r="W1465" s="277">
        <v>0.0</v>
      </c>
      <c r="X1465" s="271">
        <v>1071.0</v>
      </c>
      <c r="Y1465" s="271">
        <v>357.0</v>
      </c>
      <c r="Z1465" s="50" t="b">
        <v>1</v>
      </c>
      <c r="AA1465" s="50" t="s">
        <v>138</v>
      </c>
      <c r="AB1465" s="50" t="s">
        <v>138</v>
      </c>
    </row>
    <row r="1466">
      <c r="A1466" s="101" t="s">
        <v>207</v>
      </c>
      <c r="B1466" s="101" t="s">
        <v>208</v>
      </c>
      <c r="C1466" s="278">
        <v>44702.0</v>
      </c>
      <c r="D1466" s="278">
        <v>44732.0</v>
      </c>
      <c r="E1466" s="271" t="s">
        <v>268</v>
      </c>
      <c r="F1466" s="138" t="s">
        <v>4</v>
      </c>
      <c r="G1466" s="101" t="s">
        <v>13</v>
      </c>
      <c r="H1466" s="273" t="s">
        <v>59</v>
      </c>
      <c r="I1466" s="274">
        <v>20.0</v>
      </c>
      <c r="J1466" s="271">
        <v>4956.0</v>
      </c>
      <c r="K1466" s="271">
        <f t="shared" si="1"/>
        <v>99120</v>
      </c>
      <c r="L1466" s="271">
        <v>45693.0</v>
      </c>
      <c r="M1466" s="271">
        <v>-4480.0</v>
      </c>
      <c r="N1466" s="275">
        <f>50*20+4814</f>
        <v>5814</v>
      </c>
      <c r="O1466" s="60"/>
      <c r="P1466" s="109">
        <v>5814.0</v>
      </c>
      <c r="Q1466" s="271">
        <v>-4640.0</v>
      </c>
      <c r="R1466" s="276">
        <v>0.00173</v>
      </c>
      <c r="S1466" s="271">
        <v>-4468.0</v>
      </c>
      <c r="T1466" s="271">
        <v>1346.0</v>
      </c>
      <c r="U1466" s="62">
        <v>1.0</v>
      </c>
      <c r="V1466" s="277">
        <v>0.3</v>
      </c>
      <c r="W1466" s="277">
        <v>0.0</v>
      </c>
      <c r="X1466" s="271">
        <v>942.0</v>
      </c>
      <c r="Y1466" s="271">
        <v>404.0</v>
      </c>
      <c r="Z1466" s="50" t="b">
        <v>1</v>
      </c>
      <c r="AA1466" s="50" t="s">
        <v>138</v>
      </c>
      <c r="AB1466" s="50" t="s">
        <v>138</v>
      </c>
    </row>
    <row r="1467">
      <c r="A1467" s="101" t="s">
        <v>207</v>
      </c>
      <c r="B1467" s="101" t="s">
        <v>208</v>
      </c>
      <c r="C1467" s="278">
        <v>44702.0</v>
      </c>
      <c r="D1467" s="278">
        <v>44732.0</v>
      </c>
      <c r="E1467" s="271" t="s">
        <v>268</v>
      </c>
      <c r="F1467" s="138" t="s">
        <v>4</v>
      </c>
      <c r="G1467" s="101" t="s">
        <v>13</v>
      </c>
      <c r="H1467" s="273" t="s">
        <v>74</v>
      </c>
      <c r="I1467" s="274">
        <v>50.0</v>
      </c>
      <c r="J1467" s="271">
        <v>1.0</v>
      </c>
      <c r="K1467" s="271">
        <f t="shared" si="1"/>
        <v>50</v>
      </c>
      <c r="L1467" s="271">
        <v>531.0</v>
      </c>
      <c r="M1467" s="271">
        <v>50.0</v>
      </c>
      <c r="N1467" s="275"/>
      <c r="O1467" s="60"/>
      <c r="P1467" s="101"/>
      <c r="Q1467" s="271">
        <v>73.0</v>
      </c>
      <c r="R1467" s="276">
        <v>0.00173</v>
      </c>
      <c r="S1467" s="271">
        <v>73.0</v>
      </c>
      <c r="T1467" s="271">
        <v>73.0</v>
      </c>
      <c r="U1467" s="62">
        <v>1.0</v>
      </c>
      <c r="V1467" s="277">
        <v>0.3</v>
      </c>
      <c r="W1467" s="277">
        <v>0.0</v>
      </c>
      <c r="X1467" s="271">
        <v>51.0</v>
      </c>
      <c r="Y1467" s="271">
        <v>22.0</v>
      </c>
      <c r="Z1467" s="50" t="b">
        <v>1</v>
      </c>
      <c r="AA1467" s="50" t="s">
        <v>138</v>
      </c>
      <c r="AB1467" s="50" t="s">
        <v>138</v>
      </c>
    </row>
    <row r="1468">
      <c r="A1468" s="101" t="s">
        <v>210</v>
      </c>
      <c r="B1468" s="101" t="s">
        <v>210</v>
      </c>
      <c r="C1468" s="278">
        <v>44702.0</v>
      </c>
      <c r="D1468" s="278">
        <v>44732.0</v>
      </c>
      <c r="E1468" s="101" t="s">
        <v>268</v>
      </c>
      <c r="F1468" s="101" t="s">
        <v>4</v>
      </c>
      <c r="G1468" s="271" t="s">
        <v>5</v>
      </c>
      <c r="H1468" s="290" t="s">
        <v>62</v>
      </c>
      <c r="I1468" s="274">
        <v>25.0</v>
      </c>
      <c r="J1468" s="271">
        <v>959.0</v>
      </c>
      <c r="K1468" s="271">
        <f t="shared" si="1"/>
        <v>23975</v>
      </c>
      <c r="L1468" s="271">
        <v>44649.0</v>
      </c>
      <c r="M1468" s="271">
        <v>-375.0</v>
      </c>
      <c r="N1468" s="275">
        <v>380.0</v>
      </c>
      <c r="O1468" s="60"/>
      <c r="P1468" s="50">
        <v>380.0</v>
      </c>
      <c r="Q1468" s="271">
        <v>535.0</v>
      </c>
      <c r="R1468" s="276">
        <v>0.00173</v>
      </c>
      <c r="S1468" s="271">
        <v>577.0</v>
      </c>
      <c r="T1468" s="271">
        <v>957.0</v>
      </c>
      <c r="U1468" s="62">
        <v>1.0</v>
      </c>
      <c r="V1468" s="277">
        <v>0.17</v>
      </c>
      <c r="W1468" s="277">
        <v>0.0</v>
      </c>
      <c r="X1468" s="271">
        <v>794.0</v>
      </c>
      <c r="Y1468" s="271">
        <v>163.0</v>
      </c>
      <c r="Z1468" s="50" t="b">
        <v>1</v>
      </c>
      <c r="AA1468" s="50" t="s">
        <v>138</v>
      </c>
      <c r="AB1468" s="50" t="s">
        <v>138</v>
      </c>
    </row>
    <row r="1469">
      <c r="A1469" s="101" t="s">
        <v>216</v>
      </c>
      <c r="B1469" s="101" t="s">
        <v>216</v>
      </c>
      <c r="C1469" s="278">
        <v>44702.0</v>
      </c>
      <c r="D1469" s="278">
        <v>44732.0</v>
      </c>
      <c r="E1469" s="271" t="s">
        <v>268</v>
      </c>
      <c r="F1469" s="138" t="s">
        <v>4</v>
      </c>
      <c r="G1469" s="101" t="s">
        <v>5</v>
      </c>
      <c r="H1469" s="273" t="s">
        <v>85</v>
      </c>
      <c r="I1469" s="274">
        <v>100.0</v>
      </c>
      <c r="J1469" s="271">
        <v>341.0</v>
      </c>
      <c r="K1469" s="271">
        <f t="shared" si="1"/>
        <v>34100</v>
      </c>
      <c r="L1469" s="271">
        <v>-3815.0</v>
      </c>
      <c r="M1469" s="271">
        <v>-3000.0</v>
      </c>
      <c r="N1469" s="275">
        <v>1231.0</v>
      </c>
      <c r="O1469" s="60"/>
      <c r="P1469" s="109">
        <v>1231.0</v>
      </c>
      <c r="Q1469" s="271">
        <v>-2462.0</v>
      </c>
      <c r="R1469" s="276">
        <v>0.00173</v>
      </c>
      <c r="S1469" s="271">
        <v>-2403.0</v>
      </c>
      <c r="T1469" s="271">
        <v>-1172.0</v>
      </c>
      <c r="U1469" s="62">
        <v>1.0</v>
      </c>
      <c r="V1469" s="277">
        <v>0.1</v>
      </c>
      <c r="W1469" s="277">
        <v>0.0</v>
      </c>
      <c r="X1469" s="271">
        <v>-1054.0</v>
      </c>
      <c r="Y1469" s="271">
        <v>-117.0</v>
      </c>
      <c r="Z1469" s="50" t="b">
        <v>1</v>
      </c>
      <c r="AA1469" s="50" t="s">
        <v>138</v>
      </c>
      <c r="AB1469" s="50" t="s">
        <v>138</v>
      </c>
    </row>
    <row r="1470">
      <c r="A1470" s="101" t="s">
        <v>216</v>
      </c>
      <c r="B1470" s="101" t="s">
        <v>216</v>
      </c>
      <c r="C1470" s="278">
        <v>44702.0</v>
      </c>
      <c r="D1470" s="278">
        <v>44732.0</v>
      </c>
      <c r="E1470" s="271" t="s">
        <v>268</v>
      </c>
      <c r="F1470" s="138" t="s">
        <v>4</v>
      </c>
      <c r="G1470" s="101" t="s">
        <v>5</v>
      </c>
      <c r="H1470" s="273" t="s">
        <v>86</v>
      </c>
      <c r="I1470" s="274">
        <v>100.0</v>
      </c>
      <c r="J1470" s="271">
        <v>426.0</v>
      </c>
      <c r="K1470" s="271">
        <f t="shared" si="1"/>
        <v>42600</v>
      </c>
      <c r="L1470" s="271">
        <v>3092.0</v>
      </c>
      <c r="M1470" s="271">
        <v>-1300.0</v>
      </c>
      <c r="N1470" s="275">
        <v>1538.0</v>
      </c>
      <c r="O1470" s="60"/>
      <c r="P1470" s="109">
        <v>1538.0</v>
      </c>
      <c r="Q1470" s="271">
        <v>-1216.0</v>
      </c>
      <c r="R1470" s="276">
        <v>0.00173</v>
      </c>
      <c r="S1470" s="271">
        <v>-1142.0</v>
      </c>
      <c r="T1470" s="271">
        <v>396.0</v>
      </c>
      <c r="U1470" s="62">
        <v>1.0</v>
      </c>
      <c r="V1470" s="277">
        <v>0.1</v>
      </c>
      <c r="W1470" s="277">
        <v>0.0</v>
      </c>
      <c r="X1470" s="271">
        <v>356.0</v>
      </c>
      <c r="Y1470" s="271">
        <v>40.0</v>
      </c>
      <c r="Z1470" s="50" t="b">
        <v>1</v>
      </c>
      <c r="AA1470" s="50" t="s">
        <v>138</v>
      </c>
      <c r="AB1470" s="50" t="s">
        <v>138</v>
      </c>
    </row>
    <row r="1471">
      <c r="A1471" s="101" t="s">
        <v>216</v>
      </c>
      <c r="B1471" s="101" t="s">
        <v>216</v>
      </c>
      <c r="C1471" s="278">
        <v>44702.0</v>
      </c>
      <c r="D1471" s="278">
        <v>44732.0</v>
      </c>
      <c r="E1471" s="271" t="s">
        <v>268</v>
      </c>
      <c r="F1471" s="138" t="s">
        <v>4</v>
      </c>
      <c r="G1471" s="101" t="s">
        <v>5</v>
      </c>
      <c r="H1471" s="273" t="s">
        <v>96</v>
      </c>
      <c r="I1471" s="274">
        <v>250.0</v>
      </c>
      <c r="J1471" s="271">
        <v>703.0</v>
      </c>
      <c r="K1471" s="271">
        <f t="shared" si="1"/>
        <v>175750</v>
      </c>
      <c r="L1471" s="271">
        <v>-2333.0</v>
      </c>
      <c r="M1471" s="271">
        <v>5000.0</v>
      </c>
      <c r="N1471" s="275">
        <v>6345.0</v>
      </c>
      <c r="O1471" s="60"/>
      <c r="P1471" s="109">
        <v>6345.0</v>
      </c>
      <c r="Q1471" s="271">
        <v>-9675.0</v>
      </c>
      <c r="R1471" s="276">
        <v>0.00173</v>
      </c>
      <c r="S1471" s="271">
        <v>-9371.0</v>
      </c>
      <c r="T1471" s="271">
        <v>-3026.0</v>
      </c>
      <c r="U1471" s="62">
        <v>1.0</v>
      </c>
      <c r="V1471" s="277">
        <v>0.1</v>
      </c>
      <c r="W1471" s="277">
        <v>0.0</v>
      </c>
      <c r="X1471" s="271">
        <v>-2724.0</v>
      </c>
      <c r="Y1471" s="271">
        <v>-303.0</v>
      </c>
      <c r="Z1471" s="50" t="b">
        <v>1</v>
      </c>
      <c r="AA1471" s="50" t="s">
        <v>138</v>
      </c>
      <c r="AB1471" s="50" t="s">
        <v>138</v>
      </c>
    </row>
    <row r="1472">
      <c r="A1472" s="101" t="s">
        <v>216</v>
      </c>
      <c r="B1472" s="101" t="s">
        <v>216</v>
      </c>
      <c r="C1472" s="278">
        <v>44702.0</v>
      </c>
      <c r="D1472" s="278">
        <v>44732.0</v>
      </c>
      <c r="E1472" s="271" t="s">
        <v>268</v>
      </c>
      <c r="F1472" s="138" t="s">
        <v>4</v>
      </c>
      <c r="G1472" s="101" t="s">
        <v>5</v>
      </c>
      <c r="H1472" s="273" t="s">
        <v>97</v>
      </c>
      <c r="I1472" s="274">
        <v>250.0</v>
      </c>
      <c r="J1472" s="271">
        <v>408.0</v>
      </c>
      <c r="K1472" s="271">
        <f t="shared" si="1"/>
        <v>102000</v>
      </c>
      <c r="L1472" s="271">
        <v>217.0</v>
      </c>
      <c r="M1472" s="271">
        <v>500.0</v>
      </c>
      <c r="N1472" s="275">
        <v>3682.0</v>
      </c>
      <c r="O1472" s="60"/>
      <c r="P1472" s="109">
        <v>3682.0</v>
      </c>
      <c r="Q1472" s="271">
        <v>-4809.0</v>
      </c>
      <c r="R1472" s="276">
        <v>0.00173</v>
      </c>
      <c r="S1472" s="271">
        <v>-4633.0</v>
      </c>
      <c r="T1472" s="271">
        <v>-951.0</v>
      </c>
      <c r="U1472" s="62">
        <v>1.0</v>
      </c>
      <c r="V1472" s="277">
        <v>0.1</v>
      </c>
      <c r="W1472" s="277">
        <v>0.0</v>
      </c>
      <c r="X1472" s="271">
        <v>-856.0</v>
      </c>
      <c r="Y1472" s="271">
        <v>-95.0</v>
      </c>
      <c r="Z1472" s="50" t="b">
        <v>1</v>
      </c>
      <c r="AA1472" s="50" t="s">
        <v>138</v>
      </c>
      <c r="AB1472" s="50" t="s">
        <v>138</v>
      </c>
    </row>
    <row r="1473">
      <c r="A1473" s="101" t="s">
        <v>216</v>
      </c>
      <c r="B1473" s="101" t="s">
        <v>216</v>
      </c>
      <c r="C1473" s="278">
        <v>44702.0</v>
      </c>
      <c r="D1473" s="278">
        <v>44732.0</v>
      </c>
      <c r="E1473" s="271" t="s">
        <v>268</v>
      </c>
      <c r="F1473" s="138" t="s">
        <v>4</v>
      </c>
      <c r="G1473" s="101" t="s">
        <v>5</v>
      </c>
      <c r="H1473" s="273" t="s">
        <v>101</v>
      </c>
      <c r="I1473" s="274">
        <v>500.0</v>
      </c>
      <c r="J1473" s="271">
        <v>3.0</v>
      </c>
      <c r="K1473" s="271">
        <f t="shared" si="1"/>
        <v>1500</v>
      </c>
      <c r="L1473" s="271">
        <v>-441.0</v>
      </c>
      <c r="M1473" s="271">
        <v>-1500.0</v>
      </c>
      <c r="N1473" s="275">
        <v>54.0</v>
      </c>
      <c r="O1473" s="60"/>
      <c r="P1473" s="50">
        <v>54.0</v>
      </c>
      <c r="Q1473" s="271">
        <v>-487.0</v>
      </c>
      <c r="R1473" s="276">
        <v>0.00173</v>
      </c>
      <c r="S1473" s="271">
        <v>-484.0</v>
      </c>
      <c r="T1473" s="271">
        <v>-430.0</v>
      </c>
      <c r="U1473" s="62">
        <v>1.0</v>
      </c>
      <c r="V1473" s="277">
        <v>0.1</v>
      </c>
      <c r="W1473" s="277">
        <v>0.0</v>
      </c>
      <c r="X1473" s="271">
        <v>-387.0</v>
      </c>
      <c r="Y1473" s="271">
        <v>-43.0</v>
      </c>
      <c r="Z1473" s="50" t="b">
        <v>1</v>
      </c>
      <c r="AA1473" s="50" t="s">
        <v>138</v>
      </c>
      <c r="AB1473" s="50" t="s">
        <v>138</v>
      </c>
    </row>
    <row r="1474">
      <c r="A1474" s="280" t="s">
        <v>176</v>
      </c>
      <c r="B1474" s="280" t="s">
        <v>176</v>
      </c>
      <c r="C1474" s="278">
        <v>44713.0</v>
      </c>
      <c r="D1474" s="278">
        <v>44736.0</v>
      </c>
      <c r="E1474" s="271" t="s">
        <v>268</v>
      </c>
      <c r="F1474" s="101" t="s">
        <v>12</v>
      </c>
      <c r="G1474" s="280" t="s">
        <v>5</v>
      </c>
      <c r="H1474" s="273" t="s">
        <v>74</v>
      </c>
      <c r="I1474" s="274">
        <v>50.0</v>
      </c>
      <c r="J1474" s="271">
        <v>85.0</v>
      </c>
      <c r="K1474" s="271">
        <f t="shared" si="1"/>
        <v>4250</v>
      </c>
      <c r="L1474" s="271"/>
      <c r="M1474" s="271">
        <v>-50.0</v>
      </c>
      <c r="N1474" s="275">
        <v>44.0</v>
      </c>
      <c r="O1474" s="60"/>
      <c r="P1474" s="50">
        <v>44.0</v>
      </c>
      <c r="Q1474" s="271"/>
      <c r="R1474" s="276">
        <v>0.0</v>
      </c>
      <c r="S1474" s="271"/>
      <c r="T1474" s="271">
        <v>-6.0</v>
      </c>
      <c r="U1474" s="62">
        <v>1.0</v>
      </c>
      <c r="V1474" s="277">
        <v>0.15</v>
      </c>
      <c r="W1474" s="277">
        <v>0.0</v>
      </c>
      <c r="X1474" s="271">
        <v>-5.0</v>
      </c>
      <c r="Y1474" s="271">
        <v>-1.0</v>
      </c>
      <c r="Z1474" s="50" t="b">
        <v>1</v>
      </c>
      <c r="AA1474" s="50" t="s">
        <v>138</v>
      </c>
      <c r="AB1474" s="50" t="s">
        <v>138</v>
      </c>
    </row>
    <row r="1475">
      <c r="A1475" s="271" t="s">
        <v>143</v>
      </c>
      <c r="B1475" s="271" t="s">
        <v>139</v>
      </c>
      <c r="C1475" s="278">
        <v>44713.0</v>
      </c>
      <c r="D1475" s="278">
        <v>44742.0</v>
      </c>
      <c r="E1475" s="271" t="s">
        <v>268</v>
      </c>
      <c r="F1475" s="138" t="s">
        <v>8</v>
      </c>
      <c r="G1475" s="271" t="s">
        <v>5</v>
      </c>
      <c r="H1475" s="271" t="s">
        <v>45</v>
      </c>
      <c r="I1475" s="274">
        <v>10.0</v>
      </c>
      <c r="J1475" s="271">
        <v>2139.0</v>
      </c>
      <c r="K1475" s="271">
        <f t="shared" si="1"/>
        <v>21390</v>
      </c>
      <c r="L1475" s="271">
        <v>126061.0</v>
      </c>
      <c r="M1475" s="271">
        <v>-30.0</v>
      </c>
      <c r="N1475" s="275">
        <v>1122.0</v>
      </c>
      <c r="O1475" s="60"/>
      <c r="P1475" s="109">
        <v>1122.0</v>
      </c>
      <c r="Q1475" s="271">
        <v>729.0</v>
      </c>
      <c r="R1475" s="276">
        <v>-0.005305</v>
      </c>
      <c r="S1475" s="271">
        <v>616.0</v>
      </c>
      <c r="T1475" s="271">
        <v>1738.0</v>
      </c>
      <c r="U1475" s="62">
        <v>1.0</v>
      </c>
      <c r="V1475" s="277">
        <v>0.17</v>
      </c>
      <c r="W1475" s="277">
        <v>0.0</v>
      </c>
      <c r="X1475" s="271">
        <v>1443.0</v>
      </c>
      <c r="Y1475" s="271">
        <v>295.0</v>
      </c>
      <c r="Z1475" s="50" t="b">
        <v>1</v>
      </c>
      <c r="AA1475" s="50" t="s">
        <v>138</v>
      </c>
      <c r="AB1475" s="50" t="s">
        <v>138</v>
      </c>
    </row>
    <row r="1476">
      <c r="A1476" s="271" t="s">
        <v>143</v>
      </c>
      <c r="B1476" s="271" t="s">
        <v>139</v>
      </c>
      <c r="C1476" s="278">
        <v>44713.0</v>
      </c>
      <c r="D1476" s="278">
        <v>44742.0</v>
      </c>
      <c r="E1476" s="271" t="s">
        <v>268</v>
      </c>
      <c r="F1476" s="138" t="s">
        <v>12</v>
      </c>
      <c r="G1476" s="271" t="s">
        <v>5</v>
      </c>
      <c r="H1476" s="271" t="s">
        <v>35</v>
      </c>
      <c r="I1476" s="274">
        <v>5.0</v>
      </c>
      <c r="J1476" s="271">
        <v>3.0</v>
      </c>
      <c r="K1476" s="271">
        <f t="shared" si="1"/>
        <v>15</v>
      </c>
      <c r="L1476" s="271"/>
      <c r="M1476" s="271">
        <v>10.0</v>
      </c>
      <c r="N1476" s="275">
        <v>1.0</v>
      </c>
      <c r="O1476" s="60"/>
      <c r="P1476" s="50">
        <v>1.0</v>
      </c>
      <c r="Q1476" s="271"/>
      <c r="R1476" s="276">
        <v>0.0</v>
      </c>
      <c r="S1476" s="271"/>
      <c r="T1476" s="271">
        <v>11.0</v>
      </c>
      <c r="U1476" s="62">
        <v>1.0</v>
      </c>
      <c r="V1476" s="277">
        <v>0.17</v>
      </c>
      <c r="W1476" s="277">
        <v>0.0</v>
      </c>
      <c r="X1476" s="271">
        <v>9.0</v>
      </c>
      <c r="Y1476" s="271">
        <v>2.0</v>
      </c>
      <c r="Z1476" s="50" t="b">
        <v>1</v>
      </c>
      <c r="AA1476" s="50" t="s">
        <v>138</v>
      </c>
      <c r="AB1476" s="50" t="s">
        <v>138</v>
      </c>
    </row>
    <row r="1477">
      <c r="A1477" s="271" t="s">
        <v>143</v>
      </c>
      <c r="B1477" s="271" t="s">
        <v>139</v>
      </c>
      <c r="C1477" s="278">
        <v>44713.0</v>
      </c>
      <c r="D1477" s="278">
        <v>44742.0</v>
      </c>
      <c r="E1477" s="271" t="s">
        <v>268</v>
      </c>
      <c r="F1477" s="138" t="s">
        <v>12</v>
      </c>
      <c r="G1477" s="271" t="s">
        <v>5</v>
      </c>
      <c r="H1477" s="271" t="s">
        <v>62</v>
      </c>
      <c r="I1477" s="274">
        <v>25.0</v>
      </c>
      <c r="J1477" s="271">
        <v>135.0</v>
      </c>
      <c r="K1477" s="271">
        <f t="shared" si="1"/>
        <v>3375</v>
      </c>
      <c r="L1477" s="271"/>
      <c r="M1477" s="271">
        <v>525.0</v>
      </c>
      <c r="N1477" s="275">
        <v>152.0</v>
      </c>
      <c r="O1477" s="60"/>
      <c r="P1477" s="50">
        <v>152.0</v>
      </c>
      <c r="Q1477" s="271"/>
      <c r="R1477" s="276">
        <v>0.0</v>
      </c>
      <c r="S1477" s="271"/>
      <c r="T1477" s="271">
        <v>677.0</v>
      </c>
      <c r="U1477" s="62">
        <v>1.0</v>
      </c>
      <c r="V1477" s="277">
        <v>0.17</v>
      </c>
      <c r="W1477" s="277">
        <v>0.0</v>
      </c>
      <c r="X1477" s="271">
        <v>562.0</v>
      </c>
      <c r="Y1477" s="271">
        <v>115.0</v>
      </c>
      <c r="Z1477" s="50" t="b">
        <v>1</v>
      </c>
      <c r="AA1477" s="50" t="s">
        <v>138</v>
      </c>
      <c r="AB1477" s="50" t="s">
        <v>138</v>
      </c>
    </row>
    <row r="1478">
      <c r="A1478" s="280" t="s">
        <v>144</v>
      </c>
      <c r="B1478" s="280" t="s">
        <v>144</v>
      </c>
      <c r="C1478" s="283">
        <v>44713.0</v>
      </c>
      <c r="D1478" s="283">
        <v>44742.0</v>
      </c>
      <c r="E1478" s="280" t="s">
        <v>268</v>
      </c>
      <c r="F1478" s="138" t="s">
        <v>12</v>
      </c>
      <c r="G1478" s="280" t="s">
        <v>16</v>
      </c>
      <c r="H1478" s="290" t="s">
        <v>45</v>
      </c>
      <c r="I1478" s="281">
        <v>10.0</v>
      </c>
      <c r="J1478" s="280">
        <v>352.0</v>
      </c>
      <c r="K1478" s="271">
        <f t="shared" si="1"/>
        <v>3520</v>
      </c>
      <c r="L1478" s="280"/>
      <c r="M1478" s="280">
        <v>750.0</v>
      </c>
      <c r="N1478" s="282">
        <v>418.19</v>
      </c>
      <c r="O1478" s="60"/>
      <c r="P1478" s="50">
        <v>418.0</v>
      </c>
      <c r="Q1478" s="280"/>
      <c r="R1478" s="276">
        <v>0.0</v>
      </c>
      <c r="S1478" s="280"/>
      <c r="T1478" s="280">
        <v>1168.0</v>
      </c>
      <c r="U1478" s="62">
        <v>1.021</v>
      </c>
      <c r="V1478" s="277">
        <v>0.2</v>
      </c>
      <c r="W1478" s="277">
        <v>0.0</v>
      </c>
      <c r="X1478" s="280">
        <v>954.0</v>
      </c>
      <c r="Y1478" s="280">
        <v>239.0</v>
      </c>
      <c r="Z1478" s="50" t="b">
        <v>1</v>
      </c>
      <c r="AA1478" s="50" t="s">
        <v>140</v>
      </c>
      <c r="AB1478" s="50" t="s">
        <v>138</v>
      </c>
    </row>
    <row r="1479">
      <c r="A1479" s="280" t="s">
        <v>144</v>
      </c>
      <c r="B1479" s="280" t="s">
        <v>144</v>
      </c>
      <c r="C1479" s="283">
        <v>44713.0</v>
      </c>
      <c r="D1479" s="283">
        <v>44742.0</v>
      </c>
      <c r="E1479" s="280" t="s">
        <v>268</v>
      </c>
      <c r="F1479" s="138" t="s">
        <v>12</v>
      </c>
      <c r="G1479" s="280" t="s">
        <v>16</v>
      </c>
      <c r="H1479" s="290" t="s">
        <v>85</v>
      </c>
      <c r="I1479" s="281">
        <v>100.0</v>
      </c>
      <c r="J1479" s="280">
        <v>2.0</v>
      </c>
      <c r="K1479" s="271">
        <f t="shared" si="1"/>
        <v>200</v>
      </c>
      <c r="L1479" s="280"/>
      <c r="M1479" s="280">
        <v>-200.0</v>
      </c>
      <c r="N1479" s="282">
        <v>0.06</v>
      </c>
      <c r="O1479" s="60"/>
      <c r="P1479" s="50">
        <v>0.0</v>
      </c>
      <c r="Q1479" s="280"/>
      <c r="R1479" s="276">
        <v>0.0</v>
      </c>
      <c r="S1479" s="280"/>
      <c r="T1479" s="280">
        <v>-200.0</v>
      </c>
      <c r="U1479" s="62">
        <v>1.021</v>
      </c>
      <c r="V1479" s="277">
        <v>0.2</v>
      </c>
      <c r="W1479" s="277">
        <v>0.0</v>
      </c>
      <c r="X1479" s="280">
        <v>-163.0</v>
      </c>
      <c r="Y1479" s="280">
        <v>-41.0</v>
      </c>
      <c r="Z1479" s="50" t="b">
        <v>1</v>
      </c>
      <c r="AA1479" s="50" t="s">
        <v>140</v>
      </c>
      <c r="AB1479" s="50" t="s">
        <v>138</v>
      </c>
    </row>
    <row r="1480">
      <c r="A1480" s="280" t="s">
        <v>144</v>
      </c>
      <c r="B1480" s="280" t="s">
        <v>144</v>
      </c>
      <c r="C1480" s="283">
        <v>44713.0</v>
      </c>
      <c r="D1480" s="283">
        <v>44742.0</v>
      </c>
      <c r="E1480" s="280" t="s">
        <v>268</v>
      </c>
      <c r="F1480" s="138" t="s">
        <v>12</v>
      </c>
      <c r="G1480" s="280" t="s">
        <v>16</v>
      </c>
      <c r="H1480" s="290" t="s">
        <v>59</v>
      </c>
      <c r="I1480" s="281">
        <v>20.0</v>
      </c>
      <c r="J1480" s="280">
        <v>455.0</v>
      </c>
      <c r="K1480" s="271">
        <f t="shared" si="1"/>
        <v>9100</v>
      </c>
      <c r="L1480" s="280">
        <f>26*J1480</f>
        <v>11830</v>
      </c>
      <c r="M1480" s="280">
        <v>140.0</v>
      </c>
      <c r="N1480" s="282">
        <v>0.0</v>
      </c>
      <c r="O1480" s="60"/>
      <c r="P1480" s="50">
        <v>0.0</v>
      </c>
      <c r="Q1480" s="280">
        <v>-140.0</v>
      </c>
      <c r="R1480" s="276">
        <v>0.0</v>
      </c>
      <c r="S1480" s="280">
        <v>-140.0</v>
      </c>
      <c r="T1480" s="280">
        <v>140.0</v>
      </c>
      <c r="U1480" s="62">
        <v>1.021</v>
      </c>
      <c r="V1480" s="277">
        <v>0.2</v>
      </c>
      <c r="W1480" s="277">
        <v>0.0</v>
      </c>
      <c r="X1480" s="280">
        <v>114.0</v>
      </c>
      <c r="Y1480" s="280">
        <v>29.0</v>
      </c>
      <c r="Z1480" s="50" t="b">
        <v>1</v>
      </c>
      <c r="AA1480" s="50" t="s">
        <v>140</v>
      </c>
      <c r="AB1480" s="50" t="s">
        <v>138</v>
      </c>
    </row>
    <row r="1481">
      <c r="A1481" s="280" t="s">
        <v>144</v>
      </c>
      <c r="B1481" s="280" t="s">
        <v>144</v>
      </c>
      <c r="C1481" s="283">
        <v>44713.0</v>
      </c>
      <c r="D1481" s="283">
        <v>44742.0</v>
      </c>
      <c r="E1481" s="280" t="s">
        <v>268</v>
      </c>
      <c r="F1481" s="138" t="s">
        <v>12</v>
      </c>
      <c r="G1481" s="280" t="s">
        <v>16</v>
      </c>
      <c r="H1481" s="290" t="s">
        <v>35</v>
      </c>
      <c r="I1481" s="281">
        <v>5.0</v>
      </c>
      <c r="J1481" s="280">
        <v>197.0</v>
      </c>
      <c r="K1481" s="271">
        <f t="shared" si="1"/>
        <v>985</v>
      </c>
      <c r="L1481" s="280"/>
      <c r="M1481" s="280">
        <v>260.0</v>
      </c>
      <c r="N1481" s="282">
        <v>1.49</v>
      </c>
      <c r="O1481" s="60"/>
      <c r="P1481" s="50">
        <v>1.0</v>
      </c>
      <c r="Q1481" s="280"/>
      <c r="R1481" s="276">
        <v>0.0</v>
      </c>
      <c r="S1481" s="280"/>
      <c r="T1481" s="280">
        <v>261.0</v>
      </c>
      <c r="U1481" s="62">
        <v>1.021</v>
      </c>
      <c r="V1481" s="277">
        <v>0.2</v>
      </c>
      <c r="W1481" s="277">
        <v>0.0</v>
      </c>
      <c r="X1481" s="280">
        <v>214.0</v>
      </c>
      <c r="Y1481" s="280">
        <v>53.0</v>
      </c>
      <c r="Z1481" s="50" t="b">
        <v>1</v>
      </c>
      <c r="AA1481" s="50" t="s">
        <v>140</v>
      </c>
      <c r="AB1481" s="50" t="s">
        <v>138</v>
      </c>
    </row>
    <row r="1482">
      <c r="A1482" s="280" t="s">
        <v>144</v>
      </c>
      <c r="B1482" s="280" t="s">
        <v>144</v>
      </c>
      <c r="C1482" s="283">
        <v>44713.0</v>
      </c>
      <c r="D1482" s="283">
        <v>44742.0</v>
      </c>
      <c r="E1482" s="280" t="s">
        <v>268</v>
      </c>
      <c r="F1482" s="138" t="s">
        <v>12</v>
      </c>
      <c r="G1482" s="280" t="s">
        <v>16</v>
      </c>
      <c r="H1482" s="290" t="s">
        <v>74</v>
      </c>
      <c r="I1482" s="281">
        <v>50.0</v>
      </c>
      <c r="J1482" s="280">
        <v>48.0</v>
      </c>
      <c r="K1482" s="271">
        <f t="shared" si="1"/>
        <v>2400</v>
      </c>
      <c r="L1482" s="280"/>
      <c r="M1482" s="280">
        <v>-300.0</v>
      </c>
      <c r="N1482" s="282">
        <v>2.27</v>
      </c>
      <c r="O1482" s="60"/>
      <c r="P1482" s="50">
        <v>2.0</v>
      </c>
      <c r="Q1482" s="280"/>
      <c r="R1482" s="276">
        <v>0.0</v>
      </c>
      <c r="S1482" s="280"/>
      <c r="T1482" s="280">
        <v>-298.0</v>
      </c>
      <c r="U1482" s="62">
        <v>1.021</v>
      </c>
      <c r="V1482" s="277">
        <v>0.2</v>
      </c>
      <c r="W1482" s="277">
        <v>0.0</v>
      </c>
      <c r="X1482" s="280">
        <v>-243.0</v>
      </c>
      <c r="Y1482" s="280">
        <v>-61.0</v>
      </c>
      <c r="Z1482" s="50" t="b">
        <v>1</v>
      </c>
      <c r="AA1482" s="50" t="s">
        <v>140</v>
      </c>
      <c r="AB1482" s="50" t="s">
        <v>138</v>
      </c>
    </row>
    <row r="1483">
      <c r="A1483" s="101" t="s">
        <v>149</v>
      </c>
      <c r="B1483" s="101" t="s">
        <v>149</v>
      </c>
      <c r="C1483" s="278">
        <v>44713.0</v>
      </c>
      <c r="D1483" s="278">
        <v>44742.0</v>
      </c>
      <c r="E1483" s="271" t="s">
        <v>268</v>
      </c>
      <c r="F1483" s="138" t="s">
        <v>12</v>
      </c>
      <c r="G1483" s="101" t="s">
        <v>5</v>
      </c>
      <c r="H1483" s="273" t="s">
        <v>85</v>
      </c>
      <c r="I1483" s="274">
        <v>100.0</v>
      </c>
      <c r="J1483" s="271">
        <v>1800.0</v>
      </c>
      <c r="K1483" s="271">
        <f t="shared" si="1"/>
        <v>180000</v>
      </c>
      <c r="L1483" s="271">
        <v>6651.0</v>
      </c>
      <c r="M1483" s="271">
        <v>-6400.0</v>
      </c>
      <c r="N1483" s="275">
        <v>7334.0</v>
      </c>
      <c r="O1483" s="60"/>
      <c r="P1483" s="109">
        <v>7334.0</v>
      </c>
      <c r="Q1483" s="271">
        <v>-8473.0</v>
      </c>
      <c r="R1483" s="276">
        <v>0.0</v>
      </c>
      <c r="S1483" s="271">
        <v>-8473.0</v>
      </c>
      <c r="T1483" s="271">
        <v>934.0</v>
      </c>
      <c r="U1483" s="62">
        <v>1.0</v>
      </c>
      <c r="V1483" s="277">
        <v>0.22</v>
      </c>
      <c r="W1483" s="277">
        <v>0.0</v>
      </c>
      <c r="X1483" s="271">
        <v>729.0</v>
      </c>
      <c r="Y1483" s="271">
        <v>205.0</v>
      </c>
      <c r="Z1483" s="50" t="b">
        <v>1</v>
      </c>
      <c r="AA1483" s="50" t="s">
        <v>138</v>
      </c>
      <c r="AB1483" s="50" t="s">
        <v>138</v>
      </c>
    </row>
    <row r="1484">
      <c r="A1484" s="101" t="s">
        <v>149</v>
      </c>
      <c r="B1484" s="101" t="s">
        <v>149</v>
      </c>
      <c r="C1484" s="278">
        <v>44713.0</v>
      </c>
      <c r="D1484" s="278">
        <v>44742.0</v>
      </c>
      <c r="E1484" s="271" t="s">
        <v>268</v>
      </c>
      <c r="F1484" s="138" t="s">
        <v>12</v>
      </c>
      <c r="G1484" s="101" t="s">
        <v>5</v>
      </c>
      <c r="H1484" s="273" t="s">
        <v>74</v>
      </c>
      <c r="I1484" s="274">
        <v>50.0</v>
      </c>
      <c r="J1484" s="271">
        <v>252.0</v>
      </c>
      <c r="K1484" s="271">
        <f t="shared" si="1"/>
        <v>12600</v>
      </c>
      <c r="L1484" s="271">
        <v>1854.0</v>
      </c>
      <c r="M1484" s="271">
        <v>-1300.0</v>
      </c>
      <c r="N1484" s="275">
        <v>616.0</v>
      </c>
      <c r="O1484" s="60"/>
      <c r="P1484" s="50">
        <v>616.0</v>
      </c>
      <c r="Q1484" s="271">
        <v>-635.0</v>
      </c>
      <c r="R1484" s="276">
        <v>0.0</v>
      </c>
      <c r="S1484" s="271">
        <v>-635.0</v>
      </c>
      <c r="T1484" s="271">
        <v>-684.0</v>
      </c>
      <c r="U1484" s="62">
        <v>1.0</v>
      </c>
      <c r="V1484" s="277">
        <v>0.22</v>
      </c>
      <c r="W1484" s="277">
        <v>0.0</v>
      </c>
      <c r="X1484" s="271">
        <v>-534.0</v>
      </c>
      <c r="Y1484" s="271">
        <v>-150.0</v>
      </c>
      <c r="Z1484" s="50" t="b">
        <v>1</v>
      </c>
      <c r="AA1484" s="50" t="s">
        <v>138</v>
      </c>
      <c r="AB1484" s="50" t="s">
        <v>138</v>
      </c>
    </row>
    <row r="1485">
      <c r="A1485" s="101" t="s">
        <v>177</v>
      </c>
      <c r="B1485" s="101" t="s">
        <v>177</v>
      </c>
      <c r="C1485" s="278">
        <v>44713.0</v>
      </c>
      <c r="D1485" s="278">
        <v>44742.0</v>
      </c>
      <c r="E1485" s="271" t="s">
        <v>331</v>
      </c>
      <c r="F1485" s="138" t="s">
        <v>12</v>
      </c>
      <c r="G1485" s="280" t="s">
        <v>5</v>
      </c>
      <c r="H1485" s="273" t="s">
        <v>96</v>
      </c>
      <c r="I1485" s="274">
        <v>250.0</v>
      </c>
      <c r="J1485" s="271">
        <v>0.0</v>
      </c>
      <c r="K1485" s="271">
        <f t="shared" si="1"/>
        <v>0</v>
      </c>
      <c r="L1485" s="271">
        <v>0.0</v>
      </c>
      <c r="M1485" s="271">
        <v>0.0</v>
      </c>
      <c r="N1485" s="275"/>
      <c r="O1485" s="60"/>
      <c r="P1485" s="101"/>
      <c r="Q1485" s="271"/>
      <c r="R1485" s="276">
        <v>0.0</v>
      </c>
      <c r="S1485" s="271"/>
      <c r="T1485" s="271">
        <v>0.0</v>
      </c>
      <c r="U1485" s="62">
        <v>1.0</v>
      </c>
      <c r="V1485" s="277">
        <v>0.0</v>
      </c>
      <c r="W1485" s="277">
        <v>0.0</v>
      </c>
      <c r="X1485" s="271">
        <v>0.0</v>
      </c>
      <c r="Y1485" s="271">
        <v>0.0</v>
      </c>
      <c r="Z1485" s="50" t="b">
        <v>1</v>
      </c>
      <c r="AA1485" s="50" t="s">
        <v>138</v>
      </c>
      <c r="AB1485" s="50" t="s">
        <v>138</v>
      </c>
    </row>
    <row r="1486">
      <c r="A1486" s="280" t="s">
        <v>183</v>
      </c>
      <c r="B1486" s="280" t="s">
        <v>183</v>
      </c>
      <c r="C1486" s="283">
        <v>44713.0</v>
      </c>
      <c r="D1486" s="283">
        <v>44742.0</v>
      </c>
      <c r="E1486" s="280" t="s">
        <v>268</v>
      </c>
      <c r="F1486" s="138" t="s">
        <v>8</v>
      </c>
      <c r="G1486" s="271" t="s">
        <v>5</v>
      </c>
      <c r="H1486" s="290" t="s">
        <v>35</v>
      </c>
      <c r="I1486" s="281">
        <v>5.0</v>
      </c>
      <c r="J1486" s="280">
        <v>293.0</v>
      </c>
      <c r="K1486" s="271">
        <f t="shared" si="1"/>
        <v>1465</v>
      </c>
      <c r="L1486" s="280">
        <v>9971.0</v>
      </c>
      <c r="M1486" s="280">
        <v>270.0</v>
      </c>
      <c r="N1486" s="282">
        <v>69.0</v>
      </c>
      <c r="O1486" s="60"/>
      <c r="P1486" s="50">
        <v>69.0</v>
      </c>
      <c r="Q1486" s="280">
        <v>-39.0</v>
      </c>
      <c r="R1486" s="276">
        <v>-0.004869</v>
      </c>
      <c r="S1486" s="280">
        <v>-46.0</v>
      </c>
      <c r="T1486" s="280">
        <v>23.0</v>
      </c>
      <c r="U1486" s="62">
        <v>1.0</v>
      </c>
      <c r="V1486" s="277">
        <v>0.3</v>
      </c>
      <c r="W1486" s="277">
        <v>0.0</v>
      </c>
      <c r="X1486" s="280">
        <v>16.0</v>
      </c>
      <c r="Y1486" s="280">
        <v>7.0</v>
      </c>
      <c r="Z1486" s="50" t="b">
        <v>1</v>
      </c>
      <c r="AA1486" s="50" t="s">
        <v>138</v>
      </c>
      <c r="AB1486" s="50" t="s">
        <v>138</v>
      </c>
    </row>
    <row r="1487">
      <c r="A1487" s="280" t="s">
        <v>183</v>
      </c>
      <c r="B1487" s="280" t="s">
        <v>183</v>
      </c>
      <c r="C1487" s="283">
        <v>44713.0</v>
      </c>
      <c r="D1487" s="283">
        <v>44742.0</v>
      </c>
      <c r="E1487" s="280" t="s">
        <v>268</v>
      </c>
      <c r="F1487" s="138" t="s">
        <v>8</v>
      </c>
      <c r="G1487" s="280" t="s">
        <v>16</v>
      </c>
      <c r="H1487" s="273" t="s">
        <v>32</v>
      </c>
      <c r="I1487" s="274">
        <v>3.0</v>
      </c>
      <c r="J1487" s="271">
        <v>15.0</v>
      </c>
      <c r="K1487" s="271">
        <f t="shared" si="1"/>
        <v>45</v>
      </c>
      <c r="L1487" s="271">
        <v>3894.0</v>
      </c>
      <c r="M1487" s="271">
        <v>33.0</v>
      </c>
      <c r="N1487" s="275"/>
      <c r="O1487" s="60"/>
      <c r="P1487" s="101"/>
      <c r="Q1487" s="271">
        <v>18.0</v>
      </c>
      <c r="R1487" s="276">
        <v>0.0</v>
      </c>
      <c r="S1487" s="271">
        <v>18.0</v>
      </c>
      <c r="T1487" s="271">
        <v>18.0</v>
      </c>
      <c r="U1487" s="62">
        <v>1.0</v>
      </c>
      <c r="V1487" s="277">
        <v>0.17</v>
      </c>
      <c r="W1487" s="277">
        <v>0.0</v>
      </c>
      <c r="X1487" s="271">
        <v>15.0</v>
      </c>
      <c r="Y1487" s="271">
        <v>3.0</v>
      </c>
      <c r="Z1487" s="50" t="b">
        <v>1</v>
      </c>
      <c r="AA1487" s="50" t="s">
        <v>138</v>
      </c>
      <c r="AB1487" s="50" t="s">
        <v>138</v>
      </c>
    </row>
    <row r="1488">
      <c r="A1488" s="280" t="s">
        <v>183</v>
      </c>
      <c r="B1488" s="280" t="s">
        <v>183</v>
      </c>
      <c r="C1488" s="283">
        <v>44713.0</v>
      </c>
      <c r="D1488" s="283">
        <v>44742.0</v>
      </c>
      <c r="E1488" s="280" t="s">
        <v>268</v>
      </c>
      <c r="F1488" s="138" t="s">
        <v>8</v>
      </c>
      <c r="G1488" s="280" t="s">
        <v>16</v>
      </c>
      <c r="H1488" s="290" t="s">
        <v>45</v>
      </c>
      <c r="I1488" s="274">
        <v>10.0</v>
      </c>
      <c r="J1488" s="271">
        <v>1856.0</v>
      </c>
      <c r="K1488" s="271">
        <f t="shared" si="1"/>
        <v>18560</v>
      </c>
      <c r="L1488" s="271">
        <v>114738.0</v>
      </c>
      <c r="M1488" s="271">
        <v>620.0</v>
      </c>
      <c r="N1488" s="275">
        <v>510.0</v>
      </c>
      <c r="O1488" s="60"/>
      <c r="P1488" s="50">
        <v>510.0</v>
      </c>
      <c r="Q1488" s="271">
        <v>957.0</v>
      </c>
      <c r="R1488" s="276">
        <v>0.002265</v>
      </c>
      <c r="S1488" s="271">
        <v>999.0</v>
      </c>
      <c r="T1488" s="271">
        <v>1509.0</v>
      </c>
      <c r="U1488" s="62">
        <v>1.0</v>
      </c>
      <c r="V1488" s="277">
        <v>0.17</v>
      </c>
      <c r="W1488" s="277">
        <v>0.0</v>
      </c>
      <c r="X1488" s="271">
        <v>1252.0</v>
      </c>
      <c r="Y1488" s="271">
        <v>257.0</v>
      </c>
      <c r="Z1488" s="50" t="b">
        <v>1</v>
      </c>
      <c r="AA1488" s="50" t="s">
        <v>138</v>
      </c>
      <c r="AB1488" s="50" t="s">
        <v>138</v>
      </c>
    </row>
    <row r="1489">
      <c r="A1489" s="271" t="s">
        <v>185</v>
      </c>
      <c r="B1489" s="271" t="s">
        <v>185</v>
      </c>
      <c r="C1489" s="278">
        <v>44713.0</v>
      </c>
      <c r="D1489" s="278">
        <v>44742.0</v>
      </c>
      <c r="E1489" s="271" t="s">
        <v>268</v>
      </c>
      <c r="F1489" s="101" t="s">
        <v>12</v>
      </c>
      <c r="G1489" s="271" t="s">
        <v>142</v>
      </c>
      <c r="H1489" s="273" t="s">
        <v>39</v>
      </c>
      <c r="I1489" s="274">
        <v>5.0</v>
      </c>
      <c r="J1489" s="271">
        <v>8.0</v>
      </c>
      <c r="K1489" s="271">
        <f t="shared" si="1"/>
        <v>40</v>
      </c>
      <c r="L1489" s="271">
        <v>813.0</v>
      </c>
      <c r="M1489" s="271">
        <v>-1.01</v>
      </c>
      <c r="N1489" s="275"/>
      <c r="O1489" s="60">
        <v>0.5</v>
      </c>
      <c r="P1489" s="50">
        <v>1.0</v>
      </c>
      <c r="Q1489" s="271">
        <v>4.0</v>
      </c>
      <c r="R1489" s="276">
        <v>0.0</v>
      </c>
      <c r="S1489" s="271">
        <v>4.0</v>
      </c>
      <c r="T1489" s="271">
        <v>0.0</v>
      </c>
      <c r="U1489" s="62">
        <v>1.053</v>
      </c>
      <c r="V1489" s="277">
        <v>0.23</v>
      </c>
      <c r="W1489" s="277">
        <v>0.0</v>
      </c>
      <c r="X1489" s="271">
        <v>0.0</v>
      </c>
      <c r="Y1489" s="271">
        <v>0.0</v>
      </c>
      <c r="Z1489" s="50" t="b">
        <v>1</v>
      </c>
      <c r="AA1489" s="50" t="s">
        <v>138</v>
      </c>
      <c r="AB1489" s="50" t="s">
        <v>140</v>
      </c>
    </row>
    <row r="1490">
      <c r="A1490" s="271" t="s">
        <v>185</v>
      </c>
      <c r="B1490" s="271" t="s">
        <v>185</v>
      </c>
      <c r="C1490" s="278">
        <v>44713.0</v>
      </c>
      <c r="D1490" s="278">
        <v>44742.0</v>
      </c>
      <c r="E1490" s="271" t="s">
        <v>268</v>
      </c>
      <c r="F1490" s="101" t="s">
        <v>12</v>
      </c>
      <c r="G1490" s="271" t="s">
        <v>142</v>
      </c>
      <c r="H1490" s="273" t="s">
        <v>50</v>
      </c>
      <c r="I1490" s="274">
        <v>10.0</v>
      </c>
      <c r="J1490" s="271">
        <v>10.0</v>
      </c>
      <c r="K1490" s="271">
        <f t="shared" si="1"/>
        <v>100</v>
      </c>
      <c r="L1490" s="271">
        <v>284.0</v>
      </c>
      <c r="M1490" s="271">
        <v>-2.52</v>
      </c>
      <c r="N1490" s="275"/>
      <c r="O1490" s="60">
        <v>0.5</v>
      </c>
      <c r="P1490" s="50">
        <v>4.0</v>
      </c>
      <c r="Q1490" s="271">
        <v>-2.0</v>
      </c>
      <c r="R1490" s="276">
        <v>0.0</v>
      </c>
      <c r="S1490" s="271">
        <v>-2.0</v>
      </c>
      <c r="T1490" s="271">
        <v>1.0</v>
      </c>
      <c r="U1490" s="62">
        <v>1.053</v>
      </c>
      <c r="V1490" s="277">
        <v>0.23</v>
      </c>
      <c r="W1490" s="277">
        <v>0.0</v>
      </c>
      <c r="X1490" s="271">
        <v>1.0</v>
      </c>
      <c r="Y1490" s="271">
        <v>0.0</v>
      </c>
      <c r="Z1490" s="50" t="b">
        <v>1</v>
      </c>
      <c r="AA1490" s="50" t="s">
        <v>138</v>
      </c>
      <c r="AB1490" s="50" t="s">
        <v>140</v>
      </c>
    </row>
    <row r="1491">
      <c r="A1491" s="271" t="s">
        <v>185</v>
      </c>
      <c r="B1491" s="271" t="s">
        <v>185</v>
      </c>
      <c r="C1491" s="278">
        <v>44713.0</v>
      </c>
      <c r="D1491" s="278">
        <v>44742.0</v>
      </c>
      <c r="E1491" s="271" t="s">
        <v>268</v>
      </c>
      <c r="F1491" s="101" t="s">
        <v>12</v>
      </c>
      <c r="G1491" s="271" t="s">
        <v>142</v>
      </c>
      <c r="H1491" s="273" t="s">
        <v>61</v>
      </c>
      <c r="I1491" s="274">
        <v>20.0</v>
      </c>
      <c r="J1491" s="271">
        <v>1305.0</v>
      </c>
      <c r="K1491" s="271">
        <f t="shared" si="1"/>
        <v>26100</v>
      </c>
      <c r="L1491" s="271">
        <v>69594.0</v>
      </c>
      <c r="M1491" s="271">
        <v>-658.47</v>
      </c>
      <c r="N1491" s="275"/>
      <c r="O1491" s="60">
        <v>0.5</v>
      </c>
      <c r="P1491" s="50">
        <v>914.0</v>
      </c>
      <c r="Q1491" s="271">
        <v>562.0</v>
      </c>
      <c r="R1491" s="276">
        <v>0.0</v>
      </c>
      <c r="S1491" s="271">
        <v>562.0</v>
      </c>
      <c r="T1491" s="271">
        <v>255.0</v>
      </c>
      <c r="U1491" s="62">
        <v>1.053</v>
      </c>
      <c r="V1491" s="277">
        <v>0.23</v>
      </c>
      <c r="W1491" s="277">
        <v>0.0</v>
      </c>
      <c r="X1491" s="271">
        <v>207.0</v>
      </c>
      <c r="Y1491" s="271">
        <v>62.0</v>
      </c>
      <c r="Z1491" s="50" t="b">
        <v>1</v>
      </c>
      <c r="AA1491" s="50" t="s">
        <v>138</v>
      </c>
      <c r="AB1491" s="50" t="s">
        <v>140</v>
      </c>
    </row>
    <row r="1492">
      <c r="A1492" s="271" t="s">
        <v>185</v>
      </c>
      <c r="B1492" s="271" t="s">
        <v>185</v>
      </c>
      <c r="C1492" s="278">
        <v>44713.0</v>
      </c>
      <c r="D1492" s="278">
        <v>44742.0</v>
      </c>
      <c r="E1492" s="271" t="s">
        <v>268</v>
      </c>
      <c r="F1492" s="101" t="s">
        <v>12</v>
      </c>
      <c r="G1492" s="271" t="s">
        <v>5</v>
      </c>
      <c r="H1492" s="273" t="s">
        <v>62</v>
      </c>
      <c r="I1492" s="274">
        <v>25.0</v>
      </c>
      <c r="J1492" s="271">
        <v>972.0</v>
      </c>
      <c r="K1492" s="271">
        <f t="shared" si="1"/>
        <v>24300</v>
      </c>
      <c r="L1492" s="271">
        <v>69599.0</v>
      </c>
      <c r="M1492" s="271">
        <v>775.0</v>
      </c>
      <c r="N1492" s="275">
        <v>270.0</v>
      </c>
      <c r="O1492" s="60"/>
      <c r="P1492" s="50">
        <v>270.0</v>
      </c>
      <c r="Q1492" s="271">
        <v>1671.0</v>
      </c>
      <c r="R1492" s="276">
        <v>0.0</v>
      </c>
      <c r="S1492" s="271">
        <v>1671.0</v>
      </c>
      <c r="T1492" s="271">
        <v>1045.0</v>
      </c>
      <c r="U1492" s="62">
        <v>1.0</v>
      </c>
      <c r="V1492" s="277">
        <v>0.23</v>
      </c>
      <c r="W1492" s="277">
        <v>0.0</v>
      </c>
      <c r="X1492" s="271">
        <v>805.0</v>
      </c>
      <c r="Y1492" s="271">
        <v>240.0</v>
      </c>
      <c r="Z1492" s="50" t="b">
        <v>1</v>
      </c>
      <c r="AA1492" s="50" t="s">
        <v>138</v>
      </c>
      <c r="AB1492" s="50" t="s">
        <v>138</v>
      </c>
    </row>
    <row r="1493">
      <c r="A1493" s="271" t="s">
        <v>185</v>
      </c>
      <c r="B1493" s="271" t="s">
        <v>185</v>
      </c>
      <c r="C1493" s="278">
        <v>44713.0</v>
      </c>
      <c r="D1493" s="278">
        <v>44742.0</v>
      </c>
      <c r="E1493" s="271" t="s">
        <v>268</v>
      </c>
      <c r="F1493" s="101" t="s">
        <v>12</v>
      </c>
      <c r="G1493" s="271" t="s">
        <v>5</v>
      </c>
      <c r="H1493" s="273" t="s">
        <v>74</v>
      </c>
      <c r="I1493" s="274">
        <v>50.0</v>
      </c>
      <c r="J1493" s="271">
        <v>1.0</v>
      </c>
      <c r="K1493" s="271">
        <f t="shared" si="1"/>
        <v>50</v>
      </c>
      <c r="L1493" s="271">
        <v>-518.0</v>
      </c>
      <c r="M1493" s="271">
        <v>-50.0</v>
      </c>
      <c r="N1493" s="275">
        <v>2.0</v>
      </c>
      <c r="O1493" s="60"/>
      <c r="P1493" s="50">
        <v>2.0</v>
      </c>
      <c r="Q1493" s="271">
        <v>-51.0</v>
      </c>
      <c r="R1493" s="276">
        <v>0.0</v>
      </c>
      <c r="S1493" s="271">
        <v>-51.0</v>
      </c>
      <c r="T1493" s="271">
        <v>-48.0</v>
      </c>
      <c r="U1493" s="62">
        <v>1.0</v>
      </c>
      <c r="V1493" s="277">
        <v>0.23</v>
      </c>
      <c r="W1493" s="277">
        <v>0.0</v>
      </c>
      <c r="X1493" s="271">
        <v>-37.0</v>
      </c>
      <c r="Y1493" s="271">
        <v>-11.0</v>
      </c>
      <c r="Z1493" s="50" t="b">
        <v>1</v>
      </c>
      <c r="AA1493" s="50" t="s">
        <v>138</v>
      </c>
      <c r="AB1493" s="50" t="s">
        <v>138</v>
      </c>
    </row>
    <row r="1494">
      <c r="A1494" s="280" t="s">
        <v>180</v>
      </c>
      <c r="B1494" s="280" t="s">
        <v>180</v>
      </c>
      <c r="C1494" s="283">
        <v>44715.0</v>
      </c>
      <c r="D1494" s="283">
        <v>44742.0</v>
      </c>
      <c r="E1494" s="280" t="s">
        <v>268</v>
      </c>
      <c r="F1494" s="138" t="s">
        <v>12</v>
      </c>
      <c r="G1494" s="280" t="s">
        <v>142</v>
      </c>
      <c r="H1494" s="290" t="s">
        <v>39</v>
      </c>
      <c r="I1494" s="281">
        <v>5.0</v>
      </c>
      <c r="J1494" s="280">
        <v>231.0</v>
      </c>
      <c r="K1494" s="271">
        <f t="shared" si="1"/>
        <v>1155</v>
      </c>
      <c r="L1494" s="280">
        <v>20860.0</v>
      </c>
      <c r="M1494" s="280">
        <f>45-40</f>
        <v>5</v>
      </c>
      <c r="N1494" s="282"/>
      <c r="O1494" s="60">
        <v>0.5</v>
      </c>
      <c r="P1494" s="50">
        <v>40.0</v>
      </c>
      <c r="Q1494" s="280">
        <v>104.0</v>
      </c>
      <c r="R1494" s="276">
        <v>0.0</v>
      </c>
      <c r="S1494" s="280">
        <v>104.0</v>
      </c>
      <c r="T1494" s="280">
        <v>45.0</v>
      </c>
      <c r="U1494" s="62">
        <v>1.0</v>
      </c>
      <c r="V1494" s="277">
        <v>0.23</v>
      </c>
      <c r="W1494" s="277">
        <v>0.0</v>
      </c>
      <c r="X1494" s="280">
        <v>35.0</v>
      </c>
      <c r="Y1494" s="280">
        <v>10.0</v>
      </c>
      <c r="Z1494" s="50" t="b">
        <v>1</v>
      </c>
      <c r="AA1494" s="50" t="s">
        <v>138</v>
      </c>
      <c r="AB1494" s="50" t="s">
        <v>138</v>
      </c>
    </row>
    <row r="1495">
      <c r="A1495" s="280" t="s">
        <v>180</v>
      </c>
      <c r="B1495" s="280" t="s">
        <v>180</v>
      </c>
      <c r="C1495" s="283">
        <v>44715.0</v>
      </c>
      <c r="D1495" s="283">
        <v>44742.0</v>
      </c>
      <c r="E1495" s="280" t="s">
        <v>268</v>
      </c>
      <c r="F1495" s="138" t="s">
        <v>12</v>
      </c>
      <c r="G1495" s="280" t="s">
        <v>142</v>
      </c>
      <c r="H1495" s="290" t="s">
        <v>50</v>
      </c>
      <c r="I1495" s="281">
        <v>10.0</v>
      </c>
      <c r="J1495" s="280">
        <v>1121.0</v>
      </c>
      <c r="K1495" s="271">
        <f t="shared" si="1"/>
        <v>11210</v>
      </c>
      <c r="L1495" s="280">
        <v>54452.0</v>
      </c>
      <c r="M1495" s="280">
        <f>437-300</f>
        <v>137</v>
      </c>
      <c r="N1495" s="282"/>
      <c r="O1495" s="60">
        <v>0.5</v>
      </c>
      <c r="P1495" s="50">
        <v>392.0</v>
      </c>
      <c r="Q1495" s="280">
        <v>146.0</v>
      </c>
      <c r="R1495" s="276">
        <v>0.0</v>
      </c>
      <c r="S1495" s="280">
        <v>146.0</v>
      </c>
      <c r="T1495" s="280">
        <v>529.0</v>
      </c>
      <c r="U1495" s="62">
        <v>1.0</v>
      </c>
      <c r="V1495" s="277">
        <v>0.23</v>
      </c>
      <c r="W1495" s="277">
        <v>0.0</v>
      </c>
      <c r="X1495" s="280">
        <v>408.0</v>
      </c>
      <c r="Y1495" s="280">
        <v>122.0</v>
      </c>
      <c r="Z1495" s="50" t="b">
        <v>1</v>
      </c>
      <c r="AA1495" s="50" t="s">
        <v>138</v>
      </c>
      <c r="AB1495" s="50" t="s">
        <v>138</v>
      </c>
    </row>
    <row r="1496">
      <c r="A1496" s="280" t="s">
        <v>180</v>
      </c>
      <c r="B1496" s="280" t="s">
        <v>180</v>
      </c>
      <c r="C1496" s="283">
        <v>44715.0</v>
      </c>
      <c r="D1496" s="283">
        <v>44742.0</v>
      </c>
      <c r="E1496" s="280" t="s">
        <v>268</v>
      </c>
      <c r="F1496" s="138" t="s">
        <v>12</v>
      </c>
      <c r="G1496" s="280" t="s">
        <v>142</v>
      </c>
      <c r="H1496" s="290" t="s">
        <v>61</v>
      </c>
      <c r="I1496" s="281">
        <v>20.0</v>
      </c>
      <c r="J1496" s="280">
        <v>25.0</v>
      </c>
      <c r="K1496" s="271">
        <f t="shared" si="1"/>
        <v>500</v>
      </c>
      <c r="L1496" s="280">
        <v>4679.0</v>
      </c>
      <c r="M1496" s="280">
        <v>0.0</v>
      </c>
      <c r="N1496" s="282"/>
      <c r="O1496" s="60">
        <v>0.5</v>
      </c>
      <c r="P1496" s="50">
        <v>18.0</v>
      </c>
      <c r="Q1496" s="280">
        <v>134.0</v>
      </c>
      <c r="R1496" s="276">
        <v>0.0</v>
      </c>
      <c r="S1496" s="280">
        <v>134.0</v>
      </c>
      <c r="T1496" s="280">
        <v>18.0</v>
      </c>
      <c r="U1496" s="62">
        <v>1.0</v>
      </c>
      <c r="V1496" s="277">
        <v>0.23</v>
      </c>
      <c r="W1496" s="277">
        <v>0.0</v>
      </c>
      <c r="X1496" s="280">
        <v>13.0</v>
      </c>
      <c r="Y1496" s="280">
        <v>4.0</v>
      </c>
      <c r="Z1496" s="50" t="b">
        <v>1</v>
      </c>
      <c r="AA1496" s="50" t="s">
        <v>138</v>
      </c>
      <c r="AB1496" s="50" t="s">
        <v>138</v>
      </c>
    </row>
    <row r="1497">
      <c r="A1497" s="280" t="s">
        <v>459</v>
      </c>
      <c r="B1497" s="280" t="s">
        <v>145</v>
      </c>
      <c r="C1497" s="283">
        <v>44713.0</v>
      </c>
      <c r="D1497" s="283">
        <v>44742.0</v>
      </c>
      <c r="E1497" s="280" t="s">
        <v>331</v>
      </c>
      <c r="F1497" s="138" t="s">
        <v>8</v>
      </c>
      <c r="G1497" s="280" t="s">
        <v>9</v>
      </c>
      <c r="H1497" s="290" t="s">
        <v>89</v>
      </c>
      <c r="I1497" s="281">
        <v>100.0</v>
      </c>
      <c r="J1497" s="280">
        <v>399.0</v>
      </c>
      <c r="K1497" s="271">
        <f t="shared" si="1"/>
        <v>39900</v>
      </c>
      <c r="L1497" s="280">
        <v>9261.0</v>
      </c>
      <c r="M1497" s="280">
        <v>-3000.0</v>
      </c>
      <c r="N1497" s="282">
        <f>23999.83-300</f>
        <v>23699.83</v>
      </c>
      <c r="O1497" s="60"/>
      <c r="P1497" s="109">
        <v>23700.0</v>
      </c>
      <c r="Q1497" s="280">
        <v>-1850.0</v>
      </c>
      <c r="R1497" s="276">
        <v>-0.004892</v>
      </c>
      <c r="S1497" s="280">
        <v>-2045.0</v>
      </c>
      <c r="T1497" s="280">
        <v>21655.0</v>
      </c>
      <c r="U1497" s="62">
        <v>1.0</v>
      </c>
      <c r="V1497" s="277">
        <v>0.165</v>
      </c>
      <c r="W1497" s="277">
        <v>0.055</v>
      </c>
      <c r="X1497" s="280">
        <v>16891.0</v>
      </c>
      <c r="Y1497" s="280">
        <v>4764.0</v>
      </c>
      <c r="Z1497" s="50" t="b">
        <v>1</v>
      </c>
      <c r="AA1497" s="50" t="s">
        <v>140</v>
      </c>
      <c r="AB1497" s="50" t="s">
        <v>140</v>
      </c>
    </row>
    <row r="1498">
      <c r="A1498" s="280" t="s">
        <v>459</v>
      </c>
      <c r="B1498" s="280" t="s">
        <v>145</v>
      </c>
      <c r="C1498" s="283">
        <v>44713.0</v>
      </c>
      <c r="D1498" s="283">
        <v>44742.0</v>
      </c>
      <c r="E1498" s="280" t="s">
        <v>331</v>
      </c>
      <c r="F1498" s="138" t="s">
        <v>8</v>
      </c>
      <c r="G1498" s="280" t="s">
        <v>9</v>
      </c>
      <c r="H1498" s="290" t="s">
        <v>98</v>
      </c>
      <c r="I1498" s="281">
        <v>250.0</v>
      </c>
      <c r="J1498" s="280">
        <v>1507.0</v>
      </c>
      <c r="K1498" s="271">
        <f t="shared" si="1"/>
        <v>376750</v>
      </c>
      <c r="L1498" s="280">
        <v>66203.0</v>
      </c>
      <c r="M1498" s="280">
        <v>7500.0</v>
      </c>
      <c r="N1498" s="282">
        <f>2600.17-50</f>
        <v>2550.17</v>
      </c>
      <c r="O1498" s="60"/>
      <c r="P1498" s="109">
        <v>2550.0</v>
      </c>
      <c r="Q1498" s="280">
        <v>995.0</v>
      </c>
      <c r="R1498" s="276">
        <v>-0.005148</v>
      </c>
      <c r="S1498" s="280">
        <v>-945.0</v>
      </c>
      <c r="T1498" s="280">
        <v>1605.0</v>
      </c>
      <c r="U1498" s="62">
        <v>1.0</v>
      </c>
      <c r="V1498" s="277">
        <v>0.165</v>
      </c>
      <c r="W1498" s="277">
        <v>0.055</v>
      </c>
      <c r="X1498" s="280">
        <v>1252.0</v>
      </c>
      <c r="Y1498" s="280">
        <v>353.0</v>
      </c>
      <c r="Z1498" s="50" t="b">
        <v>1</v>
      </c>
      <c r="AA1498" s="50" t="s">
        <v>140</v>
      </c>
      <c r="AB1498" s="50" t="s">
        <v>140</v>
      </c>
    </row>
    <row r="1499">
      <c r="A1499" s="280" t="s">
        <v>459</v>
      </c>
      <c r="B1499" s="280" t="s">
        <v>145</v>
      </c>
      <c r="C1499" s="283">
        <v>44713.0</v>
      </c>
      <c r="D1499" s="283">
        <v>44742.0</v>
      </c>
      <c r="E1499" s="280" t="s">
        <v>331</v>
      </c>
      <c r="F1499" s="138" t="s">
        <v>8</v>
      </c>
      <c r="G1499" s="280" t="s">
        <v>9</v>
      </c>
      <c r="H1499" s="290" t="s">
        <v>104</v>
      </c>
      <c r="I1499" s="281">
        <v>500.0</v>
      </c>
      <c r="J1499" s="280">
        <v>493.0</v>
      </c>
      <c r="K1499" s="271">
        <f t="shared" si="1"/>
        <v>246500</v>
      </c>
      <c r="L1499" s="280">
        <v>24751.0</v>
      </c>
      <c r="M1499" s="280">
        <v>-2000.0</v>
      </c>
      <c r="N1499" s="282">
        <v>0.0</v>
      </c>
      <c r="O1499" s="60"/>
      <c r="P1499" s="50">
        <v>0.0</v>
      </c>
      <c r="Q1499" s="280">
        <v>3484.0</v>
      </c>
      <c r="R1499" s="276">
        <v>-0.005205</v>
      </c>
      <c r="S1499" s="280">
        <v>2201.0</v>
      </c>
      <c r="T1499" s="280">
        <v>2201.0</v>
      </c>
      <c r="U1499" s="62">
        <v>1.0</v>
      </c>
      <c r="V1499" s="277">
        <v>0.165</v>
      </c>
      <c r="W1499" s="277">
        <v>0.055</v>
      </c>
      <c r="X1499" s="280">
        <v>1717.0</v>
      </c>
      <c r="Y1499" s="280">
        <v>484.0</v>
      </c>
      <c r="Z1499" s="50" t="b">
        <v>1</v>
      </c>
      <c r="AA1499" s="50" t="s">
        <v>140</v>
      </c>
      <c r="AB1499" s="50" t="s">
        <v>140</v>
      </c>
    </row>
    <row r="1500">
      <c r="A1500" s="101" t="s">
        <v>181</v>
      </c>
      <c r="B1500" s="101" t="s">
        <v>181</v>
      </c>
      <c r="C1500" s="278">
        <v>44713.0</v>
      </c>
      <c r="D1500" s="278">
        <v>44742.0</v>
      </c>
      <c r="E1500" s="271" t="s">
        <v>268</v>
      </c>
      <c r="F1500" s="101" t="s">
        <v>8</v>
      </c>
      <c r="G1500" s="271" t="s">
        <v>13</v>
      </c>
      <c r="H1500" s="114" t="s">
        <v>85</v>
      </c>
      <c r="I1500" s="274">
        <v>100.0</v>
      </c>
      <c r="J1500" s="271">
        <v>8918.0</v>
      </c>
      <c r="K1500" s="271">
        <f t="shared" si="1"/>
        <v>891800</v>
      </c>
      <c r="L1500" s="271">
        <v>45269.0</v>
      </c>
      <c r="M1500" s="271">
        <v>-83600.0</v>
      </c>
      <c r="N1500" s="275">
        <v>50585.24</v>
      </c>
      <c r="O1500" s="60"/>
      <c r="P1500" s="109">
        <v>50585.0</v>
      </c>
      <c r="Q1500" s="271">
        <v>-52342.0</v>
      </c>
      <c r="R1500" s="276">
        <v>-0.007074</v>
      </c>
      <c r="S1500" s="271">
        <v>-58650.0</v>
      </c>
      <c r="T1500" s="271">
        <v>-8065.0</v>
      </c>
      <c r="U1500" s="62">
        <v>1.0</v>
      </c>
      <c r="V1500" s="277">
        <v>0.15</v>
      </c>
      <c r="W1500" s="277">
        <v>0.0</v>
      </c>
      <c r="X1500" s="271">
        <v>-6855.0</v>
      </c>
      <c r="Y1500" s="271">
        <v>-1210.0</v>
      </c>
      <c r="Z1500" s="50" t="b">
        <v>1</v>
      </c>
      <c r="AA1500" s="50" t="s">
        <v>138</v>
      </c>
      <c r="AB1500" s="50" t="s">
        <v>138</v>
      </c>
    </row>
    <row r="1501">
      <c r="A1501" s="101" t="s">
        <v>181</v>
      </c>
      <c r="B1501" s="101" t="s">
        <v>181</v>
      </c>
      <c r="C1501" s="278">
        <v>44713.0</v>
      </c>
      <c r="D1501" s="278">
        <v>44742.0</v>
      </c>
      <c r="E1501" s="271" t="s">
        <v>268</v>
      </c>
      <c r="F1501" s="101" t="s">
        <v>12</v>
      </c>
      <c r="G1501" s="271" t="s">
        <v>13</v>
      </c>
      <c r="H1501" s="114" t="s">
        <v>93</v>
      </c>
      <c r="I1501" s="274">
        <v>200.0</v>
      </c>
      <c r="J1501" s="271">
        <v>217.0</v>
      </c>
      <c r="K1501" s="271">
        <f t="shared" si="1"/>
        <v>43400</v>
      </c>
      <c r="L1501" s="271">
        <v>-767.0</v>
      </c>
      <c r="M1501" s="271">
        <v>-3200.0</v>
      </c>
      <c r="N1501" s="275">
        <v>2461.76</v>
      </c>
      <c r="O1501" s="60"/>
      <c r="P1501" s="109">
        <v>2462.0</v>
      </c>
      <c r="Q1501" s="271">
        <v>-3624.0</v>
      </c>
      <c r="R1501" s="276">
        <v>0.0</v>
      </c>
      <c r="S1501" s="271">
        <v>-3624.0</v>
      </c>
      <c r="T1501" s="271">
        <v>-738.0</v>
      </c>
      <c r="U1501" s="62">
        <v>1.0</v>
      </c>
      <c r="V1501" s="277">
        <v>0.15</v>
      </c>
      <c r="W1501" s="277">
        <v>0.0</v>
      </c>
      <c r="X1501" s="271">
        <v>-628.0</v>
      </c>
      <c r="Y1501" s="271">
        <v>-111.0</v>
      </c>
      <c r="Z1501" s="50" t="b">
        <v>1</v>
      </c>
      <c r="AA1501" s="50" t="s">
        <v>138</v>
      </c>
      <c r="AB1501" s="50" t="s">
        <v>138</v>
      </c>
    </row>
    <row r="1502">
      <c r="A1502" s="280" t="s">
        <v>693</v>
      </c>
      <c r="B1502" s="280" t="s">
        <v>159</v>
      </c>
      <c r="C1502" s="283">
        <v>44713.0</v>
      </c>
      <c r="D1502" s="283">
        <v>44742.0</v>
      </c>
      <c r="E1502" s="280" t="s">
        <v>268</v>
      </c>
      <c r="F1502" s="138" t="s">
        <v>12</v>
      </c>
      <c r="G1502" s="280" t="s">
        <v>9</v>
      </c>
      <c r="H1502" s="290" t="s">
        <v>41</v>
      </c>
      <c r="I1502" s="281">
        <v>5.0</v>
      </c>
      <c r="J1502" s="280">
        <v>1119.0</v>
      </c>
      <c r="K1502" s="271">
        <f t="shared" si="1"/>
        <v>5595</v>
      </c>
      <c r="L1502" s="280">
        <v>41150.0</v>
      </c>
      <c r="M1502" s="280">
        <v>-300.0</v>
      </c>
      <c r="N1502" s="282">
        <v>95.86</v>
      </c>
      <c r="O1502" s="60"/>
      <c r="P1502" s="50">
        <v>96.0</v>
      </c>
      <c r="Q1502" s="280">
        <v>-132.0</v>
      </c>
      <c r="R1502" s="276">
        <v>0.0</v>
      </c>
      <c r="S1502" s="280">
        <v>-132.0</v>
      </c>
      <c r="T1502" s="280">
        <v>-204.0</v>
      </c>
      <c r="U1502" s="62">
        <v>1.0</v>
      </c>
      <c r="V1502" s="277">
        <v>0.25</v>
      </c>
      <c r="W1502" s="277">
        <v>0.0</v>
      </c>
      <c r="X1502" s="280">
        <v>-153.0</v>
      </c>
      <c r="Y1502" s="280">
        <v>-51.0</v>
      </c>
      <c r="Z1502" s="50" t="b">
        <v>1</v>
      </c>
      <c r="AA1502" s="50" t="s">
        <v>140</v>
      </c>
      <c r="AB1502" s="50" t="s">
        <v>140</v>
      </c>
    </row>
    <row r="1503">
      <c r="A1503" s="280" t="s">
        <v>693</v>
      </c>
      <c r="B1503" s="280" t="s">
        <v>159</v>
      </c>
      <c r="C1503" s="283">
        <v>44713.0</v>
      </c>
      <c r="D1503" s="283">
        <v>44742.0</v>
      </c>
      <c r="E1503" s="280" t="s">
        <v>268</v>
      </c>
      <c r="F1503" s="138" t="s">
        <v>12</v>
      </c>
      <c r="G1503" s="280" t="s">
        <v>9</v>
      </c>
      <c r="H1503" s="290" t="s">
        <v>52</v>
      </c>
      <c r="I1503" s="281">
        <v>10.0</v>
      </c>
      <c r="J1503" s="280">
        <v>56.0</v>
      </c>
      <c r="K1503" s="271">
        <f t="shared" si="1"/>
        <v>560</v>
      </c>
      <c r="L1503" s="280">
        <v>1655.0</v>
      </c>
      <c r="M1503" s="280">
        <v>50.0</v>
      </c>
      <c r="N1503" s="282">
        <v>0.14</v>
      </c>
      <c r="O1503" s="60"/>
      <c r="P1503" s="50">
        <v>0.0</v>
      </c>
      <c r="Q1503" s="280">
        <v>-20.0</v>
      </c>
      <c r="R1503" s="276">
        <v>0.0</v>
      </c>
      <c r="S1503" s="280">
        <v>-20.0</v>
      </c>
      <c r="T1503" s="280">
        <v>50.0</v>
      </c>
      <c r="U1503" s="62">
        <v>1.0</v>
      </c>
      <c r="V1503" s="277">
        <v>0.25</v>
      </c>
      <c r="W1503" s="277">
        <v>0.0</v>
      </c>
      <c r="X1503" s="280">
        <v>38.0</v>
      </c>
      <c r="Y1503" s="280">
        <v>13.0</v>
      </c>
      <c r="Z1503" s="50" t="b">
        <v>1</v>
      </c>
      <c r="AA1503" s="50" t="s">
        <v>140</v>
      </c>
      <c r="AB1503" s="50" t="s">
        <v>140</v>
      </c>
    </row>
    <row r="1504">
      <c r="A1504" s="101" t="s">
        <v>197</v>
      </c>
      <c r="B1504" s="101" t="s">
        <v>197</v>
      </c>
      <c r="C1504" s="278">
        <v>44713.0</v>
      </c>
      <c r="D1504" s="278">
        <v>44742.0</v>
      </c>
      <c r="E1504" s="280" t="s">
        <v>268</v>
      </c>
      <c r="F1504" s="138" t="s">
        <v>8</v>
      </c>
      <c r="G1504" s="271" t="s">
        <v>5</v>
      </c>
      <c r="H1504" s="273" t="s">
        <v>74</v>
      </c>
      <c r="I1504" s="274">
        <v>50.0</v>
      </c>
      <c r="J1504" s="271">
        <v>275.0</v>
      </c>
      <c r="K1504" s="271">
        <f t="shared" si="1"/>
        <v>13750</v>
      </c>
      <c r="L1504" s="271">
        <v>-1134.0</v>
      </c>
      <c r="M1504" s="271">
        <v>-1050.0</v>
      </c>
      <c r="N1504" s="275">
        <v>512.0</v>
      </c>
      <c r="O1504" s="60"/>
      <c r="P1504" s="50">
        <v>512.0</v>
      </c>
      <c r="Q1504" s="271">
        <v>-985.0</v>
      </c>
      <c r="R1504" s="276">
        <v>-0.00479</v>
      </c>
      <c r="S1504" s="271">
        <v>-1051.0</v>
      </c>
      <c r="T1504" s="271">
        <v>-539.0</v>
      </c>
      <c r="U1504" s="62">
        <v>1.0</v>
      </c>
      <c r="V1504" s="277">
        <v>0.25</v>
      </c>
      <c r="W1504" s="277">
        <v>0.0</v>
      </c>
      <c r="X1504" s="271">
        <v>-404.0</v>
      </c>
      <c r="Y1504" s="271">
        <v>-135.0</v>
      </c>
      <c r="Z1504" s="50" t="b">
        <v>1</v>
      </c>
      <c r="AA1504" s="50" t="s">
        <v>138</v>
      </c>
      <c r="AB1504" s="50" t="s">
        <v>138</v>
      </c>
    </row>
    <row r="1505">
      <c r="A1505" s="101" t="s">
        <v>197</v>
      </c>
      <c r="B1505" s="101" t="s">
        <v>197</v>
      </c>
      <c r="C1505" s="278">
        <v>44713.0</v>
      </c>
      <c r="D1505" s="278">
        <v>44742.0</v>
      </c>
      <c r="E1505" s="280" t="s">
        <v>268</v>
      </c>
      <c r="F1505" s="138" t="s">
        <v>8</v>
      </c>
      <c r="G1505" s="271" t="s">
        <v>5</v>
      </c>
      <c r="H1505" s="273" t="s">
        <v>75</v>
      </c>
      <c r="I1505" s="274">
        <v>50.0</v>
      </c>
      <c r="J1505" s="271">
        <v>1229.0</v>
      </c>
      <c r="K1505" s="271">
        <f t="shared" si="1"/>
        <v>61450</v>
      </c>
      <c r="L1505" s="271">
        <v>1202.0</v>
      </c>
      <c r="M1505" s="271">
        <v>-600.0</v>
      </c>
      <c r="N1505" s="275">
        <v>2288.0</v>
      </c>
      <c r="O1505" s="60"/>
      <c r="P1505" s="109">
        <v>2288.0</v>
      </c>
      <c r="Q1505" s="271">
        <v>-3747.0</v>
      </c>
      <c r="R1505" s="276">
        <v>-0.004816</v>
      </c>
      <c r="S1505" s="271">
        <v>-4043.0</v>
      </c>
      <c r="T1505" s="271">
        <v>-1755.0</v>
      </c>
      <c r="U1505" s="62">
        <v>1.0</v>
      </c>
      <c r="V1505" s="277">
        <v>0.25</v>
      </c>
      <c r="W1505" s="277">
        <v>0.0</v>
      </c>
      <c r="X1505" s="271">
        <v>-1316.0</v>
      </c>
      <c r="Y1505" s="271">
        <v>-439.0</v>
      </c>
      <c r="Z1505" s="50" t="b">
        <v>1</v>
      </c>
      <c r="AA1505" s="50" t="s">
        <v>138</v>
      </c>
      <c r="AB1505" s="50" t="s">
        <v>138</v>
      </c>
    </row>
    <row r="1506">
      <c r="A1506" s="280" t="s">
        <v>176</v>
      </c>
      <c r="B1506" s="280" t="s">
        <v>176</v>
      </c>
      <c r="C1506" s="278">
        <v>44713.0</v>
      </c>
      <c r="D1506" s="278">
        <v>44742.0</v>
      </c>
      <c r="E1506" s="271" t="s">
        <v>268</v>
      </c>
      <c r="F1506" s="101" t="s">
        <v>8</v>
      </c>
      <c r="G1506" s="280" t="s">
        <v>5</v>
      </c>
      <c r="H1506" s="273" t="s">
        <v>62</v>
      </c>
      <c r="I1506" s="274">
        <v>25.0</v>
      </c>
      <c r="J1506" s="271">
        <v>2074.0</v>
      </c>
      <c r="K1506" s="271">
        <f t="shared" si="1"/>
        <v>51850</v>
      </c>
      <c r="L1506" s="271">
        <v>77743.0</v>
      </c>
      <c r="M1506" s="271">
        <v>2575.0</v>
      </c>
      <c r="N1506" s="275">
        <v>1763.0</v>
      </c>
      <c r="O1506" s="60"/>
      <c r="P1506" s="109">
        <v>1763.0</v>
      </c>
      <c r="Q1506" s="271">
        <v>286.0</v>
      </c>
      <c r="R1506" s="276">
        <v>-0.00518</v>
      </c>
      <c r="S1506" s="271">
        <v>17.0</v>
      </c>
      <c r="T1506" s="271">
        <v>1780.0</v>
      </c>
      <c r="U1506" s="62">
        <v>1.0</v>
      </c>
      <c r="V1506" s="277">
        <v>0.15</v>
      </c>
      <c r="W1506" s="277">
        <v>0.0</v>
      </c>
      <c r="X1506" s="271">
        <v>1513.0</v>
      </c>
      <c r="Y1506" s="271">
        <v>267.0</v>
      </c>
      <c r="Z1506" s="50" t="b">
        <v>1</v>
      </c>
      <c r="AA1506" s="50" t="s">
        <v>138</v>
      </c>
      <c r="AB1506" s="50" t="s">
        <v>138</v>
      </c>
    </row>
    <row r="1507">
      <c r="A1507" s="280" t="s">
        <v>176</v>
      </c>
      <c r="B1507" s="280" t="s">
        <v>176</v>
      </c>
      <c r="C1507" s="278">
        <v>44737.0</v>
      </c>
      <c r="D1507" s="278">
        <v>44742.0</v>
      </c>
      <c r="E1507" s="271" t="s">
        <v>268</v>
      </c>
      <c r="F1507" s="101" t="s">
        <v>8</v>
      </c>
      <c r="G1507" s="280" t="s">
        <v>5</v>
      </c>
      <c r="H1507" s="273" t="s">
        <v>74</v>
      </c>
      <c r="I1507" s="274">
        <v>50.0</v>
      </c>
      <c r="J1507" s="271">
        <v>378.0</v>
      </c>
      <c r="K1507" s="271">
        <f t="shared" si="1"/>
        <v>18900</v>
      </c>
      <c r="L1507" s="271">
        <v>29319.0</v>
      </c>
      <c r="M1507" s="271">
        <v>1750.0</v>
      </c>
      <c r="N1507" s="275">
        <f>787-44</f>
        <v>743</v>
      </c>
      <c r="O1507" s="60"/>
      <c r="P1507" s="50">
        <v>743.0</v>
      </c>
      <c r="Q1507" s="271">
        <v>1509.0</v>
      </c>
      <c r="R1507" s="276">
        <v>-0.00554</v>
      </c>
      <c r="S1507" s="271">
        <v>1404.0</v>
      </c>
      <c r="T1507" s="271">
        <v>2147.0</v>
      </c>
      <c r="U1507" s="62">
        <v>1.0</v>
      </c>
      <c r="V1507" s="277">
        <v>0.15</v>
      </c>
      <c r="W1507" s="277">
        <v>0.0</v>
      </c>
      <c r="X1507" s="271">
        <v>1825.0</v>
      </c>
      <c r="Y1507" s="271">
        <v>322.0</v>
      </c>
      <c r="Z1507" s="50" t="b">
        <v>1</v>
      </c>
      <c r="AA1507" s="50" t="s">
        <v>138</v>
      </c>
      <c r="AB1507" s="50" t="s">
        <v>138</v>
      </c>
    </row>
    <row r="1508">
      <c r="A1508" s="271" t="s">
        <v>206</v>
      </c>
      <c r="B1508" s="271" t="s">
        <v>206</v>
      </c>
      <c r="C1508" s="278">
        <v>44713.0</v>
      </c>
      <c r="D1508" s="278">
        <v>44742.0</v>
      </c>
      <c r="E1508" s="271" t="s">
        <v>268</v>
      </c>
      <c r="F1508" s="101" t="s">
        <v>12</v>
      </c>
      <c r="G1508" s="271" t="s">
        <v>142</v>
      </c>
      <c r="H1508" s="273" t="s">
        <v>39</v>
      </c>
      <c r="I1508" s="274">
        <v>5.0</v>
      </c>
      <c r="J1508" s="271">
        <v>8.0</v>
      </c>
      <c r="K1508" s="271">
        <f t="shared" si="1"/>
        <v>40</v>
      </c>
      <c r="L1508" s="271">
        <v>-31.0</v>
      </c>
      <c r="M1508" s="271">
        <v>-0.5</v>
      </c>
      <c r="N1508" s="275"/>
      <c r="O1508" s="60">
        <v>0.5</v>
      </c>
      <c r="P1508" s="50">
        <v>1.0</v>
      </c>
      <c r="Q1508" s="271">
        <v>-3.0</v>
      </c>
      <c r="R1508" s="276">
        <v>0.0</v>
      </c>
      <c r="S1508" s="271">
        <v>-3.0</v>
      </c>
      <c r="T1508" s="271">
        <v>1.0</v>
      </c>
      <c r="U1508" s="62">
        <v>1.0</v>
      </c>
      <c r="V1508" s="277">
        <v>0.3</v>
      </c>
      <c r="W1508" s="277">
        <v>0.0</v>
      </c>
      <c r="X1508" s="271">
        <v>1.0</v>
      </c>
      <c r="Y1508" s="271">
        <v>0.0</v>
      </c>
      <c r="Z1508" s="50" t="b">
        <v>1</v>
      </c>
      <c r="AA1508" s="50" t="s">
        <v>138</v>
      </c>
      <c r="AB1508" s="50" t="s">
        <v>138</v>
      </c>
    </row>
    <row r="1509">
      <c r="A1509" s="271" t="s">
        <v>206</v>
      </c>
      <c r="B1509" s="271" t="s">
        <v>206</v>
      </c>
      <c r="C1509" s="278">
        <v>44713.0</v>
      </c>
      <c r="D1509" s="278">
        <v>44742.0</v>
      </c>
      <c r="E1509" s="271" t="s">
        <v>268</v>
      </c>
      <c r="F1509" s="101" t="s">
        <v>12</v>
      </c>
      <c r="G1509" s="271" t="s">
        <v>142</v>
      </c>
      <c r="H1509" s="273" t="s">
        <v>50</v>
      </c>
      <c r="I1509" s="274">
        <v>10.0</v>
      </c>
      <c r="J1509" s="271">
        <v>4.0</v>
      </c>
      <c r="K1509" s="271">
        <f t="shared" si="1"/>
        <v>40</v>
      </c>
      <c r="L1509" s="271">
        <v>168.0</v>
      </c>
      <c r="M1509" s="271">
        <v>-0.5</v>
      </c>
      <c r="N1509" s="275"/>
      <c r="O1509" s="60">
        <v>0.5</v>
      </c>
      <c r="P1509" s="50">
        <v>1.0</v>
      </c>
      <c r="Q1509" s="271">
        <v>0.0</v>
      </c>
      <c r="R1509" s="276">
        <v>0.0</v>
      </c>
      <c r="S1509" s="271">
        <v>0.0</v>
      </c>
      <c r="T1509" s="271">
        <v>1.0</v>
      </c>
      <c r="U1509" s="62">
        <v>1.0</v>
      </c>
      <c r="V1509" s="277">
        <v>0.3</v>
      </c>
      <c r="W1509" s="277">
        <v>0.0</v>
      </c>
      <c r="X1509" s="271">
        <v>1.0</v>
      </c>
      <c r="Y1509" s="271">
        <v>0.0</v>
      </c>
      <c r="Z1509" s="50" t="b">
        <v>1</v>
      </c>
      <c r="AA1509" s="50" t="s">
        <v>138</v>
      </c>
      <c r="AB1509" s="50" t="s">
        <v>138</v>
      </c>
    </row>
    <row r="1510">
      <c r="A1510" s="271" t="s">
        <v>206</v>
      </c>
      <c r="B1510" s="271" t="s">
        <v>206</v>
      </c>
      <c r="C1510" s="278">
        <v>44713.0</v>
      </c>
      <c r="D1510" s="278">
        <v>44742.0</v>
      </c>
      <c r="E1510" s="271" t="s">
        <v>268</v>
      </c>
      <c r="F1510" s="101" t="s">
        <v>12</v>
      </c>
      <c r="G1510" s="271" t="s">
        <v>142</v>
      </c>
      <c r="H1510" s="273" t="s">
        <v>61</v>
      </c>
      <c r="I1510" s="274">
        <v>20.0</v>
      </c>
      <c r="J1510" s="271">
        <v>1718.0</v>
      </c>
      <c r="K1510" s="271">
        <f t="shared" si="1"/>
        <v>34360</v>
      </c>
      <c r="L1510" s="271">
        <v>62360.0</v>
      </c>
      <c r="M1510" s="271">
        <v>-429.1</v>
      </c>
      <c r="N1510" s="275"/>
      <c r="O1510" s="60">
        <v>0.5</v>
      </c>
      <c r="P1510" s="109">
        <v>1203.0</v>
      </c>
      <c r="Q1510" s="271">
        <v>-337.0</v>
      </c>
      <c r="R1510" s="276">
        <v>0.0</v>
      </c>
      <c r="S1510" s="271">
        <v>-337.0</v>
      </c>
      <c r="T1510" s="271">
        <v>774.0</v>
      </c>
      <c r="U1510" s="62">
        <v>1.0</v>
      </c>
      <c r="V1510" s="277">
        <v>0.3</v>
      </c>
      <c r="W1510" s="277">
        <v>0.0</v>
      </c>
      <c r="X1510" s="271">
        <v>541.0</v>
      </c>
      <c r="Y1510" s="271">
        <v>232.0</v>
      </c>
      <c r="Z1510" s="50" t="b">
        <v>1</v>
      </c>
      <c r="AA1510" s="50" t="s">
        <v>138</v>
      </c>
      <c r="AB1510" s="50" t="s">
        <v>138</v>
      </c>
    </row>
    <row r="1511">
      <c r="A1511" s="271" t="s">
        <v>206</v>
      </c>
      <c r="B1511" s="271" t="s">
        <v>206</v>
      </c>
      <c r="C1511" s="278">
        <v>44713.0</v>
      </c>
      <c r="D1511" s="278">
        <v>44742.0</v>
      </c>
      <c r="E1511" s="271" t="s">
        <v>268</v>
      </c>
      <c r="F1511" s="101" t="s">
        <v>12</v>
      </c>
      <c r="G1511" s="271" t="s">
        <v>142</v>
      </c>
      <c r="H1511" s="273" t="s">
        <v>77</v>
      </c>
      <c r="I1511" s="274">
        <v>50.0</v>
      </c>
      <c r="J1511" s="271">
        <v>160.0</v>
      </c>
      <c r="K1511" s="271">
        <f t="shared" si="1"/>
        <v>8000</v>
      </c>
      <c r="L1511" s="271">
        <v>4860.0</v>
      </c>
      <c r="M1511" s="271">
        <v>-99.91</v>
      </c>
      <c r="N1511" s="275"/>
      <c r="O1511" s="60">
        <v>0.5</v>
      </c>
      <c r="P1511" s="50">
        <v>280.0</v>
      </c>
      <c r="Q1511" s="271">
        <v>-166.0</v>
      </c>
      <c r="R1511" s="276">
        <v>0.0</v>
      </c>
      <c r="S1511" s="271">
        <v>-166.0</v>
      </c>
      <c r="T1511" s="271">
        <v>180.0</v>
      </c>
      <c r="U1511" s="62">
        <v>1.0</v>
      </c>
      <c r="V1511" s="277">
        <v>0.3</v>
      </c>
      <c r="W1511" s="277">
        <v>0.0</v>
      </c>
      <c r="X1511" s="271">
        <v>126.0</v>
      </c>
      <c r="Y1511" s="271">
        <v>54.0</v>
      </c>
      <c r="Z1511" s="50" t="b">
        <v>1</v>
      </c>
      <c r="AA1511" s="50" t="s">
        <v>138</v>
      </c>
      <c r="AB1511" s="50" t="s">
        <v>138</v>
      </c>
    </row>
    <row r="1512">
      <c r="A1512" s="101" t="s">
        <v>529</v>
      </c>
      <c r="B1512" s="101" t="s">
        <v>147</v>
      </c>
      <c r="C1512" s="278">
        <v>44713.0</v>
      </c>
      <c r="D1512" s="278">
        <v>44742.0</v>
      </c>
      <c r="E1512" s="271" t="s">
        <v>268</v>
      </c>
      <c r="F1512" s="101" t="s">
        <v>12</v>
      </c>
      <c r="G1512" s="271" t="s">
        <v>13</v>
      </c>
      <c r="H1512" s="273" t="s">
        <v>59</v>
      </c>
      <c r="I1512" s="274">
        <v>20.0</v>
      </c>
      <c r="J1512" s="271">
        <v>6427.0</v>
      </c>
      <c r="K1512" s="271">
        <f t="shared" si="1"/>
        <v>128540</v>
      </c>
      <c r="L1512" s="271">
        <v>55430.0</v>
      </c>
      <c r="M1512" s="271">
        <v>-4580.0</v>
      </c>
      <c r="N1512" s="275">
        <f>5730+20*58</f>
        <v>6890</v>
      </c>
      <c r="O1512" s="60"/>
      <c r="P1512" s="109">
        <v>6890.0</v>
      </c>
      <c r="Q1512" s="271">
        <v>-6237.0</v>
      </c>
      <c r="R1512" s="276">
        <v>0.0</v>
      </c>
      <c r="S1512" s="271">
        <v>-6237.0</v>
      </c>
      <c r="T1512" s="271">
        <v>2310.0</v>
      </c>
      <c r="U1512" s="62">
        <v>1.0</v>
      </c>
      <c r="V1512" s="277">
        <v>0.17</v>
      </c>
      <c r="W1512" s="277">
        <v>0.0</v>
      </c>
      <c r="X1512" s="271">
        <v>1917.0</v>
      </c>
      <c r="Y1512" s="271">
        <v>393.0</v>
      </c>
      <c r="Z1512" s="50" t="b">
        <v>1</v>
      </c>
      <c r="AA1512" s="50" t="s">
        <v>138</v>
      </c>
      <c r="AB1512" s="50" t="s">
        <v>138</v>
      </c>
    </row>
    <row r="1513">
      <c r="A1513" s="280" t="s">
        <v>210</v>
      </c>
      <c r="B1513" s="280" t="s">
        <v>211</v>
      </c>
      <c r="C1513" s="278">
        <v>44713.0</v>
      </c>
      <c r="D1513" s="278">
        <v>44742.0</v>
      </c>
      <c r="E1513" s="101" t="s">
        <v>268</v>
      </c>
      <c r="F1513" s="101" t="s">
        <v>12</v>
      </c>
      <c r="G1513" s="280" t="s">
        <v>16</v>
      </c>
      <c r="H1513" s="290" t="s">
        <v>45</v>
      </c>
      <c r="I1513" s="274">
        <v>10.0</v>
      </c>
      <c r="J1513" s="271">
        <v>2.0</v>
      </c>
      <c r="K1513" s="271">
        <f t="shared" si="1"/>
        <v>20</v>
      </c>
      <c r="L1513" s="271">
        <v>792.0</v>
      </c>
      <c r="M1513" s="271">
        <v>100.0</v>
      </c>
      <c r="N1513" s="275">
        <v>74.0</v>
      </c>
      <c r="O1513" s="60"/>
      <c r="P1513" s="50">
        <v>74.0</v>
      </c>
      <c r="Q1513" s="271">
        <v>14.0</v>
      </c>
      <c r="R1513" s="276">
        <v>-0.001335</v>
      </c>
      <c r="S1513" s="271">
        <v>13.0</v>
      </c>
      <c r="T1513" s="271">
        <v>174.0</v>
      </c>
      <c r="U1513" s="62">
        <v>0.996</v>
      </c>
      <c r="V1513" s="277">
        <v>0.3</v>
      </c>
      <c r="W1513" s="277">
        <v>0.0</v>
      </c>
      <c r="X1513" s="271">
        <v>121.0</v>
      </c>
      <c r="Y1513" s="271">
        <v>52.0</v>
      </c>
      <c r="Z1513" s="50" t="b">
        <v>1</v>
      </c>
      <c r="AA1513" s="50" t="s">
        <v>140</v>
      </c>
      <c r="AB1513" s="50" t="s">
        <v>138</v>
      </c>
    </row>
    <row r="1514">
      <c r="A1514" s="280" t="s">
        <v>210</v>
      </c>
      <c r="B1514" s="280" t="s">
        <v>211</v>
      </c>
      <c r="C1514" s="278">
        <v>44713.0</v>
      </c>
      <c r="D1514" s="278">
        <v>44742.0</v>
      </c>
      <c r="E1514" s="101" t="s">
        <v>268</v>
      </c>
      <c r="F1514" s="101" t="s">
        <v>12</v>
      </c>
      <c r="G1514" s="280" t="s">
        <v>16</v>
      </c>
      <c r="H1514" s="290" t="s">
        <v>59</v>
      </c>
      <c r="I1514" s="274">
        <v>20.0</v>
      </c>
      <c r="J1514" s="271">
        <v>363.0</v>
      </c>
      <c r="K1514" s="271">
        <f t="shared" si="1"/>
        <v>7260</v>
      </c>
      <c r="L1514" s="271">
        <v>1769.0</v>
      </c>
      <c r="M1514" s="271">
        <v>-460.0</v>
      </c>
      <c r="N1514" s="275">
        <v>388.0</v>
      </c>
      <c r="O1514" s="60"/>
      <c r="P1514" s="50">
        <v>388.0</v>
      </c>
      <c r="Q1514" s="271">
        <v>-399.0</v>
      </c>
      <c r="R1514" s="276">
        <v>-0.001335</v>
      </c>
      <c r="S1514" s="271">
        <v>-408.0</v>
      </c>
      <c r="T1514" s="271">
        <v>-72.0</v>
      </c>
      <c r="U1514" s="62">
        <v>0.996</v>
      </c>
      <c r="V1514" s="277">
        <v>0.3</v>
      </c>
      <c r="W1514" s="277">
        <v>0.0</v>
      </c>
      <c r="X1514" s="271">
        <v>-50.0</v>
      </c>
      <c r="Y1514" s="271">
        <v>-22.0</v>
      </c>
      <c r="Z1514" s="50" t="b">
        <v>1</v>
      </c>
      <c r="AA1514" s="50" t="s">
        <v>140</v>
      </c>
      <c r="AB1514" s="50" t="s">
        <v>138</v>
      </c>
    </row>
    <row r="1515">
      <c r="A1515" s="280" t="s">
        <v>210</v>
      </c>
      <c r="B1515" s="280" t="s">
        <v>211</v>
      </c>
      <c r="C1515" s="283">
        <v>44713.0</v>
      </c>
      <c r="D1515" s="283">
        <v>44742.0</v>
      </c>
      <c r="E1515" s="280" t="s">
        <v>268</v>
      </c>
      <c r="F1515" s="138" t="s">
        <v>12</v>
      </c>
      <c r="G1515" s="280" t="s">
        <v>16</v>
      </c>
      <c r="H1515" s="290" t="s">
        <v>35</v>
      </c>
      <c r="I1515" s="281">
        <v>5.0</v>
      </c>
      <c r="J1515" s="280">
        <v>17.0</v>
      </c>
      <c r="K1515" s="271">
        <f t="shared" si="1"/>
        <v>85</v>
      </c>
      <c r="L1515" s="280"/>
      <c r="M1515" s="280">
        <v>5.0</v>
      </c>
      <c r="N1515" s="282">
        <v>0.0</v>
      </c>
      <c r="O1515" s="60"/>
      <c r="P1515" s="50">
        <v>0.0</v>
      </c>
      <c r="Q1515" s="280"/>
      <c r="R1515" s="276">
        <v>0.0</v>
      </c>
      <c r="S1515" s="280"/>
      <c r="T1515" s="280">
        <v>5.0</v>
      </c>
      <c r="U1515" s="62">
        <v>0.996</v>
      </c>
      <c r="V1515" s="277">
        <v>0.3</v>
      </c>
      <c r="W1515" s="277">
        <v>0.0</v>
      </c>
      <c r="X1515" s="280">
        <v>3.0</v>
      </c>
      <c r="Y1515" s="280">
        <v>1.0</v>
      </c>
      <c r="Z1515" s="50" t="b">
        <v>1</v>
      </c>
      <c r="AA1515" s="50" t="s">
        <v>140</v>
      </c>
      <c r="AB1515" s="50" t="s">
        <v>138</v>
      </c>
    </row>
    <row r="1516">
      <c r="A1516" s="280" t="s">
        <v>233</v>
      </c>
      <c r="B1516" s="280" t="s">
        <v>212</v>
      </c>
      <c r="C1516" s="283">
        <v>44713.0</v>
      </c>
      <c r="D1516" s="283">
        <v>44742.0</v>
      </c>
      <c r="E1516" s="280" t="s">
        <v>268</v>
      </c>
      <c r="F1516" s="138" t="s">
        <v>12</v>
      </c>
      <c r="G1516" s="280" t="s">
        <v>142</v>
      </c>
      <c r="H1516" s="290" t="s">
        <v>50</v>
      </c>
      <c r="I1516" s="281">
        <v>10.0</v>
      </c>
      <c r="J1516" s="280">
        <v>8.0</v>
      </c>
      <c r="K1516" s="271">
        <f t="shared" si="1"/>
        <v>80</v>
      </c>
      <c r="L1516" s="280">
        <v>-448.0</v>
      </c>
      <c r="M1516" s="280">
        <v>-1.82</v>
      </c>
      <c r="N1516" s="282"/>
      <c r="O1516" s="60">
        <v>0.5</v>
      </c>
      <c r="P1516" s="50">
        <v>3.0</v>
      </c>
      <c r="Q1516" s="280">
        <v>-14.0</v>
      </c>
      <c r="R1516" s="276">
        <v>0.0</v>
      </c>
      <c r="S1516" s="280">
        <v>-14.0</v>
      </c>
      <c r="T1516" s="280">
        <v>1.0</v>
      </c>
      <c r="U1516" s="62">
        <v>0.935</v>
      </c>
      <c r="V1516" s="277">
        <v>0.3</v>
      </c>
      <c r="W1516" s="277">
        <v>0.0</v>
      </c>
      <c r="X1516" s="280">
        <v>1.0</v>
      </c>
      <c r="Y1516" s="280">
        <v>0.0</v>
      </c>
      <c r="Z1516" s="50" t="b">
        <v>1</v>
      </c>
      <c r="AA1516" s="50" t="s">
        <v>140</v>
      </c>
      <c r="AB1516" s="50" t="s">
        <v>138</v>
      </c>
    </row>
    <row r="1517">
      <c r="A1517" s="280" t="s">
        <v>233</v>
      </c>
      <c r="B1517" s="280" t="s">
        <v>212</v>
      </c>
      <c r="C1517" s="283">
        <v>44713.0</v>
      </c>
      <c r="D1517" s="283">
        <v>44742.0</v>
      </c>
      <c r="E1517" s="280" t="s">
        <v>268</v>
      </c>
      <c r="F1517" s="138" t="s">
        <v>12</v>
      </c>
      <c r="G1517" s="280" t="s">
        <v>142</v>
      </c>
      <c r="H1517" s="290" t="s">
        <v>61</v>
      </c>
      <c r="I1517" s="281">
        <v>20.0</v>
      </c>
      <c r="J1517" s="280">
        <v>1892.0</v>
      </c>
      <c r="K1517" s="271">
        <f t="shared" si="1"/>
        <v>37840</v>
      </c>
      <c r="L1517" s="280">
        <v>93921.0</v>
      </c>
      <c r="M1517" s="280">
        <v>-862.18</v>
      </c>
      <c r="N1517" s="282"/>
      <c r="O1517" s="60">
        <v>0.5</v>
      </c>
      <c r="P1517" s="109">
        <v>1324.0</v>
      </c>
      <c r="Q1517" s="280">
        <v>558.0</v>
      </c>
      <c r="R1517" s="276">
        <v>0.0</v>
      </c>
      <c r="S1517" s="280">
        <v>558.0</v>
      </c>
      <c r="T1517" s="280">
        <v>462.0</v>
      </c>
      <c r="U1517" s="62">
        <v>0.935</v>
      </c>
      <c r="V1517" s="277">
        <v>0.3</v>
      </c>
      <c r="W1517" s="277">
        <v>0.0</v>
      </c>
      <c r="X1517" s="280">
        <v>302.0</v>
      </c>
      <c r="Y1517" s="280">
        <v>130.0</v>
      </c>
      <c r="Z1517" s="50" t="b">
        <v>1</v>
      </c>
      <c r="AA1517" s="50" t="s">
        <v>140</v>
      </c>
      <c r="AB1517" s="50" t="s">
        <v>138</v>
      </c>
    </row>
    <row r="1518">
      <c r="A1518" s="280" t="s">
        <v>154</v>
      </c>
      <c r="B1518" s="280" t="s">
        <v>155</v>
      </c>
      <c r="C1518" s="283">
        <v>44713.0</v>
      </c>
      <c r="D1518" s="283">
        <v>44742.0</v>
      </c>
      <c r="E1518" s="280" t="s">
        <v>268</v>
      </c>
      <c r="F1518" s="138" t="s">
        <v>8</v>
      </c>
      <c r="G1518" s="280" t="s">
        <v>9</v>
      </c>
      <c r="H1518" s="273" t="s">
        <v>78</v>
      </c>
      <c r="I1518" s="281">
        <v>50.0</v>
      </c>
      <c r="J1518" s="280">
        <v>401.0</v>
      </c>
      <c r="K1518" s="271">
        <f t="shared" si="1"/>
        <v>20050</v>
      </c>
      <c r="L1518" s="280">
        <v>9157.0</v>
      </c>
      <c r="M1518" s="280">
        <v>-2300.0</v>
      </c>
      <c r="N1518" s="282">
        <v>475.0</v>
      </c>
      <c r="O1518" s="60"/>
      <c r="P1518" s="50">
        <v>475.0</v>
      </c>
      <c r="Q1518" s="280">
        <v>-977.0</v>
      </c>
      <c r="R1518" s="276">
        <v>-0.00488</v>
      </c>
      <c r="S1518" s="280">
        <v>-1075.0</v>
      </c>
      <c r="T1518" s="280">
        <v>-600.0</v>
      </c>
      <c r="U1518" s="62">
        <v>1.021</v>
      </c>
      <c r="V1518" s="277">
        <v>0.25</v>
      </c>
      <c r="W1518" s="277">
        <v>0.0</v>
      </c>
      <c r="X1518" s="280">
        <v>-459.0</v>
      </c>
      <c r="Y1518" s="280">
        <v>-153.0</v>
      </c>
      <c r="Z1518" s="50" t="b">
        <v>1</v>
      </c>
      <c r="AA1518" s="50" t="s">
        <v>138</v>
      </c>
      <c r="AB1518" s="50" t="s">
        <v>140</v>
      </c>
    </row>
    <row r="1519">
      <c r="A1519" s="101" t="s">
        <v>267</v>
      </c>
      <c r="B1519" s="101" t="s">
        <v>267</v>
      </c>
      <c r="C1519" s="278">
        <v>44733.0</v>
      </c>
      <c r="D1519" s="278">
        <v>44762.0</v>
      </c>
      <c r="E1519" s="271" t="s">
        <v>268</v>
      </c>
      <c r="F1519" s="138" t="s">
        <v>4</v>
      </c>
      <c r="G1519" s="101" t="s">
        <v>5</v>
      </c>
      <c r="H1519" s="273" t="s">
        <v>45</v>
      </c>
      <c r="I1519" s="274">
        <v>10.0</v>
      </c>
      <c r="J1519" s="271">
        <v>459.0</v>
      </c>
      <c r="K1519" s="271">
        <f t="shared" si="1"/>
        <v>4590</v>
      </c>
      <c r="L1519" s="271">
        <v>7128.0</v>
      </c>
      <c r="M1519" s="271">
        <v>-250.0</v>
      </c>
      <c r="N1519" s="275">
        <v>149.0</v>
      </c>
      <c r="O1519" s="60"/>
      <c r="P1519" s="50">
        <v>149.0</v>
      </c>
      <c r="Q1519" s="271">
        <v>-209.0</v>
      </c>
      <c r="R1519" s="276">
        <v>-0.001335</v>
      </c>
      <c r="S1519" s="271">
        <v>-215.0</v>
      </c>
      <c r="T1519" s="271">
        <v>-66.0</v>
      </c>
      <c r="U1519" s="62">
        <v>1.0</v>
      </c>
      <c r="V1519" s="277">
        <v>0.15</v>
      </c>
      <c r="W1519" s="277">
        <v>0.0</v>
      </c>
      <c r="X1519" s="271">
        <v>-56.0</v>
      </c>
      <c r="Y1519" s="271">
        <v>-10.0</v>
      </c>
      <c r="Z1519" s="50" t="b">
        <v>1</v>
      </c>
      <c r="AA1519" s="50" t="s">
        <v>138</v>
      </c>
      <c r="AB1519" s="50" t="s">
        <v>138</v>
      </c>
    </row>
    <row r="1520">
      <c r="A1520" s="101" t="s">
        <v>267</v>
      </c>
      <c r="B1520" s="101" t="s">
        <v>267</v>
      </c>
      <c r="C1520" s="278">
        <v>44733.0</v>
      </c>
      <c r="D1520" s="278">
        <v>44762.0</v>
      </c>
      <c r="E1520" s="271" t="s">
        <v>268</v>
      </c>
      <c r="F1520" s="138" t="s">
        <v>4</v>
      </c>
      <c r="G1520" s="101" t="s">
        <v>5</v>
      </c>
      <c r="H1520" s="273" t="s">
        <v>48</v>
      </c>
      <c r="I1520" s="274">
        <v>10.0</v>
      </c>
      <c r="J1520" s="271">
        <v>139.0</v>
      </c>
      <c r="K1520" s="271">
        <f t="shared" si="1"/>
        <v>1390</v>
      </c>
      <c r="L1520" s="271">
        <v>-709.0</v>
      </c>
      <c r="M1520" s="271">
        <v>-100.0</v>
      </c>
      <c r="N1520" s="275">
        <v>45.0</v>
      </c>
      <c r="O1520" s="60"/>
      <c r="P1520" s="50">
        <v>45.0</v>
      </c>
      <c r="Q1520" s="271">
        <v>-175.0</v>
      </c>
      <c r="R1520" s="276">
        <v>-0.001335</v>
      </c>
      <c r="S1520" s="271">
        <v>-176.0</v>
      </c>
      <c r="T1520" s="271">
        <v>-131.0</v>
      </c>
      <c r="U1520" s="62">
        <v>1.0</v>
      </c>
      <c r="V1520" s="277">
        <v>0.15</v>
      </c>
      <c r="W1520" s="277">
        <v>0.0</v>
      </c>
      <c r="X1520" s="271">
        <v>-112.0</v>
      </c>
      <c r="Y1520" s="271">
        <v>-20.0</v>
      </c>
      <c r="Z1520" s="50" t="b">
        <v>1</v>
      </c>
      <c r="AA1520" s="50" t="s">
        <v>138</v>
      </c>
      <c r="AB1520" s="50" t="s">
        <v>138</v>
      </c>
    </row>
    <row r="1521">
      <c r="A1521" s="101" t="s">
        <v>267</v>
      </c>
      <c r="B1521" s="101" t="s">
        <v>267</v>
      </c>
      <c r="C1521" s="278">
        <v>44733.0</v>
      </c>
      <c r="D1521" s="278">
        <v>44762.0</v>
      </c>
      <c r="E1521" s="271" t="s">
        <v>268</v>
      </c>
      <c r="F1521" s="138" t="s">
        <v>4</v>
      </c>
      <c r="G1521" s="101" t="s">
        <v>5</v>
      </c>
      <c r="H1521" s="273" t="s">
        <v>62</v>
      </c>
      <c r="I1521" s="274">
        <v>25.0</v>
      </c>
      <c r="J1521" s="271">
        <v>797.0</v>
      </c>
      <c r="K1521" s="271">
        <f t="shared" si="1"/>
        <v>19925</v>
      </c>
      <c r="L1521" s="271">
        <v>24309.0</v>
      </c>
      <c r="M1521" s="271">
        <v>575.0</v>
      </c>
      <c r="N1521" s="275">
        <v>553.0</v>
      </c>
      <c r="O1521" s="60"/>
      <c r="P1521" s="50">
        <v>553.0</v>
      </c>
      <c r="Q1521" s="271">
        <v>-198.0</v>
      </c>
      <c r="R1521" s="276">
        <v>-0.001335</v>
      </c>
      <c r="S1521" s="271">
        <v>-225.0</v>
      </c>
      <c r="T1521" s="271">
        <v>328.0</v>
      </c>
      <c r="U1521" s="62">
        <v>1.0</v>
      </c>
      <c r="V1521" s="277">
        <v>0.15</v>
      </c>
      <c r="W1521" s="277">
        <v>0.0</v>
      </c>
      <c r="X1521" s="271">
        <v>279.0</v>
      </c>
      <c r="Y1521" s="271">
        <v>49.0</v>
      </c>
      <c r="Z1521" s="50" t="b">
        <v>1</v>
      </c>
      <c r="AA1521" s="50" t="s">
        <v>138</v>
      </c>
      <c r="AB1521" s="50" t="s">
        <v>138</v>
      </c>
    </row>
    <row r="1522">
      <c r="A1522" s="101" t="s">
        <v>267</v>
      </c>
      <c r="B1522" s="101" t="s">
        <v>267</v>
      </c>
      <c r="C1522" s="278">
        <v>44733.0</v>
      </c>
      <c r="D1522" s="278">
        <v>44762.0</v>
      </c>
      <c r="E1522" s="271" t="s">
        <v>268</v>
      </c>
      <c r="F1522" s="138" t="s">
        <v>4</v>
      </c>
      <c r="G1522" s="101" t="s">
        <v>5</v>
      </c>
      <c r="H1522" s="273" t="s">
        <v>63</v>
      </c>
      <c r="I1522" s="274">
        <v>25.0</v>
      </c>
      <c r="J1522" s="271">
        <v>40.0</v>
      </c>
      <c r="K1522" s="271">
        <f t="shared" si="1"/>
        <v>1000</v>
      </c>
      <c r="L1522" s="271">
        <v>-1484.0</v>
      </c>
      <c r="M1522" s="271">
        <v>-175.0</v>
      </c>
      <c r="N1522" s="275">
        <v>28.0</v>
      </c>
      <c r="O1522" s="60"/>
      <c r="P1522" s="50">
        <v>28.0</v>
      </c>
      <c r="Q1522" s="271">
        <v>-192.0</v>
      </c>
      <c r="R1522" s="276">
        <v>-0.001335</v>
      </c>
      <c r="S1522" s="271">
        <v>-193.0</v>
      </c>
      <c r="T1522" s="271">
        <v>-165.0</v>
      </c>
      <c r="U1522" s="62">
        <v>1.0</v>
      </c>
      <c r="V1522" s="277">
        <v>0.15</v>
      </c>
      <c r="W1522" s="277">
        <v>0.0</v>
      </c>
      <c r="X1522" s="271">
        <v>-140.0</v>
      </c>
      <c r="Y1522" s="271">
        <v>-25.0</v>
      </c>
      <c r="Z1522" s="50" t="b">
        <v>1</v>
      </c>
      <c r="AA1522" s="50" t="s">
        <v>138</v>
      </c>
      <c r="AB1522" s="50" t="s">
        <v>138</v>
      </c>
    </row>
    <row r="1523">
      <c r="A1523" s="101" t="s">
        <v>148</v>
      </c>
      <c r="B1523" s="101" t="s">
        <v>148</v>
      </c>
      <c r="C1523" s="278">
        <v>44733.0</v>
      </c>
      <c r="D1523" s="278">
        <v>44762.0</v>
      </c>
      <c r="E1523" s="271" t="s">
        <v>331</v>
      </c>
      <c r="F1523" s="138" t="s">
        <v>4</v>
      </c>
      <c r="G1523" s="101" t="s">
        <v>5</v>
      </c>
      <c r="H1523" s="273" t="s">
        <v>85</v>
      </c>
      <c r="I1523" s="274">
        <v>100.0</v>
      </c>
      <c r="J1523" s="271">
        <v>1700.0</v>
      </c>
      <c r="K1523" s="271">
        <f t="shared" si="1"/>
        <v>170000</v>
      </c>
      <c r="L1523" s="271">
        <v>48559.0</v>
      </c>
      <c r="M1523" s="271">
        <v>-3300.0</v>
      </c>
      <c r="N1523" s="275">
        <v>2900.0</v>
      </c>
      <c r="O1523" s="60"/>
      <c r="P1523" s="109">
        <v>2900.0</v>
      </c>
      <c r="Q1523" s="271">
        <v>-172.0</v>
      </c>
      <c r="R1523" s="276">
        <v>-0.001335</v>
      </c>
      <c r="S1523" s="271">
        <v>-399.0</v>
      </c>
      <c r="T1523" s="271">
        <v>2501.0</v>
      </c>
      <c r="U1523" s="62">
        <v>1.0</v>
      </c>
      <c r="V1523" s="277">
        <v>0.15</v>
      </c>
      <c r="W1523" s="277">
        <v>0.05</v>
      </c>
      <c r="X1523" s="271">
        <v>2001.0</v>
      </c>
      <c r="Y1523" s="271">
        <v>500.0</v>
      </c>
      <c r="Z1523" s="50" t="b">
        <v>1</v>
      </c>
      <c r="AA1523" s="50" t="s">
        <v>138</v>
      </c>
      <c r="AB1523" s="50" t="s">
        <v>138</v>
      </c>
    </row>
    <row r="1524">
      <c r="A1524" s="280" t="s">
        <v>345</v>
      </c>
      <c r="B1524" s="280" t="s">
        <v>905</v>
      </c>
      <c r="C1524" s="283">
        <v>44733.0</v>
      </c>
      <c r="D1524" s="283">
        <v>44762.0</v>
      </c>
      <c r="E1524" s="280" t="s">
        <v>331</v>
      </c>
      <c r="F1524" s="138" t="s">
        <v>4</v>
      </c>
      <c r="G1524" s="271" t="s">
        <v>13</v>
      </c>
      <c r="H1524" s="290" t="s">
        <v>59</v>
      </c>
      <c r="I1524" s="274">
        <v>20.0</v>
      </c>
      <c r="J1524" s="271">
        <v>1.0</v>
      </c>
      <c r="K1524" s="271">
        <f t="shared" si="1"/>
        <v>20</v>
      </c>
      <c r="L1524" s="271">
        <v>-96.0</v>
      </c>
      <c r="M1524" s="271">
        <v>-20.0</v>
      </c>
      <c r="N1524" s="275">
        <f>7.09*8</f>
        <v>56.72</v>
      </c>
      <c r="O1524" s="60"/>
      <c r="P1524" s="50">
        <v>57.0</v>
      </c>
      <c r="Q1524" s="271">
        <v>-7.0</v>
      </c>
      <c r="R1524" s="276">
        <v>-0.0015</v>
      </c>
      <c r="S1524" s="271">
        <v>-7.0</v>
      </c>
      <c r="T1524" s="271">
        <v>50.0</v>
      </c>
      <c r="U1524" s="62">
        <v>1.0</v>
      </c>
      <c r="V1524" s="277">
        <v>0.15</v>
      </c>
      <c r="W1524" s="277">
        <v>0.1</v>
      </c>
      <c r="X1524" s="271">
        <v>37.0</v>
      </c>
      <c r="Y1524" s="271">
        <v>12.0</v>
      </c>
      <c r="Z1524" s="50" t="b">
        <v>1</v>
      </c>
      <c r="AA1524" s="50" t="s">
        <v>138</v>
      </c>
      <c r="AB1524" s="50" t="s">
        <v>138</v>
      </c>
    </row>
    <row r="1525">
      <c r="A1525" s="280" t="s">
        <v>345</v>
      </c>
      <c r="B1525" s="280" t="s">
        <v>905</v>
      </c>
      <c r="C1525" s="283">
        <v>44733.0</v>
      </c>
      <c r="D1525" s="283">
        <v>44762.0</v>
      </c>
      <c r="E1525" s="280" t="s">
        <v>331</v>
      </c>
      <c r="F1525" s="101" t="s">
        <v>12</v>
      </c>
      <c r="G1525" s="271" t="s">
        <v>13</v>
      </c>
      <c r="H1525" s="290" t="s">
        <v>45</v>
      </c>
      <c r="I1525" s="274">
        <v>10.0</v>
      </c>
      <c r="J1525" s="271">
        <v>369.0</v>
      </c>
      <c r="K1525" s="271">
        <f t="shared" si="1"/>
        <v>3690</v>
      </c>
      <c r="L1525" s="271">
        <f>20*369</f>
        <v>7380</v>
      </c>
      <c r="M1525" s="271">
        <v>110.0</v>
      </c>
      <c r="N1525" s="275">
        <f>4*10+82.25+33.64</f>
        <v>155.89</v>
      </c>
      <c r="O1525" s="60"/>
      <c r="P1525" s="50">
        <v>156.0</v>
      </c>
      <c r="Q1525" s="271">
        <v>-58.0</v>
      </c>
      <c r="R1525" s="276">
        <v>0.0</v>
      </c>
      <c r="S1525" s="271">
        <v>-58.0</v>
      </c>
      <c r="T1525" s="271">
        <v>266.0</v>
      </c>
      <c r="U1525" s="62">
        <v>1.0</v>
      </c>
      <c r="V1525" s="277">
        <v>0.15</v>
      </c>
      <c r="W1525" s="277">
        <v>0.1</v>
      </c>
      <c r="X1525" s="271">
        <v>199.0</v>
      </c>
      <c r="Y1525" s="271">
        <v>66.0</v>
      </c>
      <c r="Z1525" s="50" t="b">
        <v>1</v>
      </c>
      <c r="AA1525" s="50" t="s">
        <v>138</v>
      </c>
      <c r="AB1525" s="50" t="s">
        <v>138</v>
      </c>
    </row>
    <row r="1526">
      <c r="A1526" s="280" t="s">
        <v>345</v>
      </c>
      <c r="B1526" s="280" t="s">
        <v>992</v>
      </c>
      <c r="C1526" s="283">
        <v>44733.0</v>
      </c>
      <c r="D1526" s="278">
        <v>44762.0</v>
      </c>
      <c r="E1526" s="271" t="s">
        <v>331</v>
      </c>
      <c r="F1526" s="101" t="s">
        <v>4</v>
      </c>
      <c r="G1526" s="271" t="s">
        <v>9</v>
      </c>
      <c r="H1526" s="290" t="s">
        <v>52</v>
      </c>
      <c r="I1526" s="274">
        <v>10.0</v>
      </c>
      <c r="J1526" s="271">
        <v>1521.0</v>
      </c>
      <c r="K1526" s="271">
        <f t="shared" si="1"/>
        <v>15210</v>
      </c>
      <c r="L1526" s="271">
        <v>77751.0</v>
      </c>
      <c r="M1526" s="271">
        <v>-1246.0</v>
      </c>
      <c r="N1526" s="275">
        <v>510.0</v>
      </c>
      <c r="O1526" s="60"/>
      <c r="P1526" s="50">
        <v>510.0</v>
      </c>
      <c r="Q1526" s="271">
        <v>-45.0</v>
      </c>
      <c r="R1526" s="276">
        <v>-0.001335</v>
      </c>
      <c r="S1526" s="271">
        <v>-65.0</v>
      </c>
      <c r="T1526" s="271">
        <v>445.0</v>
      </c>
      <c r="U1526" s="62">
        <v>1.0</v>
      </c>
      <c r="V1526" s="277">
        <v>0.15</v>
      </c>
      <c r="W1526" s="277">
        <v>0.1</v>
      </c>
      <c r="X1526" s="271">
        <v>334.0</v>
      </c>
      <c r="Y1526" s="271">
        <v>111.0</v>
      </c>
      <c r="Z1526" s="50" t="b">
        <v>1</v>
      </c>
      <c r="AA1526" s="50" t="s">
        <v>140</v>
      </c>
      <c r="AB1526" s="50" t="s">
        <v>140</v>
      </c>
    </row>
    <row r="1527">
      <c r="A1527" s="280" t="s">
        <v>345</v>
      </c>
      <c r="B1527" s="280" t="s">
        <v>992</v>
      </c>
      <c r="C1527" s="283">
        <v>44733.0</v>
      </c>
      <c r="D1527" s="278">
        <v>44762.0</v>
      </c>
      <c r="E1527" s="271" t="s">
        <v>331</v>
      </c>
      <c r="F1527" s="101" t="s">
        <v>4</v>
      </c>
      <c r="G1527" s="271" t="s">
        <v>9</v>
      </c>
      <c r="H1527" s="273" t="s">
        <v>65</v>
      </c>
      <c r="I1527" s="274">
        <v>25.0</v>
      </c>
      <c r="J1527" s="271">
        <v>80.0</v>
      </c>
      <c r="K1527" s="271">
        <f t="shared" si="1"/>
        <v>2000</v>
      </c>
      <c r="L1527" s="271">
        <v>5676.0</v>
      </c>
      <c r="M1527" s="271">
        <v>77.0</v>
      </c>
      <c r="N1527" s="275">
        <v>1.0</v>
      </c>
      <c r="O1527" s="60"/>
      <c r="P1527" s="50">
        <v>1.0</v>
      </c>
      <c r="Q1527" s="271">
        <v>71.0</v>
      </c>
      <c r="R1527" s="276">
        <v>-0.001335</v>
      </c>
      <c r="S1527" s="271">
        <v>68.0</v>
      </c>
      <c r="T1527" s="271">
        <v>69.0</v>
      </c>
      <c r="U1527" s="62">
        <v>1.0</v>
      </c>
      <c r="V1527" s="277">
        <v>0.15</v>
      </c>
      <c r="W1527" s="277">
        <v>0.1</v>
      </c>
      <c r="X1527" s="271">
        <v>52.0</v>
      </c>
      <c r="Y1527" s="271">
        <v>17.0</v>
      </c>
      <c r="Z1527" s="50" t="b">
        <v>1</v>
      </c>
      <c r="AA1527" s="50" t="s">
        <v>140</v>
      </c>
      <c r="AB1527" s="50" t="s">
        <v>140</v>
      </c>
    </row>
    <row r="1528">
      <c r="A1528" s="101" t="s">
        <v>170</v>
      </c>
      <c r="B1528" s="101" t="s">
        <v>170</v>
      </c>
      <c r="C1528" s="278">
        <v>44733.0</v>
      </c>
      <c r="D1528" s="278">
        <v>44762.0</v>
      </c>
      <c r="E1528" s="271" t="s">
        <v>268</v>
      </c>
      <c r="F1528" s="101" t="s">
        <v>4</v>
      </c>
      <c r="G1528" s="271" t="s">
        <v>5</v>
      </c>
      <c r="H1528" s="273" t="s">
        <v>35</v>
      </c>
      <c r="I1528" s="274">
        <v>5.0</v>
      </c>
      <c r="J1528" s="271">
        <v>258.0</v>
      </c>
      <c r="K1528" s="271">
        <f t="shared" si="1"/>
        <v>1290</v>
      </c>
      <c r="L1528" s="271">
        <v>6431.0</v>
      </c>
      <c r="M1528" s="271">
        <v>-45.0</v>
      </c>
      <c r="N1528" s="275">
        <v>74.0</v>
      </c>
      <c r="O1528" s="60"/>
      <c r="P1528" s="50">
        <v>74.0</v>
      </c>
      <c r="Q1528" s="271">
        <v>-55.0</v>
      </c>
      <c r="R1528" s="276">
        <v>-0.001335</v>
      </c>
      <c r="S1528" s="271">
        <v>-57.0</v>
      </c>
      <c r="T1528" s="271">
        <v>17.0</v>
      </c>
      <c r="U1528" s="62">
        <v>1.0</v>
      </c>
      <c r="V1528" s="277">
        <v>0.17</v>
      </c>
      <c r="W1528" s="277">
        <v>0.0</v>
      </c>
      <c r="X1528" s="271">
        <v>14.0</v>
      </c>
      <c r="Y1528" s="271">
        <v>3.0</v>
      </c>
      <c r="Z1528" s="50" t="b">
        <v>1</v>
      </c>
      <c r="AA1528" s="50" t="s">
        <v>138</v>
      </c>
      <c r="AB1528" s="50" t="s">
        <v>138</v>
      </c>
    </row>
    <row r="1529">
      <c r="A1529" s="101" t="s">
        <v>170</v>
      </c>
      <c r="B1529" s="101" t="s">
        <v>170</v>
      </c>
      <c r="C1529" s="278">
        <v>44733.0</v>
      </c>
      <c r="D1529" s="278">
        <v>44762.0</v>
      </c>
      <c r="E1529" s="271" t="s">
        <v>268</v>
      </c>
      <c r="F1529" s="101" t="s">
        <v>4</v>
      </c>
      <c r="G1529" s="271" t="s">
        <v>5</v>
      </c>
      <c r="H1529" s="273" t="s">
        <v>45</v>
      </c>
      <c r="I1529" s="274">
        <v>10.0</v>
      </c>
      <c r="J1529" s="271">
        <v>2074.0</v>
      </c>
      <c r="K1529" s="271">
        <f t="shared" si="1"/>
        <v>20740</v>
      </c>
      <c r="L1529" s="271">
        <v>121120.0</v>
      </c>
      <c r="M1529" s="271">
        <v>940.0</v>
      </c>
      <c r="N1529" s="275">
        <v>1035.0</v>
      </c>
      <c r="O1529" s="60"/>
      <c r="P1529" s="109">
        <v>1035.0</v>
      </c>
      <c r="Q1529" s="271">
        <v>687.0</v>
      </c>
      <c r="R1529" s="276">
        <v>-0.001335</v>
      </c>
      <c r="S1529" s="271">
        <v>659.0</v>
      </c>
      <c r="T1529" s="271">
        <v>1694.0</v>
      </c>
      <c r="U1529" s="62">
        <v>1.0</v>
      </c>
      <c r="V1529" s="277">
        <v>0.17</v>
      </c>
      <c r="W1529" s="277">
        <v>0.0</v>
      </c>
      <c r="X1529" s="271">
        <v>1406.0</v>
      </c>
      <c r="Y1529" s="271">
        <v>288.0</v>
      </c>
      <c r="Z1529" s="50" t="b">
        <v>1</v>
      </c>
      <c r="AA1529" s="50" t="s">
        <v>138</v>
      </c>
      <c r="AB1529" s="50" t="s">
        <v>138</v>
      </c>
    </row>
    <row r="1530">
      <c r="A1530" s="280" t="s">
        <v>362</v>
      </c>
      <c r="B1530" s="271" t="s">
        <v>189</v>
      </c>
      <c r="C1530" s="278">
        <v>44733.0</v>
      </c>
      <c r="D1530" s="278">
        <v>44762.0</v>
      </c>
      <c r="E1530" s="280" t="s">
        <v>268</v>
      </c>
      <c r="F1530" s="138" t="s">
        <v>12</v>
      </c>
      <c r="G1530" s="271" t="s">
        <v>5</v>
      </c>
      <c r="H1530" s="273" t="s">
        <v>6</v>
      </c>
      <c r="I1530" s="274">
        <v>0.25</v>
      </c>
      <c r="J1530" s="271">
        <v>16.0</v>
      </c>
      <c r="K1530" s="271">
        <f t="shared" si="1"/>
        <v>4</v>
      </c>
      <c r="L1530" s="271"/>
      <c r="M1530" s="271">
        <v>2.0</v>
      </c>
      <c r="N1530" s="275">
        <v>0.18</v>
      </c>
      <c r="O1530" s="60"/>
      <c r="P1530" s="50">
        <v>0.0</v>
      </c>
      <c r="Q1530" s="271"/>
      <c r="R1530" s="276">
        <v>0.0</v>
      </c>
      <c r="S1530" s="271"/>
      <c r="T1530" s="271">
        <v>2.0</v>
      </c>
      <c r="U1530" s="62">
        <v>1.0</v>
      </c>
      <c r="V1530" s="277">
        <v>0.19</v>
      </c>
      <c r="W1530" s="277">
        <v>0.0</v>
      </c>
      <c r="X1530" s="271">
        <v>2.0</v>
      </c>
      <c r="Y1530" s="271">
        <v>0.0</v>
      </c>
      <c r="Z1530" s="50" t="b">
        <v>1</v>
      </c>
      <c r="AA1530" s="50" t="s">
        <v>138</v>
      </c>
      <c r="AB1530" s="50" t="s">
        <v>138</v>
      </c>
    </row>
    <row r="1531">
      <c r="A1531" s="280" t="s">
        <v>362</v>
      </c>
      <c r="B1531" s="271" t="s">
        <v>189</v>
      </c>
      <c r="C1531" s="278">
        <v>44733.0</v>
      </c>
      <c r="D1531" s="278">
        <v>44762.0</v>
      </c>
      <c r="E1531" s="280" t="s">
        <v>268</v>
      </c>
      <c r="F1531" s="138" t="s">
        <v>12</v>
      </c>
      <c r="G1531" s="271" t="s">
        <v>5</v>
      </c>
      <c r="H1531" s="273" t="s">
        <v>10</v>
      </c>
      <c r="I1531" s="274">
        <v>0.25</v>
      </c>
      <c r="J1531" s="271">
        <v>12.0</v>
      </c>
      <c r="K1531" s="271">
        <f t="shared" si="1"/>
        <v>3</v>
      </c>
      <c r="L1531" s="271"/>
      <c r="M1531" s="271">
        <v>2.0</v>
      </c>
      <c r="N1531" s="275">
        <v>0.14</v>
      </c>
      <c r="O1531" s="60"/>
      <c r="P1531" s="50">
        <v>0.0</v>
      </c>
      <c r="Q1531" s="271"/>
      <c r="R1531" s="276">
        <v>0.0</v>
      </c>
      <c r="S1531" s="271"/>
      <c r="T1531" s="271">
        <v>2.0</v>
      </c>
      <c r="U1531" s="62">
        <v>1.0</v>
      </c>
      <c r="V1531" s="277">
        <v>0.19</v>
      </c>
      <c r="W1531" s="277">
        <v>0.0</v>
      </c>
      <c r="X1531" s="271">
        <v>2.0</v>
      </c>
      <c r="Y1531" s="271">
        <v>0.0</v>
      </c>
      <c r="Z1531" s="50" t="b">
        <v>1</v>
      </c>
      <c r="AA1531" s="50" t="s">
        <v>138</v>
      </c>
      <c r="AB1531" s="50" t="s">
        <v>138</v>
      </c>
    </row>
    <row r="1532">
      <c r="A1532" s="280" t="s">
        <v>362</v>
      </c>
      <c r="B1532" s="271" t="s">
        <v>189</v>
      </c>
      <c r="C1532" s="278">
        <v>44733.0</v>
      </c>
      <c r="D1532" s="278">
        <v>44762.0</v>
      </c>
      <c r="E1532" s="280" t="s">
        <v>268</v>
      </c>
      <c r="F1532" s="138" t="s">
        <v>12</v>
      </c>
      <c r="G1532" s="271" t="s">
        <v>5</v>
      </c>
      <c r="H1532" s="273" t="s">
        <v>85</v>
      </c>
      <c r="I1532" s="274">
        <v>100.0</v>
      </c>
      <c r="J1532" s="271">
        <v>1345.0</v>
      </c>
      <c r="K1532" s="271">
        <f t="shared" si="1"/>
        <v>134500</v>
      </c>
      <c r="L1532" s="287">
        <f t="shared" ref="L1532:L1533" si="4">52764/1624*J1532</f>
        <v>43699.24877</v>
      </c>
      <c r="M1532" s="287">
        <v>1600.0</v>
      </c>
      <c r="N1532" s="275">
        <v>3823.43</v>
      </c>
      <c r="O1532" s="60"/>
      <c r="P1532" s="109">
        <v>3823.0</v>
      </c>
      <c r="Q1532" s="287">
        <v>928.0</v>
      </c>
      <c r="R1532" s="276">
        <v>0.0</v>
      </c>
      <c r="S1532" s="287">
        <v>928.0</v>
      </c>
      <c r="T1532" s="287">
        <v>5423.0</v>
      </c>
      <c r="U1532" s="62">
        <v>1.0</v>
      </c>
      <c r="V1532" s="277">
        <v>0.19</v>
      </c>
      <c r="W1532" s="277">
        <v>0.0</v>
      </c>
      <c r="X1532" s="287">
        <v>4393.0</v>
      </c>
      <c r="Y1532" s="287">
        <v>1030.0</v>
      </c>
      <c r="Z1532" s="50" t="b">
        <v>1</v>
      </c>
      <c r="AA1532" s="50" t="s">
        <v>138</v>
      </c>
      <c r="AB1532" s="50" t="s">
        <v>138</v>
      </c>
    </row>
    <row r="1533">
      <c r="A1533" s="280" t="s">
        <v>362</v>
      </c>
      <c r="B1533" s="271" t="s">
        <v>189</v>
      </c>
      <c r="C1533" s="278">
        <v>44733.0</v>
      </c>
      <c r="D1533" s="278">
        <v>44762.0</v>
      </c>
      <c r="E1533" s="280" t="s">
        <v>268</v>
      </c>
      <c r="F1533" s="138" t="s">
        <v>12</v>
      </c>
      <c r="G1533" s="271" t="s">
        <v>5</v>
      </c>
      <c r="H1533" s="273" t="s">
        <v>86</v>
      </c>
      <c r="I1533" s="274">
        <v>100.0</v>
      </c>
      <c r="J1533" s="271">
        <v>279.0</v>
      </c>
      <c r="K1533" s="271">
        <f t="shared" si="1"/>
        <v>27900</v>
      </c>
      <c r="L1533" s="287">
        <f t="shared" si="4"/>
        <v>9064.751232</v>
      </c>
      <c r="M1533" s="287">
        <v>-700.0</v>
      </c>
      <c r="N1533" s="275">
        <v>793.11</v>
      </c>
      <c r="O1533" s="60"/>
      <c r="P1533" s="50">
        <v>793.0</v>
      </c>
      <c r="Q1533" s="287">
        <v>1325.0</v>
      </c>
      <c r="R1533" s="276">
        <v>0.0</v>
      </c>
      <c r="S1533" s="287">
        <v>1325.0</v>
      </c>
      <c r="T1533" s="287">
        <v>93.0</v>
      </c>
      <c r="U1533" s="62">
        <v>1.0</v>
      </c>
      <c r="V1533" s="277">
        <v>0.19</v>
      </c>
      <c r="W1533" s="277">
        <v>0.0</v>
      </c>
      <c r="X1533" s="287">
        <v>75.0</v>
      </c>
      <c r="Y1533" s="287">
        <v>18.0</v>
      </c>
      <c r="Z1533" s="50" t="b">
        <v>1</v>
      </c>
      <c r="AA1533" s="50" t="s">
        <v>138</v>
      </c>
      <c r="AB1533" s="50" t="s">
        <v>138</v>
      </c>
    </row>
    <row r="1534">
      <c r="A1534" s="280" t="s">
        <v>362</v>
      </c>
      <c r="B1534" s="271" t="s">
        <v>189</v>
      </c>
      <c r="C1534" s="278">
        <v>44733.0</v>
      </c>
      <c r="D1534" s="278">
        <v>44762.0</v>
      </c>
      <c r="E1534" s="280" t="s">
        <v>268</v>
      </c>
      <c r="F1534" s="138" t="s">
        <v>12</v>
      </c>
      <c r="G1534" s="271" t="s">
        <v>5</v>
      </c>
      <c r="H1534" s="273" t="s">
        <v>96</v>
      </c>
      <c r="I1534" s="274">
        <v>250.0</v>
      </c>
      <c r="J1534" s="271">
        <v>285.0</v>
      </c>
      <c r="K1534" s="271">
        <f t="shared" si="1"/>
        <v>71250</v>
      </c>
      <c r="L1534" s="287">
        <f t="shared" ref="L1534:L1535" si="5">10775/471*J1534</f>
        <v>6519.904459</v>
      </c>
      <c r="M1534" s="287">
        <v>3500.0</v>
      </c>
      <c r="N1534" s="275">
        <v>2025.42</v>
      </c>
      <c r="O1534" s="60"/>
      <c r="P1534" s="109">
        <v>2025.0</v>
      </c>
      <c r="Q1534" s="287">
        <v>-614.0</v>
      </c>
      <c r="R1534" s="276">
        <v>0.0</v>
      </c>
      <c r="S1534" s="287">
        <v>-614.0</v>
      </c>
      <c r="T1534" s="287">
        <v>5525.0</v>
      </c>
      <c r="U1534" s="62">
        <v>1.0</v>
      </c>
      <c r="V1534" s="277">
        <v>0.19</v>
      </c>
      <c r="W1534" s="277">
        <v>0.0</v>
      </c>
      <c r="X1534" s="287">
        <v>4476.0</v>
      </c>
      <c r="Y1534" s="287">
        <v>1050.0</v>
      </c>
      <c r="Z1534" s="50" t="b">
        <v>1</v>
      </c>
      <c r="AA1534" s="50" t="s">
        <v>138</v>
      </c>
      <c r="AB1534" s="50" t="s">
        <v>138</v>
      </c>
    </row>
    <row r="1535">
      <c r="A1535" s="280" t="s">
        <v>362</v>
      </c>
      <c r="B1535" s="271" t="s">
        <v>189</v>
      </c>
      <c r="C1535" s="278">
        <v>44733.0</v>
      </c>
      <c r="D1535" s="278">
        <v>44762.0</v>
      </c>
      <c r="E1535" s="280" t="s">
        <v>268</v>
      </c>
      <c r="F1535" s="138" t="s">
        <v>12</v>
      </c>
      <c r="G1535" s="271" t="s">
        <v>5</v>
      </c>
      <c r="H1535" s="273" t="s">
        <v>97</v>
      </c>
      <c r="I1535" s="274">
        <v>250.0</v>
      </c>
      <c r="J1535" s="271">
        <v>186.0</v>
      </c>
      <c r="K1535" s="271">
        <f t="shared" si="1"/>
        <v>46500</v>
      </c>
      <c r="L1535" s="287">
        <f t="shared" si="5"/>
        <v>4255.095541</v>
      </c>
      <c r="M1535" s="287">
        <v>4500.0</v>
      </c>
      <c r="N1535" s="275">
        <v>1321.85</v>
      </c>
      <c r="O1535" s="60"/>
      <c r="P1535" s="109">
        <v>1322.0</v>
      </c>
      <c r="Q1535" s="287">
        <v>932.0</v>
      </c>
      <c r="R1535" s="276">
        <v>0.0</v>
      </c>
      <c r="S1535" s="287">
        <v>932.0</v>
      </c>
      <c r="T1535" s="287">
        <v>5822.0</v>
      </c>
      <c r="U1535" s="62">
        <v>1.0</v>
      </c>
      <c r="V1535" s="277">
        <v>0.19</v>
      </c>
      <c r="W1535" s="277">
        <v>0.0</v>
      </c>
      <c r="X1535" s="287">
        <v>4716.0</v>
      </c>
      <c r="Y1535" s="287">
        <v>1106.0</v>
      </c>
      <c r="Z1535" s="50" t="b">
        <v>1</v>
      </c>
      <c r="AA1535" s="50" t="s">
        <v>138</v>
      </c>
      <c r="AB1535" s="50" t="s">
        <v>138</v>
      </c>
    </row>
    <row r="1536">
      <c r="A1536" s="280" t="s">
        <v>362</v>
      </c>
      <c r="B1536" s="271" t="s">
        <v>189</v>
      </c>
      <c r="C1536" s="278">
        <v>44733.0</v>
      </c>
      <c r="D1536" s="278">
        <v>44762.0</v>
      </c>
      <c r="E1536" s="280" t="s">
        <v>268</v>
      </c>
      <c r="F1536" s="138" t="s">
        <v>12</v>
      </c>
      <c r="G1536" s="271" t="s">
        <v>5</v>
      </c>
      <c r="H1536" s="273" t="s">
        <v>75</v>
      </c>
      <c r="I1536" s="274">
        <v>50.0</v>
      </c>
      <c r="J1536" s="271">
        <v>4.0</v>
      </c>
      <c r="K1536" s="271">
        <f t="shared" si="1"/>
        <v>200</v>
      </c>
      <c r="L1536" s="287">
        <v>274.0</v>
      </c>
      <c r="M1536" s="287">
        <v>0.0</v>
      </c>
      <c r="N1536" s="275">
        <v>6.82</v>
      </c>
      <c r="O1536" s="60"/>
      <c r="P1536" s="50">
        <v>7.0</v>
      </c>
      <c r="Q1536" s="287">
        <v>30.0</v>
      </c>
      <c r="R1536" s="276">
        <v>0.0</v>
      </c>
      <c r="S1536" s="287">
        <v>30.0</v>
      </c>
      <c r="T1536" s="287">
        <v>7.0</v>
      </c>
      <c r="U1536" s="62">
        <v>1.0</v>
      </c>
      <c r="V1536" s="277">
        <v>0.19</v>
      </c>
      <c r="W1536" s="277">
        <v>0.0</v>
      </c>
      <c r="X1536" s="287">
        <v>6.0</v>
      </c>
      <c r="Y1536" s="287">
        <v>1.0</v>
      </c>
      <c r="Z1536" s="50" t="b">
        <v>1</v>
      </c>
      <c r="AA1536" s="50" t="s">
        <v>138</v>
      </c>
      <c r="AB1536" s="50" t="s">
        <v>138</v>
      </c>
    </row>
    <row r="1537">
      <c r="A1537" s="280" t="s">
        <v>362</v>
      </c>
      <c r="B1537" s="271" t="s">
        <v>189</v>
      </c>
      <c r="C1537" s="278">
        <v>44733.0</v>
      </c>
      <c r="D1537" s="278">
        <v>44762.0</v>
      </c>
      <c r="E1537" s="280" t="s">
        <v>268</v>
      </c>
      <c r="F1537" s="138" t="s">
        <v>12</v>
      </c>
      <c r="G1537" s="271" t="s">
        <v>5</v>
      </c>
      <c r="H1537" s="273" t="s">
        <v>101</v>
      </c>
      <c r="I1537" s="274">
        <v>500.0</v>
      </c>
      <c r="J1537" s="271">
        <v>18.0</v>
      </c>
      <c r="K1537" s="271">
        <f t="shared" si="1"/>
        <v>9000</v>
      </c>
      <c r="L1537" s="287">
        <f t="shared" ref="L1537:L1538" si="6">-2035/33*J1537</f>
        <v>-1110</v>
      </c>
      <c r="M1537" s="287">
        <v>-5500.0</v>
      </c>
      <c r="N1537" s="275">
        <v>255.84</v>
      </c>
      <c r="O1537" s="60"/>
      <c r="P1537" s="50">
        <v>256.0</v>
      </c>
      <c r="Q1537" s="287">
        <v>-1501.0</v>
      </c>
      <c r="R1537" s="276">
        <v>0.0</v>
      </c>
      <c r="S1537" s="287">
        <v>-1501.0</v>
      </c>
      <c r="T1537" s="287">
        <v>-5244.0</v>
      </c>
      <c r="U1537" s="62">
        <v>1.0</v>
      </c>
      <c r="V1537" s="277">
        <v>0.19</v>
      </c>
      <c r="W1537" s="277">
        <v>0.0</v>
      </c>
      <c r="X1537" s="287">
        <v>-4248.0</v>
      </c>
      <c r="Y1537" s="287">
        <v>-996.0</v>
      </c>
      <c r="Z1537" s="50" t="b">
        <v>1</v>
      </c>
      <c r="AA1537" s="50" t="s">
        <v>138</v>
      </c>
      <c r="AB1537" s="50" t="s">
        <v>138</v>
      </c>
    </row>
    <row r="1538">
      <c r="A1538" s="280" t="s">
        <v>362</v>
      </c>
      <c r="B1538" s="271" t="s">
        <v>189</v>
      </c>
      <c r="C1538" s="278">
        <v>44733.0</v>
      </c>
      <c r="D1538" s="278">
        <v>44762.0</v>
      </c>
      <c r="E1538" s="280" t="s">
        <v>268</v>
      </c>
      <c r="F1538" s="138" t="s">
        <v>12</v>
      </c>
      <c r="G1538" s="271" t="s">
        <v>5</v>
      </c>
      <c r="H1538" s="273" t="s">
        <v>102</v>
      </c>
      <c r="I1538" s="274">
        <v>500.0</v>
      </c>
      <c r="J1538" s="271">
        <v>15.0</v>
      </c>
      <c r="K1538" s="271">
        <f t="shared" si="1"/>
        <v>7500</v>
      </c>
      <c r="L1538" s="287">
        <f t="shared" si="6"/>
        <v>-925</v>
      </c>
      <c r="M1538" s="287">
        <v>5000.0</v>
      </c>
      <c r="N1538" s="275">
        <v>213.2</v>
      </c>
      <c r="O1538" s="60"/>
      <c r="P1538" s="50">
        <v>213.0</v>
      </c>
      <c r="Q1538" s="287">
        <v>-1831.0</v>
      </c>
      <c r="R1538" s="276">
        <v>0.0</v>
      </c>
      <c r="S1538" s="287">
        <v>-1831.0</v>
      </c>
      <c r="T1538" s="287">
        <v>5213.0</v>
      </c>
      <c r="U1538" s="62">
        <v>1.0</v>
      </c>
      <c r="V1538" s="277">
        <v>0.19</v>
      </c>
      <c r="W1538" s="277">
        <v>0.0</v>
      </c>
      <c r="X1538" s="287">
        <v>4223.0</v>
      </c>
      <c r="Y1538" s="287">
        <v>991.0</v>
      </c>
      <c r="Z1538" s="50" t="b">
        <v>1</v>
      </c>
      <c r="AA1538" s="50" t="s">
        <v>138</v>
      </c>
      <c r="AB1538" s="50" t="s">
        <v>138</v>
      </c>
    </row>
    <row r="1539">
      <c r="A1539" s="101" t="s">
        <v>416</v>
      </c>
      <c r="B1539" s="101" t="s">
        <v>190</v>
      </c>
      <c r="C1539" s="278">
        <v>44733.0</v>
      </c>
      <c r="D1539" s="278">
        <v>44762.0</v>
      </c>
      <c r="E1539" s="271" t="s">
        <v>268</v>
      </c>
      <c r="F1539" s="138" t="s">
        <v>4</v>
      </c>
      <c r="G1539" s="271" t="s">
        <v>5</v>
      </c>
      <c r="H1539" s="273" t="s">
        <v>45</v>
      </c>
      <c r="I1539" s="274">
        <v>10.0</v>
      </c>
      <c r="J1539" s="271">
        <v>2221.0</v>
      </c>
      <c r="K1539" s="271">
        <f t="shared" si="1"/>
        <v>22210</v>
      </c>
      <c r="L1539" s="271">
        <v>99244.0</v>
      </c>
      <c r="M1539" s="271">
        <v>100.0</v>
      </c>
      <c r="N1539" s="275">
        <v>560.0</v>
      </c>
      <c r="O1539" s="60"/>
      <c r="P1539" s="50">
        <v>560.0</v>
      </c>
      <c r="Q1539" s="271">
        <v>146.0</v>
      </c>
      <c r="R1539" s="276">
        <v>-0.001335</v>
      </c>
      <c r="S1539" s="271">
        <v>116.0</v>
      </c>
      <c r="T1539" s="271">
        <v>676.0</v>
      </c>
      <c r="U1539" s="62">
        <v>1.0</v>
      </c>
      <c r="V1539" s="277">
        <v>0.3</v>
      </c>
      <c r="W1539" s="277">
        <v>0.0</v>
      </c>
      <c r="X1539" s="271">
        <v>473.0</v>
      </c>
      <c r="Y1539" s="271">
        <v>203.0</v>
      </c>
      <c r="Z1539" s="50" t="b">
        <v>1</v>
      </c>
      <c r="AA1539" s="50" t="s">
        <v>138</v>
      </c>
      <c r="AB1539" s="50" t="s">
        <v>138</v>
      </c>
    </row>
    <row r="1540">
      <c r="A1540" s="101" t="s">
        <v>416</v>
      </c>
      <c r="B1540" s="101" t="s">
        <v>190</v>
      </c>
      <c r="C1540" s="278">
        <v>44733.0</v>
      </c>
      <c r="D1540" s="278">
        <v>44762.0</v>
      </c>
      <c r="E1540" s="271" t="s">
        <v>268</v>
      </c>
      <c r="F1540" s="138" t="s">
        <v>4</v>
      </c>
      <c r="G1540" s="271" t="s">
        <v>5</v>
      </c>
      <c r="H1540" s="273" t="s">
        <v>62</v>
      </c>
      <c r="I1540" s="274">
        <v>25.0</v>
      </c>
      <c r="J1540" s="271">
        <v>1157.0</v>
      </c>
      <c r="K1540" s="271">
        <f t="shared" si="1"/>
        <v>28925</v>
      </c>
      <c r="L1540" s="271">
        <v>23770.0</v>
      </c>
      <c r="M1540" s="271">
        <v>325.0</v>
      </c>
      <c r="N1540" s="275">
        <v>625.0</v>
      </c>
      <c r="O1540" s="60"/>
      <c r="P1540" s="50">
        <v>625.0</v>
      </c>
      <c r="Q1540" s="271">
        <v>-789.0</v>
      </c>
      <c r="R1540" s="276">
        <v>-0.001335</v>
      </c>
      <c r="S1540" s="271">
        <v>-827.0</v>
      </c>
      <c r="T1540" s="271">
        <v>-202.0</v>
      </c>
      <c r="U1540" s="62">
        <v>1.0</v>
      </c>
      <c r="V1540" s="277">
        <v>0.3</v>
      </c>
      <c r="W1540" s="277">
        <v>0.0</v>
      </c>
      <c r="X1540" s="271">
        <v>-142.0</v>
      </c>
      <c r="Y1540" s="271">
        <v>-61.0</v>
      </c>
      <c r="Z1540" s="50" t="b">
        <v>1</v>
      </c>
      <c r="AA1540" s="50" t="s">
        <v>138</v>
      </c>
      <c r="AB1540" s="50" t="s">
        <v>138</v>
      </c>
    </row>
    <row r="1541">
      <c r="A1541" s="280" t="s">
        <v>150</v>
      </c>
      <c r="B1541" s="280" t="s">
        <v>152</v>
      </c>
      <c r="C1541" s="278">
        <v>44733.0</v>
      </c>
      <c r="D1541" s="278">
        <v>44762.0</v>
      </c>
      <c r="E1541" s="280" t="s">
        <v>268</v>
      </c>
      <c r="F1541" s="138" t="s">
        <v>4</v>
      </c>
      <c r="G1541" s="280" t="s">
        <v>5</v>
      </c>
      <c r="H1541" s="273" t="s">
        <v>62</v>
      </c>
      <c r="I1541" s="274">
        <v>25.0</v>
      </c>
      <c r="J1541" s="271">
        <v>520.0</v>
      </c>
      <c r="K1541" s="271">
        <f t="shared" si="1"/>
        <v>13000</v>
      </c>
      <c r="L1541" s="271">
        <v>9772.0</v>
      </c>
      <c r="M1541" s="271">
        <v>-450.0</v>
      </c>
      <c r="N1541" s="275">
        <v>460.0</v>
      </c>
      <c r="O1541" s="60"/>
      <c r="P1541" s="50">
        <v>460.0</v>
      </c>
      <c r="Q1541" s="271">
        <v>-379.0</v>
      </c>
      <c r="R1541" s="276">
        <v>-0.001335</v>
      </c>
      <c r="S1541" s="271">
        <v>-396.0</v>
      </c>
      <c r="T1541" s="271">
        <v>64.0</v>
      </c>
      <c r="U1541" s="62">
        <v>1.0</v>
      </c>
      <c r="V1541" s="277">
        <v>0.3</v>
      </c>
      <c r="W1541" s="277">
        <v>0.0</v>
      </c>
      <c r="X1541" s="271">
        <v>45.0</v>
      </c>
      <c r="Y1541" s="271">
        <v>19.0</v>
      </c>
      <c r="Z1541" s="50" t="b">
        <v>1</v>
      </c>
      <c r="AA1541" s="50" t="s">
        <v>138</v>
      </c>
      <c r="AB1541" s="50" t="s">
        <v>138</v>
      </c>
    </row>
    <row r="1542">
      <c r="A1542" s="101" t="s">
        <v>195</v>
      </c>
      <c r="B1542" s="101" t="s">
        <v>195</v>
      </c>
      <c r="C1542" s="278">
        <v>44733.0</v>
      </c>
      <c r="D1542" s="278">
        <v>44762.0</v>
      </c>
      <c r="E1542" s="271" t="s">
        <v>331</v>
      </c>
      <c r="F1542" s="138" t="s">
        <v>4</v>
      </c>
      <c r="G1542" s="101" t="s">
        <v>5</v>
      </c>
      <c r="H1542" s="273" t="s">
        <v>85</v>
      </c>
      <c r="I1542" s="274">
        <v>100.0</v>
      </c>
      <c r="J1542" s="271">
        <v>11801.0</v>
      </c>
      <c r="K1542" s="271">
        <f t="shared" si="1"/>
        <v>1180100</v>
      </c>
      <c r="L1542" s="271">
        <v>272805.0</v>
      </c>
      <c r="M1542" s="271">
        <v>-18600.0</v>
      </c>
      <c r="N1542" s="275">
        <v>47624.0</v>
      </c>
      <c r="O1542" s="60"/>
      <c r="P1542" s="109">
        <v>47624.0</v>
      </c>
      <c r="Q1542" s="271">
        <v>-12594.0</v>
      </c>
      <c r="R1542" s="276">
        <v>-0.0015</v>
      </c>
      <c r="S1542" s="271">
        <v>-14364.0</v>
      </c>
      <c r="T1542" s="271">
        <v>33260.0</v>
      </c>
      <c r="U1542" s="62">
        <v>1.0</v>
      </c>
      <c r="V1542" s="277">
        <v>0.1125</v>
      </c>
      <c r="W1542" s="277">
        <v>0.0375</v>
      </c>
      <c r="X1542" s="271">
        <v>28271.0</v>
      </c>
      <c r="Y1542" s="271">
        <v>4989.0</v>
      </c>
      <c r="Z1542" s="50" t="b">
        <v>1</v>
      </c>
      <c r="AA1542" s="50" t="s">
        <v>138</v>
      </c>
      <c r="AB1542" s="50" t="s">
        <v>138</v>
      </c>
    </row>
    <row r="1543">
      <c r="A1543" s="101" t="s">
        <v>195</v>
      </c>
      <c r="B1543" s="101" t="s">
        <v>195</v>
      </c>
      <c r="C1543" s="278">
        <v>44733.0</v>
      </c>
      <c r="D1543" s="278">
        <v>44762.0</v>
      </c>
      <c r="E1543" s="271" t="s">
        <v>331</v>
      </c>
      <c r="F1543" s="138" t="s">
        <v>4</v>
      </c>
      <c r="G1543" s="101" t="s">
        <v>5</v>
      </c>
      <c r="H1543" s="273" t="s">
        <v>86</v>
      </c>
      <c r="I1543" s="274">
        <v>100.0</v>
      </c>
      <c r="J1543" s="271">
        <v>32.0</v>
      </c>
      <c r="K1543" s="271">
        <f t="shared" si="1"/>
        <v>3200</v>
      </c>
      <c r="L1543" s="271">
        <v>1045.0</v>
      </c>
      <c r="M1543" s="271">
        <v>300.0</v>
      </c>
      <c r="N1543" s="275">
        <v>129.0</v>
      </c>
      <c r="O1543" s="60"/>
      <c r="P1543" s="50">
        <v>129.0</v>
      </c>
      <c r="Q1543" s="271">
        <v>154.0</v>
      </c>
      <c r="R1543" s="276">
        <v>-0.0015</v>
      </c>
      <c r="S1543" s="271">
        <v>149.0</v>
      </c>
      <c r="T1543" s="271">
        <v>278.0</v>
      </c>
      <c r="U1543" s="62">
        <v>1.0</v>
      </c>
      <c r="V1543" s="277">
        <v>0.1125</v>
      </c>
      <c r="W1543" s="277">
        <v>0.0375</v>
      </c>
      <c r="X1543" s="271">
        <v>236.0</v>
      </c>
      <c r="Y1543" s="271">
        <v>42.0</v>
      </c>
      <c r="Z1543" s="50" t="b">
        <v>1</v>
      </c>
      <c r="AA1543" s="50" t="s">
        <v>138</v>
      </c>
      <c r="AB1543" s="50" t="s">
        <v>138</v>
      </c>
    </row>
    <row r="1544">
      <c r="A1544" s="101" t="s">
        <v>195</v>
      </c>
      <c r="B1544" s="101" t="s">
        <v>195</v>
      </c>
      <c r="C1544" s="278">
        <v>44733.0</v>
      </c>
      <c r="D1544" s="278">
        <v>44762.0</v>
      </c>
      <c r="E1544" s="271" t="s">
        <v>331</v>
      </c>
      <c r="F1544" s="138" t="s">
        <v>4</v>
      </c>
      <c r="G1544" s="101" t="s">
        <v>5</v>
      </c>
      <c r="H1544" s="273" t="s">
        <v>96</v>
      </c>
      <c r="I1544" s="274">
        <v>250.0</v>
      </c>
      <c r="J1544" s="271">
        <v>503.0</v>
      </c>
      <c r="K1544" s="271">
        <f t="shared" si="1"/>
        <v>125750</v>
      </c>
      <c r="L1544" s="271">
        <v>1075.0</v>
      </c>
      <c r="M1544" s="271">
        <v>-24000.0</v>
      </c>
      <c r="N1544" s="275">
        <v>5075.0</v>
      </c>
      <c r="O1544" s="60"/>
      <c r="P1544" s="109">
        <v>5075.0</v>
      </c>
      <c r="Q1544" s="271">
        <v>-5984.0</v>
      </c>
      <c r="R1544" s="276">
        <v>-0.0015</v>
      </c>
      <c r="S1544" s="271">
        <v>-6172.0</v>
      </c>
      <c r="T1544" s="271">
        <v>-1097.0</v>
      </c>
      <c r="U1544" s="62">
        <v>1.0</v>
      </c>
      <c r="V1544" s="277">
        <v>0.1125</v>
      </c>
      <c r="W1544" s="277">
        <v>0.0375</v>
      </c>
      <c r="X1544" s="271">
        <v>-933.0</v>
      </c>
      <c r="Y1544" s="271">
        <v>-165.0</v>
      </c>
      <c r="Z1544" s="50" t="b">
        <v>1</v>
      </c>
      <c r="AA1544" s="50" t="s">
        <v>138</v>
      </c>
      <c r="AB1544" s="50" t="s">
        <v>138</v>
      </c>
    </row>
    <row r="1545">
      <c r="A1545" s="101" t="s">
        <v>195</v>
      </c>
      <c r="B1545" s="101" t="s">
        <v>195</v>
      </c>
      <c r="C1545" s="278">
        <v>44733.0</v>
      </c>
      <c r="D1545" s="278">
        <v>44762.0</v>
      </c>
      <c r="E1545" s="271" t="s">
        <v>331</v>
      </c>
      <c r="F1545" s="138" t="s">
        <v>4</v>
      </c>
      <c r="G1545" s="101" t="s">
        <v>5</v>
      </c>
      <c r="H1545" s="273" t="s">
        <v>101</v>
      </c>
      <c r="I1545" s="274">
        <v>500.0</v>
      </c>
      <c r="J1545" s="271">
        <v>1.0</v>
      </c>
      <c r="K1545" s="271">
        <f t="shared" si="1"/>
        <v>500</v>
      </c>
      <c r="L1545" s="271">
        <v>-54.0</v>
      </c>
      <c r="M1545" s="271">
        <v>-500.0</v>
      </c>
      <c r="N1545" s="275">
        <v>20.0</v>
      </c>
      <c r="O1545" s="60"/>
      <c r="P1545" s="50">
        <v>20.0</v>
      </c>
      <c r="Q1545" s="271">
        <v>-76.0</v>
      </c>
      <c r="R1545" s="276">
        <v>-0.0015</v>
      </c>
      <c r="S1545" s="271">
        <v>-77.0</v>
      </c>
      <c r="T1545" s="271">
        <v>-57.0</v>
      </c>
      <c r="U1545" s="62">
        <v>1.0</v>
      </c>
      <c r="V1545" s="277">
        <v>0.1125</v>
      </c>
      <c r="W1545" s="277">
        <v>0.0375</v>
      </c>
      <c r="X1545" s="271">
        <v>-48.0</v>
      </c>
      <c r="Y1545" s="271">
        <v>-9.0</v>
      </c>
      <c r="Z1545" s="50" t="b">
        <v>1</v>
      </c>
      <c r="AA1545" s="50" t="s">
        <v>138</v>
      </c>
      <c r="AB1545" s="50" t="s">
        <v>138</v>
      </c>
    </row>
    <row r="1546">
      <c r="A1546" s="101" t="s">
        <v>195</v>
      </c>
      <c r="B1546" s="101" t="s">
        <v>195</v>
      </c>
      <c r="C1546" s="278">
        <v>44733.0</v>
      </c>
      <c r="D1546" s="278">
        <v>44762.0</v>
      </c>
      <c r="E1546" s="271" t="s">
        <v>331</v>
      </c>
      <c r="F1546" s="138" t="s">
        <v>12</v>
      </c>
      <c r="G1546" s="101" t="s">
        <v>5</v>
      </c>
      <c r="H1546" s="273" t="s">
        <v>75</v>
      </c>
      <c r="I1546" s="274">
        <v>50.0</v>
      </c>
      <c r="J1546" s="271">
        <v>1.0</v>
      </c>
      <c r="K1546" s="271">
        <f t="shared" si="1"/>
        <v>50</v>
      </c>
      <c r="L1546" s="271"/>
      <c r="M1546" s="271">
        <v>-50.0</v>
      </c>
      <c r="N1546" s="275">
        <v>2.0</v>
      </c>
      <c r="O1546" s="60"/>
      <c r="P1546" s="50">
        <v>2.0</v>
      </c>
      <c r="Q1546" s="271"/>
      <c r="R1546" s="276">
        <v>0.0</v>
      </c>
      <c r="S1546" s="271"/>
      <c r="T1546" s="271">
        <v>-48.0</v>
      </c>
      <c r="U1546" s="62">
        <v>1.0</v>
      </c>
      <c r="V1546" s="277">
        <v>0.1125</v>
      </c>
      <c r="W1546" s="277">
        <v>0.0375</v>
      </c>
      <c r="X1546" s="271">
        <v>-41.0</v>
      </c>
      <c r="Y1546" s="271">
        <v>-7.0</v>
      </c>
      <c r="Z1546" s="50" t="b">
        <v>1</v>
      </c>
      <c r="AA1546" s="50" t="s">
        <v>138</v>
      </c>
      <c r="AB1546" s="50" t="s">
        <v>138</v>
      </c>
    </row>
    <row r="1547">
      <c r="A1547" s="280" t="s">
        <v>477</v>
      </c>
      <c r="B1547" s="280" t="s">
        <v>164</v>
      </c>
      <c r="C1547" s="278">
        <v>44733.0</v>
      </c>
      <c r="D1547" s="278">
        <v>44762.0</v>
      </c>
      <c r="E1547" s="280" t="s">
        <v>331</v>
      </c>
      <c r="F1547" s="138" t="s">
        <v>4</v>
      </c>
      <c r="G1547" s="271" t="s">
        <v>13</v>
      </c>
      <c r="H1547" s="271" t="s">
        <v>74</v>
      </c>
      <c r="I1547" s="274">
        <v>50.0</v>
      </c>
      <c r="J1547" s="271">
        <v>500.0</v>
      </c>
      <c r="K1547" s="271">
        <f t="shared" si="1"/>
        <v>25000</v>
      </c>
      <c r="L1547" s="271">
        <v>14234.0</v>
      </c>
      <c r="M1547" s="271">
        <v>3150.0</v>
      </c>
      <c r="N1547" s="275">
        <v>1476.0</v>
      </c>
      <c r="O1547" s="60"/>
      <c r="P1547" s="109">
        <v>1476.0</v>
      </c>
      <c r="Q1547" s="271">
        <v>214.0</v>
      </c>
      <c r="R1547" s="276">
        <v>-0.001335</v>
      </c>
      <c r="S1547" s="271">
        <v>181.0</v>
      </c>
      <c r="T1547" s="271">
        <v>1657.0</v>
      </c>
      <c r="U1547" s="62">
        <v>1.0</v>
      </c>
      <c r="V1547" s="277">
        <v>0.15</v>
      </c>
      <c r="W1547" s="277">
        <v>0.05</v>
      </c>
      <c r="X1547" s="271">
        <v>1325.0</v>
      </c>
      <c r="Y1547" s="271">
        <v>331.0</v>
      </c>
      <c r="Z1547" s="50" t="b">
        <v>1</v>
      </c>
      <c r="AA1547" s="50" t="s">
        <v>138</v>
      </c>
      <c r="AB1547" s="50" t="s">
        <v>138</v>
      </c>
    </row>
    <row r="1548">
      <c r="A1548" s="101" t="s">
        <v>505</v>
      </c>
      <c r="B1548" s="271" t="s">
        <v>166</v>
      </c>
      <c r="C1548" s="278">
        <v>44733.0</v>
      </c>
      <c r="D1548" s="278">
        <v>44762.0</v>
      </c>
      <c r="E1548" s="271" t="s">
        <v>268</v>
      </c>
      <c r="F1548" s="101" t="s">
        <v>4</v>
      </c>
      <c r="G1548" s="271" t="s">
        <v>5</v>
      </c>
      <c r="H1548" s="273" t="s">
        <v>35</v>
      </c>
      <c r="I1548" s="281">
        <v>5.0</v>
      </c>
      <c r="J1548" s="280">
        <v>35.0</v>
      </c>
      <c r="K1548" s="271">
        <f t="shared" si="1"/>
        <v>175</v>
      </c>
      <c r="L1548" s="280">
        <v>3533.0</v>
      </c>
      <c r="M1548" s="280">
        <v>-5.0</v>
      </c>
      <c r="N1548" s="275">
        <v>8.2</v>
      </c>
      <c r="O1548" s="60"/>
      <c r="P1548" s="50">
        <v>8.0</v>
      </c>
      <c r="Q1548" s="280">
        <v>17.0</v>
      </c>
      <c r="R1548" s="276">
        <v>-0.001335</v>
      </c>
      <c r="S1548" s="280">
        <v>16.0</v>
      </c>
      <c r="T1548" s="280">
        <v>24.0</v>
      </c>
      <c r="U1548" s="62">
        <v>1.0</v>
      </c>
      <c r="V1548" s="277">
        <v>0.22</v>
      </c>
      <c r="W1548" s="277">
        <v>0.0</v>
      </c>
      <c r="X1548" s="280">
        <v>19.0</v>
      </c>
      <c r="Y1548" s="280">
        <v>5.0</v>
      </c>
      <c r="Z1548" s="50" t="b">
        <v>0</v>
      </c>
      <c r="AA1548" s="50" t="s">
        <v>138</v>
      </c>
      <c r="AB1548" s="50" t="s">
        <v>138</v>
      </c>
    </row>
    <row r="1549">
      <c r="A1549" s="101" t="s">
        <v>505</v>
      </c>
      <c r="B1549" s="271" t="s">
        <v>166</v>
      </c>
      <c r="C1549" s="278">
        <v>44733.0</v>
      </c>
      <c r="D1549" s="278">
        <v>44762.0</v>
      </c>
      <c r="E1549" s="271" t="s">
        <v>268</v>
      </c>
      <c r="F1549" s="101" t="s">
        <v>4</v>
      </c>
      <c r="G1549" s="271" t="s">
        <v>5</v>
      </c>
      <c r="H1549" s="273" t="s">
        <v>45</v>
      </c>
      <c r="I1549" s="281">
        <v>10.0</v>
      </c>
      <c r="J1549" s="280">
        <v>20.0</v>
      </c>
      <c r="K1549" s="271">
        <f t="shared" si="1"/>
        <v>200</v>
      </c>
      <c r="L1549" s="280">
        <v>3037.0</v>
      </c>
      <c r="M1549" s="280">
        <v>20.0</v>
      </c>
      <c r="N1549" s="275">
        <v>8.2</v>
      </c>
      <c r="O1549" s="60"/>
      <c r="P1549" s="50">
        <v>8.0</v>
      </c>
      <c r="Q1549" s="280">
        <v>41.0</v>
      </c>
      <c r="R1549" s="276">
        <v>-0.001335</v>
      </c>
      <c r="S1549" s="280">
        <v>41.0</v>
      </c>
      <c r="T1549" s="280">
        <v>49.0</v>
      </c>
      <c r="U1549" s="62">
        <v>1.0</v>
      </c>
      <c r="V1549" s="277">
        <v>0.22</v>
      </c>
      <c r="W1549" s="277">
        <v>0.0</v>
      </c>
      <c r="X1549" s="280">
        <v>38.0</v>
      </c>
      <c r="Y1549" s="280">
        <v>11.0</v>
      </c>
      <c r="Z1549" s="50" t="b">
        <v>0</v>
      </c>
      <c r="AA1549" s="50" t="s">
        <v>138</v>
      </c>
      <c r="AB1549" s="50" t="s">
        <v>138</v>
      </c>
    </row>
    <row r="1550">
      <c r="A1550" s="101" t="s">
        <v>505</v>
      </c>
      <c r="B1550" s="271" t="s">
        <v>166</v>
      </c>
      <c r="C1550" s="278">
        <v>44733.0</v>
      </c>
      <c r="D1550" s="278">
        <v>44762.0</v>
      </c>
      <c r="E1550" s="271" t="s">
        <v>268</v>
      </c>
      <c r="F1550" s="101" t="s">
        <v>4</v>
      </c>
      <c r="G1550" s="271" t="s">
        <v>5</v>
      </c>
      <c r="H1550" s="273" t="s">
        <v>62</v>
      </c>
      <c r="I1550" s="281">
        <v>25.0</v>
      </c>
      <c r="J1550" s="280">
        <v>2104.0</v>
      </c>
      <c r="K1550" s="271">
        <f t="shared" si="1"/>
        <v>52600</v>
      </c>
      <c r="L1550" s="280">
        <v>55996.0</v>
      </c>
      <c r="M1550" s="280">
        <v>-2100.0</v>
      </c>
      <c r="N1550" s="275">
        <v>1847.61</v>
      </c>
      <c r="O1550" s="60"/>
      <c r="P1550" s="109">
        <v>1848.0</v>
      </c>
      <c r="Q1550" s="280">
        <v>-771.0</v>
      </c>
      <c r="R1550" s="276">
        <v>-0.001335</v>
      </c>
      <c r="S1550" s="280">
        <v>-841.0</v>
      </c>
      <c r="T1550" s="280">
        <v>1007.0</v>
      </c>
      <c r="U1550" s="62">
        <v>1.0</v>
      </c>
      <c r="V1550" s="277">
        <v>0.22</v>
      </c>
      <c r="W1550" s="277">
        <v>0.0</v>
      </c>
      <c r="X1550" s="280">
        <v>785.0</v>
      </c>
      <c r="Y1550" s="280">
        <v>222.0</v>
      </c>
      <c r="Z1550" s="50" t="b">
        <v>0</v>
      </c>
      <c r="AA1550" s="50" t="s">
        <v>138</v>
      </c>
      <c r="AB1550" s="50" t="s">
        <v>138</v>
      </c>
    </row>
    <row r="1551">
      <c r="A1551" s="101" t="s">
        <v>199</v>
      </c>
      <c r="B1551" s="101" t="s">
        <v>199</v>
      </c>
      <c r="C1551" s="278">
        <v>44733.0</v>
      </c>
      <c r="D1551" s="278">
        <v>44762.0</v>
      </c>
      <c r="E1551" s="280" t="s">
        <v>268</v>
      </c>
      <c r="F1551" s="138" t="s">
        <v>4</v>
      </c>
      <c r="G1551" s="271" t="s">
        <v>5</v>
      </c>
      <c r="H1551" s="273" t="s">
        <v>45</v>
      </c>
      <c r="I1551" s="281">
        <v>10.0</v>
      </c>
      <c r="J1551" s="280">
        <v>745.0</v>
      </c>
      <c r="K1551" s="271">
        <f t="shared" si="1"/>
        <v>7450</v>
      </c>
      <c r="L1551" s="280">
        <v>46482.0</v>
      </c>
      <c r="M1551" s="280">
        <v>330.0</v>
      </c>
      <c r="N1551" s="275">
        <v>162.55</v>
      </c>
      <c r="O1551" s="60"/>
      <c r="P1551" s="50">
        <v>163.0</v>
      </c>
      <c r="Q1551" s="280">
        <v>301.0</v>
      </c>
      <c r="R1551" s="276">
        <v>-0.001335</v>
      </c>
      <c r="S1551" s="280">
        <v>291.0</v>
      </c>
      <c r="T1551" s="280">
        <v>454.0</v>
      </c>
      <c r="U1551" s="62">
        <v>1.0</v>
      </c>
      <c r="V1551" s="277">
        <v>0.25</v>
      </c>
      <c r="W1551" s="277">
        <v>0.0</v>
      </c>
      <c r="X1551" s="280">
        <v>340.0</v>
      </c>
      <c r="Y1551" s="280">
        <v>113.0</v>
      </c>
      <c r="Z1551" s="50" t="b">
        <v>1</v>
      </c>
      <c r="AA1551" s="50" t="s">
        <v>138</v>
      </c>
      <c r="AB1551" s="50" t="s">
        <v>138</v>
      </c>
    </row>
    <row r="1552">
      <c r="A1552" s="101" t="s">
        <v>199</v>
      </c>
      <c r="B1552" s="101" t="s">
        <v>199</v>
      </c>
      <c r="C1552" s="278">
        <v>44733.0</v>
      </c>
      <c r="D1552" s="278">
        <v>44762.0</v>
      </c>
      <c r="E1552" s="280" t="s">
        <v>268</v>
      </c>
      <c r="F1552" s="138" t="s">
        <v>4</v>
      </c>
      <c r="G1552" s="271" t="s">
        <v>5</v>
      </c>
      <c r="H1552" s="273" t="s">
        <v>48</v>
      </c>
      <c r="I1552" s="281">
        <v>10.0</v>
      </c>
      <c r="J1552" s="280">
        <v>1290.0</v>
      </c>
      <c r="K1552" s="271">
        <f t="shared" si="1"/>
        <v>12900</v>
      </c>
      <c r="L1552" s="280">
        <v>22852.0</v>
      </c>
      <c r="M1552" s="280">
        <v>-580.0</v>
      </c>
      <c r="N1552" s="275">
        <v>281.45</v>
      </c>
      <c r="O1552" s="60"/>
      <c r="P1552" s="50">
        <v>281.0</v>
      </c>
      <c r="Q1552" s="280">
        <v>-256.0</v>
      </c>
      <c r="R1552" s="276">
        <v>-0.001335</v>
      </c>
      <c r="S1552" s="280">
        <v>-273.0</v>
      </c>
      <c r="T1552" s="280">
        <v>8.0</v>
      </c>
      <c r="U1552" s="62">
        <v>1.0</v>
      </c>
      <c r="V1552" s="277">
        <v>0.25</v>
      </c>
      <c r="W1552" s="277">
        <v>0.0</v>
      </c>
      <c r="X1552" s="280">
        <v>6.0</v>
      </c>
      <c r="Y1552" s="280">
        <v>2.0</v>
      </c>
      <c r="Z1552" s="50" t="b">
        <v>1</v>
      </c>
      <c r="AA1552" s="50" t="s">
        <v>138</v>
      </c>
      <c r="AB1552" s="50" t="s">
        <v>138</v>
      </c>
    </row>
    <row r="1553">
      <c r="A1553" s="101" t="s">
        <v>156</v>
      </c>
      <c r="B1553" s="101" t="s">
        <v>156</v>
      </c>
      <c r="C1553" s="278">
        <v>44733.0</v>
      </c>
      <c r="D1553" s="278">
        <v>44762.0</v>
      </c>
      <c r="E1553" s="271" t="s">
        <v>268</v>
      </c>
      <c r="F1553" s="101" t="s">
        <v>4</v>
      </c>
      <c r="G1553" s="271" t="s">
        <v>5</v>
      </c>
      <c r="H1553" s="273" t="s">
        <v>74</v>
      </c>
      <c r="I1553" s="274">
        <v>50.0</v>
      </c>
      <c r="J1553" s="271">
        <v>125.0</v>
      </c>
      <c r="K1553" s="271">
        <f t="shared" si="1"/>
        <v>6250</v>
      </c>
      <c r="L1553" s="271">
        <v>13797.0</v>
      </c>
      <c r="M1553" s="271">
        <v>-150.0</v>
      </c>
      <c r="N1553" s="275">
        <v>75.0</v>
      </c>
      <c r="O1553" s="60"/>
      <c r="P1553" s="50">
        <v>75.0</v>
      </c>
      <c r="Q1553" s="271">
        <v>876.0</v>
      </c>
      <c r="R1553" s="276">
        <v>-0.001335</v>
      </c>
      <c r="S1553" s="271">
        <v>867.0</v>
      </c>
      <c r="T1553" s="271">
        <v>942.0</v>
      </c>
      <c r="U1553" s="62">
        <v>1.0</v>
      </c>
      <c r="V1553" s="277">
        <v>0.2</v>
      </c>
      <c r="W1553" s="277">
        <v>0.0</v>
      </c>
      <c r="X1553" s="271">
        <v>754.0</v>
      </c>
      <c r="Y1553" s="271">
        <v>188.0</v>
      </c>
      <c r="Z1553" s="50" t="b">
        <v>1</v>
      </c>
      <c r="AA1553" s="50" t="s">
        <v>138</v>
      </c>
      <c r="AB1553" s="50" t="s">
        <v>138</v>
      </c>
    </row>
    <row r="1554">
      <c r="A1554" s="101" t="s">
        <v>156</v>
      </c>
      <c r="B1554" s="101" t="s">
        <v>153</v>
      </c>
      <c r="C1554" s="278">
        <v>44733.0</v>
      </c>
      <c r="D1554" s="278">
        <v>44762.0</v>
      </c>
      <c r="E1554" s="271" t="s">
        <v>268</v>
      </c>
      <c r="F1554" s="101" t="s">
        <v>4</v>
      </c>
      <c r="G1554" s="271" t="s">
        <v>13</v>
      </c>
      <c r="H1554" s="273" t="s">
        <v>59</v>
      </c>
      <c r="I1554" s="274">
        <v>20.0</v>
      </c>
      <c r="J1554" s="271">
        <v>9.0</v>
      </c>
      <c r="K1554" s="271">
        <f t="shared" si="1"/>
        <v>180</v>
      </c>
      <c r="L1554" s="271">
        <v>-312.0</v>
      </c>
      <c r="M1554" s="271">
        <v>40.0</v>
      </c>
      <c r="N1554" s="275"/>
      <c r="O1554" s="60"/>
      <c r="P1554" s="101"/>
      <c r="Q1554" s="271">
        <v>-31.0</v>
      </c>
      <c r="R1554" s="276">
        <v>-0.001335</v>
      </c>
      <c r="S1554" s="271">
        <v>-31.0</v>
      </c>
      <c r="T1554" s="271">
        <v>-31.0</v>
      </c>
      <c r="U1554" s="62">
        <v>1.0</v>
      </c>
      <c r="V1554" s="277">
        <v>0.2</v>
      </c>
      <c r="W1554" s="277">
        <v>0.0</v>
      </c>
      <c r="X1554" s="271">
        <v>-25.0</v>
      </c>
      <c r="Y1554" s="271">
        <v>-6.0</v>
      </c>
      <c r="Z1554" s="50" t="b">
        <v>1</v>
      </c>
      <c r="AA1554" s="50" t="s">
        <v>138</v>
      </c>
      <c r="AB1554" s="50" t="s">
        <v>138</v>
      </c>
    </row>
    <row r="1555">
      <c r="A1555" s="101" t="s">
        <v>156</v>
      </c>
      <c r="B1555" s="101" t="s">
        <v>153</v>
      </c>
      <c r="C1555" s="278">
        <v>44733.0</v>
      </c>
      <c r="D1555" s="278">
        <v>44762.0</v>
      </c>
      <c r="E1555" s="271" t="s">
        <v>268</v>
      </c>
      <c r="F1555" s="101" t="s">
        <v>4</v>
      </c>
      <c r="G1555" s="271" t="s">
        <v>13</v>
      </c>
      <c r="H1555" s="273" t="s">
        <v>74</v>
      </c>
      <c r="I1555" s="274">
        <v>50.0</v>
      </c>
      <c r="J1555" s="271">
        <v>689.0</v>
      </c>
      <c r="K1555" s="271">
        <f t="shared" si="1"/>
        <v>34450</v>
      </c>
      <c r="L1555" s="271">
        <v>16792.0</v>
      </c>
      <c r="M1555" s="271">
        <v>-3400.0</v>
      </c>
      <c r="N1555" s="275">
        <f>1302+4*50</f>
        <v>1502</v>
      </c>
      <c r="O1555" s="60"/>
      <c r="P1555" s="109">
        <v>1502.0</v>
      </c>
      <c r="Q1555" s="271">
        <v>-134.0</v>
      </c>
      <c r="R1555" s="276">
        <v>-0.001335</v>
      </c>
      <c r="S1555" s="271">
        <v>-180.0</v>
      </c>
      <c r="T1555" s="271">
        <v>1322.0</v>
      </c>
      <c r="U1555" s="62">
        <v>1.0</v>
      </c>
      <c r="V1555" s="277">
        <v>0.2</v>
      </c>
      <c r="W1555" s="277">
        <v>0.0</v>
      </c>
      <c r="X1555" s="271">
        <v>1058.0</v>
      </c>
      <c r="Y1555" s="271">
        <v>264.0</v>
      </c>
      <c r="Z1555" s="50" t="b">
        <v>1</v>
      </c>
      <c r="AA1555" s="50" t="s">
        <v>138</v>
      </c>
      <c r="AB1555" s="50" t="s">
        <v>138</v>
      </c>
    </row>
    <row r="1556">
      <c r="A1556" s="280" t="s">
        <v>156</v>
      </c>
      <c r="B1556" s="101" t="s">
        <v>158</v>
      </c>
      <c r="C1556" s="283">
        <v>44733.0</v>
      </c>
      <c r="D1556" s="278">
        <v>44762.0</v>
      </c>
      <c r="E1556" s="280" t="s">
        <v>268</v>
      </c>
      <c r="F1556" s="138" t="s">
        <v>4</v>
      </c>
      <c r="G1556" s="280" t="s">
        <v>9</v>
      </c>
      <c r="H1556" s="273" t="s">
        <v>78</v>
      </c>
      <c r="I1556" s="281">
        <v>50.0</v>
      </c>
      <c r="J1556" s="280">
        <v>160.0</v>
      </c>
      <c r="K1556" s="271">
        <f t="shared" si="1"/>
        <v>8000</v>
      </c>
      <c r="L1556" s="280">
        <v>10754.0</v>
      </c>
      <c r="M1556" s="280">
        <v>562.0</v>
      </c>
      <c r="N1556" s="282">
        <v>4005.41</v>
      </c>
      <c r="O1556" s="60"/>
      <c r="P1556" s="109">
        <v>4005.0</v>
      </c>
      <c r="Q1556" s="280">
        <v>246.0</v>
      </c>
      <c r="R1556" s="276">
        <v>-0.001335</v>
      </c>
      <c r="S1556" s="280">
        <v>236.0</v>
      </c>
      <c r="T1556" s="280">
        <v>4241.0</v>
      </c>
      <c r="U1556" s="62">
        <v>1.021</v>
      </c>
      <c r="V1556" s="277">
        <v>0.2</v>
      </c>
      <c r="W1556" s="277">
        <v>0.0</v>
      </c>
      <c r="X1556" s="280">
        <v>3464.0</v>
      </c>
      <c r="Y1556" s="280">
        <v>866.0</v>
      </c>
      <c r="Z1556" s="50" t="b">
        <v>1</v>
      </c>
      <c r="AA1556" s="50" t="s">
        <v>138</v>
      </c>
      <c r="AB1556" s="50" t="s">
        <v>140</v>
      </c>
    </row>
    <row r="1557">
      <c r="A1557" s="280" t="s">
        <v>156</v>
      </c>
      <c r="B1557" s="101" t="s">
        <v>158</v>
      </c>
      <c r="C1557" s="283">
        <v>44733.0</v>
      </c>
      <c r="D1557" s="278">
        <v>44762.0</v>
      </c>
      <c r="E1557" s="280" t="s">
        <v>268</v>
      </c>
      <c r="F1557" s="138" t="s">
        <v>4</v>
      </c>
      <c r="G1557" s="280" t="s">
        <v>9</v>
      </c>
      <c r="H1557" s="290" t="s">
        <v>89</v>
      </c>
      <c r="I1557" s="281">
        <v>100.0</v>
      </c>
      <c r="J1557" s="280">
        <v>1768.0</v>
      </c>
      <c r="K1557" s="271">
        <f t="shared" si="1"/>
        <v>176800</v>
      </c>
      <c r="L1557" s="280">
        <v>62817.0</v>
      </c>
      <c r="M1557" s="280">
        <v>-7862.0</v>
      </c>
      <c r="N1557" s="282">
        <v>1269.59</v>
      </c>
      <c r="O1557" s="60"/>
      <c r="P1557" s="109">
        <v>1270.0</v>
      </c>
      <c r="Q1557" s="280">
        <v>-4373.0</v>
      </c>
      <c r="R1557" s="276">
        <v>-0.001335</v>
      </c>
      <c r="S1557" s="280">
        <v>-4609.0</v>
      </c>
      <c r="T1557" s="280">
        <v>-3340.0</v>
      </c>
      <c r="U1557" s="62">
        <v>1.021</v>
      </c>
      <c r="V1557" s="277">
        <v>0.2</v>
      </c>
      <c r="W1557" s="277">
        <v>0.0</v>
      </c>
      <c r="X1557" s="280">
        <v>-2728.0</v>
      </c>
      <c r="Y1557" s="280">
        <v>-682.0</v>
      </c>
      <c r="Z1557" s="50" t="b">
        <v>1</v>
      </c>
      <c r="AA1557" s="50" t="s">
        <v>138</v>
      </c>
      <c r="AB1557" s="50" t="s">
        <v>140</v>
      </c>
    </row>
    <row r="1558">
      <c r="A1558" s="280" t="s">
        <v>156</v>
      </c>
      <c r="B1558" s="101" t="s">
        <v>158</v>
      </c>
      <c r="C1558" s="283">
        <v>44733.0</v>
      </c>
      <c r="D1558" s="278">
        <v>44762.0</v>
      </c>
      <c r="E1558" s="280" t="s">
        <v>268</v>
      </c>
      <c r="F1558" s="138" t="s">
        <v>4</v>
      </c>
      <c r="G1558" s="280" t="s">
        <v>9</v>
      </c>
      <c r="H1558" s="290" t="s">
        <v>91</v>
      </c>
      <c r="I1558" s="281">
        <v>100.0</v>
      </c>
      <c r="J1558" s="280">
        <v>4.0</v>
      </c>
      <c r="K1558" s="271">
        <f t="shared" si="1"/>
        <v>400</v>
      </c>
      <c r="L1558" s="280">
        <v>119.0</v>
      </c>
      <c r="M1558" s="280">
        <v>408.0</v>
      </c>
      <c r="N1558" s="282">
        <v>0.0</v>
      </c>
      <c r="O1558" s="60"/>
      <c r="P1558" s="50">
        <v>0.0</v>
      </c>
      <c r="Q1558" s="280">
        <v>0.0</v>
      </c>
      <c r="R1558" s="276">
        <v>-0.001335</v>
      </c>
      <c r="S1558" s="280">
        <v>-1.0</v>
      </c>
      <c r="T1558" s="280">
        <v>-1.0</v>
      </c>
      <c r="U1558" s="62">
        <v>1.021</v>
      </c>
      <c r="V1558" s="277">
        <v>0.2</v>
      </c>
      <c r="W1558" s="277">
        <v>0.0</v>
      </c>
      <c r="X1558" s="280">
        <v>-1.0</v>
      </c>
      <c r="Y1558" s="280">
        <v>0.0</v>
      </c>
      <c r="Z1558" s="50" t="b">
        <v>1</v>
      </c>
      <c r="AA1558" s="50" t="s">
        <v>138</v>
      </c>
      <c r="AB1558" s="50" t="s">
        <v>140</v>
      </c>
    </row>
    <row r="1559">
      <c r="A1559" s="101" t="s">
        <v>546</v>
      </c>
      <c r="B1559" s="101" t="s">
        <v>202</v>
      </c>
      <c r="C1559" s="278">
        <v>44733.0</v>
      </c>
      <c r="D1559" s="278">
        <v>44762.0</v>
      </c>
      <c r="E1559" s="271" t="s">
        <v>331</v>
      </c>
      <c r="F1559" s="138" t="s">
        <v>4</v>
      </c>
      <c r="G1559" s="271" t="s">
        <v>13</v>
      </c>
      <c r="H1559" s="273" t="s">
        <v>85</v>
      </c>
      <c r="I1559" s="274">
        <v>100.0</v>
      </c>
      <c r="J1559" s="271">
        <v>6225.0</v>
      </c>
      <c r="K1559" s="271">
        <f t="shared" si="1"/>
        <v>622500</v>
      </c>
      <c r="L1559" s="271">
        <v>65112.0</v>
      </c>
      <c r="M1559" s="271">
        <v>-35500.0</v>
      </c>
      <c r="N1559" s="275">
        <v>38110.0</v>
      </c>
      <c r="O1559" s="60"/>
      <c r="P1559" s="109">
        <v>38110.0</v>
      </c>
      <c r="Q1559" s="271">
        <v>-26919.0</v>
      </c>
      <c r="R1559" s="276">
        <v>-0.001335</v>
      </c>
      <c r="S1559" s="271">
        <v>-27750.0</v>
      </c>
      <c r="T1559" s="271">
        <v>10360.0</v>
      </c>
      <c r="U1559" s="62">
        <v>1.0</v>
      </c>
      <c r="V1559" s="277">
        <v>0.09</v>
      </c>
      <c r="W1559" s="277">
        <v>0.03</v>
      </c>
      <c r="X1559" s="271">
        <v>9117.0</v>
      </c>
      <c r="Y1559" s="271">
        <v>1243.0</v>
      </c>
      <c r="Z1559" s="50" t="b">
        <v>1</v>
      </c>
      <c r="AA1559" s="50" t="s">
        <v>138</v>
      </c>
      <c r="AB1559" s="50" t="s">
        <v>138</v>
      </c>
    </row>
    <row r="1560">
      <c r="A1560" s="101" t="s">
        <v>160</v>
      </c>
      <c r="B1560" s="101" t="s">
        <v>160</v>
      </c>
      <c r="C1560" s="278">
        <v>44733.0</v>
      </c>
      <c r="D1560" s="278">
        <v>44762.0</v>
      </c>
      <c r="E1560" s="271" t="s">
        <v>268</v>
      </c>
      <c r="F1560" s="138" t="s">
        <v>4</v>
      </c>
      <c r="G1560" s="101" t="s">
        <v>5</v>
      </c>
      <c r="H1560" s="273" t="s">
        <v>35</v>
      </c>
      <c r="I1560" s="274">
        <v>5.0</v>
      </c>
      <c r="J1560" s="271">
        <v>2.0</v>
      </c>
      <c r="K1560" s="271">
        <f t="shared" si="1"/>
        <v>10</v>
      </c>
      <c r="L1560" s="271">
        <v>-276.0</v>
      </c>
      <c r="M1560" s="271">
        <v>0.0</v>
      </c>
      <c r="N1560" s="275"/>
      <c r="O1560" s="60"/>
      <c r="P1560" s="101"/>
      <c r="Q1560" s="271">
        <v>-3.0</v>
      </c>
      <c r="R1560" s="276">
        <v>-0.001335</v>
      </c>
      <c r="S1560" s="271">
        <v>-3.0</v>
      </c>
      <c r="T1560" s="271">
        <v>-3.0</v>
      </c>
      <c r="U1560" s="62">
        <v>1.0</v>
      </c>
      <c r="V1560" s="277">
        <v>0.25</v>
      </c>
      <c r="W1560" s="277">
        <v>0.0</v>
      </c>
      <c r="X1560" s="271">
        <v>-3.0</v>
      </c>
      <c r="Y1560" s="271">
        <v>-1.0</v>
      </c>
      <c r="Z1560" s="50" t="b">
        <v>1</v>
      </c>
      <c r="AA1560" s="50" t="s">
        <v>138</v>
      </c>
      <c r="AB1560" s="50" t="s">
        <v>138</v>
      </c>
    </row>
    <row r="1561">
      <c r="A1561" s="101" t="s">
        <v>160</v>
      </c>
      <c r="B1561" s="101" t="s">
        <v>160</v>
      </c>
      <c r="C1561" s="278">
        <v>44733.0</v>
      </c>
      <c r="D1561" s="278">
        <v>44762.0</v>
      </c>
      <c r="E1561" s="271" t="s">
        <v>268</v>
      </c>
      <c r="F1561" s="138" t="s">
        <v>4</v>
      </c>
      <c r="G1561" s="101" t="s">
        <v>5</v>
      </c>
      <c r="H1561" s="273" t="s">
        <v>45</v>
      </c>
      <c r="I1561" s="274">
        <v>10.0</v>
      </c>
      <c r="J1561" s="271">
        <v>2952.0</v>
      </c>
      <c r="K1561" s="271">
        <f t="shared" si="1"/>
        <v>29520</v>
      </c>
      <c r="L1561" s="271">
        <v>94078.0</v>
      </c>
      <c r="M1561" s="271">
        <v>-760.0</v>
      </c>
      <c r="N1561" s="275">
        <v>1825.0</v>
      </c>
      <c r="O1561" s="60"/>
      <c r="P1561" s="109">
        <v>1825.0</v>
      </c>
      <c r="Q1561" s="271">
        <v>-459.0</v>
      </c>
      <c r="R1561" s="276">
        <v>-0.001335</v>
      </c>
      <c r="S1561" s="271">
        <v>-498.0</v>
      </c>
      <c r="T1561" s="271">
        <v>1327.0</v>
      </c>
      <c r="U1561" s="62">
        <v>1.0</v>
      </c>
      <c r="V1561" s="277">
        <v>0.25</v>
      </c>
      <c r="W1561" s="277">
        <v>0.0</v>
      </c>
      <c r="X1561" s="271">
        <v>995.0</v>
      </c>
      <c r="Y1561" s="271">
        <v>332.0</v>
      </c>
      <c r="Z1561" s="50" t="b">
        <v>1</v>
      </c>
      <c r="AA1561" s="50" t="s">
        <v>138</v>
      </c>
      <c r="AB1561" s="50" t="s">
        <v>138</v>
      </c>
    </row>
    <row r="1562">
      <c r="A1562" s="101" t="s">
        <v>207</v>
      </c>
      <c r="B1562" s="101" t="s">
        <v>208</v>
      </c>
      <c r="C1562" s="278">
        <v>44733.0</v>
      </c>
      <c r="D1562" s="278">
        <v>44762.0</v>
      </c>
      <c r="E1562" s="271" t="s">
        <v>268</v>
      </c>
      <c r="F1562" s="138" t="s">
        <v>4</v>
      </c>
      <c r="G1562" s="101" t="s">
        <v>13</v>
      </c>
      <c r="H1562" s="273" t="s">
        <v>45</v>
      </c>
      <c r="I1562" s="274">
        <v>10.0</v>
      </c>
      <c r="J1562" s="271">
        <v>107.0</v>
      </c>
      <c r="K1562" s="271">
        <f t="shared" si="1"/>
        <v>1070</v>
      </c>
      <c r="L1562" s="271">
        <v>1049.0</v>
      </c>
      <c r="M1562" s="271">
        <v>-140.0</v>
      </c>
      <c r="N1562" s="275">
        <v>53.71</v>
      </c>
      <c r="O1562" s="60"/>
      <c r="P1562" s="50">
        <v>54.0</v>
      </c>
      <c r="Q1562" s="271">
        <v>-48.0</v>
      </c>
      <c r="R1562" s="276">
        <v>-0.001335</v>
      </c>
      <c r="S1562" s="271">
        <v>-50.0</v>
      </c>
      <c r="T1562" s="271">
        <v>4.0</v>
      </c>
      <c r="U1562" s="62">
        <v>1.0</v>
      </c>
      <c r="V1562" s="277">
        <v>0.3</v>
      </c>
      <c r="W1562" s="277">
        <v>0.0</v>
      </c>
      <c r="X1562" s="271">
        <v>3.0</v>
      </c>
      <c r="Y1562" s="271">
        <v>1.0</v>
      </c>
      <c r="Z1562" s="50" t="b">
        <v>1</v>
      </c>
      <c r="AA1562" s="50" t="s">
        <v>138</v>
      </c>
      <c r="AB1562" s="50" t="s">
        <v>138</v>
      </c>
    </row>
    <row r="1563">
      <c r="A1563" s="101" t="s">
        <v>207</v>
      </c>
      <c r="B1563" s="101" t="s">
        <v>208</v>
      </c>
      <c r="C1563" s="278">
        <v>44733.0</v>
      </c>
      <c r="D1563" s="278">
        <v>44762.0</v>
      </c>
      <c r="E1563" s="271" t="s">
        <v>268</v>
      </c>
      <c r="F1563" s="138" t="s">
        <v>4</v>
      </c>
      <c r="G1563" s="101" t="s">
        <v>13</v>
      </c>
      <c r="H1563" s="273" t="s">
        <v>59</v>
      </c>
      <c r="I1563" s="274">
        <v>20.0</v>
      </c>
      <c r="J1563" s="271">
        <v>5617.0</v>
      </c>
      <c r="K1563" s="271">
        <f t="shared" si="1"/>
        <v>112340</v>
      </c>
      <c r="L1563" s="271">
        <v>72272.0</v>
      </c>
      <c r="M1563" s="271">
        <v>-1120.0</v>
      </c>
      <c r="N1563" s="275">
        <v>5639.34</v>
      </c>
      <c r="O1563" s="60"/>
      <c r="P1563" s="109">
        <v>5639.0</v>
      </c>
      <c r="Q1563" s="271">
        <v>-4080.0</v>
      </c>
      <c r="R1563" s="276">
        <v>-0.001335</v>
      </c>
      <c r="S1563" s="271">
        <v>-4230.0</v>
      </c>
      <c r="T1563" s="271">
        <v>1409.0</v>
      </c>
      <c r="U1563" s="62">
        <v>1.0</v>
      </c>
      <c r="V1563" s="277">
        <v>0.3</v>
      </c>
      <c r="W1563" s="277">
        <v>0.0</v>
      </c>
      <c r="X1563" s="271">
        <v>987.0</v>
      </c>
      <c r="Y1563" s="271">
        <v>423.0</v>
      </c>
      <c r="Z1563" s="50" t="b">
        <v>1</v>
      </c>
      <c r="AA1563" s="50" t="s">
        <v>138</v>
      </c>
      <c r="AB1563" s="50" t="s">
        <v>138</v>
      </c>
    </row>
    <row r="1564">
      <c r="A1564" s="101" t="s">
        <v>207</v>
      </c>
      <c r="B1564" s="101" t="s">
        <v>208</v>
      </c>
      <c r="C1564" s="278">
        <v>44733.0</v>
      </c>
      <c r="D1564" s="278">
        <v>44762.0</v>
      </c>
      <c r="E1564" s="271" t="s">
        <v>268</v>
      </c>
      <c r="F1564" s="138" t="s">
        <v>4</v>
      </c>
      <c r="G1564" s="101" t="s">
        <v>13</v>
      </c>
      <c r="H1564" s="273" t="s">
        <v>74</v>
      </c>
      <c r="I1564" s="274">
        <v>50.0</v>
      </c>
      <c r="J1564" s="271">
        <v>498.0</v>
      </c>
      <c r="K1564" s="271">
        <f t="shared" si="1"/>
        <v>24900</v>
      </c>
      <c r="L1564" s="271">
        <v>2919.0</v>
      </c>
      <c r="M1564" s="271">
        <v>-3800.0</v>
      </c>
      <c r="N1564" s="275">
        <v>1249.95</v>
      </c>
      <c r="O1564" s="60"/>
      <c r="P1564" s="109">
        <v>1250.0</v>
      </c>
      <c r="Q1564" s="271">
        <v>-1406.0</v>
      </c>
      <c r="R1564" s="276">
        <v>-0.001335</v>
      </c>
      <c r="S1564" s="271">
        <v>-1439.0</v>
      </c>
      <c r="T1564" s="271">
        <v>-189.0</v>
      </c>
      <c r="U1564" s="62">
        <v>1.0</v>
      </c>
      <c r="V1564" s="277">
        <v>0.3</v>
      </c>
      <c r="W1564" s="277">
        <v>0.0</v>
      </c>
      <c r="X1564" s="271">
        <v>-133.0</v>
      </c>
      <c r="Y1564" s="271">
        <v>-57.0</v>
      </c>
      <c r="Z1564" s="50" t="b">
        <v>1</v>
      </c>
      <c r="AA1564" s="50" t="s">
        <v>138</v>
      </c>
      <c r="AB1564" s="50" t="s">
        <v>138</v>
      </c>
    </row>
    <row r="1565">
      <c r="A1565" s="101" t="s">
        <v>210</v>
      </c>
      <c r="B1565" s="101" t="s">
        <v>210</v>
      </c>
      <c r="C1565" s="278">
        <v>44733.0</v>
      </c>
      <c r="D1565" s="278">
        <v>44762.0</v>
      </c>
      <c r="E1565" s="271" t="s">
        <v>268</v>
      </c>
      <c r="F1565" s="101" t="s">
        <v>4</v>
      </c>
      <c r="G1565" s="271" t="s">
        <v>5</v>
      </c>
      <c r="H1565" s="290" t="s">
        <v>35</v>
      </c>
      <c r="I1565" s="274">
        <v>5.0</v>
      </c>
      <c r="J1565" s="271">
        <v>1.0</v>
      </c>
      <c r="K1565" s="271">
        <f t="shared" si="1"/>
        <v>5</v>
      </c>
      <c r="L1565" s="271">
        <v>-9.0</v>
      </c>
      <c r="M1565" s="271">
        <v>-5.0</v>
      </c>
      <c r="N1565" s="275"/>
      <c r="O1565" s="60"/>
      <c r="P1565" s="101"/>
      <c r="Q1565" s="271">
        <v>-1.0</v>
      </c>
      <c r="R1565" s="276">
        <v>-0.001335</v>
      </c>
      <c r="S1565" s="271">
        <v>-1.0</v>
      </c>
      <c r="T1565" s="271">
        <v>-1.0</v>
      </c>
      <c r="U1565" s="62">
        <v>0.996</v>
      </c>
      <c r="V1565" s="277">
        <v>0.3</v>
      </c>
      <c r="W1565" s="277">
        <v>0.0</v>
      </c>
      <c r="X1565" s="271">
        <v>0.0</v>
      </c>
      <c r="Y1565" s="271">
        <v>0.0</v>
      </c>
      <c r="Z1565" s="50" t="b">
        <v>1</v>
      </c>
      <c r="AA1565" s="50" t="s">
        <v>140</v>
      </c>
      <c r="AB1565" s="50" t="s">
        <v>138</v>
      </c>
    </row>
    <row r="1566">
      <c r="A1566" s="101" t="s">
        <v>210</v>
      </c>
      <c r="B1566" s="101" t="s">
        <v>210</v>
      </c>
      <c r="C1566" s="278">
        <v>44733.0</v>
      </c>
      <c r="D1566" s="278">
        <v>44762.0</v>
      </c>
      <c r="E1566" s="271" t="s">
        <v>268</v>
      </c>
      <c r="F1566" s="101" t="s">
        <v>4</v>
      </c>
      <c r="G1566" s="271" t="s">
        <v>5</v>
      </c>
      <c r="H1566" s="290" t="s">
        <v>62</v>
      </c>
      <c r="I1566" s="274">
        <v>25.0</v>
      </c>
      <c r="J1566" s="271">
        <v>1904.0</v>
      </c>
      <c r="K1566" s="271">
        <f t="shared" si="1"/>
        <v>47600</v>
      </c>
      <c r="L1566" s="271">
        <v>30799.0</v>
      </c>
      <c r="M1566" s="271">
        <v>-2000.0</v>
      </c>
      <c r="N1566" s="275">
        <v>889.0</v>
      </c>
      <c r="O1566" s="60"/>
      <c r="P1566" s="50">
        <v>889.0</v>
      </c>
      <c r="Q1566" s="271">
        <v>-1619.0</v>
      </c>
      <c r="R1566" s="276">
        <v>-0.001335</v>
      </c>
      <c r="S1566" s="271">
        <v>-1682.0</v>
      </c>
      <c r="T1566" s="271">
        <v>-793.0</v>
      </c>
      <c r="U1566" s="62">
        <v>0.996</v>
      </c>
      <c r="V1566" s="277">
        <v>0.3</v>
      </c>
      <c r="W1566" s="277">
        <v>0.0</v>
      </c>
      <c r="X1566" s="271">
        <v>-553.0</v>
      </c>
      <c r="Y1566" s="271">
        <v>-237.0</v>
      </c>
      <c r="Z1566" s="50" t="b">
        <v>1</v>
      </c>
      <c r="AA1566" s="50" t="s">
        <v>140</v>
      </c>
      <c r="AB1566" s="50" t="s">
        <v>138</v>
      </c>
    </row>
    <row r="1567">
      <c r="A1567" s="101" t="s">
        <v>210</v>
      </c>
      <c r="B1567" s="101" t="s">
        <v>210</v>
      </c>
      <c r="C1567" s="278">
        <v>44733.0</v>
      </c>
      <c r="D1567" s="278">
        <v>44762.0</v>
      </c>
      <c r="E1567" s="271" t="s">
        <v>268</v>
      </c>
      <c r="F1567" s="101" t="s">
        <v>12</v>
      </c>
      <c r="G1567" s="271" t="s">
        <v>5</v>
      </c>
      <c r="H1567" s="290" t="s">
        <v>23</v>
      </c>
      <c r="I1567" s="274">
        <v>1.0</v>
      </c>
      <c r="J1567" s="271">
        <v>2.0</v>
      </c>
      <c r="K1567" s="271">
        <f t="shared" si="1"/>
        <v>2</v>
      </c>
      <c r="L1567" s="271"/>
      <c r="M1567" s="271">
        <v>0.0</v>
      </c>
      <c r="N1567" s="275"/>
      <c r="O1567" s="60"/>
      <c r="P1567" s="101"/>
      <c r="Q1567" s="271"/>
      <c r="R1567" s="276">
        <v>0.0</v>
      </c>
      <c r="S1567" s="271"/>
      <c r="T1567" s="271">
        <v>0.0</v>
      </c>
      <c r="U1567" s="62">
        <v>0.996</v>
      </c>
      <c r="V1567" s="277">
        <v>0.3</v>
      </c>
      <c r="W1567" s="277">
        <v>0.0</v>
      </c>
      <c r="X1567" s="271">
        <v>0.0</v>
      </c>
      <c r="Y1567" s="271">
        <v>0.0</v>
      </c>
      <c r="Z1567" s="50" t="b">
        <v>1</v>
      </c>
      <c r="AA1567" s="50" t="s">
        <v>140</v>
      </c>
      <c r="AB1567" s="50" t="s">
        <v>138</v>
      </c>
    </row>
    <row r="1568">
      <c r="A1568" s="101" t="s">
        <v>210</v>
      </c>
      <c r="B1568" s="101" t="s">
        <v>210</v>
      </c>
      <c r="C1568" s="278">
        <v>44733.0</v>
      </c>
      <c r="D1568" s="278">
        <v>44762.0</v>
      </c>
      <c r="E1568" s="271" t="s">
        <v>268</v>
      </c>
      <c r="F1568" s="101" t="s">
        <v>12</v>
      </c>
      <c r="G1568" s="271" t="s">
        <v>5</v>
      </c>
      <c r="H1568" s="290" t="s">
        <v>28</v>
      </c>
      <c r="I1568" s="274">
        <v>2.0</v>
      </c>
      <c r="J1568" s="271">
        <v>44.0</v>
      </c>
      <c r="K1568" s="271">
        <f t="shared" si="1"/>
        <v>88</v>
      </c>
      <c r="L1568" s="271"/>
      <c r="M1568" s="271">
        <v>6.0</v>
      </c>
      <c r="N1568" s="275">
        <v>2.0</v>
      </c>
      <c r="O1568" s="60"/>
      <c r="P1568" s="50">
        <v>2.0</v>
      </c>
      <c r="Q1568" s="271"/>
      <c r="R1568" s="276">
        <v>0.0</v>
      </c>
      <c r="S1568" s="271"/>
      <c r="T1568" s="271">
        <v>8.0</v>
      </c>
      <c r="U1568" s="62">
        <v>0.996</v>
      </c>
      <c r="V1568" s="277">
        <v>0.3</v>
      </c>
      <c r="W1568" s="277">
        <v>0.0</v>
      </c>
      <c r="X1568" s="271">
        <v>6.0</v>
      </c>
      <c r="Y1568" s="271">
        <v>2.0</v>
      </c>
      <c r="Z1568" s="50" t="b">
        <v>1</v>
      </c>
      <c r="AA1568" s="50" t="s">
        <v>140</v>
      </c>
      <c r="AB1568" s="50" t="s">
        <v>138</v>
      </c>
    </row>
    <row r="1569">
      <c r="A1569" s="101" t="s">
        <v>210</v>
      </c>
      <c r="B1569" s="101" t="s">
        <v>210</v>
      </c>
      <c r="C1569" s="278">
        <v>44733.0</v>
      </c>
      <c r="D1569" s="278">
        <v>44762.0</v>
      </c>
      <c r="E1569" s="271" t="s">
        <v>268</v>
      </c>
      <c r="F1569" s="101" t="s">
        <v>12</v>
      </c>
      <c r="G1569" s="271" t="s">
        <v>5</v>
      </c>
      <c r="H1569" s="290" t="s">
        <v>10</v>
      </c>
      <c r="I1569" s="274">
        <v>0.25</v>
      </c>
      <c r="J1569" s="271">
        <v>2.0</v>
      </c>
      <c r="K1569" s="271">
        <f t="shared" si="1"/>
        <v>0.5</v>
      </c>
      <c r="L1569" s="271"/>
      <c r="M1569" s="271">
        <v>-1.0</v>
      </c>
      <c r="N1569" s="275"/>
      <c r="O1569" s="60"/>
      <c r="P1569" s="101"/>
      <c r="Q1569" s="271"/>
      <c r="R1569" s="276">
        <v>0.0</v>
      </c>
      <c r="S1569" s="271"/>
      <c r="T1569" s="271">
        <v>-1.0</v>
      </c>
      <c r="U1569" s="62">
        <v>0.996</v>
      </c>
      <c r="V1569" s="277">
        <v>0.3</v>
      </c>
      <c r="W1569" s="277">
        <v>0.0</v>
      </c>
      <c r="X1569" s="271">
        <v>-1.0</v>
      </c>
      <c r="Y1569" s="271">
        <v>0.0</v>
      </c>
      <c r="Z1569" s="50" t="b">
        <v>1</v>
      </c>
      <c r="AA1569" s="50" t="s">
        <v>140</v>
      </c>
      <c r="AB1569" s="50" t="s">
        <v>138</v>
      </c>
    </row>
    <row r="1570">
      <c r="A1570" s="101" t="s">
        <v>169</v>
      </c>
      <c r="B1570" s="101" t="s">
        <v>169</v>
      </c>
      <c r="C1570" s="278">
        <v>44738.0</v>
      </c>
      <c r="D1570" s="278">
        <v>44762.0</v>
      </c>
      <c r="E1570" s="271" t="s">
        <v>268</v>
      </c>
      <c r="F1570" s="101" t="s">
        <v>4</v>
      </c>
      <c r="G1570" s="271" t="s">
        <v>5</v>
      </c>
      <c r="H1570" s="273" t="s">
        <v>48</v>
      </c>
      <c r="I1570" s="274">
        <v>10.0</v>
      </c>
      <c r="J1570" s="271">
        <v>14983.0</v>
      </c>
      <c r="K1570" s="271">
        <f t="shared" si="1"/>
        <v>149830</v>
      </c>
      <c r="L1570" s="271">
        <v>248440.0</v>
      </c>
      <c r="M1570" s="271">
        <v>-5340.0</v>
      </c>
      <c r="N1570" s="275">
        <v>3592.0</v>
      </c>
      <c r="O1570" s="60"/>
      <c r="P1570" s="109">
        <v>3592.0</v>
      </c>
      <c r="Q1570" s="271">
        <v>-3492.0</v>
      </c>
      <c r="R1570" s="276">
        <v>-0.001335</v>
      </c>
      <c r="S1570" s="271">
        <v>-3692.0</v>
      </c>
      <c r="T1570" s="271">
        <v>-100.0</v>
      </c>
      <c r="U1570" s="62">
        <v>1.0</v>
      </c>
      <c r="V1570" s="277">
        <v>0.12</v>
      </c>
      <c r="W1570" s="277">
        <v>0.0</v>
      </c>
      <c r="X1570" s="271">
        <v>-88.0</v>
      </c>
      <c r="Y1570" s="271">
        <v>-12.0</v>
      </c>
      <c r="Z1570" s="50" t="b">
        <v>1</v>
      </c>
      <c r="AA1570" s="50" t="s">
        <v>138</v>
      </c>
      <c r="AB1570" s="50" t="s">
        <v>138</v>
      </c>
    </row>
    <row r="1571">
      <c r="A1571" s="101" t="s">
        <v>216</v>
      </c>
      <c r="B1571" s="101" t="s">
        <v>216</v>
      </c>
      <c r="C1571" s="278">
        <v>44733.0</v>
      </c>
      <c r="D1571" s="278">
        <v>44762.0</v>
      </c>
      <c r="E1571" s="271" t="s">
        <v>268</v>
      </c>
      <c r="F1571" s="138" t="s">
        <v>4</v>
      </c>
      <c r="G1571" s="101" t="s">
        <v>5</v>
      </c>
      <c r="H1571" s="273" t="s">
        <v>85</v>
      </c>
      <c r="I1571" s="274">
        <v>100.0</v>
      </c>
      <c r="J1571" s="271">
        <v>698.0</v>
      </c>
      <c r="K1571" s="271">
        <f t="shared" si="1"/>
        <v>69800</v>
      </c>
      <c r="L1571" s="271">
        <v>2831.0</v>
      </c>
      <c r="M1571" s="271">
        <v>-2700.0</v>
      </c>
      <c r="N1571" s="275">
        <v>2741.0</v>
      </c>
      <c r="O1571" s="60"/>
      <c r="P1571" s="109">
        <v>2741.0</v>
      </c>
      <c r="Q1571" s="271">
        <v>-3239.0</v>
      </c>
      <c r="R1571" s="276">
        <v>-0.001335</v>
      </c>
      <c r="S1571" s="271">
        <v>-3332.0</v>
      </c>
      <c r="T1571" s="271">
        <v>-591.0</v>
      </c>
      <c r="U1571" s="62">
        <v>1.0</v>
      </c>
      <c r="V1571" s="277">
        <v>0.1</v>
      </c>
      <c r="W1571" s="277">
        <v>0.0</v>
      </c>
      <c r="X1571" s="271">
        <v>-532.0</v>
      </c>
      <c r="Y1571" s="271">
        <v>-59.0</v>
      </c>
      <c r="Z1571" s="50" t="b">
        <v>1</v>
      </c>
      <c r="AA1571" s="50" t="s">
        <v>138</v>
      </c>
      <c r="AB1571" s="50" t="s">
        <v>138</v>
      </c>
    </row>
    <row r="1572">
      <c r="A1572" s="101" t="s">
        <v>216</v>
      </c>
      <c r="B1572" s="101" t="s">
        <v>216</v>
      </c>
      <c r="C1572" s="278">
        <v>44733.0</v>
      </c>
      <c r="D1572" s="278">
        <v>44762.0</v>
      </c>
      <c r="E1572" s="271" t="s">
        <v>268</v>
      </c>
      <c r="F1572" s="138" t="s">
        <v>4</v>
      </c>
      <c r="G1572" s="101" t="s">
        <v>5</v>
      </c>
      <c r="H1572" s="273" t="s">
        <v>86</v>
      </c>
      <c r="I1572" s="274">
        <v>100.0</v>
      </c>
      <c r="J1572" s="271">
        <v>428.0</v>
      </c>
      <c r="K1572" s="271">
        <f t="shared" si="1"/>
        <v>42800</v>
      </c>
      <c r="L1572" s="271">
        <v>3164.0</v>
      </c>
      <c r="M1572" s="271">
        <v>-1600.0</v>
      </c>
      <c r="N1572" s="275">
        <v>1681.0</v>
      </c>
      <c r="O1572" s="60"/>
      <c r="P1572" s="109">
        <v>1681.0</v>
      </c>
      <c r="Q1572" s="271">
        <v>-1323.0</v>
      </c>
      <c r="R1572" s="276">
        <v>-0.001335</v>
      </c>
      <c r="S1572" s="271">
        <v>-1380.0</v>
      </c>
      <c r="T1572" s="271">
        <v>301.0</v>
      </c>
      <c r="U1572" s="62">
        <v>1.0</v>
      </c>
      <c r="V1572" s="277">
        <v>0.1</v>
      </c>
      <c r="W1572" s="277">
        <v>0.0</v>
      </c>
      <c r="X1572" s="271">
        <v>271.0</v>
      </c>
      <c r="Y1572" s="271">
        <v>30.0</v>
      </c>
      <c r="Z1572" s="50" t="b">
        <v>1</v>
      </c>
      <c r="AA1572" s="50" t="s">
        <v>138</v>
      </c>
      <c r="AB1572" s="50" t="s">
        <v>138</v>
      </c>
    </row>
    <row r="1573">
      <c r="A1573" s="101" t="s">
        <v>216</v>
      </c>
      <c r="B1573" s="101" t="s">
        <v>216</v>
      </c>
      <c r="C1573" s="278">
        <v>44733.0</v>
      </c>
      <c r="D1573" s="278">
        <v>44762.0</v>
      </c>
      <c r="E1573" s="271" t="s">
        <v>268</v>
      </c>
      <c r="F1573" s="138" t="s">
        <v>4</v>
      </c>
      <c r="G1573" s="101" t="s">
        <v>5</v>
      </c>
      <c r="H1573" s="273" t="s">
        <v>96</v>
      </c>
      <c r="I1573" s="274">
        <v>250.0</v>
      </c>
      <c r="J1573" s="271">
        <v>686.0</v>
      </c>
      <c r="K1573" s="271">
        <f t="shared" si="1"/>
        <v>171500</v>
      </c>
      <c r="L1573" s="271">
        <v>1040.0</v>
      </c>
      <c r="M1573" s="271">
        <v>-750.0</v>
      </c>
      <c r="N1573" s="275">
        <v>6735.0</v>
      </c>
      <c r="O1573" s="60"/>
      <c r="P1573" s="109">
        <v>6735.0</v>
      </c>
      <c r="Q1573" s="271">
        <v>-8361.0</v>
      </c>
      <c r="R1573" s="276">
        <v>-0.001335</v>
      </c>
      <c r="S1573" s="271">
        <v>-8590.0</v>
      </c>
      <c r="T1573" s="271">
        <v>-1855.0</v>
      </c>
      <c r="U1573" s="62">
        <v>1.0</v>
      </c>
      <c r="V1573" s="277">
        <v>0.1</v>
      </c>
      <c r="W1573" s="277">
        <v>0.0</v>
      </c>
      <c r="X1573" s="271">
        <v>-1669.0</v>
      </c>
      <c r="Y1573" s="271">
        <v>-185.0</v>
      </c>
      <c r="Z1573" s="50" t="b">
        <v>1</v>
      </c>
      <c r="AA1573" s="50" t="s">
        <v>138</v>
      </c>
      <c r="AB1573" s="50" t="s">
        <v>138</v>
      </c>
    </row>
    <row r="1574">
      <c r="A1574" s="101" t="s">
        <v>216</v>
      </c>
      <c r="B1574" s="101" t="s">
        <v>216</v>
      </c>
      <c r="C1574" s="278">
        <v>44733.0</v>
      </c>
      <c r="D1574" s="278">
        <v>44762.0</v>
      </c>
      <c r="E1574" s="271" t="s">
        <v>268</v>
      </c>
      <c r="F1574" s="138" t="s">
        <v>4</v>
      </c>
      <c r="G1574" s="101" t="s">
        <v>5</v>
      </c>
      <c r="H1574" s="273" t="s">
        <v>97</v>
      </c>
      <c r="I1574" s="274">
        <v>250.0</v>
      </c>
      <c r="J1574" s="271">
        <v>305.0</v>
      </c>
      <c r="K1574" s="271">
        <f t="shared" si="1"/>
        <v>76250</v>
      </c>
      <c r="L1574" s="271">
        <v>197.0</v>
      </c>
      <c r="M1574" s="271">
        <v>-8000.0</v>
      </c>
      <c r="N1574" s="275">
        <v>2995.0</v>
      </c>
      <c r="O1574" s="60"/>
      <c r="P1574" s="109">
        <v>2995.0</v>
      </c>
      <c r="Q1574" s="271">
        <v>-3780.0</v>
      </c>
      <c r="R1574" s="276">
        <v>-0.001335</v>
      </c>
      <c r="S1574" s="271">
        <v>-3882.0</v>
      </c>
      <c r="T1574" s="271">
        <v>-887.0</v>
      </c>
      <c r="U1574" s="62">
        <v>1.0</v>
      </c>
      <c r="V1574" s="277">
        <v>0.1</v>
      </c>
      <c r="W1574" s="277">
        <v>0.0</v>
      </c>
      <c r="X1574" s="271">
        <v>-798.0</v>
      </c>
      <c r="Y1574" s="271">
        <v>-89.0</v>
      </c>
      <c r="Z1574" s="50" t="b">
        <v>1</v>
      </c>
      <c r="AA1574" s="50" t="s">
        <v>138</v>
      </c>
      <c r="AB1574" s="50" t="s">
        <v>138</v>
      </c>
    </row>
    <row r="1575">
      <c r="A1575" s="101" t="s">
        <v>216</v>
      </c>
      <c r="B1575" s="101" t="s">
        <v>216</v>
      </c>
      <c r="C1575" s="278">
        <v>44733.0</v>
      </c>
      <c r="D1575" s="278">
        <v>44762.0</v>
      </c>
      <c r="E1575" s="271" t="s">
        <v>268</v>
      </c>
      <c r="F1575" s="138" t="s">
        <v>4</v>
      </c>
      <c r="G1575" s="101" t="s">
        <v>5</v>
      </c>
      <c r="H1575" s="273" t="s">
        <v>101</v>
      </c>
      <c r="I1575" s="274">
        <v>500.0</v>
      </c>
      <c r="J1575" s="271">
        <v>5.0</v>
      </c>
      <c r="K1575" s="271">
        <f t="shared" si="1"/>
        <v>2500</v>
      </c>
      <c r="L1575" s="271">
        <v>-1141.0</v>
      </c>
      <c r="M1575" s="271">
        <v>2000.0</v>
      </c>
      <c r="N1575" s="275">
        <v>98.0</v>
      </c>
      <c r="O1575" s="60"/>
      <c r="P1575" s="50">
        <v>98.0</v>
      </c>
      <c r="Q1575" s="271">
        <v>-1200.0</v>
      </c>
      <c r="R1575" s="276">
        <v>-0.001335</v>
      </c>
      <c r="S1575" s="271">
        <v>-1203.0</v>
      </c>
      <c r="T1575" s="271">
        <v>-1105.0</v>
      </c>
      <c r="U1575" s="62">
        <v>1.0</v>
      </c>
      <c r="V1575" s="277">
        <v>0.1</v>
      </c>
      <c r="W1575" s="277">
        <v>0.0</v>
      </c>
      <c r="X1575" s="271">
        <v>-995.0</v>
      </c>
      <c r="Y1575" s="271">
        <v>-111.0</v>
      </c>
      <c r="Z1575" s="50" t="b">
        <v>1</v>
      </c>
      <c r="AA1575" s="50" t="s">
        <v>138</v>
      </c>
      <c r="AB1575" s="50" t="s">
        <v>138</v>
      </c>
    </row>
    <row r="1576">
      <c r="A1576" s="271" t="s">
        <v>143</v>
      </c>
      <c r="B1576" s="271" t="s">
        <v>139</v>
      </c>
      <c r="C1576" s="278">
        <v>44743.0</v>
      </c>
      <c r="D1576" s="278">
        <v>44773.0</v>
      </c>
      <c r="E1576" s="271" t="s">
        <v>268</v>
      </c>
      <c r="F1576" s="138" t="s">
        <v>8</v>
      </c>
      <c r="G1576" s="271" t="s">
        <v>5</v>
      </c>
      <c r="H1576" s="271" t="s">
        <v>45</v>
      </c>
      <c r="I1576" s="274">
        <v>10.0</v>
      </c>
      <c r="J1576" s="271">
        <v>3456.0</v>
      </c>
      <c r="K1576" s="271">
        <f t="shared" si="1"/>
        <v>34560</v>
      </c>
      <c r="L1576" s="271">
        <v>218147.0</v>
      </c>
      <c r="M1576" s="271">
        <v>1560.0</v>
      </c>
      <c r="N1576" s="275">
        <v>1651.14</v>
      </c>
      <c r="O1576" s="60"/>
      <c r="P1576" s="109">
        <v>1651.0</v>
      </c>
      <c r="Q1576" s="271">
        <v>1444.0</v>
      </c>
      <c r="R1576" s="276">
        <v>0.00214</v>
      </c>
      <c r="S1576" s="271">
        <v>1518.0</v>
      </c>
      <c r="T1576" s="271">
        <v>3169.0</v>
      </c>
      <c r="U1576" s="62">
        <v>1.0</v>
      </c>
      <c r="V1576" s="277">
        <v>0.17</v>
      </c>
      <c r="W1576" s="277">
        <v>0.0</v>
      </c>
      <c r="X1576" s="271">
        <v>2630.0</v>
      </c>
      <c r="Y1576" s="271">
        <v>539.0</v>
      </c>
      <c r="Z1576" s="50" t="b">
        <v>1</v>
      </c>
      <c r="AA1576" s="50" t="s">
        <v>138</v>
      </c>
      <c r="AB1576" s="50" t="s">
        <v>138</v>
      </c>
    </row>
    <row r="1577">
      <c r="A1577" s="271" t="s">
        <v>143</v>
      </c>
      <c r="B1577" s="271" t="s">
        <v>139</v>
      </c>
      <c r="C1577" s="278">
        <v>44743.0</v>
      </c>
      <c r="D1577" s="278">
        <v>44773.0</v>
      </c>
      <c r="E1577" s="271" t="s">
        <v>268</v>
      </c>
      <c r="F1577" s="138" t="s">
        <v>8</v>
      </c>
      <c r="G1577" s="271" t="s">
        <v>5</v>
      </c>
      <c r="H1577" s="271" t="s">
        <v>62</v>
      </c>
      <c r="I1577" s="274">
        <v>25.0</v>
      </c>
      <c r="J1577" s="271">
        <v>824.0</v>
      </c>
      <c r="K1577" s="271">
        <f t="shared" si="1"/>
        <v>20600</v>
      </c>
      <c r="L1577" s="271">
        <v>24990.0</v>
      </c>
      <c r="M1577" s="271">
        <v>-925.0</v>
      </c>
      <c r="N1577" s="275">
        <v>843.59</v>
      </c>
      <c r="O1577" s="60"/>
      <c r="P1577" s="50">
        <v>844.0</v>
      </c>
      <c r="Q1577" s="271">
        <v>-160.0</v>
      </c>
      <c r="R1577" s="276">
        <v>0.002035</v>
      </c>
      <c r="S1577" s="271">
        <v>-118.0</v>
      </c>
      <c r="T1577" s="271">
        <v>726.0</v>
      </c>
      <c r="U1577" s="62">
        <v>1.0</v>
      </c>
      <c r="V1577" s="277">
        <v>0.17</v>
      </c>
      <c r="W1577" s="277">
        <v>0.0</v>
      </c>
      <c r="X1577" s="271">
        <v>602.0</v>
      </c>
      <c r="Y1577" s="271">
        <v>123.0</v>
      </c>
      <c r="Z1577" s="50" t="b">
        <v>1</v>
      </c>
      <c r="AA1577" s="50" t="s">
        <v>138</v>
      </c>
      <c r="AB1577" s="50" t="s">
        <v>138</v>
      </c>
    </row>
    <row r="1578">
      <c r="A1578" s="271" t="s">
        <v>143</v>
      </c>
      <c r="B1578" s="271" t="s">
        <v>139</v>
      </c>
      <c r="C1578" s="278">
        <v>44743.0</v>
      </c>
      <c r="D1578" s="278">
        <v>44773.0</v>
      </c>
      <c r="E1578" s="271" t="s">
        <v>268</v>
      </c>
      <c r="F1578" s="138" t="s">
        <v>12</v>
      </c>
      <c r="G1578" s="271" t="s">
        <v>5</v>
      </c>
      <c r="H1578" s="271" t="s">
        <v>35</v>
      </c>
      <c r="I1578" s="274">
        <v>5.0</v>
      </c>
      <c r="J1578" s="271">
        <v>1.0</v>
      </c>
      <c r="K1578" s="271">
        <f t="shared" si="1"/>
        <v>5</v>
      </c>
      <c r="L1578" s="271"/>
      <c r="M1578" s="271">
        <v>-5.0</v>
      </c>
      <c r="N1578" s="275"/>
      <c r="O1578" s="60"/>
      <c r="P1578" s="101"/>
      <c r="Q1578" s="271"/>
      <c r="R1578" s="276">
        <v>0.0</v>
      </c>
      <c r="S1578" s="271"/>
      <c r="T1578" s="271">
        <v>-5.0</v>
      </c>
      <c r="U1578" s="62">
        <v>1.0</v>
      </c>
      <c r="V1578" s="277">
        <v>0.17</v>
      </c>
      <c r="W1578" s="277">
        <v>0.0</v>
      </c>
      <c r="X1578" s="271">
        <v>-4.0</v>
      </c>
      <c r="Y1578" s="271">
        <v>-1.0</v>
      </c>
      <c r="Z1578" s="50" t="b">
        <v>1</v>
      </c>
      <c r="AA1578" s="50" t="s">
        <v>138</v>
      </c>
      <c r="AB1578" s="50" t="s">
        <v>138</v>
      </c>
    </row>
    <row r="1579">
      <c r="A1579" s="101" t="s">
        <v>149</v>
      </c>
      <c r="B1579" s="101" t="s">
        <v>149</v>
      </c>
      <c r="C1579" s="278">
        <v>44743.0</v>
      </c>
      <c r="D1579" s="278">
        <v>44773.0</v>
      </c>
      <c r="E1579" s="271" t="s">
        <v>268</v>
      </c>
      <c r="F1579" s="138" t="s">
        <v>12</v>
      </c>
      <c r="G1579" s="101" t="s">
        <v>5</v>
      </c>
      <c r="H1579" s="273" t="s">
        <v>85</v>
      </c>
      <c r="I1579" s="274">
        <v>100.0</v>
      </c>
      <c r="J1579" s="271">
        <v>3.0</v>
      </c>
      <c r="K1579" s="271">
        <f t="shared" si="1"/>
        <v>300</v>
      </c>
      <c r="L1579" s="271">
        <v>-1500.0</v>
      </c>
      <c r="M1579" s="271">
        <v>-300.0</v>
      </c>
      <c r="N1579" s="275">
        <v>11.0</v>
      </c>
      <c r="O1579" s="60"/>
      <c r="P1579" s="50">
        <v>11.0</v>
      </c>
      <c r="Q1579" s="271">
        <v>-297.0</v>
      </c>
      <c r="R1579" s="276">
        <v>0.0</v>
      </c>
      <c r="S1579" s="271">
        <v>-297.0</v>
      </c>
      <c r="T1579" s="271">
        <v>-289.0</v>
      </c>
      <c r="U1579" s="62">
        <v>1.0</v>
      </c>
      <c r="V1579" s="291"/>
      <c r="W1579" s="277">
        <v>0.0</v>
      </c>
      <c r="X1579" s="271">
        <v>-289.0</v>
      </c>
      <c r="Y1579" s="271">
        <v>0.0</v>
      </c>
      <c r="Z1579" s="50" t="b">
        <v>0</v>
      </c>
      <c r="AA1579" s="50" t="s">
        <v>138</v>
      </c>
      <c r="AB1579" s="50" t="s">
        <v>138</v>
      </c>
    </row>
    <row r="1580">
      <c r="A1580" s="101" t="s">
        <v>149</v>
      </c>
      <c r="B1580" s="101" t="s">
        <v>149</v>
      </c>
      <c r="C1580" s="278">
        <v>44743.0</v>
      </c>
      <c r="D1580" s="278">
        <v>44773.0</v>
      </c>
      <c r="E1580" s="271" t="s">
        <v>268</v>
      </c>
      <c r="F1580" s="138" t="s">
        <v>12</v>
      </c>
      <c r="G1580" s="101" t="s">
        <v>5</v>
      </c>
      <c r="H1580" s="273" t="s">
        <v>74</v>
      </c>
      <c r="I1580" s="274">
        <v>50.0</v>
      </c>
      <c r="J1580" s="271">
        <v>3005.0</v>
      </c>
      <c r="K1580" s="271">
        <f t="shared" si="1"/>
        <v>150250</v>
      </c>
      <c r="L1580" s="271">
        <v>52432.0</v>
      </c>
      <c r="M1580" s="271">
        <v>-7250.0</v>
      </c>
      <c r="N1580" s="275">
        <v>6593.0</v>
      </c>
      <c r="O1580" s="60"/>
      <c r="P1580" s="109">
        <v>6593.0</v>
      </c>
      <c r="Q1580" s="271">
        <v>-4755.0</v>
      </c>
      <c r="R1580" s="276">
        <v>0.0</v>
      </c>
      <c r="S1580" s="271">
        <v>-4755.0</v>
      </c>
      <c r="T1580" s="271">
        <v>-657.0</v>
      </c>
      <c r="U1580" s="62">
        <v>1.0</v>
      </c>
      <c r="V1580" s="291"/>
      <c r="W1580" s="277">
        <v>0.0</v>
      </c>
      <c r="X1580" s="271">
        <v>-657.0</v>
      </c>
      <c r="Y1580" s="271">
        <v>0.0</v>
      </c>
      <c r="Z1580" s="50" t="b">
        <v>0</v>
      </c>
      <c r="AA1580" s="50" t="s">
        <v>138</v>
      </c>
      <c r="AB1580" s="50" t="s">
        <v>138</v>
      </c>
    </row>
    <row r="1581">
      <c r="A1581" s="101" t="s">
        <v>149</v>
      </c>
      <c r="B1581" s="101" t="s">
        <v>149</v>
      </c>
      <c r="C1581" s="278">
        <v>44743.0</v>
      </c>
      <c r="D1581" s="278">
        <v>44773.0</v>
      </c>
      <c r="E1581" s="271" t="s">
        <v>268</v>
      </c>
      <c r="F1581" s="138" t="s">
        <v>12</v>
      </c>
      <c r="G1581" s="101" t="s">
        <v>5</v>
      </c>
      <c r="H1581" s="273" t="s">
        <v>35</v>
      </c>
      <c r="I1581" s="274">
        <v>5.0</v>
      </c>
      <c r="J1581" s="271">
        <v>2.0</v>
      </c>
      <c r="K1581" s="271">
        <f t="shared" si="1"/>
        <v>10</v>
      </c>
      <c r="L1581" s="271">
        <v>1200.0</v>
      </c>
      <c r="M1581" s="271">
        <v>20.0</v>
      </c>
      <c r="N1581" s="275">
        <v>1.0</v>
      </c>
      <c r="O1581" s="60"/>
      <c r="P1581" s="50">
        <v>1.0</v>
      </c>
      <c r="Q1581" s="271">
        <v>10.0</v>
      </c>
      <c r="R1581" s="276">
        <v>0.0</v>
      </c>
      <c r="S1581" s="271">
        <v>10.0</v>
      </c>
      <c r="T1581" s="271">
        <v>21.0</v>
      </c>
      <c r="U1581" s="62">
        <v>1.0</v>
      </c>
      <c r="V1581" s="291"/>
      <c r="W1581" s="277">
        <v>0.0</v>
      </c>
      <c r="X1581" s="271">
        <v>21.0</v>
      </c>
      <c r="Y1581" s="271">
        <v>0.0</v>
      </c>
      <c r="Z1581" s="50" t="b">
        <v>0</v>
      </c>
      <c r="AA1581" s="50" t="s">
        <v>138</v>
      </c>
      <c r="AB1581" s="50" t="s">
        <v>138</v>
      </c>
    </row>
    <row r="1582">
      <c r="A1582" s="101" t="s">
        <v>177</v>
      </c>
      <c r="B1582" s="101" t="s">
        <v>177</v>
      </c>
      <c r="C1582" s="278">
        <v>44743.0</v>
      </c>
      <c r="D1582" s="278">
        <v>44773.0</v>
      </c>
      <c r="E1582" s="271" t="s">
        <v>331</v>
      </c>
      <c r="F1582" s="138" t="s">
        <v>8</v>
      </c>
      <c r="G1582" s="280" t="s">
        <v>5</v>
      </c>
      <c r="H1582" s="273" t="s">
        <v>85</v>
      </c>
      <c r="I1582" s="274">
        <v>100.0</v>
      </c>
      <c r="J1582" s="271">
        <v>119.0</v>
      </c>
      <c r="K1582" s="271">
        <f t="shared" si="1"/>
        <v>11900</v>
      </c>
      <c r="L1582" s="271">
        <v>220.0</v>
      </c>
      <c r="M1582" s="271">
        <v>-800.0</v>
      </c>
      <c r="N1582" s="275">
        <v>442.25</v>
      </c>
      <c r="O1582" s="60"/>
      <c r="P1582" s="50">
        <v>442.0</v>
      </c>
      <c r="Q1582" s="271">
        <v>-601.0</v>
      </c>
      <c r="R1582" s="276">
        <v>0.001963</v>
      </c>
      <c r="S1582" s="271">
        <v>-578.0</v>
      </c>
      <c r="T1582" s="271">
        <v>-136.0</v>
      </c>
      <c r="U1582" s="62">
        <v>1.0</v>
      </c>
      <c r="V1582" s="277">
        <v>0.175</v>
      </c>
      <c r="W1582" s="277">
        <v>0.075</v>
      </c>
      <c r="X1582" s="271">
        <v>-102.0</v>
      </c>
      <c r="Y1582" s="271">
        <v>-34.0</v>
      </c>
      <c r="Z1582" s="50" t="b">
        <v>1</v>
      </c>
      <c r="AA1582" s="50" t="s">
        <v>138</v>
      </c>
      <c r="AB1582" s="50" t="s">
        <v>138</v>
      </c>
    </row>
    <row r="1583">
      <c r="A1583" s="101" t="s">
        <v>177</v>
      </c>
      <c r="B1583" s="101" t="s">
        <v>177</v>
      </c>
      <c r="C1583" s="278">
        <v>44743.0</v>
      </c>
      <c r="D1583" s="278">
        <v>44773.0</v>
      </c>
      <c r="E1583" s="271" t="s">
        <v>331</v>
      </c>
      <c r="F1583" s="138" t="s">
        <v>8</v>
      </c>
      <c r="G1583" s="280" t="s">
        <v>5</v>
      </c>
      <c r="H1583" s="273" t="s">
        <v>86</v>
      </c>
      <c r="I1583" s="274">
        <v>100.0</v>
      </c>
      <c r="J1583" s="271">
        <v>4229.0</v>
      </c>
      <c r="K1583" s="271">
        <f t="shared" si="1"/>
        <v>422900</v>
      </c>
      <c r="L1583" s="271">
        <v>44264.0</v>
      </c>
      <c r="M1583" s="271">
        <v>-15300.0</v>
      </c>
      <c r="N1583" s="275">
        <v>15716.45</v>
      </c>
      <c r="O1583" s="60"/>
      <c r="P1583" s="109">
        <v>15716.0</v>
      </c>
      <c r="Q1583" s="271">
        <v>-9009.0</v>
      </c>
      <c r="R1583" s="276">
        <v>0.002018</v>
      </c>
      <c r="S1583" s="271">
        <v>-8156.0</v>
      </c>
      <c r="T1583" s="271">
        <v>7560.0</v>
      </c>
      <c r="U1583" s="62">
        <v>1.0</v>
      </c>
      <c r="V1583" s="277">
        <v>0.175</v>
      </c>
      <c r="W1583" s="277">
        <v>0.075</v>
      </c>
      <c r="X1583" s="271">
        <v>5670.0</v>
      </c>
      <c r="Y1583" s="271">
        <v>1890.0</v>
      </c>
      <c r="Z1583" s="50" t="b">
        <v>1</v>
      </c>
      <c r="AA1583" s="50" t="s">
        <v>138</v>
      </c>
      <c r="AB1583" s="50" t="s">
        <v>138</v>
      </c>
    </row>
    <row r="1584">
      <c r="A1584" s="101" t="s">
        <v>177</v>
      </c>
      <c r="B1584" s="101" t="s">
        <v>177</v>
      </c>
      <c r="C1584" s="278">
        <v>44743.0</v>
      </c>
      <c r="D1584" s="278">
        <v>44773.0</v>
      </c>
      <c r="E1584" s="271" t="s">
        <v>331</v>
      </c>
      <c r="F1584" s="138" t="s">
        <v>8</v>
      </c>
      <c r="G1584" s="280" t="s">
        <v>5</v>
      </c>
      <c r="H1584" s="273" t="s">
        <v>96</v>
      </c>
      <c r="I1584" s="274">
        <v>250.0</v>
      </c>
      <c r="J1584" s="271">
        <v>938.0</v>
      </c>
      <c r="K1584" s="271">
        <f t="shared" si="1"/>
        <v>234500</v>
      </c>
      <c r="L1584" s="271">
        <v>18783.0</v>
      </c>
      <c r="M1584" s="271">
        <v>-8750.0</v>
      </c>
      <c r="N1584" s="275">
        <v>8714.84</v>
      </c>
      <c r="O1584" s="60"/>
      <c r="P1584" s="109">
        <v>8715.0</v>
      </c>
      <c r="Q1584" s="271">
        <v>-3276.0</v>
      </c>
      <c r="R1584" s="276">
        <v>0.002032</v>
      </c>
      <c r="S1584" s="271">
        <v>-2800.0</v>
      </c>
      <c r="T1584" s="271">
        <v>5915.0</v>
      </c>
      <c r="U1584" s="62">
        <v>1.0</v>
      </c>
      <c r="V1584" s="277">
        <v>0.175</v>
      </c>
      <c r="W1584" s="277">
        <v>0.075</v>
      </c>
      <c r="X1584" s="271">
        <v>4436.0</v>
      </c>
      <c r="Y1584" s="271">
        <v>1479.0</v>
      </c>
      <c r="Z1584" s="50" t="b">
        <v>1</v>
      </c>
      <c r="AA1584" s="50" t="s">
        <v>138</v>
      </c>
      <c r="AB1584" s="50" t="s">
        <v>138</v>
      </c>
    </row>
    <row r="1585">
      <c r="A1585" s="101" t="s">
        <v>177</v>
      </c>
      <c r="B1585" s="101" t="s">
        <v>177</v>
      </c>
      <c r="C1585" s="278">
        <v>44743.0</v>
      </c>
      <c r="D1585" s="278">
        <v>44773.0</v>
      </c>
      <c r="E1585" s="271" t="s">
        <v>331</v>
      </c>
      <c r="F1585" s="138" t="s">
        <v>8</v>
      </c>
      <c r="G1585" s="280" t="s">
        <v>5</v>
      </c>
      <c r="H1585" s="273" t="s">
        <v>97</v>
      </c>
      <c r="I1585" s="274">
        <v>250.0</v>
      </c>
      <c r="J1585" s="271">
        <v>837.0</v>
      </c>
      <c r="K1585" s="271">
        <f t="shared" si="1"/>
        <v>209250</v>
      </c>
      <c r="L1585" s="271">
        <v>5659.0</v>
      </c>
      <c r="M1585" s="271">
        <v>-26750.0</v>
      </c>
      <c r="N1585" s="275">
        <v>7776.46</v>
      </c>
      <c r="O1585" s="60"/>
      <c r="P1585" s="109">
        <v>7776.0</v>
      </c>
      <c r="Q1585" s="271">
        <v>-6367.0</v>
      </c>
      <c r="R1585" s="276">
        <v>0.002</v>
      </c>
      <c r="S1585" s="271">
        <v>-5948.0</v>
      </c>
      <c r="T1585" s="271">
        <v>1828.0</v>
      </c>
      <c r="U1585" s="62">
        <v>1.0</v>
      </c>
      <c r="V1585" s="277">
        <v>0.175</v>
      </c>
      <c r="W1585" s="277">
        <v>0.075</v>
      </c>
      <c r="X1585" s="271">
        <v>1371.0</v>
      </c>
      <c r="Y1585" s="271">
        <v>457.0</v>
      </c>
      <c r="Z1585" s="50" t="b">
        <v>1</v>
      </c>
      <c r="AA1585" s="50" t="s">
        <v>138</v>
      </c>
      <c r="AB1585" s="50" t="s">
        <v>138</v>
      </c>
    </row>
    <row r="1586">
      <c r="A1586" s="280" t="s">
        <v>183</v>
      </c>
      <c r="B1586" s="280" t="s">
        <v>183</v>
      </c>
      <c r="C1586" s="283">
        <v>44743.0</v>
      </c>
      <c r="D1586" s="283">
        <v>44773.0</v>
      </c>
      <c r="E1586" s="280" t="s">
        <v>268</v>
      </c>
      <c r="F1586" s="138" t="s">
        <v>8</v>
      </c>
      <c r="G1586" s="271" t="s">
        <v>5</v>
      </c>
      <c r="H1586" s="290" t="s">
        <v>35</v>
      </c>
      <c r="I1586" s="274">
        <v>5.0</v>
      </c>
      <c r="J1586" s="271">
        <v>398.0</v>
      </c>
      <c r="K1586" s="271">
        <f t="shared" si="1"/>
        <v>1990</v>
      </c>
      <c r="L1586" s="271">
        <v>28638.0</v>
      </c>
      <c r="M1586" s="271">
        <v>160.0</v>
      </c>
      <c r="N1586" s="275">
        <v>149.0</v>
      </c>
      <c r="O1586" s="60"/>
      <c r="P1586" s="50">
        <v>149.0</v>
      </c>
      <c r="Q1586" s="271">
        <v>84.0</v>
      </c>
      <c r="R1586" s="276">
        <v>0.002249</v>
      </c>
      <c r="S1586" s="271">
        <v>88.0</v>
      </c>
      <c r="T1586" s="271">
        <v>237.0</v>
      </c>
      <c r="U1586" s="62">
        <v>1.0</v>
      </c>
      <c r="V1586" s="277">
        <v>0.17</v>
      </c>
      <c r="W1586" s="277">
        <v>0.0</v>
      </c>
      <c r="X1586" s="271">
        <v>197.0</v>
      </c>
      <c r="Y1586" s="271">
        <v>40.0</v>
      </c>
      <c r="Z1586" s="50" t="b">
        <v>1</v>
      </c>
      <c r="AA1586" s="50" t="s">
        <v>138</v>
      </c>
      <c r="AB1586" s="50" t="s">
        <v>138</v>
      </c>
    </row>
    <row r="1587">
      <c r="A1587" s="280" t="s">
        <v>183</v>
      </c>
      <c r="B1587" s="280" t="s">
        <v>183</v>
      </c>
      <c r="C1587" s="283">
        <v>44743.0</v>
      </c>
      <c r="D1587" s="283">
        <v>44773.0</v>
      </c>
      <c r="E1587" s="280" t="s">
        <v>268</v>
      </c>
      <c r="F1587" s="138" t="s">
        <v>8</v>
      </c>
      <c r="G1587" s="271" t="s">
        <v>5</v>
      </c>
      <c r="H1587" s="290" t="s">
        <v>45</v>
      </c>
      <c r="I1587" s="274">
        <v>10.0</v>
      </c>
      <c r="J1587" s="271">
        <v>493.0</v>
      </c>
      <c r="K1587" s="271">
        <f t="shared" si="1"/>
        <v>4930</v>
      </c>
      <c r="L1587" s="271">
        <v>19214.0</v>
      </c>
      <c r="M1587" s="271">
        <v>90.0</v>
      </c>
      <c r="N1587" s="275">
        <v>69.0</v>
      </c>
      <c r="O1587" s="60"/>
      <c r="P1587" s="50">
        <v>69.0</v>
      </c>
      <c r="Q1587" s="271">
        <v>-12.0</v>
      </c>
      <c r="R1587" s="276">
        <v>0.002105</v>
      </c>
      <c r="S1587" s="271">
        <v>-2.0</v>
      </c>
      <c r="T1587" s="271">
        <v>67.0</v>
      </c>
      <c r="U1587" s="62">
        <v>1.0</v>
      </c>
      <c r="V1587" s="277">
        <v>0.17</v>
      </c>
      <c r="W1587" s="277">
        <v>0.0</v>
      </c>
      <c r="X1587" s="271">
        <v>56.0</v>
      </c>
      <c r="Y1587" s="271">
        <v>11.0</v>
      </c>
      <c r="Z1587" s="50" t="b">
        <v>1</v>
      </c>
      <c r="AA1587" s="50" t="s">
        <v>138</v>
      </c>
      <c r="AB1587" s="50" t="s">
        <v>138</v>
      </c>
    </row>
    <row r="1588">
      <c r="A1588" s="280" t="s">
        <v>183</v>
      </c>
      <c r="B1588" s="280" t="s">
        <v>183</v>
      </c>
      <c r="C1588" s="283">
        <v>44743.0</v>
      </c>
      <c r="D1588" s="283">
        <v>44773.0</v>
      </c>
      <c r="E1588" s="280" t="s">
        <v>268</v>
      </c>
      <c r="F1588" s="138" t="s">
        <v>8</v>
      </c>
      <c r="G1588" s="280" t="s">
        <v>16</v>
      </c>
      <c r="H1588" s="290" t="s">
        <v>45</v>
      </c>
      <c r="I1588" s="274">
        <v>10.0</v>
      </c>
      <c r="J1588" s="271">
        <v>673.0</v>
      </c>
      <c r="K1588" s="271">
        <f t="shared" si="1"/>
        <v>6730</v>
      </c>
      <c r="L1588" s="271">
        <v>29057.0</v>
      </c>
      <c r="M1588" s="271">
        <v>1750.0</v>
      </c>
      <c r="N1588" s="275">
        <v>350.0</v>
      </c>
      <c r="O1588" s="60"/>
      <c r="P1588" s="50">
        <v>350.0</v>
      </c>
      <c r="Q1588" s="271">
        <v>112.0</v>
      </c>
      <c r="R1588" s="276">
        <v>-6.6E-4</v>
      </c>
      <c r="S1588" s="271">
        <v>108.0</v>
      </c>
      <c r="T1588" s="271">
        <v>458.0</v>
      </c>
      <c r="U1588" s="62">
        <v>1.0</v>
      </c>
      <c r="V1588" s="277">
        <v>0.17</v>
      </c>
      <c r="W1588" s="277">
        <v>0.0</v>
      </c>
      <c r="X1588" s="271">
        <v>380.0</v>
      </c>
      <c r="Y1588" s="271">
        <v>78.0</v>
      </c>
      <c r="Z1588" s="50" t="b">
        <v>1</v>
      </c>
      <c r="AA1588" s="50" t="s">
        <v>138</v>
      </c>
      <c r="AB1588" s="50" t="s">
        <v>138</v>
      </c>
    </row>
    <row r="1589">
      <c r="A1589" s="280" t="s">
        <v>183</v>
      </c>
      <c r="B1589" s="280" t="s">
        <v>183</v>
      </c>
      <c r="C1589" s="283">
        <v>44773.0</v>
      </c>
      <c r="D1589" s="283">
        <v>44773.0</v>
      </c>
      <c r="E1589" s="280" t="s">
        <v>268</v>
      </c>
      <c r="F1589" s="138" t="s">
        <v>8</v>
      </c>
      <c r="G1589" s="280" t="s">
        <v>16</v>
      </c>
      <c r="H1589" s="290" t="s">
        <v>45</v>
      </c>
      <c r="I1589" s="274">
        <v>10.0</v>
      </c>
      <c r="J1589" s="271">
        <v>97.0</v>
      </c>
      <c r="K1589" s="271">
        <f t="shared" si="1"/>
        <v>970</v>
      </c>
      <c r="L1589" s="271">
        <v>4410.0</v>
      </c>
      <c r="M1589" s="271">
        <v>10.0</v>
      </c>
      <c r="N1589" s="275">
        <v>13.0</v>
      </c>
      <c r="O1589" s="60"/>
      <c r="P1589" s="50">
        <v>13.0</v>
      </c>
      <c r="Q1589" s="271">
        <v>20.0</v>
      </c>
      <c r="R1589" s="276">
        <v>-3.67E-4</v>
      </c>
      <c r="S1589" s="271">
        <v>20.0</v>
      </c>
      <c r="T1589" s="271">
        <v>33.0</v>
      </c>
      <c r="U1589" s="62">
        <v>1.0</v>
      </c>
      <c r="V1589" s="277">
        <v>0.17</v>
      </c>
      <c r="W1589" s="277">
        <v>0.0</v>
      </c>
      <c r="X1589" s="271">
        <v>27.0</v>
      </c>
      <c r="Y1589" s="271">
        <v>6.0</v>
      </c>
      <c r="Z1589" s="50" t="b">
        <v>1</v>
      </c>
      <c r="AA1589" s="50" t="s">
        <v>138</v>
      </c>
      <c r="AB1589" s="50" t="s">
        <v>138</v>
      </c>
    </row>
    <row r="1590">
      <c r="A1590" s="280" t="s">
        <v>185</v>
      </c>
      <c r="B1590" s="280" t="s">
        <v>185</v>
      </c>
      <c r="C1590" s="283">
        <v>44743.0</v>
      </c>
      <c r="D1590" s="283">
        <v>44773.0</v>
      </c>
      <c r="E1590" s="280" t="s">
        <v>268</v>
      </c>
      <c r="F1590" s="138" t="s">
        <v>12</v>
      </c>
      <c r="G1590" s="280" t="s">
        <v>142</v>
      </c>
      <c r="H1590" s="290" t="s">
        <v>39</v>
      </c>
      <c r="I1590" s="281">
        <v>5.0</v>
      </c>
      <c r="J1590" s="280">
        <v>3.0</v>
      </c>
      <c r="K1590" s="271">
        <f t="shared" si="1"/>
        <v>15</v>
      </c>
      <c r="L1590" s="280">
        <v>-302.0</v>
      </c>
      <c r="M1590" s="280">
        <v>-0.03</v>
      </c>
      <c r="N1590" s="282"/>
      <c r="O1590" s="60">
        <v>0.5</v>
      </c>
      <c r="P1590" s="50">
        <v>1.0</v>
      </c>
      <c r="Q1590" s="280">
        <v>-4.0</v>
      </c>
      <c r="R1590" s="276">
        <v>0.0</v>
      </c>
      <c r="S1590" s="280">
        <v>-4.0</v>
      </c>
      <c r="T1590" s="280">
        <v>0.0</v>
      </c>
      <c r="U1590" s="62">
        <v>1.0</v>
      </c>
      <c r="V1590" s="277">
        <v>0.23</v>
      </c>
      <c r="W1590" s="277">
        <v>0.0</v>
      </c>
      <c r="X1590" s="280">
        <v>0.0</v>
      </c>
      <c r="Y1590" s="280">
        <v>0.0</v>
      </c>
      <c r="Z1590" s="50" t="b">
        <v>1</v>
      </c>
      <c r="AA1590" s="50" t="s">
        <v>138</v>
      </c>
      <c r="AB1590" s="50" t="s">
        <v>140</v>
      </c>
    </row>
    <row r="1591">
      <c r="A1591" s="280" t="s">
        <v>185</v>
      </c>
      <c r="B1591" s="280" t="s">
        <v>185</v>
      </c>
      <c r="C1591" s="283">
        <v>44743.0</v>
      </c>
      <c r="D1591" s="283">
        <v>44773.0</v>
      </c>
      <c r="E1591" s="280" t="s">
        <v>268</v>
      </c>
      <c r="F1591" s="138" t="s">
        <v>12</v>
      </c>
      <c r="G1591" s="280" t="s">
        <v>142</v>
      </c>
      <c r="H1591" s="290" t="s">
        <v>61</v>
      </c>
      <c r="I1591" s="281">
        <v>20.0</v>
      </c>
      <c r="J1591" s="280">
        <v>1614.0</v>
      </c>
      <c r="K1591" s="271">
        <f t="shared" si="1"/>
        <v>32280</v>
      </c>
      <c r="L1591" s="280">
        <v>71602.0</v>
      </c>
      <c r="M1591" s="280">
        <v>-69.83</v>
      </c>
      <c r="N1591" s="282"/>
      <c r="O1591" s="60">
        <v>0.5</v>
      </c>
      <c r="P1591" s="109">
        <v>1130.0</v>
      </c>
      <c r="Q1591" s="280">
        <v>163.0</v>
      </c>
      <c r="R1591" s="276">
        <v>0.0</v>
      </c>
      <c r="S1591" s="280">
        <v>163.0</v>
      </c>
      <c r="T1591" s="280">
        <v>1060.0</v>
      </c>
      <c r="U1591" s="62">
        <v>1.0</v>
      </c>
      <c r="V1591" s="277">
        <v>0.23</v>
      </c>
      <c r="W1591" s="277">
        <v>0.0</v>
      </c>
      <c r="X1591" s="280">
        <v>816.0</v>
      </c>
      <c r="Y1591" s="280">
        <v>244.0</v>
      </c>
      <c r="Z1591" s="50" t="b">
        <v>1</v>
      </c>
      <c r="AA1591" s="50" t="s">
        <v>138</v>
      </c>
      <c r="AB1591" s="50" t="s">
        <v>140</v>
      </c>
    </row>
    <row r="1592">
      <c r="A1592" s="280" t="s">
        <v>185</v>
      </c>
      <c r="B1592" s="280" t="s">
        <v>185</v>
      </c>
      <c r="C1592" s="283">
        <v>44743.0</v>
      </c>
      <c r="D1592" s="283">
        <v>44773.0</v>
      </c>
      <c r="E1592" s="280" t="s">
        <v>268</v>
      </c>
      <c r="F1592" s="138" t="s">
        <v>12</v>
      </c>
      <c r="G1592" s="280" t="s">
        <v>142</v>
      </c>
      <c r="H1592" s="290" t="s">
        <v>77</v>
      </c>
      <c r="I1592" s="281">
        <v>50.0</v>
      </c>
      <c r="J1592" s="280">
        <v>66.0</v>
      </c>
      <c r="K1592" s="271">
        <f t="shared" si="1"/>
        <v>3300</v>
      </c>
      <c r="L1592" s="280">
        <v>3810.0</v>
      </c>
      <c r="M1592" s="280">
        <v>-7.14</v>
      </c>
      <c r="N1592" s="282"/>
      <c r="O1592" s="60">
        <v>0.5</v>
      </c>
      <c r="P1592" s="50">
        <v>116.0</v>
      </c>
      <c r="Q1592" s="280">
        <v>98.0</v>
      </c>
      <c r="R1592" s="276">
        <v>0.0</v>
      </c>
      <c r="S1592" s="280">
        <v>98.0</v>
      </c>
      <c r="T1592" s="280">
        <v>108.0</v>
      </c>
      <c r="U1592" s="62">
        <v>1.0</v>
      </c>
      <c r="V1592" s="277">
        <v>0.23</v>
      </c>
      <c r="W1592" s="277">
        <v>0.0</v>
      </c>
      <c r="X1592" s="280">
        <v>83.0</v>
      </c>
      <c r="Y1592" s="280">
        <v>25.0</v>
      </c>
      <c r="Z1592" s="50" t="b">
        <v>1</v>
      </c>
      <c r="AA1592" s="50" t="s">
        <v>138</v>
      </c>
      <c r="AB1592" s="50" t="s">
        <v>140</v>
      </c>
    </row>
    <row r="1593">
      <c r="A1593" s="280" t="s">
        <v>180</v>
      </c>
      <c r="B1593" s="280" t="s">
        <v>180</v>
      </c>
      <c r="C1593" s="283">
        <v>44743.0</v>
      </c>
      <c r="D1593" s="283">
        <v>44773.0</v>
      </c>
      <c r="E1593" s="280" t="s">
        <v>268</v>
      </c>
      <c r="F1593" s="138" t="s">
        <v>12</v>
      </c>
      <c r="G1593" s="280" t="s">
        <v>142</v>
      </c>
      <c r="H1593" s="290" t="s">
        <v>50</v>
      </c>
      <c r="I1593" s="281">
        <v>10.0</v>
      </c>
      <c r="J1593" s="280">
        <v>1627.0</v>
      </c>
      <c r="K1593" s="271">
        <f t="shared" si="1"/>
        <v>16270</v>
      </c>
      <c r="L1593" s="280">
        <v>64621.0</v>
      </c>
      <c r="M1593" s="280">
        <v>-192.34</v>
      </c>
      <c r="N1593" s="282"/>
      <c r="O1593" s="60">
        <v>0.5</v>
      </c>
      <c r="P1593" s="50">
        <v>569.0</v>
      </c>
      <c r="Q1593" s="280">
        <v>-54.0</v>
      </c>
      <c r="R1593" s="276">
        <v>0.0</v>
      </c>
      <c r="S1593" s="280">
        <v>-54.0</v>
      </c>
      <c r="T1593" s="280">
        <v>377.0</v>
      </c>
      <c r="U1593" s="62">
        <v>1.0</v>
      </c>
      <c r="V1593" s="277">
        <v>0.23</v>
      </c>
      <c r="W1593" s="277">
        <v>0.0</v>
      </c>
      <c r="X1593" s="280">
        <v>290.0</v>
      </c>
      <c r="Y1593" s="280">
        <v>87.0</v>
      </c>
      <c r="Z1593" s="50" t="b">
        <v>1</v>
      </c>
      <c r="AA1593" s="50" t="s">
        <v>138</v>
      </c>
      <c r="AB1593" s="50" t="s">
        <v>138</v>
      </c>
    </row>
    <row r="1594">
      <c r="A1594" s="280" t="s">
        <v>180</v>
      </c>
      <c r="B1594" s="280" t="s">
        <v>180</v>
      </c>
      <c r="C1594" s="283">
        <v>44743.0</v>
      </c>
      <c r="D1594" s="283">
        <v>44773.0</v>
      </c>
      <c r="E1594" s="280" t="s">
        <v>268</v>
      </c>
      <c r="F1594" s="138" t="s">
        <v>12</v>
      </c>
      <c r="G1594" s="280" t="s">
        <v>142</v>
      </c>
      <c r="H1594" s="290" t="s">
        <v>61</v>
      </c>
      <c r="I1594" s="281">
        <v>20.0</v>
      </c>
      <c r="J1594" s="280">
        <v>375.0</v>
      </c>
      <c r="K1594" s="271">
        <f t="shared" si="1"/>
        <v>7500</v>
      </c>
      <c r="L1594" s="280">
        <v>13099.0</v>
      </c>
      <c r="M1594" s="280">
        <v>-88.66</v>
      </c>
      <c r="N1594" s="282"/>
      <c r="O1594" s="60">
        <v>0.5</v>
      </c>
      <c r="P1594" s="50">
        <v>263.0</v>
      </c>
      <c r="Q1594" s="280">
        <v>-93.0</v>
      </c>
      <c r="R1594" s="276">
        <v>0.0</v>
      </c>
      <c r="S1594" s="280">
        <v>-93.0</v>
      </c>
      <c r="T1594" s="280">
        <v>174.0</v>
      </c>
      <c r="U1594" s="62">
        <v>1.0</v>
      </c>
      <c r="V1594" s="277">
        <v>0.23</v>
      </c>
      <c r="W1594" s="277">
        <v>0.0</v>
      </c>
      <c r="X1594" s="280">
        <v>134.0</v>
      </c>
      <c r="Y1594" s="280">
        <v>40.0</v>
      </c>
      <c r="Z1594" s="50" t="b">
        <v>1</v>
      </c>
      <c r="AA1594" s="50" t="s">
        <v>138</v>
      </c>
      <c r="AB1594" s="50" t="s">
        <v>138</v>
      </c>
    </row>
    <row r="1595">
      <c r="A1595" s="280" t="s">
        <v>459</v>
      </c>
      <c r="B1595" s="280" t="s">
        <v>145</v>
      </c>
      <c r="C1595" s="283">
        <v>44743.0</v>
      </c>
      <c r="D1595" s="283">
        <v>44773.0</v>
      </c>
      <c r="E1595" s="280" t="s">
        <v>331</v>
      </c>
      <c r="F1595" s="138" t="s">
        <v>8</v>
      </c>
      <c r="G1595" s="280" t="s">
        <v>9</v>
      </c>
      <c r="H1595" s="290" t="s">
        <v>89</v>
      </c>
      <c r="I1595" s="281">
        <v>100.0</v>
      </c>
      <c r="J1595" s="280">
        <v>96.0</v>
      </c>
      <c r="K1595" s="271">
        <f t="shared" si="1"/>
        <v>9600</v>
      </c>
      <c r="L1595" s="280">
        <v>1041.0</v>
      </c>
      <c r="M1595" s="280">
        <v>-1900.0</v>
      </c>
      <c r="N1595" s="282">
        <f>20191.06-300</f>
        <v>19891.06</v>
      </c>
      <c r="O1595" s="60"/>
      <c r="P1595" s="109">
        <v>19891.0</v>
      </c>
      <c r="Q1595" s="280">
        <v>-660.0</v>
      </c>
      <c r="R1595" s="276">
        <v>0.001953</v>
      </c>
      <c r="S1595" s="280">
        <v>-641.0</v>
      </c>
      <c r="T1595" s="280">
        <v>19250.0</v>
      </c>
      <c r="U1595" s="62">
        <v>1.0</v>
      </c>
      <c r="V1595" s="277">
        <v>0.165</v>
      </c>
      <c r="W1595" s="277">
        <v>0.055</v>
      </c>
      <c r="X1595" s="280">
        <v>15015.0</v>
      </c>
      <c r="Y1595" s="280">
        <v>4235.0</v>
      </c>
      <c r="Z1595" s="50" t="b">
        <v>1</v>
      </c>
      <c r="AA1595" s="50" t="s">
        <v>140</v>
      </c>
      <c r="AB1595" s="50" t="s">
        <v>140</v>
      </c>
    </row>
    <row r="1596">
      <c r="A1596" s="280" t="s">
        <v>459</v>
      </c>
      <c r="B1596" s="280" t="s">
        <v>145</v>
      </c>
      <c r="C1596" s="283">
        <v>44743.0</v>
      </c>
      <c r="D1596" s="283">
        <v>44773.0</v>
      </c>
      <c r="E1596" s="280" t="s">
        <v>331</v>
      </c>
      <c r="F1596" s="138" t="s">
        <v>8</v>
      </c>
      <c r="G1596" s="280" t="s">
        <v>9</v>
      </c>
      <c r="H1596" s="290" t="s">
        <v>104</v>
      </c>
      <c r="I1596" s="281">
        <v>500.0</v>
      </c>
      <c r="J1596" s="280">
        <v>391.0</v>
      </c>
      <c r="K1596" s="271">
        <f t="shared" si="1"/>
        <v>195500</v>
      </c>
      <c r="L1596" s="280">
        <v>26001.0</v>
      </c>
      <c r="M1596" s="280">
        <v>2500.0</v>
      </c>
      <c r="N1596" s="282">
        <f>2358.94-50</f>
        <v>2308.94</v>
      </c>
      <c r="O1596" s="60"/>
      <c r="P1596" s="109">
        <v>2309.0</v>
      </c>
      <c r="Q1596" s="280">
        <v>8598.0</v>
      </c>
      <c r="R1596" s="276">
        <v>0.002152</v>
      </c>
      <c r="S1596" s="280">
        <v>9019.0</v>
      </c>
      <c r="T1596" s="280">
        <v>11328.0</v>
      </c>
      <c r="U1596" s="62">
        <v>1.0</v>
      </c>
      <c r="V1596" s="277">
        <v>0.165</v>
      </c>
      <c r="W1596" s="277">
        <v>0.055</v>
      </c>
      <c r="X1596" s="280">
        <v>8836.0</v>
      </c>
      <c r="Y1596" s="280">
        <v>2492.0</v>
      </c>
      <c r="Z1596" s="50" t="b">
        <v>1</v>
      </c>
      <c r="AA1596" s="50" t="s">
        <v>140</v>
      </c>
      <c r="AB1596" s="50" t="s">
        <v>140</v>
      </c>
    </row>
    <row r="1597">
      <c r="A1597" s="280" t="s">
        <v>459</v>
      </c>
      <c r="B1597" s="280" t="s">
        <v>145</v>
      </c>
      <c r="C1597" s="283">
        <v>44743.0</v>
      </c>
      <c r="D1597" s="283">
        <v>44773.0</v>
      </c>
      <c r="E1597" s="280" t="s">
        <v>331</v>
      </c>
      <c r="F1597" s="138" t="s">
        <v>8</v>
      </c>
      <c r="G1597" s="280" t="s">
        <v>9</v>
      </c>
      <c r="H1597" s="290" t="s">
        <v>98</v>
      </c>
      <c r="I1597" s="281">
        <v>250.0</v>
      </c>
      <c r="J1597" s="280">
        <v>1032.0</v>
      </c>
      <c r="K1597" s="271">
        <f t="shared" si="1"/>
        <v>258000</v>
      </c>
      <c r="L1597" s="280">
        <v>24336.0</v>
      </c>
      <c r="M1597" s="280">
        <v>-8250.0</v>
      </c>
      <c r="N1597" s="282">
        <v>0.0</v>
      </c>
      <c r="O1597" s="60"/>
      <c r="P1597" s="50">
        <v>0.0</v>
      </c>
      <c r="Q1597" s="280">
        <v>-8936.0</v>
      </c>
      <c r="R1597" s="276">
        <v>0.001993</v>
      </c>
      <c r="S1597" s="280">
        <v>-8422.0</v>
      </c>
      <c r="T1597" s="280">
        <v>-8422.0</v>
      </c>
      <c r="U1597" s="62">
        <v>1.0</v>
      </c>
      <c r="V1597" s="277">
        <v>0.165</v>
      </c>
      <c r="W1597" s="277">
        <v>0.055</v>
      </c>
      <c r="X1597" s="280">
        <v>-6569.0</v>
      </c>
      <c r="Y1597" s="280">
        <v>-1853.0</v>
      </c>
      <c r="Z1597" s="50" t="b">
        <v>1</v>
      </c>
      <c r="AA1597" s="50" t="s">
        <v>140</v>
      </c>
      <c r="AB1597" s="50" t="s">
        <v>140</v>
      </c>
    </row>
    <row r="1598">
      <c r="A1598" s="101" t="s">
        <v>181</v>
      </c>
      <c r="B1598" s="101" t="s">
        <v>181</v>
      </c>
      <c r="C1598" s="278">
        <v>44743.0</v>
      </c>
      <c r="D1598" s="278">
        <v>44773.0</v>
      </c>
      <c r="E1598" s="271" t="s">
        <v>268</v>
      </c>
      <c r="F1598" s="101" t="s">
        <v>8</v>
      </c>
      <c r="G1598" s="271" t="s">
        <v>13</v>
      </c>
      <c r="H1598" s="114" t="s">
        <v>85</v>
      </c>
      <c r="I1598" s="274">
        <v>100.0</v>
      </c>
      <c r="J1598" s="271">
        <v>4314.0</v>
      </c>
      <c r="K1598" s="271">
        <f t="shared" si="1"/>
        <v>431400</v>
      </c>
      <c r="L1598" s="271">
        <v>29721.0</v>
      </c>
      <c r="M1598" s="271">
        <v>-16100.0</v>
      </c>
      <c r="N1598" s="275">
        <f>20819+26*100</f>
        <v>23419</v>
      </c>
      <c r="O1598" s="60"/>
      <c r="P1598" s="109">
        <v>23419.0</v>
      </c>
      <c r="Q1598" s="271">
        <v>-23454.0</v>
      </c>
      <c r="R1598" s="276">
        <v>0.001949</v>
      </c>
      <c r="S1598" s="271">
        <v>-22613.0</v>
      </c>
      <c r="T1598" s="271">
        <v>806.0</v>
      </c>
      <c r="U1598" s="62">
        <v>1.0</v>
      </c>
      <c r="V1598" s="277">
        <v>0.15</v>
      </c>
      <c r="W1598" s="277">
        <v>0.0</v>
      </c>
      <c r="X1598" s="271">
        <v>685.0</v>
      </c>
      <c r="Y1598" s="271">
        <v>121.0</v>
      </c>
      <c r="Z1598" s="50" t="b">
        <v>1</v>
      </c>
      <c r="AA1598" s="50" t="s">
        <v>138</v>
      </c>
      <c r="AB1598" s="50" t="s">
        <v>138</v>
      </c>
    </row>
    <row r="1599">
      <c r="A1599" s="280" t="s">
        <v>693</v>
      </c>
      <c r="B1599" s="280" t="s">
        <v>159</v>
      </c>
      <c r="C1599" s="283">
        <v>44743.0</v>
      </c>
      <c r="D1599" s="283">
        <v>44773.0</v>
      </c>
      <c r="E1599" s="280" t="s">
        <v>268</v>
      </c>
      <c r="F1599" s="138" t="s">
        <v>12</v>
      </c>
      <c r="G1599" s="280" t="s">
        <v>9</v>
      </c>
      <c r="H1599" s="290" t="s">
        <v>41</v>
      </c>
      <c r="I1599" s="281">
        <v>5.0</v>
      </c>
      <c r="J1599" s="280">
        <v>1025.0</v>
      </c>
      <c r="K1599" s="271">
        <f t="shared" si="1"/>
        <v>5125</v>
      </c>
      <c r="L1599" s="292">
        <v>48868.0</v>
      </c>
      <c r="M1599" s="292">
        <v>-525.0</v>
      </c>
      <c r="N1599" s="282">
        <v>16.0</v>
      </c>
      <c r="O1599" s="60"/>
      <c r="P1599" s="50">
        <v>16.0</v>
      </c>
      <c r="Q1599" s="292">
        <v>-20.0</v>
      </c>
      <c r="R1599" s="276">
        <v>0.0</v>
      </c>
      <c r="S1599" s="292">
        <v>-20.0</v>
      </c>
      <c r="T1599" s="292">
        <v>-509.0</v>
      </c>
      <c r="U1599" s="62">
        <v>1.0</v>
      </c>
      <c r="V1599" s="277">
        <v>0.25</v>
      </c>
      <c r="W1599" s="277">
        <v>0.0</v>
      </c>
      <c r="X1599" s="292">
        <v>-382.0</v>
      </c>
      <c r="Y1599" s="292">
        <v>-127.0</v>
      </c>
      <c r="Z1599" s="50" t="b">
        <v>1</v>
      </c>
      <c r="AA1599" s="50" t="s">
        <v>140</v>
      </c>
      <c r="AB1599" s="50" t="s">
        <v>140</v>
      </c>
    </row>
    <row r="1600">
      <c r="A1600" s="101" t="s">
        <v>197</v>
      </c>
      <c r="B1600" s="101" t="s">
        <v>197</v>
      </c>
      <c r="C1600" s="278">
        <v>44743.0</v>
      </c>
      <c r="D1600" s="278">
        <v>44773.0</v>
      </c>
      <c r="E1600" s="280" t="s">
        <v>268</v>
      </c>
      <c r="F1600" s="138" t="s">
        <v>8</v>
      </c>
      <c r="G1600" s="271" t="s">
        <v>5</v>
      </c>
      <c r="H1600" s="273" t="s">
        <v>45</v>
      </c>
      <c r="I1600" s="274">
        <v>10.0</v>
      </c>
      <c r="J1600" s="271">
        <v>1.0</v>
      </c>
      <c r="K1600" s="271">
        <f t="shared" si="1"/>
        <v>10</v>
      </c>
      <c r="L1600" s="271">
        <v>1022.0</v>
      </c>
      <c r="M1600" s="271">
        <v>20.0</v>
      </c>
      <c r="N1600" s="275">
        <v>1.0</v>
      </c>
      <c r="O1600" s="60"/>
      <c r="P1600" s="50">
        <v>1.0</v>
      </c>
      <c r="Q1600" s="271">
        <v>18.0</v>
      </c>
      <c r="R1600" s="276">
        <v>-6.55E-4</v>
      </c>
      <c r="S1600" s="271">
        <v>18.0</v>
      </c>
      <c r="T1600" s="271">
        <v>19.0</v>
      </c>
      <c r="U1600" s="62">
        <v>1.0</v>
      </c>
      <c r="V1600" s="277">
        <v>0.25</v>
      </c>
      <c r="W1600" s="277">
        <v>0.0</v>
      </c>
      <c r="X1600" s="271">
        <v>14.0</v>
      </c>
      <c r="Y1600" s="271">
        <v>5.0</v>
      </c>
      <c r="Z1600" s="50" t="b">
        <v>1</v>
      </c>
      <c r="AA1600" s="50" t="s">
        <v>138</v>
      </c>
      <c r="AB1600" s="50" t="s">
        <v>138</v>
      </c>
    </row>
    <row r="1601">
      <c r="A1601" s="101" t="s">
        <v>197</v>
      </c>
      <c r="B1601" s="101" t="s">
        <v>197</v>
      </c>
      <c r="C1601" s="278">
        <v>44743.0</v>
      </c>
      <c r="D1601" s="278">
        <v>44773.0</v>
      </c>
      <c r="E1601" s="280" t="s">
        <v>268</v>
      </c>
      <c r="F1601" s="138" t="s">
        <v>8</v>
      </c>
      <c r="G1601" s="271" t="s">
        <v>5</v>
      </c>
      <c r="H1601" s="273" t="s">
        <v>62</v>
      </c>
      <c r="I1601" s="274">
        <v>25.0</v>
      </c>
      <c r="J1601" s="271">
        <v>524.0</v>
      </c>
      <c r="K1601" s="271">
        <f t="shared" si="1"/>
        <v>13100</v>
      </c>
      <c r="L1601" s="271">
        <v>14655.0</v>
      </c>
      <c r="M1601" s="271">
        <v>450.0</v>
      </c>
      <c r="N1601" s="275">
        <v>680.0</v>
      </c>
      <c r="O1601" s="60"/>
      <c r="P1601" s="50">
        <v>680.0</v>
      </c>
      <c r="Q1601" s="271">
        <v>-165.0</v>
      </c>
      <c r="R1601" s="276">
        <v>0.002063</v>
      </c>
      <c r="S1601" s="271">
        <v>-138.0</v>
      </c>
      <c r="T1601" s="271">
        <v>542.0</v>
      </c>
      <c r="U1601" s="62">
        <v>1.0</v>
      </c>
      <c r="V1601" s="277">
        <v>0.25</v>
      </c>
      <c r="W1601" s="277">
        <v>0.0</v>
      </c>
      <c r="X1601" s="271">
        <v>407.0</v>
      </c>
      <c r="Y1601" s="271">
        <v>136.0</v>
      </c>
      <c r="Z1601" s="50" t="b">
        <v>1</v>
      </c>
      <c r="AA1601" s="50" t="s">
        <v>138</v>
      </c>
      <c r="AB1601" s="50" t="s">
        <v>138</v>
      </c>
    </row>
    <row r="1602">
      <c r="A1602" s="101" t="s">
        <v>197</v>
      </c>
      <c r="B1602" s="101" t="s">
        <v>197</v>
      </c>
      <c r="C1602" s="278">
        <v>44743.0</v>
      </c>
      <c r="D1602" s="278">
        <v>44773.0</v>
      </c>
      <c r="E1602" s="280" t="s">
        <v>268</v>
      </c>
      <c r="F1602" s="138" t="s">
        <v>8</v>
      </c>
      <c r="G1602" s="271" t="s">
        <v>5</v>
      </c>
      <c r="H1602" s="273" t="s">
        <v>74</v>
      </c>
      <c r="I1602" s="274">
        <v>50.0</v>
      </c>
      <c r="J1602" s="271">
        <v>1238.0</v>
      </c>
      <c r="K1602" s="271">
        <f t="shared" si="1"/>
        <v>61900</v>
      </c>
      <c r="L1602" s="271">
        <v>3440.0</v>
      </c>
      <c r="M1602" s="271">
        <v>-2900.0</v>
      </c>
      <c r="N1602" s="275">
        <v>3217.0</v>
      </c>
      <c r="O1602" s="60"/>
      <c r="P1602" s="109">
        <v>3217.0</v>
      </c>
      <c r="Q1602" s="271">
        <v>-3647.0</v>
      </c>
      <c r="R1602" s="276">
        <v>0.001949</v>
      </c>
      <c r="S1602" s="271">
        <v>-3526.0</v>
      </c>
      <c r="T1602" s="271">
        <v>-309.0</v>
      </c>
      <c r="U1602" s="62">
        <v>1.0</v>
      </c>
      <c r="V1602" s="277">
        <v>0.25</v>
      </c>
      <c r="W1602" s="277">
        <v>0.0</v>
      </c>
      <c r="X1602" s="271">
        <v>-232.0</v>
      </c>
      <c r="Y1602" s="271">
        <v>-77.0</v>
      </c>
      <c r="Z1602" s="50" t="b">
        <v>1</v>
      </c>
      <c r="AA1602" s="50" t="s">
        <v>138</v>
      </c>
      <c r="AB1602" s="50" t="s">
        <v>138</v>
      </c>
    </row>
    <row r="1603">
      <c r="A1603" s="101" t="s">
        <v>197</v>
      </c>
      <c r="B1603" s="101" t="s">
        <v>197</v>
      </c>
      <c r="C1603" s="278">
        <v>44743.0</v>
      </c>
      <c r="D1603" s="278">
        <v>44773.0</v>
      </c>
      <c r="E1603" s="280" t="s">
        <v>268</v>
      </c>
      <c r="F1603" s="138" t="s">
        <v>12</v>
      </c>
      <c r="G1603" s="271" t="s">
        <v>5</v>
      </c>
      <c r="H1603" s="273" t="s">
        <v>20</v>
      </c>
      <c r="I1603" s="274">
        <v>1.0</v>
      </c>
      <c r="J1603" s="271">
        <v>3.0</v>
      </c>
      <c r="K1603" s="271">
        <f t="shared" si="1"/>
        <v>3</v>
      </c>
      <c r="L1603" s="271"/>
      <c r="M1603" s="271">
        <v>0.0</v>
      </c>
      <c r="N1603" s="275"/>
      <c r="O1603" s="60"/>
      <c r="P1603" s="101"/>
      <c r="Q1603" s="271"/>
      <c r="R1603" s="276">
        <v>0.0</v>
      </c>
      <c r="S1603" s="271"/>
      <c r="T1603" s="271">
        <v>0.0</v>
      </c>
      <c r="U1603" s="62">
        <v>1.0</v>
      </c>
      <c r="V1603" s="277">
        <v>0.25</v>
      </c>
      <c r="W1603" s="277">
        <v>0.0</v>
      </c>
      <c r="X1603" s="271">
        <v>0.0</v>
      </c>
      <c r="Y1603" s="271">
        <v>0.0</v>
      </c>
      <c r="Z1603" s="50" t="b">
        <v>1</v>
      </c>
      <c r="AA1603" s="50" t="s">
        <v>138</v>
      </c>
      <c r="AB1603" s="50" t="s">
        <v>138</v>
      </c>
    </row>
    <row r="1604">
      <c r="A1604" s="101" t="s">
        <v>197</v>
      </c>
      <c r="B1604" s="101" t="s">
        <v>197</v>
      </c>
      <c r="C1604" s="278">
        <v>44743.0</v>
      </c>
      <c r="D1604" s="278">
        <v>44773.0</v>
      </c>
      <c r="E1604" s="280" t="s">
        <v>268</v>
      </c>
      <c r="F1604" s="138" t="s">
        <v>12</v>
      </c>
      <c r="G1604" s="271" t="s">
        <v>5</v>
      </c>
      <c r="H1604" s="273" t="s">
        <v>28</v>
      </c>
      <c r="I1604" s="274">
        <v>2.0</v>
      </c>
      <c r="J1604" s="271">
        <v>3.0</v>
      </c>
      <c r="K1604" s="271">
        <f t="shared" si="1"/>
        <v>6</v>
      </c>
      <c r="L1604" s="271"/>
      <c r="M1604" s="271">
        <v>2.0</v>
      </c>
      <c r="N1604" s="275"/>
      <c r="O1604" s="60"/>
      <c r="P1604" s="101"/>
      <c r="Q1604" s="271"/>
      <c r="R1604" s="276">
        <v>0.0</v>
      </c>
      <c r="S1604" s="271"/>
      <c r="T1604" s="271">
        <v>2.0</v>
      </c>
      <c r="U1604" s="62">
        <v>1.0</v>
      </c>
      <c r="V1604" s="277">
        <v>0.25</v>
      </c>
      <c r="W1604" s="277">
        <v>0.0</v>
      </c>
      <c r="X1604" s="271">
        <v>2.0</v>
      </c>
      <c r="Y1604" s="271">
        <v>1.0</v>
      </c>
      <c r="Z1604" s="50" t="b">
        <v>1</v>
      </c>
      <c r="AA1604" s="50" t="s">
        <v>138</v>
      </c>
      <c r="AB1604" s="50" t="s">
        <v>138</v>
      </c>
    </row>
    <row r="1605">
      <c r="A1605" s="101" t="s">
        <v>197</v>
      </c>
      <c r="B1605" s="101" t="s">
        <v>197</v>
      </c>
      <c r="C1605" s="278">
        <v>44743.0</v>
      </c>
      <c r="D1605" s="278">
        <v>44773.0</v>
      </c>
      <c r="E1605" s="280" t="s">
        <v>268</v>
      </c>
      <c r="F1605" s="138" t="s">
        <v>12</v>
      </c>
      <c r="G1605" s="271" t="s">
        <v>5</v>
      </c>
      <c r="H1605" s="273" t="s">
        <v>35</v>
      </c>
      <c r="I1605" s="274">
        <v>5.0</v>
      </c>
      <c r="J1605" s="271">
        <v>3.0</v>
      </c>
      <c r="K1605" s="271">
        <f t="shared" si="1"/>
        <v>15</v>
      </c>
      <c r="L1605" s="271"/>
      <c r="M1605" s="271">
        <v>-15.0</v>
      </c>
      <c r="N1605" s="275">
        <v>1.0</v>
      </c>
      <c r="O1605" s="60"/>
      <c r="P1605" s="50">
        <v>1.0</v>
      </c>
      <c r="Q1605" s="271"/>
      <c r="R1605" s="276">
        <v>0.0</v>
      </c>
      <c r="S1605" s="271"/>
      <c r="T1605" s="271">
        <v>-14.0</v>
      </c>
      <c r="U1605" s="62">
        <v>1.0</v>
      </c>
      <c r="V1605" s="277">
        <v>0.25</v>
      </c>
      <c r="W1605" s="277">
        <v>0.0</v>
      </c>
      <c r="X1605" s="271">
        <v>-11.0</v>
      </c>
      <c r="Y1605" s="271">
        <v>-4.0</v>
      </c>
      <c r="Z1605" s="50" t="b">
        <v>1</v>
      </c>
      <c r="AA1605" s="50" t="s">
        <v>138</v>
      </c>
      <c r="AB1605" s="50" t="s">
        <v>138</v>
      </c>
    </row>
    <row r="1606">
      <c r="A1606" s="280" t="s">
        <v>176</v>
      </c>
      <c r="B1606" s="280" t="s">
        <v>176</v>
      </c>
      <c r="C1606" s="278">
        <v>44743.0</v>
      </c>
      <c r="D1606" s="278">
        <v>44773.0</v>
      </c>
      <c r="E1606" s="271" t="s">
        <v>268</v>
      </c>
      <c r="F1606" s="101" t="s">
        <v>8</v>
      </c>
      <c r="G1606" s="280" t="s">
        <v>5</v>
      </c>
      <c r="H1606" s="273" t="s">
        <v>34</v>
      </c>
      <c r="I1606" s="274">
        <v>5.0</v>
      </c>
      <c r="J1606" s="271">
        <v>1.0</v>
      </c>
      <c r="K1606" s="271">
        <f t="shared" si="1"/>
        <v>5</v>
      </c>
      <c r="L1606" s="271">
        <v>-635.0</v>
      </c>
      <c r="M1606" s="271">
        <v>-5.0</v>
      </c>
      <c r="N1606" s="275"/>
      <c r="O1606" s="60"/>
      <c r="P1606" s="101"/>
      <c r="Q1606" s="271">
        <v>-6.0</v>
      </c>
      <c r="R1606" s="276">
        <v>0.038781</v>
      </c>
      <c r="S1606" s="271">
        <v>-6.0</v>
      </c>
      <c r="T1606" s="271">
        <v>-6.0</v>
      </c>
      <c r="U1606" s="62">
        <v>1.0</v>
      </c>
      <c r="V1606" s="277">
        <v>0.1</v>
      </c>
      <c r="W1606" s="277">
        <v>0.0</v>
      </c>
      <c r="X1606" s="271">
        <v>-5.0</v>
      </c>
      <c r="Y1606" s="271">
        <v>-1.0</v>
      </c>
      <c r="Z1606" s="50" t="b">
        <v>1</v>
      </c>
      <c r="AA1606" s="50" t="s">
        <v>138</v>
      </c>
      <c r="AB1606" s="50" t="s">
        <v>138</v>
      </c>
    </row>
    <row r="1607">
      <c r="A1607" s="280" t="s">
        <v>176</v>
      </c>
      <c r="B1607" s="280" t="s">
        <v>176</v>
      </c>
      <c r="C1607" s="278">
        <v>44743.0</v>
      </c>
      <c r="D1607" s="278">
        <v>44773.0</v>
      </c>
      <c r="E1607" s="271" t="s">
        <v>268</v>
      </c>
      <c r="F1607" s="101" t="s">
        <v>8</v>
      </c>
      <c r="G1607" s="280" t="s">
        <v>5</v>
      </c>
      <c r="H1607" s="273" t="s">
        <v>62</v>
      </c>
      <c r="I1607" s="274">
        <v>25.0</v>
      </c>
      <c r="J1607" s="271">
        <v>890.0</v>
      </c>
      <c r="K1607" s="271">
        <f t="shared" si="1"/>
        <v>22250</v>
      </c>
      <c r="L1607" s="271">
        <v>53221.0</v>
      </c>
      <c r="M1607" s="271">
        <v>2075.0</v>
      </c>
      <c r="N1607" s="275">
        <v>1091.0</v>
      </c>
      <c r="O1607" s="60"/>
      <c r="P1607" s="109">
        <v>1091.0</v>
      </c>
      <c r="Q1607" s="271">
        <v>1043.0</v>
      </c>
      <c r="R1607" s="276">
        <v>0.002149</v>
      </c>
      <c r="S1607" s="271">
        <v>1091.0</v>
      </c>
      <c r="T1607" s="271">
        <v>2182.0</v>
      </c>
      <c r="U1607" s="62">
        <v>1.0</v>
      </c>
      <c r="V1607" s="277">
        <v>0.1</v>
      </c>
      <c r="W1607" s="277">
        <v>0.0</v>
      </c>
      <c r="X1607" s="271">
        <v>1964.0</v>
      </c>
      <c r="Y1607" s="271">
        <v>218.0</v>
      </c>
      <c r="Z1607" s="50" t="b">
        <v>1</v>
      </c>
      <c r="AA1607" s="50" t="s">
        <v>138</v>
      </c>
      <c r="AB1607" s="50" t="s">
        <v>138</v>
      </c>
    </row>
    <row r="1608">
      <c r="A1608" s="280" t="s">
        <v>176</v>
      </c>
      <c r="B1608" s="280" t="s">
        <v>176</v>
      </c>
      <c r="C1608" s="278">
        <v>44743.0</v>
      </c>
      <c r="D1608" s="278">
        <v>44773.0</v>
      </c>
      <c r="E1608" s="271" t="s">
        <v>268</v>
      </c>
      <c r="F1608" s="101" t="s">
        <v>8</v>
      </c>
      <c r="G1608" s="280" t="s">
        <v>5</v>
      </c>
      <c r="H1608" s="273" t="s">
        <v>74</v>
      </c>
      <c r="I1608" s="274">
        <v>50.0</v>
      </c>
      <c r="J1608" s="271">
        <v>1056.0</v>
      </c>
      <c r="K1608" s="271">
        <f t="shared" si="1"/>
        <v>52800</v>
      </c>
      <c r="L1608" s="271">
        <v>31760.0</v>
      </c>
      <c r="M1608" s="271">
        <v>-750.0</v>
      </c>
      <c r="N1608" s="275">
        <v>2589.0</v>
      </c>
      <c r="O1608" s="60"/>
      <c r="P1608" s="109">
        <v>2589.0</v>
      </c>
      <c r="Q1608" s="271">
        <v>-435.0</v>
      </c>
      <c r="R1608" s="276">
        <v>0.002037</v>
      </c>
      <c r="S1608" s="271">
        <v>-327.0</v>
      </c>
      <c r="T1608" s="271">
        <v>2262.0</v>
      </c>
      <c r="U1608" s="62">
        <v>1.0</v>
      </c>
      <c r="V1608" s="277">
        <v>0.1</v>
      </c>
      <c r="W1608" s="277">
        <v>0.0</v>
      </c>
      <c r="X1608" s="271">
        <v>2036.0</v>
      </c>
      <c r="Y1608" s="271">
        <v>226.0</v>
      </c>
      <c r="Z1608" s="50" t="b">
        <v>1</v>
      </c>
      <c r="AA1608" s="50" t="s">
        <v>138</v>
      </c>
      <c r="AB1608" s="50" t="s">
        <v>138</v>
      </c>
    </row>
    <row r="1609">
      <c r="A1609" s="280" t="s">
        <v>176</v>
      </c>
      <c r="B1609" s="280" t="s">
        <v>176</v>
      </c>
      <c r="C1609" s="278">
        <v>44743.0</v>
      </c>
      <c r="D1609" s="278">
        <v>44773.0</v>
      </c>
      <c r="E1609" s="271" t="s">
        <v>268</v>
      </c>
      <c r="F1609" s="101" t="s">
        <v>12</v>
      </c>
      <c r="G1609" s="280" t="s">
        <v>5</v>
      </c>
      <c r="H1609" s="273" t="s">
        <v>6</v>
      </c>
      <c r="I1609" s="274">
        <v>0.25</v>
      </c>
      <c r="J1609" s="271">
        <v>2.0</v>
      </c>
      <c r="K1609" s="271">
        <f t="shared" si="1"/>
        <v>0.5</v>
      </c>
      <c r="L1609" s="271"/>
      <c r="M1609" s="271">
        <v>0.0</v>
      </c>
      <c r="N1609" s="275"/>
      <c r="O1609" s="60"/>
      <c r="P1609" s="101"/>
      <c r="Q1609" s="271"/>
      <c r="R1609" s="276">
        <v>0.0</v>
      </c>
      <c r="S1609" s="271"/>
      <c r="T1609" s="271">
        <v>0.0</v>
      </c>
      <c r="U1609" s="62">
        <v>1.0</v>
      </c>
      <c r="V1609" s="277">
        <v>0.1</v>
      </c>
      <c r="W1609" s="277">
        <v>0.0</v>
      </c>
      <c r="X1609" s="271">
        <v>0.0</v>
      </c>
      <c r="Y1609" s="271">
        <v>0.0</v>
      </c>
      <c r="Z1609" s="50" t="b">
        <v>1</v>
      </c>
      <c r="AA1609" s="50" t="s">
        <v>138</v>
      </c>
      <c r="AB1609" s="50" t="s">
        <v>138</v>
      </c>
    </row>
    <row r="1610">
      <c r="A1610" s="280" t="s">
        <v>206</v>
      </c>
      <c r="B1610" s="280" t="s">
        <v>206</v>
      </c>
      <c r="C1610" s="283">
        <v>44743.0</v>
      </c>
      <c r="D1610" s="283">
        <v>44773.0</v>
      </c>
      <c r="E1610" s="280" t="s">
        <v>268</v>
      </c>
      <c r="F1610" s="138" t="s">
        <v>12</v>
      </c>
      <c r="G1610" s="280" t="s">
        <v>142</v>
      </c>
      <c r="H1610" s="290" t="s">
        <v>39</v>
      </c>
      <c r="I1610" s="281">
        <v>5.0</v>
      </c>
      <c r="J1610" s="280">
        <v>9.0</v>
      </c>
      <c r="K1610" s="271">
        <f t="shared" si="1"/>
        <v>45</v>
      </c>
      <c r="L1610" s="280">
        <v>157.0</v>
      </c>
      <c r="M1610" s="280">
        <v>2.19</v>
      </c>
      <c r="N1610" s="282"/>
      <c r="O1610" s="60">
        <v>0.5</v>
      </c>
      <c r="P1610" s="50">
        <v>2.0</v>
      </c>
      <c r="Q1610" s="280">
        <v>-2.0</v>
      </c>
      <c r="R1610" s="276">
        <v>0.0</v>
      </c>
      <c r="S1610" s="280">
        <v>-2.0</v>
      </c>
      <c r="T1610" s="280">
        <v>4.0</v>
      </c>
      <c r="U1610" s="62">
        <v>1.0</v>
      </c>
      <c r="V1610" s="277">
        <v>0.17</v>
      </c>
      <c r="W1610" s="277">
        <v>0.0</v>
      </c>
      <c r="X1610" s="280">
        <v>3.0</v>
      </c>
      <c r="Y1610" s="280">
        <v>1.0</v>
      </c>
      <c r="Z1610" s="50" t="b">
        <v>1</v>
      </c>
      <c r="AA1610" s="50" t="s">
        <v>138</v>
      </c>
      <c r="AB1610" s="50" t="s">
        <v>138</v>
      </c>
    </row>
    <row r="1611">
      <c r="A1611" s="280" t="s">
        <v>206</v>
      </c>
      <c r="B1611" s="280" t="s">
        <v>206</v>
      </c>
      <c r="C1611" s="283">
        <v>44743.0</v>
      </c>
      <c r="D1611" s="283">
        <v>44773.0</v>
      </c>
      <c r="E1611" s="280" t="s">
        <v>268</v>
      </c>
      <c r="F1611" s="138" t="s">
        <v>12</v>
      </c>
      <c r="G1611" s="280" t="s">
        <v>142</v>
      </c>
      <c r="H1611" s="290" t="s">
        <v>50</v>
      </c>
      <c r="I1611" s="281">
        <v>10.0</v>
      </c>
      <c r="J1611" s="280">
        <v>6.0</v>
      </c>
      <c r="K1611" s="271">
        <f t="shared" si="1"/>
        <v>60</v>
      </c>
      <c r="L1611" s="280">
        <v>149.0</v>
      </c>
      <c r="M1611" s="280">
        <v>2.91</v>
      </c>
      <c r="N1611" s="282"/>
      <c r="O1611" s="60">
        <v>0.5</v>
      </c>
      <c r="P1611" s="50">
        <v>2.0</v>
      </c>
      <c r="Q1611" s="280">
        <v>-2.0</v>
      </c>
      <c r="R1611" s="276">
        <v>0.0</v>
      </c>
      <c r="S1611" s="280">
        <v>-2.0</v>
      </c>
      <c r="T1611" s="280">
        <v>5.0</v>
      </c>
      <c r="U1611" s="62">
        <v>1.0</v>
      </c>
      <c r="V1611" s="277">
        <v>0.17</v>
      </c>
      <c r="W1611" s="277">
        <v>0.0</v>
      </c>
      <c r="X1611" s="280">
        <v>4.0</v>
      </c>
      <c r="Y1611" s="280">
        <v>1.0</v>
      </c>
      <c r="Z1611" s="50" t="b">
        <v>1</v>
      </c>
      <c r="AA1611" s="50" t="s">
        <v>138</v>
      </c>
      <c r="AB1611" s="50" t="s">
        <v>138</v>
      </c>
    </row>
    <row r="1612">
      <c r="A1612" s="280" t="s">
        <v>206</v>
      </c>
      <c r="B1612" s="280" t="s">
        <v>206</v>
      </c>
      <c r="C1612" s="283">
        <v>44743.0</v>
      </c>
      <c r="D1612" s="283">
        <v>44773.0</v>
      </c>
      <c r="E1612" s="280" t="s">
        <v>268</v>
      </c>
      <c r="F1612" s="138" t="s">
        <v>12</v>
      </c>
      <c r="G1612" s="280" t="s">
        <v>142</v>
      </c>
      <c r="H1612" s="290" t="s">
        <v>61</v>
      </c>
      <c r="I1612" s="281">
        <v>20.0</v>
      </c>
      <c r="J1612" s="280">
        <v>1556.0</v>
      </c>
      <c r="K1612" s="271">
        <f t="shared" si="1"/>
        <v>31120</v>
      </c>
      <c r="L1612" s="280">
        <v>60702.0</v>
      </c>
      <c r="M1612" s="280">
        <v>1511.05</v>
      </c>
      <c r="N1612" s="282"/>
      <c r="O1612" s="60">
        <v>0.5</v>
      </c>
      <c r="P1612" s="109">
        <v>1089.0</v>
      </c>
      <c r="Q1612" s="280">
        <v>-150.0</v>
      </c>
      <c r="R1612" s="276">
        <v>0.0</v>
      </c>
      <c r="S1612" s="280">
        <v>-150.0</v>
      </c>
      <c r="T1612" s="280">
        <v>2600.0</v>
      </c>
      <c r="U1612" s="62">
        <v>1.0</v>
      </c>
      <c r="V1612" s="277">
        <v>0.17</v>
      </c>
      <c r="W1612" s="277">
        <v>0.0</v>
      </c>
      <c r="X1612" s="280">
        <v>2158.0</v>
      </c>
      <c r="Y1612" s="280">
        <v>442.0</v>
      </c>
      <c r="Z1612" s="50" t="b">
        <v>1</v>
      </c>
      <c r="AA1612" s="50" t="s">
        <v>138</v>
      </c>
      <c r="AB1612" s="50" t="s">
        <v>138</v>
      </c>
    </row>
    <row r="1613">
      <c r="A1613" s="280" t="s">
        <v>206</v>
      </c>
      <c r="B1613" s="280" t="s">
        <v>206</v>
      </c>
      <c r="C1613" s="283">
        <v>44743.0</v>
      </c>
      <c r="D1613" s="283">
        <v>44773.0</v>
      </c>
      <c r="E1613" s="280" t="s">
        <v>268</v>
      </c>
      <c r="F1613" s="138" t="s">
        <v>12</v>
      </c>
      <c r="G1613" s="280" t="s">
        <v>142</v>
      </c>
      <c r="H1613" s="290" t="s">
        <v>77</v>
      </c>
      <c r="I1613" s="281">
        <v>50.0</v>
      </c>
      <c r="J1613" s="280">
        <v>189.0</v>
      </c>
      <c r="K1613" s="271">
        <f t="shared" si="1"/>
        <v>9450</v>
      </c>
      <c r="L1613" s="280">
        <v>7756.0</v>
      </c>
      <c r="M1613" s="280">
        <v>458.85</v>
      </c>
      <c r="N1613" s="282"/>
      <c r="O1613" s="60">
        <v>0.5</v>
      </c>
      <c r="P1613" s="50">
        <v>331.0</v>
      </c>
      <c r="Q1613" s="280">
        <v>-10.0</v>
      </c>
      <c r="R1613" s="276">
        <v>0.0</v>
      </c>
      <c r="S1613" s="280">
        <v>-10.0</v>
      </c>
      <c r="T1613" s="280">
        <v>790.0</v>
      </c>
      <c r="U1613" s="62">
        <v>1.0</v>
      </c>
      <c r="V1613" s="277">
        <v>0.17</v>
      </c>
      <c r="W1613" s="277">
        <v>0.0</v>
      </c>
      <c r="X1613" s="280">
        <v>655.0</v>
      </c>
      <c r="Y1613" s="280">
        <v>134.0</v>
      </c>
      <c r="Z1613" s="50" t="b">
        <v>1</v>
      </c>
      <c r="AA1613" s="50" t="s">
        <v>138</v>
      </c>
      <c r="AB1613" s="50" t="s">
        <v>138</v>
      </c>
    </row>
    <row r="1614">
      <c r="A1614" s="101" t="s">
        <v>529</v>
      </c>
      <c r="B1614" s="101" t="s">
        <v>147</v>
      </c>
      <c r="C1614" s="278">
        <v>44743.0</v>
      </c>
      <c r="D1614" s="278">
        <v>44773.0</v>
      </c>
      <c r="E1614" s="271" t="s">
        <v>268</v>
      </c>
      <c r="F1614" s="101" t="s">
        <v>12</v>
      </c>
      <c r="G1614" s="271" t="s">
        <v>13</v>
      </c>
      <c r="H1614" s="273" t="s">
        <v>59</v>
      </c>
      <c r="I1614" s="274">
        <v>20.0</v>
      </c>
      <c r="J1614" s="271">
        <v>7523.0</v>
      </c>
      <c r="K1614" s="271">
        <f t="shared" si="1"/>
        <v>150460</v>
      </c>
      <c r="L1614" s="271">
        <v>119819.0</v>
      </c>
      <c r="M1614" s="271">
        <v>-220.0</v>
      </c>
      <c r="N1614" s="275">
        <f>5360+67*20</f>
        <v>6700</v>
      </c>
      <c r="O1614" s="60"/>
      <c r="P1614" s="109">
        <v>6700.0</v>
      </c>
      <c r="Q1614" s="271">
        <v>-4140.0</v>
      </c>
      <c r="R1614" s="276">
        <v>0.0</v>
      </c>
      <c r="S1614" s="271">
        <v>-4140.0</v>
      </c>
      <c r="T1614" s="271">
        <v>6480.0</v>
      </c>
      <c r="U1614" s="62">
        <v>1.0</v>
      </c>
      <c r="V1614" s="277">
        <v>0.17</v>
      </c>
      <c r="W1614" s="277">
        <v>0.0</v>
      </c>
      <c r="X1614" s="271">
        <v>5378.0</v>
      </c>
      <c r="Y1614" s="271">
        <v>1102.0</v>
      </c>
      <c r="Z1614" s="50" t="b">
        <v>1</v>
      </c>
      <c r="AA1614" s="50" t="s">
        <v>138</v>
      </c>
      <c r="AB1614" s="50" t="s">
        <v>138</v>
      </c>
    </row>
    <row r="1615">
      <c r="A1615" s="280" t="s">
        <v>233</v>
      </c>
      <c r="B1615" s="280" t="s">
        <v>212</v>
      </c>
      <c r="C1615" s="283">
        <v>44743.0</v>
      </c>
      <c r="D1615" s="283">
        <v>44773.0</v>
      </c>
      <c r="E1615" s="280" t="s">
        <v>268</v>
      </c>
      <c r="F1615" s="138" t="s">
        <v>12</v>
      </c>
      <c r="G1615" s="280" t="s">
        <v>142</v>
      </c>
      <c r="H1615" s="290" t="s">
        <v>61</v>
      </c>
      <c r="I1615" s="281">
        <v>20.0</v>
      </c>
      <c r="J1615" s="280">
        <v>3031.0</v>
      </c>
      <c r="K1615" s="271">
        <f t="shared" si="1"/>
        <v>60620</v>
      </c>
      <c r="L1615" s="280">
        <v>153126.0</v>
      </c>
      <c r="M1615" s="280">
        <v>5465.0</v>
      </c>
      <c r="N1615" s="282"/>
      <c r="O1615" s="60">
        <v>0.5</v>
      </c>
      <c r="P1615" s="109">
        <v>2122.0</v>
      </c>
      <c r="Q1615" s="280">
        <v>993.0</v>
      </c>
      <c r="R1615" s="276">
        <v>0.0</v>
      </c>
      <c r="S1615" s="280">
        <v>993.0</v>
      </c>
      <c r="T1615" s="280">
        <v>7587.0</v>
      </c>
      <c r="U1615" s="62">
        <v>0.979</v>
      </c>
      <c r="V1615" s="277">
        <v>0.17</v>
      </c>
      <c r="W1615" s="277">
        <v>0.0</v>
      </c>
      <c r="X1615" s="280">
        <v>6167.0</v>
      </c>
      <c r="Y1615" s="280">
        <v>1263.0</v>
      </c>
      <c r="Z1615" s="50" t="b">
        <v>1</v>
      </c>
      <c r="AA1615" s="50" t="s">
        <v>140</v>
      </c>
      <c r="AB1615" s="50" t="s">
        <v>138</v>
      </c>
    </row>
    <row r="1616">
      <c r="A1616" s="280" t="s">
        <v>154</v>
      </c>
      <c r="B1616" s="280" t="s">
        <v>154</v>
      </c>
      <c r="C1616" s="278">
        <v>44743.0</v>
      </c>
      <c r="D1616" s="278">
        <v>44773.0</v>
      </c>
      <c r="E1616" s="280" t="s">
        <v>268</v>
      </c>
      <c r="F1616" s="138" t="s">
        <v>12</v>
      </c>
      <c r="G1616" s="271" t="s">
        <v>5</v>
      </c>
      <c r="H1616" s="273" t="s">
        <v>62</v>
      </c>
      <c r="I1616" s="274">
        <v>25.0</v>
      </c>
      <c r="J1616" s="271">
        <v>1.0</v>
      </c>
      <c r="K1616" s="271">
        <f t="shared" si="1"/>
        <v>25</v>
      </c>
      <c r="L1616" s="271"/>
      <c r="M1616" s="271">
        <v>-25.0</v>
      </c>
      <c r="N1616" s="275">
        <v>1.0</v>
      </c>
      <c r="O1616" s="60"/>
      <c r="P1616" s="50">
        <v>1.0</v>
      </c>
      <c r="Q1616" s="271"/>
      <c r="R1616" s="276">
        <v>0.0</v>
      </c>
      <c r="S1616" s="271"/>
      <c r="T1616" s="271">
        <v>-24.0</v>
      </c>
      <c r="U1616" s="62">
        <v>1.0</v>
      </c>
      <c r="V1616" s="277">
        <v>0.25</v>
      </c>
      <c r="W1616" s="277">
        <v>0.0</v>
      </c>
      <c r="X1616" s="271">
        <v>-18.0</v>
      </c>
      <c r="Y1616" s="271">
        <v>-6.0</v>
      </c>
      <c r="Z1616" s="50" t="b">
        <v>1</v>
      </c>
      <c r="AA1616" s="50" t="s">
        <v>138</v>
      </c>
      <c r="AB1616" s="50" t="s">
        <v>138</v>
      </c>
    </row>
    <row r="1617">
      <c r="A1617" s="280" t="s">
        <v>154</v>
      </c>
      <c r="B1617" s="280" t="s">
        <v>154</v>
      </c>
      <c r="C1617" s="278">
        <v>44743.0</v>
      </c>
      <c r="D1617" s="278">
        <v>44773.0</v>
      </c>
      <c r="E1617" s="280" t="s">
        <v>268</v>
      </c>
      <c r="F1617" s="138" t="s">
        <v>12</v>
      </c>
      <c r="G1617" s="271" t="s">
        <v>5</v>
      </c>
      <c r="H1617" s="273" t="s">
        <v>10</v>
      </c>
      <c r="I1617" s="274">
        <v>0.25</v>
      </c>
      <c r="J1617" s="271">
        <v>8.0</v>
      </c>
      <c r="K1617" s="271">
        <f t="shared" si="1"/>
        <v>2</v>
      </c>
      <c r="L1617" s="271">
        <f>104*J1617</f>
        <v>832</v>
      </c>
      <c r="M1617" s="271">
        <v>-1.0</v>
      </c>
      <c r="N1617" s="275"/>
      <c r="O1617" s="60"/>
      <c r="P1617" s="101"/>
      <c r="Q1617" s="271">
        <v>0.0</v>
      </c>
      <c r="R1617" s="276">
        <v>0.0</v>
      </c>
      <c r="S1617" s="271">
        <v>0.0</v>
      </c>
      <c r="T1617" s="271">
        <v>-1.0</v>
      </c>
      <c r="U1617" s="62">
        <v>1.0</v>
      </c>
      <c r="V1617" s="277">
        <v>0.25</v>
      </c>
      <c r="W1617" s="277">
        <v>0.0</v>
      </c>
      <c r="X1617" s="271">
        <v>-1.0</v>
      </c>
      <c r="Y1617" s="271">
        <v>0.0</v>
      </c>
      <c r="Z1617" s="50" t="b">
        <v>1</v>
      </c>
      <c r="AA1617" s="50" t="s">
        <v>138</v>
      </c>
      <c r="AB1617" s="50" t="s">
        <v>138</v>
      </c>
    </row>
    <row r="1618">
      <c r="A1618" s="280" t="s">
        <v>154</v>
      </c>
      <c r="B1618" s="280" t="s">
        <v>154</v>
      </c>
      <c r="C1618" s="278">
        <v>44743.0</v>
      </c>
      <c r="D1618" s="278">
        <v>44773.0</v>
      </c>
      <c r="E1618" s="280" t="s">
        <v>268</v>
      </c>
      <c r="F1618" s="138" t="s">
        <v>8</v>
      </c>
      <c r="G1618" s="271" t="s">
        <v>5</v>
      </c>
      <c r="H1618" s="273" t="s">
        <v>75</v>
      </c>
      <c r="I1618" s="274">
        <v>50.0</v>
      </c>
      <c r="J1618" s="271">
        <v>3242.0</v>
      </c>
      <c r="K1618" s="271">
        <f t="shared" si="1"/>
        <v>162100</v>
      </c>
      <c r="L1618" s="271">
        <f>16*J1618</f>
        <v>51872</v>
      </c>
      <c r="M1618" s="271">
        <v>-5400.0</v>
      </c>
      <c r="N1618" s="275">
        <v>6639.0</v>
      </c>
      <c r="O1618" s="60"/>
      <c r="P1618" s="109">
        <v>6639.0</v>
      </c>
      <c r="Q1618" s="271">
        <v>-2359.0</v>
      </c>
      <c r="R1618" s="276">
        <v>-1.0E-6</v>
      </c>
      <c r="S1618" s="271">
        <v>-2359.0</v>
      </c>
      <c r="T1618" s="271">
        <v>4280.0</v>
      </c>
      <c r="U1618" s="62">
        <v>1.0</v>
      </c>
      <c r="V1618" s="277">
        <v>0.25</v>
      </c>
      <c r="W1618" s="277">
        <v>0.0</v>
      </c>
      <c r="X1618" s="271">
        <v>3210.0</v>
      </c>
      <c r="Y1618" s="271">
        <v>1070.0</v>
      </c>
      <c r="Z1618" s="50" t="b">
        <v>1</v>
      </c>
      <c r="AA1618" s="50" t="s">
        <v>138</v>
      </c>
      <c r="AB1618" s="50" t="s">
        <v>138</v>
      </c>
    </row>
    <row r="1619">
      <c r="A1619" s="280" t="s">
        <v>154</v>
      </c>
      <c r="B1619" s="280" t="s">
        <v>154</v>
      </c>
      <c r="C1619" s="278">
        <v>44743.0</v>
      </c>
      <c r="D1619" s="278">
        <v>44773.0</v>
      </c>
      <c r="E1619" s="280" t="s">
        <v>268</v>
      </c>
      <c r="F1619" s="138" t="s">
        <v>8</v>
      </c>
      <c r="G1619" s="271" t="s">
        <v>5</v>
      </c>
      <c r="H1619" s="273" t="s">
        <v>63</v>
      </c>
      <c r="I1619" s="274">
        <v>25.0</v>
      </c>
      <c r="J1619" s="271">
        <v>4185.0</v>
      </c>
      <c r="K1619" s="271">
        <f t="shared" si="1"/>
        <v>104625</v>
      </c>
      <c r="L1619" s="271">
        <f>15*J1619</f>
        <v>62775</v>
      </c>
      <c r="M1619" s="271">
        <v>-4300.0</v>
      </c>
      <c r="N1619" s="275">
        <v>4260.0</v>
      </c>
      <c r="O1619" s="60"/>
      <c r="P1619" s="109">
        <v>4260.0</v>
      </c>
      <c r="Q1619" s="271">
        <v>-1846.0</v>
      </c>
      <c r="R1619" s="276">
        <v>-1.0E-6</v>
      </c>
      <c r="S1619" s="271">
        <v>-1846.0</v>
      </c>
      <c r="T1619" s="271">
        <v>2414.0</v>
      </c>
      <c r="U1619" s="62">
        <v>1.0</v>
      </c>
      <c r="V1619" s="277">
        <v>0.25</v>
      </c>
      <c r="W1619" s="277">
        <v>0.0</v>
      </c>
      <c r="X1619" s="271">
        <v>1811.0</v>
      </c>
      <c r="Y1619" s="271">
        <v>604.0</v>
      </c>
      <c r="Z1619" s="50" t="b">
        <v>1</v>
      </c>
      <c r="AA1619" s="50" t="s">
        <v>138</v>
      </c>
      <c r="AB1619" s="50" t="s">
        <v>138</v>
      </c>
    </row>
    <row r="1620">
      <c r="A1620" s="280" t="s">
        <v>174</v>
      </c>
      <c r="B1620" s="280" t="s">
        <v>174</v>
      </c>
      <c r="C1620" s="283">
        <v>44743.0</v>
      </c>
      <c r="D1620" s="283">
        <v>44773.0</v>
      </c>
      <c r="E1620" s="280" t="s">
        <v>268</v>
      </c>
      <c r="F1620" s="138" t="s">
        <v>12</v>
      </c>
      <c r="G1620" s="280" t="s">
        <v>9</v>
      </c>
      <c r="H1620" s="290" t="s">
        <v>31</v>
      </c>
      <c r="I1620" s="281">
        <v>2.0</v>
      </c>
      <c r="J1620" s="280">
        <v>1282.0</v>
      </c>
      <c r="K1620" s="271">
        <f t="shared" si="1"/>
        <v>2564</v>
      </c>
      <c r="L1620" s="280"/>
      <c r="M1620" s="280">
        <v>-52.0</v>
      </c>
      <c r="N1620" s="282">
        <v>180.26</v>
      </c>
      <c r="O1620" s="60"/>
      <c r="P1620" s="50">
        <v>180.0</v>
      </c>
      <c r="Q1620" s="280"/>
      <c r="R1620" s="276">
        <v>0.0</v>
      </c>
      <c r="S1620" s="280"/>
      <c r="T1620" s="280">
        <v>128.0</v>
      </c>
      <c r="U1620" s="62">
        <v>1.0</v>
      </c>
      <c r="V1620" s="277">
        <v>0.17</v>
      </c>
      <c r="W1620" s="277">
        <v>0.0</v>
      </c>
      <c r="X1620" s="280">
        <v>106.0</v>
      </c>
      <c r="Y1620" s="280">
        <v>22.0</v>
      </c>
      <c r="Z1620" s="50" t="b">
        <v>1</v>
      </c>
      <c r="AA1620" s="50" t="s">
        <v>140</v>
      </c>
      <c r="AB1620" s="50" t="s">
        <v>140</v>
      </c>
    </row>
    <row r="1621">
      <c r="A1621" s="280" t="s">
        <v>174</v>
      </c>
      <c r="B1621" s="280" t="s">
        <v>174</v>
      </c>
      <c r="C1621" s="283">
        <v>44743.0</v>
      </c>
      <c r="D1621" s="283">
        <v>44773.0</v>
      </c>
      <c r="E1621" s="280" t="s">
        <v>268</v>
      </c>
      <c r="F1621" s="138" t="s">
        <v>12</v>
      </c>
      <c r="G1621" s="280" t="s">
        <v>9</v>
      </c>
      <c r="H1621" s="290" t="s">
        <v>41</v>
      </c>
      <c r="I1621" s="281">
        <v>5.0</v>
      </c>
      <c r="J1621" s="280">
        <v>1174.0</v>
      </c>
      <c r="K1621" s="271">
        <f t="shared" si="1"/>
        <v>5870</v>
      </c>
      <c r="L1621" s="280"/>
      <c r="M1621" s="280">
        <v>-255.0</v>
      </c>
      <c r="N1621" s="282">
        <v>4.74</v>
      </c>
      <c r="O1621" s="60"/>
      <c r="P1621" s="50">
        <v>5.0</v>
      </c>
      <c r="Q1621" s="280"/>
      <c r="R1621" s="276">
        <v>0.0</v>
      </c>
      <c r="S1621" s="280"/>
      <c r="T1621" s="280">
        <v>-250.0</v>
      </c>
      <c r="U1621" s="62">
        <v>1.0</v>
      </c>
      <c r="V1621" s="277">
        <v>0.17</v>
      </c>
      <c r="W1621" s="277">
        <v>0.0</v>
      </c>
      <c r="X1621" s="280">
        <v>-208.0</v>
      </c>
      <c r="Y1621" s="280">
        <v>-43.0</v>
      </c>
      <c r="Z1621" s="50" t="b">
        <v>1</v>
      </c>
      <c r="AA1621" s="50" t="s">
        <v>140</v>
      </c>
      <c r="AB1621" s="50" t="s">
        <v>140</v>
      </c>
    </row>
    <row r="1622">
      <c r="A1622" s="101" t="s">
        <v>267</v>
      </c>
      <c r="B1622" s="101" t="s">
        <v>267</v>
      </c>
      <c r="C1622" s="278">
        <v>44763.0</v>
      </c>
      <c r="D1622" s="278">
        <v>44793.0</v>
      </c>
      <c r="E1622" s="271" t="s">
        <v>268</v>
      </c>
      <c r="F1622" s="138" t="s">
        <v>4</v>
      </c>
      <c r="G1622" s="101" t="s">
        <v>5</v>
      </c>
      <c r="H1622" s="273" t="s">
        <v>35</v>
      </c>
      <c r="I1622" s="274">
        <v>5.0</v>
      </c>
      <c r="J1622" s="271">
        <v>1.0</v>
      </c>
      <c r="K1622" s="271">
        <f t="shared" si="1"/>
        <v>5</v>
      </c>
      <c r="L1622" s="271">
        <v>585.0</v>
      </c>
      <c r="M1622" s="271">
        <v>10.0</v>
      </c>
      <c r="N1622" s="275">
        <v>0.0</v>
      </c>
      <c r="O1622" s="60"/>
      <c r="P1622" s="50">
        <v>0.0</v>
      </c>
      <c r="Q1622" s="271">
        <v>5.0</v>
      </c>
      <c r="R1622" s="276">
        <v>8.3E-4</v>
      </c>
      <c r="S1622" s="271">
        <v>5.0</v>
      </c>
      <c r="T1622" s="271">
        <v>5.0</v>
      </c>
      <c r="U1622" s="62">
        <v>1.0</v>
      </c>
      <c r="V1622" s="277">
        <v>0.15</v>
      </c>
      <c r="W1622" s="277">
        <v>0.0</v>
      </c>
      <c r="X1622" s="271">
        <v>4.0</v>
      </c>
      <c r="Y1622" s="271">
        <v>1.0</v>
      </c>
      <c r="Z1622" s="50" t="b">
        <v>1</v>
      </c>
      <c r="AA1622" s="50" t="s">
        <v>138</v>
      </c>
      <c r="AB1622" s="50" t="s">
        <v>138</v>
      </c>
    </row>
    <row r="1623">
      <c r="A1623" s="101" t="s">
        <v>267</v>
      </c>
      <c r="B1623" s="101" t="s">
        <v>267</v>
      </c>
      <c r="C1623" s="278">
        <v>44763.0</v>
      </c>
      <c r="D1623" s="278">
        <v>44793.0</v>
      </c>
      <c r="E1623" s="271" t="s">
        <v>268</v>
      </c>
      <c r="F1623" s="138" t="s">
        <v>4</v>
      </c>
      <c r="G1623" s="101" t="s">
        <v>5</v>
      </c>
      <c r="H1623" s="273" t="s">
        <v>45</v>
      </c>
      <c r="I1623" s="274">
        <v>10.0</v>
      </c>
      <c r="J1623" s="271">
        <v>595.0</v>
      </c>
      <c r="K1623" s="271">
        <f t="shared" si="1"/>
        <v>5950</v>
      </c>
      <c r="L1623" s="271">
        <v>41246.0</v>
      </c>
      <c r="M1623" s="271">
        <v>-20.0</v>
      </c>
      <c r="N1623" s="275">
        <v>207.0</v>
      </c>
      <c r="O1623" s="60"/>
      <c r="P1623" s="50">
        <v>207.0</v>
      </c>
      <c r="Q1623" s="271">
        <v>370.0</v>
      </c>
      <c r="R1623" s="276">
        <v>8.3E-4</v>
      </c>
      <c r="S1623" s="271">
        <v>375.0</v>
      </c>
      <c r="T1623" s="271">
        <v>582.0</v>
      </c>
      <c r="U1623" s="62">
        <v>1.0</v>
      </c>
      <c r="V1623" s="277">
        <v>0.15</v>
      </c>
      <c r="W1623" s="277">
        <v>0.0</v>
      </c>
      <c r="X1623" s="271">
        <v>495.0</v>
      </c>
      <c r="Y1623" s="271">
        <v>87.0</v>
      </c>
      <c r="Z1623" s="50" t="b">
        <v>1</v>
      </c>
      <c r="AA1623" s="50" t="s">
        <v>138</v>
      </c>
      <c r="AB1623" s="50" t="s">
        <v>138</v>
      </c>
    </row>
    <row r="1624">
      <c r="A1624" s="101" t="s">
        <v>267</v>
      </c>
      <c r="B1624" s="101" t="s">
        <v>267</v>
      </c>
      <c r="C1624" s="278">
        <v>44763.0</v>
      </c>
      <c r="D1624" s="278">
        <v>44793.0</v>
      </c>
      <c r="E1624" s="271" t="s">
        <v>268</v>
      </c>
      <c r="F1624" s="138" t="s">
        <v>4</v>
      </c>
      <c r="G1624" s="101" t="s">
        <v>5</v>
      </c>
      <c r="H1624" s="273" t="s">
        <v>48</v>
      </c>
      <c r="I1624" s="274">
        <v>10.0</v>
      </c>
      <c r="J1624" s="271">
        <v>124.0</v>
      </c>
      <c r="K1624" s="271">
        <f t="shared" si="1"/>
        <v>1240</v>
      </c>
      <c r="L1624" s="271">
        <v>1411.0</v>
      </c>
      <c r="M1624" s="271">
        <v>20.0</v>
      </c>
      <c r="N1624" s="275">
        <v>43.0</v>
      </c>
      <c r="O1624" s="60"/>
      <c r="P1624" s="50">
        <v>43.0</v>
      </c>
      <c r="Q1624" s="271">
        <v>-37.0</v>
      </c>
      <c r="R1624" s="276">
        <v>8.3E-4</v>
      </c>
      <c r="S1624" s="271">
        <v>-36.0</v>
      </c>
      <c r="T1624" s="271">
        <v>7.0</v>
      </c>
      <c r="U1624" s="62">
        <v>1.0</v>
      </c>
      <c r="V1624" s="277">
        <v>0.15</v>
      </c>
      <c r="W1624" s="277">
        <v>0.0</v>
      </c>
      <c r="X1624" s="271">
        <v>6.0</v>
      </c>
      <c r="Y1624" s="271">
        <v>1.0</v>
      </c>
      <c r="Z1624" s="50" t="b">
        <v>1</v>
      </c>
      <c r="AA1624" s="50" t="s">
        <v>138</v>
      </c>
      <c r="AB1624" s="50" t="s">
        <v>138</v>
      </c>
    </row>
    <row r="1625">
      <c r="A1625" s="101" t="s">
        <v>267</v>
      </c>
      <c r="B1625" s="101" t="s">
        <v>267</v>
      </c>
      <c r="C1625" s="278">
        <v>44763.0</v>
      </c>
      <c r="D1625" s="278">
        <v>44793.0</v>
      </c>
      <c r="E1625" s="271" t="s">
        <v>268</v>
      </c>
      <c r="F1625" s="138" t="s">
        <v>4</v>
      </c>
      <c r="G1625" s="101" t="s">
        <v>5</v>
      </c>
      <c r="H1625" s="273" t="s">
        <v>62</v>
      </c>
      <c r="I1625" s="274">
        <v>25.0</v>
      </c>
      <c r="J1625" s="271">
        <v>1028.0</v>
      </c>
      <c r="K1625" s="271">
        <f t="shared" si="1"/>
        <v>25700</v>
      </c>
      <c r="L1625" s="271">
        <v>58179.0</v>
      </c>
      <c r="M1625" s="271">
        <v>2275.0</v>
      </c>
      <c r="N1625" s="275">
        <v>767.0</v>
      </c>
      <c r="O1625" s="60"/>
      <c r="P1625" s="50">
        <v>767.0</v>
      </c>
      <c r="Q1625" s="271">
        <v>1252.0</v>
      </c>
      <c r="R1625" s="276">
        <v>8.3E-4</v>
      </c>
      <c r="S1625" s="271">
        <v>1274.0</v>
      </c>
      <c r="T1625" s="271">
        <v>2041.0</v>
      </c>
      <c r="U1625" s="62">
        <v>1.0</v>
      </c>
      <c r="V1625" s="277">
        <v>0.15</v>
      </c>
      <c r="W1625" s="277">
        <v>0.0</v>
      </c>
      <c r="X1625" s="271">
        <v>1734.0</v>
      </c>
      <c r="Y1625" s="271">
        <v>306.0</v>
      </c>
      <c r="Z1625" s="50" t="b">
        <v>0</v>
      </c>
      <c r="AA1625" s="50" t="s">
        <v>138</v>
      </c>
      <c r="AB1625" s="50" t="s">
        <v>138</v>
      </c>
    </row>
    <row r="1626">
      <c r="A1626" s="101" t="s">
        <v>267</v>
      </c>
      <c r="B1626" s="101" t="s">
        <v>267</v>
      </c>
      <c r="C1626" s="278">
        <v>44763.0</v>
      </c>
      <c r="D1626" s="278">
        <v>44793.0</v>
      </c>
      <c r="E1626" s="271" t="s">
        <v>268</v>
      </c>
      <c r="F1626" s="138" t="s">
        <v>4</v>
      </c>
      <c r="G1626" s="101" t="s">
        <v>5</v>
      </c>
      <c r="H1626" s="273" t="s">
        <v>63</v>
      </c>
      <c r="I1626" s="274">
        <v>25.0</v>
      </c>
      <c r="J1626" s="271">
        <v>91.0</v>
      </c>
      <c r="K1626" s="271">
        <f t="shared" si="1"/>
        <v>2275</v>
      </c>
      <c r="L1626" s="271">
        <v>4541.0</v>
      </c>
      <c r="M1626" s="271">
        <v>475.0</v>
      </c>
      <c r="N1626" s="275">
        <v>68.0</v>
      </c>
      <c r="O1626" s="60"/>
      <c r="P1626" s="50">
        <v>68.0</v>
      </c>
      <c r="Q1626" s="271">
        <v>223.0</v>
      </c>
      <c r="R1626" s="276">
        <v>8.3E-4</v>
      </c>
      <c r="S1626" s="271">
        <v>225.0</v>
      </c>
      <c r="T1626" s="271">
        <v>293.0</v>
      </c>
      <c r="U1626" s="62">
        <v>1.0</v>
      </c>
      <c r="V1626" s="277">
        <v>0.15</v>
      </c>
      <c r="W1626" s="277">
        <v>0.0</v>
      </c>
      <c r="X1626" s="271">
        <v>249.0</v>
      </c>
      <c r="Y1626" s="271">
        <v>44.0</v>
      </c>
      <c r="Z1626" s="50" t="b">
        <v>1</v>
      </c>
      <c r="AA1626" s="50" t="s">
        <v>138</v>
      </c>
      <c r="AB1626" s="50" t="s">
        <v>138</v>
      </c>
    </row>
    <row r="1627">
      <c r="A1627" s="101" t="s">
        <v>148</v>
      </c>
      <c r="B1627" s="101" t="s">
        <v>148</v>
      </c>
      <c r="C1627" s="278">
        <v>44763.0</v>
      </c>
      <c r="D1627" s="278">
        <v>44793.0</v>
      </c>
      <c r="E1627" s="271" t="s">
        <v>331</v>
      </c>
      <c r="F1627" s="138" t="s">
        <v>4</v>
      </c>
      <c r="G1627" s="101" t="s">
        <v>5</v>
      </c>
      <c r="H1627" s="273" t="s">
        <v>85</v>
      </c>
      <c r="I1627" s="274">
        <v>100.0</v>
      </c>
      <c r="J1627" s="271">
        <v>3500.0</v>
      </c>
      <c r="K1627" s="271">
        <f t="shared" si="1"/>
        <v>350000</v>
      </c>
      <c r="L1627" s="271">
        <v>63286.0</v>
      </c>
      <c r="M1627" s="271">
        <v>-12400.0</v>
      </c>
      <c r="N1627" s="275">
        <v>16100.0</v>
      </c>
      <c r="O1627" s="60"/>
      <c r="P1627" s="109">
        <v>16100.0</v>
      </c>
      <c r="Q1627" s="271">
        <v>-7038.0</v>
      </c>
      <c r="R1627" s="276">
        <v>8.3E-4</v>
      </c>
      <c r="S1627" s="271">
        <v>-6748.0</v>
      </c>
      <c r="T1627" s="271">
        <v>9352.0</v>
      </c>
      <c r="U1627" s="62">
        <v>1.0</v>
      </c>
      <c r="V1627" s="277">
        <v>0.15</v>
      </c>
      <c r="W1627" s="277">
        <v>0.05</v>
      </c>
      <c r="X1627" s="271">
        <v>7482.0</v>
      </c>
      <c r="Y1627" s="271">
        <v>1870.0</v>
      </c>
      <c r="Z1627" s="50" t="b">
        <v>1</v>
      </c>
      <c r="AA1627" s="50" t="s">
        <v>138</v>
      </c>
      <c r="AB1627" s="50" t="s">
        <v>138</v>
      </c>
    </row>
    <row r="1628">
      <c r="A1628" s="101" t="s">
        <v>182</v>
      </c>
      <c r="B1628" s="101" t="s">
        <v>182</v>
      </c>
      <c r="C1628" s="278">
        <v>44763.0</v>
      </c>
      <c r="D1628" s="278">
        <v>44793.0</v>
      </c>
      <c r="E1628" s="280" t="s">
        <v>268</v>
      </c>
      <c r="F1628" s="101" t="s">
        <v>4</v>
      </c>
      <c r="G1628" s="271" t="s">
        <v>5</v>
      </c>
      <c r="H1628" s="273" t="s">
        <v>35</v>
      </c>
      <c r="I1628" s="281">
        <v>5.0</v>
      </c>
      <c r="J1628" s="280">
        <v>23.0</v>
      </c>
      <c r="K1628" s="271">
        <f t="shared" si="1"/>
        <v>115</v>
      </c>
      <c r="L1628" s="280">
        <v>2936.0</v>
      </c>
      <c r="M1628" s="280">
        <v>25.0</v>
      </c>
      <c r="N1628" s="275">
        <v>1.0</v>
      </c>
      <c r="O1628" s="60"/>
      <c r="P1628" s="50">
        <v>1.0</v>
      </c>
      <c r="Q1628" s="280">
        <v>16.0</v>
      </c>
      <c r="R1628" s="276">
        <v>8.3E-4</v>
      </c>
      <c r="S1628" s="280">
        <v>16.0</v>
      </c>
      <c r="T1628" s="280">
        <v>17.0</v>
      </c>
      <c r="U1628" s="62">
        <v>1.0</v>
      </c>
      <c r="V1628" s="277">
        <v>0.2</v>
      </c>
      <c r="W1628" s="277">
        <v>0.0</v>
      </c>
      <c r="X1628" s="280">
        <v>14.0</v>
      </c>
      <c r="Y1628" s="280">
        <v>3.0</v>
      </c>
      <c r="Z1628" s="50" t="b">
        <v>1</v>
      </c>
      <c r="AA1628" s="50" t="s">
        <v>138</v>
      </c>
      <c r="AB1628" s="50" t="s">
        <v>138</v>
      </c>
    </row>
    <row r="1629">
      <c r="A1629" s="280" t="s">
        <v>345</v>
      </c>
      <c r="B1629" s="280" t="s">
        <v>905</v>
      </c>
      <c r="C1629" s="283">
        <v>44763.0</v>
      </c>
      <c r="D1629" s="283">
        <v>44793.0</v>
      </c>
      <c r="E1629" s="271" t="s">
        <v>331</v>
      </c>
      <c r="F1629" s="138" t="s">
        <v>4</v>
      </c>
      <c r="G1629" s="271" t="s">
        <v>13</v>
      </c>
      <c r="H1629" s="290" t="s">
        <v>45</v>
      </c>
      <c r="I1629" s="281">
        <v>10.0</v>
      </c>
      <c r="J1629" s="280">
        <v>3713.0</v>
      </c>
      <c r="K1629" s="271">
        <f t="shared" si="1"/>
        <v>37130</v>
      </c>
      <c r="L1629" s="280">
        <v>80587.0</v>
      </c>
      <c r="M1629" s="280">
        <v>-440.0</v>
      </c>
      <c r="N1629" s="275">
        <v>1769.06</v>
      </c>
      <c r="O1629" s="60"/>
      <c r="P1629" s="109">
        <v>1769.0</v>
      </c>
      <c r="Q1629" s="280">
        <v>-405.0</v>
      </c>
      <c r="R1629" s="276">
        <v>-0.0015</v>
      </c>
      <c r="S1629" s="280">
        <v>-460.0</v>
      </c>
      <c r="T1629" s="280">
        <v>1309.0</v>
      </c>
      <c r="U1629" s="62">
        <v>1.0</v>
      </c>
      <c r="V1629" s="277">
        <v>0.15</v>
      </c>
      <c r="W1629" s="277">
        <v>0.1</v>
      </c>
      <c r="X1629" s="280">
        <v>982.0</v>
      </c>
      <c r="Y1629" s="280">
        <v>327.0</v>
      </c>
      <c r="Z1629" s="50" t="b">
        <v>1</v>
      </c>
      <c r="AA1629" s="50" t="s">
        <v>138</v>
      </c>
      <c r="AB1629" s="50" t="s">
        <v>138</v>
      </c>
    </row>
    <row r="1630">
      <c r="A1630" s="280" t="s">
        <v>345</v>
      </c>
      <c r="B1630" s="280" t="s">
        <v>905</v>
      </c>
      <c r="C1630" s="283">
        <v>44763.0</v>
      </c>
      <c r="D1630" s="283">
        <v>44793.0</v>
      </c>
      <c r="E1630" s="280" t="s">
        <v>331</v>
      </c>
      <c r="F1630" s="138" t="s">
        <v>4</v>
      </c>
      <c r="G1630" s="271" t="s">
        <v>13</v>
      </c>
      <c r="H1630" s="290" t="s">
        <v>59</v>
      </c>
      <c r="I1630" s="281">
        <v>20.0</v>
      </c>
      <c r="J1630" s="280">
        <v>150.0</v>
      </c>
      <c r="K1630" s="271">
        <f t="shared" si="1"/>
        <v>3000</v>
      </c>
      <c r="L1630" s="280">
        <v>2111.0</v>
      </c>
      <c r="M1630" s="280">
        <v>-320.0</v>
      </c>
      <c r="N1630" s="275">
        <v>142.94</v>
      </c>
      <c r="O1630" s="60"/>
      <c r="P1630" s="50">
        <v>143.0</v>
      </c>
      <c r="Q1630" s="280">
        <v>-223.0</v>
      </c>
      <c r="R1630" s="276">
        <v>-0.0015</v>
      </c>
      <c r="S1630" s="280">
        <v>-227.0</v>
      </c>
      <c r="T1630" s="280">
        <v>-84.0</v>
      </c>
      <c r="U1630" s="62">
        <v>1.0</v>
      </c>
      <c r="V1630" s="277">
        <v>0.15</v>
      </c>
      <c r="W1630" s="277">
        <v>0.1</v>
      </c>
      <c r="X1630" s="280">
        <v>-63.0</v>
      </c>
      <c r="Y1630" s="280">
        <v>-21.0</v>
      </c>
      <c r="Z1630" s="50" t="b">
        <v>1</v>
      </c>
      <c r="AA1630" s="50" t="s">
        <v>138</v>
      </c>
      <c r="AB1630" s="50" t="s">
        <v>138</v>
      </c>
    </row>
    <row r="1631">
      <c r="A1631" s="280" t="s">
        <v>345</v>
      </c>
      <c r="B1631" s="280" t="s">
        <v>904</v>
      </c>
      <c r="C1631" s="283">
        <v>44763.0</v>
      </c>
      <c r="D1631" s="283">
        <v>44793.0</v>
      </c>
      <c r="E1631" s="271" t="s">
        <v>331</v>
      </c>
      <c r="F1631" s="138" t="s">
        <v>4</v>
      </c>
      <c r="G1631" s="280" t="s">
        <v>9</v>
      </c>
      <c r="H1631" s="290" t="s">
        <v>55</v>
      </c>
      <c r="I1631" s="281">
        <v>10.0</v>
      </c>
      <c r="J1631" s="280">
        <v>1.0</v>
      </c>
      <c r="K1631" s="271">
        <f t="shared" si="1"/>
        <v>10</v>
      </c>
      <c r="L1631" s="280">
        <v>-100.0</v>
      </c>
      <c r="M1631" s="280">
        <v>-10.0</v>
      </c>
      <c r="N1631" s="282">
        <v>465.8</v>
      </c>
      <c r="O1631" s="60"/>
      <c r="P1631" s="50">
        <v>466.0</v>
      </c>
      <c r="Q1631" s="280">
        <v>-3.0</v>
      </c>
      <c r="R1631" s="276">
        <v>8.3E-4</v>
      </c>
      <c r="S1631" s="280">
        <v>-3.0</v>
      </c>
      <c r="T1631" s="280">
        <v>463.0</v>
      </c>
      <c r="U1631" s="62">
        <v>1.0</v>
      </c>
      <c r="V1631" s="277">
        <v>0.15</v>
      </c>
      <c r="W1631" s="277">
        <v>0.1</v>
      </c>
      <c r="X1631" s="280">
        <v>347.0</v>
      </c>
      <c r="Y1631" s="280">
        <v>116.0</v>
      </c>
      <c r="Z1631" s="50" t="b">
        <v>1</v>
      </c>
      <c r="AA1631" s="50" t="s">
        <v>140</v>
      </c>
      <c r="AB1631" s="50" t="s">
        <v>140</v>
      </c>
    </row>
    <row r="1632">
      <c r="A1632" s="280" t="s">
        <v>345</v>
      </c>
      <c r="B1632" s="280" t="s">
        <v>904</v>
      </c>
      <c r="C1632" s="283">
        <v>44763.0</v>
      </c>
      <c r="D1632" s="283">
        <v>44793.0</v>
      </c>
      <c r="E1632" s="271" t="s">
        <v>331</v>
      </c>
      <c r="F1632" s="138" t="s">
        <v>4</v>
      </c>
      <c r="G1632" s="280" t="s">
        <v>9</v>
      </c>
      <c r="H1632" s="290" t="s">
        <v>68</v>
      </c>
      <c r="I1632" s="281">
        <v>25.0</v>
      </c>
      <c r="J1632" s="280">
        <v>31.0</v>
      </c>
      <c r="K1632" s="271">
        <f t="shared" si="1"/>
        <v>775</v>
      </c>
      <c r="L1632" s="280">
        <v>263.0</v>
      </c>
      <c r="M1632" s="280">
        <v>-225.0</v>
      </c>
      <c r="N1632" s="282">
        <v>414.2</v>
      </c>
      <c r="O1632" s="60"/>
      <c r="P1632" s="50">
        <v>414.0</v>
      </c>
      <c r="Q1632" s="280">
        <v>-55.0</v>
      </c>
      <c r="R1632" s="276">
        <v>8.3E-4</v>
      </c>
      <c r="S1632" s="280">
        <v>-54.0</v>
      </c>
      <c r="T1632" s="280">
        <v>360.0</v>
      </c>
      <c r="U1632" s="62">
        <v>1.0</v>
      </c>
      <c r="V1632" s="277">
        <v>0.15</v>
      </c>
      <c r="W1632" s="277">
        <v>0.1</v>
      </c>
      <c r="X1632" s="280">
        <v>270.0</v>
      </c>
      <c r="Y1632" s="280">
        <v>90.0</v>
      </c>
      <c r="Z1632" s="50" t="b">
        <v>1</v>
      </c>
      <c r="AA1632" s="50" t="s">
        <v>140</v>
      </c>
      <c r="AB1632" s="50" t="s">
        <v>140</v>
      </c>
    </row>
    <row r="1633">
      <c r="A1633" s="280" t="s">
        <v>345</v>
      </c>
      <c r="B1633" s="280" t="s">
        <v>904</v>
      </c>
      <c r="C1633" s="283">
        <v>44763.0</v>
      </c>
      <c r="D1633" s="283">
        <v>44793.0</v>
      </c>
      <c r="E1633" s="271" t="s">
        <v>331</v>
      </c>
      <c r="F1633" s="138" t="s">
        <v>4</v>
      </c>
      <c r="G1633" s="280" t="s">
        <v>9</v>
      </c>
      <c r="H1633" s="273" t="s">
        <v>65</v>
      </c>
      <c r="I1633" s="281">
        <v>25.0</v>
      </c>
      <c r="J1633" s="280">
        <v>1307.0</v>
      </c>
      <c r="K1633" s="271">
        <f t="shared" si="1"/>
        <v>32675</v>
      </c>
      <c r="L1633" s="280">
        <v>38233.0</v>
      </c>
      <c r="M1633" s="280">
        <v>-3012.0</v>
      </c>
      <c r="N1633" s="282"/>
      <c r="O1633" s="60"/>
      <c r="P1633" s="101"/>
      <c r="Q1633" s="280">
        <v>-1299.0</v>
      </c>
      <c r="R1633" s="276">
        <v>8.3E-4</v>
      </c>
      <c r="S1633" s="280">
        <v>-1272.0</v>
      </c>
      <c r="T1633" s="280">
        <v>-1272.0</v>
      </c>
      <c r="U1633" s="62">
        <v>1.0</v>
      </c>
      <c r="V1633" s="277">
        <v>0.15</v>
      </c>
      <c r="W1633" s="277">
        <v>0.1</v>
      </c>
      <c r="X1633" s="280">
        <v>-954.0</v>
      </c>
      <c r="Y1633" s="280">
        <v>-318.0</v>
      </c>
      <c r="Z1633" s="50" t="b">
        <v>1</v>
      </c>
      <c r="AA1633" s="50" t="s">
        <v>140</v>
      </c>
      <c r="AB1633" s="50" t="s">
        <v>140</v>
      </c>
    </row>
    <row r="1634">
      <c r="A1634" s="101" t="s">
        <v>170</v>
      </c>
      <c r="B1634" s="101" t="s">
        <v>170</v>
      </c>
      <c r="C1634" s="278">
        <v>44763.0</v>
      </c>
      <c r="D1634" s="278">
        <v>44793.0</v>
      </c>
      <c r="E1634" s="271" t="s">
        <v>268</v>
      </c>
      <c r="F1634" s="101" t="s">
        <v>4</v>
      </c>
      <c r="G1634" s="271" t="s">
        <v>5</v>
      </c>
      <c r="H1634" s="273" t="s">
        <v>35</v>
      </c>
      <c r="I1634" s="274">
        <v>5.0</v>
      </c>
      <c r="J1634" s="271">
        <v>85.0</v>
      </c>
      <c r="K1634" s="271">
        <f t="shared" si="1"/>
        <v>425</v>
      </c>
      <c r="L1634" s="271">
        <v>877.0</v>
      </c>
      <c r="M1634" s="271">
        <v>-45.0</v>
      </c>
      <c r="N1634" s="275">
        <v>25.0</v>
      </c>
      <c r="O1634" s="60"/>
      <c r="P1634" s="50">
        <v>25.0</v>
      </c>
      <c r="Q1634" s="271">
        <v>-29.0</v>
      </c>
      <c r="R1634" s="276">
        <v>8.3E-4</v>
      </c>
      <c r="S1634" s="271">
        <v>-29.0</v>
      </c>
      <c r="T1634" s="271">
        <v>-4.0</v>
      </c>
      <c r="U1634" s="62">
        <v>1.0</v>
      </c>
      <c r="V1634" s="277">
        <v>0.3</v>
      </c>
      <c r="W1634" s="277">
        <v>0.0</v>
      </c>
      <c r="X1634" s="271">
        <v>-3.0</v>
      </c>
      <c r="Y1634" s="271">
        <v>-1.0</v>
      </c>
      <c r="Z1634" s="50" t="b">
        <v>1</v>
      </c>
      <c r="AA1634" s="50" t="s">
        <v>138</v>
      </c>
      <c r="AB1634" s="50" t="s">
        <v>138</v>
      </c>
    </row>
    <row r="1635">
      <c r="A1635" s="101" t="s">
        <v>170</v>
      </c>
      <c r="B1635" s="101" t="s">
        <v>170</v>
      </c>
      <c r="C1635" s="278">
        <v>44763.0</v>
      </c>
      <c r="D1635" s="278">
        <v>44793.0</v>
      </c>
      <c r="E1635" s="271" t="s">
        <v>268</v>
      </c>
      <c r="F1635" s="101" t="s">
        <v>4</v>
      </c>
      <c r="G1635" s="271" t="s">
        <v>5</v>
      </c>
      <c r="H1635" s="273" t="s">
        <v>45</v>
      </c>
      <c r="I1635" s="274">
        <v>10.0</v>
      </c>
      <c r="J1635" s="271">
        <v>1184.0</v>
      </c>
      <c r="K1635" s="271">
        <f t="shared" si="1"/>
        <v>11840</v>
      </c>
      <c r="L1635" s="271">
        <v>31874.0</v>
      </c>
      <c r="M1635" s="271">
        <v>-1020.0</v>
      </c>
      <c r="N1635" s="275">
        <v>606.0</v>
      </c>
      <c r="O1635" s="60"/>
      <c r="P1635" s="50">
        <v>606.0</v>
      </c>
      <c r="Q1635" s="271">
        <v>-281.0</v>
      </c>
      <c r="R1635" s="276">
        <v>8.3E-4</v>
      </c>
      <c r="S1635" s="271">
        <v>-272.0</v>
      </c>
      <c r="T1635" s="271">
        <v>334.0</v>
      </c>
      <c r="U1635" s="62">
        <v>1.0</v>
      </c>
      <c r="V1635" s="277">
        <v>0.3</v>
      </c>
      <c r="W1635" s="277">
        <v>0.0</v>
      </c>
      <c r="X1635" s="271">
        <v>234.0</v>
      </c>
      <c r="Y1635" s="271">
        <v>100.0</v>
      </c>
      <c r="Z1635" s="50" t="b">
        <v>1</v>
      </c>
      <c r="AA1635" s="50" t="s">
        <v>138</v>
      </c>
      <c r="AB1635" s="50" t="s">
        <v>138</v>
      </c>
    </row>
    <row r="1636">
      <c r="A1636" s="101" t="s">
        <v>170</v>
      </c>
      <c r="B1636" s="101" t="s">
        <v>170</v>
      </c>
      <c r="C1636" s="278">
        <v>44763.0</v>
      </c>
      <c r="D1636" s="278">
        <v>44793.0</v>
      </c>
      <c r="E1636" s="271" t="s">
        <v>268</v>
      </c>
      <c r="F1636" s="101" t="s">
        <v>4</v>
      </c>
      <c r="G1636" s="271" t="s">
        <v>5</v>
      </c>
      <c r="H1636" s="273" t="s">
        <v>62</v>
      </c>
      <c r="I1636" s="274">
        <v>25.0</v>
      </c>
      <c r="J1636" s="271">
        <v>13.0</v>
      </c>
      <c r="K1636" s="271">
        <f t="shared" si="1"/>
        <v>325</v>
      </c>
      <c r="L1636" s="271">
        <v>-925.0</v>
      </c>
      <c r="M1636" s="271">
        <v>-75.0</v>
      </c>
      <c r="N1636" s="275">
        <v>14.0</v>
      </c>
      <c r="O1636" s="60"/>
      <c r="P1636" s="50">
        <v>14.0</v>
      </c>
      <c r="Q1636" s="271">
        <v>-64.0</v>
      </c>
      <c r="R1636" s="276">
        <v>8.3E-4</v>
      </c>
      <c r="S1636" s="271">
        <v>-63.0</v>
      </c>
      <c r="T1636" s="271">
        <v>-49.0</v>
      </c>
      <c r="U1636" s="62">
        <v>1.0</v>
      </c>
      <c r="V1636" s="277">
        <v>0.3</v>
      </c>
      <c r="W1636" s="277">
        <v>0.0</v>
      </c>
      <c r="X1636" s="271">
        <v>-35.0</v>
      </c>
      <c r="Y1636" s="271">
        <v>-15.0</v>
      </c>
      <c r="Z1636" s="50" t="b">
        <v>1</v>
      </c>
      <c r="AA1636" s="50" t="s">
        <v>138</v>
      </c>
      <c r="AB1636" s="50" t="s">
        <v>138</v>
      </c>
    </row>
    <row r="1637">
      <c r="A1637" s="101" t="s">
        <v>416</v>
      </c>
      <c r="B1637" s="101" t="s">
        <v>190</v>
      </c>
      <c r="C1637" s="278">
        <v>44763.0</v>
      </c>
      <c r="D1637" s="278">
        <v>44793.0</v>
      </c>
      <c r="E1637" s="271" t="s">
        <v>268</v>
      </c>
      <c r="F1637" s="138" t="s">
        <v>4</v>
      </c>
      <c r="G1637" s="271" t="s">
        <v>5</v>
      </c>
      <c r="H1637" s="273" t="s">
        <v>45</v>
      </c>
      <c r="I1637" s="274">
        <v>10.0</v>
      </c>
      <c r="J1637" s="271">
        <v>4332.0</v>
      </c>
      <c r="K1637" s="271">
        <f t="shared" si="1"/>
        <v>43320</v>
      </c>
      <c r="L1637" s="271">
        <v>209816.0</v>
      </c>
      <c r="M1637" s="271">
        <v>-1010.0</v>
      </c>
      <c r="N1637" s="275">
        <v>1080.0</v>
      </c>
      <c r="O1637" s="60"/>
      <c r="P1637" s="109">
        <v>1080.0</v>
      </c>
      <c r="Q1637" s="271">
        <v>582.0</v>
      </c>
      <c r="R1637" s="276">
        <v>8.3E-4</v>
      </c>
      <c r="S1637" s="271">
        <v>618.0</v>
      </c>
      <c r="T1637" s="271">
        <v>1698.0</v>
      </c>
      <c r="U1637" s="62">
        <v>1.0</v>
      </c>
      <c r="V1637" s="277">
        <v>0.25</v>
      </c>
      <c r="W1637" s="277">
        <v>0.0</v>
      </c>
      <c r="X1637" s="271">
        <v>1273.0</v>
      </c>
      <c r="Y1637" s="271">
        <v>424.0</v>
      </c>
      <c r="Z1637" s="50" t="b">
        <v>1</v>
      </c>
      <c r="AA1637" s="50" t="s">
        <v>138</v>
      </c>
      <c r="AB1637" s="50" t="s">
        <v>138</v>
      </c>
    </row>
    <row r="1638">
      <c r="A1638" s="101" t="s">
        <v>416</v>
      </c>
      <c r="B1638" s="101" t="s">
        <v>190</v>
      </c>
      <c r="C1638" s="278">
        <v>44763.0</v>
      </c>
      <c r="D1638" s="278">
        <v>44793.0</v>
      </c>
      <c r="E1638" s="271" t="s">
        <v>268</v>
      </c>
      <c r="F1638" s="138" t="s">
        <v>12</v>
      </c>
      <c r="G1638" s="271" t="s">
        <v>5</v>
      </c>
      <c r="H1638" s="273" t="s">
        <v>35</v>
      </c>
      <c r="I1638" s="274">
        <v>5.0</v>
      </c>
      <c r="J1638" s="271">
        <v>3.0</v>
      </c>
      <c r="K1638" s="271">
        <f t="shared" si="1"/>
        <v>15</v>
      </c>
      <c r="L1638" s="271"/>
      <c r="M1638" s="271">
        <v>-15.0</v>
      </c>
      <c r="N1638" s="275"/>
      <c r="O1638" s="60"/>
      <c r="P1638" s="101"/>
      <c r="Q1638" s="271"/>
      <c r="R1638" s="276">
        <v>0.0</v>
      </c>
      <c r="S1638" s="271"/>
      <c r="T1638" s="271">
        <v>-15.0</v>
      </c>
      <c r="U1638" s="62">
        <v>1.0</v>
      </c>
      <c r="V1638" s="277">
        <v>0.25</v>
      </c>
      <c r="W1638" s="277">
        <v>0.0</v>
      </c>
      <c r="X1638" s="271">
        <v>-11.0</v>
      </c>
      <c r="Y1638" s="271">
        <v>-4.0</v>
      </c>
      <c r="Z1638" s="50" t="b">
        <v>1</v>
      </c>
      <c r="AA1638" s="50" t="s">
        <v>138</v>
      </c>
      <c r="AB1638" s="50" t="s">
        <v>138</v>
      </c>
    </row>
    <row r="1639">
      <c r="A1639" s="101" t="s">
        <v>416</v>
      </c>
      <c r="B1639" s="101" t="s">
        <v>190</v>
      </c>
      <c r="C1639" s="278">
        <v>44763.0</v>
      </c>
      <c r="D1639" s="278">
        <v>44793.0</v>
      </c>
      <c r="E1639" s="271" t="s">
        <v>268</v>
      </c>
      <c r="F1639" s="138" t="s">
        <v>12</v>
      </c>
      <c r="G1639" s="271" t="s">
        <v>5</v>
      </c>
      <c r="H1639" s="273" t="s">
        <v>20</v>
      </c>
      <c r="I1639" s="274">
        <v>1.0</v>
      </c>
      <c r="J1639" s="271">
        <v>2.0</v>
      </c>
      <c r="K1639" s="271">
        <f t="shared" si="1"/>
        <v>2</v>
      </c>
      <c r="L1639" s="271"/>
      <c r="M1639" s="271">
        <v>3.0</v>
      </c>
      <c r="N1639" s="275"/>
      <c r="O1639" s="60"/>
      <c r="P1639" s="101"/>
      <c r="Q1639" s="271"/>
      <c r="R1639" s="276">
        <v>0.0</v>
      </c>
      <c r="S1639" s="271"/>
      <c r="T1639" s="271">
        <v>3.0</v>
      </c>
      <c r="U1639" s="62">
        <v>1.0</v>
      </c>
      <c r="V1639" s="277">
        <v>0.25</v>
      </c>
      <c r="W1639" s="277">
        <v>0.0</v>
      </c>
      <c r="X1639" s="271">
        <v>2.0</v>
      </c>
      <c r="Y1639" s="271">
        <v>1.0</v>
      </c>
      <c r="Z1639" s="50" t="b">
        <v>1</v>
      </c>
      <c r="AA1639" s="50" t="s">
        <v>138</v>
      </c>
      <c r="AB1639" s="50" t="s">
        <v>138</v>
      </c>
    </row>
    <row r="1640">
      <c r="A1640" s="280" t="s">
        <v>150</v>
      </c>
      <c r="B1640" s="280" t="s">
        <v>152</v>
      </c>
      <c r="C1640" s="278">
        <v>44763.0</v>
      </c>
      <c r="D1640" s="278">
        <v>44793.0</v>
      </c>
      <c r="E1640" s="280" t="s">
        <v>268</v>
      </c>
      <c r="F1640" s="138" t="s">
        <v>4</v>
      </c>
      <c r="G1640" s="280" t="s">
        <v>5</v>
      </c>
      <c r="H1640" s="273" t="s">
        <v>62</v>
      </c>
      <c r="I1640" s="274">
        <v>25.0</v>
      </c>
      <c r="J1640" s="271">
        <v>998.0</v>
      </c>
      <c r="K1640" s="271">
        <f t="shared" si="1"/>
        <v>24950</v>
      </c>
      <c r="L1640" s="271">
        <v>15715.0</v>
      </c>
      <c r="M1640" s="271">
        <v>-2100.0</v>
      </c>
      <c r="N1640" s="275">
        <v>909.0</v>
      </c>
      <c r="O1640" s="60"/>
      <c r="P1640" s="50">
        <v>909.0</v>
      </c>
      <c r="Q1640" s="271">
        <v>-868.0</v>
      </c>
      <c r="R1640" s="276">
        <v>8.3E-4</v>
      </c>
      <c r="S1640" s="271">
        <v>-848.0</v>
      </c>
      <c r="T1640" s="271">
        <v>61.0</v>
      </c>
      <c r="U1640" s="62">
        <v>1.0</v>
      </c>
      <c r="V1640" s="277">
        <v>0.3</v>
      </c>
      <c r="W1640" s="277">
        <v>0.0</v>
      </c>
      <c r="X1640" s="271">
        <v>43.0</v>
      </c>
      <c r="Y1640" s="271">
        <v>18.0</v>
      </c>
      <c r="Z1640" s="50" t="b">
        <v>1</v>
      </c>
      <c r="AA1640" s="50" t="s">
        <v>138</v>
      </c>
      <c r="AB1640" s="50" t="s">
        <v>138</v>
      </c>
    </row>
    <row r="1641">
      <c r="A1641" s="101" t="s">
        <v>195</v>
      </c>
      <c r="B1641" s="101" t="s">
        <v>195</v>
      </c>
      <c r="C1641" s="278">
        <v>44763.0</v>
      </c>
      <c r="D1641" s="278">
        <v>44793.0</v>
      </c>
      <c r="E1641" s="271" t="s">
        <v>331</v>
      </c>
      <c r="F1641" s="138" t="s">
        <v>4</v>
      </c>
      <c r="G1641" s="101" t="s">
        <v>5</v>
      </c>
      <c r="H1641" s="273" t="s">
        <v>85</v>
      </c>
      <c r="I1641" s="274">
        <v>100.0</v>
      </c>
      <c r="J1641" s="271">
        <v>2479.0</v>
      </c>
      <c r="K1641" s="271">
        <f t="shared" si="1"/>
        <v>247900</v>
      </c>
      <c r="L1641" s="271">
        <v>60667.0</v>
      </c>
      <c r="M1641" s="271">
        <v>5200.0</v>
      </c>
      <c r="N1641" s="275">
        <v>6306.0</v>
      </c>
      <c r="O1641" s="60"/>
      <c r="P1641" s="109">
        <v>6306.0</v>
      </c>
      <c r="Q1641" s="271">
        <v>-2016.0</v>
      </c>
      <c r="R1641" s="276">
        <v>-0.0015</v>
      </c>
      <c r="S1641" s="271">
        <v>-2388.0</v>
      </c>
      <c r="T1641" s="271">
        <v>3918.0</v>
      </c>
      <c r="U1641" s="62">
        <v>1.0</v>
      </c>
      <c r="V1641" s="277">
        <v>0.1125</v>
      </c>
      <c r="W1641" s="277">
        <v>0.0375</v>
      </c>
      <c r="X1641" s="271">
        <v>3331.0</v>
      </c>
      <c r="Y1641" s="271">
        <v>588.0</v>
      </c>
      <c r="Z1641" s="50" t="b">
        <v>1</v>
      </c>
      <c r="AA1641" s="50" t="s">
        <v>138</v>
      </c>
      <c r="AB1641" s="50" t="s">
        <v>138</v>
      </c>
    </row>
    <row r="1642">
      <c r="A1642" s="101" t="s">
        <v>195</v>
      </c>
      <c r="B1642" s="101" t="s">
        <v>195</v>
      </c>
      <c r="C1642" s="278">
        <v>44763.0</v>
      </c>
      <c r="D1642" s="278">
        <v>44793.0</v>
      </c>
      <c r="E1642" s="271" t="s">
        <v>331</v>
      </c>
      <c r="F1642" s="138" t="s">
        <v>4</v>
      </c>
      <c r="G1642" s="101" t="s">
        <v>5</v>
      </c>
      <c r="H1642" s="273" t="s">
        <v>86</v>
      </c>
      <c r="I1642" s="274">
        <v>100.0</v>
      </c>
      <c r="J1642" s="271">
        <v>251.0</v>
      </c>
      <c r="K1642" s="271">
        <f t="shared" si="1"/>
        <v>25100</v>
      </c>
      <c r="L1642" s="271">
        <v>495.0</v>
      </c>
      <c r="M1642" s="271">
        <v>-1200.0</v>
      </c>
      <c r="N1642" s="275">
        <v>638.0</v>
      </c>
      <c r="O1642" s="60"/>
      <c r="P1642" s="50">
        <v>638.0</v>
      </c>
      <c r="Q1642" s="271">
        <v>-1201.0</v>
      </c>
      <c r="R1642" s="276">
        <v>-0.0015</v>
      </c>
      <c r="S1642" s="271">
        <v>-1238.0</v>
      </c>
      <c r="T1642" s="271">
        <v>-600.0</v>
      </c>
      <c r="U1642" s="62">
        <v>1.0</v>
      </c>
      <c r="V1642" s="277">
        <v>0.1125</v>
      </c>
      <c r="W1642" s="277">
        <v>0.0375</v>
      </c>
      <c r="X1642" s="271">
        <v>-510.0</v>
      </c>
      <c r="Y1642" s="271">
        <v>-90.0</v>
      </c>
      <c r="Z1642" s="50" t="b">
        <v>1</v>
      </c>
      <c r="AA1642" s="50" t="s">
        <v>138</v>
      </c>
      <c r="AB1642" s="50" t="s">
        <v>138</v>
      </c>
    </row>
    <row r="1643">
      <c r="A1643" s="101" t="s">
        <v>195</v>
      </c>
      <c r="B1643" s="101" t="s">
        <v>195</v>
      </c>
      <c r="C1643" s="278">
        <v>44763.0</v>
      </c>
      <c r="D1643" s="278">
        <v>44793.0</v>
      </c>
      <c r="E1643" s="271" t="s">
        <v>331</v>
      </c>
      <c r="F1643" s="138" t="s">
        <v>4</v>
      </c>
      <c r="G1643" s="101" t="s">
        <v>5</v>
      </c>
      <c r="H1643" s="273" t="s">
        <v>96</v>
      </c>
      <c r="I1643" s="274">
        <v>250.0</v>
      </c>
      <c r="J1643" s="271">
        <v>161.0</v>
      </c>
      <c r="K1643" s="271">
        <f t="shared" si="1"/>
        <v>40250</v>
      </c>
      <c r="L1643" s="271">
        <v>-4005.0</v>
      </c>
      <c r="M1643" s="271">
        <v>1750.0</v>
      </c>
      <c r="N1643" s="275">
        <v>1024.0</v>
      </c>
      <c r="O1643" s="60"/>
      <c r="P1643" s="109">
        <v>1024.0</v>
      </c>
      <c r="Q1643" s="271">
        <v>-3958.0</v>
      </c>
      <c r="R1643" s="276">
        <v>-0.0015</v>
      </c>
      <c r="S1643" s="271">
        <v>-4019.0</v>
      </c>
      <c r="T1643" s="271">
        <v>-2995.0</v>
      </c>
      <c r="U1643" s="62">
        <v>1.0</v>
      </c>
      <c r="V1643" s="277">
        <v>0.1125</v>
      </c>
      <c r="W1643" s="277">
        <v>0.0375</v>
      </c>
      <c r="X1643" s="271">
        <v>-2546.0</v>
      </c>
      <c r="Y1643" s="271">
        <v>-449.0</v>
      </c>
      <c r="Z1643" s="50" t="b">
        <v>1</v>
      </c>
      <c r="AA1643" s="50" t="s">
        <v>138</v>
      </c>
      <c r="AB1643" s="50" t="s">
        <v>138</v>
      </c>
    </row>
    <row r="1644">
      <c r="A1644" s="101" t="s">
        <v>195</v>
      </c>
      <c r="B1644" s="101" t="s">
        <v>195</v>
      </c>
      <c r="C1644" s="278">
        <v>44763.0</v>
      </c>
      <c r="D1644" s="278">
        <v>44793.0</v>
      </c>
      <c r="E1644" s="271" t="s">
        <v>331</v>
      </c>
      <c r="F1644" s="138" t="s">
        <v>12</v>
      </c>
      <c r="G1644" s="101" t="s">
        <v>5</v>
      </c>
      <c r="H1644" s="273" t="s">
        <v>6</v>
      </c>
      <c r="I1644" s="274">
        <v>0.25</v>
      </c>
      <c r="J1644" s="271">
        <v>3.0</v>
      </c>
      <c r="K1644" s="271">
        <f t="shared" si="1"/>
        <v>0.75</v>
      </c>
      <c r="L1644" s="271"/>
      <c r="M1644" s="271">
        <v>5.0</v>
      </c>
      <c r="N1644" s="275"/>
      <c r="O1644" s="60"/>
      <c r="P1644" s="101"/>
      <c r="Q1644" s="271"/>
      <c r="R1644" s="276">
        <v>0.0</v>
      </c>
      <c r="S1644" s="271"/>
      <c r="T1644" s="271">
        <v>5.0</v>
      </c>
      <c r="U1644" s="62">
        <v>1.0</v>
      </c>
      <c r="V1644" s="277">
        <v>0.1125</v>
      </c>
      <c r="W1644" s="277">
        <v>0.0375</v>
      </c>
      <c r="X1644" s="271">
        <v>4.0</v>
      </c>
      <c r="Y1644" s="271">
        <v>1.0</v>
      </c>
      <c r="Z1644" s="50" t="b">
        <v>1</v>
      </c>
      <c r="AA1644" s="50" t="s">
        <v>138</v>
      </c>
      <c r="AB1644" s="50" t="s">
        <v>138</v>
      </c>
    </row>
    <row r="1645">
      <c r="A1645" s="101" t="s">
        <v>195</v>
      </c>
      <c r="B1645" s="101" t="s">
        <v>195</v>
      </c>
      <c r="C1645" s="278">
        <v>44763.0</v>
      </c>
      <c r="D1645" s="278">
        <v>44793.0</v>
      </c>
      <c r="E1645" s="271" t="s">
        <v>331</v>
      </c>
      <c r="F1645" s="138" t="s">
        <v>12</v>
      </c>
      <c r="G1645" s="101" t="s">
        <v>5</v>
      </c>
      <c r="H1645" s="273" t="s">
        <v>10</v>
      </c>
      <c r="I1645" s="274">
        <v>0.25</v>
      </c>
      <c r="J1645" s="271">
        <v>1.0</v>
      </c>
      <c r="K1645" s="271">
        <f t="shared" si="1"/>
        <v>0.25</v>
      </c>
      <c r="L1645" s="271"/>
      <c r="M1645" s="271">
        <v>0.0</v>
      </c>
      <c r="N1645" s="275"/>
      <c r="O1645" s="60"/>
      <c r="P1645" s="101"/>
      <c r="Q1645" s="271"/>
      <c r="R1645" s="276">
        <v>0.0</v>
      </c>
      <c r="S1645" s="271"/>
      <c r="T1645" s="271">
        <v>0.0</v>
      </c>
      <c r="U1645" s="62">
        <v>1.0</v>
      </c>
      <c r="V1645" s="277">
        <v>0.1125</v>
      </c>
      <c r="W1645" s="277">
        <v>0.0375</v>
      </c>
      <c r="X1645" s="271">
        <v>0.0</v>
      </c>
      <c r="Y1645" s="271">
        <v>0.0</v>
      </c>
      <c r="Z1645" s="50" t="b">
        <v>1</v>
      </c>
      <c r="AA1645" s="50" t="s">
        <v>138</v>
      </c>
      <c r="AB1645" s="50" t="s">
        <v>138</v>
      </c>
    </row>
    <row r="1646">
      <c r="A1646" s="101" t="s">
        <v>195</v>
      </c>
      <c r="B1646" s="101" t="s">
        <v>195</v>
      </c>
      <c r="C1646" s="278">
        <v>44763.0</v>
      </c>
      <c r="D1646" s="278">
        <v>44793.0</v>
      </c>
      <c r="E1646" s="271" t="s">
        <v>331</v>
      </c>
      <c r="F1646" s="138" t="s">
        <v>12</v>
      </c>
      <c r="G1646" s="101" t="s">
        <v>5</v>
      </c>
      <c r="H1646" s="273" t="s">
        <v>196</v>
      </c>
      <c r="I1646" s="274">
        <v>100.0</v>
      </c>
      <c r="J1646" s="271">
        <v>3.0</v>
      </c>
      <c r="K1646" s="271">
        <f t="shared" si="1"/>
        <v>300</v>
      </c>
      <c r="L1646" s="271"/>
      <c r="M1646" s="271">
        <v>92.0</v>
      </c>
      <c r="N1646" s="275">
        <v>3.0</v>
      </c>
      <c r="O1646" s="60"/>
      <c r="P1646" s="50">
        <v>3.0</v>
      </c>
      <c r="Q1646" s="271"/>
      <c r="R1646" s="276">
        <v>0.0</v>
      </c>
      <c r="S1646" s="271"/>
      <c r="T1646" s="271">
        <v>95.0</v>
      </c>
      <c r="U1646" s="62">
        <v>1.0</v>
      </c>
      <c r="V1646" s="277">
        <v>0.1125</v>
      </c>
      <c r="W1646" s="277">
        <v>0.0375</v>
      </c>
      <c r="X1646" s="271">
        <v>81.0</v>
      </c>
      <c r="Y1646" s="271">
        <v>14.0</v>
      </c>
      <c r="Z1646" s="50" t="b">
        <v>1</v>
      </c>
      <c r="AA1646" s="50" t="s">
        <v>138</v>
      </c>
      <c r="AB1646" s="50" t="s">
        <v>138</v>
      </c>
    </row>
    <row r="1647">
      <c r="A1647" s="280" t="s">
        <v>477</v>
      </c>
      <c r="B1647" s="280" t="s">
        <v>164</v>
      </c>
      <c r="C1647" s="278">
        <v>44763.0</v>
      </c>
      <c r="D1647" s="278">
        <v>44793.0</v>
      </c>
      <c r="E1647" s="280" t="s">
        <v>331</v>
      </c>
      <c r="F1647" s="138" t="s">
        <v>4</v>
      </c>
      <c r="G1647" s="271" t="s">
        <v>13</v>
      </c>
      <c r="H1647" s="271" t="s">
        <v>74</v>
      </c>
      <c r="I1647" s="274">
        <v>50.0</v>
      </c>
      <c r="J1647" s="271">
        <v>114.0</v>
      </c>
      <c r="K1647" s="271">
        <f t="shared" si="1"/>
        <v>5700</v>
      </c>
      <c r="L1647" s="271">
        <v>4022.0</v>
      </c>
      <c r="M1647" s="271">
        <v>900.0</v>
      </c>
      <c r="N1647" s="275">
        <v>316.1</v>
      </c>
      <c r="O1647" s="60"/>
      <c r="P1647" s="50">
        <v>316.0</v>
      </c>
      <c r="Q1647" s="271">
        <v>161.0</v>
      </c>
      <c r="R1647" s="276">
        <v>8.3E-4</v>
      </c>
      <c r="S1647" s="271">
        <v>165.0</v>
      </c>
      <c r="T1647" s="271">
        <v>481.0</v>
      </c>
      <c r="U1647" s="62">
        <v>1.0</v>
      </c>
      <c r="V1647" s="277">
        <v>0.15</v>
      </c>
      <c r="W1647" s="277">
        <v>0.05</v>
      </c>
      <c r="X1647" s="271">
        <v>385.0</v>
      </c>
      <c r="Y1647" s="271">
        <v>96.0</v>
      </c>
      <c r="Z1647" s="50" t="b">
        <v>1</v>
      </c>
      <c r="AA1647" s="50" t="s">
        <v>138</v>
      </c>
      <c r="AB1647" s="50" t="s">
        <v>138</v>
      </c>
    </row>
    <row r="1648">
      <c r="A1648" s="280" t="s">
        <v>477</v>
      </c>
      <c r="B1648" s="280" t="s">
        <v>164</v>
      </c>
      <c r="C1648" s="278">
        <v>44763.0</v>
      </c>
      <c r="D1648" s="278">
        <v>44793.0</v>
      </c>
      <c r="E1648" s="280" t="s">
        <v>331</v>
      </c>
      <c r="F1648" s="138" t="s">
        <v>4</v>
      </c>
      <c r="G1648" s="271" t="s">
        <v>13</v>
      </c>
      <c r="H1648" s="271" t="s">
        <v>85</v>
      </c>
      <c r="I1648" s="274">
        <v>100.0</v>
      </c>
      <c r="J1648" s="271">
        <v>5509.0</v>
      </c>
      <c r="K1648" s="271">
        <f t="shared" si="1"/>
        <v>550900</v>
      </c>
      <c r="L1648" s="271">
        <v>33755.0</v>
      </c>
      <c r="M1648" s="271">
        <v>-21100.0</v>
      </c>
      <c r="N1648" s="275">
        <v>30550.9</v>
      </c>
      <c r="O1648" s="60"/>
      <c r="P1648" s="109">
        <v>30551.0</v>
      </c>
      <c r="Q1648" s="271">
        <v>-30689.0</v>
      </c>
      <c r="R1648" s="276">
        <v>8.3E-4</v>
      </c>
      <c r="S1648" s="271">
        <v>-30231.0</v>
      </c>
      <c r="T1648" s="271">
        <v>319.0</v>
      </c>
      <c r="U1648" s="62">
        <v>1.0</v>
      </c>
      <c r="V1648" s="277">
        <v>0.15</v>
      </c>
      <c r="W1648" s="277">
        <v>0.05</v>
      </c>
      <c r="X1648" s="271">
        <v>256.0</v>
      </c>
      <c r="Y1648" s="271">
        <v>64.0</v>
      </c>
      <c r="Z1648" s="50" t="b">
        <v>1</v>
      </c>
      <c r="AA1648" s="50" t="s">
        <v>138</v>
      </c>
      <c r="AB1648" s="50" t="s">
        <v>138</v>
      </c>
    </row>
    <row r="1649">
      <c r="A1649" s="101" t="s">
        <v>505</v>
      </c>
      <c r="B1649" s="271" t="s">
        <v>166</v>
      </c>
      <c r="C1649" s="278">
        <v>44763.0</v>
      </c>
      <c r="D1649" s="278">
        <v>44793.0</v>
      </c>
      <c r="E1649" s="271" t="s">
        <v>268</v>
      </c>
      <c r="F1649" s="101" t="s">
        <v>4</v>
      </c>
      <c r="G1649" s="271" t="s">
        <v>5</v>
      </c>
      <c r="H1649" s="273" t="s">
        <v>35</v>
      </c>
      <c r="I1649" s="281">
        <v>5.0</v>
      </c>
      <c r="J1649" s="280">
        <v>1.0</v>
      </c>
      <c r="K1649" s="271">
        <f t="shared" si="1"/>
        <v>5</v>
      </c>
      <c r="L1649" s="280">
        <v>-670.0</v>
      </c>
      <c r="M1649" s="280">
        <v>-5.0</v>
      </c>
      <c r="N1649" s="275"/>
      <c r="O1649" s="60"/>
      <c r="P1649" s="101"/>
      <c r="Q1649" s="280">
        <v>-6.0</v>
      </c>
      <c r="R1649" s="276">
        <v>8.3E-4</v>
      </c>
      <c r="S1649" s="280">
        <v>-6.0</v>
      </c>
      <c r="T1649" s="280">
        <v>-6.0</v>
      </c>
      <c r="U1649" s="62">
        <v>1.0</v>
      </c>
      <c r="V1649" s="277">
        <v>0.3</v>
      </c>
      <c r="W1649" s="277">
        <v>0.0</v>
      </c>
      <c r="X1649" s="280">
        <v>-5.0</v>
      </c>
      <c r="Y1649" s="280">
        <v>-2.0</v>
      </c>
      <c r="Z1649" s="50" t="b">
        <v>0</v>
      </c>
      <c r="AA1649" s="50" t="s">
        <v>138</v>
      </c>
      <c r="AB1649" s="50" t="s">
        <v>138</v>
      </c>
    </row>
    <row r="1650">
      <c r="A1650" s="101" t="s">
        <v>505</v>
      </c>
      <c r="B1650" s="271" t="s">
        <v>166</v>
      </c>
      <c r="C1650" s="278">
        <v>44763.0</v>
      </c>
      <c r="D1650" s="278">
        <v>44793.0</v>
      </c>
      <c r="E1650" s="271" t="s">
        <v>268</v>
      </c>
      <c r="F1650" s="101" t="s">
        <v>4</v>
      </c>
      <c r="G1650" s="271" t="s">
        <v>5</v>
      </c>
      <c r="H1650" s="273" t="s">
        <v>62</v>
      </c>
      <c r="I1650" s="281">
        <v>25.0</v>
      </c>
      <c r="J1650" s="280">
        <v>1102.0</v>
      </c>
      <c r="K1650" s="271">
        <f t="shared" si="1"/>
        <v>27550</v>
      </c>
      <c r="L1650" s="280">
        <v>36779.0</v>
      </c>
      <c r="M1650" s="280">
        <v>225.0</v>
      </c>
      <c r="N1650" s="275">
        <v>1255.0</v>
      </c>
      <c r="O1650" s="60"/>
      <c r="P1650" s="109">
        <v>1255.0</v>
      </c>
      <c r="Q1650" s="280">
        <v>-58.0</v>
      </c>
      <c r="R1650" s="276">
        <v>8.3E-4</v>
      </c>
      <c r="S1650" s="280">
        <v>-35.0</v>
      </c>
      <c r="T1650" s="280">
        <v>1220.0</v>
      </c>
      <c r="U1650" s="62">
        <v>1.0</v>
      </c>
      <c r="V1650" s="277">
        <v>0.3</v>
      </c>
      <c r="W1650" s="277">
        <v>0.0</v>
      </c>
      <c r="X1650" s="280">
        <v>854.0</v>
      </c>
      <c r="Y1650" s="280">
        <v>366.0</v>
      </c>
      <c r="Z1650" s="50" t="b">
        <v>0</v>
      </c>
      <c r="AA1650" s="50" t="s">
        <v>138</v>
      </c>
      <c r="AB1650" s="50" t="s">
        <v>138</v>
      </c>
    </row>
    <row r="1651">
      <c r="A1651" s="101" t="s">
        <v>505</v>
      </c>
      <c r="B1651" s="271" t="s">
        <v>166</v>
      </c>
      <c r="C1651" s="278">
        <v>44763.0</v>
      </c>
      <c r="D1651" s="278">
        <v>44793.0</v>
      </c>
      <c r="E1651" s="271" t="s">
        <v>268</v>
      </c>
      <c r="F1651" s="101" t="s">
        <v>12</v>
      </c>
      <c r="G1651" s="271" t="s">
        <v>5</v>
      </c>
      <c r="H1651" s="273" t="s">
        <v>45</v>
      </c>
      <c r="I1651" s="274">
        <v>10.0</v>
      </c>
      <c r="J1651" s="271">
        <v>0.0</v>
      </c>
      <c r="K1651" s="271">
        <f t="shared" si="1"/>
        <v>0</v>
      </c>
      <c r="L1651" s="271">
        <v>0.0</v>
      </c>
      <c r="M1651" s="271">
        <v>83.0</v>
      </c>
      <c r="N1651" s="275"/>
      <c r="O1651" s="60"/>
      <c r="P1651" s="101"/>
      <c r="Q1651" s="271"/>
      <c r="R1651" s="276">
        <v>0.0</v>
      </c>
      <c r="S1651" s="271"/>
      <c r="T1651" s="271">
        <v>83.0</v>
      </c>
      <c r="U1651" s="62">
        <v>1.0</v>
      </c>
      <c r="V1651" s="277">
        <v>1.0</v>
      </c>
      <c r="W1651" s="277">
        <v>0.0</v>
      </c>
      <c r="X1651" s="271">
        <v>0.0</v>
      </c>
      <c r="Y1651" s="271">
        <v>83.0</v>
      </c>
      <c r="Z1651" s="50" t="b">
        <v>0</v>
      </c>
      <c r="AA1651" s="50" t="s">
        <v>138</v>
      </c>
      <c r="AB1651" s="50" t="s">
        <v>138</v>
      </c>
    </row>
    <row r="1652">
      <c r="A1652" s="101" t="s">
        <v>199</v>
      </c>
      <c r="B1652" s="101" t="s">
        <v>199</v>
      </c>
      <c r="C1652" s="278">
        <v>44763.0</v>
      </c>
      <c r="D1652" s="278">
        <v>44793.0</v>
      </c>
      <c r="E1652" s="280" t="s">
        <v>268</v>
      </c>
      <c r="F1652" s="138" t="s">
        <v>4</v>
      </c>
      <c r="G1652" s="271" t="s">
        <v>5</v>
      </c>
      <c r="H1652" s="273" t="s">
        <v>45</v>
      </c>
      <c r="I1652" s="281">
        <v>10.0</v>
      </c>
      <c r="J1652" s="280">
        <v>1940.0</v>
      </c>
      <c r="K1652" s="271">
        <f t="shared" si="1"/>
        <v>19400</v>
      </c>
      <c r="L1652" s="280">
        <v>135302.0</v>
      </c>
      <c r="M1652" s="280">
        <v>1390.0</v>
      </c>
      <c r="N1652" s="275">
        <v>1148.0</v>
      </c>
      <c r="O1652" s="60"/>
      <c r="P1652" s="109">
        <v>1148.0</v>
      </c>
      <c r="Q1652" s="280">
        <v>1046.0</v>
      </c>
      <c r="R1652" s="276">
        <v>8.3E-4</v>
      </c>
      <c r="S1652" s="280">
        <v>1062.0</v>
      </c>
      <c r="T1652" s="280">
        <v>2210.0</v>
      </c>
      <c r="U1652" s="62">
        <v>1.0</v>
      </c>
      <c r="V1652" s="277">
        <v>0.17</v>
      </c>
      <c r="W1652" s="277">
        <v>0.0</v>
      </c>
      <c r="X1652" s="280">
        <v>1835.0</v>
      </c>
      <c r="Y1652" s="280">
        <v>376.0</v>
      </c>
      <c r="Z1652" s="50" t="b">
        <v>1</v>
      </c>
      <c r="AA1652" s="50" t="s">
        <v>138</v>
      </c>
      <c r="AB1652" s="50" t="s">
        <v>138</v>
      </c>
    </row>
    <row r="1653">
      <c r="A1653" s="101" t="s">
        <v>199</v>
      </c>
      <c r="B1653" s="101" t="s">
        <v>199</v>
      </c>
      <c r="C1653" s="278">
        <v>44763.0</v>
      </c>
      <c r="D1653" s="278">
        <v>44793.0</v>
      </c>
      <c r="E1653" s="280" t="s">
        <v>268</v>
      </c>
      <c r="F1653" s="138" t="s">
        <v>4</v>
      </c>
      <c r="G1653" s="271" t="s">
        <v>5</v>
      </c>
      <c r="H1653" s="273" t="s">
        <v>48</v>
      </c>
      <c r="I1653" s="281">
        <v>10.0</v>
      </c>
      <c r="J1653" s="280">
        <v>787.0</v>
      </c>
      <c r="K1653" s="271">
        <f t="shared" si="1"/>
        <v>7870</v>
      </c>
      <c r="L1653" s="280">
        <v>10015.0</v>
      </c>
      <c r="M1653" s="280">
        <v>-580.0</v>
      </c>
      <c r="N1653" s="275">
        <v>465.0</v>
      </c>
      <c r="O1653" s="60"/>
      <c r="P1653" s="50">
        <v>465.0</v>
      </c>
      <c r="Q1653" s="280">
        <v>-276.0</v>
      </c>
      <c r="R1653" s="276">
        <v>8.3E-4</v>
      </c>
      <c r="S1653" s="280">
        <v>-270.0</v>
      </c>
      <c r="T1653" s="280">
        <v>195.0</v>
      </c>
      <c r="U1653" s="62">
        <v>1.0</v>
      </c>
      <c r="V1653" s="277">
        <v>0.17</v>
      </c>
      <c r="W1653" s="277">
        <v>0.0</v>
      </c>
      <c r="X1653" s="280">
        <v>162.0</v>
      </c>
      <c r="Y1653" s="280">
        <v>33.0</v>
      </c>
      <c r="Z1653" s="50" t="b">
        <v>1</v>
      </c>
      <c r="AA1653" s="50" t="s">
        <v>138</v>
      </c>
      <c r="AB1653" s="50" t="s">
        <v>138</v>
      </c>
    </row>
    <row r="1654">
      <c r="A1654" s="101" t="s">
        <v>156</v>
      </c>
      <c r="B1654" s="101" t="s">
        <v>153</v>
      </c>
      <c r="C1654" s="283">
        <v>44763.0</v>
      </c>
      <c r="D1654" s="283">
        <v>44793.0</v>
      </c>
      <c r="E1654" s="271" t="s">
        <v>268</v>
      </c>
      <c r="F1654" s="101" t="s">
        <v>4</v>
      </c>
      <c r="G1654" s="271" t="s">
        <v>13</v>
      </c>
      <c r="H1654" s="273" t="s">
        <v>74</v>
      </c>
      <c r="I1654" s="281">
        <v>50.0</v>
      </c>
      <c r="J1654" s="280">
        <v>1158.0</v>
      </c>
      <c r="K1654" s="271">
        <f t="shared" si="1"/>
        <v>57900</v>
      </c>
      <c r="L1654" s="280">
        <v>7805.0</v>
      </c>
      <c r="M1654" s="280">
        <v>-4600.0</v>
      </c>
      <c r="N1654" s="275">
        <v>3660.0</v>
      </c>
      <c r="O1654" s="60"/>
      <c r="P1654" s="109">
        <v>3660.0</v>
      </c>
      <c r="Q1654" s="280">
        <v>-3123.0</v>
      </c>
      <c r="R1654" s="276">
        <v>8.3E-4</v>
      </c>
      <c r="S1654" s="280">
        <v>-3075.0</v>
      </c>
      <c r="T1654" s="280">
        <v>585.0</v>
      </c>
      <c r="U1654" s="62">
        <v>1.0</v>
      </c>
      <c r="V1654" s="277">
        <v>0.25</v>
      </c>
      <c r="W1654" s="277">
        <v>0.0</v>
      </c>
      <c r="X1654" s="280">
        <v>439.0</v>
      </c>
      <c r="Y1654" s="280">
        <v>146.0</v>
      </c>
      <c r="Z1654" s="50" t="b">
        <v>1</v>
      </c>
      <c r="AA1654" s="50" t="s">
        <v>138</v>
      </c>
      <c r="AB1654" s="50" t="s">
        <v>140</v>
      </c>
    </row>
    <row r="1655">
      <c r="A1655" s="101" t="s">
        <v>156</v>
      </c>
      <c r="B1655" s="101" t="s">
        <v>156</v>
      </c>
      <c r="C1655" s="283">
        <v>44763.0</v>
      </c>
      <c r="D1655" s="283">
        <v>44793.0</v>
      </c>
      <c r="E1655" s="271" t="s">
        <v>268</v>
      </c>
      <c r="F1655" s="101" t="s">
        <v>4</v>
      </c>
      <c r="G1655" s="271" t="s">
        <v>5</v>
      </c>
      <c r="H1655" s="273" t="s">
        <v>74</v>
      </c>
      <c r="I1655" s="281">
        <v>50.0</v>
      </c>
      <c r="J1655" s="280">
        <v>93.0</v>
      </c>
      <c r="K1655" s="271">
        <f t="shared" si="1"/>
        <v>4650</v>
      </c>
      <c r="L1655" s="280">
        <v>-2110.0</v>
      </c>
      <c r="M1655" s="280">
        <v>-650.0</v>
      </c>
      <c r="N1655" s="275"/>
      <c r="O1655" s="60"/>
      <c r="P1655" s="101"/>
      <c r="Q1655" s="280">
        <v>-493.0</v>
      </c>
      <c r="R1655" s="276">
        <v>8.3E-4</v>
      </c>
      <c r="S1655" s="280">
        <v>-489.0</v>
      </c>
      <c r="T1655" s="280">
        <v>-489.0</v>
      </c>
      <c r="U1655" s="62">
        <v>1.0</v>
      </c>
      <c r="V1655" s="277">
        <v>0.25</v>
      </c>
      <c r="W1655" s="277">
        <v>0.0</v>
      </c>
      <c r="X1655" s="280">
        <v>-367.0</v>
      </c>
      <c r="Y1655" s="280">
        <v>-122.0</v>
      </c>
      <c r="Z1655" s="50" t="b">
        <v>1</v>
      </c>
      <c r="AA1655" s="50" t="s">
        <v>138</v>
      </c>
      <c r="AB1655" s="50" t="s">
        <v>140</v>
      </c>
    </row>
    <row r="1656">
      <c r="A1656" s="280" t="s">
        <v>156</v>
      </c>
      <c r="B1656" s="280" t="s">
        <v>158</v>
      </c>
      <c r="C1656" s="283">
        <v>44763.0</v>
      </c>
      <c r="D1656" s="283">
        <v>44793.0</v>
      </c>
      <c r="E1656" s="280" t="s">
        <v>268</v>
      </c>
      <c r="F1656" s="138" t="s">
        <v>4</v>
      </c>
      <c r="G1656" s="280" t="s">
        <v>9</v>
      </c>
      <c r="H1656" s="290" t="s">
        <v>80</v>
      </c>
      <c r="I1656" s="281">
        <v>50.0</v>
      </c>
      <c r="J1656" s="280">
        <v>66.0</v>
      </c>
      <c r="K1656" s="271">
        <f t="shared" si="1"/>
        <v>3300</v>
      </c>
      <c r="L1656" s="280">
        <v>1830.0</v>
      </c>
      <c r="M1656" s="280">
        <v>-450.0</v>
      </c>
      <c r="N1656" s="282">
        <v>1430.53</v>
      </c>
      <c r="O1656" s="60"/>
      <c r="P1656" s="109">
        <v>1431.0</v>
      </c>
      <c r="Q1656" s="280">
        <v>-117.0</v>
      </c>
      <c r="R1656" s="276">
        <v>8.3E-4</v>
      </c>
      <c r="S1656" s="280">
        <v>-114.0</v>
      </c>
      <c r="T1656" s="280">
        <v>1316.0</v>
      </c>
      <c r="U1656" s="62">
        <v>1.004</v>
      </c>
      <c r="V1656" s="277">
        <v>0.25</v>
      </c>
      <c r="W1656" s="277">
        <v>0.0</v>
      </c>
      <c r="X1656" s="280">
        <v>991.0</v>
      </c>
      <c r="Y1656" s="280">
        <v>330.0</v>
      </c>
      <c r="Z1656" s="50" t="b">
        <v>1</v>
      </c>
      <c r="AA1656" s="50" t="s">
        <v>138</v>
      </c>
      <c r="AB1656" s="50" t="s">
        <v>140</v>
      </c>
    </row>
    <row r="1657">
      <c r="A1657" s="280" t="s">
        <v>156</v>
      </c>
      <c r="B1657" s="280" t="s">
        <v>158</v>
      </c>
      <c r="C1657" s="283">
        <v>44763.0</v>
      </c>
      <c r="D1657" s="283">
        <v>44793.0</v>
      </c>
      <c r="E1657" s="280" t="s">
        <v>268</v>
      </c>
      <c r="F1657" s="138" t="s">
        <v>4</v>
      </c>
      <c r="G1657" s="280" t="s">
        <v>9</v>
      </c>
      <c r="H1657" s="273" t="s">
        <v>78</v>
      </c>
      <c r="I1657" s="281">
        <v>50.0</v>
      </c>
      <c r="J1657" s="280">
        <v>509.0</v>
      </c>
      <c r="K1657" s="271">
        <f t="shared" si="1"/>
        <v>25450</v>
      </c>
      <c r="L1657" s="280">
        <v>22597.0</v>
      </c>
      <c r="M1657" s="280">
        <v>904.0</v>
      </c>
      <c r="N1657" s="282">
        <v>316.46</v>
      </c>
      <c r="O1657" s="60"/>
      <c r="P1657" s="50">
        <v>316.0</v>
      </c>
      <c r="Q1657" s="280">
        <v>-249.0</v>
      </c>
      <c r="R1657" s="276">
        <v>8.3E-4</v>
      </c>
      <c r="S1657" s="280">
        <v>-228.0</v>
      </c>
      <c r="T1657" s="280">
        <v>89.0</v>
      </c>
      <c r="U1657" s="62">
        <v>1.004</v>
      </c>
      <c r="V1657" s="277">
        <v>0.25</v>
      </c>
      <c r="W1657" s="277">
        <v>0.0</v>
      </c>
      <c r="X1657" s="280">
        <v>67.0</v>
      </c>
      <c r="Y1657" s="280">
        <v>22.0</v>
      </c>
      <c r="Z1657" s="50" t="b">
        <v>1</v>
      </c>
      <c r="AA1657" s="50" t="s">
        <v>138</v>
      </c>
      <c r="AB1657" s="50" t="s">
        <v>140</v>
      </c>
    </row>
    <row r="1658">
      <c r="A1658" s="280" t="s">
        <v>156</v>
      </c>
      <c r="B1658" s="280" t="s">
        <v>158</v>
      </c>
      <c r="C1658" s="283">
        <v>44763.0</v>
      </c>
      <c r="D1658" s="283">
        <v>44793.0</v>
      </c>
      <c r="E1658" s="280" t="s">
        <v>268</v>
      </c>
      <c r="F1658" s="138" t="s">
        <v>4</v>
      </c>
      <c r="G1658" s="280" t="s">
        <v>9</v>
      </c>
      <c r="H1658" s="290" t="s">
        <v>92</v>
      </c>
      <c r="I1658" s="281">
        <v>100.0</v>
      </c>
      <c r="J1658" s="280">
        <v>23.0</v>
      </c>
      <c r="K1658" s="271">
        <f t="shared" si="1"/>
        <v>2300</v>
      </c>
      <c r="L1658" s="280">
        <v>-53.0</v>
      </c>
      <c r="M1658" s="280">
        <v>400.0</v>
      </c>
      <c r="N1658" s="282">
        <v>0.0</v>
      </c>
      <c r="O1658" s="60"/>
      <c r="P1658" s="50">
        <v>0.0</v>
      </c>
      <c r="Q1658" s="280">
        <v>-219.0</v>
      </c>
      <c r="R1658" s="276">
        <v>8.3E-4</v>
      </c>
      <c r="S1658" s="280">
        <v>-217.0</v>
      </c>
      <c r="T1658" s="280">
        <v>-217.0</v>
      </c>
      <c r="U1658" s="62">
        <v>1.004</v>
      </c>
      <c r="V1658" s="277">
        <v>0.25</v>
      </c>
      <c r="W1658" s="277">
        <v>0.0</v>
      </c>
      <c r="X1658" s="280">
        <v>-163.0</v>
      </c>
      <c r="Y1658" s="280">
        <v>-54.0</v>
      </c>
      <c r="Z1658" s="50" t="b">
        <v>1</v>
      </c>
      <c r="AA1658" s="50" t="s">
        <v>138</v>
      </c>
      <c r="AB1658" s="50" t="s">
        <v>140</v>
      </c>
    </row>
    <row r="1659">
      <c r="A1659" s="280" t="s">
        <v>156</v>
      </c>
      <c r="B1659" s="280" t="s">
        <v>158</v>
      </c>
      <c r="C1659" s="283">
        <v>44763.0</v>
      </c>
      <c r="D1659" s="283">
        <v>44793.0</v>
      </c>
      <c r="E1659" s="280" t="s">
        <v>268</v>
      </c>
      <c r="F1659" s="138" t="s">
        <v>4</v>
      </c>
      <c r="G1659" s="280" t="s">
        <v>9</v>
      </c>
      <c r="H1659" s="290" t="s">
        <v>90</v>
      </c>
      <c r="I1659" s="281">
        <v>100.0</v>
      </c>
      <c r="J1659" s="280">
        <v>1464.0</v>
      </c>
      <c r="K1659" s="271">
        <f t="shared" si="1"/>
        <v>146400</v>
      </c>
      <c r="L1659" s="280">
        <v>49984.0</v>
      </c>
      <c r="M1659" s="280">
        <v>-2400.0</v>
      </c>
      <c r="N1659" s="282">
        <v>3028.01</v>
      </c>
      <c r="O1659" s="60"/>
      <c r="P1659" s="109">
        <v>3028.0</v>
      </c>
      <c r="Q1659" s="280">
        <v>-3877.0</v>
      </c>
      <c r="R1659" s="276">
        <v>8.3E-4</v>
      </c>
      <c r="S1659" s="280">
        <v>-3755.0</v>
      </c>
      <c r="T1659" s="280">
        <v>-727.0</v>
      </c>
      <c r="U1659" s="62">
        <v>1.004</v>
      </c>
      <c r="V1659" s="277">
        <v>0.25</v>
      </c>
      <c r="W1659" s="277">
        <v>0.0</v>
      </c>
      <c r="X1659" s="280">
        <v>-548.0</v>
      </c>
      <c r="Y1659" s="280">
        <v>-183.0</v>
      </c>
      <c r="Z1659" s="50" t="b">
        <v>1</v>
      </c>
      <c r="AA1659" s="50" t="s">
        <v>138</v>
      </c>
      <c r="AB1659" s="50" t="s">
        <v>140</v>
      </c>
    </row>
    <row r="1660">
      <c r="A1660" s="101" t="s">
        <v>546</v>
      </c>
      <c r="B1660" s="101" t="s">
        <v>202</v>
      </c>
      <c r="C1660" s="278">
        <v>44763.0</v>
      </c>
      <c r="D1660" s="278">
        <v>44793.0</v>
      </c>
      <c r="E1660" s="271" t="s">
        <v>331</v>
      </c>
      <c r="F1660" s="138" t="s">
        <v>4</v>
      </c>
      <c r="G1660" s="271" t="s">
        <v>13</v>
      </c>
      <c r="H1660" s="273" t="s">
        <v>85</v>
      </c>
      <c r="I1660" s="274">
        <v>100.0</v>
      </c>
      <c r="J1660" s="271">
        <v>6023.0</v>
      </c>
      <c r="K1660" s="271">
        <f t="shared" si="1"/>
        <v>602300</v>
      </c>
      <c r="L1660" s="271">
        <v>72341.0</v>
      </c>
      <c r="M1660" s="271">
        <v>-17000.0</v>
      </c>
      <c r="N1660" s="275">
        <v>34261.6</v>
      </c>
      <c r="O1660" s="60"/>
      <c r="P1660" s="109">
        <v>34262.0</v>
      </c>
      <c r="Q1660" s="271">
        <v>-23358.0</v>
      </c>
      <c r="R1660" s="276">
        <v>8.3E-4</v>
      </c>
      <c r="S1660" s="271">
        <v>-22858.0</v>
      </c>
      <c r="T1660" s="271">
        <v>11404.0</v>
      </c>
      <c r="U1660" s="62">
        <v>1.0</v>
      </c>
      <c r="V1660" s="277">
        <v>0.09</v>
      </c>
      <c r="W1660" s="277">
        <v>0.03</v>
      </c>
      <c r="X1660" s="271">
        <v>10035.0</v>
      </c>
      <c r="Y1660" s="271">
        <v>1368.0</v>
      </c>
      <c r="Z1660" s="50" t="b">
        <v>1</v>
      </c>
      <c r="AA1660" s="50" t="s">
        <v>138</v>
      </c>
      <c r="AB1660" s="50" t="s">
        <v>138</v>
      </c>
    </row>
    <row r="1661">
      <c r="A1661" s="101" t="s">
        <v>160</v>
      </c>
      <c r="B1661" s="101" t="s">
        <v>160</v>
      </c>
      <c r="C1661" s="278">
        <v>44763.0</v>
      </c>
      <c r="D1661" s="278">
        <v>44793.0</v>
      </c>
      <c r="E1661" s="271" t="s">
        <v>268</v>
      </c>
      <c r="F1661" s="138" t="s">
        <v>4</v>
      </c>
      <c r="G1661" s="101" t="s">
        <v>5</v>
      </c>
      <c r="H1661" s="273" t="s">
        <v>45</v>
      </c>
      <c r="I1661" s="274">
        <v>10.0</v>
      </c>
      <c r="J1661" s="271">
        <v>2673.0</v>
      </c>
      <c r="K1661" s="271">
        <f t="shared" si="1"/>
        <v>26730</v>
      </c>
      <c r="L1661" s="271">
        <v>47481.0</v>
      </c>
      <c r="M1661" s="271">
        <v>-1840.0</v>
      </c>
      <c r="N1661" s="275">
        <v>165.0</v>
      </c>
      <c r="O1661" s="60"/>
      <c r="P1661" s="50">
        <v>165.0</v>
      </c>
      <c r="Q1661" s="271">
        <v>-1107.0</v>
      </c>
      <c r="R1661" s="276">
        <v>8.3E-4</v>
      </c>
      <c r="S1661" s="271">
        <v>-1085.0</v>
      </c>
      <c r="T1661" s="271">
        <v>-920.0</v>
      </c>
      <c r="U1661" s="62">
        <v>1.0</v>
      </c>
      <c r="V1661" s="277">
        <v>0.3</v>
      </c>
      <c r="W1661" s="277">
        <v>0.0</v>
      </c>
      <c r="X1661" s="271">
        <v>-644.0</v>
      </c>
      <c r="Y1661" s="271">
        <v>-276.0</v>
      </c>
      <c r="Z1661" s="50" t="b">
        <v>1</v>
      </c>
      <c r="AA1661" s="50" t="s">
        <v>138</v>
      </c>
      <c r="AB1661" s="50" t="s">
        <v>138</v>
      </c>
    </row>
    <row r="1662">
      <c r="A1662" s="101" t="s">
        <v>207</v>
      </c>
      <c r="B1662" s="101" t="s">
        <v>208</v>
      </c>
      <c r="C1662" s="278">
        <v>44763.0</v>
      </c>
      <c r="D1662" s="278">
        <v>44793.0</v>
      </c>
      <c r="E1662" s="271" t="s">
        <v>268</v>
      </c>
      <c r="F1662" s="138" t="s">
        <v>4</v>
      </c>
      <c r="G1662" s="101" t="s">
        <v>13</v>
      </c>
      <c r="H1662" s="273" t="s">
        <v>34</v>
      </c>
      <c r="I1662" s="274">
        <v>5.0</v>
      </c>
      <c r="J1662" s="271">
        <v>958.0</v>
      </c>
      <c r="K1662" s="271">
        <f t="shared" si="1"/>
        <v>4790</v>
      </c>
      <c r="L1662" s="271">
        <v>37334.0</v>
      </c>
      <c r="M1662" s="271">
        <v>130.0</v>
      </c>
      <c r="N1662" s="275">
        <v>224.97</v>
      </c>
      <c r="O1662" s="60"/>
      <c r="P1662" s="50">
        <v>225.0</v>
      </c>
      <c r="Q1662" s="271">
        <v>186.0</v>
      </c>
      <c r="R1662" s="276">
        <v>8.3E-4</v>
      </c>
      <c r="S1662" s="271">
        <v>190.0</v>
      </c>
      <c r="T1662" s="271">
        <v>415.0</v>
      </c>
      <c r="U1662" s="62">
        <v>1.0</v>
      </c>
      <c r="V1662" s="277">
        <v>0.25</v>
      </c>
      <c r="W1662" s="277">
        <v>0.0</v>
      </c>
      <c r="X1662" s="271">
        <v>311.0</v>
      </c>
      <c r="Y1662" s="271">
        <v>104.0</v>
      </c>
      <c r="Z1662" s="50" t="b">
        <v>1</v>
      </c>
      <c r="AA1662" s="50" t="s">
        <v>138</v>
      </c>
      <c r="AB1662" s="50" t="s">
        <v>138</v>
      </c>
    </row>
    <row r="1663">
      <c r="A1663" s="101" t="s">
        <v>207</v>
      </c>
      <c r="B1663" s="101" t="s">
        <v>208</v>
      </c>
      <c r="C1663" s="278">
        <v>44763.0</v>
      </c>
      <c r="D1663" s="278">
        <v>44793.0</v>
      </c>
      <c r="E1663" s="271" t="s">
        <v>268</v>
      </c>
      <c r="F1663" s="138" t="s">
        <v>4</v>
      </c>
      <c r="G1663" s="101" t="s">
        <v>13</v>
      </c>
      <c r="H1663" s="273" t="s">
        <v>45</v>
      </c>
      <c r="I1663" s="274">
        <v>10.0</v>
      </c>
      <c r="J1663" s="271">
        <v>2500.0</v>
      </c>
      <c r="K1663" s="271">
        <f t="shared" si="1"/>
        <v>25000</v>
      </c>
      <c r="L1663" s="271">
        <v>44842.0</v>
      </c>
      <c r="M1663" s="271">
        <v>210.0</v>
      </c>
      <c r="N1663" s="275">
        <v>1174.16</v>
      </c>
      <c r="O1663" s="60"/>
      <c r="P1663" s="109">
        <v>1174.0</v>
      </c>
      <c r="Q1663" s="271">
        <v>-543.0</v>
      </c>
      <c r="R1663" s="276">
        <v>8.3E-4</v>
      </c>
      <c r="S1663" s="271">
        <v>-523.0</v>
      </c>
      <c r="T1663" s="271">
        <v>652.0</v>
      </c>
      <c r="U1663" s="62">
        <v>1.0</v>
      </c>
      <c r="V1663" s="277">
        <v>0.25</v>
      </c>
      <c r="W1663" s="277">
        <v>0.0</v>
      </c>
      <c r="X1663" s="271">
        <v>489.0</v>
      </c>
      <c r="Y1663" s="271">
        <v>163.0</v>
      </c>
      <c r="Z1663" s="50" t="b">
        <v>1</v>
      </c>
      <c r="AA1663" s="50" t="s">
        <v>138</v>
      </c>
      <c r="AB1663" s="50" t="s">
        <v>138</v>
      </c>
    </row>
    <row r="1664">
      <c r="A1664" s="101" t="s">
        <v>207</v>
      </c>
      <c r="B1664" s="101" t="s">
        <v>208</v>
      </c>
      <c r="C1664" s="278">
        <v>44763.0</v>
      </c>
      <c r="D1664" s="278">
        <v>44793.0</v>
      </c>
      <c r="E1664" s="271" t="s">
        <v>268</v>
      </c>
      <c r="F1664" s="138" t="s">
        <v>4</v>
      </c>
      <c r="G1664" s="101" t="s">
        <v>13</v>
      </c>
      <c r="H1664" s="273" t="s">
        <v>59</v>
      </c>
      <c r="I1664" s="274">
        <v>20.0</v>
      </c>
      <c r="J1664" s="271">
        <v>1502.0</v>
      </c>
      <c r="K1664" s="271">
        <f t="shared" si="1"/>
        <v>30040</v>
      </c>
      <c r="L1664" s="271">
        <v>17898.0</v>
      </c>
      <c r="M1664" s="271">
        <v>-2940.0</v>
      </c>
      <c r="N1664" s="275">
        <v>1410.87</v>
      </c>
      <c r="O1664" s="60"/>
      <c r="P1664" s="109">
        <v>1411.0</v>
      </c>
      <c r="Q1664" s="271">
        <v>-1173.0</v>
      </c>
      <c r="R1664" s="276">
        <v>8.3E-4</v>
      </c>
      <c r="S1664" s="271">
        <v>-1148.0</v>
      </c>
      <c r="T1664" s="271">
        <v>263.0</v>
      </c>
      <c r="U1664" s="62">
        <v>1.0</v>
      </c>
      <c r="V1664" s="277">
        <v>0.25</v>
      </c>
      <c r="W1664" s="277">
        <v>0.0</v>
      </c>
      <c r="X1664" s="271">
        <v>197.0</v>
      </c>
      <c r="Y1664" s="271">
        <v>66.0</v>
      </c>
      <c r="Z1664" s="50" t="b">
        <v>1</v>
      </c>
      <c r="AA1664" s="50" t="s">
        <v>138</v>
      </c>
      <c r="AB1664" s="50" t="s">
        <v>138</v>
      </c>
    </row>
    <row r="1665">
      <c r="A1665" s="101" t="s">
        <v>210</v>
      </c>
      <c r="B1665" s="101" t="s">
        <v>210</v>
      </c>
      <c r="C1665" s="278">
        <v>44763.0</v>
      </c>
      <c r="D1665" s="278">
        <v>44793.0</v>
      </c>
      <c r="E1665" s="101" t="s">
        <v>268</v>
      </c>
      <c r="F1665" s="101" t="s">
        <v>4</v>
      </c>
      <c r="G1665" s="271" t="s">
        <v>5</v>
      </c>
      <c r="H1665" s="290" t="s">
        <v>35</v>
      </c>
      <c r="I1665" s="281">
        <v>5.0</v>
      </c>
      <c r="J1665" s="280">
        <v>6.0</v>
      </c>
      <c r="K1665" s="271">
        <f t="shared" si="1"/>
        <v>30</v>
      </c>
      <c r="L1665" s="280">
        <v>973.0</v>
      </c>
      <c r="M1665" s="280">
        <v>10.0</v>
      </c>
      <c r="N1665" s="275">
        <v>1.0</v>
      </c>
      <c r="O1665" s="60"/>
      <c r="P1665" s="50">
        <v>1.0</v>
      </c>
      <c r="Q1665" s="280">
        <v>6.0</v>
      </c>
      <c r="R1665" s="276">
        <v>8.3E-4</v>
      </c>
      <c r="S1665" s="280">
        <v>6.0</v>
      </c>
      <c r="T1665" s="280">
        <v>7.0</v>
      </c>
      <c r="U1665" s="62">
        <v>0.996</v>
      </c>
      <c r="V1665" s="277">
        <v>0.3</v>
      </c>
      <c r="W1665" s="277">
        <v>0.0</v>
      </c>
      <c r="X1665" s="280">
        <v>5.0</v>
      </c>
      <c r="Y1665" s="280">
        <v>2.0</v>
      </c>
      <c r="Z1665" s="50" t="b">
        <v>1</v>
      </c>
      <c r="AA1665" s="50" t="s">
        <v>140</v>
      </c>
      <c r="AB1665" s="50" t="s">
        <v>138</v>
      </c>
    </row>
    <row r="1666">
      <c r="A1666" s="101" t="s">
        <v>210</v>
      </c>
      <c r="B1666" s="101" t="s">
        <v>210</v>
      </c>
      <c r="C1666" s="278">
        <v>44763.0</v>
      </c>
      <c r="D1666" s="278">
        <v>44793.0</v>
      </c>
      <c r="E1666" s="271" t="s">
        <v>268</v>
      </c>
      <c r="F1666" s="101" t="s">
        <v>4</v>
      </c>
      <c r="G1666" s="271" t="s">
        <v>5</v>
      </c>
      <c r="H1666" s="290" t="s">
        <v>45</v>
      </c>
      <c r="I1666" s="281">
        <v>10.0</v>
      </c>
      <c r="J1666" s="280">
        <v>12.0</v>
      </c>
      <c r="K1666" s="271">
        <f t="shared" si="1"/>
        <v>120</v>
      </c>
      <c r="L1666" s="280">
        <v>2049.0</v>
      </c>
      <c r="M1666" s="280">
        <v>-20.0</v>
      </c>
      <c r="N1666" s="275">
        <v>3.0</v>
      </c>
      <c r="O1666" s="60"/>
      <c r="P1666" s="50">
        <v>3.0</v>
      </c>
      <c r="Q1666" s="280">
        <v>29.0</v>
      </c>
      <c r="R1666" s="276">
        <v>8.3E-4</v>
      </c>
      <c r="S1666" s="280">
        <v>29.0</v>
      </c>
      <c r="T1666" s="280">
        <v>32.0</v>
      </c>
      <c r="U1666" s="62">
        <v>0.996</v>
      </c>
      <c r="V1666" s="277">
        <v>0.3</v>
      </c>
      <c r="W1666" s="277">
        <v>0.0</v>
      </c>
      <c r="X1666" s="280">
        <v>22.0</v>
      </c>
      <c r="Y1666" s="280">
        <v>10.0</v>
      </c>
      <c r="Z1666" s="50" t="b">
        <v>1</v>
      </c>
      <c r="AA1666" s="50" t="s">
        <v>140</v>
      </c>
      <c r="AB1666" s="50" t="s">
        <v>138</v>
      </c>
    </row>
    <row r="1667">
      <c r="A1667" s="101" t="s">
        <v>210</v>
      </c>
      <c r="B1667" s="101" t="s">
        <v>210</v>
      </c>
      <c r="C1667" s="278">
        <v>44763.0</v>
      </c>
      <c r="D1667" s="278">
        <v>44793.0</v>
      </c>
      <c r="E1667" s="271" t="s">
        <v>268</v>
      </c>
      <c r="F1667" s="101" t="s">
        <v>4</v>
      </c>
      <c r="G1667" s="271" t="s">
        <v>5</v>
      </c>
      <c r="H1667" s="290" t="s">
        <v>62</v>
      </c>
      <c r="I1667" s="281">
        <v>25.0</v>
      </c>
      <c r="J1667" s="280">
        <v>1250.0</v>
      </c>
      <c r="K1667" s="271">
        <f t="shared" si="1"/>
        <v>31250</v>
      </c>
      <c r="L1667" s="280">
        <v>44115.0</v>
      </c>
      <c r="M1667" s="280">
        <v>1025.0</v>
      </c>
      <c r="N1667" s="275">
        <v>718.0</v>
      </c>
      <c r="O1667" s="60"/>
      <c r="P1667" s="50">
        <v>718.0</v>
      </c>
      <c r="Q1667" s="280">
        <v>45.0</v>
      </c>
      <c r="R1667" s="276">
        <v>8.3E-4</v>
      </c>
      <c r="S1667" s="280">
        <v>71.0</v>
      </c>
      <c r="T1667" s="280">
        <v>789.0</v>
      </c>
      <c r="U1667" s="62">
        <v>0.996</v>
      </c>
      <c r="V1667" s="277">
        <v>0.3</v>
      </c>
      <c r="W1667" s="277">
        <v>0.0</v>
      </c>
      <c r="X1667" s="280">
        <v>550.0</v>
      </c>
      <c r="Y1667" s="280">
        <v>236.0</v>
      </c>
      <c r="Z1667" s="50" t="b">
        <v>1</v>
      </c>
      <c r="AA1667" s="50" t="s">
        <v>140</v>
      </c>
      <c r="AB1667" s="50" t="s">
        <v>138</v>
      </c>
    </row>
    <row r="1668">
      <c r="A1668" s="101" t="s">
        <v>210</v>
      </c>
      <c r="B1668" s="101" t="s">
        <v>210</v>
      </c>
      <c r="C1668" s="278">
        <v>44763.0</v>
      </c>
      <c r="D1668" s="278">
        <v>44793.0</v>
      </c>
      <c r="E1668" s="271" t="s">
        <v>268</v>
      </c>
      <c r="F1668" s="101" t="s">
        <v>12</v>
      </c>
      <c r="G1668" s="271" t="s">
        <v>5</v>
      </c>
      <c r="H1668" s="290" t="s">
        <v>10</v>
      </c>
      <c r="I1668" s="274">
        <v>0.25</v>
      </c>
      <c r="J1668" s="271">
        <v>4.0</v>
      </c>
      <c r="K1668" s="271">
        <f t="shared" si="1"/>
        <v>1</v>
      </c>
      <c r="L1668" s="271"/>
      <c r="M1668" s="271">
        <v>0.0</v>
      </c>
      <c r="N1668" s="275"/>
      <c r="O1668" s="60"/>
      <c r="P1668" s="101"/>
      <c r="Q1668" s="271"/>
      <c r="R1668" s="276">
        <v>0.0</v>
      </c>
      <c r="S1668" s="271"/>
      <c r="T1668" s="271">
        <v>0.0</v>
      </c>
      <c r="U1668" s="62">
        <v>0.996</v>
      </c>
      <c r="V1668" s="277">
        <v>0.3</v>
      </c>
      <c r="W1668" s="277">
        <v>0.0</v>
      </c>
      <c r="X1668" s="271">
        <v>0.0</v>
      </c>
      <c r="Y1668" s="271">
        <v>0.0</v>
      </c>
      <c r="Z1668" s="50" t="b">
        <v>1</v>
      </c>
      <c r="AA1668" s="50" t="s">
        <v>140</v>
      </c>
      <c r="AB1668" s="50" t="s">
        <v>138</v>
      </c>
    </row>
    <row r="1669">
      <c r="A1669" s="101" t="s">
        <v>210</v>
      </c>
      <c r="B1669" s="101" t="s">
        <v>210</v>
      </c>
      <c r="C1669" s="278">
        <v>44763.0</v>
      </c>
      <c r="D1669" s="278">
        <v>44793.0</v>
      </c>
      <c r="E1669" s="271" t="s">
        <v>268</v>
      </c>
      <c r="F1669" s="101" t="s">
        <v>12</v>
      </c>
      <c r="G1669" s="271" t="s">
        <v>5</v>
      </c>
      <c r="H1669" s="290" t="s">
        <v>28</v>
      </c>
      <c r="I1669" s="274">
        <v>2.0</v>
      </c>
      <c r="J1669" s="271">
        <v>2.0</v>
      </c>
      <c r="K1669" s="271">
        <f t="shared" si="1"/>
        <v>4</v>
      </c>
      <c r="L1669" s="271"/>
      <c r="M1669" s="271">
        <v>-4.0</v>
      </c>
      <c r="N1669" s="275"/>
      <c r="O1669" s="60"/>
      <c r="P1669" s="101"/>
      <c r="Q1669" s="271"/>
      <c r="R1669" s="276">
        <v>0.0</v>
      </c>
      <c r="S1669" s="271"/>
      <c r="T1669" s="271">
        <v>-4.0</v>
      </c>
      <c r="U1669" s="62">
        <v>0.996</v>
      </c>
      <c r="V1669" s="277">
        <v>0.3</v>
      </c>
      <c r="W1669" s="277">
        <v>0.0</v>
      </c>
      <c r="X1669" s="271">
        <v>-3.0</v>
      </c>
      <c r="Y1669" s="271">
        <v>-1.0</v>
      </c>
      <c r="Z1669" s="50" t="b">
        <v>1</v>
      </c>
      <c r="AA1669" s="50" t="s">
        <v>140</v>
      </c>
      <c r="AB1669" s="50" t="s">
        <v>138</v>
      </c>
    </row>
    <row r="1670">
      <c r="A1670" s="101" t="s">
        <v>169</v>
      </c>
      <c r="B1670" s="101" t="s">
        <v>169</v>
      </c>
      <c r="C1670" s="278">
        <v>44763.0</v>
      </c>
      <c r="D1670" s="278">
        <v>44793.0</v>
      </c>
      <c r="E1670" s="271" t="s">
        <v>268</v>
      </c>
      <c r="F1670" s="101" t="s">
        <v>4</v>
      </c>
      <c r="G1670" s="271" t="s">
        <v>5</v>
      </c>
      <c r="H1670" s="273" t="s">
        <v>38</v>
      </c>
      <c r="I1670" s="274">
        <v>5.0</v>
      </c>
      <c r="J1670" s="271">
        <v>2.0</v>
      </c>
      <c r="K1670" s="271">
        <f t="shared" si="1"/>
        <v>10</v>
      </c>
      <c r="L1670" s="271">
        <v>167.0</v>
      </c>
      <c r="M1670" s="271">
        <v>-10.0</v>
      </c>
      <c r="N1670" s="275">
        <v>1.0</v>
      </c>
      <c r="O1670" s="60"/>
      <c r="P1670" s="50">
        <v>1.0</v>
      </c>
      <c r="Q1670" s="271">
        <v>2.0</v>
      </c>
      <c r="R1670" s="276">
        <v>8.3E-4</v>
      </c>
      <c r="S1670" s="271">
        <v>2.0</v>
      </c>
      <c r="T1670" s="271">
        <v>3.0</v>
      </c>
      <c r="U1670" s="62">
        <v>1.0</v>
      </c>
      <c r="V1670" s="277">
        <v>0.12</v>
      </c>
      <c r="W1670" s="277">
        <v>0.0</v>
      </c>
      <c r="X1670" s="271">
        <v>2.0</v>
      </c>
      <c r="Y1670" s="271">
        <v>0.0</v>
      </c>
      <c r="Z1670" s="50" t="b">
        <v>1</v>
      </c>
      <c r="AA1670" s="50" t="s">
        <v>138</v>
      </c>
      <c r="AB1670" s="50" t="s">
        <v>138</v>
      </c>
    </row>
    <row r="1671">
      <c r="A1671" s="101" t="s">
        <v>169</v>
      </c>
      <c r="B1671" s="101" t="s">
        <v>169</v>
      </c>
      <c r="C1671" s="278">
        <v>44763.0</v>
      </c>
      <c r="D1671" s="278">
        <v>44793.0</v>
      </c>
      <c r="E1671" s="271" t="s">
        <v>268</v>
      </c>
      <c r="F1671" s="101" t="s">
        <v>4</v>
      </c>
      <c r="G1671" s="271" t="s">
        <v>5</v>
      </c>
      <c r="H1671" s="273" t="s">
        <v>48</v>
      </c>
      <c r="I1671" s="274">
        <v>10.0</v>
      </c>
      <c r="J1671" s="271">
        <v>5891.0</v>
      </c>
      <c r="K1671" s="271">
        <f t="shared" si="1"/>
        <v>58910</v>
      </c>
      <c r="L1671" s="271">
        <v>77583.0</v>
      </c>
      <c r="M1671" s="271">
        <v>-2830.0</v>
      </c>
      <c r="N1671" s="275">
        <v>3046.0</v>
      </c>
      <c r="O1671" s="60"/>
      <c r="P1671" s="109">
        <v>3046.0</v>
      </c>
      <c r="Q1671" s="271">
        <v>-1987.0</v>
      </c>
      <c r="R1671" s="276">
        <v>8.3E-4</v>
      </c>
      <c r="S1671" s="271">
        <v>-1939.0</v>
      </c>
      <c r="T1671" s="271">
        <v>1107.0</v>
      </c>
      <c r="U1671" s="62">
        <v>1.0</v>
      </c>
      <c r="V1671" s="277">
        <v>0.12</v>
      </c>
      <c r="W1671" s="277">
        <v>0.0</v>
      </c>
      <c r="X1671" s="271">
        <v>975.0</v>
      </c>
      <c r="Y1671" s="271">
        <v>133.0</v>
      </c>
      <c r="Z1671" s="50" t="b">
        <v>1</v>
      </c>
      <c r="AA1671" s="50" t="s">
        <v>138</v>
      </c>
      <c r="AB1671" s="50" t="s">
        <v>138</v>
      </c>
    </row>
    <row r="1672">
      <c r="A1672" s="101" t="s">
        <v>169</v>
      </c>
      <c r="B1672" s="101" t="s">
        <v>169</v>
      </c>
      <c r="C1672" s="278">
        <v>44763.0</v>
      </c>
      <c r="D1672" s="278">
        <v>44793.0</v>
      </c>
      <c r="E1672" s="271" t="s">
        <v>268</v>
      </c>
      <c r="F1672" s="101" t="s">
        <v>4</v>
      </c>
      <c r="G1672" s="271" t="s">
        <v>5</v>
      </c>
      <c r="H1672" s="273" t="s">
        <v>63</v>
      </c>
      <c r="I1672" s="274">
        <v>25.0</v>
      </c>
      <c r="J1672" s="271">
        <v>10950.0</v>
      </c>
      <c r="K1672" s="271">
        <f t="shared" si="1"/>
        <v>273750</v>
      </c>
      <c r="L1672" s="271">
        <v>149043.0</v>
      </c>
      <c r="M1672" s="271">
        <v>-5650.0</v>
      </c>
      <c r="N1672" s="275">
        <v>12133.0</v>
      </c>
      <c r="O1672" s="60"/>
      <c r="P1672" s="109">
        <v>12133.0</v>
      </c>
      <c r="Q1672" s="271">
        <v>-6005.0</v>
      </c>
      <c r="R1672" s="276">
        <v>8.3E-4</v>
      </c>
      <c r="S1672" s="271">
        <v>-5777.0</v>
      </c>
      <c r="T1672" s="271">
        <v>6356.0</v>
      </c>
      <c r="U1672" s="62">
        <v>1.0</v>
      </c>
      <c r="V1672" s="277">
        <v>0.12</v>
      </c>
      <c r="W1672" s="277">
        <v>0.0</v>
      </c>
      <c r="X1672" s="271">
        <v>5593.0</v>
      </c>
      <c r="Y1672" s="271">
        <v>763.0</v>
      </c>
      <c r="Z1672" s="50" t="b">
        <v>1</v>
      </c>
      <c r="AA1672" s="50" t="s">
        <v>138</v>
      </c>
      <c r="AB1672" s="50" t="s">
        <v>138</v>
      </c>
    </row>
    <row r="1673">
      <c r="A1673" s="101" t="s">
        <v>169</v>
      </c>
      <c r="B1673" s="101" t="s">
        <v>169</v>
      </c>
      <c r="C1673" s="278">
        <v>44763.0</v>
      </c>
      <c r="D1673" s="278">
        <v>44793.0</v>
      </c>
      <c r="E1673" s="271" t="s">
        <v>268</v>
      </c>
      <c r="F1673" s="101" t="s">
        <v>4</v>
      </c>
      <c r="G1673" s="271" t="s">
        <v>5</v>
      </c>
      <c r="H1673" s="273" t="s">
        <v>75</v>
      </c>
      <c r="I1673" s="274">
        <v>50.0</v>
      </c>
      <c r="J1673" s="271">
        <v>1160.0</v>
      </c>
      <c r="K1673" s="271">
        <f t="shared" si="1"/>
        <v>58000</v>
      </c>
      <c r="L1673" s="271">
        <v>24135.0</v>
      </c>
      <c r="M1673" s="271">
        <v>-1000.0</v>
      </c>
      <c r="N1673" s="275">
        <v>2570.0</v>
      </c>
      <c r="O1673" s="60"/>
      <c r="P1673" s="109">
        <v>2570.0</v>
      </c>
      <c r="Q1673" s="271">
        <v>17.0</v>
      </c>
      <c r="R1673" s="276">
        <v>8.3E-4</v>
      </c>
      <c r="S1673" s="271">
        <v>66.0</v>
      </c>
      <c r="T1673" s="271">
        <v>2636.0</v>
      </c>
      <c r="U1673" s="62">
        <v>1.0</v>
      </c>
      <c r="V1673" s="277">
        <v>0.12</v>
      </c>
      <c r="W1673" s="277">
        <v>0.0</v>
      </c>
      <c r="X1673" s="271">
        <v>2319.0</v>
      </c>
      <c r="Y1673" s="271">
        <v>316.0</v>
      </c>
      <c r="Z1673" s="50" t="b">
        <v>1</v>
      </c>
      <c r="AA1673" s="50" t="s">
        <v>138</v>
      </c>
      <c r="AB1673" s="50" t="s">
        <v>138</v>
      </c>
    </row>
    <row r="1674">
      <c r="A1674" s="271" t="s">
        <v>638</v>
      </c>
      <c r="B1674" s="271" t="s">
        <v>162</v>
      </c>
      <c r="C1674" s="278">
        <v>44765.0</v>
      </c>
      <c r="D1674" s="278">
        <v>44793.0</v>
      </c>
      <c r="E1674" s="271" t="s">
        <v>268</v>
      </c>
      <c r="F1674" s="101" t="s">
        <v>4</v>
      </c>
      <c r="G1674" s="271" t="s">
        <v>13</v>
      </c>
      <c r="H1674" s="273" t="s">
        <v>74</v>
      </c>
      <c r="I1674" s="274">
        <v>50.0</v>
      </c>
      <c r="J1674" s="271">
        <v>6744.0</v>
      </c>
      <c r="K1674" s="271">
        <f t="shared" si="1"/>
        <v>337200</v>
      </c>
      <c r="L1674" s="271">
        <v>48104.0</v>
      </c>
      <c r="M1674" s="271">
        <v>-11650.0</v>
      </c>
      <c r="N1674" s="275">
        <v>17407.0</v>
      </c>
      <c r="O1674" s="60"/>
      <c r="P1674" s="109">
        <v>17407.0</v>
      </c>
      <c r="Q1674" s="271">
        <v>-17809.0</v>
      </c>
      <c r="R1674" s="276">
        <v>8.3E-4</v>
      </c>
      <c r="S1674" s="271">
        <v>-17529.0</v>
      </c>
      <c r="T1674" s="271">
        <v>-122.0</v>
      </c>
      <c r="U1674" s="62">
        <v>1.0</v>
      </c>
      <c r="V1674" s="277">
        <v>0.3</v>
      </c>
      <c r="W1674" s="277">
        <v>0.0</v>
      </c>
      <c r="X1674" s="271">
        <v>-85.0</v>
      </c>
      <c r="Y1674" s="271">
        <v>-37.0</v>
      </c>
      <c r="Z1674" s="50" t="b">
        <v>1</v>
      </c>
      <c r="AA1674" s="50" t="s">
        <v>138</v>
      </c>
      <c r="AB1674" s="50" t="s">
        <v>138</v>
      </c>
    </row>
    <row r="1675">
      <c r="A1675" s="101" t="s">
        <v>216</v>
      </c>
      <c r="B1675" s="101" t="s">
        <v>216</v>
      </c>
      <c r="C1675" s="278">
        <v>44763.0</v>
      </c>
      <c r="D1675" s="278">
        <v>44793.0</v>
      </c>
      <c r="E1675" s="271" t="s">
        <v>268</v>
      </c>
      <c r="F1675" s="138" t="s">
        <v>4</v>
      </c>
      <c r="G1675" s="101" t="s">
        <v>5</v>
      </c>
      <c r="H1675" s="273" t="s">
        <v>35</v>
      </c>
      <c r="I1675" s="274">
        <v>5.0</v>
      </c>
      <c r="J1675" s="271">
        <v>1.0</v>
      </c>
      <c r="K1675" s="271">
        <f t="shared" si="1"/>
        <v>5</v>
      </c>
      <c r="L1675" s="271">
        <v>-62.0</v>
      </c>
      <c r="M1675" s="271">
        <v>-5.0</v>
      </c>
      <c r="N1675" s="275"/>
      <c r="O1675" s="60"/>
      <c r="P1675" s="101"/>
      <c r="Q1675" s="271">
        <v>-1.0</v>
      </c>
      <c r="R1675" s="276">
        <v>8.3E-4</v>
      </c>
      <c r="S1675" s="271">
        <v>-1.0</v>
      </c>
      <c r="T1675" s="271">
        <v>-1.0</v>
      </c>
      <c r="U1675" s="62">
        <v>1.0</v>
      </c>
      <c r="V1675" s="277">
        <v>0.1</v>
      </c>
      <c r="W1675" s="277">
        <v>0.0</v>
      </c>
      <c r="X1675" s="271">
        <v>-1.0</v>
      </c>
      <c r="Y1675" s="271">
        <v>0.0</v>
      </c>
      <c r="Z1675" s="50" t="b">
        <v>1</v>
      </c>
      <c r="AA1675" s="50" t="s">
        <v>138</v>
      </c>
      <c r="AB1675" s="50" t="s">
        <v>138</v>
      </c>
    </row>
    <row r="1676">
      <c r="A1676" s="101" t="s">
        <v>216</v>
      </c>
      <c r="B1676" s="101" t="s">
        <v>216</v>
      </c>
      <c r="C1676" s="278">
        <v>44763.0</v>
      </c>
      <c r="D1676" s="278">
        <v>44793.0</v>
      </c>
      <c r="E1676" s="271" t="s">
        <v>268</v>
      </c>
      <c r="F1676" s="138" t="s">
        <v>4</v>
      </c>
      <c r="G1676" s="101" t="s">
        <v>5</v>
      </c>
      <c r="H1676" s="273" t="s">
        <v>85</v>
      </c>
      <c r="I1676" s="274">
        <v>100.0</v>
      </c>
      <c r="J1676" s="271">
        <v>871.0</v>
      </c>
      <c r="K1676" s="271">
        <f t="shared" si="1"/>
        <v>87100</v>
      </c>
      <c r="L1676" s="271">
        <v>12674.0</v>
      </c>
      <c r="M1676" s="271">
        <v>-4900.0</v>
      </c>
      <c r="N1676" s="275">
        <v>3290.0</v>
      </c>
      <c r="O1676" s="60"/>
      <c r="P1676" s="109">
        <v>3290.0</v>
      </c>
      <c r="Q1676" s="271">
        <v>-2328.0</v>
      </c>
      <c r="R1676" s="276">
        <v>8.3E-4</v>
      </c>
      <c r="S1676" s="271">
        <v>-2256.0</v>
      </c>
      <c r="T1676" s="271">
        <v>1034.0</v>
      </c>
      <c r="U1676" s="62">
        <v>1.0</v>
      </c>
      <c r="V1676" s="277">
        <v>0.1</v>
      </c>
      <c r="W1676" s="277">
        <v>0.0</v>
      </c>
      <c r="X1676" s="271">
        <v>931.0</v>
      </c>
      <c r="Y1676" s="271">
        <v>103.0</v>
      </c>
      <c r="Z1676" s="50" t="b">
        <v>1</v>
      </c>
      <c r="AA1676" s="50" t="s">
        <v>138</v>
      </c>
      <c r="AB1676" s="50" t="s">
        <v>138</v>
      </c>
    </row>
    <row r="1677">
      <c r="A1677" s="101" t="s">
        <v>216</v>
      </c>
      <c r="B1677" s="101" t="s">
        <v>216</v>
      </c>
      <c r="C1677" s="278">
        <v>44763.0</v>
      </c>
      <c r="D1677" s="278">
        <v>44793.0</v>
      </c>
      <c r="E1677" s="271" t="s">
        <v>268</v>
      </c>
      <c r="F1677" s="138" t="s">
        <v>4</v>
      </c>
      <c r="G1677" s="101" t="s">
        <v>5</v>
      </c>
      <c r="H1677" s="273" t="s">
        <v>86</v>
      </c>
      <c r="I1677" s="274">
        <v>100.0</v>
      </c>
      <c r="J1677" s="271">
        <v>681.0</v>
      </c>
      <c r="K1677" s="271">
        <f t="shared" si="1"/>
        <v>68100</v>
      </c>
      <c r="L1677" s="271">
        <v>1732.0</v>
      </c>
      <c r="M1677" s="271">
        <v>-3200.0</v>
      </c>
      <c r="N1677" s="275">
        <v>2572.0</v>
      </c>
      <c r="O1677" s="60"/>
      <c r="P1677" s="109">
        <v>2572.0</v>
      </c>
      <c r="Q1677" s="271">
        <v>-3136.0</v>
      </c>
      <c r="R1677" s="276">
        <v>8.3E-4</v>
      </c>
      <c r="S1677" s="271">
        <v>-3080.0</v>
      </c>
      <c r="T1677" s="271">
        <v>-508.0</v>
      </c>
      <c r="U1677" s="62">
        <v>1.0</v>
      </c>
      <c r="V1677" s="277">
        <v>0.1</v>
      </c>
      <c r="W1677" s="277">
        <v>0.0</v>
      </c>
      <c r="X1677" s="271">
        <v>-457.0</v>
      </c>
      <c r="Y1677" s="271">
        <v>-51.0</v>
      </c>
      <c r="Z1677" s="50" t="b">
        <v>1</v>
      </c>
      <c r="AA1677" s="50" t="s">
        <v>138</v>
      </c>
      <c r="AB1677" s="50" t="s">
        <v>138</v>
      </c>
    </row>
    <row r="1678">
      <c r="A1678" s="101" t="s">
        <v>216</v>
      </c>
      <c r="B1678" s="101" t="s">
        <v>216</v>
      </c>
      <c r="C1678" s="278">
        <v>44763.0</v>
      </c>
      <c r="D1678" s="278">
        <v>44793.0</v>
      </c>
      <c r="E1678" s="271" t="s">
        <v>268</v>
      </c>
      <c r="F1678" s="138" t="s">
        <v>4</v>
      </c>
      <c r="G1678" s="101" t="s">
        <v>5</v>
      </c>
      <c r="H1678" s="273" t="s">
        <v>96</v>
      </c>
      <c r="I1678" s="274">
        <v>250.0</v>
      </c>
      <c r="J1678" s="271">
        <v>832.0</v>
      </c>
      <c r="K1678" s="271">
        <f t="shared" si="1"/>
        <v>208000</v>
      </c>
      <c r="L1678" s="271">
        <v>32704.0</v>
      </c>
      <c r="M1678" s="271">
        <v>2750.0</v>
      </c>
      <c r="N1678" s="275">
        <v>7855.0</v>
      </c>
      <c r="O1678" s="60"/>
      <c r="P1678" s="109">
        <v>7855.0</v>
      </c>
      <c r="Q1678" s="271">
        <v>4631.0</v>
      </c>
      <c r="R1678" s="276">
        <v>8.3E-4</v>
      </c>
      <c r="S1678" s="271">
        <v>4803.0</v>
      </c>
      <c r="T1678" s="271">
        <v>12658.0</v>
      </c>
      <c r="U1678" s="62">
        <v>1.0</v>
      </c>
      <c r="V1678" s="277">
        <v>0.1</v>
      </c>
      <c r="W1678" s="277">
        <v>0.0</v>
      </c>
      <c r="X1678" s="271">
        <v>11393.0</v>
      </c>
      <c r="Y1678" s="271">
        <v>1266.0</v>
      </c>
      <c r="Z1678" s="50" t="b">
        <v>1</v>
      </c>
      <c r="AA1678" s="50" t="s">
        <v>138</v>
      </c>
      <c r="AB1678" s="50" t="s">
        <v>138</v>
      </c>
    </row>
    <row r="1679">
      <c r="A1679" s="101" t="s">
        <v>216</v>
      </c>
      <c r="B1679" s="101" t="s">
        <v>216</v>
      </c>
      <c r="C1679" s="278">
        <v>44763.0</v>
      </c>
      <c r="D1679" s="278">
        <v>44793.0</v>
      </c>
      <c r="E1679" s="271" t="s">
        <v>268</v>
      </c>
      <c r="F1679" s="138" t="s">
        <v>4</v>
      </c>
      <c r="G1679" s="101" t="s">
        <v>5</v>
      </c>
      <c r="H1679" s="273" t="s">
        <v>97</v>
      </c>
      <c r="I1679" s="274">
        <v>250.0</v>
      </c>
      <c r="J1679" s="271">
        <v>380.0</v>
      </c>
      <c r="K1679" s="271">
        <f t="shared" si="1"/>
        <v>95000</v>
      </c>
      <c r="L1679" s="271">
        <v>-3148.0</v>
      </c>
      <c r="M1679" s="271">
        <v>-8500.0</v>
      </c>
      <c r="N1679" s="275">
        <v>3588.0</v>
      </c>
      <c r="O1679" s="60"/>
      <c r="P1679" s="109">
        <v>3588.0</v>
      </c>
      <c r="Q1679" s="271">
        <v>-7367.0</v>
      </c>
      <c r="R1679" s="276">
        <v>8.3E-4</v>
      </c>
      <c r="S1679" s="271">
        <v>-7288.0</v>
      </c>
      <c r="T1679" s="271">
        <v>-3700.0</v>
      </c>
      <c r="U1679" s="62">
        <v>1.0</v>
      </c>
      <c r="V1679" s="277">
        <v>0.1</v>
      </c>
      <c r="W1679" s="277">
        <v>0.0</v>
      </c>
      <c r="X1679" s="271">
        <v>-3330.0</v>
      </c>
      <c r="Y1679" s="271">
        <v>-370.0</v>
      </c>
      <c r="Z1679" s="50" t="b">
        <v>1</v>
      </c>
      <c r="AA1679" s="50" t="s">
        <v>138</v>
      </c>
      <c r="AB1679" s="50" t="s">
        <v>138</v>
      </c>
    </row>
    <row r="1680">
      <c r="A1680" s="271" t="s">
        <v>143</v>
      </c>
      <c r="B1680" s="271" t="s">
        <v>139</v>
      </c>
      <c r="C1680" s="278">
        <v>44774.0</v>
      </c>
      <c r="D1680" s="278">
        <v>44804.0</v>
      </c>
      <c r="E1680" s="271" t="s">
        <v>268</v>
      </c>
      <c r="F1680" s="138" t="s">
        <v>8</v>
      </c>
      <c r="G1680" s="271" t="s">
        <v>5</v>
      </c>
      <c r="H1680" s="271" t="s">
        <v>45</v>
      </c>
      <c r="I1680" s="274">
        <v>10.0</v>
      </c>
      <c r="J1680" s="271">
        <v>2938.0</v>
      </c>
      <c r="K1680" s="271">
        <f t="shared" si="1"/>
        <v>29380</v>
      </c>
      <c r="L1680" s="271">
        <v>194942.0</v>
      </c>
      <c r="M1680" s="271">
        <v>1220.0</v>
      </c>
      <c r="N1680" s="275">
        <v>1541.0</v>
      </c>
      <c r="O1680" s="60"/>
      <c r="P1680" s="109">
        <v>1541.0</v>
      </c>
      <c r="Q1680" s="271">
        <v>1388.0</v>
      </c>
      <c r="R1680" s="276">
        <v>-7.39E-4</v>
      </c>
      <c r="S1680" s="271">
        <v>1366.0</v>
      </c>
      <c r="T1680" s="271">
        <v>2907.0</v>
      </c>
      <c r="U1680" s="62">
        <v>1.0</v>
      </c>
      <c r="V1680" s="277">
        <v>0.17</v>
      </c>
      <c r="W1680" s="277">
        <v>0.0</v>
      </c>
      <c r="X1680" s="271">
        <v>2413.0</v>
      </c>
      <c r="Y1680" s="271">
        <v>494.0</v>
      </c>
      <c r="Z1680" s="50" t="b">
        <v>1</v>
      </c>
      <c r="AA1680" s="50" t="s">
        <v>140</v>
      </c>
      <c r="AB1680" s="50" t="s">
        <v>138</v>
      </c>
    </row>
    <row r="1681">
      <c r="A1681" s="271" t="s">
        <v>143</v>
      </c>
      <c r="B1681" s="271" t="s">
        <v>139</v>
      </c>
      <c r="C1681" s="278">
        <v>44774.0</v>
      </c>
      <c r="D1681" s="278">
        <v>44804.0</v>
      </c>
      <c r="E1681" s="271" t="s">
        <v>268</v>
      </c>
      <c r="F1681" s="138" t="s">
        <v>8</v>
      </c>
      <c r="G1681" s="271" t="s">
        <v>5</v>
      </c>
      <c r="H1681" s="271" t="s">
        <v>62</v>
      </c>
      <c r="I1681" s="274">
        <v>25.0</v>
      </c>
      <c r="J1681" s="271">
        <v>1277.0</v>
      </c>
      <c r="K1681" s="271">
        <f t="shared" si="1"/>
        <v>31925</v>
      </c>
      <c r="L1681" s="271">
        <v>38812.0</v>
      </c>
      <c r="M1681" s="271">
        <v>3775.0</v>
      </c>
      <c r="N1681" s="275">
        <v>1435.0</v>
      </c>
      <c r="O1681" s="60"/>
      <c r="P1681" s="109">
        <v>1435.0</v>
      </c>
      <c r="Q1681" s="271">
        <v>-258.0</v>
      </c>
      <c r="R1681" s="276">
        <v>-7.21E-4</v>
      </c>
      <c r="S1681" s="271">
        <v>-281.0</v>
      </c>
      <c r="T1681" s="271">
        <v>1154.0</v>
      </c>
      <c r="U1681" s="62">
        <v>1.0</v>
      </c>
      <c r="V1681" s="277">
        <v>0.17</v>
      </c>
      <c r="W1681" s="277">
        <v>0.0</v>
      </c>
      <c r="X1681" s="271">
        <v>958.0</v>
      </c>
      <c r="Y1681" s="271">
        <v>196.0</v>
      </c>
      <c r="Z1681" s="50" t="b">
        <v>1</v>
      </c>
      <c r="AA1681" s="50" t="s">
        <v>140</v>
      </c>
      <c r="AB1681" s="50" t="s">
        <v>138</v>
      </c>
    </row>
    <row r="1682">
      <c r="A1682" s="271" t="s">
        <v>143</v>
      </c>
      <c r="B1682" s="271" t="s">
        <v>139</v>
      </c>
      <c r="C1682" s="278">
        <v>44774.0</v>
      </c>
      <c r="D1682" s="278">
        <v>44804.0</v>
      </c>
      <c r="E1682" s="271" t="s">
        <v>268</v>
      </c>
      <c r="F1682" s="138" t="s">
        <v>12</v>
      </c>
      <c r="G1682" s="271" t="s">
        <v>5</v>
      </c>
      <c r="H1682" s="273" t="s">
        <v>20</v>
      </c>
      <c r="I1682" s="274">
        <v>1.0</v>
      </c>
      <c r="J1682" s="271">
        <v>20.0</v>
      </c>
      <c r="K1682" s="271">
        <f t="shared" si="1"/>
        <v>20</v>
      </c>
      <c r="L1682" s="271"/>
      <c r="M1682" s="271">
        <v>1.0</v>
      </c>
      <c r="N1682" s="275">
        <v>1.0</v>
      </c>
      <c r="O1682" s="60"/>
      <c r="P1682" s="50">
        <v>1.0</v>
      </c>
      <c r="Q1682" s="271"/>
      <c r="R1682" s="276">
        <v>0.0</v>
      </c>
      <c r="S1682" s="271"/>
      <c r="T1682" s="271">
        <v>2.0</v>
      </c>
      <c r="U1682" s="62">
        <v>1.0</v>
      </c>
      <c r="V1682" s="277">
        <v>0.17</v>
      </c>
      <c r="W1682" s="277">
        <v>0.0</v>
      </c>
      <c r="X1682" s="271">
        <v>2.0</v>
      </c>
      <c r="Y1682" s="271">
        <v>0.0</v>
      </c>
      <c r="Z1682" s="50" t="b">
        <v>1</v>
      </c>
      <c r="AA1682" s="50" t="s">
        <v>140</v>
      </c>
      <c r="AB1682" s="50" t="s">
        <v>138</v>
      </c>
    </row>
    <row r="1683">
      <c r="A1683" s="271" t="s">
        <v>143</v>
      </c>
      <c r="B1683" s="271" t="s">
        <v>139</v>
      </c>
      <c r="C1683" s="278">
        <v>44774.0</v>
      </c>
      <c r="D1683" s="278">
        <v>44804.0</v>
      </c>
      <c r="E1683" s="271" t="s">
        <v>268</v>
      </c>
      <c r="F1683" s="138" t="s">
        <v>12</v>
      </c>
      <c r="G1683" s="271" t="s">
        <v>5</v>
      </c>
      <c r="H1683" s="271" t="s">
        <v>35</v>
      </c>
      <c r="I1683" s="274">
        <v>5.0</v>
      </c>
      <c r="J1683" s="271">
        <v>5.0</v>
      </c>
      <c r="K1683" s="271">
        <f t="shared" si="1"/>
        <v>25</v>
      </c>
      <c r="L1683" s="271"/>
      <c r="M1683" s="271">
        <v>-25.0</v>
      </c>
      <c r="N1683" s="275">
        <v>2.0</v>
      </c>
      <c r="O1683" s="60"/>
      <c r="P1683" s="50">
        <v>2.0</v>
      </c>
      <c r="Q1683" s="271"/>
      <c r="R1683" s="276">
        <v>0.0</v>
      </c>
      <c r="S1683" s="271"/>
      <c r="T1683" s="271">
        <v>-23.0</v>
      </c>
      <c r="U1683" s="62">
        <v>1.0</v>
      </c>
      <c r="V1683" s="277">
        <v>0.17</v>
      </c>
      <c r="W1683" s="277">
        <v>0.0</v>
      </c>
      <c r="X1683" s="271">
        <v>-19.0</v>
      </c>
      <c r="Y1683" s="271">
        <v>-4.0</v>
      </c>
      <c r="Z1683" s="50" t="b">
        <v>1</v>
      </c>
      <c r="AA1683" s="50" t="s">
        <v>140</v>
      </c>
      <c r="AB1683" s="50" t="s">
        <v>138</v>
      </c>
    </row>
    <row r="1684">
      <c r="A1684" s="271" t="s">
        <v>143</v>
      </c>
      <c r="B1684" s="271" t="s">
        <v>139</v>
      </c>
      <c r="C1684" s="278">
        <v>44774.0</v>
      </c>
      <c r="D1684" s="278">
        <v>44804.0</v>
      </c>
      <c r="E1684" s="271" t="s">
        <v>268</v>
      </c>
      <c r="F1684" s="138" t="s">
        <v>12</v>
      </c>
      <c r="G1684" s="271" t="s">
        <v>5</v>
      </c>
      <c r="H1684" s="273" t="s">
        <v>6</v>
      </c>
      <c r="I1684" s="274">
        <v>0.25</v>
      </c>
      <c r="J1684" s="271">
        <v>12.0</v>
      </c>
      <c r="K1684" s="271">
        <f t="shared" si="1"/>
        <v>3</v>
      </c>
      <c r="L1684" s="271"/>
      <c r="M1684" s="271">
        <v>-1.0</v>
      </c>
      <c r="N1684" s="275"/>
      <c r="O1684" s="60"/>
      <c r="P1684" s="101"/>
      <c r="Q1684" s="271"/>
      <c r="R1684" s="276">
        <v>0.0</v>
      </c>
      <c r="S1684" s="271"/>
      <c r="T1684" s="271">
        <v>-1.0</v>
      </c>
      <c r="U1684" s="62">
        <v>1.0</v>
      </c>
      <c r="V1684" s="277">
        <v>0.17</v>
      </c>
      <c r="W1684" s="277">
        <v>0.0</v>
      </c>
      <c r="X1684" s="271">
        <v>-1.0</v>
      </c>
      <c r="Y1684" s="271">
        <v>0.0</v>
      </c>
      <c r="Z1684" s="50" t="b">
        <v>1</v>
      </c>
      <c r="AA1684" s="50" t="s">
        <v>140</v>
      </c>
      <c r="AB1684" s="50" t="s">
        <v>138</v>
      </c>
    </row>
    <row r="1685">
      <c r="A1685" s="271" t="s">
        <v>143</v>
      </c>
      <c r="B1685" s="271" t="s">
        <v>139</v>
      </c>
      <c r="C1685" s="278">
        <v>44774.0</v>
      </c>
      <c r="D1685" s="278">
        <v>44804.0</v>
      </c>
      <c r="E1685" s="271" t="s">
        <v>268</v>
      </c>
      <c r="F1685" s="138" t="s">
        <v>12</v>
      </c>
      <c r="G1685" s="271" t="s">
        <v>5</v>
      </c>
      <c r="H1685" s="273" t="s">
        <v>28</v>
      </c>
      <c r="I1685" s="274">
        <v>2.0</v>
      </c>
      <c r="J1685" s="271">
        <v>2.0</v>
      </c>
      <c r="K1685" s="271">
        <f t="shared" si="1"/>
        <v>4</v>
      </c>
      <c r="L1685" s="271"/>
      <c r="M1685" s="271">
        <v>-4.0</v>
      </c>
      <c r="N1685" s="275"/>
      <c r="O1685" s="60"/>
      <c r="P1685" s="101"/>
      <c r="Q1685" s="271"/>
      <c r="R1685" s="276">
        <v>0.0</v>
      </c>
      <c r="S1685" s="271"/>
      <c r="T1685" s="271">
        <v>-4.0</v>
      </c>
      <c r="U1685" s="62">
        <v>1.0</v>
      </c>
      <c r="V1685" s="277">
        <v>0.17</v>
      </c>
      <c r="W1685" s="277">
        <v>0.0</v>
      </c>
      <c r="X1685" s="271">
        <v>-3.0</v>
      </c>
      <c r="Y1685" s="271">
        <v>-1.0</v>
      </c>
      <c r="Z1685" s="50" t="b">
        <v>1</v>
      </c>
      <c r="AA1685" s="50" t="s">
        <v>140</v>
      </c>
      <c r="AB1685" s="50" t="s">
        <v>138</v>
      </c>
    </row>
    <row r="1686">
      <c r="A1686" s="271" t="s">
        <v>143</v>
      </c>
      <c r="B1686" s="271" t="s">
        <v>139</v>
      </c>
      <c r="C1686" s="278">
        <v>44774.0</v>
      </c>
      <c r="D1686" s="278">
        <v>44804.0</v>
      </c>
      <c r="E1686" s="271" t="s">
        <v>268</v>
      </c>
      <c r="F1686" s="138" t="s">
        <v>12</v>
      </c>
      <c r="G1686" s="271" t="s">
        <v>5</v>
      </c>
      <c r="H1686" s="273" t="s">
        <v>10</v>
      </c>
      <c r="I1686" s="274">
        <v>0.25</v>
      </c>
      <c r="J1686" s="271">
        <v>2.0</v>
      </c>
      <c r="K1686" s="271">
        <f t="shared" si="1"/>
        <v>0.5</v>
      </c>
      <c r="L1686" s="271"/>
      <c r="M1686" s="271">
        <v>0.0</v>
      </c>
      <c r="N1686" s="275"/>
      <c r="O1686" s="60"/>
      <c r="P1686" s="101"/>
      <c r="Q1686" s="271"/>
      <c r="R1686" s="276">
        <v>0.0</v>
      </c>
      <c r="S1686" s="271"/>
      <c r="T1686" s="271">
        <v>0.0</v>
      </c>
      <c r="U1686" s="62">
        <v>1.0</v>
      </c>
      <c r="V1686" s="277">
        <v>0.17</v>
      </c>
      <c r="W1686" s="277">
        <v>0.0</v>
      </c>
      <c r="X1686" s="271">
        <v>0.0</v>
      </c>
      <c r="Y1686" s="271">
        <v>0.0</v>
      </c>
      <c r="Z1686" s="50" t="b">
        <v>1</v>
      </c>
      <c r="AA1686" s="50" t="s">
        <v>140</v>
      </c>
      <c r="AB1686" s="50" t="s">
        <v>138</v>
      </c>
    </row>
    <row r="1687">
      <c r="A1687" s="280" t="s">
        <v>144</v>
      </c>
      <c r="B1687" s="280" t="s">
        <v>144</v>
      </c>
      <c r="C1687" s="283">
        <v>44774.0</v>
      </c>
      <c r="D1687" s="283">
        <v>44804.0</v>
      </c>
      <c r="E1687" s="280" t="s">
        <v>268</v>
      </c>
      <c r="F1687" s="138" t="s">
        <v>12</v>
      </c>
      <c r="G1687" s="280" t="s">
        <v>16</v>
      </c>
      <c r="H1687" s="290" t="s">
        <v>88</v>
      </c>
      <c r="I1687" s="281">
        <v>100.0</v>
      </c>
      <c r="J1687" s="280">
        <v>1.0</v>
      </c>
      <c r="K1687" s="271">
        <f t="shared" si="1"/>
        <v>100</v>
      </c>
      <c r="L1687" s="280">
        <f t="shared" ref="L1687:L1688" si="7">7*J1687</f>
        <v>7</v>
      </c>
      <c r="M1687" s="280">
        <v>-100.0</v>
      </c>
      <c r="N1687" s="282">
        <v>18.87</v>
      </c>
      <c r="O1687" s="60"/>
      <c r="P1687" s="50">
        <v>19.0</v>
      </c>
      <c r="Q1687" s="280">
        <v>-3.0</v>
      </c>
      <c r="R1687" s="276">
        <v>0.0</v>
      </c>
      <c r="S1687" s="280">
        <v>-3.0</v>
      </c>
      <c r="T1687" s="280">
        <v>-81.0</v>
      </c>
      <c r="U1687" s="62">
        <v>1.004</v>
      </c>
      <c r="V1687" s="291"/>
      <c r="W1687" s="277">
        <v>0.0</v>
      </c>
      <c r="X1687" s="280">
        <v>-81.0</v>
      </c>
      <c r="Y1687" s="280">
        <v>0.0</v>
      </c>
      <c r="Z1687" s="50" t="b">
        <v>0</v>
      </c>
      <c r="AA1687" s="50" t="s">
        <v>140</v>
      </c>
      <c r="AB1687" s="50" t="s">
        <v>138</v>
      </c>
    </row>
    <row r="1688">
      <c r="A1688" s="280" t="s">
        <v>144</v>
      </c>
      <c r="B1688" s="280" t="s">
        <v>144</v>
      </c>
      <c r="C1688" s="283">
        <v>44774.0</v>
      </c>
      <c r="D1688" s="283">
        <v>44804.0</v>
      </c>
      <c r="E1688" s="280" t="s">
        <v>268</v>
      </c>
      <c r="F1688" s="138" t="s">
        <v>12</v>
      </c>
      <c r="G1688" s="280" t="s">
        <v>16</v>
      </c>
      <c r="H1688" s="290" t="s">
        <v>60</v>
      </c>
      <c r="I1688" s="281">
        <v>20.0</v>
      </c>
      <c r="J1688" s="280">
        <v>2332.0</v>
      </c>
      <c r="K1688" s="271">
        <f t="shared" si="1"/>
        <v>46640</v>
      </c>
      <c r="L1688" s="280">
        <f t="shared" si="7"/>
        <v>16324</v>
      </c>
      <c r="M1688" s="280">
        <v>-2640.0</v>
      </c>
      <c r="N1688" s="282">
        <v>1515.1</v>
      </c>
      <c r="O1688" s="60"/>
      <c r="P1688" s="109">
        <v>1515.0</v>
      </c>
      <c r="Q1688" s="280">
        <v>-1968.0</v>
      </c>
      <c r="R1688" s="276">
        <v>0.0</v>
      </c>
      <c r="S1688" s="280">
        <v>-1968.0</v>
      </c>
      <c r="T1688" s="280">
        <v>-1125.0</v>
      </c>
      <c r="U1688" s="62">
        <v>1.004</v>
      </c>
      <c r="V1688" s="291"/>
      <c r="W1688" s="277">
        <v>0.0</v>
      </c>
      <c r="X1688" s="280">
        <v>-1129.0</v>
      </c>
      <c r="Y1688" s="280">
        <v>0.0</v>
      </c>
      <c r="Z1688" s="50" t="b">
        <v>0</v>
      </c>
      <c r="AA1688" s="50" t="s">
        <v>140</v>
      </c>
      <c r="AB1688" s="50" t="s">
        <v>138</v>
      </c>
    </row>
    <row r="1689">
      <c r="A1689" s="280" t="s">
        <v>144</v>
      </c>
      <c r="B1689" s="280" t="s">
        <v>144</v>
      </c>
      <c r="C1689" s="283">
        <v>44774.0</v>
      </c>
      <c r="D1689" s="283">
        <v>44804.0</v>
      </c>
      <c r="E1689" s="280" t="s">
        <v>268</v>
      </c>
      <c r="F1689" s="138" t="s">
        <v>12</v>
      </c>
      <c r="G1689" s="280" t="s">
        <v>16</v>
      </c>
      <c r="H1689" s="290" t="s">
        <v>59</v>
      </c>
      <c r="I1689" s="281">
        <v>20.0</v>
      </c>
      <c r="J1689" s="280">
        <v>112.0</v>
      </c>
      <c r="K1689" s="271">
        <f t="shared" si="1"/>
        <v>2240</v>
      </c>
      <c r="L1689" s="280">
        <f>23*J1689</f>
        <v>2576</v>
      </c>
      <c r="M1689" s="280">
        <v>60.0</v>
      </c>
      <c r="N1689" s="282">
        <v>0.0</v>
      </c>
      <c r="O1689" s="60"/>
      <c r="P1689" s="50">
        <v>0.0</v>
      </c>
      <c r="Q1689" s="280">
        <v>-47.0</v>
      </c>
      <c r="R1689" s="276">
        <v>0.0</v>
      </c>
      <c r="S1689" s="280">
        <v>-47.0</v>
      </c>
      <c r="T1689" s="280">
        <v>60.0</v>
      </c>
      <c r="U1689" s="62">
        <v>1.004</v>
      </c>
      <c r="V1689" s="291"/>
      <c r="W1689" s="277">
        <v>0.0</v>
      </c>
      <c r="X1689" s="280">
        <v>60.0</v>
      </c>
      <c r="Y1689" s="280">
        <v>0.0</v>
      </c>
      <c r="Z1689" s="50" t="b">
        <v>0</v>
      </c>
      <c r="AA1689" s="50" t="s">
        <v>140</v>
      </c>
      <c r="AB1689" s="50" t="s">
        <v>138</v>
      </c>
    </row>
    <row r="1690">
      <c r="A1690" s="280" t="s">
        <v>144</v>
      </c>
      <c r="B1690" s="280" t="s">
        <v>144</v>
      </c>
      <c r="C1690" s="283">
        <v>44774.0</v>
      </c>
      <c r="D1690" s="283">
        <v>44804.0</v>
      </c>
      <c r="E1690" s="280" t="s">
        <v>268</v>
      </c>
      <c r="F1690" s="138" t="s">
        <v>12</v>
      </c>
      <c r="G1690" s="280" t="s">
        <v>16</v>
      </c>
      <c r="H1690" s="290" t="s">
        <v>76</v>
      </c>
      <c r="I1690" s="281">
        <v>50.0</v>
      </c>
      <c r="J1690" s="280">
        <v>36.0</v>
      </c>
      <c r="K1690" s="271">
        <f t="shared" si="1"/>
        <v>1800</v>
      </c>
      <c r="L1690" s="280">
        <f>7*J1690</f>
        <v>252</v>
      </c>
      <c r="M1690" s="280">
        <v>150.0</v>
      </c>
      <c r="N1690" s="282">
        <v>32.42</v>
      </c>
      <c r="O1690" s="60"/>
      <c r="P1690" s="50">
        <v>32.0</v>
      </c>
      <c r="Q1690" s="280">
        <v>-58.0</v>
      </c>
      <c r="R1690" s="276">
        <v>0.0</v>
      </c>
      <c r="S1690" s="280">
        <v>-58.0</v>
      </c>
      <c r="T1690" s="280">
        <v>182.0</v>
      </c>
      <c r="U1690" s="62">
        <v>1.004</v>
      </c>
      <c r="V1690" s="291"/>
      <c r="W1690" s="277">
        <v>0.0</v>
      </c>
      <c r="X1690" s="280">
        <v>183.0</v>
      </c>
      <c r="Y1690" s="280">
        <v>0.0</v>
      </c>
      <c r="Z1690" s="50" t="b">
        <v>0</v>
      </c>
      <c r="AA1690" s="50" t="s">
        <v>140</v>
      </c>
      <c r="AB1690" s="50" t="s">
        <v>138</v>
      </c>
    </row>
    <row r="1691">
      <c r="A1691" s="280" t="s">
        <v>144</v>
      </c>
      <c r="B1691" s="280" t="s">
        <v>144</v>
      </c>
      <c r="C1691" s="283">
        <v>44774.0</v>
      </c>
      <c r="D1691" s="283">
        <v>44804.0</v>
      </c>
      <c r="E1691" s="280" t="s">
        <v>268</v>
      </c>
      <c r="F1691" s="138" t="s">
        <v>12</v>
      </c>
      <c r="G1691" s="280" t="s">
        <v>16</v>
      </c>
      <c r="H1691" s="290" t="s">
        <v>74</v>
      </c>
      <c r="I1691" s="281">
        <v>50.0</v>
      </c>
      <c r="J1691" s="280">
        <v>14.0</v>
      </c>
      <c r="K1691" s="271">
        <f t="shared" si="1"/>
        <v>700</v>
      </c>
      <c r="L1691" s="280">
        <f>23*14</f>
        <v>322</v>
      </c>
      <c r="M1691" s="280">
        <v>-100.0</v>
      </c>
      <c r="N1691" s="282">
        <v>12.61</v>
      </c>
      <c r="O1691" s="60"/>
      <c r="P1691" s="50">
        <v>13.0</v>
      </c>
      <c r="Q1691" s="280">
        <v>-7.0</v>
      </c>
      <c r="R1691" s="276">
        <v>0.0</v>
      </c>
      <c r="S1691" s="280">
        <v>-7.0</v>
      </c>
      <c r="T1691" s="280">
        <v>-87.0</v>
      </c>
      <c r="U1691" s="62">
        <v>1.004</v>
      </c>
      <c r="V1691" s="291"/>
      <c r="W1691" s="277">
        <v>0.0</v>
      </c>
      <c r="X1691" s="280">
        <v>-88.0</v>
      </c>
      <c r="Y1691" s="280">
        <v>0.0</v>
      </c>
      <c r="Z1691" s="50" t="b">
        <v>0</v>
      </c>
      <c r="AA1691" s="50" t="s">
        <v>140</v>
      </c>
      <c r="AB1691" s="50" t="s">
        <v>138</v>
      </c>
    </row>
    <row r="1692">
      <c r="A1692" s="101" t="s">
        <v>149</v>
      </c>
      <c r="B1692" s="101" t="s">
        <v>149</v>
      </c>
      <c r="C1692" s="278">
        <v>44774.0</v>
      </c>
      <c r="D1692" s="278">
        <v>44804.0</v>
      </c>
      <c r="E1692" s="271" t="s">
        <v>268</v>
      </c>
      <c r="F1692" s="138" t="s">
        <v>12</v>
      </c>
      <c r="G1692" s="101" t="s">
        <v>5</v>
      </c>
      <c r="H1692" s="273" t="s">
        <v>75</v>
      </c>
      <c r="I1692" s="274">
        <v>50.0</v>
      </c>
      <c r="J1692" s="271">
        <v>2.0</v>
      </c>
      <c r="K1692" s="271">
        <f t="shared" si="1"/>
        <v>100</v>
      </c>
      <c r="L1692" s="271"/>
      <c r="M1692" s="271">
        <v>-100.0</v>
      </c>
      <c r="N1692" s="275">
        <v>4.0</v>
      </c>
      <c r="O1692" s="60"/>
      <c r="P1692" s="50">
        <v>4.0</v>
      </c>
      <c r="Q1692" s="271"/>
      <c r="R1692" s="276">
        <v>0.0</v>
      </c>
      <c r="S1692" s="271"/>
      <c r="T1692" s="271">
        <v>-96.0</v>
      </c>
      <c r="U1692" s="62">
        <v>1.0</v>
      </c>
      <c r="V1692" s="291"/>
      <c r="W1692" s="277">
        <v>0.0</v>
      </c>
      <c r="X1692" s="271">
        <v>-96.0</v>
      </c>
      <c r="Y1692" s="271">
        <v>0.0</v>
      </c>
      <c r="Z1692" s="50" t="b">
        <v>0</v>
      </c>
      <c r="AA1692" s="50" t="s">
        <v>138</v>
      </c>
      <c r="AB1692" s="50" t="s">
        <v>138</v>
      </c>
    </row>
    <row r="1693">
      <c r="A1693" s="101" t="s">
        <v>149</v>
      </c>
      <c r="B1693" s="101" t="s">
        <v>149</v>
      </c>
      <c r="C1693" s="278">
        <v>44774.0</v>
      </c>
      <c r="D1693" s="278">
        <v>44804.0</v>
      </c>
      <c r="E1693" s="271" t="s">
        <v>268</v>
      </c>
      <c r="F1693" s="138" t="s">
        <v>12</v>
      </c>
      <c r="G1693" s="101" t="s">
        <v>5</v>
      </c>
      <c r="H1693" s="273" t="s">
        <v>74</v>
      </c>
      <c r="I1693" s="274">
        <v>50.0</v>
      </c>
      <c r="J1693" s="271">
        <v>3196.0</v>
      </c>
      <c r="K1693" s="271">
        <f t="shared" si="1"/>
        <v>159800</v>
      </c>
      <c r="L1693" s="271">
        <v>30227.0</v>
      </c>
      <c r="M1693" s="271">
        <v>-7850.0</v>
      </c>
      <c r="N1693" s="275">
        <v>6737.0</v>
      </c>
      <c r="O1693" s="60"/>
      <c r="P1693" s="109">
        <v>6737.0</v>
      </c>
      <c r="Q1693" s="271">
        <v>-7425.0</v>
      </c>
      <c r="R1693" s="276">
        <v>0.0</v>
      </c>
      <c r="S1693" s="271">
        <v>-7425.0</v>
      </c>
      <c r="T1693" s="271">
        <v>-1113.0</v>
      </c>
      <c r="U1693" s="62">
        <v>1.0</v>
      </c>
      <c r="V1693" s="291"/>
      <c r="W1693" s="277">
        <v>0.0</v>
      </c>
      <c r="X1693" s="271">
        <v>-1113.0</v>
      </c>
      <c r="Y1693" s="271">
        <v>0.0</v>
      </c>
      <c r="Z1693" s="50" t="b">
        <v>0</v>
      </c>
      <c r="AA1693" s="50" t="s">
        <v>138</v>
      </c>
      <c r="AB1693" s="50" t="s">
        <v>138</v>
      </c>
    </row>
    <row r="1694">
      <c r="A1694" s="101" t="s">
        <v>149</v>
      </c>
      <c r="B1694" s="101" t="s">
        <v>149</v>
      </c>
      <c r="C1694" s="278">
        <v>44774.0</v>
      </c>
      <c r="D1694" s="278">
        <v>44804.0</v>
      </c>
      <c r="E1694" s="271" t="s">
        <v>268</v>
      </c>
      <c r="F1694" s="138" t="s">
        <v>12</v>
      </c>
      <c r="G1694" s="101" t="s">
        <v>5</v>
      </c>
      <c r="H1694" s="273" t="s">
        <v>35</v>
      </c>
      <c r="I1694" s="274">
        <v>5.0</v>
      </c>
      <c r="J1694" s="271">
        <v>1.0</v>
      </c>
      <c r="K1694" s="271">
        <f t="shared" si="1"/>
        <v>5</v>
      </c>
      <c r="L1694" s="271"/>
      <c r="M1694" s="271">
        <v>10.0</v>
      </c>
      <c r="N1694" s="275"/>
      <c r="O1694" s="60"/>
      <c r="P1694" s="101"/>
      <c r="Q1694" s="271"/>
      <c r="R1694" s="276">
        <v>0.0</v>
      </c>
      <c r="S1694" s="271"/>
      <c r="T1694" s="271">
        <v>10.0</v>
      </c>
      <c r="U1694" s="62">
        <v>1.0</v>
      </c>
      <c r="V1694" s="291"/>
      <c r="W1694" s="277">
        <v>0.0</v>
      </c>
      <c r="X1694" s="271">
        <v>10.0</v>
      </c>
      <c r="Y1694" s="271">
        <v>0.0</v>
      </c>
      <c r="Z1694" s="50" t="b">
        <v>0</v>
      </c>
      <c r="AA1694" s="50" t="s">
        <v>138</v>
      </c>
      <c r="AB1694" s="50" t="s">
        <v>138</v>
      </c>
    </row>
    <row r="1695">
      <c r="A1695" s="101" t="s">
        <v>149</v>
      </c>
      <c r="B1695" s="101" t="s">
        <v>149</v>
      </c>
      <c r="C1695" s="278">
        <v>44774.0</v>
      </c>
      <c r="D1695" s="278">
        <v>44804.0</v>
      </c>
      <c r="E1695" s="271" t="s">
        <v>268</v>
      </c>
      <c r="F1695" s="138" t="s">
        <v>12</v>
      </c>
      <c r="G1695" s="101" t="s">
        <v>5</v>
      </c>
      <c r="H1695" s="273" t="s">
        <v>62</v>
      </c>
      <c r="I1695" s="274">
        <v>25.0</v>
      </c>
      <c r="J1695" s="271">
        <v>13.0</v>
      </c>
      <c r="K1695" s="271">
        <f t="shared" si="1"/>
        <v>325</v>
      </c>
      <c r="L1695" s="271">
        <v>741.0</v>
      </c>
      <c r="M1695" s="271">
        <v>-100.0</v>
      </c>
      <c r="N1695" s="275">
        <v>14.0</v>
      </c>
      <c r="O1695" s="60"/>
      <c r="P1695" s="50">
        <v>14.0</v>
      </c>
      <c r="Q1695" s="271">
        <v>14.0</v>
      </c>
      <c r="R1695" s="276">
        <v>0.0</v>
      </c>
      <c r="S1695" s="271">
        <v>14.0</v>
      </c>
      <c r="T1695" s="271">
        <v>-86.0</v>
      </c>
      <c r="U1695" s="62">
        <v>1.0</v>
      </c>
      <c r="V1695" s="291"/>
      <c r="W1695" s="277">
        <v>0.0</v>
      </c>
      <c r="X1695" s="271">
        <v>-86.0</v>
      </c>
      <c r="Y1695" s="271">
        <v>0.0</v>
      </c>
      <c r="Z1695" s="50" t="b">
        <v>0</v>
      </c>
      <c r="AA1695" s="50" t="s">
        <v>138</v>
      </c>
      <c r="AB1695" s="50" t="s">
        <v>138</v>
      </c>
    </row>
    <row r="1696">
      <c r="A1696" s="101" t="s">
        <v>177</v>
      </c>
      <c r="B1696" s="101" t="s">
        <v>177</v>
      </c>
      <c r="C1696" s="278">
        <v>44774.0</v>
      </c>
      <c r="D1696" s="278">
        <v>44804.0</v>
      </c>
      <c r="E1696" s="271" t="s">
        <v>331</v>
      </c>
      <c r="F1696" s="138" t="s">
        <v>8</v>
      </c>
      <c r="G1696" s="280" t="s">
        <v>5</v>
      </c>
      <c r="H1696" s="273" t="s">
        <v>75</v>
      </c>
      <c r="I1696" s="274">
        <v>50.0</v>
      </c>
      <c r="J1696" s="271">
        <v>1.0</v>
      </c>
      <c r="K1696" s="271">
        <f t="shared" si="1"/>
        <v>50</v>
      </c>
      <c r="L1696" s="271">
        <v>27.0</v>
      </c>
      <c r="M1696" s="271">
        <v>-50.0</v>
      </c>
      <c r="N1696" s="275">
        <v>2.0</v>
      </c>
      <c r="O1696" s="60"/>
      <c r="P1696" s="50">
        <v>2.0</v>
      </c>
      <c r="Q1696" s="271">
        <v>1.0</v>
      </c>
      <c r="R1696" s="276">
        <v>5.57E-4</v>
      </c>
      <c r="S1696" s="271">
        <v>1.0</v>
      </c>
      <c r="T1696" s="271">
        <v>3.0</v>
      </c>
      <c r="U1696" s="62">
        <v>1.0</v>
      </c>
      <c r="V1696" s="277">
        <v>0.175</v>
      </c>
      <c r="W1696" s="277">
        <v>0.075</v>
      </c>
      <c r="X1696" s="271">
        <v>2.0</v>
      </c>
      <c r="Y1696" s="271">
        <v>1.0</v>
      </c>
      <c r="Z1696" s="50" t="b">
        <v>1</v>
      </c>
      <c r="AA1696" s="50" t="s">
        <v>138</v>
      </c>
      <c r="AB1696" s="50" t="s">
        <v>138</v>
      </c>
    </row>
    <row r="1697">
      <c r="A1697" s="101" t="s">
        <v>177</v>
      </c>
      <c r="B1697" s="101" t="s">
        <v>177</v>
      </c>
      <c r="C1697" s="278">
        <v>44774.0</v>
      </c>
      <c r="D1697" s="278">
        <v>44804.0</v>
      </c>
      <c r="E1697" s="271" t="s">
        <v>331</v>
      </c>
      <c r="F1697" s="138" t="s">
        <v>8</v>
      </c>
      <c r="G1697" s="280" t="s">
        <v>5</v>
      </c>
      <c r="H1697" s="273" t="s">
        <v>85</v>
      </c>
      <c r="I1697" s="274">
        <v>100.0</v>
      </c>
      <c r="J1697" s="271">
        <v>106.0</v>
      </c>
      <c r="K1697" s="271">
        <f t="shared" si="1"/>
        <v>10600</v>
      </c>
      <c r="L1697" s="271">
        <v>2047.0</v>
      </c>
      <c r="M1697" s="271">
        <v>900.0</v>
      </c>
      <c r="N1697" s="275">
        <v>409.0</v>
      </c>
      <c r="O1697" s="60"/>
      <c r="P1697" s="50">
        <v>409.0</v>
      </c>
      <c r="Q1697" s="271">
        <v>-189.0</v>
      </c>
      <c r="R1697" s="276">
        <v>-6.86E-4</v>
      </c>
      <c r="S1697" s="271">
        <v>-196.0</v>
      </c>
      <c r="T1697" s="271">
        <v>213.0</v>
      </c>
      <c r="U1697" s="62">
        <v>1.0</v>
      </c>
      <c r="V1697" s="277">
        <v>0.175</v>
      </c>
      <c r="W1697" s="277">
        <v>0.075</v>
      </c>
      <c r="X1697" s="271">
        <v>160.0</v>
      </c>
      <c r="Y1697" s="271">
        <v>53.0</v>
      </c>
      <c r="Z1697" s="50" t="b">
        <v>1</v>
      </c>
      <c r="AA1697" s="50" t="s">
        <v>138</v>
      </c>
      <c r="AB1697" s="50" t="s">
        <v>138</v>
      </c>
    </row>
    <row r="1698">
      <c r="A1698" s="101" t="s">
        <v>177</v>
      </c>
      <c r="B1698" s="101" t="s">
        <v>177</v>
      </c>
      <c r="C1698" s="278">
        <v>44774.0</v>
      </c>
      <c r="D1698" s="278">
        <v>44804.0</v>
      </c>
      <c r="E1698" s="271" t="s">
        <v>331</v>
      </c>
      <c r="F1698" s="138" t="s">
        <v>8</v>
      </c>
      <c r="G1698" s="280" t="s">
        <v>5</v>
      </c>
      <c r="H1698" s="273" t="s">
        <v>86</v>
      </c>
      <c r="I1698" s="274">
        <v>100.0</v>
      </c>
      <c r="J1698" s="271">
        <v>2365.0</v>
      </c>
      <c r="K1698" s="271">
        <f t="shared" si="1"/>
        <v>236500</v>
      </c>
      <c r="L1698" s="271">
        <v>14527.0</v>
      </c>
      <c r="M1698" s="271">
        <v>29700.0</v>
      </c>
      <c r="N1698" s="275">
        <v>9147.0</v>
      </c>
      <c r="O1698" s="60"/>
      <c r="P1698" s="109">
        <v>9147.0</v>
      </c>
      <c r="Q1698" s="271">
        <v>-8228.0</v>
      </c>
      <c r="R1698" s="276">
        <v>-6.89E-4</v>
      </c>
      <c r="S1698" s="271">
        <v>-8391.0</v>
      </c>
      <c r="T1698" s="271">
        <v>756.0</v>
      </c>
      <c r="U1698" s="62">
        <v>1.0</v>
      </c>
      <c r="V1698" s="277">
        <v>0.175</v>
      </c>
      <c r="W1698" s="277">
        <v>0.075</v>
      </c>
      <c r="X1698" s="271">
        <v>567.0</v>
      </c>
      <c r="Y1698" s="271">
        <v>189.0</v>
      </c>
      <c r="Z1698" s="50" t="b">
        <v>1</v>
      </c>
      <c r="AA1698" s="50" t="s">
        <v>138</v>
      </c>
      <c r="AB1698" s="50" t="s">
        <v>138</v>
      </c>
    </row>
    <row r="1699">
      <c r="A1699" s="101" t="s">
        <v>177</v>
      </c>
      <c r="B1699" s="101" t="s">
        <v>177</v>
      </c>
      <c r="C1699" s="278">
        <v>44774.0</v>
      </c>
      <c r="D1699" s="278">
        <v>44804.0</v>
      </c>
      <c r="E1699" s="271" t="s">
        <v>331</v>
      </c>
      <c r="F1699" s="138" t="s">
        <v>8</v>
      </c>
      <c r="G1699" s="280" t="s">
        <v>5</v>
      </c>
      <c r="H1699" s="273" t="s">
        <v>96</v>
      </c>
      <c r="I1699" s="274">
        <v>250.0</v>
      </c>
      <c r="J1699" s="271">
        <v>1242.0</v>
      </c>
      <c r="K1699" s="271">
        <f t="shared" si="1"/>
        <v>310500</v>
      </c>
      <c r="L1699" s="271">
        <v>18013.0</v>
      </c>
      <c r="M1699" s="271">
        <v>-7000.0</v>
      </c>
      <c r="N1699" s="275">
        <v>11979.0</v>
      </c>
      <c r="O1699" s="60"/>
      <c r="P1699" s="109">
        <v>11979.0</v>
      </c>
      <c r="Q1699" s="271">
        <v>-7521.0</v>
      </c>
      <c r="R1699" s="276">
        <v>-7.0E-4</v>
      </c>
      <c r="S1699" s="271">
        <v>-7738.0</v>
      </c>
      <c r="T1699" s="271">
        <v>4241.0</v>
      </c>
      <c r="U1699" s="62">
        <v>1.0</v>
      </c>
      <c r="V1699" s="277">
        <v>0.175</v>
      </c>
      <c r="W1699" s="277">
        <v>0.075</v>
      </c>
      <c r="X1699" s="271">
        <v>3181.0</v>
      </c>
      <c r="Y1699" s="271">
        <v>1060.0</v>
      </c>
      <c r="Z1699" s="50" t="b">
        <v>1</v>
      </c>
      <c r="AA1699" s="50" t="s">
        <v>138</v>
      </c>
      <c r="AB1699" s="50" t="s">
        <v>138</v>
      </c>
    </row>
    <row r="1700">
      <c r="A1700" s="101" t="s">
        <v>177</v>
      </c>
      <c r="B1700" s="101" t="s">
        <v>177</v>
      </c>
      <c r="C1700" s="278">
        <v>44774.0</v>
      </c>
      <c r="D1700" s="278">
        <v>44804.0</v>
      </c>
      <c r="E1700" s="271" t="s">
        <v>331</v>
      </c>
      <c r="F1700" s="138" t="s">
        <v>8</v>
      </c>
      <c r="G1700" s="280" t="s">
        <v>5</v>
      </c>
      <c r="H1700" s="273" t="s">
        <v>97</v>
      </c>
      <c r="I1700" s="274">
        <v>250.0</v>
      </c>
      <c r="J1700" s="271">
        <v>797.0</v>
      </c>
      <c r="K1700" s="271">
        <f t="shared" si="1"/>
        <v>199250</v>
      </c>
      <c r="L1700" s="271">
        <v>18559.0</v>
      </c>
      <c r="M1700" s="271">
        <v>1750.0</v>
      </c>
      <c r="N1700" s="275">
        <v>7687.0</v>
      </c>
      <c r="O1700" s="60"/>
      <c r="P1700" s="109">
        <v>7687.0</v>
      </c>
      <c r="Q1700" s="271">
        <v>4263.0</v>
      </c>
      <c r="R1700" s="276">
        <v>-7.31E-4</v>
      </c>
      <c r="S1700" s="271">
        <v>4117.0</v>
      </c>
      <c r="T1700" s="271">
        <v>11804.0</v>
      </c>
      <c r="U1700" s="62">
        <v>1.0</v>
      </c>
      <c r="V1700" s="277">
        <v>0.175</v>
      </c>
      <c r="W1700" s="277">
        <v>0.075</v>
      </c>
      <c r="X1700" s="271">
        <v>8853.0</v>
      </c>
      <c r="Y1700" s="271">
        <v>2951.0</v>
      </c>
      <c r="Z1700" s="50" t="b">
        <v>1</v>
      </c>
      <c r="AA1700" s="50" t="s">
        <v>138</v>
      </c>
      <c r="AB1700" s="50" t="s">
        <v>138</v>
      </c>
    </row>
    <row r="1701">
      <c r="A1701" s="101" t="s">
        <v>177</v>
      </c>
      <c r="B1701" s="101" t="s">
        <v>177</v>
      </c>
      <c r="C1701" s="278">
        <v>44774.0</v>
      </c>
      <c r="D1701" s="278">
        <v>44804.0</v>
      </c>
      <c r="E1701" s="271" t="s">
        <v>331</v>
      </c>
      <c r="F1701" s="138" t="s">
        <v>8</v>
      </c>
      <c r="G1701" s="280" t="s">
        <v>5</v>
      </c>
      <c r="H1701" s="273" t="s">
        <v>101</v>
      </c>
      <c r="I1701" s="274">
        <v>500.0</v>
      </c>
      <c r="J1701" s="271">
        <v>124.0</v>
      </c>
      <c r="K1701" s="271">
        <f t="shared" si="1"/>
        <v>62000</v>
      </c>
      <c r="L1701" s="271">
        <v>4597.0</v>
      </c>
      <c r="M1701" s="271">
        <v>5500.0</v>
      </c>
      <c r="N1701" s="275">
        <v>2392.0</v>
      </c>
      <c r="O1701" s="60"/>
      <c r="P1701" s="109">
        <v>2392.0</v>
      </c>
      <c r="Q1701" s="271">
        <v>1173.0</v>
      </c>
      <c r="R1701" s="276">
        <v>-7.29E-4</v>
      </c>
      <c r="S1701" s="271">
        <v>1128.0</v>
      </c>
      <c r="T1701" s="271">
        <v>3520.0</v>
      </c>
      <c r="U1701" s="62">
        <v>1.0</v>
      </c>
      <c r="V1701" s="277">
        <v>0.175</v>
      </c>
      <c r="W1701" s="277">
        <v>0.075</v>
      </c>
      <c r="X1701" s="271">
        <v>2640.0</v>
      </c>
      <c r="Y1701" s="271">
        <v>880.0</v>
      </c>
      <c r="Z1701" s="50" t="b">
        <v>1</v>
      </c>
      <c r="AA1701" s="50" t="s">
        <v>138</v>
      </c>
      <c r="AB1701" s="50" t="s">
        <v>138</v>
      </c>
    </row>
    <row r="1702">
      <c r="A1702" s="101" t="s">
        <v>177</v>
      </c>
      <c r="B1702" s="101" t="s">
        <v>177</v>
      </c>
      <c r="C1702" s="278">
        <v>44774.0</v>
      </c>
      <c r="D1702" s="278">
        <v>44804.0</v>
      </c>
      <c r="E1702" s="271" t="s">
        <v>331</v>
      </c>
      <c r="F1702" s="138" t="s">
        <v>8</v>
      </c>
      <c r="G1702" s="280" t="s">
        <v>5</v>
      </c>
      <c r="H1702" s="273" t="s">
        <v>102</v>
      </c>
      <c r="I1702" s="274">
        <v>500.0</v>
      </c>
      <c r="J1702" s="271">
        <v>121.0</v>
      </c>
      <c r="K1702" s="271">
        <f t="shared" si="1"/>
        <v>60500</v>
      </c>
      <c r="L1702" s="271">
        <v>1306.0</v>
      </c>
      <c r="M1702" s="271">
        <v>-5500.0</v>
      </c>
      <c r="N1702" s="275">
        <v>2334.0</v>
      </c>
      <c r="O1702" s="60"/>
      <c r="P1702" s="109">
        <v>2334.0</v>
      </c>
      <c r="Q1702" s="271">
        <v>-1027.0</v>
      </c>
      <c r="R1702" s="276">
        <v>-7.18E-4</v>
      </c>
      <c r="S1702" s="271">
        <v>-1070.0</v>
      </c>
      <c r="T1702" s="271">
        <v>1264.0</v>
      </c>
      <c r="U1702" s="62">
        <v>1.0</v>
      </c>
      <c r="V1702" s="277">
        <v>0.175</v>
      </c>
      <c r="W1702" s="277">
        <v>0.075</v>
      </c>
      <c r="X1702" s="271">
        <v>948.0</v>
      </c>
      <c r="Y1702" s="271">
        <v>316.0</v>
      </c>
      <c r="Z1702" s="50" t="b">
        <v>1</v>
      </c>
      <c r="AA1702" s="50" t="s">
        <v>138</v>
      </c>
      <c r="AB1702" s="50" t="s">
        <v>138</v>
      </c>
    </row>
    <row r="1703">
      <c r="A1703" s="280" t="s">
        <v>183</v>
      </c>
      <c r="B1703" s="280" t="s">
        <v>183</v>
      </c>
      <c r="C1703" s="278">
        <v>44774.0</v>
      </c>
      <c r="D1703" s="278">
        <v>44804.0</v>
      </c>
      <c r="E1703" s="280" t="s">
        <v>268</v>
      </c>
      <c r="F1703" s="138" t="s">
        <v>8</v>
      </c>
      <c r="G1703" s="271" t="s">
        <v>5</v>
      </c>
      <c r="H1703" s="290" t="s">
        <v>35</v>
      </c>
      <c r="I1703" s="274">
        <v>5.0</v>
      </c>
      <c r="J1703" s="271">
        <v>183.0</v>
      </c>
      <c r="K1703" s="271">
        <f t="shared" si="1"/>
        <v>915</v>
      </c>
      <c r="L1703" s="271">
        <v>5349.0</v>
      </c>
      <c r="M1703" s="271">
        <v>-25.0</v>
      </c>
      <c r="N1703" s="275">
        <v>48.0</v>
      </c>
      <c r="O1703" s="60"/>
      <c r="P1703" s="50">
        <v>48.0</v>
      </c>
      <c r="Q1703" s="271">
        <v>-32.0</v>
      </c>
      <c r="R1703" s="276">
        <v>-8.63E-4</v>
      </c>
      <c r="S1703" s="271">
        <v>-33.0</v>
      </c>
      <c r="T1703" s="271">
        <v>15.0</v>
      </c>
      <c r="U1703" s="62">
        <v>1.0</v>
      </c>
      <c r="V1703" s="277">
        <v>0.17</v>
      </c>
      <c r="W1703" s="277">
        <v>0.0</v>
      </c>
      <c r="X1703" s="271">
        <v>12.0</v>
      </c>
      <c r="Y1703" s="271">
        <v>3.0</v>
      </c>
      <c r="Z1703" s="50" t="b">
        <v>1</v>
      </c>
      <c r="AA1703" s="50" t="s">
        <v>138</v>
      </c>
      <c r="AB1703" s="50" t="s">
        <v>138</v>
      </c>
    </row>
    <row r="1704">
      <c r="A1704" s="280" t="s">
        <v>183</v>
      </c>
      <c r="B1704" s="280" t="s">
        <v>183</v>
      </c>
      <c r="C1704" s="278">
        <v>44774.0</v>
      </c>
      <c r="D1704" s="278">
        <v>44804.0</v>
      </c>
      <c r="E1704" s="280" t="s">
        <v>268</v>
      </c>
      <c r="F1704" s="138" t="s">
        <v>8</v>
      </c>
      <c r="G1704" s="271" t="s">
        <v>5</v>
      </c>
      <c r="H1704" s="290" t="s">
        <v>45</v>
      </c>
      <c r="I1704" s="274">
        <v>10.0</v>
      </c>
      <c r="J1704" s="271">
        <v>1864.0</v>
      </c>
      <c r="K1704" s="271">
        <f t="shared" si="1"/>
        <v>18640</v>
      </c>
      <c r="L1704" s="271">
        <v>94085.0</v>
      </c>
      <c r="M1704" s="271">
        <v>190.0</v>
      </c>
      <c r="N1704" s="275">
        <v>856.0</v>
      </c>
      <c r="O1704" s="60"/>
      <c r="P1704" s="50">
        <v>856.0</v>
      </c>
      <c r="Q1704" s="271">
        <v>346.0</v>
      </c>
      <c r="R1704" s="276">
        <v>-7.21E-4</v>
      </c>
      <c r="S1704" s="271">
        <v>333.0</v>
      </c>
      <c r="T1704" s="271">
        <v>1189.0</v>
      </c>
      <c r="U1704" s="62">
        <v>1.0</v>
      </c>
      <c r="V1704" s="277">
        <v>0.17</v>
      </c>
      <c r="W1704" s="277">
        <v>0.0</v>
      </c>
      <c r="X1704" s="271">
        <v>987.0</v>
      </c>
      <c r="Y1704" s="271">
        <v>202.0</v>
      </c>
      <c r="Z1704" s="50" t="b">
        <v>1</v>
      </c>
      <c r="AA1704" s="50" t="s">
        <v>138</v>
      </c>
      <c r="AB1704" s="50" t="s">
        <v>138</v>
      </c>
    </row>
    <row r="1705">
      <c r="A1705" s="280" t="s">
        <v>185</v>
      </c>
      <c r="B1705" s="280" t="s">
        <v>185</v>
      </c>
      <c r="C1705" s="283">
        <v>44774.0</v>
      </c>
      <c r="D1705" s="283">
        <v>44804.0</v>
      </c>
      <c r="E1705" s="280" t="s">
        <v>268</v>
      </c>
      <c r="F1705" s="138" t="s">
        <v>12</v>
      </c>
      <c r="G1705" s="280" t="s">
        <v>25</v>
      </c>
      <c r="H1705" s="290" t="s">
        <v>186</v>
      </c>
      <c r="I1705" s="281">
        <v>1000.0</v>
      </c>
      <c r="J1705" s="280">
        <v>859.0</v>
      </c>
      <c r="K1705" s="271">
        <f t="shared" si="1"/>
        <v>859000</v>
      </c>
      <c r="L1705" s="280"/>
      <c r="M1705" s="280">
        <v>56000.0</v>
      </c>
      <c r="N1705" s="282">
        <v>165667.0</v>
      </c>
      <c r="O1705" s="60"/>
      <c r="P1705" s="109">
        <v>165667.0</v>
      </c>
      <c r="Q1705" s="280"/>
      <c r="R1705" s="276">
        <v>0.0</v>
      </c>
      <c r="S1705" s="280"/>
      <c r="T1705" s="280">
        <v>221667.0</v>
      </c>
      <c r="U1705" s="62">
        <v>0.015</v>
      </c>
      <c r="V1705" s="277">
        <v>0.17</v>
      </c>
      <c r="W1705" s="277">
        <v>0.0</v>
      </c>
      <c r="X1705" s="280">
        <v>2686.0</v>
      </c>
      <c r="Y1705" s="280">
        <v>550.0</v>
      </c>
      <c r="Z1705" s="50" t="b">
        <v>1</v>
      </c>
      <c r="AA1705" s="50" t="s">
        <v>138</v>
      </c>
      <c r="AB1705" s="50" t="s">
        <v>1006</v>
      </c>
    </row>
    <row r="1706">
      <c r="A1706" s="280" t="s">
        <v>185</v>
      </c>
      <c r="B1706" s="280" t="s">
        <v>185</v>
      </c>
      <c r="C1706" s="283">
        <v>44774.0</v>
      </c>
      <c r="D1706" s="283">
        <v>44804.0</v>
      </c>
      <c r="E1706" s="280" t="s">
        <v>268</v>
      </c>
      <c r="F1706" s="138" t="s">
        <v>12</v>
      </c>
      <c r="G1706" s="280" t="s">
        <v>25</v>
      </c>
      <c r="H1706" s="290" t="s">
        <v>187</v>
      </c>
      <c r="I1706" s="281">
        <v>2500.0</v>
      </c>
      <c r="J1706" s="280">
        <v>1809.0</v>
      </c>
      <c r="K1706" s="271">
        <f t="shared" si="1"/>
        <v>4522500</v>
      </c>
      <c r="L1706" s="280"/>
      <c r="M1706" s="280">
        <v>165833.34</v>
      </c>
      <c r="N1706" s="282"/>
      <c r="O1706" s="60"/>
      <c r="P1706" s="101"/>
      <c r="Q1706" s="280"/>
      <c r="R1706" s="276">
        <v>0.0</v>
      </c>
      <c r="S1706" s="280"/>
      <c r="T1706" s="280">
        <v>165833.0</v>
      </c>
      <c r="U1706" s="62">
        <v>0.015</v>
      </c>
      <c r="V1706" s="277">
        <v>0.17</v>
      </c>
      <c r="W1706" s="277">
        <v>0.0</v>
      </c>
      <c r="X1706" s="280">
        <v>2010.0</v>
      </c>
      <c r="Y1706" s="280">
        <v>412.0</v>
      </c>
      <c r="Z1706" s="50" t="b">
        <v>1</v>
      </c>
      <c r="AA1706" s="50" t="s">
        <v>138</v>
      </c>
      <c r="AB1706" s="50" t="s">
        <v>1006</v>
      </c>
    </row>
    <row r="1707">
      <c r="A1707" s="280" t="s">
        <v>185</v>
      </c>
      <c r="B1707" s="280" t="s">
        <v>185</v>
      </c>
      <c r="C1707" s="283">
        <v>44774.0</v>
      </c>
      <c r="D1707" s="283">
        <v>44804.0</v>
      </c>
      <c r="E1707" s="280" t="s">
        <v>268</v>
      </c>
      <c r="F1707" s="138" t="s">
        <v>12</v>
      </c>
      <c r="G1707" s="280" t="s">
        <v>25</v>
      </c>
      <c r="H1707" s="290" t="s">
        <v>188</v>
      </c>
      <c r="I1707" s="281">
        <v>5000.0</v>
      </c>
      <c r="J1707" s="280">
        <v>130.0</v>
      </c>
      <c r="K1707" s="271">
        <f t="shared" si="1"/>
        <v>650000</v>
      </c>
      <c r="L1707" s="280"/>
      <c r="M1707" s="280">
        <v>-65000.0</v>
      </c>
      <c r="N1707" s="282"/>
      <c r="O1707" s="60"/>
      <c r="P1707" s="101"/>
      <c r="Q1707" s="280"/>
      <c r="R1707" s="276">
        <v>0.0</v>
      </c>
      <c r="S1707" s="280"/>
      <c r="T1707" s="280">
        <v>-65000.0</v>
      </c>
      <c r="U1707" s="62">
        <v>0.015</v>
      </c>
      <c r="V1707" s="277">
        <v>0.17</v>
      </c>
      <c r="W1707" s="277">
        <v>0.0</v>
      </c>
      <c r="X1707" s="280">
        <v>-788.0</v>
      </c>
      <c r="Y1707" s="280">
        <v>-161.0</v>
      </c>
      <c r="Z1707" s="50" t="b">
        <v>1</v>
      </c>
      <c r="AA1707" s="50" t="s">
        <v>138</v>
      </c>
      <c r="AB1707" s="50" t="s">
        <v>1006</v>
      </c>
    </row>
    <row r="1708">
      <c r="A1708" s="280" t="s">
        <v>180</v>
      </c>
      <c r="B1708" s="280" t="s">
        <v>180</v>
      </c>
      <c r="C1708" s="283">
        <v>44774.0</v>
      </c>
      <c r="D1708" s="283">
        <v>44804.0</v>
      </c>
      <c r="E1708" s="280" t="s">
        <v>268</v>
      </c>
      <c r="F1708" s="138" t="s">
        <v>12</v>
      </c>
      <c r="G1708" s="280" t="s">
        <v>142</v>
      </c>
      <c r="H1708" s="290" t="s">
        <v>50</v>
      </c>
      <c r="I1708" s="281">
        <v>10.0</v>
      </c>
      <c r="J1708" s="280">
        <v>1099.0</v>
      </c>
      <c r="K1708" s="271">
        <f t="shared" si="1"/>
        <v>10990</v>
      </c>
      <c r="L1708" s="280">
        <v>58247.0</v>
      </c>
      <c r="M1708" s="280">
        <v>-90.72</v>
      </c>
      <c r="N1708" s="282"/>
      <c r="O1708" s="60">
        <v>0.5</v>
      </c>
      <c r="P1708" s="50">
        <v>385.0</v>
      </c>
      <c r="Q1708" s="280">
        <v>233.0</v>
      </c>
      <c r="R1708" s="276">
        <v>0.0</v>
      </c>
      <c r="S1708" s="280">
        <v>233.0</v>
      </c>
      <c r="T1708" s="280">
        <v>294.0</v>
      </c>
      <c r="U1708" s="62">
        <v>1.0</v>
      </c>
      <c r="V1708" s="277">
        <v>0.3</v>
      </c>
      <c r="W1708" s="277">
        <v>0.0</v>
      </c>
      <c r="X1708" s="280">
        <v>206.0</v>
      </c>
      <c r="Y1708" s="280">
        <v>88.0</v>
      </c>
      <c r="Z1708" s="50" t="b">
        <v>1</v>
      </c>
      <c r="AA1708" s="50" t="s">
        <v>138</v>
      </c>
      <c r="AB1708" s="50" t="s">
        <v>138</v>
      </c>
    </row>
    <row r="1709">
      <c r="A1709" s="280" t="s">
        <v>180</v>
      </c>
      <c r="B1709" s="280" t="s">
        <v>180</v>
      </c>
      <c r="C1709" s="283">
        <v>44774.0</v>
      </c>
      <c r="D1709" s="283">
        <v>44804.0</v>
      </c>
      <c r="E1709" s="280" t="s">
        <v>268</v>
      </c>
      <c r="F1709" s="138" t="s">
        <v>12</v>
      </c>
      <c r="G1709" s="280" t="s">
        <v>142</v>
      </c>
      <c r="H1709" s="290" t="s">
        <v>61</v>
      </c>
      <c r="I1709" s="281">
        <v>20.0</v>
      </c>
      <c r="J1709" s="280">
        <v>250.0</v>
      </c>
      <c r="K1709" s="271">
        <f t="shared" si="1"/>
        <v>5000</v>
      </c>
      <c r="L1709" s="280">
        <v>5750.0</v>
      </c>
      <c r="M1709" s="280">
        <v>-41.28</v>
      </c>
      <c r="N1709" s="282"/>
      <c r="O1709" s="60">
        <v>0.5</v>
      </c>
      <c r="P1709" s="50">
        <v>175.0</v>
      </c>
      <c r="Q1709" s="280">
        <v>-172.0</v>
      </c>
      <c r="R1709" s="276">
        <v>0.0</v>
      </c>
      <c r="S1709" s="280">
        <v>-172.0</v>
      </c>
      <c r="T1709" s="280">
        <v>134.0</v>
      </c>
      <c r="U1709" s="62">
        <v>1.0</v>
      </c>
      <c r="V1709" s="277">
        <v>0.3</v>
      </c>
      <c r="W1709" s="277">
        <v>0.0</v>
      </c>
      <c r="X1709" s="280">
        <v>94.0</v>
      </c>
      <c r="Y1709" s="280">
        <v>40.0</v>
      </c>
      <c r="Z1709" s="50" t="b">
        <v>1</v>
      </c>
      <c r="AA1709" s="50" t="s">
        <v>138</v>
      </c>
      <c r="AB1709" s="50" t="s">
        <v>138</v>
      </c>
    </row>
    <row r="1710">
      <c r="A1710" s="280" t="s">
        <v>362</v>
      </c>
      <c r="B1710" s="271" t="s">
        <v>189</v>
      </c>
      <c r="C1710" s="278">
        <v>44763.0</v>
      </c>
      <c r="D1710" s="278">
        <v>44804.0</v>
      </c>
      <c r="E1710" s="280" t="s">
        <v>268</v>
      </c>
      <c r="F1710" s="138" t="s">
        <v>12</v>
      </c>
      <c r="G1710" s="271" t="s">
        <v>5</v>
      </c>
      <c r="H1710" s="273" t="s">
        <v>6</v>
      </c>
      <c r="I1710" s="274">
        <v>0.25</v>
      </c>
      <c r="J1710" s="271">
        <v>1.0</v>
      </c>
      <c r="K1710" s="271">
        <f t="shared" si="1"/>
        <v>0.25</v>
      </c>
      <c r="L1710" s="271"/>
      <c r="M1710" s="271">
        <v>0.0</v>
      </c>
      <c r="N1710" s="275"/>
      <c r="O1710" s="60"/>
      <c r="P1710" s="101"/>
      <c r="Q1710" s="271"/>
      <c r="R1710" s="276">
        <v>0.0</v>
      </c>
      <c r="S1710" s="271"/>
      <c r="T1710" s="271">
        <v>0.0</v>
      </c>
      <c r="U1710" s="62">
        <v>1.0</v>
      </c>
      <c r="V1710" s="277">
        <v>0.19</v>
      </c>
      <c r="W1710" s="277">
        <v>0.0</v>
      </c>
      <c r="X1710" s="271">
        <v>0.0</v>
      </c>
      <c r="Y1710" s="271">
        <v>0.0</v>
      </c>
      <c r="Z1710" s="50" t="b">
        <v>1</v>
      </c>
      <c r="AA1710" s="50" t="s">
        <v>138</v>
      </c>
      <c r="AB1710" s="50" t="s">
        <v>138</v>
      </c>
    </row>
    <row r="1711">
      <c r="A1711" s="280" t="s">
        <v>362</v>
      </c>
      <c r="B1711" s="271" t="s">
        <v>189</v>
      </c>
      <c r="C1711" s="278">
        <v>44763.0</v>
      </c>
      <c r="D1711" s="278">
        <v>44804.0</v>
      </c>
      <c r="E1711" s="280" t="s">
        <v>268</v>
      </c>
      <c r="F1711" s="138" t="s">
        <v>12</v>
      </c>
      <c r="G1711" s="271" t="s">
        <v>5</v>
      </c>
      <c r="H1711" s="273" t="s">
        <v>10</v>
      </c>
      <c r="I1711" s="274">
        <v>0.25</v>
      </c>
      <c r="J1711" s="271">
        <v>3.0</v>
      </c>
      <c r="K1711" s="271">
        <f t="shared" si="1"/>
        <v>0.75</v>
      </c>
      <c r="L1711" s="271"/>
      <c r="M1711" s="271">
        <v>-1.0</v>
      </c>
      <c r="N1711" s="275"/>
      <c r="O1711" s="60"/>
      <c r="P1711" s="101"/>
      <c r="Q1711" s="271"/>
      <c r="R1711" s="276">
        <v>0.0</v>
      </c>
      <c r="S1711" s="271"/>
      <c r="T1711" s="271">
        <v>-1.0</v>
      </c>
      <c r="U1711" s="62">
        <v>1.0</v>
      </c>
      <c r="V1711" s="277">
        <v>0.19</v>
      </c>
      <c r="W1711" s="277">
        <v>0.0</v>
      </c>
      <c r="X1711" s="271">
        <v>-1.0</v>
      </c>
      <c r="Y1711" s="271">
        <v>0.0</v>
      </c>
      <c r="Z1711" s="50" t="b">
        <v>1</v>
      </c>
      <c r="AA1711" s="50" t="s">
        <v>138</v>
      </c>
      <c r="AB1711" s="50" t="s">
        <v>138</v>
      </c>
    </row>
    <row r="1712">
      <c r="A1712" s="280" t="s">
        <v>362</v>
      </c>
      <c r="B1712" s="271" t="s">
        <v>189</v>
      </c>
      <c r="C1712" s="278">
        <v>44763.0</v>
      </c>
      <c r="D1712" s="278">
        <v>44804.0</v>
      </c>
      <c r="E1712" s="280" t="s">
        <v>268</v>
      </c>
      <c r="F1712" s="138" t="s">
        <v>12</v>
      </c>
      <c r="G1712" s="271" t="s">
        <v>5</v>
      </c>
      <c r="H1712" s="273" t="s">
        <v>85</v>
      </c>
      <c r="I1712" s="274">
        <v>100.0</v>
      </c>
      <c r="J1712" s="271">
        <v>1528.0</v>
      </c>
      <c r="K1712" s="271">
        <f t="shared" si="1"/>
        <v>152800</v>
      </c>
      <c r="L1712" s="271">
        <v>11540.0</v>
      </c>
      <c r="M1712" s="271">
        <v>-3600.0</v>
      </c>
      <c r="N1712" s="275">
        <v>6831.0</v>
      </c>
      <c r="O1712" s="60"/>
      <c r="P1712" s="109">
        <v>6831.0</v>
      </c>
      <c r="Q1712" s="271">
        <v>-6088.0</v>
      </c>
      <c r="R1712" s="276">
        <v>0.0</v>
      </c>
      <c r="S1712" s="271">
        <v>-6088.0</v>
      </c>
      <c r="T1712" s="271">
        <v>3231.0</v>
      </c>
      <c r="U1712" s="62">
        <v>1.0</v>
      </c>
      <c r="V1712" s="277">
        <v>0.19</v>
      </c>
      <c r="W1712" s="277">
        <v>0.0</v>
      </c>
      <c r="X1712" s="271">
        <v>2617.0</v>
      </c>
      <c r="Y1712" s="271">
        <v>614.0</v>
      </c>
      <c r="Z1712" s="50" t="b">
        <v>1</v>
      </c>
      <c r="AA1712" s="50" t="s">
        <v>138</v>
      </c>
      <c r="AB1712" s="50" t="s">
        <v>138</v>
      </c>
    </row>
    <row r="1713">
      <c r="A1713" s="280" t="s">
        <v>362</v>
      </c>
      <c r="B1713" s="271" t="s">
        <v>189</v>
      </c>
      <c r="C1713" s="278">
        <v>44763.0</v>
      </c>
      <c r="D1713" s="278">
        <v>44804.0</v>
      </c>
      <c r="E1713" s="280" t="s">
        <v>268</v>
      </c>
      <c r="F1713" s="138" t="s">
        <v>12</v>
      </c>
      <c r="G1713" s="271" t="s">
        <v>5</v>
      </c>
      <c r="H1713" s="273" t="s">
        <v>86</v>
      </c>
      <c r="I1713" s="274">
        <v>100.0</v>
      </c>
      <c r="J1713" s="271">
        <v>954.0</v>
      </c>
      <c r="K1713" s="271">
        <f t="shared" si="1"/>
        <v>95400</v>
      </c>
      <c r="L1713" s="271">
        <v>7205.0</v>
      </c>
      <c r="M1713" s="271">
        <v>3200.0</v>
      </c>
      <c r="N1713" s="275">
        <v>4265.0</v>
      </c>
      <c r="O1713" s="60"/>
      <c r="P1713" s="109">
        <v>4265.0</v>
      </c>
      <c r="Q1713" s="271">
        <v>-2901.0</v>
      </c>
      <c r="R1713" s="276">
        <v>0.0</v>
      </c>
      <c r="S1713" s="271">
        <v>-2901.0</v>
      </c>
      <c r="T1713" s="271">
        <v>7465.0</v>
      </c>
      <c r="U1713" s="62">
        <v>1.0</v>
      </c>
      <c r="V1713" s="277">
        <v>0.19</v>
      </c>
      <c r="W1713" s="277">
        <v>0.0</v>
      </c>
      <c r="X1713" s="271">
        <v>6047.0</v>
      </c>
      <c r="Y1713" s="271">
        <v>1418.0</v>
      </c>
      <c r="Z1713" s="50" t="b">
        <v>1</v>
      </c>
      <c r="AA1713" s="50" t="s">
        <v>138</v>
      </c>
      <c r="AB1713" s="50" t="s">
        <v>138</v>
      </c>
    </row>
    <row r="1714">
      <c r="A1714" s="280" t="s">
        <v>362</v>
      </c>
      <c r="B1714" s="271" t="s">
        <v>189</v>
      </c>
      <c r="C1714" s="278">
        <v>44763.0</v>
      </c>
      <c r="D1714" s="278">
        <v>44804.0</v>
      </c>
      <c r="E1714" s="280" t="s">
        <v>268</v>
      </c>
      <c r="F1714" s="138" t="s">
        <v>12</v>
      </c>
      <c r="G1714" s="271" t="s">
        <v>5</v>
      </c>
      <c r="H1714" s="273" t="s">
        <v>106</v>
      </c>
      <c r="I1714" s="274">
        <v>1000.0</v>
      </c>
      <c r="J1714" s="271">
        <v>1.0</v>
      </c>
      <c r="K1714" s="271">
        <f t="shared" si="1"/>
        <v>1000</v>
      </c>
      <c r="L1714" s="271"/>
      <c r="M1714" s="271">
        <v>-1000.0</v>
      </c>
      <c r="N1714" s="275">
        <v>45.0</v>
      </c>
      <c r="O1714" s="60"/>
      <c r="P1714" s="50">
        <v>45.0</v>
      </c>
      <c r="Q1714" s="271"/>
      <c r="R1714" s="276">
        <v>0.0</v>
      </c>
      <c r="S1714" s="271"/>
      <c r="T1714" s="271">
        <v>-955.0</v>
      </c>
      <c r="U1714" s="62">
        <v>1.0</v>
      </c>
      <c r="V1714" s="277">
        <v>0.19</v>
      </c>
      <c r="W1714" s="277">
        <v>0.0</v>
      </c>
      <c r="X1714" s="271">
        <v>-774.0</v>
      </c>
      <c r="Y1714" s="271">
        <v>-181.0</v>
      </c>
      <c r="Z1714" s="50" t="b">
        <v>1</v>
      </c>
      <c r="AA1714" s="50" t="s">
        <v>138</v>
      </c>
      <c r="AB1714" s="50" t="s">
        <v>138</v>
      </c>
    </row>
    <row r="1715">
      <c r="A1715" s="280" t="s">
        <v>362</v>
      </c>
      <c r="B1715" s="271" t="s">
        <v>189</v>
      </c>
      <c r="C1715" s="278">
        <v>44763.0</v>
      </c>
      <c r="D1715" s="278">
        <v>44804.0</v>
      </c>
      <c r="E1715" s="280" t="s">
        <v>268</v>
      </c>
      <c r="F1715" s="138" t="s">
        <v>12</v>
      </c>
      <c r="G1715" s="271" t="s">
        <v>5</v>
      </c>
      <c r="H1715" s="273" t="s">
        <v>96</v>
      </c>
      <c r="I1715" s="274">
        <v>250.0</v>
      </c>
      <c r="J1715" s="271">
        <v>913.0</v>
      </c>
      <c r="K1715" s="271">
        <f t="shared" si="1"/>
        <v>228250</v>
      </c>
      <c r="L1715" s="271">
        <v>1381.0</v>
      </c>
      <c r="M1715" s="271">
        <v>-15000.0</v>
      </c>
      <c r="N1715" s="275">
        <v>10204.0</v>
      </c>
      <c r="O1715" s="60"/>
      <c r="P1715" s="109">
        <v>10204.0</v>
      </c>
      <c r="Q1715" s="271">
        <v>-11129.0</v>
      </c>
      <c r="R1715" s="276">
        <v>0.0</v>
      </c>
      <c r="S1715" s="271">
        <v>-11129.0</v>
      </c>
      <c r="T1715" s="271">
        <v>-4796.0</v>
      </c>
      <c r="U1715" s="62">
        <v>1.0</v>
      </c>
      <c r="V1715" s="277">
        <v>0.19</v>
      </c>
      <c r="W1715" s="277">
        <v>0.0</v>
      </c>
      <c r="X1715" s="271">
        <v>-3885.0</v>
      </c>
      <c r="Y1715" s="271">
        <v>-911.0</v>
      </c>
      <c r="Z1715" s="50" t="b">
        <v>1</v>
      </c>
      <c r="AA1715" s="50" t="s">
        <v>138</v>
      </c>
      <c r="AB1715" s="50" t="s">
        <v>138</v>
      </c>
    </row>
    <row r="1716">
      <c r="A1716" s="280" t="s">
        <v>362</v>
      </c>
      <c r="B1716" s="271" t="s">
        <v>189</v>
      </c>
      <c r="C1716" s="278">
        <v>44763.0</v>
      </c>
      <c r="D1716" s="278">
        <v>44804.0</v>
      </c>
      <c r="E1716" s="280" t="s">
        <v>268</v>
      </c>
      <c r="F1716" s="138" t="s">
        <v>12</v>
      </c>
      <c r="G1716" s="271" t="s">
        <v>5</v>
      </c>
      <c r="H1716" s="273" t="s">
        <v>97</v>
      </c>
      <c r="I1716" s="274">
        <v>250.0</v>
      </c>
      <c r="J1716" s="271">
        <v>813.0</v>
      </c>
      <c r="K1716" s="271">
        <f t="shared" si="1"/>
        <v>203250</v>
      </c>
      <c r="L1716" s="271">
        <v>1230.0</v>
      </c>
      <c r="M1716" s="271">
        <v>-3250.0</v>
      </c>
      <c r="N1716" s="275">
        <v>9087.0</v>
      </c>
      <c r="O1716" s="60"/>
      <c r="P1716" s="109">
        <v>9087.0</v>
      </c>
      <c r="Q1716" s="271">
        <v>-9525.0</v>
      </c>
      <c r="R1716" s="276">
        <v>0.0</v>
      </c>
      <c r="S1716" s="271">
        <v>-9525.0</v>
      </c>
      <c r="T1716" s="271">
        <v>5837.0</v>
      </c>
      <c r="U1716" s="62">
        <v>1.0</v>
      </c>
      <c r="V1716" s="277">
        <v>0.19</v>
      </c>
      <c r="W1716" s="277">
        <v>0.0</v>
      </c>
      <c r="X1716" s="271">
        <v>4728.0</v>
      </c>
      <c r="Y1716" s="271">
        <v>1109.0</v>
      </c>
      <c r="Z1716" s="50" t="b">
        <v>1</v>
      </c>
      <c r="AA1716" s="50" t="s">
        <v>138</v>
      </c>
      <c r="AB1716" s="50" t="s">
        <v>138</v>
      </c>
    </row>
    <row r="1717">
      <c r="A1717" s="280" t="s">
        <v>362</v>
      </c>
      <c r="B1717" s="271" t="s">
        <v>189</v>
      </c>
      <c r="C1717" s="278">
        <v>44763.0</v>
      </c>
      <c r="D1717" s="278">
        <v>44804.0</v>
      </c>
      <c r="E1717" s="280" t="s">
        <v>268</v>
      </c>
      <c r="F1717" s="138" t="s">
        <v>12</v>
      </c>
      <c r="G1717" s="271" t="s">
        <v>5</v>
      </c>
      <c r="H1717" s="273" t="s">
        <v>74</v>
      </c>
      <c r="I1717" s="274">
        <v>50.0</v>
      </c>
      <c r="J1717" s="271">
        <v>1.0</v>
      </c>
      <c r="K1717" s="271">
        <f t="shared" si="1"/>
        <v>50</v>
      </c>
      <c r="L1717" s="271"/>
      <c r="M1717" s="271">
        <v>-50.0</v>
      </c>
      <c r="N1717" s="275">
        <v>3.0</v>
      </c>
      <c r="O1717" s="60"/>
      <c r="P1717" s="50">
        <v>3.0</v>
      </c>
      <c r="Q1717" s="271"/>
      <c r="R1717" s="276">
        <v>0.0</v>
      </c>
      <c r="S1717" s="271"/>
      <c r="T1717" s="271">
        <v>-47.0</v>
      </c>
      <c r="U1717" s="62">
        <v>1.0</v>
      </c>
      <c r="V1717" s="277">
        <v>0.19</v>
      </c>
      <c r="W1717" s="277">
        <v>0.0</v>
      </c>
      <c r="X1717" s="271">
        <v>-38.0</v>
      </c>
      <c r="Y1717" s="271">
        <v>-9.0</v>
      </c>
      <c r="Z1717" s="50" t="b">
        <v>1</v>
      </c>
      <c r="AA1717" s="50" t="s">
        <v>138</v>
      </c>
      <c r="AB1717" s="50" t="s">
        <v>138</v>
      </c>
    </row>
    <row r="1718">
      <c r="A1718" s="280" t="s">
        <v>362</v>
      </c>
      <c r="B1718" s="271" t="s">
        <v>189</v>
      </c>
      <c r="C1718" s="278">
        <v>44763.0</v>
      </c>
      <c r="D1718" s="278">
        <v>44804.0</v>
      </c>
      <c r="E1718" s="280" t="s">
        <v>268</v>
      </c>
      <c r="F1718" s="138" t="s">
        <v>12</v>
      </c>
      <c r="G1718" s="271" t="s">
        <v>5</v>
      </c>
      <c r="H1718" s="273" t="s">
        <v>75</v>
      </c>
      <c r="I1718" s="274">
        <v>50.0</v>
      </c>
      <c r="J1718" s="271">
        <v>6.0</v>
      </c>
      <c r="K1718" s="271">
        <f t="shared" si="1"/>
        <v>300</v>
      </c>
      <c r="L1718" s="271"/>
      <c r="M1718" s="271">
        <v>-50.0</v>
      </c>
      <c r="N1718" s="275">
        <v>16.0</v>
      </c>
      <c r="O1718" s="60"/>
      <c r="P1718" s="50">
        <v>16.0</v>
      </c>
      <c r="Q1718" s="271"/>
      <c r="R1718" s="276">
        <v>0.0</v>
      </c>
      <c r="S1718" s="271"/>
      <c r="T1718" s="271">
        <v>-34.0</v>
      </c>
      <c r="U1718" s="62">
        <v>1.0</v>
      </c>
      <c r="V1718" s="277">
        <v>0.19</v>
      </c>
      <c r="W1718" s="277">
        <v>0.0</v>
      </c>
      <c r="X1718" s="271">
        <v>-28.0</v>
      </c>
      <c r="Y1718" s="271">
        <v>-6.0</v>
      </c>
      <c r="Z1718" s="50" t="b">
        <v>1</v>
      </c>
      <c r="AA1718" s="50" t="s">
        <v>138</v>
      </c>
      <c r="AB1718" s="50" t="s">
        <v>138</v>
      </c>
    </row>
    <row r="1719">
      <c r="A1719" s="280" t="s">
        <v>362</v>
      </c>
      <c r="B1719" s="271" t="s">
        <v>189</v>
      </c>
      <c r="C1719" s="278">
        <v>44763.0</v>
      </c>
      <c r="D1719" s="278">
        <v>44804.0</v>
      </c>
      <c r="E1719" s="280" t="s">
        <v>268</v>
      </c>
      <c r="F1719" s="138" t="s">
        <v>12</v>
      </c>
      <c r="G1719" s="271" t="s">
        <v>5</v>
      </c>
      <c r="H1719" s="273" t="s">
        <v>101</v>
      </c>
      <c r="I1719" s="274">
        <v>500.0</v>
      </c>
      <c r="J1719" s="271">
        <v>49.0</v>
      </c>
      <c r="K1719" s="271">
        <f t="shared" si="1"/>
        <v>24500</v>
      </c>
      <c r="L1719" s="271">
        <v>408.0</v>
      </c>
      <c r="M1719" s="271">
        <v>0.0</v>
      </c>
      <c r="N1719" s="275">
        <v>1095.0</v>
      </c>
      <c r="O1719" s="60"/>
      <c r="P1719" s="109">
        <v>1095.0</v>
      </c>
      <c r="Q1719" s="271">
        <v>-861.0</v>
      </c>
      <c r="R1719" s="276">
        <v>0.0</v>
      </c>
      <c r="S1719" s="271">
        <v>-861.0</v>
      </c>
      <c r="T1719" s="271">
        <v>1095.0</v>
      </c>
      <c r="U1719" s="62">
        <v>1.0</v>
      </c>
      <c r="V1719" s="277">
        <v>0.19</v>
      </c>
      <c r="W1719" s="277">
        <v>0.0</v>
      </c>
      <c r="X1719" s="271">
        <v>887.0</v>
      </c>
      <c r="Y1719" s="271">
        <v>208.0</v>
      </c>
      <c r="Z1719" s="50" t="b">
        <v>1</v>
      </c>
      <c r="AA1719" s="50" t="s">
        <v>138</v>
      </c>
      <c r="AB1719" s="50" t="s">
        <v>138</v>
      </c>
    </row>
    <row r="1720">
      <c r="A1720" s="280" t="s">
        <v>362</v>
      </c>
      <c r="B1720" s="271" t="s">
        <v>189</v>
      </c>
      <c r="C1720" s="278">
        <v>44763.0</v>
      </c>
      <c r="D1720" s="278">
        <v>44804.0</v>
      </c>
      <c r="E1720" s="280" t="s">
        <v>268</v>
      </c>
      <c r="F1720" s="138" t="s">
        <v>12</v>
      </c>
      <c r="G1720" s="271" t="s">
        <v>5</v>
      </c>
      <c r="H1720" s="273" t="s">
        <v>102</v>
      </c>
      <c r="I1720" s="274">
        <v>500.0</v>
      </c>
      <c r="J1720" s="271">
        <v>27.0</v>
      </c>
      <c r="K1720" s="271">
        <f t="shared" si="1"/>
        <v>13500</v>
      </c>
      <c r="L1720" s="287">
        <v>225.0</v>
      </c>
      <c r="M1720" s="287">
        <v>5500.0</v>
      </c>
      <c r="N1720" s="275">
        <v>604.0</v>
      </c>
      <c r="O1720" s="60"/>
      <c r="P1720" s="50">
        <v>604.0</v>
      </c>
      <c r="Q1720" s="287">
        <v>-333.0</v>
      </c>
      <c r="R1720" s="276">
        <v>0.0</v>
      </c>
      <c r="S1720" s="287">
        <v>-333.0</v>
      </c>
      <c r="T1720" s="287">
        <v>6104.0</v>
      </c>
      <c r="U1720" s="62">
        <v>1.0</v>
      </c>
      <c r="V1720" s="277">
        <v>0.19</v>
      </c>
      <c r="W1720" s="277">
        <v>0.0</v>
      </c>
      <c r="X1720" s="287">
        <v>4944.0</v>
      </c>
      <c r="Y1720" s="287">
        <v>1160.0</v>
      </c>
      <c r="Z1720" s="50" t="b">
        <v>1</v>
      </c>
      <c r="AA1720" s="50" t="s">
        <v>138</v>
      </c>
      <c r="AB1720" s="50" t="s">
        <v>138</v>
      </c>
    </row>
    <row r="1721">
      <c r="A1721" s="280" t="s">
        <v>459</v>
      </c>
      <c r="B1721" s="280" t="s">
        <v>145</v>
      </c>
      <c r="C1721" s="283">
        <v>44774.0</v>
      </c>
      <c r="D1721" s="283">
        <v>44804.0</v>
      </c>
      <c r="E1721" s="280" t="s">
        <v>331</v>
      </c>
      <c r="F1721" s="138" t="s">
        <v>8</v>
      </c>
      <c r="G1721" s="280" t="s">
        <v>9</v>
      </c>
      <c r="H1721" s="290" t="s">
        <v>104</v>
      </c>
      <c r="I1721" s="281">
        <v>500.0</v>
      </c>
      <c r="J1721" s="280">
        <v>272.0</v>
      </c>
      <c r="K1721" s="271">
        <f t="shared" si="1"/>
        <v>136000</v>
      </c>
      <c r="L1721" s="280">
        <v>-12827.0</v>
      </c>
      <c r="M1721" s="280">
        <v>-36000.0</v>
      </c>
      <c r="N1721" s="282">
        <f>8436.4</f>
        <v>8436.4</v>
      </c>
      <c r="O1721" s="60"/>
      <c r="P1721" s="109">
        <v>8436.0</v>
      </c>
      <c r="Q1721" s="280">
        <v>-22334.0</v>
      </c>
      <c r="R1721" s="276">
        <v>-6.04E-4</v>
      </c>
      <c r="S1721" s="280">
        <v>-22416.0</v>
      </c>
      <c r="T1721" s="280">
        <v>-13980.0</v>
      </c>
      <c r="U1721" s="62">
        <v>1.0</v>
      </c>
      <c r="V1721" s="277">
        <v>0.15</v>
      </c>
      <c r="W1721" s="277">
        <v>0.05</v>
      </c>
      <c r="X1721" s="280">
        <v>-11184.0</v>
      </c>
      <c r="Y1721" s="280">
        <v>-2796.0</v>
      </c>
      <c r="Z1721" s="50" t="b">
        <v>1</v>
      </c>
      <c r="AA1721" s="50" t="s">
        <v>140</v>
      </c>
      <c r="AB1721" s="50" t="s">
        <v>140</v>
      </c>
    </row>
    <row r="1722">
      <c r="A1722" s="280" t="s">
        <v>459</v>
      </c>
      <c r="B1722" s="280" t="s">
        <v>145</v>
      </c>
      <c r="C1722" s="283">
        <v>44774.0</v>
      </c>
      <c r="D1722" s="283">
        <v>44804.0</v>
      </c>
      <c r="E1722" s="280" t="s">
        <v>331</v>
      </c>
      <c r="F1722" s="138" t="s">
        <v>8</v>
      </c>
      <c r="G1722" s="280" t="s">
        <v>9</v>
      </c>
      <c r="H1722" s="290" t="s">
        <v>105</v>
      </c>
      <c r="I1722" s="281">
        <v>500.0</v>
      </c>
      <c r="J1722" s="280">
        <v>13.0</v>
      </c>
      <c r="K1722" s="271">
        <f t="shared" si="1"/>
        <v>6500</v>
      </c>
      <c r="L1722" s="280">
        <v>-145.0</v>
      </c>
      <c r="M1722" s="280">
        <v>2500.0</v>
      </c>
      <c r="N1722" s="282">
        <v>11.57</v>
      </c>
      <c r="O1722" s="60"/>
      <c r="P1722" s="50">
        <v>12.0</v>
      </c>
      <c r="Q1722" s="280">
        <v>-733.0</v>
      </c>
      <c r="R1722" s="276">
        <v>-5.75E-4</v>
      </c>
      <c r="S1722" s="280">
        <v>-737.0</v>
      </c>
      <c r="T1722" s="280">
        <v>-725.0</v>
      </c>
      <c r="U1722" s="62">
        <v>1.0</v>
      </c>
      <c r="V1722" s="277">
        <v>0.15</v>
      </c>
      <c r="W1722" s="277">
        <v>0.05</v>
      </c>
      <c r="X1722" s="280">
        <v>-580.0</v>
      </c>
      <c r="Y1722" s="280">
        <v>-145.0</v>
      </c>
      <c r="Z1722" s="50" t="b">
        <v>1</v>
      </c>
      <c r="AA1722" s="50" t="s">
        <v>140</v>
      </c>
      <c r="AB1722" s="50" t="s">
        <v>140</v>
      </c>
    </row>
    <row r="1723">
      <c r="A1723" s="280" t="s">
        <v>459</v>
      </c>
      <c r="B1723" s="280" t="s">
        <v>145</v>
      </c>
      <c r="C1723" s="283">
        <v>44774.0</v>
      </c>
      <c r="D1723" s="283">
        <v>44804.0</v>
      </c>
      <c r="E1723" s="280" t="s">
        <v>331</v>
      </c>
      <c r="F1723" s="138" t="s">
        <v>8</v>
      </c>
      <c r="G1723" s="280" t="s">
        <v>9</v>
      </c>
      <c r="H1723" s="290" t="s">
        <v>89</v>
      </c>
      <c r="I1723" s="281">
        <v>100.0</v>
      </c>
      <c r="J1723" s="280">
        <v>16.0</v>
      </c>
      <c r="K1723" s="271">
        <f t="shared" si="1"/>
        <v>1600</v>
      </c>
      <c r="L1723" s="280">
        <v>1092.0</v>
      </c>
      <c r="M1723" s="280">
        <v>-400.0</v>
      </c>
      <c r="N1723" s="282">
        <v>0.0</v>
      </c>
      <c r="O1723" s="60"/>
      <c r="P1723" s="50">
        <v>0.0</v>
      </c>
      <c r="Q1723" s="280">
        <v>56.0</v>
      </c>
      <c r="R1723" s="276">
        <v>-7.1E-4</v>
      </c>
      <c r="S1723" s="280">
        <v>55.0</v>
      </c>
      <c r="T1723" s="280">
        <v>55.0</v>
      </c>
      <c r="U1723" s="62">
        <v>1.0</v>
      </c>
      <c r="V1723" s="277">
        <v>0.15</v>
      </c>
      <c r="W1723" s="277">
        <v>0.05</v>
      </c>
      <c r="X1723" s="280">
        <v>44.0</v>
      </c>
      <c r="Y1723" s="280">
        <v>11.0</v>
      </c>
      <c r="Z1723" s="50" t="b">
        <v>1</v>
      </c>
      <c r="AA1723" s="50" t="s">
        <v>140</v>
      </c>
      <c r="AB1723" s="50" t="s">
        <v>140</v>
      </c>
    </row>
    <row r="1724">
      <c r="A1724" s="280" t="s">
        <v>459</v>
      </c>
      <c r="B1724" s="280" t="s">
        <v>145</v>
      </c>
      <c r="C1724" s="283">
        <v>44774.0</v>
      </c>
      <c r="D1724" s="283">
        <v>44804.0</v>
      </c>
      <c r="E1724" s="280" t="s">
        <v>331</v>
      </c>
      <c r="F1724" s="138" t="s">
        <v>8</v>
      </c>
      <c r="G1724" s="280" t="s">
        <v>9</v>
      </c>
      <c r="H1724" s="290" t="s">
        <v>98</v>
      </c>
      <c r="I1724" s="281">
        <v>250.0</v>
      </c>
      <c r="J1724" s="280">
        <v>1121.0</v>
      </c>
      <c r="K1724" s="271">
        <f t="shared" si="1"/>
        <v>280250</v>
      </c>
      <c r="L1724" s="280">
        <v>13309.0</v>
      </c>
      <c r="M1724" s="280">
        <v>-27175.0</v>
      </c>
      <c r="N1724" s="282">
        <f>-175+8294.64</f>
        <v>8119.64</v>
      </c>
      <c r="O1724" s="60"/>
      <c r="P1724" s="109">
        <v>8120.0</v>
      </c>
      <c r="Q1724" s="280">
        <v>-15698.0</v>
      </c>
      <c r="R1724" s="276">
        <v>-6.79E-4</v>
      </c>
      <c r="S1724" s="280">
        <v>-15888.0</v>
      </c>
      <c r="T1724" s="280">
        <v>-7768.0</v>
      </c>
      <c r="U1724" s="62">
        <v>1.0</v>
      </c>
      <c r="V1724" s="277">
        <v>0.15</v>
      </c>
      <c r="W1724" s="277">
        <v>0.05</v>
      </c>
      <c r="X1724" s="280">
        <v>-6215.0</v>
      </c>
      <c r="Y1724" s="280">
        <v>-1554.0</v>
      </c>
      <c r="Z1724" s="50" t="b">
        <v>1</v>
      </c>
      <c r="AA1724" s="50" t="s">
        <v>140</v>
      </c>
      <c r="AB1724" s="50" t="s">
        <v>140</v>
      </c>
    </row>
    <row r="1725">
      <c r="A1725" s="280" t="s">
        <v>459</v>
      </c>
      <c r="B1725" s="280" t="s">
        <v>145</v>
      </c>
      <c r="C1725" s="283">
        <v>44774.0</v>
      </c>
      <c r="D1725" s="283">
        <v>44804.0</v>
      </c>
      <c r="E1725" s="280" t="s">
        <v>331</v>
      </c>
      <c r="F1725" s="138" t="s">
        <v>8</v>
      </c>
      <c r="G1725" s="280" t="s">
        <v>9</v>
      </c>
      <c r="H1725" s="290" t="s">
        <v>99</v>
      </c>
      <c r="I1725" s="281">
        <v>250.0</v>
      </c>
      <c r="J1725" s="280">
        <v>1.0</v>
      </c>
      <c r="K1725" s="271">
        <f t="shared" si="1"/>
        <v>250</v>
      </c>
      <c r="L1725" s="280">
        <v>378.0</v>
      </c>
      <c r="M1725" s="280">
        <v>500.0</v>
      </c>
      <c r="N1725" s="282">
        <v>7.4</v>
      </c>
      <c r="O1725" s="60"/>
      <c r="P1725" s="50">
        <v>7.0</v>
      </c>
      <c r="Q1725" s="280">
        <v>269.0</v>
      </c>
      <c r="R1725" s="276">
        <v>-0.004222</v>
      </c>
      <c r="S1725" s="280">
        <v>268.0</v>
      </c>
      <c r="T1725" s="280">
        <v>275.0</v>
      </c>
      <c r="U1725" s="62">
        <v>1.0</v>
      </c>
      <c r="V1725" s="277">
        <v>0.15</v>
      </c>
      <c r="W1725" s="277">
        <v>0.05</v>
      </c>
      <c r="X1725" s="280">
        <v>220.0</v>
      </c>
      <c r="Y1725" s="280">
        <v>55.0</v>
      </c>
      <c r="Z1725" s="50" t="b">
        <v>1</v>
      </c>
      <c r="AA1725" s="50" t="s">
        <v>140</v>
      </c>
      <c r="AB1725" s="50" t="s">
        <v>140</v>
      </c>
    </row>
    <row r="1726">
      <c r="A1726" s="101" t="s">
        <v>181</v>
      </c>
      <c r="B1726" s="101" t="s">
        <v>181</v>
      </c>
      <c r="C1726" s="278">
        <v>44774.0</v>
      </c>
      <c r="D1726" s="278">
        <v>44804.0</v>
      </c>
      <c r="E1726" s="271" t="s">
        <v>268</v>
      </c>
      <c r="F1726" s="101" t="s">
        <v>8</v>
      </c>
      <c r="G1726" s="271" t="s">
        <v>13</v>
      </c>
      <c r="H1726" s="114" t="s">
        <v>85</v>
      </c>
      <c r="I1726" s="274">
        <v>100.0</v>
      </c>
      <c r="J1726" s="271">
        <v>6021.0</v>
      </c>
      <c r="K1726" s="271">
        <f t="shared" si="1"/>
        <v>602100</v>
      </c>
      <c r="L1726" s="271">
        <v>79909.0</v>
      </c>
      <c r="M1726" s="271">
        <v>-21100.0</v>
      </c>
      <c r="N1726" s="275">
        <f>29423+36*100</f>
        <v>33023</v>
      </c>
      <c r="O1726" s="60"/>
      <c r="P1726" s="109">
        <v>33023.0</v>
      </c>
      <c r="Q1726" s="271">
        <v>-21166.0</v>
      </c>
      <c r="R1726" s="276">
        <v>-0.002384</v>
      </c>
      <c r="S1726" s="271">
        <v>-22601.0</v>
      </c>
      <c r="T1726" s="271">
        <v>10422.0</v>
      </c>
      <c r="U1726" s="62">
        <v>1.0</v>
      </c>
      <c r="V1726" s="277">
        <v>0.15</v>
      </c>
      <c r="W1726" s="277">
        <v>0.0</v>
      </c>
      <c r="X1726" s="271">
        <v>8859.0</v>
      </c>
      <c r="Y1726" s="271">
        <v>1563.0</v>
      </c>
      <c r="Z1726" s="50" t="b">
        <v>1</v>
      </c>
      <c r="AA1726" s="50" t="s">
        <v>138</v>
      </c>
      <c r="AB1726" s="50" t="s">
        <v>138</v>
      </c>
    </row>
    <row r="1727">
      <c r="A1727" s="280" t="s">
        <v>693</v>
      </c>
      <c r="B1727" s="280" t="s">
        <v>159</v>
      </c>
      <c r="C1727" s="283">
        <v>44774.0</v>
      </c>
      <c r="D1727" s="283">
        <v>44804.0</v>
      </c>
      <c r="E1727" s="280" t="s">
        <v>268</v>
      </c>
      <c r="F1727" s="138" t="s">
        <v>12</v>
      </c>
      <c r="G1727" s="280" t="s">
        <v>9</v>
      </c>
      <c r="H1727" s="290" t="s">
        <v>41</v>
      </c>
      <c r="I1727" s="281">
        <v>5.0</v>
      </c>
      <c r="J1727" s="280">
        <v>701.0</v>
      </c>
      <c r="K1727" s="271">
        <f t="shared" si="1"/>
        <v>3505</v>
      </c>
      <c r="L1727" s="280">
        <v>51359.0</v>
      </c>
      <c r="M1727" s="280">
        <v>120.0</v>
      </c>
      <c r="N1727" s="282">
        <v>139.3</v>
      </c>
      <c r="O1727" s="60"/>
      <c r="P1727" s="50">
        <v>139.0</v>
      </c>
      <c r="Q1727" s="280">
        <v>149.0</v>
      </c>
      <c r="R1727" s="276">
        <v>0.0</v>
      </c>
      <c r="S1727" s="280">
        <v>149.0</v>
      </c>
      <c r="T1727" s="280">
        <v>259.0</v>
      </c>
      <c r="U1727" s="62">
        <v>1.0</v>
      </c>
      <c r="V1727" s="277">
        <v>0.25</v>
      </c>
      <c r="W1727" s="277">
        <v>0.0</v>
      </c>
      <c r="X1727" s="280">
        <v>194.0</v>
      </c>
      <c r="Y1727" s="280">
        <v>65.0</v>
      </c>
      <c r="Z1727" s="50" t="b">
        <v>1</v>
      </c>
      <c r="AA1727" s="50" t="s">
        <v>140</v>
      </c>
      <c r="AB1727" s="50" t="s">
        <v>140</v>
      </c>
    </row>
    <row r="1728">
      <c r="A1728" s="101" t="s">
        <v>197</v>
      </c>
      <c r="B1728" s="101" t="s">
        <v>197</v>
      </c>
      <c r="C1728" s="278">
        <v>44774.0</v>
      </c>
      <c r="D1728" s="278">
        <v>44804.0</v>
      </c>
      <c r="E1728" s="280" t="s">
        <v>268</v>
      </c>
      <c r="F1728" s="138" t="s">
        <v>8</v>
      </c>
      <c r="G1728" s="271" t="s">
        <v>5</v>
      </c>
      <c r="H1728" s="273" t="s">
        <v>45</v>
      </c>
      <c r="I1728" s="274">
        <v>10.0</v>
      </c>
      <c r="J1728" s="271">
        <v>12.0</v>
      </c>
      <c r="K1728" s="271">
        <f t="shared" si="1"/>
        <v>120</v>
      </c>
      <c r="L1728" s="271">
        <v>633.0</v>
      </c>
      <c r="M1728" s="271">
        <v>20.0</v>
      </c>
      <c r="N1728" s="275">
        <v>6.0</v>
      </c>
      <c r="O1728" s="60"/>
      <c r="P1728" s="50">
        <v>6.0</v>
      </c>
      <c r="Q1728" s="271">
        <v>3.0</v>
      </c>
      <c r="R1728" s="276">
        <v>0.002241</v>
      </c>
      <c r="S1728" s="271">
        <v>3.0</v>
      </c>
      <c r="T1728" s="271">
        <v>9.0</v>
      </c>
      <c r="U1728" s="62">
        <v>1.0</v>
      </c>
      <c r="V1728" s="277">
        <v>0.25</v>
      </c>
      <c r="W1728" s="277">
        <v>0.0</v>
      </c>
      <c r="X1728" s="271">
        <v>7.0</v>
      </c>
      <c r="Y1728" s="271">
        <v>2.0</v>
      </c>
      <c r="Z1728" s="50" t="b">
        <v>1</v>
      </c>
      <c r="AA1728" s="50" t="s">
        <v>138</v>
      </c>
      <c r="AB1728" s="50" t="s">
        <v>138</v>
      </c>
    </row>
    <row r="1729">
      <c r="A1729" s="101" t="s">
        <v>197</v>
      </c>
      <c r="B1729" s="101" t="s">
        <v>197</v>
      </c>
      <c r="C1729" s="278">
        <v>44774.0</v>
      </c>
      <c r="D1729" s="278">
        <v>44804.0</v>
      </c>
      <c r="E1729" s="280" t="s">
        <v>268</v>
      </c>
      <c r="F1729" s="138" t="s">
        <v>8</v>
      </c>
      <c r="G1729" s="271" t="s">
        <v>5</v>
      </c>
      <c r="H1729" s="273" t="s">
        <v>62</v>
      </c>
      <c r="I1729" s="274">
        <v>25.0</v>
      </c>
      <c r="J1729" s="271">
        <v>1972.0</v>
      </c>
      <c r="K1729" s="271">
        <f t="shared" si="1"/>
        <v>49300</v>
      </c>
      <c r="L1729" s="271">
        <v>67894.0</v>
      </c>
      <c r="M1729" s="271">
        <v>-250.0</v>
      </c>
      <c r="N1729" s="275">
        <v>2011.0</v>
      </c>
      <c r="O1729" s="60"/>
      <c r="P1729" s="109">
        <v>2011.0</v>
      </c>
      <c r="Q1729" s="271">
        <v>-8.0</v>
      </c>
      <c r="R1729" s="276">
        <v>-7.14E-4</v>
      </c>
      <c r="S1729" s="271">
        <v>-43.0</v>
      </c>
      <c r="T1729" s="271">
        <v>1968.0</v>
      </c>
      <c r="U1729" s="62">
        <v>1.0</v>
      </c>
      <c r="V1729" s="277">
        <v>0.25</v>
      </c>
      <c r="W1729" s="277">
        <v>0.0</v>
      </c>
      <c r="X1729" s="271">
        <v>1476.0</v>
      </c>
      <c r="Y1729" s="271">
        <v>492.0</v>
      </c>
      <c r="Z1729" s="50" t="b">
        <v>1</v>
      </c>
      <c r="AA1729" s="50" t="s">
        <v>138</v>
      </c>
      <c r="AB1729" s="50" t="s">
        <v>138</v>
      </c>
    </row>
    <row r="1730">
      <c r="A1730" s="101" t="s">
        <v>197</v>
      </c>
      <c r="B1730" s="101" t="s">
        <v>197</v>
      </c>
      <c r="C1730" s="278">
        <v>44774.0</v>
      </c>
      <c r="D1730" s="278">
        <v>44804.0</v>
      </c>
      <c r="E1730" s="280" t="s">
        <v>268</v>
      </c>
      <c r="F1730" s="138" t="s">
        <v>8</v>
      </c>
      <c r="G1730" s="271" t="s">
        <v>5</v>
      </c>
      <c r="H1730" s="273" t="s">
        <v>74</v>
      </c>
      <c r="I1730" s="274">
        <v>50.0</v>
      </c>
      <c r="J1730" s="271">
        <v>511.0</v>
      </c>
      <c r="K1730" s="271">
        <f t="shared" si="1"/>
        <v>25550</v>
      </c>
      <c r="L1730" s="271">
        <v>3602.0</v>
      </c>
      <c r="M1730" s="271">
        <v>-800.0</v>
      </c>
      <c r="N1730" s="275">
        <v>1042.0</v>
      </c>
      <c r="O1730" s="60"/>
      <c r="P1730" s="109">
        <v>1042.0</v>
      </c>
      <c r="Q1730" s="271">
        <v>-1301.0</v>
      </c>
      <c r="R1730" s="276">
        <v>-6.95E-4</v>
      </c>
      <c r="S1730" s="271">
        <v>-1319.0</v>
      </c>
      <c r="T1730" s="271">
        <v>-277.0</v>
      </c>
      <c r="U1730" s="62">
        <v>1.0</v>
      </c>
      <c r="V1730" s="277">
        <v>0.25</v>
      </c>
      <c r="W1730" s="277">
        <v>0.0</v>
      </c>
      <c r="X1730" s="271">
        <v>-208.0</v>
      </c>
      <c r="Y1730" s="271">
        <v>-69.0</v>
      </c>
      <c r="Z1730" s="50" t="b">
        <v>1</v>
      </c>
      <c r="AA1730" s="50" t="s">
        <v>138</v>
      </c>
      <c r="AB1730" s="50" t="s">
        <v>138</v>
      </c>
    </row>
    <row r="1731">
      <c r="A1731" s="101" t="s">
        <v>197</v>
      </c>
      <c r="B1731" s="101" t="s">
        <v>197</v>
      </c>
      <c r="C1731" s="278">
        <v>44774.0</v>
      </c>
      <c r="D1731" s="278">
        <v>44804.0</v>
      </c>
      <c r="E1731" s="280" t="s">
        <v>268</v>
      </c>
      <c r="F1731" s="138" t="s">
        <v>12</v>
      </c>
      <c r="G1731" s="271" t="s">
        <v>5</v>
      </c>
      <c r="H1731" s="273" t="s">
        <v>35</v>
      </c>
      <c r="I1731" s="274">
        <v>5.0</v>
      </c>
      <c r="J1731" s="271">
        <v>2.0</v>
      </c>
      <c r="K1731" s="271">
        <f t="shared" si="1"/>
        <v>10</v>
      </c>
      <c r="L1731" s="271"/>
      <c r="M1731" s="271">
        <v>5.0</v>
      </c>
      <c r="N1731" s="275">
        <v>0.0</v>
      </c>
      <c r="O1731" s="60"/>
      <c r="P1731" s="50">
        <v>0.0</v>
      </c>
      <c r="Q1731" s="271"/>
      <c r="R1731" s="276">
        <v>0.0</v>
      </c>
      <c r="S1731" s="271"/>
      <c r="T1731" s="271">
        <v>5.0</v>
      </c>
      <c r="U1731" s="62">
        <v>1.0</v>
      </c>
      <c r="V1731" s="277">
        <v>0.25</v>
      </c>
      <c r="W1731" s="277">
        <v>0.0</v>
      </c>
      <c r="X1731" s="271">
        <v>4.0</v>
      </c>
      <c r="Y1731" s="271">
        <v>1.0</v>
      </c>
      <c r="Z1731" s="50" t="b">
        <v>1</v>
      </c>
      <c r="AA1731" s="50" t="s">
        <v>138</v>
      </c>
      <c r="AB1731" s="50" t="s">
        <v>138</v>
      </c>
    </row>
    <row r="1732">
      <c r="A1732" s="280" t="s">
        <v>206</v>
      </c>
      <c r="B1732" s="280" t="s">
        <v>206</v>
      </c>
      <c r="C1732" s="283">
        <v>44774.0</v>
      </c>
      <c r="D1732" s="283">
        <v>44804.0</v>
      </c>
      <c r="E1732" s="280" t="s">
        <v>268</v>
      </c>
      <c r="F1732" s="138" t="s">
        <v>12</v>
      </c>
      <c r="G1732" s="280" t="s">
        <v>142</v>
      </c>
      <c r="H1732" s="290" t="s">
        <v>39</v>
      </c>
      <c r="I1732" s="281">
        <v>5.0</v>
      </c>
      <c r="J1732" s="280">
        <v>5.0</v>
      </c>
      <c r="K1732" s="271">
        <f t="shared" si="1"/>
        <v>25</v>
      </c>
      <c r="L1732" s="280">
        <v>26.0</v>
      </c>
      <c r="M1732" s="280">
        <v>-2.39</v>
      </c>
      <c r="N1732" s="282"/>
      <c r="O1732" s="60">
        <v>0.5</v>
      </c>
      <c r="P1732" s="50">
        <v>1.0</v>
      </c>
      <c r="Q1732" s="280">
        <v>-2.0</v>
      </c>
      <c r="R1732" s="276">
        <v>0.0</v>
      </c>
      <c r="S1732" s="280">
        <v>-2.0</v>
      </c>
      <c r="T1732" s="280">
        <v>-2.0</v>
      </c>
      <c r="U1732" s="62">
        <v>1.0</v>
      </c>
      <c r="V1732" s="277">
        <v>0.1602</v>
      </c>
      <c r="W1732" s="277">
        <v>0.0</v>
      </c>
      <c r="X1732" s="280">
        <v>-1.0</v>
      </c>
      <c r="Y1732" s="280">
        <v>0.0</v>
      </c>
      <c r="Z1732" s="50" t="b">
        <v>1</v>
      </c>
      <c r="AA1732" s="50" t="s">
        <v>138</v>
      </c>
      <c r="AB1732" s="50" t="s">
        <v>138</v>
      </c>
    </row>
    <row r="1733">
      <c r="A1733" s="280" t="s">
        <v>206</v>
      </c>
      <c r="B1733" s="280" t="s">
        <v>206</v>
      </c>
      <c r="C1733" s="283">
        <v>44774.0</v>
      </c>
      <c r="D1733" s="283">
        <v>44804.0</v>
      </c>
      <c r="E1733" s="280" t="s">
        <v>268</v>
      </c>
      <c r="F1733" s="138" t="s">
        <v>12</v>
      </c>
      <c r="G1733" s="280" t="s">
        <v>142</v>
      </c>
      <c r="H1733" s="290" t="s">
        <v>50</v>
      </c>
      <c r="I1733" s="281">
        <v>10.0</v>
      </c>
      <c r="J1733" s="280">
        <v>5.0</v>
      </c>
      <c r="K1733" s="271">
        <f t="shared" si="1"/>
        <v>50</v>
      </c>
      <c r="L1733" s="280">
        <v>61.0</v>
      </c>
      <c r="M1733" s="280">
        <v>-4.78</v>
      </c>
      <c r="N1733" s="282"/>
      <c r="O1733" s="60">
        <v>0.5</v>
      </c>
      <c r="P1733" s="50">
        <v>2.0</v>
      </c>
      <c r="Q1733" s="280">
        <v>-3.0</v>
      </c>
      <c r="R1733" s="276">
        <v>0.0</v>
      </c>
      <c r="S1733" s="280">
        <v>-3.0</v>
      </c>
      <c r="T1733" s="280">
        <v>-3.0</v>
      </c>
      <c r="U1733" s="62">
        <v>1.0</v>
      </c>
      <c r="V1733" s="277">
        <v>0.1602</v>
      </c>
      <c r="W1733" s="277">
        <v>0.0</v>
      </c>
      <c r="X1733" s="280">
        <v>-3.0</v>
      </c>
      <c r="Y1733" s="280">
        <v>0.0</v>
      </c>
      <c r="Z1733" s="50" t="b">
        <v>1</v>
      </c>
      <c r="AA1733" s="50" t="s">
        <v>138</v>
      </c>
      <c r="AB1733" s="50" t="s">
        <v>138</v>
      </c>
    </row>
    <row r="1734">
      <c r="A1734" s="280" t="s">
        <v>206</v>
      </c>
      <c r="B1734" s="280" t="s">
        <v>206</v>
      </c>
      <c r="C1734" s="283">
        <v>44774.0</v>
      </c>
      <c r="D1734" s="283">
        <v>44804.0</v>
      </c>
      <c r="E1734" s="280" t="s">
        <v>268</v>
      </c>
      <c r="F1734" s="138" t="s">
        <v>12</v>
      </c>
      <c r="G1734" s="280" t="s">
        <v>142</v>
      </c>
      <c r="H1734" s="290" t="s">
        <v>61</v>
      </c>
      <c r="I1734" s="281">
        <v>20.0</v>
      </c>
      <c r="J1734" s="280">
        <v>1370.0</v>
      </c>
      <c r="K1734" s="271">
        <f t="shared" si="1"/>
        <v>27400</v>
      </c>
      <c r="L1734" s="280">
        <v>57900.0</v>
      </c>
      <c r="M1734" s="280">
        <v>-2620.94</v>
      </c>
      <c r="N1734" s="282"/>
      <c r="O1734" s="60">
        <v>0.5</v>
      </c>
      <c r="P1734" s="50">
        <v>959.0</v>
      </c>
      <c r="Q1734" s="280">
        <v>32.0</v>
      </c>
      <c r="R1734" s="276">
        <v>0.0</v>
      </c>
      <c r="S1734" s="280">
        <v>32.0</v>
      </c>
      <c r="T1734" s="280">
        <v>-1662.0</v>
      </c>
      <c r="U1734" s="62">
        <v>1.0</v>
      </c>
      <c r="V1734" s="277">
        <v>0.1602</v>
      </c>
      <c r="W1734" s="277">
        <v>0.0</v>
      </c>
      <c r="X1734" s="280">
        <v>-1396.0</v>
      </c>
      <c r="Y1734" s="280">
        <v>-266.0</v>
      </c>
      <c r="Z1734" s="50" t="b">
        <v>1</v>
      </c>
      <c r="AA1734" s="50" t="s">
        <v>138</v>
      </c>
      <c r="AB1734" s="50" t="s">
        <v>138</v>
      </c>
    </row>
    <row r="1735">
      <c r="A1735" s="280" t="s">
        <v>206</v>
      </c>
      <c r="B1735" s="280" t="s">
        <v>206</v>
      </c>
      <c r="C1735" s="283">
        <v>44774.0</v>
      </c>
      <c r="D1735" s="283">
        <v>44804.0</v>
      </c>
      <c r="E1735" s="280" t="s">
        <v>268</v>
      </c>
      <c r="F1735" s="138" t="s">
        <v>12</v>
      </c>
      <c r="G1735" s="280" t="s">
        <v>142</v>
      </c>
      <c r="H1735" s="290" t="s">
        <v>77</v>
      </c>
      <c r="I1735" s="281">
        <v>50.0</v>
      </c>
      <c r="J1735" s="280">
        <v>157.0</v>
      </c>
      <c r="K1735" s="271">
        <f t="shared" si="1"/>
        <v>7850</v>
      </c>
      <c r="L1735" s="280">
        <v>-10146.0</v>
      </c>
      <c r="M1735" s="280">
        <v>-750.89</v>
      </c>
      <c r="N1735" s="282"/>
      <c r="O1735" s="60">
        <v>0.5</v>
      </c>
      <c r="P1735" s="50">
        <v>275.0</v>
      </c>
      <c r="Q1735" s="280">
        <v>-1536.0</v>
      </c>
      <c r="R1735" s="276">
        <v>0.0</v>
      </c>
      <c r="S1735" s="280">
        <v>-1536.0</v>
      </c>
      <c r="T1735" s="280">
        <v>-476.0</v>
      </c>
      <c r="U1735" s="62">
        <v>1.0</v>
      </c>
      <c r="V1735" s="277">
        <v>0.1602</v>
      </c>
      <c r="W1735" s="277">
        <v>0.0</v>
      </c>
      <c r="X1735" s="280">
        <v>-400.0</v>
      </c>
      <c r="Y1735" s="280">
        <v>-76.0</v>
      </c>
      <c r="Z1735" s="50" t="b">
        <v>1</v>
      </c>
      <c r="AA1735" s="50" t="s">
        <v>138</v>
      </c>
      <c r="AB1735" s="50" t="s">
        <v>138</v>
      </c>
    </row>
    <row r="1736">
      <c r="A1736" s="101" t="s">
        <v>529</v>
      </c>
      <c r="B1736" s="101" t="s">
        <v>147</v>
      </c>
      <c r="C1736" s="278">
        <v>44774.0</v>
      </c>
      <c r="D1736" s="278">
        <v>44804.0</v>
      </c>
      <c r="E1736" s="271" t="s">
        <v>268</v>
      </c>
      <c r="F1736" s="101" t="s">
        <v>12</v>
      </c>
      <c r="G1736" s="271" t="s">
        <v>13</v>
      </c>
      <c r="H1736" s="273" t="s">
        <v>74</v>
      </c>
      <c r="I1736" s="274">
        <v>50.0</v>
      </c>
      <c r="J1736" s="271">
        <v>6140.0</v>
      </c>
      <c r="K1736" s="271">
        <f t="shared" si="1"/>
        <v>307000</v>
      </c>
      <c r="L1736" s="271">
        <v>40077.0</v>
      </c>
      <c r="M1736" s="271">
        <v>-8250.0</v>
      </c>
      <c r="N1736" s="275">
        <v>14957.0</v>
      </c>
      <c r="O1736" s="60"/>
      <c r="P1736" s="109">
        <v>14957.0</v>
      </c>
      <c r="Q1736" s="271">
        <v>-16749.0</v>
      </c>
      <c r="R1736" s="276">
        <v>0.0</v>
      </c>
      <c r="S1736" s="271">
        <v>-16749.0</v>
      </c>
      <c r="T1736" s="271">
        <v>6707.0</v>
      </c>
      <c r="U1736" s="62">
        <v>1.0</v>
      </c>
      <c r="V1736" s="277">
        <v>0.23</v>
      </c>
      <c r="W1736" s="277">
        <v>0.0</v>
      </c>
      <c r="X1736" s="271">
        <v>5164.0</v>
      </c>
      <c r="Y1736" s="271">
        <v>1543.0</v>
      </c>
      <c r="Z1736" s="50" t="b">
        <v>1</v>
      </c>
      <c r="AA1736" s="50" t="s">
        <v>138</v>
      </c>
      <c r="AB1736" s="50" t="s">
        <v>138</v>
      </c>
    </row>
    <row r="1737">
      <c r="A1737" s="280" t="s">
        <v>210</v>
      </c>
      <c r="B1737" s="280" t="s">
        <v>211</v>
      </c>
      <c r="C1737" s="278">
        <v>44774.0</v>
      </c>
      <c r="D1737" s="278">
        <v>44804.0</v>
      </c>
      <c r="E1737" s="101" t="s">
        <v>268</v>
      </c>
      <c r="F1737" s="101" t="s">
        <v>4</v>
      </c>
      <c r="G1737" s="280" t="s">
        <v>16</v>
      </c>
      <c r="H1737" s="290" t="s">
        <v>45</v>
      </c>
      <c r="I1737" s="281">
        <v>10.0</v>
      </c>
      <c r="J1737" s="280">
        <v>44.0</v>
      </c>
      <c r="K1737" s="271">
        <f t="shared" si="1"/>
        <v>440</v>
      </c>
      <c r="L1737" s="280">
        <v>4428.0</v>
      </c>
      <c r="M1737" s="280">
        <v>130.0</v>
      </c>
      <c r="N1737" s="275">
        <v>17.5</v>
      </c>
      <c r="O1737" s="60"/>
      <c r="P1737" s="50">
        <v>18.0</v>
      </c>
      <c r="Q1737" s="280">
        <v>55.0</v>
      </c>
      <c r="R1737" s="276">
        <v>-5.8E-4</v>
      </c>
      <c r="S1737" s="280">
        <v>54.0</v>
      </c>
      <c r="T1737" s="280">
        <v>72.0</v>
      </c>
      <c r="U1737" s="62">
        <v>1.003</v>
      </c>
      <c r="V1737" s="277">
        <v>0.17</v>
      </c>
      <c r="W1737" s="277">
        <v>0.0</v>
      </c>
      <c r="X1737" s="280">
        <v>60.0</v>
      </c>
      <c r="Y1737" s="280">
        <v>12.0</v>
      </c>
      <c r="Z1737" s="50" t="b">
        <v>1</v>
      </c>
      <c r="AA1737" s="50" t="s">
        <v>140</v>
      </c>
      <c r="AB1737" s="50" t="s">
        <v>138</v>
      </c>
    </row>
    <row r="1738">
      <c r="A1738" s="280" t="s">
        <v>233</v>
      </c>
      <c r="B1738" s="280" t="s">
        <v>212</v>
      </c>
      <c r="C1738" s="283">
        <v>44774.0</v>
      </c>
      <c r="D1738" s="283">
        <v>44804.0</v>
      </c>
      <c r="E1738" s="280" t="s">
        <v>268</v>
      </c>
      <c r="F1738" s="138" t="s">
        <v>12</v>
      </c>
      <c r="G1738" s="280" t="s">
        <v>142</v>
      </c>
      <c r="H1738" s="290" t="s">
        <v>50</v>
      </c>
      <c r="I1738" s="281">
        <v>10.0</v>
      </c>
      <c r="J1738" s="280">
        <v>5.0</v>
      </c>
      <c r="K1738" s="271">
        <f t="shared" si="1"/>
        <v>50</v>
      </c>
      <c r="L1738" s="280">
        <v>-218.0</v>
      </c>
      <c r="M1738" s="280">
        <v>1.0</v>
      </c>
      <c r="N1738" s="275"/>
      <c r="O1738" s="60">
        <v>0.5</v>
      </c>
      <c r="P1738" s="50">
        <v>2.0</v>
      </c>
      <c r="Q1738" s="280">
        <v>-8.0</v>
      </c>
      <c r="R1738" s="276">
        <v>0.0</v>
      </c>
      <c r="S1738" s="280">
        <v>-8.0</v>
      </c>
      <c r="T1738" s="280">
        <v>3.0</v>
      </c>
      <c r="U1738" s="62">
        <v>1.0</v>
      </c>
      <c r="V1738" s="277">
        <v>0.23</v>
      </c>
      <c r="W1738" s="277">
        <v>0.0</v>
      </c>
      <c r="X1738" s="280">
        <v>2.0</v>
      </c>
      <c r="Y1738" s="280">
        <v>1.0</v>
      </c>
      <c r="Z1738" s="50" t="b">
        <v>1</v>
      </c>
      <c r="AA1738" s="50" t="s">
        <v>138</v>
      </c>
      <c r="AB1738" s="50" t="s">
        <v>138</v>
      </c>
    </row>
    <row r="1739">
      <c r="A1739" s="280" t="s">
        <v>233</v>
      </c>
      <c r="B1739" s="280" t="s">
        <v>212</v>
      </c>
      <c r="C1739" s="283">
        <v>44774.0</v>
      </c>
      <c r="D1739" s="283">
        <v>44804.0</v>
      </c>
      <c r="E1739" s="280" t="s">
        <v>268</v>
      </c>
      <c r="F1739" s="138" t="s">
        <v>12</v>
      </c>
      <c r="G1739" s="280" t="s">
        <v>142</v>
      </c>
      <c r="H1739" s="290" t="s">
        <v>61</v>
      </c>
      <c r="I1739" s="281">
        <v>20.0</v>
      </c>
      <c r="J1739" s="280">
        <v>1239.0</v>
      </c>
      <c r="K1739" s="271">
        <f t="shared" si="1"/>
        <v>24780</v>
      </c>
      <c r="L1739" s="280">
        <v>41776.0</v>
      </c>
      <c r="M1739" s="280">
        <v>69.0</v>
      </c>
      <c r="N1739" s="275"/>
      <c r="O1739" s="60">
        <v>0.5</v>
      </c>
      <c r="P1739" s="50">
        <v>867.0</v>
      </c>
      <c r="Q1739" s="280">
        <v>-361.0</v>
      </c>
      <c r="R1739" s="276">
        <v>0.0</v>
      </c>
      <c r="S1739" s="280">
        <v>-361.0</v>
      </c>
      <c r="T1739" s="280">
        <v>936.0</v>
      </c>
      <c r="U1739" s="62">
        <v>1.0</v>
      </c>
      <c r="V1739" s="277">
        <v>0.23</v>
      </c>
      <c r="W1739" s="277">
        <v>0.0</v>
      </c>
      <c r="X1739" s="280">
        <v>721.0</v>
      </c>
      <c r="Y1739" s="280">
        <v>215.0</v>
      </c>
      <c r="Z1739" s="50" t="b">
        <v>1</v>
      </c>
      <c r="AA1739" s="50" t="s">
        <v>138</v>
      </c>
      <c r="AB1739" s="50" t="s">
        <v>138</v>
      </c>
    </row>
    <row r="1740">
      <c r="A1740" s="280" t="s">
        <v>154</v>
      </c>
      <c r="B1740" s="280" t="s">
        <v>154</v>
      </c>
      <c r="C1740" s="278">
        <v>44774.0</v>
      </c>
      <c r="D1740" s="278">
        <v>44804.0</v>
      </c>
      <c r="E1740" s="280" t="s">
        <v>268</v>
      </c>
      <c r="F1740" s="138" t="s">
        <v>8</v>
      </c>
      <c r="G1740" s="271" t="s">
        <v>5</v>
      </c>
      <c r="H1740" s="273" t="s">
        <v>63</v>
      </c>
      <c r="I1740" s="274">
        <v>25.0</v>
      </c>
      <c r="J1740" s="271">
        <v>880.0</v>
      </c>
      <c r="K1740" s="271">
        <f t="shared" si="1"/>
        <v>22000</v>
      </c>
      <c r="L1740" s="271">
        <v>11273.0</v>
      </c>
      <c r="M1740" s="271">
        <v>400.0</v>
      </c>
      <c r="N1740" s="275">
        <v>909.0</v>
      </c>
      <c r="O1740" s="60"/>
      <c r="P1740" s="50">
        <v>909.0</v>
      </c>
      <c r="Q1740" s="271">
        <v>-537.0</v>
      </c>
      <c r="R1740" s="276">
        <v>-6.81E-4</v>
      </c>
      <c r="S1740" s="271">
        <v>-552.0</v>
      </c>
      <c r="T1740" s="271">
        <v>357.0</v>
      </c>
      <c r="U1740" s="62">
        <v>1.0</v>
      </c>
      <c r="V1740" s="277">
        <v>0.25</v>
      </c>
      <c r="W1740" s="277">
        <v>0.0</v>
      </c>
      <c r="X1740" s="271">
        <v>268.0</v>
      </c>
      <c r="Y1740" s="271">
        <v>89.0</v>
      </c>
      <c r="Z1740" s="50" t="b">
        <v>1</v>
      </c>
      <c r="AA1740" s="50" t="s">
        <v>138</v>
      </c>
      <c r="AB1740" s="50" t="s">
        <v>138</v>
      </c>
    </row>
    <row r="1741">
      <c r="A1741" s="280" t="s">
        <v>154</v>
      </c>
      <c r="B1741" s="280" t="s">
        <v>154</v>
      </c>
      <c r="C1741" s="278">
        <v>44774.0</v>
      </c>
      <c r="D1741" s="278">
        <v>44804.0</v>
      </c>
      <c r="E1741" s="280" t="s">
        <v>268</v>
      </c>
      <c r="F1741" s="138" t="s">
        <v>8</v>
      </c>
      <c r="G1741" s="271" t="s">
        <v>5</v>
      </c>
      <c r="H1741" s="273" t="s">
        <v>75</v>
      </c>
      <c r="I1741" s="274">
        <v>50.0</v>
      </c>
      <c r="J1741" s="271">
        <v>4310.0</v>
      </c>
      <c r="K1741" s="271">
        <f t="shared" si="1"/>
        <v>215500</v>
      </c>
      <c r="L1741" s="271">
        <v>79376.0</v>
      </c>
      <c r="M1741" s="271">
        <v>-6900.0</v>
      </c>
      <c r="N1741" s="275">
        <v>8903.0</v>
      </c>
      <c r="O1741" s="60"/>
      <c r="P1741" s="109">
        <v>8903.0</v>
      </c>
      <c r="Q1741" s="271">
        <v>-1504.0</v>
      </c>
      <c r="R1741" s="276">
        <v>-7.08E-4</v>
      </c>
      <c r="S1741" s="271">
        <v>-1657.0</v>
      </c>
      <c r="T1741" s="271">
        <v>7246.0</v>
      </c>
      <c r="U1741" s="62">
        <v>1.0</v>
      </c>
      <c r="V1741" s="277">
        <v>0.25</v>
      </c>
      <c r="W1741" s="277">
        <v>0.0</v>
      </c>
      <c r="X1741" s="271">
        <v>5435.0</v>
      </c>
      <c r="Y1741" s="271">
        <v>1812.0</v>
      </c>
      <c r="Z1741" s="50" t="b">
        <v>1</v>
      </c>
      <c r="AA1741" s="50" t="s">
        <v>138</v>
      </c>
      <c r="AB1741" s="50" t="s">
        <v>138</v>
      </c>
    </row>
    <row r="1742">
      <c r="A1742" s="280" t="s">
        <v>154</v>
      </c>
      <c r="B1742" s="280" t="s">
        <v>154</v>
      </c>
      <c r="C1742" s="278">
        <v>44774.0</v>
      </c>
      <c r="D1742" s="278">
        <v>44804.0</v>
      </c>
      <c r="E1742" s="280" t="s">
        <v>268</v>
      </c>
      <c r="F1742" s="138" t="s">
        <v>8</v>
      </c>
      <c r="G1742" s="271" t="s">
        <v>5</v>
      </c>
      <c r="H1742" s="273" t="s">
        <v>86</v>
      </c>
      <c r="I1742" s="274">
        <v>100.0</v>
      </c>
      <c r="J1742" s="271">
        <v>650.0</v>
      </c>
      <c r="K1742" s="271">
        <f t="shared" si="1"/>
        <v>65000</v>
      </c>
      <c r="L1742" s="271">
        <v>9316.0</v>
      </c>
      <c r="M1742" s="271">
        <v>-100.0</v>
      </c>
      <c r="N1742" s="275">
        <v>2238.0</v>
      </c>
      <c r="O1742" s="60"/>
      <c r="P1742" s="109">
        <v>2238.0</v>
      </c>
      <c r="Q1742" s="271">
        <v>-600.0</v>
      </c>
      <c r="R1742" s="276">
        <v>-7.1E-4</v>
      </c>
      <c r="S1742" s="271">
        <v>-646.0</v>
      </c>
      <c r="T1742" s="271">
        <v>1592.0</v>
      </c>
      <c r="U1742" s="62">
        <v>1.0</v>
      </c>
      <c r="V1742" s="277">
        <v>0.25</v>
      </c>
      <c r="W1742" s="277">
        <v>0.0</v>
      </c>
      <c r="X1742" s="271">
        <v>1194.0</v>
      </c>
      <c r="Y1742" s="271">
        <v>398.0</v>
      </c>
      <c r="Z1742" s="50" t="b">
        <v>1</v>
      </c>
      <c r="AA1742" s="50" t="s">
        <v>138</v>
      </c>
      <c r="AB1742" s="50" t="s">
        <v>138</v>
      </c>
    </row>
    <row r="1743">
      <c r="A1743" s="280" t="s">
        <v>154</v>
      </c>
      <c r="B1743" s="280" t="s">
        <v>154</v>
      </c>
      <c r="C1743" s="278">
        <v>44774.0</v>
      </c>
      <c r="D1743" s="278">
        <v>44804.0</v>
      </c>
      <c r="E1743" s="280" t="s">
        <v>268</v>
      </c>
      <c r="F1743" s="138" t="s">
        <v>12</v>
      </c>
      <c r="G1743" s="271" t="s">
        <v>5</v>
      </c>
      <c r="H1743" s="273" t="s">
        <v>10</v>
      </c>
      <c r="I1743" s="274">
        <v>0.25</v>
      </c>
      <c r="J1743" s="271">
        <v>5.0</v>
      </c>
      <c r="K1743" s="271">
        <f t="shared" si="1"/>
        <v>1.25</v>
      </c>
      <c r="L1743" s="271">
        <v>-600.0</v>
      </c>
      <c r="M1743" s="271">
        <v>2.0</v>
      </c>
      <c r="N1743" s="275">
        <v>0.0</v>
      </c>
      <c r="O1743" s="60"/>
      <c r="P1743" s="50">
        <v>0.0</v>
      </c>
      <c r="Q1743" s="271">
        <v>-1.0</v>
      </c>
      <c r="R1743" s="276">
        <v>0.0</v>
      </c>
      <c r="S1743" s="271">
        <v>-1.0</v>
      </c>
      <c r="T1743" s="271">
        <v>2.0</v>
      </c>
      <c r="U1743" s="62">
        <v>1.0</v>
      </c>
      <c r="V1743" s="277">
        <v>0.25</v>
      </c>
      <c r="W1743" s="277">
        <v>0.0</v>
      </c>
      <c r="X1743" s="271">
        <v>2.0</v>
      </c>
      <c r="Y1743" s="271">
        <v>1.0</v>
      </c>
      <c r="Z1743" s="50" t="b">
        <v>1</v>
      </c>
      <c r="AA1743" s="50" t="s">
        <v>138</v>
      </c>
      <c r="AB1743" s="50" t="s">
        <v>138</v>
      </c>
    </row>
    <row r="1744">
      <c r="A1744" s="280" t="s">
        <v>174</v>
      </c>
      <c r="B1744" s="280" t="s">
        <v>174</v>
      </c>
      <c r="C1744" s="283">
        <v>44774.0</v>
      </c>
      <c r="D1744" s="283">
        <v>44804.0</v>
      </c>
      <c r="E1744" s="280" t="s">
        <v>268</v>
      </c>
      <c r="F1744" s="138" t="s">
        <v>12</v>
      </c>
      <c r="G1744" s="280" t="s">
        <v>9</v>
      </c>
      <c r="H1744" s="290" t="s">
        <v>31</v>
      </c>
      <c r="I1744" s="281">
        <v>2.0</v>
      </c>
      <c r="J1744" s="280">
        <v>287.0</v>
      </c>
      <c r="K1744" s="271">
        <f t="shared" si="1"/>
        <v>574</v>
      </c>
      <c r="L1744" s="280">
        <v>36141.0</v>
      </c>
      <c r="M1744" s="280">
        <v>102.0</v>
      </c>
      <c r="N1744" s="282">
        <v>241.16</v>
      </c>
      <c r="O1744" s="60"/>
      <c r="P1744" s="50">
        <v>241.0</v>
      </c>
      <c r="Q1744" s="280">
        <v>79.0</v>
      </c>
      <c r="R1744" s="276">
        <v>0.0</v>
      </c>
      <c r="S1744" s="280">
        <v>79.0</v>
      </c>
      <c r="T1744" s="280">
        <v>343.0</v>
      </c>
      <c r="U1744" s="62">
        <v>1.0</v>
      </c>
      <c r="V1744" s="277">
        <v>0.17</v>
      </c>
      <c r="W1744" s="277">
        <v>0.0</v>
      </c>
      <c r="X1744" s="280">
        <v>285.0</v>
      </c>
      <c r="Y1744" s="280">
        <v>58.0</v>
      </c>
      <c r="Z1744" s="50" t="b">
        <v>1</v>
      </c>
      <c r="AA1744" s="50" t="s">
        <v>140</v>
      </c>
      <c r="AB1744" s="50" t="s">
        <v>140</v>
      </c>
    </row>
    <row r="1745">
      <c r="A1745" s="280" t="s">
        <v>174</v>
      </c>
      <c r="B1745" s="280" t="s">
        <v>174</v>
      </c>
      <c r="C1745" s="283">
        <v>44774.0</v>
      </c>
      <c r="D1745" s="283">
        <v>44804.0</v>
      </c>
      <c r="E1745" s="280" t="s">
        <v>268</v>
      </c>
      <c r="F1745" s="138" t="s">
        <v>12</v>
      </c>
      <c r="G1745" s="280" t="s">
        <v>9</v>
      </c>
      <c r="H1745" s="290" t="s">
        <v>41</v>
      </c>
      <c r="I1745" s="281">
        <v>5.0</v>
      </c>
      <c r="J1745" s="280">
        <v>2856.0</v>
      </c>
      <c r="K1745" s="271">
        <f t="shared" si="1"/>
        <v>14280</v>
      </c>
      <c r="L1745" s="280">
        <v>218773.0</v>
      </c>
      <c r="M1745" s="280">
        <v>1070.0</v>
      </c>
      <c r="N1745" s="282">
        <v>68.84</v>
      </c>
      <c r="O1745" s="60"/>
      <c r="P1745" s="50">
        <v>69.0</v>
      </c>
      <c r="Q1745" s="280">
        <v>691.0</v>
      </c>
      <c r="R1745" s="276">
        <v>0.0</v>
      </c>
      <c r="S1745" s="280">
        <v>691.0</v>
      </c>
      <c r="T1745" s="280">
        <v>1139.0</v>
      </c>
      <c r="U1745" s="62">
        <v>1.0</v>
      </c>
      <c r="V1745" s="277">
        <v>0.17</v>
      </c>
      <c r="W1745" s="277">
        <v>0.0</v>
      </c>
      <c r="X1745" s="280">
        <v>945.0</v>
      </c>
      <c r="Y1745" s="280">
        <v>194.0</v>
      </c>
      <c r="Z1745" s="50" t="b">
        <v>1</v>
      </c>
      <c r="AA1745" s="50" t="s">
        <v>140</v>
      </c>
      <c r="AB1745" s="50" t="s">
        <v>140</v>
      </c>
    </row>
    <row r="1746">
      <c r="A1746" s="280" t="s">
        <v>174</v>
      </c>
      <c r="B1746" s="280" t="s">
        <v>174</v>
      </c>
      <c r="C1746" s="283">
        <v>44774.0</v>
      </c>
      <c r="D1746" s="283">
        <v>44804.0</v>
      </c>
      <c r="E1746" s="280" t="s">
        <v>268</v>
      </c>
      <c r="F1746" s="138" t="s">
        <v>12</v>
      </c>
      <c r="G1746" s="280" t="s">
        <v>9</v>
      </c>
      <c r="H1746" s="290" t="s">
        <v>52</v>
      </c>
      <c r="I1746" s="281">
        <v>10.0</v>
      </c>
      <c r="J1746" s="280">
        <v>5.0</v>
      </c>
      <c r="K1746" s="271">
        <f t="shared" si="1"/>
        <v>50</v>
      </c>
      <c r="L1746" s="280">
        <v>-1532.0</v>
      </c>
      <c r="M1746" s="280">
        <v>-10.0</v>
      </c>
      <c r="N1746" s="282">
        <v>0.0</v>
      </c>
      <c r="O1746" s="60"/>
      <c r="P1746" s="50">
        <v>0.0</v>
      </c>
      <c r="Q1746" s="280">
        <v>-32.0</v>
      </c>
      <c r="R1746" s="276">
        <v>0.0</v>
      </c>
      <c r="S1746" s="280">
        <v>-32.0</v>
      </c>
      <c r="T1746" s="280">
        <v>-10.0</v>
      </c>
      <c r="U1746" s="62">
        <v>1.0</v>
      </c>
      <c r="V1746" s="277">
        <v>0.17</v>
      </c>
      <c r="W1746" s="277">
        <v>0.0</v>
      </c>
      <c r="X1746" s="280">
        <v>-8.0</v>
      </c>
      <c r="Y1746" s="280">
        <v>-2.0</v>
      </c>
      <c r="Z1746" s="50" t="b">
        <v>1</v>
      </c>
      <c r="AA1746" s="50" t="s">
        <v>140</v>
      </c>
      <c r="AB1746" s="50" t="s">
        <v>140</v>
      </c>
    </row>
    <row r="1747">
      <c r="A1747" s="101" t="s">
        <v>267</v>
      </c>
      <c r="B1747" s="101" t="s">
        <v>267</v>
      </c>
      <c r="C1747" s="278">
        <v>44794.0</v>
      </c>
      <c r="D1747" s="278">
        <v>44824.0</v>
      </c>
      <c r="E1747" s="271" t="s">
        <v>268</v>
      </c>
      <c r="F1747" s="138" t="s">
        <v>4</v>
      </c>
      <c r="G1747" s="101" t="s">
        <v>5</v>
      </c>
      <c r="H1747" s="273" t="s">
        <v>38</v>
      </c>
      <c r="I1747" s="274">
        <v>5.0</v>
      </c>
      <c r="J1747" s="271">
        <v>2.0</v>
      </c>
      <c r="K1747" s="271">
        <f t="shared" si="1"/>
        <v>10</v>
      </c>
      <c r="L1747" s="271">
        <v>-425.0</v>
      </c>
      <c r="M1747" s="271">
        <v>-10.0</v>
      </c>
      <c r="N1747" s="275"/>
      <c r="O1747" s="60"/>
      <c r="P1747" s="101"/>
      <c r="Q1747" s="271">
        <v>-7.0</v>
      </c>
      <c r="R1747" s="276">
        <v>-5.8E-4</v>
      </c>
      <c r="S1747" s="271">
        <v>-7.0</v>
      </c>
      <c r="T1747" s="271">
        <v>-7.0</v>
      </c>
      <c r="U1747" s="62">
        <v>1.0</v>
      </c>
      <c r="V1747" s="277">
        <v>0.15</v>
      </c>
      <c r="W1747" s="277">
        <v>0.0</v>
      </c>
      <c r="X1747" s="271">
        <v>-6.0</v>
      </c>
      <c r="Y1747" s="271">
        <v>-1.0</v>
      </c>
      <c r="Z1747" s="50" t="b">
        <v>1</v>
      </c>
      <c r="AA1747" s="50" t="s">
        <v>138</v>
      </c>
      <c r="AB1747" s="50" t="s">
        <v>138</v>
      </c>
    </row>
    <row r="1748">
      <c r="A1748" s="101" t="s">
        <v>267</v>
      </c>
      <c r="B1748" s="101" t="s">
        <v>267</v>
      </c>
      <c r="C1748" s="278">
        <v>44794.0</v>
      </c>
      <c r="D1748" s="278">
        <v>44824.0</v>
      </c>
      <c r="E1748" s="271" t="s">
        <v>268</v>
      </c>
      <c r="F1748" s="138" t="s">
        <v>4</v>
      </c>
      <c r="G1748" s="101" t="s">
        <v>5</v>
      </c>
      <c r="H1748" s="273" t="s">
        <v>45</v>
      </c>
      <c r="I1748" s="274">
        <v>10.0</v>
      </c>
      <c r="J1748" s="271">
        <v>472.0</v>
      </c>
      <c r="K1748" s="271">
        <f t="shared" si="1"/>
        <v>4720</v>
      </c>
      <c r="L1748" s="271">
        <v>23698.0</v>
      </c>
      <c r="M1748" s="271">
        <v>80.0</v>
      </c>
      <c r="N1748" s="275">
        <v>150.0</v>
      </c>
      <c r="O1748" s="60"/>
      <c r="P1748" s="50">
        <v>150.0</v>
      </c>
      <c r="Q1748" s="271">
        <v>85.0</v>
      </c>
      <c r="R1748" s="276">
        <v>-5.8E-4</v>
      </c>
      <c r="S1748" s="271">
        <v>83.0</v>
      </c>
      <c r="T1748" s="271">
        <v>233.0</v>
      </c>
      <c r="U1748" s="62">
        <v>1.0</v>
      </c>
      <c r="V1748" s="277">
        <v>0.15</v>
      </c>
      <c r="W1748" s="277">
        <v>0.0</v>
      </c>
      <c r="X1748" s="271">
        <v>198.0</v>
      </c>
      <c r="Y1748" s="271">
        <v>35.0</v>
      </c>
      <c r="Z1748" s="50" t="b">
        <v>1</v>
      </c>
      <c r="AA1748" s="50" t="s">
        <v>138</v>
      </c>
      <c r="AB1748" s="50" t="s">
        <v>138</v>
      </c>
    </row>
    <row r="1749">
      <c r="A1749" s="101" t="s">
        <v>267</v>
      </c>
      <c r="B1749" s="101" t="s">
        <v>267</v>
      </c>
      <c r="C1749" s="278">
        <v>44794.0</v>
      </c>
      <c r="D1749" s="278">
        <v>44824.0</v>
      </c>
      <c r="E1749" s="271" t="s">
        <v>268</v>
      </c>
      <c r="F1749" s="138" t="s">
        <v>4</v>
      </c>
      <c r="G1749" s="101" t="s">
        <v>5</v>
      </c>
      <c r="H1749" s="273" t="s">
        <v>48</v>
      </c>
      <c r="I1749" s="274">
        <v>10.0</v>
      </c>
      <c r="J1749" s="271">
        <v>206.0</v>
      </c>
      <c r="K1749" s="271">
        <f t="shared" si="1"/>
        <v>2060</v>
      </c>
      <c r="L1749" s="271">
        <v>3671.0</v>
      </c>
      <c r="M1749" s="271">
        <v>10.0</v>
      </c>
      <c r="N1749" s="275">
        <v>65.0</v>
      </c>
      <c r="O1749" s="60"/>
      <c r="P1749" s="50">
        <v>65.0</v>
      </c>
      <c r="Q1749" s="271">
        <v>-40.0</v>
      </c>
      <c r="R1749" s="276">
        <v>-5.8E-4</v>
      </c>
      <c r="S1749" s="271">
        <v>-41.0</v>
      </c>
      <c r="T1749" s="271">
        <v>24.0</v>
      </c>
      <c r="U1749" s="62">
        <v>1.0</v>
      </c>
      <c r="V1749" s="277">
        <v>0.15</v>
      </c>
      <c r="W1749" s="277">
        <v>0.0</v>
      </c>
      <c r="X1749" s="271">
        <v>20.0</v>
      </c>
      <c r="Y1749" s="271">
        <v>4.0</v>
      </c>
      <c r="Z1749" s="50" t="b">
        <v>1</v>
      </c>
      <c r="AA1749" s="50" t="s">
        <v>138</v>
      </c>
      <c r="AB1749" s="50" t="s">
        <v>138</v>
      </c>
    </row>
    <row r="1750">
      <c r="A1750" s="101" t="s">
        <v>267</v>
      </c>
      <c r="B1750" s="101" t="s">
        <v>267</v>
      </c>
      <c r="C1750" s="278">
        <v>44794.0</v>
      </c>
      <c r="D1750" s="278">
        <v>44824.0</v>
      </c>
      <c r="E1750" s="271" t="s">
        <v>268</v>
      </c>
      <c r="F1750" s="138" t="s">
        <v>4</v>
      </c>
      <c r="G1750" s="101" t="s">
        <v>5</v>
      </c>
      <c r="H1750" s="273" t="s">
        <v>62</v>
      </c>
      <c r="I1750" s="274">
        <v>25.0</v>
      </c>
      <c r="J1750" s="271">
        <v>763.0</v>
      </c>
      <c r="K1750" s="271">
        <f t="shared" si="1"/>
        <v>19075</v>
      </c>
      <c r="L1750" s="271">
        <v>22894.0</v>
      </c>
      <c r="M1750" s="271">
        <v>525.0</v>
      </c>
      <c r="N1750" s="275">
        <v>130.0</v>
      </c>
      <c r="O1750" s="60"/>
      <c r="P1750" s="50">
        <v>130.0</v>
      </c>
      <c r="Q1750" s="271">
        <v>-159.0</v>
      </c>
      <c r="R1750" s="276">
        <v>-5.8E-4</v>
      </c>
      <c r="S1750" s="271">
        <v>-171.0</v>
      </c>
      <c r="T1750" s="271">
        <v>-41.0</v>
      </c>
      <c r="U1750" s="62">
        <v>1.0</v>
      </c>
      <c r="V1750" s="277">
        <v>0.15</v>
      </c>
      <c r="W1750" s="277">
        <v>0.0</v>
      </c>
      <c r="X1750" s="271">
        <v>-34.0</v>
      </c>
      <c r="Y1750" s="271">
        <v>-6.0</v>
      </c>
      <c r="Z1750" s="50" t="b">
        <v>1</v>
      </c>
      <c r="AA1750" s="50" t="s">
        <v>138</v>
      </c>
      <c r="AB1750" s="50" t="s">
        <v>138</v>
      </c>
    </row>
    <row r="1751">
      <c r="A1751" s="101" t="s">
        <v>267</v>
      </c>
      <c r="B1751" s="101" t="s">
        <v>267</v>
      </c>
      <c r="C1751" s="278">
        <v>44794.0</v>
      </c>
      <c r="D1751" s="278">
        <v>44824.0</v>
      </c>
      <c r="E1751" s="271" t="s">
        <v>268</v>
      </c>
      <c r="F1751" s="138" t="s">
        <v>4</v>
      </c>
      <c r="G1751" s="101" t="s">
        <v>5</v>
      </c>
      <c r="H1751" s="273" t="s">
        <v>63</v>
      </c>
      <c r="I1751" s="274">
        <v>25.0</v>
      </c>
      <c r="J1751" s="271">
        <v>192.0</v>
      </c>
      <c r="K1751" s="271">
        <f t="shared" si="1"/>
        <v>4800</v>
      </c>
      <c r="L1751" s="271">
        <v>4472.0</v>
      </c>
      <c r="M1751" s="271">
        <v>-275.0</v>
      </c>
      <c r="N1751" s="275">
        <v>520.0</v>
      </c>
      <c r="O1751" s="60"/>
      <c r="P1751" s="50">
        <v>520.0</v>
      </c>
      <c r="Q1751" s="271">
        <v>38.0</v>
      </c>
      <c r="R1751" s="276">
        <v>-5.8E-4</v>
      </c>
      <c r="S1751" s="271">
        <v>36.0</v>
      </c>
      <c r="T1751" s="271">
        <v>556.0</v>
      </c>
      <c r="U1751" s="62">
        <v>1.0</v>
      </c>
      <c r="V1751" s="277">
        <v>0.15</v>
      </c>
      <c r="W1751" s="277">
        <v>0.0</v>
      </c>
      <c r="X1751" s="271">
        <v>472.0</v>
      </c>
      <c r="Y1751" s="271">
        <v>83.0</v>
      </c>
      <c r="Z1751" s="50" t="b">
        <v>1</v>
      </c>
      <c r="AA1751" s="50" t="s">
        <v>138</v>
      </c>
      <c r="AB1751" s="50" t="s">
        <v>138</v>
      </c>
    </row>
    <row r="1752">
      <c r="A1752" s="101" t="s">
        <v>148</v>
      </c>
      <c r="B1752" s="101" t="s">
        <v>148</v>
      </c>
      <c r="C1752" s="278">
        <v>44794.0</v>
      </c>
      <c r="D1752" s="278">
        <v>44824.0</v>
      </c>
      <c r="E1752" s="271" t="s">
        <v>331</v>
      </c>
      <c r="F1752" s="138" t="s">
        <v>4</v>
      </c>
      <c r="G1752" s="101" t="s">
        <v>5</v>
      </c>
      <c r="H1752" s="273" t="s">
        <v>85</v>
      </c>
      <c r="I1752" s="274">
        <v>100.0</v>
      </c>
      <c r="J1752" s="271">
        <v>2801.0</v>
      </c>
      <c r="K1752" s="271">
        <f t="shared" si="1"/>
        <v>280100</v>
      </c>
      <c r="L1752" s="271">
        <v>61184.0</v>
      </c>
      <c r="M1752" s="271">
        <v>1100.0</v>
      </c>
      <c r="N1752" s="275">
        <v>10200.0</v>
      </c>
      <c r="O1752" s="60"/>
      <c r="P1752" s="109">
        <v>10200.0</v>
      </c>
      <c r="Q1752" s="271">
        <v>-3567.0</v>
      </c>
      <c r="R1752" s="276">
        <v>-5.8E-4</v>
      </c>
      <c r="S1752" s="271">
        <v>-3729.0</v>
      </c>
      <c r="T1752" s="271">
        <v>6471.0</v>
      </c>
      <c r="U1752" s="62">
        <v>1.0</v>
      </c>
      <c r="V1752" s="277">
        <v>0.15</v>
      </c>
      <c r="W1752" s="277">
        <v>0.05</v>
      </c>
      <c r="X1752" s="271">
        <v>5177.0</v>
      </c>
      <c r="Y1752" s="271">
        <v>1294.0</v>
      </c>
      <c r="Z1752" s="50" t="b">
        <v>1</v>
      </c>
      <c r="AA1752" s="50" t="s">
        <v>138</v>
      </c>
      <c r="AB1752" s="50" t="s">
        <v>138</v>
      </c>
    </row>
    <row r="1753">
      <c r="A1753" s="101" t="s">
        <v>182</v>
      </c>
      <c r="B1753" s="101" t="s">
        <v>182</v>
      </c>
      <c r="C1753" s="278">
        <v>44794.0</v>
      </c>
      <c r="D1753" s="278">
        <v>44824.0</v>
      </c>
      <c r="E1753" s="280" t="s">
        <v>268</v>
      </c>
      <c r="F1753" s="101" t="s">
        <v>4</v>
      </c>
      <c r="G1753" s="271" t="s">
        <v>5</v>
      </c>
      <c r="H1753" s="273" t="s">
        <v>35</v>
      </c>
      <c r="I1753" s="274">
        <v>5.0</v>
      </c>
      <c r="J1753" s="271">
        <v>123.0</v>
      </c>
      <c r="K1753" s="271">
        <f t="shared" si="1"/>
        <v>615</v>
      </c>
      <c r="L1753" s="271">
        <v>-658.0</v>
      </c>
      <c r="M1753" s="271">
        <v>-120.0</v>
      </c>
      <c r="N1753" s="275"/>
      <c r="O1753" s="60"/>
      <c r="P1753" s="101"/>
      <c r="Q1753" s="271">
        <v>-60.0</v>
      </c>
      <c r="R1753" s="276">
        <v>-5.8E-4</v>
      </c>
      <c r="S1753" s="271">
        <v>-60.0</v>
      </c>
      <c r="T1753" s="271">
        <v>-60.0</v>
      </c>
      <c r="U1753" s="62">
        <v>1.0</v>
      </c>
      <c r="V1753" s="277">
        <v>0.2</v>
      </c>
      <c r="W1753" s="277">
        <v>0.0</v>
      </c>
      <c r="X1753" s="271">
        <v>-48.0</v>
      </c>
      <c r="Y1753" s="271">
        <v>-12.0</v>
      </c>
      <c r="Z1753" s="50" t="b">
        <v>1</v>
      </c>
      <c r="AA1753" s="50" t="s">
        <v>138</v>
      </c>
      <c r="AB1753" s="50" t="s">
        <v>138</v>
      </c>
    </row>
    <row r="1754">
      <c r="A1754" s="280" t="s">
        <v>345</v>
      </c>
      <c r="B1754" s="280" t="s">
        <v>904</v>
      </c>
      <c r="C1754" s="283">
        <v>44794.0</v>
      </c>
      <c r="D1754" s="283">
        <v>44824.0</v>
      </c>
      <c r="E1754" s="271" t="s">
        <v>331</v>
      </c>
      <c r="F1754" s="138" t="s">
        <v>4</v>
      </c>
      <c r="G1754" s="280" t="s">
        <v>9</v>
      </c>
      <c r="H1754" s="290" t="s">
        <v>1007</v>
      </c>
      <c r="I1754" s="281">
        <v>10.0</v>
      </c>
      <c r="J1754" s="280">
        <v>730.0</v>
      </c>
      <c r="K1754" s="271">
        <f t="shared" si="1"/>
        <v>7300</v>
      </c>
      <c r="L1754" s="280">
        <v>16628.0</v>
      </c>
      <c r="M1754" s="280">
        <v>-390.0</v>
      </c>
      <c r="N1754" s="282">
        <v>1619.94</v>
      </c>
      <c r="O1754" s="60"/>
      <c r="P1754" s="109">
        <v>1620.0</v>
      </c>
      <c r="Q1754" s="280">
        <v>-124.0</v>
      </c>
      <c r="R1754" s="276">
        <v>-5.8E-4</v>
      </c>
      <c r="S1754" s="280">
        <v>-129.0</v>
      </c>
      <c r="T1754" s="280">
        <v>1491.0</v>
      </c>
      <c r="U1754" s="62">
        <v>1.0</v>
      </c>
      <c r="V1754" s="277">
        <v>0.1</v>
      </c>
      <c r="W1754" s="277">
        <v>0.1</v>
      </c>
      <c r="X1754" s="280">
        <v>1193.0</v>
      </c>
      <c r="Y1754" s="280">
        <v>298.0</v>
      </c>
      <c r="Z1754" s="50" t="b">
        <v>1</v>
      </c>
      <c r="AA1754" s="50" t="s">
        <v>140</v>
      </c>
      <c r="AB1754" s="50" t="s">
        <v>140</v>
      </c>
    </row>
    <row r="1755">
      <c r="A1755" s="280" t="s">
        <v>345</v>
      </c>
      <c r="B1755" s="280" t="s">
        <v>904</v>
      </c>
      <c r="C1755" s="283">
        <v>44794.0</v>
      </c>
      <c r="D1755" s="283">
        <v>44824.0</v>
      </c>
      <c r="E1755" s="271" t="s">
        <v>331</v>
      </c>
      <c r="F1755" s="138" t="s">
        <v>4</v>
      </c>
      <c r="G1755" s="280" t="s">
        <v>9</v>
      </c>
      <c r="H1755" s="290" t="s">
        <v>52</v>
      </c>
      <c r="I1755" s="281">
        <v>10.0</v>
      </c>
      <c r="J1755" s="280">
        <v>865.0</v>
      </c>
      <c r="K1755" s="271">
        <f t="shared" si="1"/>
        <v>8650</v>
      </c>
      <c r="L1755" s="280">
        <v>73412.0</v>
      </c>
      <c r="M1755" s="280">
        <v>750.0</v>
      </c>
      <c r="N1755" s="282">
        <v>55.06</v>
      </c>
      <c r="O1755" s="60"/>
      <c r="P1755" s="50">
        <v>55.0</v>
      </c>
      <c r="Q1755" s="280">
        <v>591.0</v>
      </c>
      <c r="R1755" s="276">
        <v>-5.8E-4</v>
      </c>
      <c r="S1755" s="280">
        <v>586.0</v>
      </c>
      <c r="T1755" s="280">
        <v>641.0</v>
      </c>
      <c r="U1755" s="62">
        <v>1.0</v>
      </c>
      <c r="V1755" s="277">
        <v>0.1</v>
      </c>
      <c r="W1755" s="277">
        <v>0.1</v>
      </c>
      <c r="X1755" s="280">
        <v>513.0</v>
      </c>
      <c r="Y1755" s="280">
        <v>128.0</v>
      </c>
      <c r="Z1755" s="50" t="b">
        <v>1</v>
      </c>
      <c r="AA1755" s="50" t="s">
        <v>140</v>
      </c>
      <c r="AB1755" s="50" t="s">
        <v>140</v>
      </c>
    </row>
    <row r="1756">
      <c r="A1756" s="280" t="s">
        <v>345</v>
      </c>
      <c r="B1756" s="280" t="s">
        <v>904</v>
      </c>
      <c r="C1756" s="283">
        <v>44794.0</v>
      </c>
      <c r="D1756" s="283">
        <v>44824.0</v>
      </c>
      <c r="E1756" s="271" t="s">
        <v>331</v>
      </c>
      <c r="F1756" s="138" t="s">
        <v>4</v>
      </c>
      <c r="G1756" s="280" t="s">
        <v>9</v>
      </c>
      <c r="H1756" s="273" t="s">
        <v>65</v>
      </c>
      <c r="I1756" s="281">
        <v>25.0</v>
      </c>
      <c r="J1756" s="280">
        <v>2093.0</v>
      </c>
      <c r="K1756" s="271">
        <f t="shared" si="1"/>
        <v>52325</v>
      </c>
      <c r="L1756" s="280">
        <v>153074.0</v>
      </c>
      <c r="M1756" s="280">
        <v>2325.0</v>
      </c>
      <c r="N1756" s="282">
        <v>0.0</v>
      </c>
      <c r="O1756" s="60"/>
      <c r="P1756" s="50">
        <v>0.0</v>
      </c>
      <c r="Q1756" s="280">
        <v>2417.0</v>
      </c>
      <c r="R1756" s="276">
        <v>-5.8E-4</v>
      </c>
      <c r="S1756" s="280">
        <v>2387.0</v>
      </c>
      <c r="T1756" s="280">
        <v>2387.0</v>
      </c>
      <c r="U1756" s="62">
        <v>1.0</v>
      </c>
      <c r="V1756" s="277">
        <v>0.1</v>
      </c>
      <c r="W1756" s="277">
        <v>0.1</v>
      </c>
      <c r="X1756" s="280">
        <v>1909.0</v>
      </c>
      <c r="Y1756" s="280">
        <v>477.0</v>
      </c>
      <c r="Z1756" s="50" t="b">
        <v>1</v>
      </c>
      <c r="AA1756" s="50" t="s">
        <v>140</v>
      </c>
      <c r="AB1756" s="50" t="s">
        <v>140</v>
      </c>
    </row>
    <row r="1757">
      <c r="A1757" s="280" t="s">
        <v>345</v>
      </c>
      <c r="B1757" s="280" t="s">
        <v>905</v>
      </c>
      <c r="C1757" s="283">
        <v>44794.0</v>
      </c>
      <c r="D1757" s="283">
        <v>44824.0</v>
      </c>
      <c r="E1757" s="271" t="s">
        <v>331</v>
      </c>
      <c r="F1757" s="138" t="s">
        <v>4</v>
      </c>
      <c r="G1757" s="271" t="s">
        <v>13</v>
      </c>
      <c r="H1757" s="290" t="s">
        <v>59</v>
      </c>
      <c r="I1757" s="281">
        <v>20.0</v>
      </c>
      <c r="J1757" s="280">
        <v>1058.0</v>
      </c>
      <c r="K1757" s="271">
        <f t="shared" si="1"/>
        <v>21160</v>
      </c>
      <c r="L1757" s="280">
        <v>13002.0</v>
      </c>
      <c r="M1757" s="280">
        <v>-740.0</v>
      </c>
      <c r="N1757" s="275">
        <f>7*20+797</f>
        <v>937</v>
      </c>
      <c r="O1757" s="60"/>
      <c r="P1757" s="50">
        <v>937.0</v>
      </c>
      <c r="Q1757" s="280">
        <v>-845.0</v>
      </c>
      <c r="R1757" s="276">
        <v>-0.0015</v>
      </c>
      <c r="S1757" s="280">
        <v>-876.0</v>
      </c>
      <c r="T1757" s="280">
        <v>61.0</v>
      </c>
      <c r="U1757" s="62">
        <v>1.0</v>
      </c>
      <c r="V1757" s="277">
        <v>0.1</v>
      </c>
      <c r="W1757" s="277">
        <v>0.1</v>
      </c>
      <c r="X1757" s="280">
        <v>48.0</v>
      </c>
      <c r="Y1757" s="280">
        <v>12.0</v>
      </c>
      <c r="Z1757" s="50" t="b">
        <v>1</v>
      </c>
      <c r="AA1757" s="50" t="s">
        <v>138</v>
      </c>
      <c r="AB1757" s="50" t="s">
        <v>138</v>
      </c>
    </row>
    <row r="1758">
      <c r="A1758" s="101" t="s">
        <v>170</v>
      </c>
      <c r="B1758" s="101" t="s">
        <v>170</v>
      </c>
      <c r="C1758" s="278">
        <v>44794.0</v>
      </c>
      <c r="D1758" s="278">
        <v>44824.0</v>
      </c>
      <c r="E1758" s="271" t="s">
        <v>268</v>
      </c>
      <c r="F1758" s="101" t="s">
        <v>4</v>
      </c>
      <c r="G1758" s="271" t="s">
        <v>5</v>
      </c>
      <c r="H1758" s="273" t="s">
        <v>35</v>
      </c>
      <c r="I1758" s="274">
        <v>5.0</v>
      </c>
      <c r="J1758" s="271">
        <v>37.0</v>
      </c>
      <c r="K1758" s="271">
        <f t="shared" si="1"/>
        <v>185</v>
      </c>
      <c r="L1758" s="271">
        <v>3620.0</v>
      </c>
      <c r="M1758" s="271">
        <v>-25.0</v>
      </c>
      <c r="N1758" s="275">
        <v>10.0</v>
      </c>
      <c r="O1758" s="60"/>
      <c r="P1758" s="50">
        <v>10.0</v>
      </c>
      <c r="Q1758" s="271">
        <v>16.0</v>
      </c>
      <c r="R1758" s="276">
        <v>-5.8E-4</v>
      </c>
      <c r="S1758" s="271">
        <v>16.0</v>
      </c>
      <c r="T1758" s="271">
        <v>26.0</v>
      </c>
      <c r="U1758" s="62">
        <v>1.0</v>
      </c>
      <c r="V1758" s="277">
        <v>0.23</v>
      </c>
      <c r="W1758" s="277">
        <v>0.0</v>
      </c>
      <c r="X1758" s="271">
        <v>20.0</v>
      </c>
      <c r="Y1758" s="271">
        <v>6.0</v>
      </c>
      <c r="Z1758" s="50" t="b">
        <v>1</v>
      </c>
      <c r="AA1758" s="50" t="s">
        <v>138</v>
      </c>
      <c r="AB1758" s="50" t="s">
        <v>138</v>
      </c>
    </row>
    <row r="1759">
      <c r="A1759" s="101" t="s">
        <v>170</v>
      </c>
      <c r="B1759" s="101" t="s">
        <v>170</v>
      </c>
      <c r="C1759" s="278">
        <v>44794.0</v>
      </c>
      <c r="D1759" s="278">
        <v>44824.0</v>
      </c>
      <c r="E1759" s="271" t="s">
        <v>268</v>
      </c>
      <c r="F1759" s="101" t="s">
        <v>4</v>
      </c>
      <c r="G1759" s="271" t="s">
        <v>5</v>
      </c>
      <c r="H1759" s="273" t="s">
        <v>45</v>
      </c>
      <c r="I1759" s="274">
        <v>10.0</v>
      </c>
      <c r="J1759" s="271">
        <v>1509.0</v>
      </c>
      <c r="K1759" s="271">
        <f t="shared" si="1"/>
        <v>15090</v>
      </c>
      <c r="L1759" s="271">
        <v>55523.0</v>
      </c>
      <c r="M1759" s="271">
        <v>-200.0</v>
      </c>
      <c r="N1759" s="275">
        <v>735.0</v>
      </c>
      <c r="O1759" s="60"/>
      <c r="P1759" s="50">
        <v>735.0</v>
      </c>
      <c r="Q1759" s="271">
        <v>-98.0</v>
      </c>
      <c r="R1759" s="276">
        <v>-5.8E-4</v>
      </c>
      <c r="S1759" s="271">
        <v>-107.0</v>
      </c>
      <c r="T1759" s="271">
        <v>628.0</v>
      </c>
      <c r="U1759" s="62">
        <v>1.0</v>
      </c>
      <c r="V1759" s="277">
        <v>0.23</v>
      </c>
      <c r="W1759" s="277">
        <v>0.0</v>
      </c>
      <c r="X1759" s="271">
        <v>484.0</v>
      </c>
      <c r="Y1759" s="271">
        <v>144.0</v>
      </c>
      <c r="Z1759" s="50" t="b">
        <v>1</v>
      </c>
      <c r="AA1759" s="50" t="s">
        <v>138</v>
      </c>
      <c r="AB1759" s="50" t="s">
        <v>138</v>
      </c>
    </row>
    <row r="1760">
      <c r="A1760" s="101" t="s">
        <v>416</v>
      </c>
      <c r="B1760" s="101" t="s">
        <v>190</v>
      </c>
      <c r="C1760" s="278">
        <v>44794.0</v>
      </c>
      <c r="D1760" s="278">
        <v>44824.0</v>
      </c>
      <c r="E1760" s="271" t="s">
        <v>268</v>
      </c>
      <c r="F1760" s="138" t="s">
        <v>4</v>
      </c>
      <c r="G1760" s="271" t="s">
        <v>5</v>
      </c>
      <c r="H1760" s="273" t="s">
        <v>45</v>
      </c>
      <c r="I1760" s="274">
        <v>10.0</v>
      </c>
      <c r="J1760" s="271">
        <v>4128.0</v>
      </c>
      <c r="K1760" s="271">
        <f t="shared" si="1"/>
        <v>41280</v>
      </c>
      <c r="L1760" s="271">
        <v>140697.0</v>
      </c>
      <c r="M1760" s="271">
        <v>550.0</v>
      </c>
      <c r="N1760" s="275">
        <v>1103.0</v>
      </c>
      <c r="O1760" s="60"/>
      <c r="P1760" s="109">
        <v>1103.0</v>
      </c>
      <c r="Q1760" s="271">
        <v>-531.0</v>
      </c>
      <c r="R1760" s="276">
        <v>-5.8E-4</v>
      </c>
      <c r="S1760" s="271">
        <v>-555.0</v>
      </c>
      <c r="T1760" s="271">
        <v>548.0</v>
      </c>
      <c r="U1760" s="62">
        <v>1.0</v>
      </c>
      <c r="V1760" s="277">
        <v>0.25</v>
      </c>
      <c r="W1760" s="277">
        <v>0.0</v>
      </c>
      <c r="X1760" s="271">
        <v>411.0</v>
      </c>
      <c r="Y1760" s="271">
        <v>137.0</v>
      </c>
      <c r="Z1760" s="50" t="b">
        <v>1</v>
      </c>
      <c r="AA1760" s="50" t="s">
        <v>138</v>
      </c>
      <c r="AB1760" s="50" t="s">
        <v>138</v>
      </c>
    </row>
    <row r="1761">
      <c r="A1761" s="101" t="s">
        <v>416</v>
      </c>
      <c r="B1761" s="101" t="s">
        <v>190</v>
      </c>
      <c r="C1761" s="278">
        <v>44794.0</v>
      </c>
      <c r="D1761" s="278">
        <v>44824.0</v>
      </c>
      <c r="E1761" s="271" t="s">
        <v>268</v>
      </c>
      <c r="F1761" s="138" t="s">
        <v>4</v>
      </c>
      <c r="G1761" s="271" t="s">
        <v>5</v>
      </c>
      <c r="H1761" s="273" t="s">
        <v>62</v>
      </c>
      <c r="I1761" s="274">
        <v>25.0</v>
      </c>
      <c r="J1761" s="271">
        <v>370.0</v>
      </c>
      <c r="K1761" s="271">
        <f t="shared" si="1"/>
        <v>9250</v>
      </c>
      <c r="L1761" s="271">
        <v>-6067.0</v>
      </c>
      <c r="M1761" s="271">
        <v>-1350.0</v>
      </c>
      <c r="N1761" s="275">
        <v>212.0</v>
      </c>
      <c r="O1761" s="60"/>
      <c r="P1761" s="50">
        <v>212.0</v>
      </c>
      <c r="Q1761" s="271">
        <v>-885.0</v>
      </c>
      <c r="R1761" s="276">
        <v>-5.8E-4</v>
      </c>
      <c r="S1761" s="271">
        <v>-891.0</v>
      </c>
      <c r="T1761" s="271">
        <v>-679.0</v>
      </c>
      <c r="U1761" s="62">
        <v>1.0</v>
      </c>
      <c r="V1761" s="277">
        <v>0.25</v>
      </c>
      <c r="W1761" s="277">
        <v>0.0</v>
      </c>
      <c r="X1761" s="271">
        <v>-509.0</v>
      </c>
      <c r="Y1761" s="271">
        <v>-170.0</v>
      </c>
      <c r="Z1761" s="50" t="b">
        <v>1</v>
      </c>
      <c r="AA1761" s="50" t="s">
        <v>138</v>
      </c>
      <c r="AB1761" s="50" t="s">
        <v>138</v>
      </c>
    </row>
    <row r="1762">
      <c r="A1762" s="280" t="s">
        <v>150</v>
      </c>
      <c r="B1762" s="280" t="s">
        <v>152</v>
      </c>
      <c r="C1762" s="278">
        <v>44794.0</v>
      </c>
      <c r="D1762" s="278">
        <v>44824.0</v>
      </c>
      <c r="E1762" s="280" t="s">
        <v>268</v>
      </c>
      <c r="F1762" s="138" t="s">
        <v>4</v>
      </c>
      <c r="G1762" s="280" t="s">
        <v>5</v>
      </c>
      <c r="H1762" s="273" t="s">
        <v>62</v>
      </c>
      <c r="I1762" s="274">
        <v>25.0</v>
      </c>
      <c r="J1762" s="271">
        <v>1600.0</v>
      </c>
      <c r="K1762" s="271">
        <f t="shared" si="1"/>
        <v>40000</v>
      </c>
      <c r="L1762" s="271">
        <v>37627.0</v>
      </c>
      <c r="M1762" s="271">
        <v>-1475.0</v>
      </c>
      <c r="N1762" s="275">
        <v>1437.0</v>
      </c>
      <c r="O1762" s="60"/>
      <c r="P1762" s="109">
        <v>1437.0</v>
      </c>
      <c r="Q1762" s="271">
        <v>-816.0</v>
      </c>
      <c r="R1762" s="276">
        <v>-5.8E-4</v>
      </c>
      <c r="S1762" s="271">
        <v>-839.0</v>
      </c>
      <c r="T1762" s="271">
        <v>598.0</v>
      </c>
      <c r="U1762" s="62">
        <v>1.0</v>
      </c>
      <c r="V1762" s="277">
        <v>0.3</v>
      </c>
      <c r="W1762" s="277">
        <v>0.0</v>
      </c>
      <c r="X1762" s="271">
        <v>419.0</v>
      </c>
      <c r="Y1762" s="271">
        <v>179.0</v>
      </c>
      <c r="Z1762" s="50" t="b">
        <v>1</v>
      </c>
      <c r="AA1762" s="50" t="s">
        <v>138</v>
      </c>
      <c r="AB1762" s="50" t="s">
        <v>138</v>
      </c>
    </row>
    <row r="1763">
      <c r="A1763" s="280" t="s">
        <v>150</v>
      </c>
      <c r="B1763" s="280" t="s">
        <v>152</v>
      </c>
      <c r="C1763" s="278">
        <v>44794.0</v>
      </c>
      <c r="D1763" s="278">
        <v>44824.0</v>
      </c>
      <c r="E1763" s="280" t="s">
        <v>268</v>
      </c>
      <c r="F1763" s="138" t="s">
        <v>12</v>
      </c>
      <c r="G1763" s="280" t="s">
        <v>5</v>
      </c>
      <c r="H1763" s="273" t="s">
        <v>35</v>
      </c>
      <c r="I1763" s="274">
        <v>5.0</v>
      </c>
      <c r="J1763" s="271">
        <v>1.0</v>
      </c>
      <c r="K1763" s="271">
        <f t="shared" si="1"/>
        <v>5</v>
      </c>
      <c r="L1763" s="271"/>
      <c r="M1763" s="271">
        <v>10.0</v>
      </c>
      <c r="N1763" s="275"/>
      <c r="O1763" s="60"/>
      <c r="P1763" s="101"/>
      <c r="Q1763" s="271"/>
      <c r="R1763" s="276">
        <v>0.0</v>
      </c>
      <c r="S1763" s="271"/>
      <c r="T1763" s="271">
        <v>10.0</v>
      </c>
      <c r="U1763" s="62">
        <v>1.0</v>
      </c>
      <c r="V1763" s="277">
        <v>0.3</v>
      </c>
      <c r="W1763" s="277">
        <v>0.0</v>
      </c>
      <c r="X1763" s="271">
        <v>7.0</v>
      </c>
      <c r="Y1763" s="271">
        <v>3.0</v>
      </c>
      <c r="Z1763" s="50" t="b">
        <v>1</v>
      </c>
      <c r="AA1763" s="50" t="s">
        <v>138</v>
      </c>
      <c r="AB1763" s="50" t="s">
        <v>138</v>
      </c>
    </row>
    <row r="1764">
      <c r="A1764" s="280" t="s">
        <v>150</v>
      </c>
      <c r="B1764" s="280" t="s">
        <v>152</v>
      </c>
      <c r="C1764" s="278">
        <v>44794.0</v>
      </c>
      <c r="D1764" s="278">
        <v>44824.0</v>
      </c>
      <c r="E1764" s="280" t="s">
        <v>268</v>
      </c>
      <c r="F1764" s="138" t="s">
        <v>12</v>
      </c>
      <c r="G1764" s="280" t="s">
        <v>5</v>
      </c>
      <c r="H1764" s="273" t="s">
        <v>38</v>
      </c>
      <c r="I1764" s="274">
        <v>5.0</v>
      </c>
      <c r="J1764" s="271">
        <v>1.0</v>
      </c>
      <c r="K1764" s="271">
        <f t="shared" si="1"/>
        <v>5</v>
      </c>
      <c r="L1764" s="271"/>
      <c r="M1764" s="271">
        <v>-5.0</v>
      </c>
      <c r="N1764" s="275"/>
      <c r="O1764" s="60"/>
      <c r="P1764" s="101"/>
      <c r="Q1764" s="271"/>
      <c r="R1764" s="276">
        <v>0.0</v>
      </c>
      <c r="S1764" s="271"/>
      <c r="T1764" s="271">
        <v>-5.0</v>
      </c>
      <c r="U1764" s="62">
        <v>1.0</v>
      </c>
      <c r="V1764" s="277">
        <v>0.3</v>
      </c>
      <c r="W1764" s="277">
        <v>0.0</v>
      </c>
      <c r="X1764" s="271">
        <v>-4.0</v>
      </c>
      <c r="Y1764" s="271">
        <v>-2.0</v>
      </c>
      <c r="Z1764" s="50" t="b">
        <v>1</v>
      </c>
      <c r="AA1764" s="50" t="s">
        <v>138</v>
      </c>
      <c r="AB1764" s="50" t="s">
        <v>138</v>
      </c>
    </row>
    <row r="1765">
      <c r="A1765" s="280" t="s">
        <v>150</v>
      </c>
      <c r="B1765" s="280" t="s">
        <v>152</v>
      </c>
      <c r="C1765" s="278">
        <v>44794.0</v>
      </c>
      <c r="D1765" s="278">
        <v>44824.0</v>
      </c>
      <c r="E1765" s="280" t="s">
        <v>268</v>
      </c>
      <c r="F1765" s="138" t="s">
        <v>12</v>
      </c>
      <c r="G1765" s="280" t="s">
        <v>5</v>
      </c>
      <c r="H1765" s="273" t="s">
        <v>74</v>
      </c>
      <c r="I1765" s="274">
        <v>50.0</v>
      </c>
      <c r="J1765" s="271">
        <v>4.0</v>
      </c>
      <c r="K1765" s="271">
        <f t="shared" si="1"/>
        <v>200</v>
      </c>
      <c r="L1765" s="271"/>
      <c r="M1765" s="271">
        <v>200.0</v>
      </c>
      <c r="N1765" s="275">
        <v>7.0</v>
      </c>
      <c r="O1765" s="60"/>
      <c r="P1765" s="50">
        <v>7.0</v>
      </c>
      <c r="Q1765" s="271"/>
      <c r="R1765" s="276">
        <v>0.0</v>
      </c>
      <c r="S1765" s="271"/>
      <c r="T1765" s="271">
        <v>207.0</v>
      </c>
      <c r="U1765" s="62">
        <v>1.0</v>
      </c>
      <c r="V1765" s="277">
        <v>0.3</v>
      </c>
      <c r="W1765" s="277">
        <v>0.0</v>
      </c>
      <c r="X1765" s="271">
        <v>145.0</v>
      </c>
      <c r="Y1765" s="271">
        <v>62.0</v>
      </c>
      <c r="Z1765" s="50" t="b">
        <v>1</v>
      </c>
      <c r="AA1765" s="50" t="s">
        <v>138</v>
      </c>
      <c r="AB1765" s="50" t="s">
        <v>138</v>
      </c>
    </row>
    <row r="1766">
      <c r="A1766" s="101" t="s">
        <v>195</v>
      </c>
      <c r="B1766" s="101" t="s">
        <v>195</v>
      </c>
      <c r="C1766" s="278">
        <v>44794.0</v>
      </c>
      <c r="D1766" s="278">
        <v>44824.0</v>
      </c>
      <c r="E1766" s="271" t="s">
        <v>331</v>
      </c>
      <c r="F1766" s="138" t="s">
        <v>4</v>
      </c>
      <c r="G1766" s="101" t="s">
        <v>5</v>
      </c>
      <c r="H1766" s="273" t="s">
        <v>74</v>
      </c>
      <c r="I1766" s="274">
        <v>50.0</v>
      </c>
      <c r="J1766" s="271">
        <v>1656.0</v>
      </c>
      <c r="K1766" s="271">
        <f t="shared" si="1"/>
        <v>82800</v>
      </c>
      <c r="L1766" s="271">
        <v>13328.0</v>
      </c>
      <c r="M1766" s="271">
        <v>-5400.0</v>
      </c>
      <c r="N1766" s="275">
        <v>3271.0</v>
      </c>
      <c r="O1766" s="60"/>
      <c r="P1766" s="109">
        <v>3271.0</v>
      </c>
      <c r="Q1766" s="271">
        <v>-4063.0</v>
      </c>
      <c r="R1766" s="276">
        <v>-0.0015</v>
      </c>
      <c r="S1766" s="271">
        <v>-4188.0</v>
      </c>
      <c r="T1766" s="271">
        <v>-917.0</v>
      </c>
      <c r="U1766" s="62">
        <v>1.0</v>
      </c>
      <c r="V1766" s="277">
        <v>0.1125</v>
      </c>
      <c r="W1766" s="277">
        <v>0.0375</v>
      </c>
      <c r="X1766" s="271">
        <v>-779.0</v>
      </c>
      <c r="Y1766" s="271">
        <v>-138.0</v>
      </c>
      <c r="Z1766" s="50" t="b">
        <v>1</v>
      </c>
      <c r="AA1766" s="50" t="s">
        <v>138</v>
      </c>
      <c r="AB1766" s="50" t="s">
        <v>138</v>
      </c>
    </row>
    <row r="1767">
      <c r="A1767" s="101" t="s">
        <v>195</v>
      </c>
      <c r="B1767" s="101" t="s">
        <v>195</v>
      </c>
      <c r="C1767" s="278">
        <v>44794.0</v>
      </c>
      <c r="D1767" s="278">
        <v>44824.0</v>
      </c>
      <c r="E1767" s="271" t="s">
        <v>331</v>
      </c>
      <c r="F1767" s="138" t="s">
        <v>4</v>
      </c>
      <c r="G1767" s="101" t="s">
        <v>5</v>
      </c>
      <c r="H1767" s="273" t="s">
        <v>75</v>
      </c>
      <c r="I1767" s="274">
        <v>50.0</v>
      </c>
      <c r="J1767" s="271">
        <v>260.0</v>
      </c>
      <c r="K1767" s="271">
        <f t="shared" si="1"/>
        <v>13000</v>
      </c>
      <c r="L1767" s="271">
        <v>3621.0</v>
      </c>
      <c r="M1767" s="271">
        <v>300.0</v>
      </c>
      <c r="N1767" s="275">
        <v>513.0</v>
      </c>
      <c r="O1767" s="60"/>
      <c r="P1767" s="50">
        <v>513.0</v>
      </c>
      <c r="Q1767" s="271">
        <v>-272.0</v>
      </c>
      <c r="R1767" s="276">
        <v>-0.0015</v>
      </c>
      <c r="S1767" s="271">
        <v>-292.0</v>
      </c>
      <c r="T1767" s="271">
        <v>221.0</v>
      </c>
      <c r="U1767" s="62">
        <v>1.0</v>
      </c>
      <c r="V1767" s="277">
        <v>0.1125</v>
      </c>
      <c r="W1767" s="277">
        <v>0.0375</v>
      </c>
      <c r="X1767" s="271">
        <v>188.0</v>
      </c>
      <c r="Y1767" s="271">
        <v>33.0</v>
      </c>
      <c r="Z1767" s="50" t="b">
        <v>1</v>
      </c>
      <c r="AA1767" s="50" t="s">
        <v>138</v>
      </c>
      <c r="AB1767" s="50" t="s">
        <v>138</v>
      </c>
    </row>
    <row r="1768">
      <c r="A1768" s="101" t="s">
        <v>195</v>
      </c>
      <c r="B1768" s="101" t="s">
        <v>195</v>
      </c>
      <c r="C1768" s="278">
        <v>44794.0</v>
      </c>
      <c r="D1768" s="278">
        <v>44824.0</v>
      </c>
      <c r="E1768" s="271" t="s">
        <v>331</v>
      </c>
      <c r="F1768" s="138" t="s">
        <v>4</v>
      </c>
      <c r="G1768" s="101" t="s">
        <v>5</v>
      </c>
      <c r="H1768" s="273" t="s">
        <v>85</v>
      </c>
      <c r="I1768" s="274">
        <v>100.0</v>
      </c>
      <c r="J1768" s="271">
        <v>5742.0</v>
      </c>
      <c r="K1768" s="271">
        <f t="shared" si="1"/>
        <v>574200</v>
      </c>
      <c r="L1768" s="271">
        <v>87189.0</v>
      </c>
      <c r="M1768" s="271">
        <v>8400.0</v>
      </c>
      <c r="N1768" s="275">
        <v>18902.0</v>
      </c>
      <c r="O1768" s="60"/>
      <c r="P1768" s="109">
        <v>18902.0</v>
      </c>
      <c r="Q1768" s="271">
        <v>-14665.0</v>
      </c>
      <c r="R1768" s="276">
        <v>-0.0015</v>
      </c>
      <c r="S1768" s="271">
        <v>-15526.0</v>
      </c>
      <c r="T1768" s="271">
        <v>3376.0</v>
      </c>
      <c r="U1768" s="62">
        <v>1.0</v>
      </c>
      <c r="V1768" s="277">
        <v>0.1125</v>
      </c>
      <c r="W1768" s="277">
        <v>0.0375</v>
      </c>
      <c r="X1768" s="271">
        <v>2869.0</v>
      </c>
      <c r="Y1768" s="271">
        <v>506.0</v>
      </c>
      <c r="Z1768" s="50" t="b">
        <v>1</v>
      </c>
      <c r="AA1768" s="50" t="s">
        <v>138</v>
      </c>
      <c r="AB1768" s="50" t="s">
        <v>138</v>
      </c>
    </row>
    <row r="1769">
      <c r="A1769" s="101" t="s">
        <v>195</v>
      </c>
      <c r="B1769" s="101" t="s">
        <v>195</v>
      </c>
      <c r="C1769" s="278">
        <v>44794.0</v>
      </c>
      <c r="D1769" s="278">
        <v>44824.0</v>
      </c>
      <c r="E1769" s="271" t="s">
        <v>331</v>
      </c>
      <c r="F1769" s="138" t="s">
        <v>4</v>
      </c>
      <c r="G1769" s="101" t="s">
        <v>5</v>
      </c>
      <c r="H1769" s="273" t="s">
        <v>86</v>
      </c>
      <c r="I1769" s="274">
        <v>100.0</v>
      </c>
      <c r="J1769" s="271">
        <v>938.0</v>
      </c>
      <c r="K1769" s="271">
        <f t="shared" si="1"/>
        <v>93800</v>
      </c>
      <c r="L1769" s="271">
        <v>5828.0</v>
      </c>
      <c r="M1769" s="271">
        <v>500.0</v>
      </c>
      <c r="N1769" s="275">
        <v>3088.0</v>
      </c>
      <c r="O1769" s="60"/>
      <c r="P1769" s="109">
        <v>3088.0</v>
      </c>
      <c r="Q1769" s="271">
        <v>-3245.0</v>
      </c>
      <c r="R1769" s="276">
        <v>-0.0015</v>
      </c>
      <c r="S1769" s="271">
        <v>-3385.0</v>
      </c>
      <c r="T1769" s="271">
        <v>-297.0</v>
      </c>
      <c r="U1769" s="62">
        <v>1.0</v>
      </c>
      <c r="V1769" s="277">
        <v>0.1125</v>
      </c>
      <c r="W1769" s="277">
        <v>0.0375</v>
      </c>
      <c r="X1769" s="271">
        <v>-253.0</v>
      </c>
      <c r="Y1769" s="271">
        <v>-45.0</v>
      </c>
      <c r="Z1769" s="50" t="b">
        <v>1</v>
      </c>
      <c r="AA1769" s="50" t="s">
        <v>138</v>
      </c>
      <c r="AB1769" s="50" t="s">
        <v>138</v>
      </c>
    </row>
    <row r="1770">
      <c r="A1770" s="101" t="s">
        <v>195</v>
      </c>
      <c r="B1770" s="101" t="s">
        <v>195</v>
      </c>
      <c r="C1770" s="278">
        <v>44794.0</v>
      </c>
      <c r="D1770" s="278">
        <v>44824.0</v>
      </c>
      <c r="E1770" s="271" t="s">
        <v>331</v>
      </c>
      <c r="F1770" s="138" t="s">
        <v>4</v>
      </c>
      <c r="G1770" s="101" t="s">
        <v>5</v>
      </c>
      <c r="H1770" s="273" t="s">
        <v>96</v>
      </c>
      <c r="I1770" s="274">
        <v>250.0</v>
      </c>
      <c r="J1770" s="271">
        <v>967.0</v>
      </c>
      <c r="K1770" s="271">
        <f t="shared" si="1"/>
        <v>241750</v>
      </c>
      <c r="L1770" s="271">
        <v>25598.0</v>
      </c>
      <c r="M1770" s="271">
        <v>19500.0</v>
      </c>
      <c r="N1770" s="275">
        <v>7958.0</v>
      </c>
      <c r="O1770" s="60"/>
      <c r="P1770" s="109">
        <v>7958.0</v>
      </c>
      <c r="Q1770" s="271">
        <v>-449.0</v>
      </c>
      <c r="R1770" s="276">
        <v>-0.0015</v>
      </c>
      <c r="S1770" s="271">
        <v>-812.0</v>
      </c>
      <c r="T1770" s="271">
        <v>7146.0</v>
      </c>
      <c r="U1770" s="62">
        <v>1.0</v>
      </c>
      <c r="V1770" s="277">
        <v>0.1125</v>
      </c>
      <c r="W1770" s="277">
        <v>0.0375</v>
      </c>
      <c r="X1770" s="271">
        <v>6074.0</v>
      </c>
      <c r="Y1770" s="271">
        <v>1072.0</v>
      </c>
      <c r="Z1770" s="50" t="b">
        <v>1</v>
      </c>
      <c r="AA1770" s="50" t="s">
        <v>138</v>
      </c>
      <c r="AB1770" s="50" t="s">
        <v>138</v>
      </c>
    </row>
    <row r="1771">
      <c r="A1771" s="101" t="s">
        <v>195</v>
      </c>
      <c r="B1771" s="101" t="s">
        <v>195</v>
      </c>
      <c r="C1771" s="278">
        <v>44794.0</v>
      </c>
      <c r="D1771" s="278">
        <v>44824.0</v>
      </c>
      <c r="E1771" s="271" t="s">
        <v>331</v>
      </c>
      <c r="F1771" s="138" t="s">
        <v>4</v>
      </c>
      <c r="G1771" s="101" t="s">
        <v>5</v>
      </c>
      <c r="H1771" s="273" t="s">
        <v>97</v>
      </c>
      <c r="I1771" s="274">
        <v>250.0</v>
      </c>
      <c r="J1771" s="271">
        <v>50.0</v>
      </c>
      <c r="K1771" s="271">
        <f t="shared" si="1"/>
        <v>12500</v>
      </c>
      <c r="L1771" s="271">
        <v>1925.0</v>
      </c>
      <c r="M1771" s="271">
        <v>4500.0</v>
      </c>
      <c r="N1771" s="275">
        <v>411.0</v>
      </c>
      <c r="O1771" s="60"/>
      <c r="P1771" s="50">
        <v>411.0</v>
      </c>
      <c r="Q1771" s="271">
        <v>862.0</v>
      </c>
      <c r="R1771" s="276">
        <v>-0.0015</v>
      </c>
      <c r="S1771" s="271">
        <v>843.0</v>
      </c>
      <c r="T1771" s="271">
        <v>1254.0</v>
      </c>
      <c r="U1771" s="62">
        <v>1.0</v>
      </c>
      <c r="V1771" s="277">
        <v>0.1125</v>
      </c>
      <c r="W1771" s="277">
        <v>0.0375</v>
      </c>
      <c r="X1771" s="271">
        <v>1066.0</v>
      </c>
      <c r="Y1771" s="271">
        <v>188.0</v>
      </c>
      <c r="Z1771" s="50" t="b">
        <v>1</v>
      </c>
      <c r="AA1771" s="50" t="s">
        <v>138</v>
      </c>
      <c r="AB1771" s="50" t="s">
        <v>138</v>
      </c>
    </row>
    <row r="1772">
      <c r="A1772" s="280" t="s">
        <v>477</v>
      </c>
      <c r="B1772" s="280" t="s">
        <v>164</v>
      </c>
      <c r="C1772" s="278">
        <v>44794.0</v>
      </c>
      <c r="D1772" s="278">
        <v>44824.0</v>
      </c>
      <c r="E1772" s="280" t="s">
        <v>331</v>
      </c>
      <c r="F1772" s="138" t="s">
        <v>4</v>
      </c>
      <c r="G1772" s="271" t="s">
        <v>13</v>
      </c>
      <c r="H1772" s="271" t="s">
        <v>59</v>
      </c>
      <c r="I1772" s="274">
        <v>20.0</v>
      </c>
      <c r="J1772" s="271">
        <v>1.0</v>
      </c>
      <c r="K1772" s="271">
        <f t="shared" si="1"/>
        <v>20</v>
      </c>
      <c r="L1772" s="271">
        <v>408.0</v>
      </c>
      <c r="M1772" s="271">
        <v>-20.0</v>
      </c>
      <c r="N1772" s="275">
        <v>4.7</v>
      </c>
      <c r="O1772" s="60"/>
      <c r="P1772" s="50">
        <v>5.0</v>
      </c>
      <c r="Q1772" s="271">
        <v>22.0</v>
      </c>
      <c r="R1772" s="276">
        <v>-5.8E-4</v>
      </c>
      <c r="S1772" s="271">
        <v>22.0</v>
      </c>
      <c r="T1772" s="271">
        <v>27.0</v>
      </c>
      <c r="U1772" s="62">
        <v>1.0</v>
      </c>
      <c r="V1772" s="277">
        <v>0.15</v>
      </c>
      <c r="W1772" s="277">
        <v>0.05</v>
      </c>
      <c r="X1772" s="271">
        <v>21.0</v>
      </c>
      <c r="Y1772" s="271">
        <v>5.0</v>
      </c>
      <c r="Z1772" s="50" t="b">
        <v>1</v>
      </c>
      <c r="AA1772" s="50" t="s">
        <v>138</v>
      </c>
      <c r="AB1772" s="50" t="s">
        <v>138</v>
      </c>
    </row>
    <row r="1773">
      <c r="A1773" s="280" t="s">
        <v>477</v>
      </c>
      <c r="B1773" s="280" t="s">
        <v>164</v>
      </c>
      <c r="C1773" s="278">
        <v>44794.0</v>
      </c>
      <c r="D1773" s="278">
        <v>44824.0</v>
      </c>
      <c r="E1773" s="280" t="s">
        <v>331</v>
      </c>
      <c r="F1773" s="138" t="s">
        <v>4</v>
      </c>
      <c r="G1773" s="271" t="s">
        <v>13</v>
      </c>
      <c r="H1773" s="271" t="s">
        <v>85</v>
      </c>
      <c r="I1773" s="274">
        <v>100.0</v>
      </c>
      <c r="J1773" s="271">
        <v>10285.0</v>
      </c>
      <c r="K1773" s="271">
        <f t="shared" si="1"/>
        <v>1028500</v>
      </c>
      <c r="L1773" s="271">
        <v>96156.0</v>
      </c>
      <c r="M1773" s="271">
        <v>-57900.0</v>
      </c>
      <c r="N1773" s="275">
        <v>57613.0</v>
      </c>
      <c r="O1773" s="60"/>
      <c r="P1773" s="109">
        <v>57613.0</v>
      </c>
      <c r="Q1773" s="271">
        <v>-47761.0</v>
      </c>
      <c r="R1773" s="276">
        <v>-5.8E-4</v>
      </c>
      <c r="S1773" s="271">
        <v>-48358.0</v>
      </c>
      <c r="T1773" s="271">
        <v>9255.0</v>
      </c>
      <c r="U1773" s="62">
        <v>1.0</v>
      </c>
      <c r="V1773" s="277">
        <v>0.15</v>
      </c>
      <c r="W1773" s="277">
        <v>0.05</v>
      </c>
      <c r="X1773" s="271">
        <v>7404.0</v>
      </c>
      <c r="Y1773" s="271">
        <v>1851.0</v>
      </c>
      <c r="Z1773" s="50" t="b">
        <v>1</v>
      </c>
      <c r="AA1773" s="50" t="s">
        <v>138</v>
      </c>
      <c r="AB1773" s="50" t="s">
        <v>138</v>
      </c>
    </row>
    <row r="1774">
      <c r="A1774" s="101" t="s">
        <v>505</v>
      </c>
      <c r="B1774" s="271" t="s">
        <v>166</v>
      </c>
      <c r="C1774" s="278">
        <v>44794.0</v>
      </c>
      <c r="D1774" s="278">
        <v>44824.0</v>
      </c>
      <c r="E1774" s="271" t="s">
        <v>268</v>
      </c>
      <c r="F1774" s="101" t="s">
        <v>4</v>
      </c>
      <c r="G1774" s="271" t="s">
        <v>5</v>
      </c>
      <c r="H1774" s="273" t="s">
        <v>62</v>
      </c>
      <c r="I1774" s="281">
        <v>25.0</v>
      </c>
      <c r="J1774" s="280">
        <v>1652.0</v>
      </c>
      <c r="K1774" s="271">
        <f t="shared" si="1"/>
        <v>41300</v>
      </c>
      <c r="L1774" s="280">
        <v>34435.0</v>
      </c>
      <c r="M1774" s="280">
        <v>-75.0</v>
      </c>
      <c r="N1774" s="275">
        <v>1750.0</v>
      </c>
      <c r="O1774" s="60"/>
      <c r="P1774" s="109">
        <v>1750.0</v>
      </c>
      <c r="Q1774" s="280">
        <v>-1047.0</v>
      </c>
      <c r="R1774" s="276">
        <v>-5.8E-4</v>
      </c>
      <c r="S1774" s="280">
        <v>-1071.0</v>
      </c>
      <c r="T1774" s="280">
        <v>679.0</v>
      </c>
      <c r="U1774" s="62">
        <v>1.0</v>
      </c>
      <c r="V1774" s="277">
        <v>0.3</v>
      </c>
      <c r="W1774" s="277">
        <v>0.0</v>
      </c>
      <c r="X1774" s="280">
        <v>475.0</v>
      </c>
      <c r="Y1774" s="280">
        <v>204.0</v>
      </c>
      <c r="Z1774" s="50" t="b">
        <v>0</v>
      </c>
      <c r="AA1774" s="50" t="s">
        <v>138</v>
      </c>
      <c r="AB1774" s="50" t="s">
        <v>138</v>
      </c>
    </row>
    <row r="1775">
      <c r="A1775" s="101" t="s">
        <v>199</v>
      </c>
      <c r="B1775" s="101" t="s">
        <v>199</v>
      </c>
      <c r="C1775" s="278">
        <v>44794.0</v>
      </c>
      <c r="D1775" s="278">
        <v>44824.0</v>
      </c>
      <c r="E1775" s="280" t="s">
        <v>268</v>
      </c>
      <c r="F1775" s="138" t="s">
        <v>4</v>
      </c>
      <c r="G1775" s="271" t="s">
        <v>5</v>
      </c>
      <c r="H1775" s="273" t="s">
        <v>45</v>
      </c>
      <c r="I1775" s="281">
        <v>10.0</v>
      </c>
      <c r="J1775" s="280">
        <v>1177.0</v>
      </c>
      <c r="K1775" s="271">
        <f t="shared" si="1"/>
        <v>11770</v>
      </c>
      <c r="L1775" s="280">
        <v>44716.0</v>
      </c>
      <c r="M1775" s="280">
        <v>-370.0</v>
      </c>
      <c r="N1775" s="275">
        <v>522.0</v>
      </c>
      <c r="O1775" s="60"/>
      <c r="P1775" s="50">
        <v>522.0</v>
      </c>
      <c r="Q1775" s="280">
        <v>-41.0</v>
      </c>
      <c r="R1775" s="276">
        <v>-5.8E-4</v>
      </c>
      <c r="S1775" s="280">
        <v>-48.0</v>
      </c>
      <c r="T1775" s="280">
        <v>474.0</v>
      </c>
      <c r="U1775" s="62">
        <v>1.0</v>
      </c>
      <c r="V1775" s="277">
        <v>0.23</v>
      </c>
      <c r="W1775" s="277">
        <v>0.0</v>
      </c>
      <c r="X1775" s="280">
        <v>365.0</v>
      </c>
      <c r="Y1775" s="280">
        <v>109.0</v>
      </c>
      <c r="Z1775" s="50" t="b">
        <v>1</v>
      </c>
      <c r="AA1775" s="50" t="s">
        <v>138</v>
      </c>
      <c r="AB1775" s="50" t="s">
        <v>138</v>
      </c>
    </row>
    <row r="1776">
      <c r="A1776" s="101" t="s">
        <v>199</v>
      </c>
      <c r="B1776" s="101" t="s">
        <v>199</v>
      </c>
      <c r="C1776" s="278">
        <v>44794.0</v>
      </c>
      <c r="D1776" s="278">
        <v>44824.0</v>
      </c>
      <c r="E1776" s="280" t="s">
        <v>268</v>
      </c>
      <c r="F1776" s="138" t="s">
        <v>4</v>
      </c>
      <c r="G1776" s="271" t="s">
        <v>5</v>
      </c>
      <c r="H1776" s="273" t="s">
        <v>48</v>
      </c>
      <c r="I1776" s="281">
        <v>10.0</v>
      </c>
      <c r="J1776" s="280">
        <v>1079.0</v>
      </c>
      <c r="K1776" s="271">
        <f t="shared" si="1"/>
        <v>10790</v>
      </c>
      <c r="L1776" s="280">
        <v>11085.0</v>
      </c>
      <c r="M1776" s="280">
        <v>-510.0</v>
      </c>
      <c r="N1776" s="275">
        <v>478.0</v>
      </c>
      <c r="O1776" s="60"/>
      <c r="P1776" s="50">
        <v>478.0</v>
      </c>
      <c r="Q1776" s="280">
        <v>-450.0</v>
      </c>
      <c r="R1776" s="276">
        <v>-5.8E-4</v>
      </c>
      <c r="S1776" s="280">
        <v>-456.0</v>
      </c>
      <c r="T1776" s="280">
        <v>22.0</v>
      </c>
      <c r="U1776" s="62">
        <v>1.0</v>
      </c>
      <c r="V1776" s="277">
        <v>0.23</v>
      </c>
      <c r="W1776" s="277">
        <v>0.0</v>
      </c>
      <c r="X1776" s="280">
        <v>17.0</v>
      </c>
      <c r="Y1776" s="280">
        <v>5.0</v>
      </c>
      <c r="Z1776" s="50" t="b">
        <v>1</v>
      </c>
      <c r="AA1776" s="50" t="s">
        <v>138</v>
      </c>
      <c r="AB1776" s="50" t="s">
        <v>138</v>
      </c>
    </row>
    <row r="1777">
      <c r="A1777" s="101" t="s">
        <v>199</v>
      </c>
      <c r="B1777" s="101" t="s">
        <v>199</v>
      </c>
      <c r="C1777" s="278">
        <v>44794.0</v>
      </c>
      <c r="D1777" s="278">
        <v>44824.0</v>
      </c>
      <c r="E1777" s="280" t="s">
        <v>268</v>
      </c>
      <c r="F1777" s="138" t="s">
        <v>4</v>
      </c>
      <c r="G1777" s="271" t="s">
        <v>5</v>
      </c>
      <c r="H1777" s="273" t="s">
        <v>62</v>
      </c>
      <c r="I1777" s="281">
        <v>25.0</v>
      </c>
      <c r="J1777" s="280">
        <v>205.0</v>
      </c>
      <c r="K1777" s="271">
        <f t="shared" si="1"/>
        <v>5125</v>
      </c>
      <c r="L1777" s="280">
        <v>-4818.0</v>
      </c>
      <c r="M1777" s="280">
        <v>-275.0</v>
      </c>
      <c r="N1777" s="275">
        <v>195.0</v>
      </c>
      <c r="O1777" s="60"/>
      <c r="P1777" s="50">
        <v>195.0</v>
      </c>
      <c r="Q1777" s="280">
        <v>-544.0</v>
      </c>
      <c r="R1777" s="276">
        <v>-5.8E-4</v>
      </c>
      <c r="S1777" s="280">
        <v>-547.0</v>
      </c>
      <c r="T1777" s="280">
        <v>-352.0</v>
      </c>
      <c r="U1777" s="62">
        <v>1.0</v>
      </c>
      <c r="V1777" s="277">
        <v>0.23</v>
      </c>
      <c r="W1777" s="277">
        <v>0.0</v>
      </c>
      <c r="X1777" s="280">
        <v>-271.0</v>
      </c>
      <c r="Y1777" s="280">
        <v>-81.0</v>
      </c>
      <c r="Z1777" s="50" t="b">
        <v>1</v>
      </c>
      <c r="AA1777" s="50" t="s">
        <v>138</v>
      </c>
      <c r="AB1777" s="50" t="s">
        <v>138</v>
      </c>
    </row>
    <row r="1778">
      <c r="A1778" s="280" t="s">
        <v>156</v>
      </c>
      <c r="B1778" s="280" t="s">
        <v>158</v>
      </c>
      <c r="C1778" s="283">
        <v>44794.0</v>
      </c>
      <c r="D1778" s="283">
        <v>44824.0</v>
      </c>
      <c r="E1778" s="280" t="s">
        <v>268</v>
      </c>
      <c r="F1778" s="138" t="s">
        <v>4</v>
      </c>
      <c r="G1778" s="280" t="s">
        <v>9</v>
      </c>
      <c r="H1778" s="290" t="s">
        <v>80</v>
      </c>
      <c r="I1778" s="281">
        <v>50.0</v>
      </c>
      <c r="J1778" s="280">
        <v>1679.0</v>
      </c>
      <c r="K1778" s="271">
        <f t="shared" si="1"/>
        <v>83950</v>
      </c>
      <c r="L1778" s="280">
        <v>64197.0</v>
      </c>
      <c r="M1778" s="280">
        <v>-3600.0</v>
      </c>
      <c r="N1778" s="282">
        <v>2736.63</v>
      </c>
      <c r="O1778" s="60"/>
      <c r="P1778" s="109">
        <v>2737.0</v>
      </c>
      <c r="Q1778" s="280">
        <v>-1324.0</v>
      </c>
      <c r="R1778" s="276">
        <v>-5.8E-4</v>
      </c>
      <c r="S1778" s="280">
        <v>-1373.0</v>
      </c>
      <c r="T1778" s="280">
        <v>1364.0</v>
      </c>
      <c r="U1778" s="62">
        <v>1.0</v>
      </c>
      <c r="V1778" s="277">
        <v>0.25</v>
      </c>
      <c r="W1778" s="277">
        <v>0.0</v>
      </c>
      <c r="X1778" s="280">
        <v>1023.0</v>
      </c>
      <c r="Y1778" s="280">
        <v>341.0</v>
      </c>
      <c r="Z1778" s="50" t="b">
        <v>1</v>
      </c>
      <c r="AA1778" s="50" t="s">
        <v>140</v>
      </c>
      <c r="AB1778" s="50" t="s">
        <v>140</v>
      </c>
    </row>
    <row r="1779">
      <c r="A1779" s="280" t="s">
        <v>156</v>
      </c>
      <c r="B1779" s="280" t="s">
        <v>158</v>
      </c>
      <c r="C1779" s="283">
        <v>44794.0</v>
      </c>
      <c r="D1779" s="283">
        <v>44824.0</v>
      </c>
      <c r="E1779" s="280" t="s">
        <v>268</v>
      </c>
      <c r="F1779" s="138" t="s">
        <v>4</v>
      </c>
      <c r="G1779" s="280" t="s">
        <v>9</v>
      </c>
      <c r="H1779" s="290" t="s">
        <v>89</v>
      </c>
      <c r="I1779" s="281">
        <v>100.0</v>
      </c>
      <c r="J1779" s="280">
        <v>179.0</v>
      </c>
      <c r="K1779" s="271">
        <f t="shared" si="1"/>
        <v>17900</v>
      </c>
      <c r="L1779" s="280">
        <v>9374.0</v>
      </c>
      <c r="M1779" s="280">
        <v>-1500.0</v>
      </c>
      <c r="N1779" s="282">
        <v>8.37</v>
      </c>
      <c r="O1779" s="60"/>
      <c r="P1779" s="50">
        <v>8.0</v>
      </c>
      <c r="Q1779" s="280">
        <v>120.0</v>
      </c>
      <c r="R1779" s="276">
        <v>-5.8E-4</v>
      </c>
      <c r="S1779" s="280">
        <v>110.0</v>
      </c>
      <c r="T1779" s="280">
        <v>118.0</v>
      </c>
      <c r="U1779" s="62">
        <v>1.0</v>
      </c>
      <c r="V1779" s="277">
        <v>0.25</v>
      </c>
      <c r="W1779" s="277">
        <v>0.0</v>
      </c>
      <c r="X1779" s="280">
        <v>88.0</v>
      </c>
      <c r="Y1779" s="280">
        <v>29.0</v>
      </c>
      <c r="Z1779" s="50" t="b">
        <v>1</v>
      </c>
      <c r="AA1779" s="50" t="s">
        <v>140</v>
      </c>
      <c r="AB1779" s="50" t="s">
        <v>140</v>
      </c>
    </row>
    <row r="1780">
      <c r="A1780" s="101" t="s">
        <v>546</v>
      </c>
      <c r="B1780" s="101" t="s">
        <v>202</v>
      </c>
      <c r="C1780" s="278">
        <v>44794.0</v>
      </c>
      <c r="D1780" s="278">
        <v>44824.0</v>
      </c>
      <c r="E1780" s="271" t="s">
        <v>331</v>
      </c>
      <c r="F1780" s="138" t="s">
        <v>4</v>
      </c>
      <c r="G1780" s="271" t="s">
        <v>13</v>
      </c>
      <c r="H1780" s="273" t="s">
        <v>85</v>
      </c>
      <c r="I1780" s="274">
        <v>100.0</v>
      </c>
      <c r="J1780" s="271">
        <v>5437.0</v>
      </c>
      <c r="K1780" s="271">
        <f t="shared" si="1"/>
        <v>543700</v>
      </c>
      <c r="L1780" s="271">
        <v>91683.0</v>
      </c>
      <c r="M1780" s="271">
        <v>-3000.0</v>
      </c>
      <c r="N1780" s="275">
        <f>31*100+1000+26736</f>
        <v>30836</v>
      </c>
      <c r="O1780" s="60"/>
      <c r="P1780" s="109">
        <v>30836.0</v>
      </c>
      <c r="Q1780" s="271">
        <v>-13496.0</v>
      </c>
      <c r="R1780" s="276">
        <v>-5.8E-4</v>
      </c>
      <c r="S1780" s="271">
        <v>-13811.0</v>
      </c>
      <c r="T1780" s="271">
        <v>17025.0</v>
      </c>
      <c r="U1780" s="62">
        <v>1.0</v>
      </c>
      <c r="V1780" s="277">
        <v>0.09</v>
      </c>
      <c r="W1780" s="277">
        <v>0.03</v>
      </c>
      <c r="X1780" s="271">
        <v>14982.0</v>
      </c>
      <c r="Y1780" s="271">
        <v>2043.0</v>
      </c>
      <c r="Z1780" s="50" t="b">
        <v>1</v>
      </c>
      <c r="AA1780" s="50" t="s">
        <v>138</v>
      </c>
      <c r="AB1780" s="50" t="s">
        <v>138</v>
      </c>
    </row>
    <row r="1781">
      <c r="A1781" s="101" t="s">
        <v>160</v>
      </c>
      <c r="B1781" s="101" t="s">
        <v>160</v>
      </c>
      <c r="C1781" s="278">
        <v>44794.0</v>
      </c>
      <c r="D1781" s="278">
        <v>44824.0</v>
      </c>
      <c r="E1781" s="271" t="s">
        <v>268</v>
      </c>
      <c r="F1781" s="138" t="s">
        <v>4</v>
      </c>
      <c r="G1781" s="101" t="s">
        <v>5</v>
      </c>
      <c r="H1781" s="273" t="s">
        <v>45</v>
      </c>
      <c r="I1781" s="274">
        <v>10.0</v>
      </c>
      <c r="J1781" s="271">
        <v>3082.0</v>
      </c>
      <c r="K1781" s="271">
        <f t="shared" si="1"/>
        <v>30820</v>
      </c>
      <c r="L1781" s="271">
        <v>59631.0</v>
      </c>
      <c r="M1781" s="271">
        <v>-2510.0</v>
      </c>
      <c r="N1781" s="275">
        <v>2470.0</v>
      </c>
      <c r="O1781" s="60"/>
      <c r="P1781" s="109">
        <v>2470.0</v>
      </c>
      <c r="Q1781" s="271">
        <v>-1187.0</v>
      </c>
      <c r="R1781" s="276">
        <v>-5.8E-4</v>
      </c>
      <c r="S1781" s="271">
        <v>-1205.0</v>
      </c>
      <c r="T1781" s="271">
        <v>1265.0</v>
      </c>
      <c r="U1781" s="62">
        <v>1.0</v>
      </c>
      <c r="V1781" s="277">
        <v>0.3</v>
      </c>
      <c r="W1781" s="277">
        <v>0.0</v>
      </c>
      <c r="X1781" s="271">
        <v>886.0</v>
      </c>
      <c r="Y1781" s="271">
        <v>380.0</v>
      </c>
      <c r="Z1781" s="50" t="b">
        <v>1</v>
      </c>
      <c r="AA1781" s="50" t="s">
        <v>138</v>
      </c>
      <c r="AB1781" s="50" t="s">
        <v>138</v>
      </c>
    </row>
    <row r="1782">
      <c r="A1782" s="101" t="s">
        <v>207</v>
      </c>
      <c r="B1782" s="101" t="s">
        <v>208</v>
      </c>
      <c r="C1782" s="278">
        <v>44794.0</v>
      </c>
      <c r="D1782" s="278">
        <v>44824.0</v>
      </c>
      <c r="E1782" s="271" t="s">
        <v>268</v>
      </c>
      <c r="F1782" s="138" t="s">
        <v>4</v>
      </c>
      <c r="G1782" s="101" t="s">
        <v>13</v>
      </c>
      <c r="H1782" s="273" t="s">
        <v>34</v>
      </c>
      <c r="I1782" s="274">
        <v>5.0</v>
      </c>
      <c r="J1782" s="271">
        <v>2473.0</v>
      </c>
      <c r="K1782" s="271">
        <f t="shared" si="1"/>
        <v>12365</v>
      </c>
      <c r="L1782" s="271">
        <v>67866.0</v>
      </c>
      <c r="M1782" s="271">
        <v>-90.0</v>
      </c>
      <c r="N1782" s="275">
        <v>659.9</v>
      </c>
      <c r="O1782" s="60"/>
      <c r="P1782" s="50">
        <v>660.0</v>
      </c>
      <c r="Q1782" s="271">
        <v>69.0</v>
      </c>
      <c r="R1782" s="276">
        <v>-5.8E-4</v>
      </c>
      <c r="S1782" s="271">
        <v>62.0</v>
      </c>
      <c r="T1782" s="271">
        <v>722.0</v>
      </c>
      <c r="U1782" s="62">
        <v>1.0</v>
      </c>
      <c r="V1782" s="277">
        <v>0.25</v>
      </c>
      <c r="W1782" s="277">
        <v>0.0</v>
      </c>
      <c r="X1782" s="271">
        <v>542.0</v>
      </c>
      <c r="Y1782" s="271">
        <v>181.0</v>
      </c>
      <c r="Z1782" s="50" t="b">
        <v>1</v>
      </c>
      <c r="AA1782" s="50" t="s">
        <v>138</v>
      </c>
      <c r="AB1782" s="50" t="s">
        <v>138</v>
      </c>
    </row>
    <row r="1783">
      <c r="A1783" s="101" t="s">
        <v>207</v>
      </c>
      <c r="B1783" s="101" t="s">
        <v>208</v>
      </c>
      <c r="C1783" s="278">
        <v>44794.0</v>
      </c>
      <c r="D1783" s="278">
        <v>44824.0</v>
      </c>
      <c r="E1783" s="271" t="s">
        <v>268</v>
      </c>
      <c r="F1783" s="138" t="s">
        <v>4</v>
      </c>
      <c r="G1783" s="101" t="s">
        <v>13</v>
      </c>
      <c r="H1783" s="273" t="s">
        <v>45</v>
      </c>
      <c r="I1783" s="274">
        <v>10.0</v>
      </c>
      <c r="J1783" s="271">
        <v>2192.0</v>
      </c>
      <c r="K1783" s="271">
        <f t="shared" si="1"/>
        <v>21920</v>
      </c>
      <c r="L1783" s="271">
        <v>55121.0</v>
      </c>
      <c r="M1783" s="271">
        <v>-390.0</v>
      </c>
      <c r="N1783" s="275">
        <v>1169.83</v>
      </c>
      <c r="O1783" s="60"/>
      <c r="P1783" s="109">
        <v>1170.0</v>
      </c>
      <c r="Q1783" s="271">
        <v>-22.0</v>
      </c>
      <c r="R1783" s="276">
        <v>-5.8E-4</v>
      </c>
      <c r="S1783" s="271">
        <v>-34.0</v>
      </c>
      <c r="T1783" s="271">
        <v>1135.0</v>
      </c>
      <c r="U1783" s="62">
        <v>1.0</v>
      </c>
      <c r="V1783" s="277">
        <v>0.25</v>
      </c>
      <c r="W1783" s="277">
        <v>0.0</v>
      </c>
      <c r="X1783" s="271">
        <v>852.0</v>
      </c>
      <c r="Y1783" s="271">
        <v>284.0</v>
      </c>
      <c r="Z1783" s="50" t="b">
        <v>1</v>
      </c>
      <c r="AA1783" s="50" t="s">
        <v>138</v>
      </c>
      <c r="AB1783" s="50" t="s">
        <v>138</v>
      </c>
    </row>
    <row r="1784">
      <c r="A1784" s="101" t="s">
        <v>207</v>
      </c>
      <c r="B1784" s="101" t="s">
        <v>208</v>
      </c>
      <c r="C1784" s="278">
        <v>44794.0</v>
      </c>
      <c r="D1784" s="278">
        <v>44824.0</v>
      </c>
      <c r="E1784" s="271" t="s">
        <v>268</v>
      </c>
      <c r="F1784" s="138" t="s">
        <v>4</v>
      </c>
      <c r="G1784" s="101" t="s">
        <v>13</v>
      </c>
      <c r="H1784" s="273" t="s">
        <v>59</v>
      </c>
      <c r="I1784" s="274">
        <v>20.0</v>
      </c>
      <c r="J1784" s="271">
        <v>7.0</v>
      </c>
      <c r="K1784" s="271">
        <f t="shared" si="1"/>
        <v>140</v>
      </c>
      <c r="L1784" s="271">
        <v>-857.0</v>
      </c>
      <c r="M1784" s="271">
        <v>60.0</v>
      </c>
      <c r="N1784" s="275">
        <v>7.47</v>
      </c>
      <c r="O1784" s="60"/>
      <c r="P1784" s="50">
        <v>7.0</v>
      </c>
      <c r="Q1784" s="271">
        <v>-60.0</v>
      </c>
      <c r="R1784" s="276">
        <v>-5.8E-4</v>
      </c>
      <c r="S1784" s="271">
        <v>-60.0</v>
      </c>
      <c r="T1784" s="271">
        <v>-52.0</v>
      </c>
      <c r="U1784" s="62">
        <v>1.0</v>
      </c>
      <c r="V1784" s="277">
        <v>0.25</v>
      </c>
      <c r="W1784" s="277">
        <v>0.0</v>
      </c>
      <c r="X1784" s="271">
        <v>-39.0</v>
      </c>
      <c r="Y1784" s="271">
        <v>-13.0</v>
      </c>
      <c r="Z1784" s="50" t="b">
        <v>1</v>
      </c>
      <c r="AA1784" s="50" t="s">
        <v>138</v>
      </c>
      <c r="AB1784" s="50" t="s">
        <v>138</v>
      </c>
    </row>
    <row r="1785">
      <c r="A1785" s="101" t="s">
        <v>210</v>
      </c>
      <c r="B1785" s="101" t="s">
        <v>210</v>
      </c>
      <c r="C1785" s="278">
        <v>44794.0</v>
      </c>
      <c r="D1785" s="278">
        <v>44824.0</v>
      </c>
      <c r="E1785" s="271" t="s">
        <v>268</v>
      </c>
      <c r="F1785" s="101" t="s">
        <v>4</v>
      </c>
      <c r="G1785" s="271" t="s">
        <v>5</v>
      </c>
      <c r="H1785" s="290" t="s">
        <v>35</v>
      </c>
      <c r="I1785" s="281">
        <v>5.0</v>
      </c>
      <c r="J1785" s="280">
        <v>122.0</v>
      </c>
      <c r="K1785" s="271">
        <f t="shared" si="1"/>
        <v>610</v>
      </c>
      <c r="L1785" s="280">
        <v>8511.0</v>
      </c>
      <c r="M1785" s="280">
        <v>55.0</v>
      </c>
      <c r="N1785" s="275">
        <v>37.0</v>
      </c>
      <c r="O1785" s="60"/>
      <c r="P1785" s="50">
        <v>37.0</v>
      </c>
      <c r="Q1785" s="280">
        <v>23.0</v>
      </c>
      <c r="R1785" s="276">
        <v>-5.8E-4</v>
      </c>
      <c r="S1785" s="280">
        <v>23.0</v>
      </c>
      <c r="T1785" s="280">
        <v>60.0</v>
      </c>
      <c r="U1785" s="62">
        <v>1.003</v>
      </c>
      <c r="V1785" s="277">
        <v>0.17</v>
      </c>
      <c r="W1785" s="277">
        <v>0.0</v>
      </c>
      <c r="X1785" s="280">
        <v>50.0</v>
      </c>
      <c r="Y1785" s="280">
        <v>10.0</v>
      </c>
      <c r="Z1785" s="50" t="b">
        <v>1</v>
      </c>
      <c r="AA1785" s="50" t="s">
        <v>140</v>
      </c>
      <c r="AB1785" s="50" t="s">
        <v>138</v>
      </c>
    </row>
    <row r="1786">
      <c r="A1786" s="101" t="s">
        <v>210</v>
      </c>
      <c r="B1786" s="101" t="s">
        <v>210</v>
      </c>
      <c r="C1786" s="278">
        <v>44794.0</v>
      </c>
      <c r="D1786" s="278">
        <v>44824.0</v>
      </c>
      <c r="E1786" s="271" t="s">
        <v>268</v>
      </c>
      <c r="F1786" s="101" t="s">
        <v>4</v>
      </c>
      <c r="G1786" s="271" t="s">
        <v>5</v>
      </c>
      <c r="H1786" s="290" t="s">
        <v>45</v>
      </c>
      <c r="I1786" s="281">
        <v>10.0</v>
      </c>
      <c r="J1786" s="280">
        <v>19.0</v>
      </c>
      <c r="K1786" s="271">
        <f t="shared" si="1"/>
        <v>190</v>
      </c>
      <c r="L1786" s="280">
        <v>2062.0</v>
      </c>
      <c r="M1786" s="280">
        <v>0.0</v>
      </c>
      <c r="N1786" s="275">
        <v>10.0</v>
      </c>
      <c r="O1786" s="60"/>
      <c r="P1786" s="50">
        <v>10.0</v>
      </c>
      <c r="Q1786" s="280">
        <v>24.0</v>
      </c>
      <c r="R1786" s="276">
        <v>-5.8E-4</v>
      </c>
      <c r="S1786" s="280">
        <v>24.0</v>
      </c>
      <c r="T1786" s="280">
        <v>34.0</v>
      </c>
      <c r="U1786" s="62">
        <v>1.003</v>
      </c>
      <c r="V1786" s="277">
        <v>0.17</v>
      </c>
      <c r="W1786" s="277">
        <v>0.0</v>
      </c>
      <c r="X1786" s="280">
        <v>28.0</v>
      </c>
      <c r="Y1786" s="280">
        <v>6.0</v>
      </c>
      <c r="Z1786" s="50" t="b">
        <v>1</v>
      </c>
      <c r="AA1786" s="50" t="s">
        <v>140</v>
      </c>
      <c r="AB1786" s="50" t="s">
        <v>138</v>
      </c>
    </row>
    <row r="1787">
      <c r="A1787" s="101" t="s">
        <v>210</v>
      </c>
      <c r="B1787" s="101" t="s">
        <v>210</v>
      </c>
      <c r="C1787" s="278">
        <v>44794.0</v>
      </c>
      <c r="D1787" s="278">
        <v>44824.0</v>
      </c>
      <c r="E1787" s="271" t="s">
        <v>268</v>
      </c>
      <c r="F1787" s="101" t="s">
        <v>4</v>
      </c>
      <c r="G1787" s="271" t="s">
        <v>5</v>
      </c>
      <c r="H1787" s="290" t="s">
        <v>62</v>
      </c>
      <c r="I1787" s="281">
        <v>25.0</v>
      </c>
      <c r="J1787" s="280">
        <v>1774.0</v>
      </c>
      <c r="K1787" s="271">
        <f t="shared" si="1"/>
        <v>44350</v>
      </c>
      <c r="L1787" s="280">
        <v>63008.0</v>
      </c>
      <c r="M1787" s="280">
        <v>-750.0</v>
      </c>
      <c r="N1787" s="275">
        <v>2008.0</v>
      </c>
      <c r="O1787" s="60"/>
      <c r="P1787" s="109">
        <v>2008.0</v>
      </c>
      <c r="Q1787" s="280">
        <v>82.0</v>
      </c>
      <c r="R1787" s="276">
        <v>-5.8E-4</v>
      </c>
      <c r="S1787" s="280">
        <v>57.0</v>
      </c>
      <c r="T1787" s="280">
        <v>2065.0</v>
      </c>
      <c r="U1787" s="62">
        <v>1.003</v>
      </c>
      <c r="V1787" s="277">
        <v>0.17</v>
      </c>
      <c r="W1787" s="277">
        <v>0.0</v>
      </c>
      <c r="X1787" s="280">
        <v>1719.0</v>
      </c>
      <c r="Y1787" s="280">
        <v>352.0</v>
      </c>
      <c r="Z1787" s="50" t="b">
        <v>1</v>
      </c>
      <c r="AA1787" s="50" t="s">
        <v>140</v>
      </c>
      <c r="AB1787" s="50" t="s">
        <v>138</v>
      </c>
    </row>
    <row r="1788">
      <c r="A1788" s="101" t="s">
        <v>210</v>
      </c>
      <c r="B1788" s="101" t="s">
        <v>210</v>
      </c>
      <c r="C1788" s="278">
        <v>44794.0</v>
      </c>
      <c r="D1788" s="278">
        <v>44824.0</v>
      </c>
      <c r="E1788" s="271" t="s">
        <v>268</v>
      </c>
      <c r="F1788" s="101" t="s">
        <v>12</v>
      </c>
      <c r="G1788" s="271" t="s">
        <v>5</v>
      </c>
      <c r="H1788" s="290" t="s">
        <v>10</v>
      </c>
      <c r="I1788" s="274">
        <v>0.25</v>
      </c>
      <c r="J1788" s="271">
        <v>2.0</v>
      </c>
      <c r="K1788" s="271">
        <f t="shared" si="1"/>
        <v>0.5</v>
      </c>
      <c r="L1788" s="271"/>
      <c r="M1788" s="271">
        <v>-0.5</v>
      </c>
      <c r="N1788" s="275"/>
      <c r="O1788" s="60"/>
      <c r="P1788" s="101"/>
      <c r="Q1788" s="271"/>
      <c r="R1788" s="276">
        <v>0.0</v>
      </c>
      <c r="S1788" s="271"/>
      <c r="T1788" s="271">
        <v>-1.0</v>
      </c>
      <c r="U1788" s="62">
        <v>1.003</v>
      </c>
      <c r="V1788" s="277">
        <v>0.17</v>
      </c>
      <c r="W1788" s="277">
        <v>0.0</v>
      </c>
      <c r="X1788" s="271">
        <v>0.0</v>
      </c>
      <c r="Y1788" s="271">
        <v>0.0</v>
      </c>
      <c r="Z1788" s="50" t="b">
        <v>1</v>
      </c>
      <c r="AA1788" s="50" t="s">
        <v>140</v>
      </c>
      <c r="AB1788" s="50" t="s">
        <v>138</v>
      </c>
    </row>
    <row r="1789">
      <c r="A1789" s="101" t="s">
        <v>210</v>
      </c>
      <c r="B1789" s="101" t="s">
        <v>210</v>
      </c>
      <c r="C1789" s="278">
        <v>44794.0</v>
      </c>
      <c r="D1789" s="278">
        <v>44824.0</v>
      </c>
      <c r="E1789" s="271" t="s">
        <v>268</v>
      </c>
      <c r="F1789" s="101" t="s">
        <v>12</v>
      </c>
      <c r="G1789" s="271" t="s">
        <v>5</v>
      </c>
      <c r="H1789" s="290" t="s">
        <v>23</v>
      </c>
      <c r="I1789" s="274">
        <v>1.0</v>
      </c>
      <c r="J1789" s="271">
        <v>1.0</v>
      </c>
      <c r="K1789" s="271">
        <f t="shared" si="1"/>
        <v>1</v>
      </c>
      <c r="L1789" s="271"/>
      <c r="M1789" s="271">
        <v>-1.0</v>
      </c>
      <c r="N1789" s="275"/>
      <c r="O1789" s="60"/>
      <c r="P1789" s="101"/>
      <c r="Q1789" s="271"/>
      <c r="R1789" s="276">
        <v>0.0</v>
      </c>
      <c r="S1789" s="271"/>
      <c r="T1789" s="271">
        <v>-1.0</v>
      </c>
      <c r="U1789" s="62">
        <v>1.003</v>
      </c>
      <c r="V1789" s="277">
        <v>0.17</v>
      </c>
      <c r="W1789" s="277">
        <v>0.0</v>
      </c>
      <c r="X1789" s="271">
        <v>-1.0</v>
      </c>
      <c r="Y1789" s="271">
        <v>0.0</v>
      </c>
      <c r="Z1789" s="50" t="b">
        <v>1</v>
      </c>
      <c r="AA1789" s="50" t="s">
        <v>140</v>
      </c>
      <c r="AB1789" s="50" t="s">
        <v>138</v>
      </c>
    </row>
    <row r="1790">
      <c r="A1790" s="101" t="s">
        <v>169</v>
      </c>
      <c r="B1790" s="101" t="s">
        <v>169</v>
      </c>
      <c r="C1790" s="278">
        <v>44794.0</v>
      </c>
      <c r="D1790" s="278">
        <v>44824.0</v>
      </c>
      <c r="E1790" s="271" t="s">
        <v>268</v>
      </c>
      <c r="F1790" s="101" t="s">
        <v>4</v>
      </c>
      <c r="G1790" s="271" t="s">
        <v>5</v>
      </c>
      <c r="H1790" s="273" t="s">
        <v>38</v>
      </c>
      <c r="I1790" s="274">
        <v>5.0</v>
      </c>
      <c r="J1790" s="271">
        <v>3.0</v>
      </c>
      <c r="K1790" s="271">
        <f t="shared" si="1"/>
        <v>15</v>
      </c>
      <c r="L1790" s="271">
        <v>137.0</v>
      </c>
      <c r="M1790" s="271">
        <v>-5.0</v>
      </c>
      <c r="N1790" s="275">
        <v>1.0</v>
      </c>
      <c r="O1790" s="60"/>
      <c r="P1790" s="50">
        <v>1.0</v>
      </c>
      <c r="Q1790" s="271">
        <v>1.0</v>
      </c>
      <c r="R1790" s="276">
        <v>-5.8E-4</v>
      </c>
      <c r="S1790" s="271">
        <v>1.0</v>
      </c>
      <c r="T1790" s="271">
        <v>2.0</v>
      </c>
      <c r="U1790" s="62">
        <v>1.0</v>
      </c>
      <c r="V1790" s="277">
        <v>0.23</v>
      </c>
      <c r="W1790" s="277">
        <v>0.0</v>
      </c>
      <c r="X1790" s="271">
        <v>1.0</v>
      </c>
      <c r="Y1790" s="271">
        <v>0.0</v>
      </c>
      <c r="Z1790" s="50" t="b">
        <v>1</v>
      </c>
      <c r="AA1790" s="50" t="s">
        <v>138</v>
      </c>
      <c r="AB1790" s="50" t="s">
        <v>138</v>
      </c>
    </row>
    <row r="1791">
      <c r="A1791" s="101" t="s">
        <v>169</v>
      </c>
      <c r="B1791" s="101" t="s">
        <v>169</v>
      </c>
      <c r="C1791" s="278">
        <v>44794.0</v>
      </c>
      <c r="D1791" s="278">
        <v>44824.0</v>
      </c>
      <c r="E1791" s="271" t="s">
        <v>268</v>
      </c>
      <c r="F1791" s="101" t="s">
        <v>4</v>
      </c>
      <c r="G1791" s="271" t="s">
        <v>5</v>
      </c>
      <c r="H1791" s="273" t="s">
        <v>48</v>
      </c>
      <c r="I1791" s="274">
        <v>10.0</v>
      </c>
      <c r="J1791" s="271">
        <v>2283.0</v>
      </c>
      <c r="K1791" s="271">
        <f t="shared" si="1"/>
        <v>22830</v>
      </c>
      <c r="L1791" s="271">
        <v>32383.0</v>
      </c>
      <c r="M1791" s="271">
        <v>-990.0</v>
      </c>
      <c r="N1791" s="275">
        <v>748.0</v>
      </c>
      <c r="O1791" s="60"/>
      <c r="P1791" s="50">
        <v>748.0</v>
      </c>
      <c r="Q1791" s="271">
        <v>-688.0</v>
      </c>
      <c r="R1791" s="276">
        <v>-5.8E-4</v>
      </c>
      <c r="S1791" s="271">
        <v>-701.0</v>
      </c>
      <c r="T1791" s="271">
        <v>47.0</v>
      </c>
      <c r="U1791" s="62">
        <v>1.0</v>
      </c>
      <c r="V1791" s="277">
        <v>0.23</v>
      </c>
      <c r="W1791" s="277">
        <v>0.0</v>
      </c>
      <c r="X1791" s="271">
        <v>36.0</v>
      </c>
      <c r="Y1791" s="271">
        <v>11.0</v>
      </c>
      <c r="Z1791" s="50" t="b">
        <v>1</v>
      </c>
      <c r="AA1791" s="50" t="s">
        <v>138</v>
      </c>
      <c r="AB1791" s="50" t="s">
        <v>138</v>
      </c>
    </row>
    <row r="1792">
      <c r="A1792" s="101" t="s">
        <v>169</v>
      </c>
      <c r="B1792" s="101" t="s">
        <v>169</v>
      </c>
      <c r="C1792" s="278">
        <v>44794.0</v>
      </c>
      <c r="D1792" s="278">
        <v>44824.0</v>
      </c>
      <c r="E1792" s="271" t="s">
        <v>268</v>
      </c>
      <c r="F1792" s="101" t="s">
        <v>4</v>
      </c>
      <c r="G1792" s="271" t="s">
        <v>5</v>
      </c>
      <c r="H1792" s="273" t="s">
        <v>63</v>
      </c>
      <c r="I1792" s="274">
        <v>25.0</v>
      </c>
      <c r="J1792" s="271">
        <v>16446.0</v>
      </c>
      <c r="K1792" s="271">
        <f t="shared" si="1"/>
        <v>411150</v>
      </c>
      <c r="L1792" s="271">
        <v>166165.0</v>
      </c>
      <c r="M1792" s="271">
        <v>-14600.0</v>
      </c>
      <c r="N1792" s="275">
        <v>11546.0</v>
      </c>
      <c r="O1792" s="60"/>
      <c r="P1792" s="109">
        <v>11546.0</v>
      </c>
      <c r="Q1792" s="271">
        <v>-13292.0</v>
      </c>
      <c r="R1792" s="276">
        <v>-5.8E-4</v>
      </c>
      <c r="S1792" s="271">
        <v>-13531.0</v>
      </c>
      <c r="T1792" s="271">
        <v>-1985.0</v>
      </c>
      <c r="U1792" s="62">
        <v>1.0</v>
      </c>
      <c r="V1792" s="277">
        <v>0.23</v>
      </c>
      <c r="W1792" s="277">
        <v>0.0</v>
      </c>
      <c r="X1792" s="271">
        <v>-1528.0</v>
      </c>
      <c r="Y1792" s="271">
        <v>-457.0</v>
      </c>
      <c r="Z1792" s="50" t="b">
        <v>1</v>
      </c>
      <c r="AA1792" s="50" t="s">
        <v>138</v>
      </c>
      <c r="AB1792" s="50" t="s">
        <v>138</v>
      </c>
    </row>
    <row r="1793">
      <c r="A1793" s="101" t="s">
        <v>169</v>
      </c>
      <c r="B1793" s="101" t="s">
        <v>169</v>
      </c>
      <c r="C1793" s="278">
        <v>44794.0</v>
      </c>
      <c r="D1793" s="278">
        <v>44824.0</v>
      </c>
      <c r="E1793" s="271" t="s">
        <v>268</v>
      </c>
      <c r="F1793" s="101" t="s">
        <v>4</v>
      </c>
      <c r="G1793" s="271" t="s">
        <v>5</v>
      </c>
      <c r="H1793" s="273" t="s">
        <v>75</v>
      </c>
      <c r="I1793" s="274">
        <v>50.0</v>
      </c>
      <c r="J1793" s="271">
        <v>1859.0</v>
      </c>
      <c r="K1793" s="271">
        <f t="shared" si="1"/>
        <v>92950</v>
      </c>
      <c r="L1793" s="271">
        <v>21980.0</v>
      </c>
      <c r="M1793" s="271">
        <v>-450.0</v>
      </c>
      <c r="N1793" s="275">
        <v>2610.0</v>
      </c>
      <c r="O1793" s="60"/>
      <c r="P1793" s="109">
        <v>2610.0</v>
      </c>
      <c r="Q1793" s="271">
        <v>-2511.0</v>
      </c>
      <c r="R1793" s="276">
        <v>-5.8E-4</v>
      </c>
      <c r="S1793" s="271">
        <v>-2565.0</v>
      </c>
      <c r="T1793" s="271">
        <v>45.0</v>
      </c>
      <c r="U1793" s="62">
        <v>1.0</v>
      </c>
      <c r="V1793" s="277">
        <v>0.23</v>
      </c>
      <c r="W1793" s="277">
        <v>0.0</v>
      </c>
      <c r="X1793" s="271">
        <v>35.0</v>
      </c>
      <c r="Y1793" s="271">
        <v>10.0</v>
      </c>
      <c r="Z1793" s="50" t="b">
        <v>1</v>
      </c>
      <c r="AA1793" s="50" t="s">
        <v>138</v>
      </c>
      <c r="AB1793" s="50" t="s">
        <v>138</v>
      </c>
    </row>
    <row r="1794">
      <c r="A1794" s="271" t="s">
        <v>161</v>
      </c>
      <c r="B1794" s="271" t="s">
        <v>161</v>
      </c>
      <c r="C1794" s="278">
        <v>44802.0</v>
      </c>
      <c r="D1794" s="278">
        <v>44824.0</v>
      </c>
      <c r="E1794" s="271" t="s">
        <v>268</v>
      </c>
      <c r="F1794" s="101" t="s">
        <v>4</v>
      </c>
      <c r="G1794" s="271" t="s">
        <v>5</v>
      </c>
      <c r="H1794" s="273" t="s">
        <v>35</v>
      </c>
      <c r="I1794" s="274">
        <v>5.0</v>
      </c>
      <c r="J1794" s="271">
        <v>121.0</v>
      </c>
      <c r="K1794" s="271">
        <f t="shared" si="1"/>
        <v>605</v>
      </c>
      <c r="L1794" s="271">
        <v>-865.0</v>
      </c>
      <c r="M1794" s="271">
        <v>-80.0</v>
      </c>
      <c r="N1794" s="275">
        <v>14.0</v>
      </c>
      <c r="O1794" s="60"/>
      <c r="P1794" s="50">
        <v>14.0</v>
      </c>
      <c r="Q1794" s="271">
        <v>-61.0</v>
      </c>
      <c r="R1794" s="276">
        <v>-5.8E-4</v>
      </c>
      <c r="S1794" s="271">
        <v>-61.0</v>
      </c>
      <c r="T1794" s="271">
        <v>-47.0</v>
      </c>
      <c r="U1794" s="62">
        <v>1.0</v>
      </c>
      <c r="V1794" s="277">
        <v>0.3</v>
      </c>
      <c r="W1794" s="277">
        <v>0.0</v>
      </c>
      <c r="X1794" s="271">
        <v>-33.0</v>
      </c>
      <c r="Y1794" s="271">
        <v>-14.0</v>
      </c>
      <c r="Z1794" s="50" t="b">
        <v>1</v>
      </c>
      <c r="AA1794" s="50" t="s">
        <v>138</v>
      </c>
      <c r="AB1794" s="50" t="s">
        <v>138</v>
      </c>
    </row>
    <row r="1795">
      <c r="A1795" s="271" t="s">
        <v>161</v>
      </c>
      <c r="B1795" s="271" t="s">
        <v>161</v>
      </c>
      <c r="C1795" s="278">
        <v>44802.0</v>
      </c>
      <c r="D1795" s="278">
        <v>44824.0</v>
      </c>
      <c r="E1795" s="271" t="s">
        <v>268</v>
      </c>
      <c r="F1795" s="101" t="s">
        <v>4</v>
      </c>
      <c r="G1795" s="271" t="s">
        <v>5</v>
      </c>
      <c r="H1795" s="273" t="s">
        <v>38</v>
      </c>
      <c r="I1795" s="274">
        <v>5.0</v>
      </c>
      <c r="J1795" s="271">
        <v>1393.0</v>
      </c>
      <c r="K1795" s="271">
        <f t="shared" si="1"/>
        <v>6965</v>
      </c>
      <c r="L1795" s="287">
        <f>14550/1392*1393</f>
        <v>14560.45259</v>
      </c>
      <c r="M1795" s="287">
        <v>-490.0</v>
      </c>
      <c r="N1795" s="275">
        <v>160.0</v>
      </c>
      <c r="O1795" s="60"/>
      <c r="P1795" s="50">
        <v>160.0</v>
      </c>
      <c r="Q1795" s="287">
        <v>-394.0</v>
      </c>
      <c r="R1795" s="276">
        <v>-5.8E-4</v>
      </c>
      <c r="S1795" s="287">
        <v>-398.0</v>
      </c>
      <c r="T1795" s="287">
        <v>-238.0</v>
      </c>
      <c r="U1795" s="62">
        <v>1.0</v>
      </c>
      <c r="V1795" s="277">
        <v>0.3</v>
      </c>
      <c r="W1795" s="277">
        <v>0.0</v>
      </c>
      <c r="X1795" s="287">
        <v>-166.0</v>
      </c>
      <c r="Y1795" s="287">
        <v>-71.0</v>
      </c>
      <c r="Z1795" s="50" t="b">
        <v>1</v>
      </c>
      <c r="AA1795" s="50" t="s">
        <v>138</v>
      </c>
      <c r="AB1795" s="50" t="s">
        <v>138</v>
      </c>
    </row>
    <row r="1796">
      <c r="A1796" s="271" t="s">
        <v>161</v>
      </c>
      <c r="B1796" s="271" t="s">
        <v>161</v>
      </c>
      <c r="C1796" s="278">
        <v>44802.0</v>
      </c>
      <c r="D1796" s="278">
        <v>44824.0</v>
      </c>
      <c r="E1796" s="271" t="s">
        <v>268</v>
      </c>
      <c r="F1796" s="101" t="s">
        <v>4</v>
      </c>
      <c r="G1796" s="271" t="s">
        <v>5</v>
      </c>
      <c r="H1796" s="273" t="s">
        <v>45</v>
      </c>
      <c r="I1796" s="274">
        <v>10.0</v>
      </c>
      <c r="J1796" s="271">
        <v>891.0</v>
      </c>
      <c r="K1796" s="271">
        <f t="shared" si="1"/>
        <v>8910</v>
      </c>
      <c r="L1796" s="287">
        <f>33521/874*891</f>
        <v>34173.0103</v>
      </c>
      <c r="M1796" s="287">
        <v>-550.0</v>
      </c>
      <c r="N1796" s="275">
        <v>182.0</v>
      </c>
      <c r="O1796" s="60"/>
      <c r="P1796" s="50">
        <v>182.0</v>
      </c>
      <c r="Q1796" s="287">
        <v>-33.0</v>
      </c>
      <c r="R1796" s="276">
        <v>-5.8E-4</v>
      </c>
      <c r="S1796" s="287">
        <v>-38.0</v>
      </c>
      <c r="T1796" s="287">
        <v>144.0</v>
      </c>
      <c r="U1796" s="62">
        <v>1.0</v>
      </c>
      <c r="V1796" s="277">
        <v>0.3</v>
      </c>
      <c r="W1796" s="277">
        <v>0.0</v>
      </c>
      <c r="X1796" s="287">
        <v>101.0</v>
      </c>
      <c r="Y1796" s="287">
        <v>43.0</v>
      </c>
      <c r="Z1796" s="50" t="b">
        <v>1</v>
      </c>
      <c r="AA1796" s="50" t="s">
        <v>138</v>
      </c>
      <c r="AB1796" s="50" t="s">
        <v>138</v>
      </c>
    </row>
    <row r="1797">
      <c r="A1797" s="271" t="s">
        <v>161</v>
      </c>
      <c r="B1797" s="271" t="s">
        <v>161</v>
      </c>
      <c r="C1797" s="278">
        <v>44802.0</v>
      </c>
      <c r="D1797" s="278">
        <v>44824.0</v>
      </c>
      <c r="E1797" s="271" t="s">
        <v>268</v>
      </c>
      <c r="F1797" s="101" t="s">
        <v>4</v>
      </c>
      <c r="G1797" s="271" t="s">
        <v>5</v>
      </c>
      <c r="H1797" s="273" t="s">
        <v>48</v>
      </c>
      <c r="I1797" s="274">
        <v>10.0</v>
      </c>
      <c r="J1797" s="271">
        <v>1801.0</v>
      </c>
      <c r="K1797" s="271">
        <f t="shared" si="1"/>
        <v>18010</v>
      </c>
      <c r="L1797" s="271">
        <v>23238.0</v>
      </c>
      <c r="M1797" s="271">
        <v>-1800.0</v>
      </c>
      <c r="N1797" s="275">
        <v>369.0</v>
      </c>
      <c r="O1797" s="60"/>
      <c r="P1797" s="50">
        <v>369.0</v>
      </c>
      <c r="Q1797" s="271">
        <v>-622.0</v>
      </c>
      <c r="R1797" s="276">
        <v>-5.8E-4</v>
      </c>
      <c r="S1797" s="271">
        <v>-633.0</v>
      </c>
      <c r="T1797" s="271">
        <v>-264.0</v>
      </c>
      <c r="U1797" s="62">
        <v>1.0</v>
      </c>
      <c r="V1797" s="277">
        <v>0.3</v>
      </c>
      <c r="W1797" s="277">
        <v>0.0</v>
      </c>
      <c r="X1797" s="271">
        <v>-185.0</v>
      </c>
      <c r="Y1797" s="271">
        <v>-79.0</v>
      </c>
      <c r="Z1797" s="50" t="b">
        <v>1</v>
      </c>
      <c r="AA1797" s="50" t="s">
        <v>138</v>
      </c>
      <c r="AB1797" s="50" t="s">
        <v>138</v>
      </c>
    </row>
    <row r="1798">
      <c r="A1798" s="271" t="s">
        <v>161</v>
      </c>
      <c r="B1798" s="271" t="s">
        <v>161</v>
      </c>
      <c r="C1798" s="278">
        <v>44802.0</v>
      </c>
      <c r="D1798" s="278">
        <v>44824.0</v>
      </c>
      <c r="E1798" s="271" t="s">
        <v>268</v>
      </c>
      <c r="F1798" s="101" t="s">
        <v>12</v>
      </c>
      <c r="G1798" s="271" t="s">
        <v>5</v>
      </c>
      <c r="H1798" s="273" t="s">
        <v>6</v>
      </c>
      <c r="I1798" s="274">
        <v>0.25</v>
      </c>
      <c r="J1798" s="271">
        <v>36.0</v>
      </c>
      <c r="K1798" s="271">
        <f t="shared" si="1"/>
        <v>9</v>
      </c>
      <c r="L1798" s="271">
        <v>1765.0</v>
      </c>
      <c r="M1798" s="271">
        <v>-1.0</v>
      </c>
      <c r="N1798" s="275"/>
      <c r="O1798" s="60"/>
      <c r="P1798" s="101"/>
      <c r="Q1798" s="271">
        <v>0.0</v>
      </c>
      <c r="R1798" s="276">
        <v>0.0</v>
      </c>
      <c r="S1798" s="271">
        <v>0.0</v>
      </c>
      <c r="T1798" s="271">
        <v>-1.0</v>
      </c>
      <c r="U1798" s="62">
        <v>1.0</v>
      </c>
      <c r="V1798" s="277">
        <v>0.3</v>
      </c>
      <c r="W1798" s="277">
        <v>0.0</v>
      </c>
      <c r="X1798" s="271">
        <v>-1.0</v>
      </c>
      <c r="Y1798" s="271">
        <v>0.0</v>
      </c>
      <c r="Z1798" s="50" t="b">
        <v>1</v>
      </c>
      <c r="AA1798" s="50" t="s">
        <v>138</v>
      </c>
      <c r="AB1798" s="50" t="s">
        <v>138</v>
      </c>
    </row>
    <row r="1799">
      <c r="A1799" s="271" t="s">
        <v>161</v>
      </c>
      <c r="B1799" s="271" t="s">
        <v>161</v>
      </c>
      <c r="C1799" s="278">
        <v>44802.0</v>
      </c>
      <c r="D1799" s="278">
        <v>44824.0</v>
      </c>
      <c r="E1799" s="271" t="s">
        <v>268</v>
      </c>
      <c r="F1799" s="101" t="s">
        <v>12</v>
      </c>
      <c r="G1799" s="271" t="s">
        <v>5</v>
      </c>
      <c r="H1799" s="273" t="s">
        <v>10</v>
      </c>
      <c r="I1799" s="274">
        <v>0.25</v>
      </c>
      <c r="J1799" s="271">
        <v>2.0</v>
      </c>
      <c r="K1799" s="271">
        <f t="shared" si="1"/>
        <v>0.5</v>
      </c>
      <c r="L1799" s="271">
        <v>357.0</v>
      </c>
      <c r="M1799" s="271">
        <v>0.0</v>
      </c>
      <c r="N1799" s="275"/>
      <c r="O1799" s="60"/>
      <c r="P1799" s="101"/>
      <c r="Q1799" s="271">
        <v>0.0</v>
      </c>
      <c r="R1799" s="276">
        <v>0.0</v>
      </c>
      <c r="S1799" s="271">
        <v>0.0</v>
      </c>
      <c r="T1799" s="271">
        <v>0.0</v>
      </c>
      <c r="U1799" s="62">
        <v>1.0</v>
      </c>
      <c r="V1799" s="277">
        <v>0.3</v>
      </c>
      <c r="W1799" s="277">
        <v>0.0</v>
      </c>
      <c r="X1799" s="271">
        <v>0.0</v>
      </c>
      <c r="Y1799" s="271">
        <v>0.0</v>
      </c>
      <c r="Z1799" s="50" t="b">
        <v>1</v>
      </c>
      <c r="AA1799" s="50" t="s">
        <v>138</v>
      </c>
      <c r="AB1799" s="50" t="s">
        <v>138</v>
      </c>
    </row>
    <row r="1800">
      <c r="A1800" s="271" t="s">
        <v>161</v>
      </c>
      <c r="B1800" s="271" t="s">
        <v>161</v>
      </c>
      <c r="C1800" s="278">
        <v>44802.0</v>
      </c>
      <c r="D1800" s="278">
        <v>44824.0</v>
      </c>
      <c r="E1800" s="271" t="s">
        <v>268</v>
      </c>
      <c r="F1800" s="101" t="s">
        <v>12</v>
      </c>
      <c r="G1800" s="271" t="s">
        <v>5</v>
      </c>
      <c r="H1800" s="273" t="s">
        <v>20</v>
      </c>
      <c r="I1800" s="274">
        <v>1.0</v>
      </c>
      <c r="J1800" s="271">
        <v>1.0</v>
      </c>
      <c r="K1800" s="271">
        <f t="shared" si="1"/>
        <v>1</v>
      </c>
      <c r="L1800" s="271">
        <v>-31.0</v>
      </c>
      <c r="M1800" s="271">
        <v>-1.0</v>
      </c>
      <c r="N1800" s="275"/>
      <c r="O1800" s="60"/>
      <c r="P1800" s="101"/>
      <c r="Q1800" s="271">
        <v>0.0</v>
      </c>
      <c r="R1800" s="276">
        <v>0.0</v>
      </c>
      <c r="S1800" s="271">
        <v>0.0</v>
      </c>
      <c r="T1800" s="271">
        <v>-1.0</v>
      </c>
      <c r="U1800" s="62">
        <v>1.0</v>
      </c>
      <c r="V1800" s="277">
        <v>0.3</v>
      </c>
      <c r="W1800" s="277">
        <v>0.0</v>
      </c>
      <c r="X1800" s="271">
        <v>-1.0</v>
      </c>
      <c r="Y1800" s="271">
        <v>0.0</v>
      </c>
      <c r="Z1800" s="50" t="b">
        <v>1</v>
      </c>
      <c r="AA1800" s="50" t="s">
        <v>138</v>
      </c>
      <c r="AB1800" s="50" t="s">
        <v>138</v>
      </c>
    </row>
    <row r="1801">
      <c r="A1801" s="271" t="s">
        <v>638</v>
      </c>
      <c r="B1801" s="271" t="s">
        <v>162</v>
      </c>
      <c r="C1801" s="278">
        <v>44794.0</v>
      </c>
      <c r="D1801" s="278">
        <v>44824.0</v>
      </c>
      <c r="E1801" s="271" t="s">
        <v>268</v>
      </c>
      <c r="F1801" s="101" t="s">
        <v>4</v>
      </c>
      <c r="G1801" s="271" t="s">
        <v>13</v>
      </c>
      <c r="H1801" s="273" t="s">
        <v>74</v>
      </c>
      <c r="I1801" s="274">
        <v>50.0</v>
      </c>
      <c r="J1801" s="271">
        <v>1266.0</v>
      </c>
      <c r="K1801" s="271">
        <f t="shared" si="1"/>
        <v>63300</v>
      </c>
      <c r="L1801" s="271">
        <v>4786.0</v>
      </c>
      <c r="M1801" s="271">
        <v>-4850.0</v>
      </c>
      <c r="N1801" s="275">
        <f>2109</f>
        <v>2109</v>
      </c>
      <c r="O1801" s="60"/>
      <c r="P1801" s="109">
        <v>2109.0</v>
      </c>
      <c r="Q1801" s="271">
        <v>-3954.0</v>
      </c>
      <c r="R1801" s="276">
        <v>-5.8E-4</v>
      </c>
      <c r="S1801" s="271">
        <v>-3990.0</v>
      </c>
      <c r="T1801" s="271">
        <v>-1881.0</v>
      </c>
      <c r="U1801" s="62">
        <v>1.0</v>
      </c>
      <c r="V1801" s="277">
        <v>0.3</v>
      </c>
      <c r="W1801" s="277">
        <v>0.0</v>
      </c>
      <c r="X1801" s="271">
        <v>-1317.0</v>
      </c>
      <c r="Y1801" s="271">
        <v>-564.0</v>
      </c>
      <c r="Z1801" s="50" t="b">
        <v>1</v>
      </c>
      <c r="AA1801" s="50" t="s">
        <v>138</v>
      </c>
      <c r="AB1801" s="50" t="s">
        <v>138</v>
      </c>
    </row>
    <row r="1802">
      <c r="A1802" s="101" t="s">
        <v>216</v>
      </c>
      <c r="B1802" s="101" t="s">
        <v>216</v>
      </c>
      <c r="C1802" s="278">
        <v>44794.0</v>
      </c>
      <c r="D1802" s="278">
        <v>44824.0</v>
      </c>
      <c r="E1802" s="271" t="s">
        <v>268</v>
      </c>
      <c r="F1802" s="138" t="s">
        <v>4</v>
      </c>
      <c r="G1802" s="101" t="s">
        <v>5</v>
      </c>
      <c r="H1802" s="273" t="s">
        <v>85</v>
      </c>
      <c r="I1802" s="274">
        <v>100.0</v>
      </c>
      <c r="J1802" s="271">
        <v>579.0</v>
      </c>
      <c r="K1802" s="271">
        <f t="shared" si="1"/>
        <v>57900</v>
      </c>
      <c r="L1802" s="271">
        <v>25285.0</v>
      </c>
      <c r="M1802" s="271">
        <v>-3700.0</v>
      </c>
      <c r="N1802" s="275">
        <v>2303.0</v>
      </c>
      <c r="O1802" s="60"/>
      <c r="P1802" s="109">
        <v>2303.0</v>
      </c>
      <c r="Q1802" s="271">
        <v>1613.0</v>
      </c>
      <c r="R1802" s="276">
        <v>-5.8E-4</v>
      </c>
      <c r="S1802" s="271">
        <v>1579.0</v>
      </c>
      <c r="T1802" s="271">
        <v>3882.0</v>
      </c>
      <c r="U1802" s="62">
        <v>1.0</v>
      </c>
      <c r="V1802" s="277">
        <v>0.1</v>
      </c>
      <c r="W1802" s="277">
        <v>0.0</v>
      </c>
      <c r="X1802" s="271">
        <v>3494.0</v>
      </c>
      <c r="Y1802" s="271">
        <v>388.0</v>
      </c>
      <c r="Z1802" s="50" t="b">
        <v>1</v>
      </c>
      <c r="AA1802" s="50" t="s">
        <v>138</v>
      </c>
      <c r="AB1802" s="50" t="s">
        <v>138</v>
      </c>
    </row>
    <row r="1803">
      <c r="A1803" s="101" t="s">
        <v>216</v>
      </c>
      <c r="B1803" s="101" t="s">
        <v>216</v>
      </c>
      <c r="C1803" s="278">
        <v>44794.0</v>
      </c>
      <c r="D1803" s="278">
        <v>44824.0</v>
      </c>
      <c r="E1803" s="271" t="s">
        <v>268</v>
      </c>
      <c r="F1803" s="138" t="s">
        <v>4</v>
      </c>
      <c r="G1803" s="101" t="s">
        <v>5</v>
      </c>
      <c r="H1803" s="273" t="s">
        <v>86</v>
      </c>
      <c r="I1803" s="274">
        <v>100.0</v>
      </c>
      <c r="J1803" s="271">
        <v>287.0</v>
      </c>
      <c r="K1803" s="271">
        <f t="shared" si="1"/>
        <v>28700</v>
      </c>
      <c r="L1803" s="271">
        <v>-6661.0</v>
      </c>
      <c r="M1803" s="271">
        <v>-4300.0</v>
      </c>
      <c r="N1803" s="275">
        <v>1142.0</v>
      </c>
      <c r="O1803" s="60"/>
      <c r="P1803" s="109">
        <v>1142.0</v>
      </c>
      <c r="Q1803" s="271">
        <v>-3631.0</v>
      </c>
      <c r="R1803" s="276">
        <v>-5.8E-4</v>
      </c>
      <c r="S1803" s="271">
        <v>-3647.0</v>
      </c>
      <c r="T1803" s="271">
        <v>-2505.0</v>
      </c>
      <c r="U1803" s="62">
        <v>1.0</v>
      </c>
      <c r="V1803" s="277">
        <v>0.1</v>
      </c>
      <c r="W1803" s="277">
        <v>0.0</v>
      </c>
      <c r="X1803" s="271">
        <v>-2255.0</v>
      </c>
      <c r="Y1803" s="271">
        <v>-251.0</v>
      </c>
      <c r="Z1803" s="50" t="b">
        <v>1</v>
      </c>
      <c r="AA1803" s="50" t="s">
        <v>138</v>
      </c>
      <c r="AB1803" s="50" t="s">
        <v>138</v>
      </c>
    </row>
    <row r="1804">
      <c r="A1804" s="101" t="s">
        <v>216</v>
      </c>
      <c r="B1804" s="101" t="s">
        <v>216</v>
      </c>
      <c r="C1804" s="278">
        <v>44794.0</v>
      </c>
      <c r="D1804" s="278">
        <v>44824.0</v>
      </c>
      <c r="E1804" s="271" t="s">
        <v>268</v>
      </c>
      <c r="F1804" s="138" t="s">
        <v>4</v>
      </c>
      <c r="G1804" s="101" t="s">
        <v>5</v>
      </c>
      <c r="H1804" s="273" t="s">
        <v>96</v>
      </c>
      <c r="I1804" s="274">
        <v>250.0</v>
      </c>
      <c r="J1804" s="271">
        <v>667.0</v>
      </c>
      <c r="K1804" s="271">
        <f t="shared" si="1"/>
        <v>166750</v>
      </c>
      <c r="L1804" s="271">
        <v>-11651.0</v>
      </c>
      <c r="M1804" s="271">
        <v>-13000.0</v>
      </c>
      <c r="N1804" s="275">
        <v>6635.0</v>
      </c>
      <c r="O1804" s="60"/>
      <c r="P1804" s="109">
        <v>6635.0</v>
      </c>
      <c r="Q1804" s="271">
        <v>-14078.0</v>
      </c>
      <c r="R1804" s="276">
        <v>-5.8E-4</v>
      </c>
      <c r="S1804" s="271">
        <v>-14174.0</v>
      </c>
      <c r="T1804" s="271">
        <v>-7539.0</v>
      </c>
      <c r="U1804" s="62">
        <v>1.0</v>
      </c>
      <c r="V1804" s="277">
        <v>0.1</v>
      </c>
      <c r="W1804" s="277">
        <v>0.0</v>
      </c>
      <c r="X1804" s="271">
        <v>-6785.0</v>
      </c>
      <c r="Y1804" s="271">
        <v>-754.0</v>
      </c>
      <c r="Z1804" s="50" t="b">
        <v>1</v>
      </c>
      <c r="AA1804" s="50" t="s">
        <v>138</v>
      </c>
      <c r="AB1804" s="50" t="s">
        <v>138</v>
      </c>
    </row>
    <row r="1805">
      <c r="A1805" s="101" t="s">
        <v>216</v>
      </c>
      <c r="B1805" s="101" t="s">
        <v>216</v>
      </c>
      <c r="C1805" s="278">
        <v>44794.0</v>
      </c>
      <c r="D1805" s="278">
        <v>44824.0</v>
      </c>
      <c r="E1805" s="271" t="s">
        <v>268</v>
      </c>
      <c r="F1805" s="138" t="s">
        <v>4</v>
      </c>
      <c r="G1805" s="101" t="s">
        <v>5</v>
      </c>
      <c r="H1805" s="273" t="s">
        <v>97</v>
      </c>
      <c r="I1805" s="274">
        <v>250.0</v>
      </c>
      <c r="J1805" s="271">
        <v>203.0</v>
      </c>
      <c r="K1805" s="271">
        <f t="shared" si="1"/>
        <v>50750</v>
      </c>
      <c r="L1805" s="271">
        <v>5745.0</v>
      </c>
      <c r="M1805" s="271">
        <v>4500.0</v>
      </c>
      <c r="N1805" s="275">
        <v>2019.0</v>
      </c>
      <c r="O1805" s="60"/>
      <c r="P1805" s="109">
        <v>2019.0</v>
      </c>
      <c r="Q1805" s="271">
        <v>1879.0</v>
      </c>
      <c r="R1805" s="276">
        <v>-5.8E-4</v>
      </c>
      <c r="S1805" s="271">
        <v>1850.0</v>
      </c>
      <c r="T1805" s="271">
        <v>3869.0</v>
      </c>
      <c r="U1805" s="62">
        <v>1.0</v>
      </c>
      <c r="V1805" s="277">
        <v>0.1</v>
      </c>
      <c r="W1805" s="277">
        <v>0.0</v>
      </c>
      <c r="X1805" s="271">
        <v>3482.0</v>
      </c>
      <c r="Y1805" s="271">
        <v>387.0</v>
      </c>
      <c r="Z1805" s="50" t="b">
        <v>1</v>
      </c>
      <c r="AA1805" s="50" t="s">
        <v>138</v>
      </c>
      <c r="AB1805" s="50" t="s">
        <v>138</v>
      </c>
    </row>
    <row r="1806">
      <c r="A1806" s="271" t="s">
        <v>143</v>
      </c>
      <c r="B1806" s="280" t="s">
        <v>141</v>
      </c>
      <c r="C1806" s="283">
        <v>44805.0</v>
      </c>
      <c r="D1806" s="283">
        <v>44834.0</v>
      </c>
      <c r="E1806" s="280" t="s">
        <v>268</v>
      </c>
      <c r="F1806" s="138" t="s">
        <v>12</v>
      </c>
      <c r="G1806" s="280" t="s">
        <v>142</v>
      </c>
      <c r="H1806" s="290" t="s">
        <v>39</v>
      </c>
      <c r="I1806" s="281">
        <v>5.0</v>
      </c>
      <c r="J1806" s="280">
        <v>50.0</v>
      </c>
      <c r="K1806" s="271">
        <f t="shared" si="1"/>
        <v>250</v>
      </c>
      <c r="L1806" s="280"/>
      <c r="M1806" s="280">
        <v>7.89</v>
      </c>
      <c r="N1806" s="282"/>
      <c r="O1806" s="60">
        <v>0.5</v>
      </c>
      <c r="P1806" s="50">
        <v>9.0</v>
      </c>
      <c r="Q1806" s="280"/>
      <c r="R1806" s="276">
        <v>0.0</v>
      </c>
      <c r="S1806" s="280"/>
      <c r="T1806" s="280">
        <v>17.0</v>
      </c>
      <c r="U1806" s="62">
        <v>0.97</v>
      </c>
      <c r="V1806" s="277">
        <v>0.17</v>
      </c>
      <c r="W1806" s="277">
        <v>0.0</v>
      </c>
      <c r="X1806" s="280">
        <v>13.0</v>
      </c>
      <c r="Y1806" s="280">
        <v>3.0</v>
      </c>
      <c r="Z1806" s="50" t="b">
        <v>1</v>
      </c>
      <c r="AA1806" s="50" t="s">
        <v>138</v>
      </c>
      <c r="AB1806" s="50" t="s">
        <v>140</v>
      </c>
    </row>
    <row r="1807">
      <c r="A1807" s="271" t="s">
        <v>143</v>
      </c>
      <c r="B1807" s="280" t="s">
        <v>141</v>
      </c>
      <c r="C1807" s="283">
        <v>44805.0</v>
      </c>
      <c r="D1807" s="283">
        <v>44834.0</v>
      </c>
      <c r="E1807" s="280" t="s">
        <v>268</v>
      </c>
      <c r="F1807" s="138" t="s">
        <v>12</v>
      </c>
      <c r="G1807" s="280" t="s">
        <v>142</v>
      </c>
      <c r="H1807" s="290" t="s">
        <v>50</v>
      </c>
      <c r="I1807" s="281">
        <v>10.0</v>
      </c>
      <c r="J1807" s="280">
        <v>1598.0</v>
      </c>
      <c r="K1807" s="271">
        <f t="shared" si="1"/>
        <v>15980</v>
      </c>
      <c r="L1807" s="280"/>
      <c r="M1807" s="280">
        <v>504.17</v>
      </c>
      <c r="N1807" s="282"/>
      <c r="O1807" s="60">
        <v>0.5</v>
      </c>
      <c r="P1807" s="50">
        <v>559.0</v>
      </c>
      <c r="Q1807" s="280"/>
      <c r="R1807" s="276">
        <v>0.0</v>
      </c>
      <c r="S1807" s="280"/>
      <c r="T1807" s="280">
        <v>1063.0</v>
      </c>
      <c r="U1807" s="62">
        <v>0.97</v>
      </c>
      <c r="V1807" s="277">
        <v>0.17</v>
      </c>
      <c r="W1807" s="277">
        <v>0.0</v>
      </c>
      <c r="X1807" s="280">
        <v>856.0</v>
      </c>
      <c r="Y1807" s="280">
        <v>175.0</v>
      </c>
      <c r="Z1807" s="50" t="b">
        <v>1</v>
      </c>
      <c r="AA1807" s="50" t="s">
        <v>138</v>
      </c>
      <c r="AB1807" s="50" t="s">
        <v>140</v>
      </c>
    </row>
    <row r="1808">
      <c r="A1808" s="271" t="s">
        <v>143</v>
      </c>
      <c r="B1808" s="280" t="s">
        <v>141</v>
      </c>
      <c r="C1808" s="283">
        <v>44805.0</v>
      </c>
      <c r="D1808" s="283">
        <v>44834.0</v>
      </c>
      <c r="E1808" s="280" t="s">
        <v>268</v>
      </c>
      <c r="F1808" s="138" t="s">
        <v>12</v>
      </c>
      <c r="G1808" s="280" t="s">
        <v>142</v>
      </c>
      <c r="H1808" s="290" t="s">
        <v>61</v>
      </c>
      <c r="I1808" s="281">
        <v>20.0</v>
      </c>
      <c r="J1808" s="280">
        <v>1623.0</v>
      </c>
      <c r="K1808" s="271">
        <f t="shared" si="1"/>
        <v>32460</v>
      </c>
      <c r="L1808" s="280"/>
      <c r="M1808" s="280">
        <v>1024.12</v>
      </c>
      <c r="N1808" s="282"/>
      <c r="O1808" s="60">
        <v>0.5</v>
      </c>
      <c r="P1808" s="109">
        <v>1136.0</v>
      </c>
      <c r="Q1808" s="280"/>
      <c r="R1808" s="276">
        <v>0.0</v>
      </c>
      <c r="S1808" s="280"/>
      <c r="T1808" s="280">
        <v>2160.0</v>
      </c>
      <c r="U1808" s="62">
        <v>0.97</v>
      </c>
      <c r="V1808" s="277">
        <v>0.17</v>
      </c>
      <c r="W1808" s="277">
        <v>0.0</v>
      </c>
      <c r="X1808" s="280">
        <v>1739.0</v>
      </c>
      <c r="Y1808" s="280">
        <v>356.0</v>
      </c>
      <c r="Z1808" s="50" t="b">
        <v>1</v>
      </c>
      <c r="AA1808" s="50" t="s">
        <v>138</v>
      </c>
      <c r="AB1808" s="50" t="s">
        <v>140</v>
      </c>
    </row>
    <row r="1809">
      <c r="A1809" s="271" t="s">
        <v>143</v>
      </c>
      <c r="B1809" s="280" t="s">
        <v>141</v>
      </c>
      <c r="C1809" s="283">
        <v>44805.0</v>
      </c>
      <c r="D1809" s="283">
        <v>44834.0</v>
      </c>
      <c r="E1809" s="280" t="s">
        <v>268</v>
      </c>
      <c r="F1809" s="138" t="s">
        <v>12</v>
      </c>
      <c r="G1809" s="280" t="s">
        <v>142</v>
      </c>
      <c r="H1809" s="290" t="s">
        <v>77</v>
      </c>
      <c r="I1809" s="281">
        <v>50.0</v>
      </c>
      <c r="J1809" s="280">
        <v>17.0</v>
      </c>
      <c r="K1809" s="271">
        <f t="shared" si="1"/>
        <v>850</v>
      </c>
      <c r="L1809" s="280"/>
      <c r="M1809" s="280">
        <v>26.82</v>
      </c>
      <c r="N1809" s="282"/>
      <c r="O1809" s="60">
        <v>0.5</v>
      </c>
      <c r="P1809" s="50">
        <v>30.0</v>
      </c>
      <c r="Q1809" s="280"/>
      <c r="R1809" s="276">
        <v>0.0</v>
      </c>
      <c r="S1809" s="280"/>
      <c r="T1809" s="280">
        <v>57.0</v>
      </c>
      <c r="U1809" s="62">
        <v>0.97</v>
      </c>
      <c r="V1809" s="277">
        <v>0.17</v>
      </c>
      <c r="W1809" s="277">
        <v>0.0</v>
      </c>
      <c r="X1809" s="280">
        <v>46.0</v>
      </c>
      <c r="Y1809" s="280">
        <v>9.0</v>
      </c>
      <c r="Z1809" s="50" t="b">
        <v>1</v>
      </c>
      <c r="AA1809" s="50" t="s">
        <v>138</v>
      </c>
      <c r="AB1809" s="50" t="s">
        <v>140</v>
      </c>
    </row>
    <row r="1810">
      <c r="A1810" s="280" t="s">
        <v>144</v>
      </c>
      <c r="B1810" s="280" t="s">
        <v>144</v>
      </c>
      <c r="C1810" s="283">
        <v>44805.0</v>
      </c>
      <c r="D1810" s="283">
        <v>44834.0</v>
      </c>
      <c r="E1810" s="280" t="s">
        <v>268</v>
      </c>
      <c r="F1810" s="138" t="s">
        <v>12</v>
      </c>
      <c r="G1810" s="280" t="s">
        <v>16</v>
      </c>
      <c r="H1810" s="290" t="s">
        <v>49</v>
      </c>
      <c r="I1810" s="281">
        <v>10.0</v>
      </c>
      <c r="J1810" s="280">
        <v>196.0</v>
      </c>
      <c r="K1810" s="271">
        <f t="shared" si="1"/>
        <v>1960</v>
      </c>
      <c r="L1810" s="280">
        <f>J1810*7</f>
        <v>1372</v>
      </c>
      <c r="M1810" s="280">
        <v>-180.0</v>
      </c>
      <c r="N1810" s="282">
        <v>65.33</v>
      </c>
      <c r="O1810" s="60"/>
      <c r="P1810" s="50">
        <v>65.0</v>
      </c>
      <c r="Q1810" s="280">
        <v>-83.0</v>
      </c>
      <c r="R1810" s="276">
        <v>0.0</v>
      </c>
      <c r="S1810" s="280">
        <v>-83.0</v>
      </c>
      <c r="T1810" s="280">
        <v>-115.0</v>
      </c>
      <c r="U1810" s="62">
        <v>1.0</v>
      </c>
      <c r="V1810" s="291"/>
      <c r="W1810" s="277">
        <v>0.0</v>
      </c>
      <c r="X1810" s="280">
        <v>-115.0</v>
      </c>
      <c r="Y1810" s="280">
        <v>0.0</v>
      </c>
      <c r="Z1810" s="50" t="b">
        <v>0</v>
      </c>
      <c r="AA1810" s="50" t="s">
        <v>138</v>
      </c>
      <c r="AB1810" s="50" t="s">
        <v>138</v>
      </c>
    </row>
    <row r="1811">
      <c r="A1811" s="280" t="s">
        <v>144</v>
      </c>
      <c r="B1811" s="280" t="s">
        <v>144</v>
      </c>
      <c r="C1811" s="283">
        <v>44805.0</v>
      </c>
      <c r="D1811" s="283">
        <v>44834.0</v>
      </c>
      <c r="E1811" s="280" t="s">
        <v>268</v>
      </c>
      <c r="F1811" s="138" t="s">
        <v>12</v>
      </c>
      <c r="G1811" s="280" t="s">
        <v>16</v>
      </c>
      <c r="H1811" s="290" t="s">
        <v>45</v>
      </c>
      <c r="I1811" s="281">
        <v>10.0</v>
      </c>
      <c r="J1811" s="280">
        <v>70.0</v>
      </c>
      <c r="K1811" s="271">
        <f t="shared" si="1"/>
        <v>700</v>
      </c>
      <c r="L1811" s="280">
        <f>82*46</f>
        <v>3772</v>
      </c>
      <c r="M1811" s="280">
        <v>40.0</v>
      </c>
      <c r="N1811" s="282">
        <v>0.67</v>
      </c>
      <c r="O1811" s="60"/>
      <c r="P1811" s="50">
        <v>1.0</v>
      </c>
      <c r="Q1811" s="280">
        <v>26.0</v>
      </c>
      <c r="R1811" s="276">
        <v>0.0</v>
      </c>
      <c r="S1811" s="280">
        <v>26.0</v>
      </c>
      <c r="T1811" s="280">
        <v>41.0</v>
      </c>
      <c r="U1811" s="62">
        <v>1.0</v>
      </c>
      <c r="V1811" s="291"/>
      <c r="W1811" s="277">
        <v>0.0</v>
      </c>
      <c r="X1811" s="280">
        <v>41.0</v>
      </c>
      <c r="Y1811" s="280">
        <v>0.0</v>
      </c>
      <c r="Z1811" s="50" t="b">
        <v>0</v>
      </c>
      <c r="AA1811" s="50" t="s">
        <v>138</v>
      </c>
      <c r="AB1811" s="50" t="s">
        <v>138</v>
      </c>
    </row>
    <row r="1812">
      <c r="A1812" s="101" t="s">
        <v>149</v>
      </c>
      <c r="B1812" s="101" t="s">
        <v>149</v>
      </c>
      <c r="C1812" s="278">
        <v>44805.0</v>
      </c>
      <c r="D1812" s="278">
        <v>44834.0</v>
      </c>
      <c r="E1812" s="271" t="s">
        <v>268</v>
      </c>
      <c r="F1812" s="138" t="s">
        <v>12</v>
      </c>
      <c r="G1812" s="101" t="s">
        <v>5</v>
      </c>
      <c r="H1812" s="273" t="s">
        <v>62</v>
      </c>
      <c r="I1812" s="274">
        <v>25.0</v>
      </c>
      <c r="J1812" s="271">
        <v>166.0</v>
      </c>
      <c r="K1812" s="271">
        <f t="shared" si="1"/>
        <v>4150</v>
      </c>
      <c r="L1812" s="271">
        <v>20167.0</v>
      </c>
      <c r="M1812" s="271">
        <v>1125.0</v>
      </c>
      <c r="N1812" s="275">
        <v>162.0</v>
      </c>
      <c r="O1812" s="60"/>
      <c r="P1812" s="50">
        <v>162.0</v>
      </c>
      <c r="Q1812" s="271">
        <v>669.0</v>
      </c>
      <c r="R1812" s="276">
        <v>0.0</v>
      </c>
      <c r="S1812" s="271">
        <v>669.0</v>
      </c>
      <c r="T1812" s="271">
        <v>1287.0</v>
      </c>
      <c r="U1812" s="62">
        <v>1.0</v>
      </c>
      <c r="V1812" s="291"/>
      <c r="W1812" s="277">
        <v>0.0</v>
      </c>
      <c r="X1812" s="271">
        <v>1287.0</v>
      </c>
      <c r="Y1812" s="271">
        <v>0.0</v>
      </c>
      <c r="Z1812" s="50" t="b">
        <v>0</v>
      </c>
      <c r="AA1812" s="50" t="s">
        <v>138</v>
      </c>
      <c r="AB1812" s="50" t="s">
        <v>138</v>
      </c>
    </row>
    <row r="1813">
      <c r="A1813" s="101" t="s">
        <v>149</v>
      </c>
      <c r="B1813" s="101" t="s">
        <v>149</v>
      </c>
      <c r="C1813" s="278">
        <v>44805.0</v>
      </c>
      <c r="D1813" s="278">
        <v>44834.0</v>
      </c>
      <c r="E1813" s="271" t="s">
        <v>268</v>
      </c>
      <c r="F1813" s="138" t="s">
        <v>12</v>
      </c>
      <c r="G1813" s="101" t="s">
        <v>5</v>
      </c>
      <c r="H1813" s="273" t="s">
        <v>74</v>
      </c>
      <c r="I1813" s="274">
        <v>50.0</v>
      </c>
      <c r="J1813" s="271">
        <v>6001.0</v>
      </c>
      <c r="K1813" s="271">
        <f t="shared" si="1"/>
        <v>300050</v>
      </c>
      <c r="L1813" s="271">
        <v>-9735.0</v>
      </c>
      <c r="M1813" s="271">
        <v>-19400.0</v>
      </c>
      <c r="N1813" s="275">
        <v>11738.0</v>
      </c>
      <c r="O1813" s="60"/>
      <c r="P1813" s="109">
        <v>11738.0</v>
      </c>
      <c r="Q1813" s="271">
        <v>-20106.0</v>
      </c>
      <c r="R1813" s="276">
        <v>0.0</v>
      </c>
      <c r="S1813" s="271">
        <v>-20106.0</v>
      </c>
      <c r="T1813" s="271">
        <v>-7662.0</v>
      </c>
      <c r="U1813" s="62">
        <v>1.0</v>
      </c>
      <c r="V1813" s="291"/>
      <c r="W1813" s="277">
        <v>0.0</v>
      </c>
      <c r="X1813" s="271">
        <v>-7662.0</v>
      </c>
      <c r="Y1813" s="271">
        <v>0.0</v>
      </c>
      <c r="Z1813" s="50" t="b">
        <v>0</v>
      </c>
      <c r="AA1813" s="50" t="s">
        <v>138</v>
      </c>
      <c r="AB1813" s="50" t="s">
        <v>138</v>
      </c>
    </row>
    <row r="1814">
      <c r="A1814" s="101" t="s">
        <v>177</v>
      </c>
      <c r="B1814" s="101" t="s">
        <v>177</v>
      </c>
      <c r="C1814" s="278">
        <v>44805.0</v>
      </c>
      <c r="D1814" s="278">
        <v>44834.0</v>
      </c>
      <c r="E1814" s="271" t="s">
        <v>331</v>
      </c>
      <c r="F1814" s="138" t="s">
        <v>8</v>
      </c>
      <c r="G1814" s="280" t="s">
        <v>5</v>
      </c>
      <c r="H1814" s="273" t="s">
        <v>85</v>
      </c>
      <c r="I1814" s="274">
        <v>100.0</v>
      </c>
      <c r="J1814" s="271">
        <v>296.0</v>
      </c>
      <c r="K1814" s="271">
        <f t="shared" si="1"/>
        <v>29600</v>
      </c>
      <c r="L1814" s="271">
        <v>3761.0</v>
      </c>
      <c r="M1814" s="271">
        <v>-600.0</v>
      </c>
      <c r="N1814" s="275">
        <v>1034.0</v>
      </c>
      <c r="O1814" s="60"/>
      <c r="P1814" s="109">
        <v>1034.0</v>
      </c>
      <c r="Q1814" s="271">
        <v>-860.0</v>
      </c>
      <c r="R1814" s="276">
        <v>0.004307</v>
      </c>
      <c r="S1814" s="271">
        <v>-732.0</v>
      </c>
      <c r="T1814" s="271">
        <v>302.0</v>
      </c>
      <c r="U1814" s="62">
        <v>1.0</v>
      </c>
      <c r="V1814" s="277">
        <v>0.175</v>
      </c>
      <c r="W1814" s="277">
        <v>0.075</v>
      </c>
      <c r="X1814" s="271">
        <v>226.0</v>
      </c>
      <c r="Y1814" s="271">
        <v>75.0</v>
      </c>
      <c r="Z1814" s="50" t="b">
        <v>1</v>
      </c>
      <c r="AA1814" s="50" t="s">
        <v>138</v>
      </c>
      <c r="AB1814" s="50" t="s">
        <v>138</v>
      </c>
    </row>
    <row r="1815">
      <c r="A1815" s="101" t="s">
        <v>177</v>
      </c>
      <c r="B1815" s="101" t="s">
        <v>177</v>
      </c>
      <c r="C1815" s="278">
        <v>44805.0</v>
      </c>
      <c r="D1815" s="278">
        <v>44834.0</v>
      </c>
      <c r="E1815" s="271" t="s">
        <v>331</v>
      </c>
      <c r="F1815" s="138" t="s">
        <v>8</v>
      </c>
      <c r="G1815" s="280" t="s">
        <v>5</v>
      </c>
      <c r="H1815" s="273" t="s">
        <v>86</v>
      </c>
      <c r="I1815" s="274">
        <v>100.0</v>
      </c>
      <c r="J1815" s="271">
        <v>4259.0</v>
      </c>
      <c r="K1815" s="271">
        <f t="shared" si="1"/>
        <v>425900</v>
      </c>
      <c r="L1815" s="271">
        <v>56823.0</v>
      </c>
      <c r="M1815" s="271">
        <v>18700.0</v>
      </c>
      <c r="N1815" s="275">
        <v>14889.0</v>
      </c>
      <c r="O1815" s="60"/>
      <c r="P1815" s="109">
        <v>14889.0</v>
      </c>
      <c r="Q1815" s="271">
        <v>-4765.0</v>
      </c>
      <c r="R1815" s="276">
        <v>0.004384</v>
      </c>
      <c r="S1815" s="271">
        <v>-2898.0</v>
      </c>
      <c r="T1815" s="271">
        <v>11991.0</v>
      </c>
      <c r="U1815" s="62">
        <v>1.0</v>
      </c>
      <c r="V1815" s="277">
        <v>0.175</v>
      </c>
      <c r="W1815" s="277">
        <v>0.075</v>
      </c>
      <c r="X1815" s="271">
        <v>8993.0</v>
      </c>
      <c r="Y1815" s="271">
        <v>2998.0</v>
      </c>
      <c r="Z1815" s="50" t="b">
        <v>1</v>
      </c>
      <c r="AA1815" s="50" t="s">
        <v>138</v>
      </c>
      <c r="AB1815" s="50" t="s">
        <v>138</v>
      </c>
    </row>
    <row r="1816">
      <c r="A1816" s="101" t="s">
        <v>177</v>
      </c>
      <c r="B1816" s="101" t="s">
        <v>177</v>
      </c>
      <c r="C1816" s="278">
        <v>44805.0</v>
      </c>
      <c r="D1816" s="278">
        <v>44834.0</v>
      </c>
      <c r="E1816" s="271" t="s">
        <v>331</v>
      </c>
      <c r="F1816" s="138" t="s">
        <v>8</v>
      </c>
      <c r="G1816" s="280" t="s">
        <v>5</v>
      </c>
      <c r="H1816" s="273" t="s">
        <v>97</v>
      </c>
      <c r="I1816" s="274">
        <v>250.0</v>
      </c>
      <c r="J1816" s="271">
        <v>751.0</v>
      </c>
      <c r="K1816" s="271">
        <f t="shared" si="1"/>
        <v>187750</v>
      </c>
      <c r="L1816" s="271">
        <v>10192.0</v>
      </c>
      <c r="M1816" s="271">
        <v>-5000.0</v>
      </c>
      <c r="N1816" s="275">
        <v>6558.0</v>
      </c>
      <c r="O1816" s="60"/>
      <c r="P1816" s="109">
        <v>6558.0</v>
      </c>
      <c r="Q1816" s="271">
        <v>-1495.0</v>
      </c>
      <c r="R1816" s="276">
        <v>0.004399</v>
      </c>
      <c r="S1816" s="271">
        <v>-669.0</v>
      </c>
      <c r="T1816" s="271">
        <v>5889.0</v>
      </c>
      <c r="U1816" s="62">
        <v>1.0</v>
      </c>
      <c r="V1816" s="277">
        <v>0.175</v>
      </c>
      <c r="W1816" s="277">
        <v>0.075</v>
      </c>
      <c r="X1816" s="271">
        <v>4417.0</v>
      </c>
      <c r="Y1816" s="271">
        <v>1472.0</v>
      </c>
      <c r="Z1816" s="50" t="b">
        <v>1</v>
      </c>
      <c r="AA1816" s="50" t="s">
        <v>138</v>
      </c>
      <c r="AB1816" s="50" t="s">
        <v>138</v>
      </c>
    </row>
    <row r="1817">
      <c r="A1817" s="101" t="s">
        <v>177</v>
      </c>
      <c r="B1817" s="101" t="s">
        <v>177</v>
      </c>
      <c r="C1817" s="278">
        <v>44805.0</v>
      </c>
      <c r="D1817" s="278">
        <v>44834.0</v>
      </c>
      <c r="E1817" s="271" t="s">
        <v>331</v>
      </c>
      <c r="F1817" s="138" t="s">
        <v>8</v>
      </c>
      <c r="G1817" s="280" t="s">
        <v>5</v>
      </c>
      <c r="H1817" s="273" t="s">
        <v>96</v>
      </c>
      <c r="I1817" s="274">
        <v>250.0</v>
      </c>
      <c r="J1817" s="271">
        <v>938.0</v>
      </c>
      <c r="K1817" s="271">
        <f t="shared" si="1"/>
        <v>234500</v>
      </c>
      <c r="L1817" s="271">
        <v>14111.0</v>
      </c>
      <c r="M1817" s="271">
        <v>-7250.0</v>
      </c>
      <c r="N1817" s="275">
        <v>8199.0</v>
      </c>
      <c r="O1817" s="60"/>
      <c r="P1817" s="109">
        <v>8199.0</v>
      </c>
      <c r="Q1817" s="271">
        <v>-5205.0</v>
      </c>
      <c r="R1817" s="276">
        <v>0.004333</v>
      </c>
      <c r="S1817" s="271">
        <v>-4189.0</v>
      </c>
      <c r="T1817" s="271">
        <v>4010.0</v>
      </c>
      <c r="U1817" s="62">
        <v>1.0</v>
      </c>
      <c r="V1817" s="277">
        <v>0.175</v>
      </c>
      <c r="W1817" s="277">
        <v>0.075</v>
      </c>
      <c r="X1817" s="271">
        <v>3007.0</v>
      </c>
      <c r="Y1817" s="271">
        <v>1002.0</v>
      </c>
      <c r="Z1817" s="50" t="b">
        <v>1</v>
      </c>
      <c r="AA1817" s="50" t="s">
        <v>138</v>
      </c>
      <c r="AB1817" s="50" t="s">
        <v>138</v>
      </c>
    </row>
    <row r="1818">
      <c r="A1818" s="101" t="s">
        <v>177</v>
      </c>
      <c r="B1818" s="101" t="s">
        <v>177</v>
      </c>
      <c r="C1818" s="278">
        <v>44805.0</v>
      </c>
      <c r="D1818" s="278">
        <v>44834.0</v>
      </c>
      <c r="E1818" s="271" t="s">
        <v>331</v>
      </c>
      <c r="F1818" s="138" t="s">
        <v>8</v>
      </c>
      <c r="G1818" s="280" t="s">
        <v>5</v>
      </c>
      <c r="H1818" s="273" t="s">
        <v>102</v>
      </c>
      <c r="I1818" s="274">
        <v>500.0</v>
      </c>
      <c r="J1818" s="271">
        <v>4.0</v>
      </c>
      <c r="K1818" s="271">
        <f t="shared" si="1"/>
        <v>2000</v>
      </c>
      <c r="L1818" s="271">
        <v>142.0</v>
      </c>
      <c r="M1818" s="271">
        <v>500.0</v>
      </c>
      <c r="N1818" s="275">
        <v>70.0</v>
      </c>
      <c r="O1818" s="60"/>
      <c r="P1818" s="50">
        <v>70.0</v>
      </c>
      <c r="Q1818" s="271">
        <v>123.0</v>
      </c>
      <c r="R1818" s="276">
        <v>0.004525</v>
      </c>
      <c r="S1818" s="271">
        <v>132.0</v>
      </c>
      <c r="T1818" s="271">
        <v>202.0</v>
      </c>
      <c r="U1818" s="62">
        <v>1.0</v>
      </c>
      <c r="V1818" s="277">
        <v>0.175</v>
      </c>
      <c r="W1818" s="277">
        <v>0.075</v>
      </c>
      <c r="X1818" s="271">
        <v>152.0</v>
      </c>
      <c r="Y1818" s="271">
        <v>51.0</v>
      </c>
      <c r="Z1818" s="50" t="b">
        <v>1</v>
      </c>
      <c r="AA1818" s="50" t="s">
        <v>138</v>
      </c>
      <c r="AB1818" s="50" t="s">
        <v>138</v>
      </c>
    </row>
    <row r="1819">
      <c r="A1819" s="280" t="s">
        <v>183</v>
      </c>
      <c r="B1819" s="280" t="s">
        <v>183</v>
      </c>
      <c r="C1819" s="278">
        <v>44805.0</v>
      </c>
      <c r="D1819" s="278">
        <v>44834.0</v>
      </c>
      <c r="E1819" s="280" t="s">
        <v>268</v>
      </c>
      <c r="F1819" s="138" t="s">
        <v>8</v>
      </c>
      <c r="G1819" s="271" t="s">
        <v>5</v>
      </c>
      <c r="H1819" s="290" t="s">
        <v>35</v>
      </c>
      <c r="I1819" s="274">
        <v>5.0</v>
      </c>
      <c r="J1819" s="271">
        <v>274.0</v>
      </c>
      <c r="K1819" s="271">
        <f t="shared" si="1"/>
        <v>1370</v>
      </c>
      <c r="L1819" s="271">
        <v>13794.0</v>
      </c>
      <c r="M1819" s="271">
        <v>-20.0</v>
      </c>
      <c r="N1819" s="275">
        <v>35.91</v>
      </c>
      <c r="O1819" s="60"/>
      <c r="P1819" s="50">
        <v>36.0</v>
      </c>
      <c r="Q1819" s="271">
        <v>4.0</v>
      </c>
      <c r="R1819" s="276">
        <v>0.004365</v>
      </c>
      <c r="S1819" s="271">
        <v>10.0</v>
      </c>
      <c r="T1819" s="271">
        <v>46.0</v>
      </c>
      <c r="U1819" s="62">
        <v>1.0</v>
      </c>
      <c r="V1819" s="277">
        <v>0.3</v>
      </c>
      <c r="W1819" s="277">
        <v>0.0</v>
      </c>
      <c r="X1819" s="271">
        <v>32.0</v>
      </c>
      <c r="Y1819" s="271">
        <v>14.0</v>
      </c>
      <c r="Z1819" s="50" t="b">
        <v>1</v>
      </c>
      <c r="AA1819" s="50" t="s">
        <v>138</v>
      </c>
      <c r="AB1819" s="50" t="s">
        <v>138</v>
      </c>
    </row>
    <row r="1820">
      <c r="A1820" s="280" t="s">
        <v>183</v>
      </c>
      <c r="B1820" s="280" t="s">
        <v>183</v>
      </c>
      <c r="C1820" s="278">
        <v>44805.0</v>
      </c>
      <c r="D1820" s="278">
        <v>44834.0</v>
      </c>
      <c r="E1820" s="280" t="s">
        <v>268</v>
      </c>
      <c r="F1820" s="138" t="s">
        <v>8</v>
      </c>
      <c r="G1820" s="271" t="s">
        <v>5</v>
      </c>
      <c r="H1820" s="290" t="s">
        <v>45</v>
      </c>
      <c r="I1820" s="274">
        <v>10.0</v>
      </c>
      <c r="J1820" s="271">
        <v>2856.0</v>
      </c>
      <c r="K1820" s="271">
        <f t="shared" si="1"/>
        <v>28560</v>
      </c>
      <c r="L1820" s="271">
        <v>81431.0</v>
      </c>
      <c r="M1820" s="271">
        <v>-1300.0</v>
      </c>
      <c r="N1820" s="275">
        <v>654.97</v>
      </c>
      <c r="O1820" s="60"/>
      <c r="P1820" s="50">
        <v>655.0</v>
      </c>
      <c r="Q1820" s="271">
        <v>-620.0</v>
      </c>
      <c r="R1820" s="276">
        <v>0.004333</v>
      </c>
      <c r="S1820" s="271">
        <v>-496.0</v>
      </c>
      <c r="T1820" s="271">
        <v>159.0</v>
      </c>
      <c r="U1820" s="62">
        <v>1.0</v>
      </c>
      <c r="V1820" s="277">
        <v>0.3</v>
      </c>
      <c r="W1820" s="277">
        <v>0.0</v>
      </c>
      <c r="X1820" s="271">
        <v>111.0</v>
      </c>
      <c r="Y1820" s="271">
        <v>48.0</v>
      </c>
      <c r="Z1820" s="50" t="b">
        <v>1</v>
      </c>
      <c r="AA1820" s="50" t="s">
        <v>138</v>
      </c>
      <c r="AB1820" s="50" t="s">
        <v>138</v>
      </c>
    </row>
    <row r="1821">
      <c r="A1821" s="280" t="s">
        <v>183</v>
      </c>
      <c r="B1821" s="280" t="s">
        <v>183</v>
      </c>
      <c r="C1821" s="278">
        <v>44805.0</v>
      </c>
      <c r="D1821" s="278">
        <v>44834.0</v>
      </c>
      <c r="E1821" s="280" t="s">
        <v>268</v>
      </c>
      <c r="F1821" s="138" t="s">
        <v>8</v>
      </c>
      <c r="G1821" s="271" t="s">
        <v>5</v>
      </c>
      <c r="H1821" s="273" t="s">
        <v>62</v>
      </c>
      <c r="I1821" s="274">
        <v>25.0</v>
      </c>
      <c r="J1821" s="271">
        <v>277.0</v>
      </c>
      <c r="K1821" s="271">
        <f t="shared" si="1"/>
        <v>6925</v>
      </c>
      <c r="L1821" s="271">
        <v>12324.0</v>
      </c>
      <c r="M1821" s="271">
        <v>25.0</v>
      </c>
      <c r="N1821" s="275">
        <v>136.12</v>
      </c>
      <c r="O1821" s="60"/>
      <c r="P1821" s="50">
        <v>136.0</v>
      </c>
      <c r="Q1821" s="271">
        <v>128.0</v>
      </c>
      <c r="R1821" s="276">
        <v>0.004461</v>
      </c>
      <c r="S1821" s="271">
        <v>159.0</v>
      </c>
      <c r="T1821" s="271">
        <v>295.0</v>
      </c>
      <c r="U1821" s="62">
        <v>1.0</v>
      </c>
      <c r="V1821" s="277">
        <v>0.3</v>
      </c>
      <c r="W1821" s="277">
        <v>0.0</v>
      </c>
      <c r="X1821" s="271">
        <v>207.0</v>
      </c>
      <c r="Y1821" s="271">
        <v>89.0</v>
      </c>
      <c r="Z1821" s="50" t="b">
        <v>1</v>
      </c>
      <c r="AA1821" s="50" t="s">
        <v>138</v>
      </c>
      <c r="AB1821" s="50" t="s">
        <v>138</v>
      </c>
    </row>
    <row r="1822">
      <c r="A1822" s="280" t="s">
        <v>183</v>
      </c>
      <c r="B1822" s="280" t="s">
        <v>183</v>
      </c>
      <c r="C1822" s="278">
        <v>44805.0</v>
      </c>
      <c r="D1822" s="278">
        <v>44834.0</v>
      </c>
      <c r="E1822" s="280" t="s">
        <v>268</v>
      </c>
      <c r="F1822" s="138" t="s">
        <v>8</v>
      </c>
      <c r="G1822" s="280" t="s">
        <v>16</v>
      </c>
      <c r="H1822" s="290" t="s">
        <v>45</v>
      </c>
      <c r="I1822" s="274">
        <v>10.0</v>
      </c>
      <c r="J1822" s="271">
        <v>667.0</v>
      </c>
      <c r="K1822" s="271">
        <f t="shared" si="1"/>
        <v>6670</v>
      </c>
      <c r="L1822" s="271">
        <v>43769.0</v>
      </c>
      <c r="M1822" s="271">
        <v>190.0</v>
      </c>
      <c r="N1822" s="275">
        <v>127.0</v>
      </c>
      <c r="O1822" s="60"/>
      <c r="P1822" s="50">
        <v>127.0</v>
      </c>
      <c r="Q1822" s="271">
        <v>391.0</v>
      </c>
      <c r="R1822" s="276">
        <v>-0.005591</v>
      </c>
      <c r="S1822" s="271">
        <v>354.0</v>
      </c>
      <c r="T1822" s="271">
        <v>481.0</v>
      </c>
      <c r="U1822" s="62">
        <v>1.0</v>
      </c>
      <c r="V1822" s="277">
        <v>0.17</v>
      </c>
      <c r="W1822" s="277">
        <v>0.0</v>
      </c>
      <c r="X1822" s="271">
        <v>399.0</v>
      </c>
      <c r="Y1822" s="271">
        <v>82.0</v>
      </c>
      <c r="Z1822" s="50" t="b">
        <v>1</v>
      </c>
      <c r="AA1822" s="50" t="s">
        <v>138</v>
      </c>
      <c r="AB1822" s="50" t="s">
        <v>138</v>
      </c>
    </row>
    <row r="1823">
      <c r="A1823" s="280" t="s">
        <v>185</v>
      </c>
      <c r="B1823" s="280" t="s">
        <v>185</v>
      </c>
      <c r="C1823" s="283">
        <v>44805.0</v>
      </c>
      <c r="D1823" s="283">
        <v>44834.0</v>
      </c>
      <c r="E1823" s="280" t="s">
        <v>268</v>
      </c>
      <c r="F1823" s="138" t="s">
        <v>12</v>
      </c>
      <c r="G1823" s="280" t="s">
        <v>25</v>
      </c>
      <c r="H1823" s="290" t="s">
        <v>187</v>
      </c>
      <c r="I1823" s="281">
        <v>2500.0</v>
      </c>
      <c r="J1823" s="280">
        <v>826.0</v>
      </c>
      <c r="K1823" s="271">
        <f t="shared" si="1"/>
        <v>2065000</v>
      </c>
      <c r="L1823" s="280"/>
      <c r="M1823" s="280">
        <v>235000.0</v>
      </c>
      <c r="N1823" s="282">
        <v>120857.0</v>
      </c>
      <c r="O1823" s="60"/>
      <c r="P1823" s="109">
        <v>120857.0</v>
      </c>
      <c r="Q1823" s="280"/>
      <c r="R1823" s="276">
        <v>0.0</v>
      </c>
      <c r="S1823" s="280"/>
      <c r="T1823" s="280">
        <v>355857.0</v>
      </c>
      <c r="U1823" s="62">
        <v>0.015</v>
      </c>
      <c r="V1823" s="277">
        <v>0.17</v>
      </c>
      <c r="W1823" s="277">
        <v>0.0</v>
      </c>
      <c r="X1823" s="280">
        <v>4312.0</v>
      </c>
      <c r="Y1823" s="280">
        <v>883.0</v>
      </c>
      <c r="Z1823" s="50" t="b">
        <v>1</v>
      </c>
      <c r="AA1823" s="50" t="s">
        <v>138</v>
      </c>
      <c r="AB1823" s="50" t="s">
        <v>1006</v>
      </c>
    </row>
    <row r="1824">
      <c r="A1824" s="271" t="s">
        <v>185</v>
      </c>
      <c r="B1824" s="271" t="s">
        <v>185</v>
      </c>
      <c r="C1824" s="278">
        <v>44805.0</v>
      </c>
      <c r="D1824" s="278">
        <v>44834.0</v>
      </c>
      <c r="E1824" s="271" t="s">
        <v>268</v>
      </c>
      <c r="F1824" s="101" t="s">
        <v>12</v>
      </c>
      <c r="G1824" s="271" t="s">
        <v>25</v>
      </c>
      <c r="H1824" s="290" t="s">
        <v>188</v>
      </c>
      <c r="I1824" s="274">
        <v>5000.0</v>
      </c>
      <c r="J1824" s="271">
        <v>565.0</v>
      </c>
      <c r="K1824" s="271">
        <f t="shared" si="1"/>
        <v>2825000</v>
      </c>
      <c r="L1824" s="271"/>
      <c r="M1824" s="271">
        <v>-175000.0</v>
      </c>
      <c r="N1824" s="275">
        <v>2371.0</v>
      </c>
      <c r="O1824" s="60"/>
      <c r="P1824" s="109">
        <v>2371.0</v>
      </c>
      <c r="Q1824" s="271"/>
      <c r="R1824" s="276">
        <v>0.0</v>
      </c>
      <c r="S1824" s="271"/>
      <c r="T1824" s="271">
        <v>-172629.0</v>
      </c>
      <c r="U1824" s="62">
        <v>0.015</v>
      </c>
      <c r="V1824" s="277">
        <v>0.17</v>
      </c>
      <c r="W1824" s="277">
        <v>0.0</v>
      </c>
      <c r="X1824" s="271">
        <v>-2092.0</v>
      </c>
      <c r="Y1824" s="271">
        <v>-428.0</v>
      </c>
      <c r="Z1824" s="50" t="b">
        <v>1</v>
      </c>
      <c r="AA1824" s="50" t="s">
        <v>138</v>
      </c>
      <c r="AB1824" s="50" t="s">
        <v>1006</v>
      </c>
    </row>
    <row r="1825">
      <c r="A1825" s="280" t="s">
        <v>180</v>
      </c>
      <c r="B1825" s="280" t="s">
        <v>180</v>
      </c>
      <c r="C1825" s="283">
        <v>44805.0</v>
      </c>
      <c r="D1825" s="283">
        <v>44834.0</v>
      </c>
      <c r="E1825" s="280" t="s">
        <v>268</v>
      </c>
      <c r="F1825" s="138" t="s">
        <v>12</v>
      </c>
      <c r="G1825" s="280" t="s">
        <v>142</v>
      </c>
      <c r="H1825" s="290" t="s">
        <v>50</v>
      </c>
      <c r="I1825" s="281">
        <v>10.0</v>
      </c>
      <c r="J1825" s="280">
        <v>2552.0</v>
      </c>
      <c r="K1825" s="271">
        <f t="shared" si="1"/>
        <v>25520</v>
      </c>
      <c r="L1825" s="280">
        <v>132704.0</v>
      </c>
      <c r="M1825" s="280">
        <v>-128.0</v>
      </c>
      <c r="N1825" s="282"/>
      <c r="O1825" s="60">
        <v>0.5</v>
      </c>
      <c r="P1825" s="50">
        <v>893.0</v>
      </c>
      <c r="Q1825" s="280">
        <v>494.0</v>
      </c>
      <c r="R1825" s="276">
        <v>0.0</v>
      </c>
      <c r="S1825" s="280">
        <v>494.0</v>
      </c>
      <c r="T1825" s="280">
        <v>765.0</v>
      </c>
      <c r="U1825" s="62">
        <v>1.0</v>
      </c>
      <c r="V1825" s="277">
        <v>0.17</v>
      </c>
      <c r="W1825" s="277">
        <v>0.0</v>
      </c>
      <c r="X1825" s="280">
        <v>635.0</v>
      </c>
      <c r="Y1825" s="280">
        <v>130.0</v>
      </c>
      <c r="Z1825" s="50" t="b">
        <v>1</v>
      </c>
      <c r="AA1825" s="50" t="s">
        <v>138</v>
      </c>
      <c r="AB1825" s="50" t="s">
        <v>138</v>
      </c>
    </row>
    <row r="1826">
      <c r="A1826" s="280" t="s">
        <v>180</v>
      </c>
      <c r="B1826" s="280" t="s">
        <v>180</v>
      </c>
      <c r="C1826" s="283">
        <v>44805.0</v>
      </c>
      <c r="D1826" s="283">
        <v>44834.0</v>
      </c>
      <c r="E1826" s="280" t="s">
        <v>268</v>
      </c>
      <c r="F1826" s="138" t="s">
        <v>12</v>
      </c>
      <c r="G1826" s="280" t="s">
        <v>142</v>
      </c>
      <c r="H1826" s="290" t="s">
        <v>61</v>
      </c>
      <c r="I1826" s="281">
        <v>20.0</v>
      </c>
      <c r="J1826" s="280">
        <v>961.0</v>
      </c>
      <c r="K1826" s="271">
        <f t="shared" si="1"/>
        <v>19220</v>
      </c>
      <c r="L1826" s="280">
        <v>36518.0</v>
      </c>
      <c r="M1826" s="280">
        <v>-97.0</v>
      </c>
      <c r="N1826" s="282"/>
      <c r="O1826" s="60">
        <v>0.5</v>
      </c>
      <c r="P1826" s="50">
        <v>673.0</v>
      </c>
      <c r="Q1826" s="280">
        <v>-128.0</v>
      </c>
      <c r="R1826" s="276">
        <v>0.0</v>
      </c>
      <c r="S1826" s="280">
        <v>-128.0</v>
      </c>
      <c r="T1826" s="280">
        <v>576.0</v>
      </c>
      <c r="U1826" s="62">
        <v>1.0</v>
      </c>
      <c r="V1826" s="277">
        <v>0.17</v>
      </c>
      <c r="W1826" s="277">
        <v>0.0</v>
      </c>
      <c r="X1826" s="280">
        <v>478.0</v>
      </c>
      <c r="Y1826" s="280">
        <v>98.0</v>
      </c>
      <c r="Z1826" s="50" t="b">
        <v>1</v>
      </c>
      <c r="AA1826" s="50" t="s">
        <v>138</v>
      </c>
      <c r="AB1826" s="50" t="s">
        <v>138</v>
      </c>
    </row>
    <row r="1827">
      <c r="A1827" s="280" t="s">
        <v>362</v>
      </c>
      <c r="B1827" s="271" t="s">
        <v>189</v>
      </c>
      <c r="C1827" s="278">
        <v>44805.0</v>
      </c>
      <c r="D1827" s="278">
        <v>44834.0</v>
      </c>
      <c r="E1827" s="280" t="s">
        <v>268</v>
      </c>
      <c r="F1827" s="138" t="s">
        <v>12</v>
      </c>
      <c r="G1827" s="271" t="s">
        <v>5</v>
      </c>
      <c r="H1827" s="273" t="s">
        <v>85</v>
      </c>
      <c r="I1827" s="274">
        <v>100.0</v>
      </c>
      <c r="J1827" s="271">
        <v>652.0</v>
      </c>
      <c r="K1827" s="271">
        <f t="shared" si="1"/>
        <v>65200</v>
      </c>
      <c r="L1827" s="287">
        <f t="shared" ref="L1827:L1828" si="8">53522/1430*J1827</f>
        <v>24403.03776</v>
      </c>
      <c r="M1827" s="287">
        <v>200.0</v>
      </c>
      <c r="N1827" s="275">
        <v>2841.74</v>
      </c>
      <c r="O1827" s="60"/>
      <c r="P1827" s="109">
        <v>2842.0</v>
      </c>
      <c r="Q1827" s="287">
        <v>1053.0</v>
      </c>
      <c r="R1827" s="276">
        <v>0.0</v>
      </c>
      <c r="S1827" s="287">
        <v>1053.0</v>
      </c>
      <c r="T1827" s="287">
        <v>3042.0</v>
      </c>
      <c r="U1827" s="62">
        <v>1.0</v>
      </c>
      <c r="V1827" s="277">
        <v>0.19</v>
      </c>
      <c r="W1827" s="277">
        <v>0.0</v>
      </c>
      <c r="X1827" s="287">
        <v>2464.0</v>
      </c>
      <c r="Y1827" s="287">
        <v>578.0</v>
      </c>
      <c r="Z1827" s="50" t="b">
        <v>1</v>
      </c>
      <c r="AA1827" s="50" t="s">
        <v>138</v>
      </c>
      <c r="AB1827" s="50" t="s">
        <v>138</v>
      </c>
    </row>
    <row r="1828">
      <c r="A1828" s="280" t="s">
        <v>362</v>
      </c>
      <c r="B1828" s="271" t="s">
        <v>189</v>
      </c>
      <c r="C1828" s="278">
        <v>44805.0</v>
      </c>
      <c r="D1828" s="278">
        <v>44834.0</v>
      </c>
      <c r="E1828" s="280" t="s">
        <v>268</v>
      </c>
      <c r="F1828" s="138" t="s">
        <v>12</v>
      </c>
      <c r="G1828" s="271" t="s">
        <v>5</v>
      </c>
      <c r="H1828" s="273" t="s">
        <v>86</v>
      </c>
      <c r="I1828" s="274">
        <v>100.0</v>
      </c>
      <c r="J1828" s="271">
        <v>778.0</v>
      </c>
      <c r="K1828" s="271">
        <f t="shared" si="1"/>
        <v>77800</v>
      </c>
      <c r="L1828" s="287">
        <f t="shared" si="8"/>
        <v>29118.96224</v>
      </c>
      <c r="M1828" s="287">
        <v>-2200.0</v>
      </c>
      <c r="N1828" s="275">
        <v>3390.91</v>
      </c>
      <c r="O1828" s="60"/>
      <c r="P1828" s="109">
        <v>3391.0</v>
      </c>
      <c r="Q1828" s="287">
        <v>4895.0</v>
      </c>
      <c r="R1828" s="276">
        <v>0.0</v>
      </c>
      <c r="S1828" s="287">
        <v>4895.0</v>
      </c>
      <c r="T1828" s="287">
        <v>1191.0</v>
      </c>
      <c r="U1828" s="62">
        <v>1.0</v>
      </c>
      <c r="V1828" s="277">
        <v>0.19</v>
      </c>
      <c r="W1828" s="277">
        <v>0.0</v>
      </c>
      <c r="X1828" s="287">
        <v>965.0</v>
      </c>
      <c r="Y1828" s="287">
        <v>226.0</v>
      </c>
      <c r="Z1828" s="50" t="b">
        <v>1</v>
      </c>
      <c r="AA1828" s="50" t="s">
        <v>138</v>
      </c>
      <c r="AB1828" s="50" t="s">
        <v>138</v>
      </c>
    </row>
    <row r="1829">
      <c r="A1829" s="280" t="s">
        <v>362</v>
      </c>
      <c r="B1829" s="271" t="s">
        <v>189</v>
      </c>
      <c r="C1829" s="278">
        <v>44805.0</v>
      </c>
      <c r="D1829" s="278">
        <v>44834.0</v>
      </c>
      <c r="E1829" s="280" t="s">
        <v>268</v>
      </c>
      <c r="F1829" s="138" t="s">
        <v>12</v>
      </c>
      <c r="G1829" s="271" t="s">
        <v>5</v>
      </c>
      <c r="H1829" s="273" t="s">
        <v>106</v>
      </c>
      <c r="I1829" s="274">
        <v>1000.0</v>
      </c>
      <c r="J1829" s="271">
        <v>4.0</v>
      </c>
      <c r="K1829" s="271">
        <f t="shared" si="1"/>
        <v>4000</v>
      </c>
      <c r="L1829" s="287">
        <v>46.0</v>
      </c>
      <c r="M1829" s="287">
        <v>-1000.0</v>
      </c>
      <c r="N1829" s="275">
        <v>174.34</v>
      </c>
      <c r="O1829" s="60"/>
      <c r="P1829" s="50">
        <v>174.0</v>
      </c>
      <c r="Q1829" s="287">
        <v>-115.0</v>
      </c>
      <c r="R1829" s="276">
        <v>0.0</v>
      </c>
      <c r="S1829" s="287">
        <v>-115.0</v>
      </c>
      <c r="T1829" s="287">
        <v>-826.0</v>
      </c>
      <c r="U1829" s="62">
        <v>1.0</v>
      </c>
      <c r="V1829" s="277">
        <v>0.19</v>
      </c>
      <c r="W1829" s="277">
        <v>0.0</v>
      </c>
      <c r="X1829" s="287">
        <v>-669.0</v>
      </c>
      <c r="Y1829" s="287">
        <v>-157.0</v>
      </c>
      <c r="Z1829" s="50" t="b">
        <v>1</v>
      </c>
      <c r="AA1829" s="50" t="s">
        <v>138</v>
      </c>
      <c r="AB1829" s="50" t="s">
        <v>138</v>
      </c>
    </row>
    <row r="1830">
      <c r="A1830" s="280" t="s">
        <v>362</v>
      </c>
      <c r="B1830" s="271" t="s">
        <v>189</v>
      </c>
      <c r="C1830" s="278">
        <v>44805.0</v>
      </c>
      <c r="D1830" s="278">
        <v>44834.0</v>
      </c>
      <c r="E1830" s="280" t="s">
        <v>268</v>
      </c>
      <c r="F1830" s="138" t="s">
        <v>12</v>
      </c>
      <c r="G1830" s="271" t="s">
        <v>5</v>
      </c>
      <c r="H1830" s="273" t="s">
        <v>96</v>
      </c>
      <c r="I1830" s="274">
        <v>250.0</v>
      </c>
      <c r="J1830" s="271">
        <v>631.0</v>
      </c>
      <c r="K1830" s="271">
        <f t="shared" si="1"/>
        <v>157750</v>
      </c>
      <c r="L1830" s="287">
        <f t="shared" ref="L1830:L1831" si="9">16932/1150*J1830</f>
        <v>9290.514783</v>
      </c>
      <c r="M1830" s="287">
        <v>3000.0</v>
      </c>
      <c r="N1830" s="275">
        <v>6875.52</v>
      </c>
      <c r="O1830" s="60"/>
      <c r="P1830" s="109">
        <v>6876.0</v>
      </c>
      <c r="Q1830" s="287">
        <v>-3775.0</v>
      </c>
      <c r="R1830" s="276">
        <v>0.0</v>
      </c>
      <c r="S1830" s="287">
        <v>-3775.0</v>
      </c>
      <c r="T1830" s="287">
        <v>9876.0</v>
      </c>
      <c r="U1830" s="62">
        <v>1.0</v>
      </c>
      <c r="V1830" s="277">
        <v>0.19</v>
      </c>
      <c r="W1830" s="277">
        <v>0.0</v>
      </c>
      <c r="X1830" s="287">
        <v>7999.0</v>
      </c>
      <c r="Y1830" s="287">
        <v>1876.0</v>
      </c>
      <c r="Z1830" s="50" t="b">
        <v>1</v>
      </c>
      <c r="AA1830" s="50" t="s">
        <v>138</v>
      </c>
      <c r="AB1830" s="50" t="s">
        <v>138</v>
      </c>
    </row>
    <row r="1831">
      <c r="A1831" s="280" t="s">
        <v>362</v>
      </c>
      <c r="B1831" s="271" t="s">
        <v>189</v>
      </c>
      <c r="C1831" s="278">
        <v>44805.0</v>
      </c>
      <c r="D1831" s="278">
        <v>44834.0</v>
      </c>
      <c r="E1831" s="280" t="s">
        <v>268</v>
      </c>
      <c r="F1831" s="138" t="s">
        <v>12</v>
      </c>
      <c r="G1831" s="271" t="s">
        <v>5</v>
      </c>
      <c r="H1831" s="273" t="s">
        <v>97</v>
      </c>
      <c r="I1831" s="274">
        <v>250.0</v>
      </c>
      <c r="J1831" s="271">
        <v>519.0</v>
      </c>
      <c r="K1831" s="271">
        <f t="shared" si="1"/>
        <v>129750</v>
      </c>
      <c r="L1831" s="287">
        <f t="shared" si="9"/>
        <v>7641.485217</v>
      </c>
      <c r="M1831" s="287">
        <v>-8250.0</v>
      </c>
      <c r="N1831" s="275">
        <v>5655.14</v>
      </c>
      <c r="O1831" s="60"/>
      <c r="P1831" s="109">
        <v>5655.0</v>
      </c>
      <c r="Q1831" s="287">
        <v>-712.0</v>
      </c>
      <c r="R1831" s="276">
        <v>0.0</v>
      </c>
      <c r="S1831" s="287">
        <v>-712.0</v>
      </c>
      <c r="T1831" s="287">
        <v>-2595.0</v>
      </c>
      <c r="U1831" s="62">
        <v>1.0</v>
      </c>
      <c r="V1831" s="277">
        <v>0.19</v>
      </c>
      <c r="W1831" s="277">
        <v>0.0</v>
      </c>
      <c r="X1831" s="287">
        <v>-2102.0</v>
      </c>
      <c r="Y1831" s="287">
        <v>-493.0</v>
      </c>
      <c r="Z1831" s="50" t="b">
        <v>1</v>
      </c>
      <c r="AA1831" s="50" t="s">
        <v>138</v>
      </c>
      <c r="AB1831" s="50" t="s">
        <v>138</v>
      </c>
    </row>
    <row r="1832">
      <c r="A1832" s="280" t="s">
        <v>362</v>
      </c>
      <c r="B1832" s="271" t="s">
        <v>189</v>
      </c>
      <c r="C1832" s="278">
        <v>44805.0</v>
      </c>
      <c r="D1832" s="278">
        <v>44834.0</v>
      </c>
      <c r="E1832" s="280" t="s">
        <v>268</v>
      </c>
      <c r="F1832" s="138" t="s">
        <v>12</v>
      </c>
      <c r="G1832" s="271" t="s">
        <v>5</v>
      </c>
      <c r="H1832" s="273" t="s">
        <v>101</v>
      </c>
      <c r="I1832" s="274">
        <v>500.0</v>
      </c>
      <c r="J1832" s="271">
        <v>137.0</v>
      </c>
      <c r="K1832" s="271">
        <f t="shared" si="1"/>
        <v>68500</v>
      </c>
      <c r="L1832" s="287">
        <f>-3651/191*137</f>
        <v>-2618.780105</v>
      </c>
      <c r="M1832" s="287">
        <v>-1000.0</v>
      </c>
      <c r="N1832" s="275">
        <v>2985.57</v>
      </c>
      <c r="O1832" s="60"/>
      <c r="P1832" s="109">
        <v>2986.0</v>
      </c>
      <c r="Q1832" s="287">
        <v>-5942.0</v>
      </c>
      <c r="R1832" s="276">
        <v>0.0</v>
      </c>
      <c r="S1832" s="287">
        <v>-5942.0</v>
      </c>
      <c r="T1832" s="287">
        <v>1986.0</v>
      </c>
      <c r="U1832" s="62">
        <v>1.0</v>
      </c>
      <c r="V1832" s="277">
        <v>0.19</v>
      </c>
      <c r="W1832" s="277">
        <v>0.0</v>
      </c>
      <c r="X1832" s="287">
        <v>1608.0</v>
      </c>
      <c r="Y1832" s="287">
        <v>377.0</v>
      </c>
      <c r="Z1832" s="50" t="b">
        <v>1</v>
      </c>
      <c r="AA1832" s="50" t="s">
        <v>138</v>
      </c>
      <c r="AB1832" s="50" t="s">
        <v>138</v>
      </c>
    </row>
    <row r="1833">
      <c r="A1833" s="280" t="s">
        <v>362</v>
      </c>
      <c r="B1833" s="271" t="s">
        <v>189</v>
      </c>
      <c r="C1833" s="278">
        <v>44805.0</v>
      </c>
      <c r="D1833" s="278">
        <v>44834.0</v>
      </c>
      <c r="E1833" s="280" t="s">
        <v>268</v>
      </c>
      <c r="F1833" s="138" t="s">
        <v>12</v>
      </c>
      <c r="G1833" s="271" t="s">
        <v>5</v>
      </c>
      <c r="H1833" s="273" t="s">
        <v>102</v>
      </c>
      <c r="I1833" s="274">
        <v>500.0</v>
      </c>
      <c r="J1833" s="271">
        <v>54.0</v>
      </c>
      <c r="K1833" s="271">
        <f t="shared" si="1"/>
        <v>27000</v>
      </c>
      <c r="L1833" s="287">
        <f>-3651/191*54</f>
        <v>-1032.219895</v>
      </c>
      <c r="M1833" s="287">
        <v>0.0</v>
      </c>
      <c r="N1833" s="275">
        <v>1176.79</v>
      </c>
      <c r="O1833" s="60"/>
      <c r="P1833" s="109">
        <v>1177.0</v>
      </c>
      <c r="Q1833" s="287">
        <v>-2989.0</v>
      </c>
      <c r="R1833" s="276">
        <v>0.0</v>
      </c>
      <c r="S1833" s="287">
        <v>-2989.0</v>
      </c>
      <c r="T1833" s="287">
        <v>1177.0</v>
      </c>
      <c r="U1833" s="62">
        <v>1.0</v>
      </c>
      <c r="V1833" s="277">
        <v>0.19</v>
      </c>
      <c r="W1833" s="277">
        <v>0.0</v>
      </c>
      <c r="X1833" s="287">
        <v>953.0</v>
      </c>
      <c r="Y1833" s="287">
        <v>224.0</v>
      </c>
      <c r="Z1833" s="50" t="b">
        <v>1</v>
      </c>
      <c r="AA1833" s="50" t="s">
        <v>138</v>
      </c>
      <c r="AB1833" s="50" t="s">
        <v>138</v>
      </c>
    </row>
    <row r="1834">
      <c r="A1834" s="280" t="s">
        <v>459</v>
      </c>
      <c r="B1834" s="280" t="s">
        <v>145</v>
      </c>
      <c r="C1834" s="283">
        <v>44805.0</v>
      </c>
      <c r="D1834" s="283">
        <v>44834.0</v>
      </c>
      <c r="E1834" s="280" t="s">
        <v>331</v>
      </c>
      <c r="F1834" s="138" t="s">
        <v>8</v>
      </c>
      <c r="G1834" s="280" t="s">
        <v>9</v>
      </c>
      <c r="H1834" s="290" t="s">
        <v>104</v>
      </c>
      <c r="I1834" s="281">
        <v>500.0</v>
      </c>
      <c r="J1834" s="280">
        <v>387.0</v>
      </c>
      <c r="K1834" s="271">
        <f t="shared" si="1"/>
        <v>193500</v>
      </c>
      <c r="L1834" s="280">
        <v>33953.0</v>
      </c>
      <c r="M1834" s="280">
        <v>8000.0</v>
      </c>
      <c r="N1834" s="282">
        <v>17802.87</v>
      </c>
      <c r="O1834" s="60"/>
      <c r="P1834" s="109">
        <v>17803.0</v>
      </c>
      <c r="Q1834" s="280">
        <v>15538.0</v>
      </c>
      <c r="R1834" s="276">
        <v>0.004804</v>
      </c>
      <c r="S1834" s="280">
        <v>16468.0</v>
      </c>
      <c r="T1834" s="280">
        <v>34271.0</v>
      </c>
      <c r="U1834" s="62">
        <v>1.0</v>
      </c>
      <c r="V1834" s="277">
        <v>0.15</v>
      </c>
      <c r="W1834" s="277">
        <v>0.05</v>
      </c>
      <c r="X1834" s="280">
        <v>27417.0</v>
      </c>
      <c r="Y1834" s="280">
        <v>6854.0</v>
      </c>
      <c r="Z1834" s="50" t="b">
        <v>1</v>
      </c>
      <c r="AA1834" s="50" t="s">
        <v>140</v>
      </c>
      <c r="AB1834" s="50" t="s">
        <v>140</v>
      </c>
    </row>
    <row r="1835">
      <c r="A1835" s="280" t="s">
        <v>459</v>
      </c>
      <c r="B1835" s="280" t="s">
        <v>145</v>
      </c>
      <c r="C1835" s="283">
        <v>44805.0</v>
      </c>
      <c r="D1835" s="283">
        <v>44834.0</v>
      </c>
      <c r="E1835" s="280" t="s">
        <v>331</v>
      </c>
      <c r="F1835" s="138" t="s">
        <v>8</v>
      </c>
      <c r="G1835" s="280" t="s">
        <v>9</v>
      </c>
      <c r="H1835" s="290" t="s">
        <v>98</v>
      </c>
      <c r="I1835" s="281">
        <v>250.0</v>
      </c>
      <c r="J1835" s="280">
        <v>983.0</v>
      </c>
      <c r="K1835" s="271">
        <f t="shared" si="1"/>
        <v>245750</v>
      </c>
      <c r="L1835" s="280">
        <v>46249.0</v>
      </c>
      <c r="M1835" s="280">
        <v>15000.0</v>
      </c>
      <c r="N1835" s="282">
        <v>1297.13</v>
      </c>
      <c r="O1835" s="60"/>
      <c r="P1835" s="109">
        <v>1297.0</v>
      </c>
      <c r="Q1835" s="280">
        <v>1419.0</v>
      </c>
      <c r="R1835" s="276">
        <v>0.004474</v>
      </c>
      <c r="S1835" s="280">
        <v>2518.0</v>
      </c>
      <c r="T1835" s="280">
        <v>3815.0</v>
      </c>
      <c r="U1835" s="62">
        <v>1.0</v>
      </c>
      <c r="V1835" s="277">
        <v>0.15</v>
      </c>
      <c r="W1835" s="277">
        <v>0.05</v>
      </c>
      <c r="X1835" s="280">
        <v>3052.0</v>
      </c>
      <c r="Y1835" s="280">
        <v>763.0</v>
      </c>
      <c r="Z1835" s="50" t="b">
        <v>1</v>
      </c>
      <c r="AA1835" s="50" t="s">
        <v>140</v>
      </c>
      <c r="AB1835" s="50" t="s">
        <v>140</v>
      </c>
    </row>
    <row r="1836">
      <c r="A1836" s="280" t="s">
        <v>459</v>
      </c>
      <c r="B1836" s="280" t="s">
        <v>145</v>
      </c>
      <c r="C1836" s="283">
        <v>44805.0</v>
      </c>
      <c r="D1836" s="283">
        <v>44834.0</v>
      </c>
      <c r="E1836" s="280" t="s">
        <v>331</v>
      </c>
      <c r="F1836" s="138" t="s">
        <v>8</v>
      </c>
      <c r="G1836" s="280" t="s">
        <v>9</v>
      </c>
      <c r="H1836" s="290" t="s">
        <v>105</v>
      </c>
      <c r="I1836" s="274">
        <v>500.0</v>
      </c>
      <c r="J1836" s="271">
        <v>1.0</v>
      </c>
      <c r="K1836" s="271">
        <f t="shared" si="1"/>
        <v>500</v>
      </c>
      <c r="L1836" s="271">
        <v>-33.0</v>
      </c>
      <c r="M1836" s="271">
        <v>-500.0</v>
      </c>
      <c r="N1836" s="275"/>
      <c r="O1836" s="60"/>
      <c r="P1836" s="101"/>
      <c r="Q1836" s="271">
        <v>-91.0</v>
      </c>
      <c r="R1836" s="276">
        <v>0.002584</v>
      </c>
      <c r="S1836" s="271">
        <v>-89.0</v>
      </c>
      <c r="T1836" s="271">
        <v>-89.0</v>
      </c>
      <c r="U1836" s="62">
        <v>1.0</v>
      </c>
      <c r="V1836" s="277">
        <v>0.15</v>
      </c>
      <c r="W1836" s="277">
        <v>0.05</v>
      </c>
      <c r="X1836" s="271">
        <v>-71.0</v>
      </c>
      <c r="Y1836" s="271">
        <v>-18.0</v>
      </c>
      <c r="Z1836" s="50" t="b">
        <v>1</v>
      </c>
      <c r="AA1836" s="50" t="s">
        <v>140</v>
      </c>
      <c r="AB1836" s="50" t="s">
        <v>140</v>
      </c>
    </row>
    <row r="1837">
      <c r="A1837" s="101" t="s">
        <v>181</v>
      </c>
      <c r="B1837" s="101" t="s">
        <v>181</v>
      </c>
      <c r="C1837" s="278">
        <v>44805.0</v>
      </c>
      <c r="D1837" s="278">
        <v>44834.0</v>
      </c>
      <c r="E1837" s="271" t="s">
        <v>268</v>
      </c>
      <c r="F1837" s="101" t="s">
        <v>8</v>
      </c>
      <c r="G1837" s="271" t="s">
        <v>13</v>
      </c>
      <c r="H1837" s="114" t="s">
        <v>85</v>
      </c>
      <c r="I1837" s="274">
        <v>100.0</v>
      </c>
      <c r="J1837" s="271">
        <v>1704.0</v>
      </c>
      <c r="K1837" s="271">
        <f t="shared" si="1"/>
        <v>170400</v>
      </c>
      <c r="L1837" s="271">
        <v>-711.0</v>
      </c>
      <c r="M1837" s="271">
        <v>-10700.0</v>
      </c>
      <c r="N1837" s="275">
        <f>5977+300</f>
        <v>6277</v>
      </c>
      <c r="O1837" s="60"/>
      <c r="P1837" s="109">
        <v>6277.0</v>
      </c>
      <c r="Q1837" s="271">
        <v>-12497.0</v>
      </c>
      <c r="R1837" s="276">
        <v>0.004111</v>
      </c>
      <c r="S1837" s="271">
        <v>-11796.0</v>
      </c>
      <c r="T1837" s="271">
        <v>-5519.0</v>
      </c>
      <c r="U1837" s="62">
        <v>1.0</v>
      </c>
      <c r="V1837" s="277">
        <v>0.15</v>
      </c>
      <c r="W1837" s="277">
        <v>0.0</v>
      </c>
      <c r="X1837" s="271">
        <v>-4691.0</v>
      </c>
      <c r="Y1837" s="271">
        <v>-828.0</v>
      </c>
      <c r="Z1837" s="50" t="b">
        <v>1</v>
      </c>
      <c r="AA1837" s="50" t="s">
        <v>138</v>
      </c>
      <c r="AB1837" s="50" t="s">
        <v>138</v>
      </c>
    </row>
    <row r="1838">
      <c r="A1838" s="280" t="s">
        <v>693</v>
      </c>
      <c r="B1838" s="280" t="s">
        <v>159</v>
      </c>
      <c r="C1838" s="283">
        <v>44805.0</v>
      </c>
      <c r="D1838" s="283">
        <v>44834.0</v>
      </c>
      <c r="E1838" s="280" t="s">
        <v>268</v>
      </c>
      <c r="F1838" s="138" t="s">
        <v>12</v>
      </c>
      <c r="G1838" s="280" t="s">
        <v>9</v>
      </c>
      <c r="H1838" s="290" t="s">
        <v>41</v>
      </c>
      <c r="I1838" s="281">
        <v>5.0</v>
      </c>
      <c r="J1838" s="280">
        <v>646.0</v>
      </c>
      <c r="K1838" s="271">
        <f t="shared" si="1"/>
        <v>3230</v>
      </c>
      <c r="L1838" s="280">
        <v>27228.0</v>
      </c>
      <c r="M1838" s="280">
        <v>-35.0</v>
      </c>
      <c r="N1838" s="282">
        <v>26.0</v>
      </c>
      <c r="O1838" s="60"/>
      <c r="P1838" s="50">
        <v>26.0</v>
      </c>
      <c r="Q1838" s="280">
        <v>-45.0</v>
      </c>
      <c r="R1838" s="276">
        <v>0.0</v>
      </c>
      <c r="S1838" s="280">
        <v>-45.0</v>
      </c>
      <c r="T1838" s="280">
        <v>-9.0</v>
      </c>
      <c r="U1838" s="62">
        <v>1.0</v>
      </c>
      <c r="V1838" s="277">
        <v>0.25</v>
      </c>
      <c r="W1838" s="277">
        <v>0.0</v>
      </c>
      <c r="X1838" s="280">
        <v>-7.0</v>
      </c>
      <c r="Y1838" s="280">
        <v>-2.0</v>
      </c>
      <c r="Z1838" s="50" t="b">
        <v>1</v>
      </c>
      <c r="AA1838" s="50" t="s">
        <v>140</v>
      </c>
      <c r="AB1838" s="50" t="s">
        <v>140</v>
      </c>
    </row>
    <row r="1839">
      <c r="A1839" s="101" t="s">
        <v>197</v>
      </c>
      <c r="B1839" s="101" t="s">
        <v>197</v>
      </c>
      <c r="C1839" s="278">
        <v>44805.0</v>
      </c>
      <c r="D1839" s="278">
        <v>44834.0</v>
      </c>
      <c r="E1839" s="280" t="s">
        <v>268</v>
      </c>
      <c r="F1839" s="138" t="s">
        <v>8</v>
      </c>
      <c r="G1839" s="271" t="s">
        <v>5</v>
      </c>
      <c r="H1839" s="273" t="s">
        <v>45</v>
      </c>
      <c r="I1839" s="274">
        <v>10.0</v>
      </c>
      <c r="J1839" s="271">
        <v>166.0</v>
      </c>
      <c r="K1839" s="271">
        <f t="shared" si="1"/>
        <v>1660</v>
      </c>
      <c r="L1839" s="271">
        <v>972.0</v>
      </c>
      <c r="M1839" s="271">
        <v>-230.0</v>
      </c>
      <c r="N1839" s="275">
        <v>78.0</v>
      </c>
      <c r="O1839" s="60"/>
      <c r="P1839" s="50">
        <v>78.0</v>
      </c>
      <c r="Q1839" s="271">
        <v>-107.0</v>
      </c>
      <c r="R1839" s="276">
        <v>0.004223</v>
      </c>
      <c r="S1839" s="271">
        <v>-100.0</v>
      </c>
      <c r="T1839" s="271">
        <v>-22.0</v>
      </c>
      <c r="U1839" s="62">
        <v>1.0</v>
      </c>
      <c r="V1839" s="277">
        <v>0.25</v>
      </c>
      <c r="W1839" s="277">
        <v>0.0</v>
      </c>
      <c r="X1839" s="271">
        <v>-17.0</v>
      </c>
      <c r="Y1839" s="271">
        <v>-6.0</v>
      </c>
      <c r="Z1839" s="50" t="b">
        <v>1</v>
      </c>
      <c r="AA1839" s="50" t="s">
        <v>138</v>
      </c>
      <c r="AB1839" s="50" t="s">
        <v>138</v>
      </c>
    </row>
    <row r="1840">
      <c r="A1840" s="101" t="s">
        <v>197</v>
      </c>
      <c r="B1840" s="101" t="s">
        <v>197</v>
      </c>
      <c r="C1840" s="278">
        <v>44805.0</v>
      </c>
      <c r="D1840" s="278">
        <v>44834.0</v>
      </c>
      <c r="E1840" s="280" t="s">
        <v>268</v>
      </c>
      <c r="F1840" s="138" t="s">
        <v>8</v>
      </c>
      <c r="G1840" s="271" t="s">
        <v>5</v>
      </c>
      <c r="H1840" s="273" t="s">
        <v>62</v>
      </c>
      <c r="I1840" s="274">
        <v>25.0</v>
      </c>
      <c r="J1840" s="271">
        <v>3160.0</v>
      </c>
      <c r="K1840" s="271">
        <f t="shared" si="1"/>
        <v>79000</v>
      </c>
      <c r="L1840" s="271">
        <v>114035.0</v>
      </c>
      <c r="M1840" s="271">
        <v>-3075.0</v>
      </c>
      <c r="N1840" s="275">
        <v>3191.0</v>
      </c>
      <c r="O1840" s="60"/>
      <c r="P1840" s="109">
        <v>3191.0</v>
      </c>
      <c r="Q1840" s="271">
        <v>204.0</v>
      </c>
      <c r="R1840" s="276">
        <v>0.004476</v>
      </c>
      <c r="S1840" s="271">
        <v>558.0</v>
      </c>
      <c r="T1840" s="271">
        <v>3749.0</v>
      </c>
      <c r="U1840" s="62">
        <v>1.0</v>
      </c>
      <c r="V1840" s="277">
        <v>0.25</v>
      </c>
      <c r="W1840" s="277">
        <v>0.0</v>
      </c>
      <c r="X1840" s="271">
        <v>2812.0</v>
      </c>
      <c r="Y1840" s="271">
        <v>937.0</v>
      </c>
      <c r="Z1840" s="50" t="b">
        <v>1</v>
      </c>
      <c r="AA1840" s="50" t="s">
        <v>138</v>
      </c>
      <c r="AB1840" s="50" t="s">
        <v>138</v>
      </c>
    </row>
    <row r="1841">
      <c r="A1841" s="101" t="s">
        <v>197</v>
      </c>
      <c r="B1841" s="101" t="s">
        <v>197</v>
      </c>
      <c r="C1841" s="278">
        <v>44805.0</v>
      </c>
      <c r="D1841" s="278">
        <v>44834.0</v>
      </c>
      <c r="E1841" s="280" t="s">
        <v>268</v>
      </c>
      <c r="F1841" s="138" t="s">
        <v>12</v>
      </c>
      <c r="G1841" s="271" t="s">
        <v>5</v>
      </c>
      <c r="H1841" s="273" t="s">
        <v>35</v>
      </c>
      <c r="I1841" s="274">
        <v>5.0</v>
      </c>
      <c r="J1841" s="271">
        <v>3.0</v>
      </c>
      <c r="K1841" s="271">
        <f t="shared" si="1"/>
        <v>15</v>
      </c>
      <c r="L1841" s="271"/>
      <c r="M1841" s="271">
        <v>-15.0</v>
      </c>
      <c r="N1841" s="275"/>
      <c r="O1841" s="60"/>
      <c r="P1841" s="101"/>
      <c r="Q1841" s="271"/>
      <c r="R1841" s="276">
        <v>0.0</v>
      </c>
      <c r="S1841" s="271"/>
      <c r="T1841" s="271">
        <v>-15.0</v>
      </c>
      <c r="U1841" s="62">
        <v>1.0</v>
      </c>
      <c r="V1841" s="277">
        <v>0.25</v>
      </c>
      <c r="W1841" s="277">
        <v>0.0</v>
      </c>
      <c r="X1841" s="271">
        <v>-11.0</v>
      </c>
      <c r="Y1841" s="271">
        <v>-4.0</v>
      </c>
      <c r="Z1841" s="50" t="b">
        <v>1</v>
      </c>
      <c r="AA1841" s="50" t="s">
        <v>138</v>
      </c>
      <c r="AB1841" s="50" t="s">
        <v>138</v>
      </c>
    </row>
    <row r="1842">
      <c r="A1842" s="280" t="s">
        <v>171</v>
      </c>
      <c r="B1842" s="280" t="s">
        <v>171</v>
      </c>
      <c r="C1842" s="283">
        <v>44805.0</v>
      </c>
      <c r="D1842" s="283">
        <v>44834.0</v>
      </c>
      <c r="E1842" s="280" t="s">
        <v>268</v>
      </c>
      <c r="F1842" s="138" t="s">
        <v>8</v>
      </c>
      <c r="G1842" s="280" t="s">
        <v>9</v>
      </c>
      <c r="H1842" s="273" t="s">
        <v>65</v>
      </c>
      <c r="I1842" s="281">
        <v>25.0</v>
      </c>
      <c r="J1842" s="280">
        <v>569.0</v>
      </c>
      <c r="K1842" s="271">
        <f t="shared" si="1"/>
        <v>14225</v>
      </c>
      <c r="L1842" s="280">
        <v>49751.0</v>
      </c>
      <c r="M1842" s="280">
        <v>100.0</v>
      </c>
      <c r="N1842" s="282">
        <v>1702.28</v>
      </c>
      <c r="O1842" s="60"/>
      <c r="P1842" s="109">
        <v>1702.0</v>
      </c>
      <c r="Q1842" s="280">
        <v>1035.0</v>
      </c>
      <c r="R1842" s="276">
        <v>0.00479</v>
      </c>
      <c r="S1842" s="280">
        <v>1103.0</v>
      </c>
      <c r="T1842" s="280">
        <v>2805.0</v>
      </c>
      <c r="U1842" s="62">
        <v>1.0</v>
      </c>
      <c r="V1842" s="277">
        <v>0.12</v>
      </c>
      <c r="W1842" s="277">
        <v>0.0</v>
      </c>
      <c r="X1842" s="280">
        <v>2469.0</v>
      </c>
      <c r="Y1842" s="280">
        <v>337.0</v>
      </c>
      <c r="Z1842" s="50" t="b">
        <v>1</v>
      </c>
      <c r="AA1842" s="50" t="s">
        <v>140</v>
      </c>
      <c r="AB1842" s="50" t="s">
        <v>140</v>
      </c>
    </row>
    <row r="1843">
      <c r="A1843" s="280" t="s">
        <v>171</v>
      </c>
      <c r="B1843" s="280" t="s">
        <v>171</v>
      </c>
      <c r="C1843" s="283">
        <v>44805.0</v>
      </c>
      <c r="D1843" s="283">
        <v>44834.0</v>
      </c>
      <c r="E1843" s="280" t="s">
        <v>268</v>
      </c>
      <c r="F1843" s="138" t="s">
        <v>8</v>
      </c>
      <c r="G1843" s="280" t="s">
        <v>9</v>
      </c>
      <c r="H1843" s="273" t="s">
        <v>78</v>
      </c>
      <c r="I1843" s="281">
        <v>50.0</v>
      </c>
      <c r="J1843" s="280">
        <v>1197.0</v>
      </c>
      <c r="K1843" s="271">
        <f t="shared" si="1"/>
        <v>59850</v>
      </c>
      <c r="L1843" s="280">
        <v>104934.0</v>
      </c>
      <c r="M1843" s="280">
        <v>50.0</v>
      </c>
      <c r="N1843" s="282">
        <v>102.72</v>
      </c>
      <c r="O1843" s="60"/>
      <c r="P1843" s="50">
        <v>103.0</v>
      </c>
      <c r="Q1843" s="280">
        <v>4380.0</v>
      </c>
      <c r="R1843" s="276">
        <v>0.004757</v>
      </c>
      <c r="S1843" s="280">
        <v>4665.0</v>
      </c>
      <c r="T1843" s="280">
        <v>4768.0</v>
      </c>
      <c r="U1843" s="62">
        <v>1.0</v>
      </c>
      <c r="V1843" s="277">
        <v>0.12</v>
      </c>
      <c r="W1843" s="277">
        <v>0.0</v>
      </c>
      <c r="X1843" s="280">
        <v>4196.0</v>
      </c>
      <c r="Y1843" s="280">
        <v>572.0</v>
      </c>
      <c r="Z1843" s="50" t="b">
        <v>1</v>
      </c>
      <c r="AA1843" s="50" t="s">
        <v>140</v>
      </c>
      <c r="AB1843" s="50" t="s">
        <v>140</v>
      </c>
    </row>
    <row r="1844">
      <c r="A1844" s="280" t="s">
        <v>176</v>
      </c>
      <c r="B1844" s="280" t="s">
        <v>176</v>
      </c>
      <c r="C1844" s="278">
        <v>44805.0</v>
      </c>
      <c r="D1844" s="278">
        <v>44834.0</v>
      </c>
      <c r="E1844" s="271" t="s">
        <v>268</v>
      </c>
      <c r="F1844" s="101" t="s">
        <v>8</v>
      </c>
      <c r="G1844" s="280" t="s">
        <v>5</v>
      </c>
      <c r="H1844" s="273" t="s">
        <v>62</v>
      </c>
      <c r="I1844" s="274">
        <v>25.0</v>
      </c>
      <c r="J1844" s="271">
        <v>234.0</v>
      </c>
      <c r="K1844" s="271">
        <f t="shared" si="1"/>
        <v>5850</v>
      </c>
      <c r="L1844" s="271">
        <v>14126.0</v>
      </c>
      <c r="M1844" s="271">
        <v>725.0</v>
      </c>
      <c r="N1844" s="275">
        <v>445.0</v>
      </c>
      <c r="O1844" s="60"/>
      <c r="P1844" s="50">
        <v>445.0</v>
      </c>
      <c r="Q1844" s="271">
        <v>280.0</v>
      </c>
      <c r="R1844" s="276">
        <v>0.00471</v>
      </c>
      <c r="S1844" s="271">
        <v>308.0</v>
      </c>
      <c r="T1844" s="271">
        <v>753.0</v>
      </c>
      <c r="U1844" s="62">
        <v>1.0</v>
      </c>
      <c r="V1844" s="277">
        <v>0.15</v>
      </c>
      <c r="W1844" s="277">
        <v>0.0</v>
      </c>
      <c r="X1844" s="271">
        <v>640.0</v>
      </c>
      <c r="Y1844" s="271">
        <v>113.0</v>
      </c>
      <c r="Z1844" s="50" t="b">
        <v>1</v>
      </c>
      <c r="AA1844" s="50" t="s">
        <v>138</v>
      </c>
      <c r="AB1844" s="50" t="s">
        <v>138</v>
      </c>
    </row>
    <row r="1845">
      <c r="A1845" s="280" t="s">
        <v>206</v>
      </c>
      <c r="B1845" s="280" t="s">
        <v>206</v>
      </c>
      <c r="C1845" s="283">
        <v>44805.0</v>
      </c>
      <c r="D1845" s="283">
        <v>44834.0</v>
      </c>
      <c r="E1845" s="280" t="s">
        <v>268</v>
      </c>
      <c r="F1845" s="138" t="s">
        <v>12</v>
      </c>
      <c r="G1845" s="280" t="s">
        <v>142</v>
      </c>
      <c r="H1845" s="290" t="s">
        <v>39</v>
      </c>
      <c r="I1845" s="281">
        <v>5.0</v>
      </c>
      <c r="J1845" s="280">
        <v>12.0</v>
      </c>
      <c r="K1845" s="271">
        <f t="shared" si="1"/>
        <v>60</v>
      </c>
      <c r="L1845" s="280">
        <v>448.0</v>
      </c>
      <c r="M1845" s="280">
        <v>-4.06</v>
      </c>
      <c r="N1845" s="282"/>
      <c r="O1845" s="60">
        <v>0.5</v>
      </c>
      <c r="P1845" s="50">
        <v>2.0</v>
      </c>
      <c r="Q1845" s="280">
        <v>0.0</v>
      </c>
      <c r="R1845" s="276">
        <v>0.0</v>
      </c>
      <c r="S1845" s="280">
        <v>0.0</v>
      </c>
      <c r="T1845" s="280">
        <v>-2.0</v>
      </c>
      <c r="U1845" s="62">
        <v>1.0</v>
      </c>
      <c r="V1845" s="277">
        <v>0.1602</v>
      </c>
      <c r="W1845" s="277">
        <v>0.0</v>
      </c>
      <c r="X1845" s="280">
        <v>-2.0</v>
      </c>
      <c r="Y1845" s="280">
        <v>0.0</v>
      </c>
      <c r="Z1845" s="50" t="b">
        <v>1</v>
      </c>
      <c r="AA1845" s="50" t="s">
        <v>138</v>
      </c>
      <c r="AB1845" s="50" t="s">
        <v>138</v>
      </c>
    </row>
    <row r="1846">
      <c r="A1846" s="280" t="s">
        <v>206</v>
      </c>
      <c r="B1846" s="280" t="s">
        <v>206</v>
      </c>
      <c r="C1846" s="283">
        <v>44805.0</v>
      </c>
      <c r="D1846" s="283">
        <v>44834.0</v>
      </c>
      <c r="E1846" s="280" t="s">
        <v>268</v>
      </c>
      <c r="F1846" s="138" t="s">
        <v>12</v>
      </c>
      <c r="G1846" s="280" t="s">
        <v>142</v>
      </c>
      <c r="H1846" s="290" t="s">
        <v>61</v>
      </c>
      <c r="I1846" s="281">
        <v>20.0</v>
      </c>
      <c r="J1846" s="280">
        <v>52.0</v>
      </c>
      <c r="K1846" s="271">
        <f t="shared" si="1"/>
        <v>1040</v>
      </c>
      <c r="L1846" s="280">
        <v>3855.0</v>
      </c>
      <c r="M1846" s="280">
        <v>-70.4</v>
      </c>
      <c r="N1846" s="282"/>
      <c r="O1846" s="60">
        <v>0.5</v>
      </c>
      <c r="P1846" s="50">
        <v>36.0</v>
      </c>
      <c r="Q1846" s="280">
        <v>62.0</v>
      </c>
      <c r="R1846" s="276">
        <v>0.0</v>
      </c>
      <c r="S1846" s="280">
        <v>62.0</v>
      </c>
      <c r="T1846" s="280">
        <v>-34.0</v>
      </c>
      <c r="U1846" s="62">
        <v>1.0</v>
      </c>
      <c r="V1846" s="277">
        <v>0.1602</v>
      </c>
      <c r="W1846" s="277">
        <v>0.0</v>
      </c>
      <c r="X1846" s="280">
        <v>-29.0</v>
      </c>
      <c r="Y1846" s="280">
        <v>-5.0</v>
      </c>
      <c r="Z1846" s="50" t="b">
        <v>1</v>
      </c>
      <c r="AA1846" s="50" t="s">
        <v>138</v>
      </c>
      <c r="AB1846" s="50" t="s">
        <v>138</v>
      </c>
    </row>
    <row r="1847">
      <c r="A1847" s="280" t="s">
        <v>206</v>
      </c>
      <c r="B1847" s="280" t="s">
        <v>206</v>
      </c>
      <c r="C1847" s="283">
        <v>44805.0</v>
      </c>
      <c r="D1847" s="283">
        <v>44834.0</v>
      </c>
      <c r="E1847" s="280" t="s">
        <v>268</v>
      </c>
      <c r="F1847" s="138" t="s">
        <v>12</v>
      </c>
      <c r="G1847" s="280" t="s">
        <v>142</v>
      </c>
      <c r="H1847" s="290" t="s">
        <v>77</v>
      </c>
      <c r="I1847" s="281">
        <v>50.0</v>
      </c>
      <c r="J1847" s="280">
        <v>2553.0</v>
      </c>
      <c r="K1847" s="271">
        <f t="shared" si="1"/>
        <v>127650</v>
      </c>
      <c r="L1847" s="280">
        <v>81059.0</v>
      </c>
      <c r="M1847" s="280">
        <v>-8640.54</v>
      </c>
      <c r="N1847" s="282"/>
      <c r="O1847" s="60">
        <v>0.5</v>
      </c>
      <c r="P1847" s="109">
        <v>4468.0</v>
      </c>
      <c r="Q1847" s="280">
        <v>-2322.0</v>
      </c>
      <c r="R1847" s="276">
        <v>0.0</v>
      </c>
      <c r="S1847" s="280">
        <v>-2322.0</v>
      </c>
      <c r="T1847" s="280">
        <v>-4173.0</v>
      </c>
      <c r="U1847" s="62">
        <v>1.0</v>
      </c>
      <c r="V1847" s="277">
        <v>0.1602</v>
      </c>
      <c r="W1847" s="277">
        <v>0.0</v>
      </c>
      <c r="X1847" s="280">
        <v>-3504.0</v>
      </c>
      <c r="Y1847" s="280">
        <v>-668.0</v>
      </c>
      <c r="Z1847" s="50" t="b">
        <v>1</v>
      </c>
      <c r="AA1847" s="50" t="s">
        <v>138</v>
      </c>
      <c r="AB1847" s="50" t="s">
        <v>138</v>
      </c>
    </row>
    <row r="1848">
      <c r="A1848" s="101" t="s">
        <v>529</v>
      </c>
      <c r="B1848" s="101" t="s">
        <v>147</v>
      </c>
      <c r="C1848" s="278">
        <v>44805.0</v>
      </c>
      <c r="D1848" s="278">
        <v>44834.0</v>
      </c>
      <c r="E1848" s="271" t="s">
        <v>268</v>
      </c>
      <c r="F1848" s="101" t="s">
        <v>12</v>
      </c>
      <c r="G1848" s="271" t="s">
        <v>13</v>
      </c>
      <c r="H1848" s="273" t="s">
        <v>59</v>
      </c>
      <c r="I1848" s="274">
        <v>20.0</v>
      </c>
      <c r="J1848" s="271">
        <v>7000.0</v>
      </c>
      <c r="K1848" s="271">
        <f t="shared" si="1"/>
        <v>140000</v>
      </c>
      <c r="L1848" s="271"/>
      <c r="M1848" s="271">
        <v>-10295.0</v>
      </c>
      <c r="N1848" s="275"/>
      <c r="O1848" s="60"/>
      <c r="P1848" s="101"/>
      <c r="Q1848" s="271"/>
      <c r="R1848" s="276">
        <v>0.0</v>
      </c>
      <c r="S1848" s="271"/>
      <c r="T1848" s="271">
        <v>-10295.0</v>
      </c>
      <c r="U1848" s="62">
        <v>1.0</v>
      </c>
      <c r="V1848" s="277">
        <v>0.3</v>
      </c>
      <c r="W1848" s="277">
        <v>0.0</v>
      </c>
      <c r="X1848" s="271">
        <v>-7207.0</v>
      </c>
      <c r="Y1848" s="271">
        <v>-3089.0</v>
      </c>
      <c r="Z1848" s="50" t="b">
        <v>0</v>
      </c>
      <c r="AA1848" s="50" t="s">
        <v>138</v>
      </c>
      <c r="AB1848" s="50" t="s">
        <v>138</v>
      </c>
    </row>
    <row r="1849">
      <c r="A1849" s="280" t="s">
        <v>233</v>
      </c>
      <c r="B1849" s="280" t="s">
        <v>212</v>
      </c>
      <c r="C1849" s="283">
        <v>44805.0</v>
      </c>
      <c r="D1849" s="283">
        <v>44834.0</v>
      </c>
      <c r="E1849" s="280" t="s">
        <v>268</v>
      </c>
      <c r="F1849" s="138" t="s">
        <v>12</v>
      </c>
      <c r="G1849" s="280" t="s">
        <v>142</v>
      </c>
      <c r="H1849" s="290" t="s">
        <v>50</v>
      </c>
      <c r="I1849" s="281">
        <v>10.0</v>
      </c>
      <c r="J1849" s="280">
        <v>21.0</v>
      </c>
      <c r="K1849" s="271">
        <f t="shared" si="1"/>
        <v>210</v>
      </c>
      <c r="L1849" s="280">
        <v>2646.0</v>
      </c>
      <c r="M1849" s="280">
        <v>1.0</v>
      </c>
      <c r="N1849" s="282"/>
      <c r="O1849" s="60">
        <v>0.5</v>
      </c>
      <c r="P1849" s="50">
        <v>7.0</v>
      </c>
      <c r="Q1849" s="280">
        <v>33.0</v>
      </c>
      <c r="R1849" s="276">
        <v>0.0</v>
      </c>
      <c r="S1849" s="280">
        <v>33.0</v>
      </c>
      <c r="T1849" s="280">
        <v>8.0</v>
      </c>
      <c r="U1849" s="62">
        <v>1.0</v>
      </c>
      <c r="V1849" s="277">
        <v>0.23</v>
      </c>
      <c r="W1849" s="277">
        <v>0.0</v>
      </c>
      <c r="X1849" s="280">
        <v>6.0</v>
      </c>
      <c r="Y1849" s="280">
        <v>2.0</v>
      </c>
      <c r="Z1849" s="50" t="b">
        <v>1</v>
      </c>
      <c r="AA1849" s="50" t="s">
        <v>138</v>
      </c>
      <c r="AB1849" s="50" t="s">
        <v>138</v>
      </c>
    </row>
    <row r="1850">
      <c r="A1850" s="280" t="s">
        <v>233</v>
      </c>
      <c r="B1850" s="280" t="s">
        <v>212</v>
      </c>
      <c r="C1850" s="283">
        <v>44805.0</v>
      </c>
      <c r="D1850" s="283">
        <v>44834.0</v>
      </c>
      <c r="E1850" s="280" t="s">
        <v>268</v>
      </c>
      <c r="F1850" s="138" t="s">
        <v>12</v>
      </c>
      <c r="G1850" s="280" t="s">
        <v>142</v>
      </c>
      <c r="H1850" s="290" t="s">
        <v>61</v>
      </c>
      <c r="I1850" s="281">
        <v>20.0</v>
      </c>
      <c r="J1850" s="280">
        <v>1200.0</v>
      </c>
      <c r="K1850" s="271">
        <f t="shared" si="1"/>
        <v>24000</v>
      </c>
      <c r="L1850" s="280">
        <v>55200.0</v>
      </c>
      <c r="M1850" s="280">
        <v>122.0</v>
      </c>
      <c r="N1850" s="282"/>
      <c r="O1850" s="60">
        <v>0.5</v>
      </c>
      <c r="P1850" s="50">
        <v>840.0</v>
      </c>
      <c r="Q1850" s="280">
        <v>193.0</v>
      </c>
      <c r="R1850" s="276">
        <v>0.0</v>
      </c>
      <c r="S1850" s="280">
        <v>193.0</v>
      </c>
      <c r="T1850" s="280">
        <v>962.0</v>
      </c>
      <c r="U1850" s="62">
        <v>1.0</v>
      </c>
      <c r="V1850" s="277">
        <v>0.23</v>
      </c>
      <c r="W1850" s="277">
        <v>0.0</v>
      </c>
      <c r="X1850" s="280">
        <v>741.0</v>
      </c>
      <c r="Y1850" s="280">
        <v>221.0</v>
      </c>
      <c r="Z1850" s="50" t="b">
        <v>1</v>
      </c>
      <c r="AA1850" s="50" t="s">
        <v>138</v>
      </c>
      <c r="AB1850" s="50" t="s">
        <v>138</v>
      </c>
    </row>
    <row r="1851">
      <c r="A1851" s="280" t="s">
        <v>154</v>
      </c>
      <c r="B1851" s="280" t="s">
        <v>154</v>
      </c>
      <c r="C1851" s="278">
        <v>44805.0</v>
      </c>
      <c r="D1851" s="278">
        <v>44834.0</v>
      </c>
      <c r="E1851" s="280" t="s">
        <v>268</v>
      </c>
      <c r="F1851" s="138" t="s">
        <v>8</v>
      </c>
      <c r="G1851" s="271" t="s">
        <v>5</v>
      </c>
      <c r="H1851" s="273" t="s">
        <v>74</v>
      </c>
      <c r="I1851" s="274">
        <v>50.0</v>
      </c>
      <c r="J1851" s="271">
        <v>1.0</v>
      </c>
      <c r="K1851" s="271">
        <f t="shared" si="1"/>
        <v>50</v>
      </c>
      <c r="L1851" s="271">
        <v>-500.0</v>
      </c>
      <c r="M1851" s="271">
        <v>-50.0</v>
      </c>
      <c r="N1851" s="275">
        <v>2.0</v>
      </c>
      <c r="O1851" s="60"/>
      <c r="P1851" s="50">
        <v>2.0</v>
      </c>
      <c r="Q1851" s="271">
        <v>-50.0</v>
      </c>
      <c r="R1851" s="276">
        <v>-0.00885</v>
      </c>
      <c r="S1851" s="271">
        <v>-50.0</v>
      </c>
      <c r="T1851" s="271">
        <v>-48.0</v>
      </c>
      <c r="U1851" s="62">
        <v>1.0</v>
      </c>
      <c r="V1851" s="277">
        <v>0.35</v>
      </c>
      <c r="W1851" s="277">
        <v>0.0</v>
      </c>
      <c r="X1851" s="271">
        <v>-31.0</v>
      </c>
      <c r="Y1851" s="271">
        <v>-17.0</v>
      </c>
      <c r="Z1851" s="50" t="b">
        <v>1</v>
      </c>
      <c r="AA1851" s="50" t="s">
        <v>138</v>
      </c>
      <c r="AB1851" s="50" t="s">
        <v>138</v>
      </c>
    </row>
    <row r="1852">
      <c r="A1852" s="280" t="s">
        <v>154</v>
      </c>
      <c r="B1852" s="280" t="s">
        <v>154</v>
      </c>
      <c r="C1852" s="278">
        <v>44805.0</v>
      </c>
      <c r="D1852" s="278">
        <v>44834.0</v>
      </c>
      <c r="E1852" s="280" t="s">
        <v>268</v>
      </c>
      <c r="F1852" s="138" t="s">
        <v>8</v>
      </c>
      <c r="G1852" s="271" t="s">
        <v>5</v>
      </c>
      <c r="H1852" s="273" t="s">
        <v>63</v>
      </c>
      <c r="I1852" s="274">
        <v>25.0</v>
      </c>
      <c r="J1852" s="271">
        <v>984.0</v>
      </c>
      <c r="K1852" s="271">
        <f t="shared" si="1"/>
        <v>24600</v>
      </c>
      <c r="L1852" s="271">
        <v>11295.0</v>
      </c>
      <c r="M1852" s="271">
        <v>-75.0</v>
      </c>
      <c r="N1852" s="275">
        <v>962.0</v>
      </c>
      <c r="O1852" s="60"/>
      <c r="P1852" s="50">
        <v>962.0</v>
      </c>
      <c r="Q1852" s="271">
        <v>-702.0</v>
      </c>
      <c r="R1852" s="276">
        <v>0.004298</v>
      </c>
      <c r="S1852" s="271">
        <v>-596.0</v>
      </c>
      <c r="T1852" s="271">
        <v>366.0</v>
      </c>
      <c r="U1852" s="62">
        <v>1.0</v>
      </c>
      <c r="V1852" s="277">
        <v>0.35</v>
      </c>
      <c r="W1852" s="277">
        <v>0.0</v>
      </c>
      <c r="X1852" s="271">
        <v>238.0</v>
      </c>
      <c r="Y1852" s="271">
        <v>128.0</v>
      </c>
      <c r="Z1852" s="50" t="b">
        <v>1</v>
      </c>
      <c r="AA1852" s="50" t="s">
        <v>138</v>
      </c>
      <c r="AB1852" s="50" t="s">
        <v>138</v>
      </c>
    </row>
    <row r="1853">
      <c r="A1853" s="280" t="s">
        <v>154</v>
      </c>
      <c r="B1853" s="280" t="s">
        <v>154</v>
      </c>
      <c r="C1853" s="278">
        <v>44805.0</v>
      </c>
      <c r="D1853" s="278">
        <v>44834.0</v>
      </c>
      <c r="E1853" s="280" t="s">
        <v>268</v>
      </c>
      <c r="F1853" s="138" t="s">
        <v>8</v>
      </c>
      <c r="G1853" s="271" t="s">
        <v>5</v>
      </c>
      <c r="H1853" s="273" t="s">
        <v>75</v>
      </c>
      <c r="I1853" s="274">
        <v>50.0</v>
      </c>
      <c r="J1853" s="271">
        <v>4968.0</v>
      </c>
      <c r="K1853" s="271">
        <f t="shared" si="1"/>
        <v>248400</v>
      </c>
      <c r="L1853" s="271">
        <v>50789.0</v>
      </c>
      <c r="M1853" s="271">
        <v>-4600.0</v>
      </c>
      <c r="N1853" s="275">
        <v>9700.0</v>
      </c>
      <c r="O1853" s="60"/>
      <c r="P1853" s="109">
        <v>9700.0</v>
      </c>
      <c r="Q1853" s="271">
        <v>-8046.0</v>
      </c>
      <c r="R1853" s="276">
        <v>0.004297</v>
      </c>
      <c r="S1853" s="271">
        <v>-6979.0</v>
      </c>
      <c r="T1853" s="271">
        <v>2721.0</v>
      </c>
      <c r="U1853" s="62">
        <v>1.0</v>
      </c>
      <c r="V1853" s="277">
        <v>0.35</v>
      </c>
      <c r="W1853" s="277">
        <v>0.0</v>
      </c>
      <c r="X1853" s="271">
        <v>1769.0</v>
      </c>
      <c r="Y1853" s="271">
        <v>952.0</v>
      </c>
      <c r="Z1853" s="50" t="b">
        <v>1</v>
      </c>
      <c r="AA1853" s="50" t="s">
        <v>138</v>
      </c>
      <c r="AB1853" s="50" t="s">
        <v>138</v>
      </c>
    </row>
    <row r="1854">
      <c r="A1854" s="280" t="s">
        <v>154</v>
      </c>
      <c r="B1854" s="280" t="s">
        <v>154</v>
      </c>
      <c r="C1854" s="278">
        <v>44805.0</v>
      </c>
      <c r="D1854" s="278">
        <v>44834.0</v>
      </c>
      <c r="E1854" s="280" t="s">
        <v>268</v>
      </c>
      <c r="F1854" s="138" t="s">
        <v>8</v>
      </c>
      <c r="G1854" s="271" t="s">
        <v>5</v>
      </c>
      <c r="H1854" s="273" t="s">
        <v>86</v>
      </c>
      <c r="I1854" s="274">
        <v>100.0</v>
      </c>
      <c r="J1854" s="271">
        <v>180.0</v>
      </c>
      <c r="K1854" s="271">
        <f t="shared" si="1"/>
        <v>18000</v>
      </c>
      <c r="L1854" s="271">
        <v>-2421.0</v>
      </c>
      <c r="M1854" s="271">
        <v>-4900.0</v>
      </c>
      <c r="N1854" s="275">
        <v>586.0</v>
      </c>
      <c r="O1854" s="60"/>
      <c r="P1854" s="50">
        <v>586.0</v>
      </c>
      <c r="Q1854" s="271">
        <v>-1728.0</v>
      </c>
      <c r="R1854" s="276">
        <v>0.004016</v>
      </c>
      <c r="S1854" s="271">
        <v>-1656.0</v>
      </c>
      <c r="T1854" s="271">
        <v>-1070.0</v>
      </c>
      <c r="U1854" s="62">
        <v>1.0</v>
      </c>
      <c r="V1854" s="277">
        <v>0.35</v>
      </c>
      <c r="W1854" s="277">
        <v>0.0</v>
      </c>
      <c r="X1854" s="271">
        <v>-696.0</v>
      </c>
      <c r="Y1854" s="271">
        <v>-375.0</v>
      </c>
      <c r="Z1854" s="50" t="b">
        <v>1</v>
      </c>
      <c r="AA1854" s="50" t="s">
        <v>138</v>
      </c>
      <c r="AB1854" s="50" t="s">
        <v>138</v>
      </c>
    </row>
    <row r="1855">
      <c r="A1855" s="280" t="s">
        <v>154</v>
      </c>
      <c r="B1855" s="280" t="s">
        <v>154</v>
      </c>
      <c r="C1855" s="278">
        <v>44805.0</v>
      </c>
      <c r="D1855" s="278">
        <v>44834.0</v>
      </c>
      <c r="E1855" s="280" t="s">
        <v>268</v>
      </c>
      <c r="F1855" s="138" t="s">
        <v>12</v>
      </c>
      <c r="G1855" s="271" t="s">
        <v>5</v>
      </c>
      <c r="H1855" s="273" t="s">
        <v>10</v>
      </c>
      <c r="I1855" s="274">
        <v>0.25</v>
      </c>
      <c r="J1855" s="271">
        <v>18.0</v>
      </c>
      <c r="K1855" s="271">
        <f t="shared" si="1"/>
        <v>4.5</v>
      </c>
      <c r="L1855" s="271"/>
      <c r="M1855" s="271">
        <v>-1.0</v>
      </c>
      <c r="N1855" s="275"/>
      <c r="O1855" s="60"/>
      <c r="P1855" s="101"/>
      <c r="Q1855" s="271"/>
      <c r="R1855" s="276">
        <v>0.0</v>
      </c>
      <c r="S1855" s="271"/>
      <c r="T1855" s="271">
        <v>-1.0</v>
      </c>
      <c r="U1855" s="62">
        <v>1.0</v>
      </c>
      <c r="V1855" s="277">
        <v>0.35</v>
      </c>
      <c r="W1855" s="277">
        <v>0.0</v>
      </c>
      <c r="X1855" s="271">
        <v>-1.0</v>
      </c>
      <c r="Y1855" s="271">
        <v>0.0</v>
      </c>
      <c r="Z1855" s="50" t="b">
        <v>1</v>
      </c>
      <c r="AA1855" s="50" t="s">
        <v>138</v>
      </c>
      <c r="AB1855" s="50" t="s">
        <v>138</v>
      </c>
    </row>
    <row r="1856">
      <c r="A1856" s="280" t="s">
        <v>227</v>
      </c>
      <c r="B1856" s="280" t="s">
        <v>214</v>
      </c>
      <c r="C1856" s="278">
        <v>44805.0</v>
      </c>
      <c r="D1856" s="278">
        <v>44834.0</v>
      </c>
      <c r="E1856" s="280" t="s">
        <v>268</v>
      </c>
      <c r="F1856" s="138" t="s">
        <v>8</v>
      </c>
      <c r="G1856" s="271" t="s">
        <v>5</v>
      </c>
      <c r="H1856" s="273" t="s">
        <v>62</v>
      </c>
      <c r="I1856" s="274">
        <v>25.0</v>
      </c>
      <c r="J1856" s="271">
        <v>3595.0</v>
      </c>
      <c r="K1856" s="271">
        <f t="shared" si="1"/>
        <v>89875</v>
      </c>
      <c r="L1856" s="271">
        <v>143551.0</v>
      </c>
      <c r="M1856" s="271">
        <v>3875.0</v>
      </c>
      <c r="N1856" s="275">
        <v>3837.0</v>
      </c>
      <c r="O1856" s="60"/>
      <c r="P1856" s="109">
        <v>3837.0</v>
      </c>
      <c r="Q1856" s="271">
        <v>903.0</v>
      </c>
      <c r="R1856" s="276">
        <v>0.004488</v>
      </c>
      <c r="S1856" s="271">
        <v>1306.0</v>
      </c>
      <c r="T1856" s="271">
        <v>5143.0</v>
      </c>
      <c r="U1856" s="62">
        <v>1.0</v>
      </c>
      <c r="V1856" s="277">
        <v>0.17</v>
      </c>
      <c r="W1856" s="277">
        <v>0.0</v>
      </c>
      <c r="X1856" s="271">
        <v>4269.0</v>
      </c>
      <c r="Y1856" s="271">
        <v>874.0</v>
      </c>
      <c r="Z1856" s="50" t="b">
        <v>1</v>
      </c>
      <c r="AA1856" s="50" t="s">
        <v>138</v>
      </c>
      <c r="AB1856" s="50" t="s">
        <v>138</v>
      </c>
    </row>
    <row r="1857">
      <c r="A1857" s="280" t="s">
        <v>227</v>
      </c>
      <c r="B1857" s="280" t="s">
        <v>214</v>
      </c>
      <c r="C1857" s="278">
        <v>44805.0</v>
      </c>
      <c r="D1857" s="278">
        <v>44834.0</v>
      </c>
      <c r="E1857" s="280" t="s">
        <v>268</v>
      </c>
      <c r="F1857" s="138" t="s">
        <v>12</v>
      </c>
      <c r="G1857" s="271" t="s">
        <v>5</v>
      </c>
      <c r="H1857" s="273" t="s">
        <v>74</v>
      </c>
      <c r="I1857" s="274">
        <v>50.0</v>
      </c>
      <c r="J1857" s="271">
        <v>20.0</v>
      </c>
      <c r="K1857" s="271">
        <f t="shared" si="1"/>
        <v>1000</v>
      </c>
      <c r="L1857" s="271">
        <v>1017.0</v>
      </c>
      <c r="M1857" s="271">
        <v>50.0</v>
      </c>
      <c r="N1857" s="275">
        <v>43.0</v>
      </c>
      <c r="O1857" s="60"/>
      <c r="P1857" s="50">
        <v>43.0</v>
      </c>
      <c r="Q1857" s="271">
        <v>30.0</v>
      </c>
      <c r="R1857" s="276">
        <v>0.0</v>
      </c>
      <c r="S1857" s="271">
        <v>30.0</v>
      </c>
      <c r="T1857" s="271">
        <v>93.0</v>
      </c>
      <c r="U1857" s="62">
        <v>1.0</v>
      </c>
      <c r="V1857" s="277">
        <v>0.17</v>
      </c>
      <c r="W1857" s="277">
        <v>0.0</v>
      </c>
      <c r="X1857" s="271">
        <v>77.0</v>
      </c>
      <c r="Y1857" s="271">
        <v>16.0</v>
      </c>
      <c r="Z1857" s="50" t="b">
        <v>1</v>
      </c>
      <c r="AA1857" s="50" t="s">
        <v>138</v>
      </c>
      <c r="AB1857" s="50" t="s">
        <v>138</v>
      </c>
    </row>
    <row r="1858">
      <c r="A1858" s="280" t="s">
        <v>174</v>
      </c>
      <c r="B1858" s="280" t="s">
        <v>174</v>
      </c>
      <c r="C1858" s="283">
        <v>44805.0</v>
      </c>
      <c r="D1858" s="283">
        <v>44834.0</v>
      </c>
      <c r="E1858" s="280" t="s">
        <v>268</v>
      </c>
      <c r="F1858" s="138" t="s">
        <v>12</v>
      </c>
      <c r="G1858" s="280" t="s">
        <v>9</v>
      </c>
      <c r="H1858" s="290" t="s">
        <v>31</v>
      </c>
      <c r="I1858" s="281">
        <v>2.0</v>
      </c>
      <c r="J1858" s="280">
        <v>719.0</v>
      </c>
      <c r="K1858" s="271">
        <f t="shared" si="1"/>
        <v>1438</v>
      </c>
      <c r="L1858" s="280">
        <v>76161.0</v>
      </c>
      <c r="M1858" s="280">
        <v>114.0</v>
      </c>
      <c r="N1858" s="282">
        <v>209.7</v>
      </c>
      <c r="O1858" s="60"/>
      <c r="P1858" s="50">
        <v>210.0</v>
      </c>
      <c r="Q1858" s="280">
        <v>146.0</v>
      </c>
      <c r="R1858" s="276">
        <v>0.0</v>
      </c>
      <c r="S1858" s="280">
        <v>146.0</v>
      </c>
      <c r="T1858" s="280">
        <v>324.0</v>
      </c>
      <c r="U1858" s="62">
        <v>1.0</v>
      </c>
      <c r="V1858" s="277">
        <v>0.17</v>
      </c>
      <c r="W1858" s="277">
        <v>0.0</v>
      </c>
      <c r="X1858" s="280">
        <v>269.0</v>
      </c>
      <c r="Y1858" s="280">
        <v>55.0</v>
      </c>
      <c r="Z1858" s="50" t="b">
        <v>1</v>
      </c>
      <c r="AA1858" s="50" t="s">
        <v>140</v>
      </c>
      <c r="AB1858" s="50" t="s">
        <v>140</v>
      </c>
    </row>
    <row r="1859">
      <c r="A1859" s="280" t="s">
        <v>174</v>
      </c>
      <c r="B1859" s="280" t="s">
        <v>174</v>
      </c>
      <c r="C1859" s="283">
        <v>44805.0</v>
      </c>
      <c r="D1859" s="283">
        <v>44834.0</v>
      </c>
      <c r="E1859" s="280" t="s">
        <v>268</v>
      </c>
      <c r="F1859" s="138" t="s">
        <v>12</v>
      </c>
      <c r="G1859" s="280" t="s">
        <v>9</v>
      </c>
      <c r="H1859" s="290" t="s">
        <v>41</v>
      </c>
      <c r="I1859" s="281">
        <v>5.0</v>
      </c>
      <c r="J1859" s="280">
        <v>1351.0</v>
      </c>
      <c r="K1859" s="271">
        <f t="shared" si="1"/>
        <v>6755</v>
      </c>
      <c r="L1859" s="280">
        <v>98474.0</v>
      </c>
      <c r="M1859" s="280">
        <v>5.0</v>
      </c>
      <c r="N1859" s="282">
        <v>11.3</v>
      </c>
      <c r="O1859" s="60"/>
      <c r="P1859" s="50">
        <v>11.0</v>
      </c>
      <c r="Q1859" s="280">
        <v>282.0</v>
      </c>
      <c r="R1859" s="276">
        <v>0.0</v>
      </c>
      <c r="S1859" s="280">
        <v>282.0</v>
      </c>
      <c r="T1859" s="280">
        <v>16.0</v>
      </c>
      <c r="U1859" s="62">
        <v>1.0</v>
      </c>
      <c r="V1859" s="277">
        <v>0.17</v>
      </c>
      <c r="W1859" s="277">
        <v>0.0</v>
      </c>
      <c r="X1859" s="280">
        <v>14.0</v>
      </c>
      <c r="Y1859" s="280">
        <v>3.0</v>
      </c>
      <c r="Z1859" s="50" t="b">
        <v>1</v>
      </c>
      <c r="AA1859" s="50" t="s">
        <v>140</v>
      </c>
      <c r="AB1859" s="50" t="s">
        <v>140</v>
      </c>
    </row>
    <row r="1860">
      <c r="A1860" s="101" t="s">
        <v>267</v>
      </c>
      <c r="B1860" s="101" t="s">
        <v>267</v>
      </c>
      <c r="C1860" s="278">
        <v>44825.0</v>
      </c>
      <c r="D1860" s="278">
        <v>44854.0</v>
      </c>
      <c r="E1860" s="271" t="s">
        <v>268</v>
      </c>
      <c r="F1860" s="138" t="s">
        <v>4</v>
      </c>
      <c r="G1860" s="101" t="s">
        <v>5</v>
      </c>
      <c r="H1860" s="273" t="s">
        <v>45</v>
      </c>
      <c r="I1860" s="274">
        <v>10.0</v>
      </c>
      <c r="J1860" s="271">
        <v>578.0</v>
      </c>
      <c r="K1860" s="271">
        <f t="shared" si="1"/>
        <v>5780</v>
      </c>
      <c r="L1860" s="271">
        <v>34195.0</v>
      </c>
      <c r="M1860" s="271">
        <v>310.0</v>
      </c>
      <c r="N1860" s="275">
        <v>177.0</v>
      </c>
      <c r="O1860" s="60"/>
      <c r="P1860" s="50">
        <v>177.0</v>
      </c>
      <c r="Q1860" s="271">
        <v>200.0</v>
      </c>
      <c r="R1860" s="276">
        <v>1.2E-4</v>
      </c>
      <c r="S1860" s="271">
        <v>200.0</v>
      </c>
      <c r="T1860" s="271">
        <v>377.0</v>
      </c>
      <c r="U1860" s="62">
        <v>1.0</v>
      </c>
      <c r="V1860" s="277">
        <v>0.15</v>
      </c>
      <c r="W1860" s="277">
        <v>0.0</v>
      </c>
      <c r="X1860" s="271">
        <v>321.0</v>
      </c>
      <c r="Y1860" s="271">
        <v>57.0</v>
      </c>
      <c r="Z1860" s="50" t="b">
        <v>1</v>
      </c>
      <c r="AA1860" s="50" t="s">
        <v>138</v>
      </c>
      <c r="AB1860" s="50" t="s">
        <v>138</v>
      </c>
    </row>
    <row r="1861">
      <c r="A1861" s="101" t="s">
        <v>267</v>
      </c>
      <c r="B1861" s="101" t="s">
        <v>267</v>
      </c>
      <c r="C1861" s="278">
        <v>44825.0</v>
      </c>
      <c r="D1861" s="278">
        <v>44854.0</v>
      </c>
      <c r="E1861" s="271" t="s">
        <v>268</v>
      </c>
      <c r="F1861" s="138" t="s">
        <v>4</v>
      </c>
      <c r="G1861" s="101" t="s">
        <v>5</v>
      </c>
      <c r="H1861" s="273" t="s">
        <v>48</v>
      </c>
      <c r="I1861" s="274">
        <v>10.0</v>
      </c>
      <c r="J1861" s="271">
        <v>486.0</v>
      </c>
      <c r="K1861" s="271">
        <f t="shared" si="1"/>
        <v>4860</v>
      </c>
      <c r="L1861" s="271">
        <v>13419.0</v>
      </c>
      <c r="M1861" s="271">
        <v>-90.0</v>
      </c>
      <c r="N1861" s="275">
        <v>149.0</v>
      </c>
      <c r="O1861" s="60"/>
      <c r="P1861" s="50">
        <v>149.0</v>
      </c>
      <c r="Q1861" s="271">
        <v>51.0</v>
      </c>
      <c r="R1861" s="276">
        <v>1.2E-4</v>
      </c>
      <c r="S1861" s="271">
        <v>51.0</v>
      </c>
      <c r="T1861" s="271">
        <v>200.0</v>
      </c>
      <c r="U1861" s="62">
        <v>1.0</v>
      </c>
      <c r="V1861" s="277">
        <v>0.15</v>
      </c>
      <c r="W1861" s="277">
        <v>0.0</v>
      </c>
      <c r="X1861" s="271">
        <v>170.0</v>
      </c>
      <c r="Y1861" s="271">
        <v>30.0</v>
      </c>
      <c r="Z1861" s="50" t="b">
        <v>1</v>
      </c>
      <c r="AA1861" s="50" t="s">
        <v>138</v>
      </c>
      <c r="AB1861" s="50" t="s">
        <v>138</v>
      </c>
    </row>
    <row r="1862">
      <c r="A1862" s="101" t="s">
        <v>267</v>
      </c>
      <c r="B1862" s="101" t="s">
        <v>267</v>
      </c>
      <c r="C1862" s="278">
        <v>44825.0</v>
      </c>
      <c r="D1862" s="278">
        <v>44854.0</v>
      </c>
      <c r="E1862" s="271" t="s">
        <v>268</v>
      </c>
      <c r="F1862" s="138" t="s">
        <v>4</v>
      </c>
      <c r="G1862" s="101" t="s">
        <v>5</v>
      </c>
      <c r="H1862" s="273" t="s">
        <v>62</v>
      </c>
      <c r="I1862" s="274">
        <v>25.0</v>
      </c>
      <c r="J1862" s="271">
        <v>586.0</v>
      </c>
      <c r="K1862" s="271">
        <f t="shared" si="1"/>
        <v>14650</v>
      </c>
      <c r="L1862" s="271">
        <v>34560.0</v>
      </c>
      <c r="M1862" s="271">
        <v>225.0</v>
      </c>
      <c r="N1862" s="275">
        <v>384.0</v>
      </c>
      <c r="O1862" s="60"/>
      <c r="P1862" s="50">
        <v>384.0</v>
      </c>
      <c r="Q1862" s="271">
        <v>201.0</v>
      </c>
      <c r="R1862" s="276">
        <v>1.2E-4</v>
      </c>
      <c r="S1862" s="271">
        <v>202.0</v>
      </c>
      <c r="T1862" s="271">
        <v>586.0</v>
      </c>
      <c r="U1862" s="62">
        <v>1.0</v>
      </c>
      <c r="V1862" s="277">
        <v>0.15</v>
      </c>
      <c r="W1862" s="277">
        <v>0.0</v>
      </c>
      <c r="X1862" s="271">
        <v>498.0</v>
      </c>
      <c r="Y1862" s="271">
        <v>88.0</v>
      </c>
      <c r="Z1862" s="50" t="b">
        <v>0</v>
      </c>
      <c r="AA1862" s="50" t="s">
        <v>138</v>
      </c>
      <c r="AB1862" s="50" t="s">
        <v>138</v>
      </c>
    </row>
    <row r="1863">
      <c r="A1863" s="101" t="s">
        <v>267</v>
      </c>
      <c r="B1863" s="101" t="s">
        <v>267</v>
      </c>
      <c r="C1863" s="278">
        <v>44825.0</v>
      </c>
      <c r="D1863" s="278">
        <v>44854.0</v>
      </c>
      <c r="E1863" s="271" t="s">
        <v>268</v>
      </c>
      <c r="F1863" s="138" t="s">
        <v>4</v>
      </c>
      <c r="G1863" s="101" t="s">
        <v>5</v>
      </c>
      <c r="H1863" s="273" t="s">
        <v>63</v>
      </c>
      <c r="I1863" s="274">
        <v>25.0</v>
      </c>
      <c r="J1863" s="271">
        <v>169.0</v>
      </c>
      <c r="K1863" s="271">
        <f t="shared" si="1"/>
        <v>4225</v>
      </c>
      <c r="L1863" s="271">
        <v>2794.0</v>
      </c>
      <c r="M1863" s="271">
        <v>25.0</v>
      </c>
      <c r="N1863" s="275">
        <v>110.0</v>
      </c>
      <c r="O1863" s="60"/>
      <c r="P1863" s="50">
        <v>110.0</v>
      </c>
      <c r="Q1863" s="271">
        <v>-55.0</v>
      </c>
      <c r="R1863" s="276">
        <v>1.2E-4</v>
      </c>
      <c r="S1863" s="271">
        <v>-54.0</v>
      </c>
      <c r="T1863" s="271">
        <v>56.0</v>
      </c>
      <c r="U1863" s="62">
        <v>1.0</v>
      </c>
      <c r="V1863" s="277">
        <v>0.15</v>
      </c>
      <c r="W1863" s="277">
        <v>0.0</v>
      </c>
      <c r="X1863" s="271">
        <v>48.0</v>
      </c>
      <c r="Y1863" s="271">
        <v>8.0</v>
      </c>
      <c r="Z1863" s="50" t="b">
        <v>1</v>
      </c>
      <c r="AA1863" s="50" t="s">
        <v>138</v>
      </c>
      <c r="AB1863" s="50" t="s">
        <v>138</v>
      </c>
    </row>
    <row r="1864">
      <c r="A1864" s="101" t="s">
        <v>148</v>
      </c>
      <c r="B1864" s="101" t="s">
        <v>148</v>
      </c>
      <c r="C1864" s="278">
        <v>44825.0</v>
      </c>
      <c r="D1864" s="278">
        <v>44854.0</v>
      </c>
      <c r="E1864" s="271" t="s">
        <v>331</v>
      </c>
      <c r="F1864" s="138" t="s">
        <v>4</v>
      </c>
      <c r="G1864" s="101" t="s">
        <v>5</v>
      </c>
      <c r="H1864" s="273" t="s">
        <v>85</v>
      </c>
      <c r="I1864" s="274">
        <v>100.0</v>
      </c>
      <c r="J1864" s="271">
        <v>2800.0</v>
      </c>
      <c r="K1864" s="271">
        <f t="shared" si="1"/>
        <v>280000</v>
      </c>
      <c r="L1864" s="271">
        <v>42419.0</v>
      </c>
      <c r="M1864" s="271">
        <v>-3800.0</v>
      </c>
      <c r="N1864" s="275">
        <v>10900.0</v>
      </c>
      <c r="O1864" s="60"/>
      <c r="P1864" s="109">
        <v>10900.0</v>
      </c>
      <c r="Q1864" s="271">
        <v>-7169.0</v>
      </c>
      <c r="R1864" s="276">
        <v>1.2E-4</v>
      </c>
      <c r="S1864" s="271">
        <v>-7136.0</v>
      </c>
      <c r="T1864" s="271">
        <v>3764.0</v>
      </c>
      <c r="U1864" s="62">
        <v>1.0</v>
      </c>
      <c r="V1864" s="277">
        <v>0.15</v>
      </c>
      <c r="W1864" s="277">
        <v>0.05</v>
      </c>
      <c r="X1864" s="271">
        <v>3011.0</v>
      </c>
      <c r="Y1864" s="271">
        <v>753.0</v>
      </c>
      <c r="Z1864" s="50" t="b">
        <v>1</v>
      </c>
      <c r="AA1864" s="50" t="s">
        <v>138</v>
      </c>
      <c r="AB1864" s="50" t="s">
        <v>138</v>
      </c>
    </row>
    <row r="1865">
      <c r="A1865" s="101" t="s">
        <v>182</v>
      </c>
      <c r="B1865" s="101" t="s">
        <v>182</v>
      </c>
      <c r="C1865" s="278">
        <v>44825.0</v>
      </c>
      <c r="D1865" s="278">
        <v>44854.0</v>
      </c>
      <c r="E1865" s="280" t="s">
        <v>268</v>
      </c>
      <c r="F1865" s="101" t="s">
        <v>4</v>
      </c>
      <c r="G1865" s="271" t="s">
        <v>5</v>
      </c>
      <c r="H1865" s="273" t="s">
        <v>35</v>
      </c>
      <c r="I1865" s="281">
        <v>5.0</v>
      </c>
      <c r="J1865" s="280">
        <v>51.0</v>
      </c>
      <c r="K1865" s="271">
        <f t="shared" si="1"/>
        <v>255</v>
      </c>
      <c r="L1865" s="280">
        <v>11074.0</v>
      </c>
      <c r="M1865" s="280">
        <v>70.0</v>
      </c>
      <c r="N1865" s="275">
        <v>4.0</v>
      </c>
      <c r="O1865" s="60"/>
      <c r="P1865" s="50">
        <v>4.0</v>
      </c>
      <c r="Q1865" s="280">
        <v>78.0</v>
      </c>
      <c r="R1865" s="276">
        <v>1.2E-4</v>
      </c>
      <c r="S1865" s="280">
        <v>78.0</v>
      </c>
      <c r="T1865" s="280">
        <v>82.0</v>
      </c>
      <c r="U1865" s="62">
        <v>1.0</v>
      </c>
      <c r="V1865" s="277">
        <v>0.2</v>
      </c>
      <c r="W1865" s="277">
        <v>0.0</v>
      </c>
      <c r="X1865" s="280">
        <v>65.0</v>
      </c>
      <c r="Y1865" s="280">
        <v>16.0</v>
      </c>
      <c r="Z1865" s="50" t="b">
        <v>1</v>
      </c>
      <c r="AA1865" s="50" t="s">
        <v>138</v>
      </c>
      <c r="AB1865" s="50" t="s">
        <v>138</v>
      </c>
    </row>
    <row r="1866">
      <c r="A1866" s="101" t="s">
        <v>182</v>
      </c>
      <c r="B1866" s="101" t="s">
        <v>182</v>
      </c>
      <c r="C1866" s="278">
        <v>44825.0</v>
      </c>
      <c r="D1866" s="278">
        <v>44854.0</v>
      </c>
      <c r="E1866" s="280" t="s">
        <v>268</v>
      </c>
      <c r="F1866" s="101" t="s">
        <v>4</v>
      </c>
      <c r="G1866" s="271" t="s">
        <v>5</v>
      </c>
      <c r="H1866" s="273" t="s">
        <v>45</v>
      </c>
      <c r="I1866" s="281">
        <v>10.0</v>
      </c>
      <c r="J1866" s="280">
        <v>3160.0</v>
      </c>
      <c r="K1866" s="271">
        <f t="shared" si="1"/>
        <v>31600</v>
      </c>
      <c r="L1866" s="280">
        <v>135078.0</v>
      </c>
      <c r="M1866" s="280">
        <v>1250.0</v>
      </c>
      <c r="N1866" s="275">
        <v>382.0</v>
      </c>
      <c r="O1866" s="60"/>
      <c r="P1866" s="50">
        <v>382.0</v>
      </c>
      <c r="Q1866" s="280">
        <v>139.0</v>
      </c>
      <c r="R1866" s="276">
        <v>1.2E-4</v>
      </c>
      <c r="S1866" s="280">
        <v>143.0</v>
      </c>
      <c r="T1866" s="280">
        <v>525.0</v>
      </c>
      <c r="U1866" s="62">
        <v>1.0</v>
      </c>
      <c r="V1866" s="277">
        <v>0.2</v>
      </c>
      <c r="W1866" s="277">
        <v>0.0</v>
      </c>
      <c r="X1866" s="280">
        <v>420.0</v>
      </c>
      <c r="Y1866" s="280">
        <v>105.0</v>
      </c>
      <c r="Z1866" s="50" t="b">
        <v>1</v>
      </c>
      <c r="AA1866" s="50" t="s">
        <v>138</v>
      </c>
      <c r="AB1866" s="50" t="s">
        <v>138</v>
      </c>
    </row>
    <row r="1867">
      <c r="A1867" s="101" t="s">
        <v>149</v>
      </c>
      <c r="B1867" s="101" t="s">
        <v>149</v>
      </c>
      <c r="C1867" s="278">
        <v>44835.0</v>
      </c>
      <c r="D1867" s="278">
        <v>44854.0</v>
      </c>
      <c r="E1867" s="271" t="s">
        <v>268</v>
      </c>
      <c r="F1867" s="138" t="s">
        <v>4</v>
      </c>
      <c r="G1867" s="101" t="s">
        <v>5</v>
      </c>
      <c r="H1867" s="273" t="s">
        <v>74</v>
      </c>
      <c r="I1867" s="274">
        <v>50.0</v>
      </c>
      <c r="J1867" s="271">
        <v>2718.0</v>
      </c>
      <c r="K1867" s="271">
        <f t="shared" si="1"/>
        <v>135900</v>
      </c>
      <c r="L1867" s="271">
        <v>37584.0</v>
      </c>
      <c r="M1867" s="271">
        <v>-3400.0</v>
      </c>
      <c r="N1867" s="275">
        <v>2949.0</v>
      </c>
      <c r="O1867" s="60"/>
      <c r="P1867" s="109">
        <v>2949.0</v>
      </c>
      <c r="Q1867" s="271">
        <v>-5213.0</v>
      </c>
      <c r="R1867" s="276">
        <v>1.2E-4</v>
      </c>
      <c r="S1867" s="271">
        <v>-5197.0</v>
      </c>
      <c r="T1867" s="271">
        <v>-2248.0</v>
      </c>
      <c r="U1867" s="62">
        <v>1.0</v>
      </c>
      <c r="V1867" s="291"/>
      <c r="W1867" s="277">
        <v>0.0</v>
      </c>
      <c r="X1867" s="271">
        <v>-2248.0</v>
      </c>
      <c r="Y1867" s="271">
        <v>0.0</v>
      </c>
      <c r="Z1867" s="50" t="b">
        <v>0</v>
      </c>
      <c r="AA1867" s="50" t="s">
        <v>138</v>
      </c>
      <c r="AB1867" s="50" t="s">
        <v>138</v>
      </c>
    </row>
    <row r="1868">
      <c r="A1868" s="101" t="s">
        <v>149</v>
      </c>
      <c r="B1868" s="101" t="s">
        <v>149</v>
      </c>
      <c r="C1868" s="278">
        <v>44835.0</v>
      </c>
      <c r="D1868" s="278">
        <v>44854.0</v>
      </c>
      <c r="E1868" s="271" t="s">
        <v>268</v>
      </c>
      <c r="F1868" s="138" t="s">
        <v>4</v>
      </c>
      <c r="G1868" s="101" t="s">
        <v>5</v>
      </c>
      <c r="H1868" s="273" t="s">
        <v>85</v>
      </c>
      <c r="I1868" s="274">
        <v>100.0</v>
      </c>
      <c r="J1868" s="271">
        <v>145.0</v>
      </c>
      <c r="K1868" s="271">
        <f t="shared" si="1"/>
        <v>14500</v>
      </c>
      <c r="L1868" s="271">
        <v>-6194.0</v>
      </c>
      <c r="M1868" s="271">
        <v>-3300.0</v>
      </c>
      <c r="N1868" s="275">
        <v>262.0</v>
      </c>
      <c r="O1868" s="60"/>
      <c r="P1868" s="50">
        <v>262.0</v>
      </c>
      <c r="Q1868" s="271">
        <v>-1944.0</v>
      </c>
      <c r="R1868" s="276">
        <v>1.2E-4</v>
      </c>
      <c r="S1868" s="271">
        <v>-1942.0</v>
      </c>
      <c r="T1868" s="271">
        <v>-1680.0</v>
      </c>
      <c r="U1868" s="62">
        <v>1.0</v>
      </c>
      <c r="V1868" s="291"/>
      <c r="W1868" s="277">
        <v>0.0</v>
      </c>
      <c r="X1868" s="271">
        <v>-1680.0</v>
      </c>
      <c r="Y1868" s="271">
        <v>0.0</v>
      </c>
      <c r="Z1868" s="50" t="b">
        <v>0</v>
      </c>
      <c r="AA1868" s="50" t="s">
        <v>138</v>
      </c>
      <c r="AB1868" s="50" t="s">
        <v>138</v>
      </c>
    </row>
    <row r="1869">
      <c r="A1869" s="101" t="s">
        <v>149</v>
      </c>
      <c r="B1869" s="101" t="s">
        <v>149</v>
      </c>
      <c r="C1869" s="278">
        <v>44835.0</v>
      </c>
      <c r="D1869" s="278">
        <v>44854.0</v>
      </c>
      <c r="E1869" s="271" t="s">
        <v>268</v>
      </c>
      <c r="F1869" s="138" t="s">
        <v>12</v>
      </c>
      <c r="G1869" s="101" t="s">
        <v>5</v>
      </c>
      <c r="H1869" s="273" t="s">
        <v>62</v>
      </c>
      <c r="I1869" s="274">
        <v>25.0</v>
      </c>
      <c r="J1869" s="271">
        <v>439.0</v>
      </c>
      <c r="K1869" s="271">
        <f t="shared" si="1"/>
        <v>10975</v>
      </c>
      <c r="L1869" s="271">
        <f>439*10</f>
        <v>4390</v>
      </c>
      <c r="M1869" s="271">
        <v>-125.0</v>
      </c>
      <c r="N1869" s="275">
        <v>328.0</v>
      </c>
      <c r="O1869" s="60"/>
      <c r="P1869" s="50">
        <v>328.0</v>
      </c>
      <c r="Q1869" s="271">
        <v>-499.0</v>
      </c>
      <c r="R1869" s="276">
        <v>0.0</v>
      </c>
      <c r="S1869" s="271">
        <v>-499.0</v>
      </c>
      <c r="T1869" s="271">
        <v>203.0</v>
      </c>
      <c r="U1869" s="62">
        <v>1.0</v>
      </c>
      <c r="V1869" s="291"/>
      <c r="W1869" s="277">
        <v>0.0</v>
      </c>
      <c r="X1869" s="271">
        <v>203.0</v>
      </c>
      <c r="Y1869" s="271">
        <v>0.0</v>
      </c>
      <c r="Z1869" s="50" t="b">
        <v>0</v>
      </c>
      <c r="AA1869" s="50" t="s">
        <v>138</v>
      </c>
      <c r="AB1869" s="50" t="s">
        <v>138</v>
      </c>
    </row>
    <row r="1870">
      <c r="A1870" s="101" t="s">
        <v>149</v>
      </c>
      <c r="B1870" s="101" t="s">
        <v>149</v>
      </c>
      <c r="C1870" s="278">
        <v>44835.0</v>
      </c>
      <c r="D1870" s="278">
        <v>44854.0</v>
      </c>
      <c r="E1870" s="271" t="s">
        <v>268</v>
      </c>
      <c r="F1870" s="138" t="s">
        <v>12</v>
      </c>
      <c r="G1870" s="101" t="s">
        <v>5</v>
      </c>
      <c r="H1870" s="273" t="s">
        <v>75</v>
      </c>
      <c r="I1870" s="274">
        <v>50.0</v>
      </c>
      <c r="J1870" s="271">
        <v>1.0</v>
      </c>
      <c r="K1870" s="271">
        <f t="shared" si="1"/>
        <v>50</v>
      </c>
      <c r="L1870" s="271"/>
      <c r="M1870" s="271">
        <v>-50.0</v>
      </c>
      <c r="N1870" s="275">
        <v>1.0</v>
      </c>
      <c r="O1870" s="60"/>
      <c r="P1870" s="50">
        <v>1.0</v>
      </c>
      <c r="Q1870" s="271"/>
      <c r="R1870" s="276">
        <v>0.0</v>
      </c>
      <c r="S1870" s="271"/>
      <c r="T1870" s="271">
        <v>-49.0</v>
      </c>
      <c r="U1870" s="62">
        <v>1.0</v>
      </c>
      <c r="V1870" s="291"/>
      <c r="W1870" s="277">
        <v>0.0</v>
      </c>
      <c r="X1870" s="271">
        <v>-49.0</v>
      </c>
      <c r="Y1870" s="271">
        <v>0.0</v>
      </c>
      <c r="Z1870" s="50" t="b">
        <v>0</v>
      </c>
      <c r="AA1870" s="50" t="s">
        <v>138</v>
      </c>
      <c r="AB1870" s="50" t="s">
        <v>138</v>
      </c>
    </row>
    <row r="1871">
      <c r="A1871" s="280" t="s">
        <v>345</v>
      </c>
      <c r="B1871" s="280" t="s">
        <v>904</v>
      </c>
      <c r="C1871" s="283">
        <v>44825.0</v>
      </c>
      <c r="D1871" s="283">
        <v>44854.0</v>
      </c>
      <c r="E1871" s="271" t="s">
        <v>331</v>
      </c>
      <c r="F1871" s="138" t="s">
        <v>4</v>
      </c>
      <c r="G1871" s="280" t="s">
        <v>9</v>
      </c>
      <c r="H1871" s="290" t="s">
        <v>50</v>
      </c>
      <c r="I1871" s="281">
        <v>10.0</v>
      </c>
      <c r="J1871" s="280">
        <v>828.0</v>
      </c>
      <c r="K1871" s="271">
        <f t="shared" si="1"/>
        <v>8280</v>
      </c>
      <c r="L1871" s="280">
        <v>63957.0</v>
      </c>
      <c r="M1871" s="280">
        <v>223.0</v>
      </c>
      <c r="N1871" s="282">
        <v>1879.44</v>
      </c>
      <c r="O1871" s="60"/>
      <c r="P1871" s="109">
        <v>1879.0</v>
      </c>
      <c r="Q1871" s="280">
        <v>416.0</v>
      </c>
      <c r="R1871" s="276">
        <v>1.2E-4</v>
      </c>
      <c r="S1871" s="280">
        <v>417.0</v>
      </c>
      <c r="T1871" s="280">
        <v>2296.0</v>
      </c>
      <c r="U1871" s="62">
        <v>0.993</v>
      </c>
      <c r="V1871" s="277">
        <v>0.2</v>
      </c>
      <c r="W1871" s="277">
        <v>0.1</v>
      </c>
      <c r="X1871" s="280">
        <v>1596.0</v>
      </c>
      <c r="Y1871" s="280">
        <v>684.0</v>
      </c>
      <c r="Z1871" s="50" t="b">
        <v>1</v>
      </c>
      <c r="AA1871" s="50" t="s">
        <v>138</v>
      </c>
      <c r="AB1871" s="50" t="s">
        <v>140</v>
      </c>
    </row>
    <row r="1872">
      <c r="A1872" s="280" t="s">
        <v>345</v>
      </c>
      <c r="B1872" s="280" t="s">
        <v>904</v>
      </c>
      <c r="C1872" s="283">
        <v>44825.0</v>
      </c>
      <c r="D1872" s="283">
        <v>44854.0</v>
      </c>
      <c r="E1872" s="271" t="s">
        <v>331</v>
      </c>
      <c r="F1872" s="138" t="s">
        <v>4</v>
      </c>
      <c r="G1872" s="280" t="s">
        <v>9</v>
      </c>
      <c r="H1872" s="290" t="s">
        <v>64</v>
      </c>
      <c r="I1872" s="281">
        <v>25.0</v>
      </c>
      <c r="J1872" s="280">
        <v>2069.0</v>
      </c>
      <c r="K1872" s="271">
        <f t="shared" si="1"/>
        <v>51725</v>
      </c>
      <c r="L1872" s="280">
        <v>100623.0</v>
      </c>
      <c r="M1872" s="280">
        <v>879.0</v>
      </c>
      <c r="N1872" s="282">
        <v>134.71</v>
      </c>
      <c r="O1872" s="60"/>
      <c r="P1872" s="50">
        <v>135.0</v>
      </c>
      <c r="Q1872" s="280">
        <v>108.0</v>
      </c>
      <c r="R1872" s="276">
        <v>1.2E-4</v>
      </c>
      <c r="S1872" s="280">
        <v>114.0</v>
      </c>
      <c r="T1872" s="280">
        <v>249.0</v>
      </c>
      <c r="U1872" s="62">
        <v>0.993</v>
      </c>
      <c r="V1872" s="277">
        <v>0.2</v>
      </c>
      <c r="W1872" s="277">
        <v>0.1</v>
      </c>
      <c r="X1872" s="280">
        <v>173.0</v>
      </c>
      <c r="Y1872" s="280">
        <v>74.0</v>
      </c>
      <c r="Z1872" s="50" t="b">
        <v>1</v>
      </c>
      <c r="AA1872" s="50" t="s">
        <v>138</v>
      </c>
      <c r="AB1872" s="50" t="s">
        <v>140</v>
      </c>
    </row>
    <row r="1873">
      <c r="A1873" s="280" t="s">
        <v>345</v>
      </c>
      <c r="B1873" s="280" t="s">
        <v>904</v>
      </c>
      <c r="C1873" s="283">
        <v>44825.0</v>
      </c>
      <c r="D1873" s="283">
        <v>44854.0</v>
      </c>
      <c r="E1873" s="271" t="s">
        <v>331</v>
      </c>
      <c r="F1873" s="138" t="s">
        <v>4</v>
      </c>
      <c r="G1873" s="280" t="s">
        <v>9</v>
      </c>
      <c r="H1873" s="290" t="s">
        <v>77</v>
      </c>
      <c r="I1873" s="281">
        <v>50.0</v>
      </c>
      <c r="J1873" s="280">
        <v>449.0</v>
      </c>
      <c r="K1873" s="271">
        <f t="shared" si="1"/>
        <v>22450</v>
      </c>
      <c r="L1873" s="280">
        <v>-1424.0</v>
      </c>
      <c r="M1873" s="280">
        <v>-391.0</v>
      </c>
      <c r="N1873" s="282">
        <v>0.0</v>
      </c>
      <c r="O1873" s="60"/>
      <c r="P1873" s="50">
        <v>0.0</v>
      </c>
      <c r="Q1873" s="280">
        <v>-2066.0</v>
      </c>
      <c r="R1873" s="276">
        <v>1.2E-4</v>
      </c>
      <c r="S1873" s="280">
        <v>-2063.0</v>
      </c>
      <c r="T1873" s="280">
        <v>-2063.0</v>
      </c>
      <c r="U1873" s="62">
        <v>0.993</v>
      </c>
      <c r="V1873" s="277">
        <v>0.2</v>
      </c>
      <c r="W1873" s="277">
        <v>0.1</v>
      </c>
      <c r="X1873" s="280">
        <v>-1434.0</v>
      </c>
      <c r="Y1873" s="280">
        <v>-615.0</v>
      </c>
      <c r="Z1873" s="50" t="b">
        <v>1</v>
      </c>
      <c r="AA1873" s="50" t="s">
        <v>138</v>
      </c>
      <c r="AB1873" s="50" t="s">
        <v>140</v>
      </c>
    </row>
    <row r="1874">
      <c r="A1874" s="280" t="s">
        <v>345</v>
      </c>
      <c r="B1874" s="280" t="s">
        <v>904</v>
      </c>
      <c r="C1874" s="283">
        <v>44825.0</v>
      </c>
      <c r="D1874" s="283">
        <v>44854.0</v>
      </c>
      <c r="E1874" s="271" t="s">
        <v>331</v>
      </c>
      <c r="F1874" s="138" t="s">
        <v>12</v>
      </c>
      <c r="G1874" s="280" t="s">
        <v>9</v>
      </c>
      <c r="H1874" s="290" t="s">
        <v>77</v>
      </c>
      <c r="I1874" s="281">
        <v>50.0</v>
      </c>
      <c r="J1874" s="280">
        <v>54.0</v>
      </c>
      <c r="K1874" s="271">
        <f t="shared" si="1"/>
        <v>2700</v>
      </c>
      <c r="L1874" s="280">
        <v>5653.0</v>
      </c>
      <c r="M1874" s="280">
        <v>650.0</v>
      </c>
      <c r="N1874" s="282">
        <v>5.85</v>
      </c>
      <c r="O1874" s="60"/>
      <c r="P1874" s="50">
        <v>6.0</v>
      </c>
      <c r="Q1874" s="280">
        <v>276.0</v>
      </c>
      <c r="R1874" s="276">
        <v>0.0</v>
      </c>
      <c r="S1874" s="280">
        <v>276.0</v>
      </c>
      <c r="T1874" s="280">
        <v>656.0</v>
      </c>
      <c r="U1874" s="62">
        <v>0.993</v>
      </c>
      <c r="V1874" s="277">
        <v>0.2</v>
      </c>
      <c r="W1874" s="277">
        <v>0.1</v>
      </c>
      <c r="X1874" s="280">
        <v>456.0</v>
      </c>
      <c r="Y1874" s="280">
        <v>195.0</v>
      </c>
      <c r="Z1874" s="50" t="b">
        <v>1</v>
      </c>
      <c r="AA1874" s="50" t="s">
        <v>138</v>
      </c>
      <c r="AB1874" s="50" t="s">
        <v>140</v>
      </c>
    </row>
    <row r="1875">
      <c r="A1875" s="101" t="s">
        <v>170</v>
      </c>
      <c r="B1875" s="101" t="s">
        <v>170</v>
      </c>
      <c r="C1875" s="278">
        <v>44825.0</v>
      </c>
      <c r="D1875" s="278">
        <v>44854.0</v>
      </c>
      <c r="E1875" s="271" t="s">
        <v>268</v>
      </c>
      <c r="F1875" s="101" t="s">
        <v>4</v>
      </c>
      <c r="G1875" s="271" t="s">
        <v>5</v>
      </c>
      <c r="H1875" s="273" t="s">
        <v>35</v>
      </c>
      <c r="I1875" s="274">
        <v>5.0</v>
      </c>
      <c r="J1875" s="271">
        <v>33.0</v>
      </c>
      <c r="K1875" s="271">
        <f t="shared" si="1"/>
        <v>165</v>
      </c>
      <c r="L1875" s="271">
        <v>5848.0</v>
      </c>
      <c r="M1875" s="271">
        <v>0.0</v>
      </c>
      <c r="N1875" s="275">
        <v>6.0</v>
      </c>
      <c r="O1875" s="60"/>
      <c r="P1875" s="50">
        <v>6.0</v>
      </c>
      <c r="Q1875" s="271">
        <v>38.0</v>
      </c>
      <c r="R1875" s="276">
        <v>1.2E-4</v>
      </c>
      <c r="S1875" s="271">
        <v>38.0</v>
      </c>
      <c r="T1875" s="271">
        <v>44.0</v>
      </c>
      <c r="U1875" s="62">
        <v>1.0</v>
      </c>
      <c r="V1875" s="277">
        <v>0.3</v>
      </c>
      <c r="W1875" s="277">
        <v>0.0</v>
      </c>
      <c r="X1875" s="271">
        <v>31.0</v>
      </c>
      <c r="Y1875" s="271">
        <v>13.0</v>
      </c>
      <c r="Z1875" s="50" t="b">
        <v>1</v>
      </c>
      <c r="AA1875" s="50" t="s">
        <v>138</v>
      </c>
      <c r="AB1875" s="50" t="s">
        <v>138</v>
      </c>
    </row>
    <row r="1876">
      <c r="A1876" s="101" t="s">
        <v>170</v>
      </c>
      <c r="B1876" s="101" t="s">
        <v>170</v>
      </c>
      <c r="C1876" s="278">
        <v>44825.0</v>
      </c>
      <c r="D1876" s="278">
        <v>44854.0</v>
      </c>
      <c r="E1876" s="271" t="s">
        <v>268</v>
      </c>
      <c r="F1876" s="101" t="s">
        <v>4</v>
      </c>
      <c r="G1876" s="271" t="s">
        <v>5</v>
      </c>
      <c r="H1876" s="273" t="s">
        <v>45</v>
      </c>
      <c r="I1876" s="274">
        <v>10.0</v>
      </c>
      <c r="J1876" s="271">
        <v>682.0</v>
      </c>
      <c r="K1876" s="271">
        <f t="shared" si="1"/>
        <v>6820</v>
      </c>
      <c r="L1876" s="271">
        <v>37555.0</v>
      </c>
      <c r="M1876" s="271">
        <v>40.0</v>
      </c>
      <c r="N1876" s="275">
        <v>225.0</v>
      </c>
      <c r="O1876" s="60"/>
      <c r="P1876" s="50">
        <v>225.0</v>
      </c>
      <c r="Q1876" s="271">
        <v>184.0</v>
      </c>
      <c r="R1876" s="276">
        <v>1.2E-4</v>
      </c>
      <c r="S1876" s="271">
        <v>185.0</v>
      </c>
      <c r="T1876" s="271">
        <v>410.0</v>
      </c>
      <c r="U1876" s="62">
        <v>1.0</v>
      </c>
      <c r="V1876" s="277">
        <v>0.3</v>
      </c>
      <c r="W1876" s="277">
        <v>0.0</v>
      </c>
      <c r="X1876" s="271">
        <v>287.0</v>
      </c>
      <c r="Y1876" s="271">
        <v>123.0</v>
      </c>
      <c r="Z1876" s="50" t="b">
        <v>1</v>
      </c>
      <c r="AA1876" s="50" t="s">
        <v>138</v>
      </c>
      <c r="AB1876" s="50" t="s">
        <v>138</v>
      </c>
    </row>
    <row r="1877">
      <c r="A1877" s="101" t="s">
        <v>170</v>
      </c>
      <c r="B1877" s="101" t="s">
        <v>170</v>
      </c>
      <c r="C1877" s="278">
        <v>44825.0</v>
      </c>
      <c r="D1877" s="278">
        <v>44854.0</v>
      </c>
      <c r="E1877" s="271" t="s">
        <v>268</v>
      </c>
      <c r="F1877" s="101" t="s">
        <v>4</v>
      </c>
      <c r="G1877" s="271" t="s">
        <v>5</v>
      </c>
      <c r="H1877" s="273" t="s">
        <v>48</v>
      </c>
      <c r="I1877" s="274">
        <v>10.0</v>
      </c>
      <c r="J1877" s="271">
        <v>64.0</v>
      </c>
      <c r="K1877" s="271">
        <f t="shared" si="1"/>
        <v>640</v>
      </c>
      <c r="L1877" s="271">
        <v>-834.0</v>
      </c>
      <c r="M1877" s="271">
        <v>-70.0</v>
      </c>
      <c r="N1877" s="275">
        <v>21.0</v>
      </c>
      <c r="O1877" s="60"/>
      <c r="P1877" s="50">
        <v>21.0</v>
      </c>
      <c r="Q1877" s="271">
        <v>-73.0</v>
      </c>
      <c r="R1877" s="276">
        <v>1.2E-4</v>
      </c>
      <c r="S1877" s="271">
        <v>-73.0</v>
      </c>
      <c r="T1877" s="271">
        <v>-52.0</v>
      </c>
      <c r="U1877" s="62">
        <v>1.0</v>
      </c>
      <c r="V1877" s="277">
        <v>0.3</v>
      </c>
      <c r="W1877" s="277">
        <v>0.0</v>
      </c>
      <c r="X1877" s="271">
        <v>-36.0</v>
      </c>
      <c r="Y1877" s="271">
        <v>-16.0</v>
      </c>
      <c r="Z1877" s="50" t="b">
        <v>1</v>
      </c>
      <c r="AA1877" s="50" t="s">
        <v>138</v>
      </c>
      <c r="AB1877" s="50" t="s">
        <v>138</v>
      </c>
    </row>
    <row r="1878">
      <c r="A1878" s="101" t="s">
        <v>416</v>
      </c>
      <c r="B1878" s="101" t="s">
        <v>190</v>
      </c>
      <c r="C1878" s="278">
        <v>44825.0</v>
      </c>
      <c r="D1878" s="278">
        <v>44854.0</v>
      </c>
      <c r="E1878" s="271" t="s">
        <v>268</v>
      </c>
      <c r="F1878" s="138" t="s">
        <v>4</v>
      </c>
      <c r="G1878" s="271" t="s">
        <v>5</v>
      </c>
      <c r="H1878" s="273" t="s">
        <v>45</v>
      </c>
      <c r="I1878" s="274">
        <v>10.0</v>
      </c>
      <c r="J1878" s="271">
        <v>4567.0</v>
      </c>
      <c r="K1878" s="271">
        <f t="shared" si="1"/>
        <v>45670</v>
      </c>
      <c r="L1878" s="271">
        <v>182401.0</v>
      </c>
      <c r="M1878" s="271">
        <v>-600.0</v>
      </c>
      <c r="N1878" s="275">
        <v>1686.0</v>
      </c>
      <c r="O1878" s="60"/>
      <c r="P1878" s="109">
        <v>1686.0</v>
      </c>
      <c r="Q1878" s="271">
        <v>-220.0</v>
      </c>
      <c r="R1878" s="276">
        <v>1.2E-4</v>
      </c>
      <c r="S1878" s="271">
        <v>-215.0</v>
      </c>
      <c r="T1878" s="271">
        <v>1471.0</v>
      </c>
      <c r="U1878" s="62">
        <v>1.0</v>
      </c>
      <c r="V1878" s="277">
        <v>0.25</v>
      </c>
      <c r="W1878" s="277">
        <v>0.0</v>
      </c>
      <c r="X1878" s="271">
        <v>1103.0</v>
      </c>
      <c r="Y1878" s="271">
        <v>368.0</v>
      </c>
      <c r="Z1878" s="50" t="b">
        <v>1</v>
      </c>
      <c r="AA1878" s="50" t="s">
        <v>138</v>
      </c>
      <c r="AB1878" s="50" t="s">
        <v>138</v>
      </c>
    </row>
    <row r="1879">
      <c r="A1879" s="101" t="s">
        <v>416</v>
      </c>
      <c r="B1879" s="101" t="s">
        <v>190</v>
      </c>
      <c r="C1879" s="278">
        <v>44825.0</v>
      </c>
      <c r="D1879" s="278">
        <v>44854.0</v>
      </c>
      <c r="E1879" s="271" t="s">
        <v>268</v>
      </c>
      <c r="F1879" s="138" t="s">
        <v>4</v>
      </c>
      <c r="G1879" s="271" t="s">
        <v>5</v>
      </c>
      <c r="H1879" s="273" t="s">
        <v>62</v>
      </c>
      <c r="I1879" s="274">
        <v>25.0</v>
      </c>
      <c r="J1879" s="271">
        <v>233.0</v>
      </c>
      <c r="K1879" s="271">
        <f t="shared" si="1"/>
        <v>5825</v>
      </c>
      <c r="L1879" s="271">
        <v>8003.0</v>
      </c>
      <c r="M1879" s="271">
        <v>475.0</v>
      </c>
      <c r="N1879" s="275">
        <v>184.0</v>
      </c>
      <c r="O1879" s="60"/>
      <c r="P1879" s="50">
        <v>184.0</v>
      </c>
      <c r="Q1879" s="271">
        <v>-23.0</v>
      </c>
      <c r="R1879" s="276">
        <v>1.2E-4</v>
      </c>
      <c r="S1879" s="271">
        <v>-23.0</v>
      </c>
      <c r="T1879" s="271">
        <v>161.0</v>
      </c>
      <c r="U1879" s="62">
        <v>1.0</v>
      </c>
      <c r="V1879" s="277">
        <v>0.25</v>
      </c>
      <c r="W1879" s="277">
        <v>0.0</v>
      </c>
      <c r="X1879" s="271">
        <v>121.0</v>
      </c>
      <c r="Y1879" s="271">
        <v>40.0</v>
      </c>
      <c r="Z1879" s="50" t="b">
        <v>1</v>
      </c>
      <c r="AA1879" s="50" t="s">
        <v>138</v>
      </c>
      <c r="AB1879" s="50" t="s">
        <v>138</v>
      </c>
    </row>
    <row r="1880">
      <c r="A1880" s="280" t="s">
        <v>192</v>
      </c>
      <c r="B1880" s="280" t="s">
        <v>191</v>
      </c>
      <c r="C1880" s="283">
        <v>44833.0</v>
      </c>
      <c r="D1880" s="278">
        <v>44854.0</v>
      </c>
      <c r="E1880" s="280" t="s">
        <v>268</v>
      </c>
      <c r="F1880" s="138" t="s">
        <v>4</v>
      </c>
      <c r="G1880" s="271" t="s">
        <v>22</v>
      </c>
      <c r="H1880" s="290" t="s">
        <v>51</v>
      </c>
      <c r="I1880" s="281">
        <v>10.0</v>
      </c>
      <c r="J1880" s="280">
        <v>352.0</v>
      </c>
      <c r="K1880" s="271">
        <f t="shared" si="1"/>
        <v>3520</v>
      </c>
      <c r="L1880" s="280">
        <v>7000.0</v>
      </c>
      <c r="M1880" s="280">
        <v>-110.0</v>
      </c>
      <c r="N1880" s="275">
        <v>0.0</v>
      </c>
      <c r="O1880" s="60"/>
      <c r="P1880" s="50">
        <v>0.0</v>
      </c>
      <c r="Q1880" s="280">
        <v>-132.0</v>
      </c>
      <c r="R1880" s="276">
        <v>1.2E-4</v>
      </c>
      <c r="S1880" s="280">
        <v>-132.0</v>
      </c>
      <c r="T1880" s="280">
        <v>-132.0</v>
      </c>
      <c r="U1880" s="62">
        <v>1.0</v>
      </c>
      <c r="V1880" s="277">
        <v>0.3</v>
      </c>
      <c r="W1880" s="277">
        <v>0.0</v>
      </c>
      <c r="X1880" s="280">
        <v>-92.0</v>
      </c>
      <c r="Y1880" s="280">
        <v>-39.0</v>
      </c>
      <c r="Z1880" s="50" t="b">
        <v>1</v>
      </c>
      <c r="AA1880" s="50" t="s">
        <v>140</v>
      </c>
      <c r="AB1880" s="50" t="s">
        <v>140</v>
      </c>
    </row>
    <row r="1881">
      <c r="A1881" s="280" t="s">
        <v>192</v>
      </c>
      <c r="B1881" s="280" t="s">
        <v>191</v>
      </c>
      <c r="C1881" s="283">
        <v>44833.0</v>
      </c>
      <c r="D1881" s="278">
        <v>44854.0</v>
      </c>
      <c r="E1881" s="280" t="s">
        <v>268</v>
      </c>
      <c r="F1881" s="138" t="s">
        <v>4</v>
      </c>
      <c r="G1881" s="271" t="s">
        <v>22</v>
      </c>
      <c r="H1881" s="290" t="s">
        <v>64</v>
      </c>
      <c r="I1881" s="281">
        <v>25.0</v>
      </c>
      <c r="J1881" s="280">
        <v>2798.0</v>
      </c>
      <c r="K1881" s="271">
        <f t="shared" si="1"/>
        <v>69950</v>
      </c>
      <c r="L1881" s="280">
        <v>119500.0</v>
      </c>
      <c r="M1881" s="280">
        <v>-400.0</v>
      </c>
      <c r="N1881" s="275">
        <v>0.0</v>
      </c>
      <c r="O1881" s="60"/>
      <c r="P1881" s="50">
        <v>0.0</v>
      </c>
      <c r="Q1881" s="280">
        <v>304.0</v>
      </c>
      <c r="R1881" s="276">
        <v>1.2E-4</v>
      </c>
      <c r="S1881" s="280">
        <v>312.0</v>
      </c>
      <c r="T1881" s="280">
        <v>312.0</v>
      </c>
      <c r="U1881" s="62">
        <v>1.0</v>
      </c>
      <c r="V1881" s="277">
        <v>0.3</v>
      </c>
      <c r="W1881" s="277">
        <v>0.0</v>
      </c>
      <c r="X1881" s="280">
        <v>218.0</v>
      </c>
      <c r="Y1881" s="280">
        <v>94.0</v>
      </c>
      <c r="Z1881" s="50" t="b">
        <v>1</v>
      </c>
      <c r="AA1881" s="50" t="s">
        <v>140</v>
      </c>
      <c r="AB1881" s="50" t="s">
        <v>140</v>
      </c>
    </row>
    <row r="1882">
      <c r="A1882" s="280" t="s">
        <v>192</v>
      </c>
      <c r="B1882" s="280" t="s">
        <v>191</v>
      </c>
      <c r="C1882" s="283">
        <v>44833.0</v>
      </c>
      <c r="D1882" s="278">
        <v>44854.0</v>
      </c>
      <c r="E1882" s="280" t="s">
        <v>268</v>
      </c>
      <c r="F1882" s="138" t="s">
        <v>12</v>
      </c>
      <c r="G1882" s="271" t="s">
        <v>22</v>
      </c>
      <c r="H1882" s="290" t="s">
        <v>14</v>
      </c>
      <c r="I1882" s="274">
        <v>0.25</v>
      </c>
      <c r="J1882" s="271">
        <v>7.0</v>
      </c>
      <c r="K1882" s="271">
        <f t="shared" si="1"/>
        <v>1.75</v>
      </c>
      <c r="L1882" s="271"/>
      <c r="M1882" s="271">
        <v>-0.25</v>
      </c>
      <c r="N1882" s="275">
        <v>0.0</v>
      </c>
      <c r="O1882" s="60"/>
      <c r="P1882" s="50">
        <v>0.0</v>
      </c>
      <c r="Q1882" s="271"/>
      <c r="R1882" s="276">
        <v>0.0</v>
      </c>
      <c r="S1882" s="271"/>
      <c r="T1882" s="271">
        <v>0.0</v>
      </c>
      <c r="U1882" s="62">
        <v>1.0</v>
      </c>
      <c r="V1882" s="277">
        <v>0.3</v>
      </c>
      <c r="W1882" s="277">
        <v>0.0</v>
      </c>
      <c r="X1882" s="271">
        <v>0.0</v>
      </c>
      <c r="Y1882" s="271">
        <v>0.0</v>
      </c>
      <c r="Z1882" s="50" t="b">
        <v>1</v>
      </c>
      <c r="AA1882" s="50" t="s">
        <v>140</v>
      </c>
      <c r="AB1882" s="50" t="s">
        <v>140</v>
      </c>
    </row>
    <row r="1883">
      <c r="A1883" s="280" t="s">
        <v>193</v>
      </c>
      <c r="B1883" s="280" t="s">
        <v>193</v>
      </c>
      <c r="C1883" s="283">
        <v>44825.0</v>
      </c>
      <c r="D1883" s="278">
        <v>44854.0</v>
      </c>
      <c r="E1883" s="280" t="s">
        <v>268</v>
      </c>
      <c r="F1883" s="138" t="s">
        <v>4</v>
      </c>
      <c r="G1883" s="271" t="s">
        <v>5</v>
      </c>
      <c r="H1883" s="290" t="s">
        <v>45</v>
      </c>
      <c r="I1883" s="281">
        <v>10.0</v>
      </c>
      <c r="J1883" s="280">
        <v>23.0</v>
      </c>
      <c r="K1883" s="271">
        <f t="shared" si="1"/>
        <v>230</v>
      </c>
      <c r="L1883" s="280">
        <v>863.0</v>
      </c>
      <c r="M1883" s="280">
        <v>-40.0</v>
      </c>
      <c r="N1883" s="275">
        <v>6.0</v>
      </c>
      <c r="O1883" s="60"/>
      <c r="P1883" s="50">
        <v>6.0</v>
      </c>
      <c r="Q1883" s="280">
        <v>-11.0</v>
      </c>
      <c r="R1883" s="276">
        <v>1.2E-4</v>
      </c>
      <c r="S1883" s="280">
        <v>-11.0</v>
      </c>
      <c r="T1883" s="280">
        <v>-5.0</v>
      </c>
      <c r="U1883" s="62">
        <v>1.0</v>
      </c>
      <c r="V1883" s="277">
        <v>0.17</v>
      </c>
      <c r="W1883" s="277">
        <v>0.0</v>
      </c>
      <c r="X1883" s="280">
        <v>-4.0</v>
      </c>
      <c r="Y1883" s="280">
        <v>-1.0</v>
      </c>
      <c r="Z1883" s="50" t="b">
        <v>1</v>
      </c>
      <c r="AA1883" s="50" t="s">
        <v>138</v>
      </c>
      <c r="AB1883" s="50" t="s">
        <v>138</v>
      </c>
    </row>
    <row r="1884">
      <c r="A1884" s="280" t="s">
        <v>193</v>
      </c>
      <c r="B1884" s="280" t="s">
        <v>193</v>
      </c>
      <c r="C1884" s="283">
        <v>44825.0</v>
      </c>
      <c r="D1884" s="278">
        <v>44854.0</v>
      </c>
      <c r="E1884" s="280" t="s">
        <v>268</v>
      </c>
      <c r="F1884" s="138" t="s">
        <v>4</v>
      </c>
      <c r="G1884" s="271" t="s">
        <v>5</v>
      </c>
      <c r="H1884" s="290" t="s">
        <v>62</v>
      </c>
      <c r="I1884" s="281">
        <v>25.0</v>
      </c>
      <c r="J1884" s="280">
        <v>1502.0</v>
      </c>
      <c r="K1884" s="271">
        <f t="shared" si="1"/>
        <v>37550</v>
      </c>
      <c r="L1884" s="280">
        <v>70542.0</v>
      </c>
      <c r="M1884" s="280">
        <v>2250.0</v>
      </c>
      <c r="N1884" s="275">
        <v>893.0</v>
      </c>
      <c r="O1884" s="60"/>
      <c r="P1884" s="50">
        <v>893.0</v>
      </c>
      <c r="Q1884" s="280">
        <v>857.0</v>
      </c>
      <c r="R1884" s="276">
        <v>1.2E-4</v>
      </c>
      <c r="S1884" s="280">
        <v>861.0</v>
      </c>
      <c r="T1884" s="280">
        <v>1754.0</v>
      </c>
      <c r="U1884" s="62">
        <v>1.0</v>
      </c>
      <c r="V1884" s="277">
        <v>0.17</v>
      </c>
      <c r="W1884" s="277">
        <v>0.0</v>
      </c>
      <c r="X1884" s="280">
        <v>1456.0</v>
      </c>
      <c r="Y1884" s="280">
        <v>298.0</v>
      </c>
      <c r="Z1884" s="50" t="b">
        <v>1</v>
      </c>
      <c r="AA1884" s="50" t="s">
        <v>138</v>
      </c>
      <c r="AB1884" s="50" t="s">
        <v>138</v>
      </c>
    </row>
    <row r="1885">
      <c r="A1885" s="280" t="s">
        <v>193</v>
      </c>
      <c r="B1885" s="280" t="s">
        <v>194</v>
      </c>
      <c r="C1885" s="283">
        <v>44825.0</v>
      </c>
      <c r="D1885" s="278">
        <v>44854.0</v>
      </c>
      <c r="E1885" s="280" t="s">
        <v>268</v>
      </c>
      <c r="F1885" s="138" t="s">
        <v>4</v>
      </c>
      <c r="G1885" s="271" t="s">
        <v>22</v>
      </c>
      <c r="H1885" s="290" t="s">
        <v>51</v>
      </c>
      <c r="I1885" s="281">
        <v>10.0</v>
      </c>
      <c r="J1885" s="280">
        <v>574.0</v>
      </c>
      <c r="K1885" s="271">
        <f t="shared" si="1"/>
        <v>5740</v>
      </c>
      <c r="L1885" s="280">
        <v>37687.0</v>
      </c>
      <c r="M1885" s="280">
        <v>350.0</v>
      </c>
      <c r="N1885" s="275"/>
      <c r="O1885" s="60"/>
      <c r="P1885" s="101"/>
      <c r="Q1885" s="280">
        <v>257.0</v>
      </c>
      <c r="R1885" s="276">
        <v>1.2E-4</v>
      </c>
      <c r="S1885" s="280">
        <v>257.0</v>
      </c>
      <c r="T1885" s="280">
        <v>257.0</v>
      </c>
      <c r="U1885" s="62">
        <v>1.024</v>
      </c>
      <c r="V1885" s="277">
        <v>0.17</v>
      </c>
      <c r="W1885" s="277">
        <v>0.0</v>
      </c>
      <c r="X1885" s="280">
        <v>219.0</v>
      </c>
      <c r="Y1885" s="280">
        <v>45.0</v>
      </c>
      <c r="Z1885" s="50" t="b">
        <v>1</v>
      </c>
      <c r="AA1885" s="50" t="s">
        <v>138</v>
      </c>
      <c r="AB1885" s="50" t="s">
        <v>140</v>
      </c>
    </row>
    <row r="1886">
      <c r="A1886" s="280" t="s">
        <v>150</v>
      </c>
      <c r="B1886" s="280" t="s">
        <v>152</v>
      </c>
      <c r="C1886" s="278">
        <v>44825.0</v>
      </c>
      <c r="D1886" s="278">
        <v>44854.0</v>
      </c>
      <c r="E1886" s="280" t="s">
        <v>268</v>
      </c>
      <c r="F1886" s="138" t="s">
        <v>4</v>
      </c>
      <c r="G1886" s="280" t="s">
        <v>5</v>
      </c>
      <c r="H1886" s="273" t="s">
        <v>62</v>
      </c>
      <c r="I1886" s="274">
        <v>25.0</v>
      </c>
      <c r="J1886" s="271">
        <v>931.0</v>
      </c>
      <c r="K1886" s="271">
        <f t="shared" si="1"/>
        <v>23275</v>
      </c>
      <c r="L1886" s="271">
        <v>6159.0</v>
      </c>
      <c r="M1886" s="271">
        <v>-2100.0</v>
      </c>
      <c r="N1886" s="275">
        <v>976.0</v>
      </c>
      <c r="O1886" s="60"/>
      <c r="P1886" s="50">
        <v>976.0</v>
      </c>
      <c r="Q1886" s="271">
        <v>-1155.0</v>
      </c>
      <c r="R1886" s="276">
        <v>1.2E-4</v>
      </c>
      <c r="S1886" s="271">
        <v>-1152.0</v>
      </c>
      <c r="T1886" s="271">
        <v>-176.0</v>
      </c>
      <c r="U1886" s="62">
        <v>1.0</v>
      </c>
      <c r="V1886" s="277">
        <v>0.3</v>
      </c>
      <c r="W1886" s="277">
        <v>0.0</v>
      </c>
      <c r="X1886" s="271">
        <v>-123.0</v>
      </c>
      <c r="Y1886" s="271">
        <v>-53.0</v>
      </c>
      <c r="Z1886" s="50" t="b">
        <v>1</v>
      </c>
      <c r="AA1886" s="50" t="s">
        <v>138</v>
      </c>
      <c r="AB1886" s="50" t="s">
        <v>138</v>
      </c>
    </row>
    <row r="1887">
      <c r="A1887" s="280" t="s">
        <v>150</v>
      </c>
      <c r="B1887" s="280" t="s">
        <v>152</v>
      </c>
      <c r="C1887" s="278">
        <v>44825.0</v>
      </c>
      <c r="D1887" s="278">
        <v>44854.0</v>
      </c>
      <c r="E1887" s="280" t="s">
        <v>268</v>
      </c>
      <c r="F1887" s="138" t="s">
        <v>4</v>
      </c>
      <c r="G1887" s="280" t="s">
        <v>5</v>
      </c>
      <c r="H1887" s="273" t="s">
        <v>74</v>
      </c>
      <c r="I1887" s="274">
        <v>50.0</v>
      </c>
      <c r="J1887" s="271">
        <v>244.0</v>
      </c>
      <c r="K1887" s="271">
        <f t="shared" si="1"/>
        <v>12200</v>
      </c>
      <c r="L1887" s="271">
        <v>9942.0</v>
      </c>
      <c r="M1887" s="271">
        <v>1600.0</v>
      </c>
      <c r="N1887" s="275">
        <v>514.0</v>
      </c>
      <c r="O1887" s="60"/>
      <c r="P1887" s="50">
        <v>514.0</v>
      </c>
      <c r="Q1887" s="271">
        <v>171.0</v>
      </c>
      <c r="R1887" s="276">
        <v>1.2E-4</v>
      </c>
      <c r="S1887" s="271">
        <v>172.0</v>
      </c>
      <c r="T1887" s="271">
        <v>686.0</v>
      </c>
      <c r="U1887" s="62">
        <v>1.0</v>
      </c>
      <c r="V1887" s="277">
        <v>0.3</v>
      </c>
      <c r="W1887" s="277">
        <v>0.0</v>
      </c>
      <c r="X1887" s="271">
        <v>481.0</v>
      </c>
      <c r="Y1887" s="271">
        <v>206.0</v>
      </c>
      <c r="Z1887" s="50" t="b">
        <v>1</v>
      </c>
      <c r="AA1887" s="50" t="s">
        <v>138</v>
      </c>
      <c r="AB1887" s="50" t="s">
        <v>138</v>
      </c>
    </row>
    <row r="1888">
      <c r="A1888" s="101" t="s">
        <v>195</v>
      </c>
      <c r="B1888" s="101" t="s">
        <v>195</v>
      </c>
      <c r="C1888" s="278">
        <v>44825.0</v>
      </c>
      <c r="D1888" s="278">
        <v>44854.0</v>
      </c>
      <c r="E1888" s="271" t="s">
        <v>331</v>
      </c>
      <c r="F1888" s="138" t="s">
        <v>4</v>
      </c>
      <c r="G1888" s="101" t="s">
        <v>5</v>
      </c>
      <c r="H1888" s="273" t="s">
        <v>74</v>
      </c>
      <c r="I1888" s="274">
        <v>50.0</v>
      </c>
      <c r="J1888" s="271">
        <v>1080.0</v>
      </c>
      <c r="K1888" s="271">
        <f t="shared" si="1"/>
        <v>54000</v>
      </c>
      <c r="L1888" s="271">
        <v>30519.0</v>
      </c>
      <c r="M1888" s="271">
        <v>-100.0</v>
      </c>
      <c r="N1888" s="275">
        <v>2314.0</v>
      </c>
      <c r="O1888" s="60"/>
      <c r="P1888" s="109">
        <v>2314.0</v>
      </c>
      <c r="Q1888" s="271">
        <v>-662.0</v>
      </c>
      <c r="R1888" s="276">
        <v>-0.0015</v>
      </c>
      <c r="S1888" s="271">
        <v>-743.0</v>
      </c>
      <c r="T1888" s="271">
        <v>1571.0</v>
      </c>
      <c r="U1888" s="62">
        <v>1.0</v>
      </c>
      <c r="V1888" s="277">
        <v>0.1125</v>
      </c>
      <c r="W1888" s="277">
        <v>0.0375</v>
      </c>
      <c r="X1888" s="271">
        <v>1336.0</v>
      </c>
      <c r="Y1888" s="271">
        <v>236.0</v>
      </c>
      <c r="Z1888" s="50" t="b">
        <v>1</v>
      </c>
      <c r="AA1888" s="50" t="s">
        <v>138</v>
      </c>
      <c r="AB1888" s="50" t="s">
        <v>138</v>
      </c>
    </row>
    <row r="1889">
      <c r="A1889" s="101" t="s">
        <v>195</v>
      </c>
      <c r="B1889" s="101" t="s">
        <v>195</v>
      </c>
      <c r="C1889" s="278">
        <v>44825.0</v>
      </c>
      <c r="D1889" s="278">
        <v>44854.0</v>
      </c>
      <c r="E1889" s="271" t="s">
        <v>331</v>
      </c>
      <c r="F1889" s="138" t="s">
        <v>4</v>
      </c>
      <c r="G1889" s="101" t="s">
        <v>5</v>
      </c>
      <c r="H1889" s="273" t="s">
        <v>75</v>
      </c>
      <c r="I1889" s="274">
        <v>50.0</v>
      </c>
      <c r="J1889" s="271">
        <v>27.0</v>
      </c>
      <c r="K1889" s="271">
        <f t="shared" si="1"/>
        <v>1350</v>
      </c>
      <c r="L1889" s="271">
        <v>-718.0</v>
      </c>
      <c r="M1889" s="271">
        <v>-750.0</v>
      </c>
      <c r="N1889" s="275">
        <v>58.0</v>
      </c>
      <c r="O1889" s="60"/>
      <c r="P1889" s="50">
        <v>58.0</v>
      </c>
      <c r="Q1889" s="271">
        <v>-198.0</v>
      </c>
      <c r="R1889" s="276">
        <v>-0.0015</v>
      </c>
      <c r="S1889" s="271">
        <v>-200.0</v>
      </c>
      <c r="T1889" s="271">
        <v>-142.0</v>
      </c>
      <c r="U1889" s="62">
        <v>1.0</v>
      </c>
      <c r="V1889" s="277">
        <v>0.1125</v>
      </c>
      <c r="W1889" s="277">
        <v>0.0375</v>
      </c>
      <c r="X1889" s="271">
        <v>-121.0</v>
      </c>
      <c r="Y1889" s="271">
        <v>-21.0</v>
      </c>
      <c r="Z1889" s="50" t="b">
        <v>1</v>
      </c>
      <c r="AA1889" s="50" t="s">
        <v>138</v>
      </c>
      <c r="AB1889" s="50" t="s">
        <v>138</v>
      </c>
    </row>
    <row r="1890">
      <c r="A1890" s="101" t="s">
        <v>195</v>
      </c>
      <c r="B1890" s="101" t="s">
        <v>195</v>
      </c>
      <c r="C1890" s="278">
        <v>44825.0</v>
      </c>
      <c r="D1890" s="278">
        <v>44854.0</v>
      </c>
      <c r="E1890" s="271" t="s">
        <v>331</v>
      </c>
      <c r="F1890" s="138" t="s">
        <v>4</v>
      </c>
      <c r="G1890" s="101" t="s">
        <v>5</v>
      </c>
      <c r="H1890" s="273" t="s">
        <v>85</v>
      </c>
      <c r="I1890" s="274">
        <v>100.0</v>
      </c>
      <c r="J1890" s="271">
        <v>6912.0</v>
      </c>
      <c r="K1890" s="271">
        <f t="shared" si="1"/>
        <v>691200</v>
      </c>
      <c r="L1890" s="271">
        <v>131361.0</v>
      </c>
      <c r="M1890" s="271">
        <v>-20500.0</v>
      </c>
      <c r="N1890" s="275">
        <v>24678.0</v>
      </c>
      <c r="O1890" s="60"/>
      <c r="P1890" s="109">
        <v>24678.0</v>
      </c>
      <c r="Q1890" s="271">
        <v>-13079.0</v>
      </c>
      <c r="R1890" s="276">
        <v>-0.0015</v>
      </c>
      <c r="S1890" s="271">
        <v>-14116.0</v>
      </c>
      <c r="T1890" s="271">
        <v>10562.0</v>
      </c>
      <c r="U1890" s="62">
        <v>1.0</v>
      </c>
      <c r="V1890" s="277">
        <v>0.1125</v>
      </c>
      <c r="W1890" s="277">
        <v>0.0375</v>
      </c>
      <c r="X1890" s="271">
        <v>8978.0</v>
      </c>
      <c r="Y1890" s="271">
        <v>1584.0</v>
      </c>
      <c r="Z1890" s="50" t="b">
        <v>1</v>
      </c>
      <c r="AA1890" s="50" t="s">
        <v>138</v>
      </c>
      <c r="AB1890" s="50" t="s">
        <v>138</v>
      </c>
    </row>
    <row r="1891">
      <c r="A1891" s="101" t="s">
        <v>195</v>
      </c>
      <c r="B1891" s="101" t="s">
        <v>195</v>
      </c>
      <c r="C1891" s="278">
        <v>44825.0</v>
      </c>
      <c r="D1891" s="278">
        <v>44854.0</v>
      </c>
      <c r="E1891" s="271" t="s">
        <v>331</v>
      </c>
      <c r="F1891" s="138" t="s">
        <v>4</v>
      </c>
      <c r="G1891" s="101" t="s">
        <v>5</v>
      </c>
      <c r="H1891" s="273" t="s">
        <v>86</v>
      </c>
      <c r="I1891" s="274">
        <v>100.0</v>
      </c>
      <c r="J1891" s="271">
        <v>250.0</v>
      </c>
      <c r="K1891" s="271">
        <f t="shared" si="1"/>
        <v>25000</v>
      </c>
      <c r="L1891" s="271">
        <v>4047.0</v>
      </c>
      <c r="M1891" s="271">
        <v>-1000.0</v>
      </c>
      <c r="N1891" s="275">
        <v>893.0</v>
      </c>
      <c r="O1891" s="60"/>
      <c r="P1891" s="50">
        <v>893.0</v>
      </c>
      <c r="Q1891" s="271">
        <v>-99.0</v>
      </c>
      <c r="R1891" s="276">
        <v>-0.0015</v>
      </c>
      <c r="S1891" s="271">
        <v>-137.0</v>
      </c>
      <c r="T1891" s="271">
        <v>756.0</v>
      </c>
      <c r="U1891" s="62">
        <v>1.0</v>
      </c>
      <c r="V1891" s="277">
        <v>0.1125</v>
      </c>
      <c r="W1891" s="277">
        <v>0.0375</v>
      </c>
      <c r="X1891" s="271">
        <v>643.0</v>
      </c>
      <c r="Y1891" s="271">
        <v>113.0</v>
      </c>
      <c r="Z1891" s="50" t="b">
        <v>1</v>
      </c>
      <c r="AA1891" s="50" t="s">
        <v>138</v>
      </c>
      <c r="AB1891" s="50" t="s">
        <v>138</v>
      </c>
    </row>
    <row r="1892">
      <c r="A1892" s="101" t="s">
        <v>195</v>
      </c>
      <c r="B1892" s="101" t="s">
        <v>195</v>
      </c>
      <c r="C1892" s="278">
        <v>44825.0</v>
      </c>
      <c r="D1892" s="278">
        <v>44854.0</v>
      </c>
      <c r="E1892" s="271" t="s">
        <v>331</v>
      </c>
      <c r="F1892" s="138" t="s">
        <v>4</v>
      </c>
      <c r="G1892" s="101" t="s">
        <v>5</v>
      </c>
      <c r="H1892" s="273" t="s">
        <v>96</v>
      </c>
      <c r="I1892" s="274">
        <v>250.0</v>
      </c>
      <c r="J1892" s="271">
        <v>213.0</v>
      </c>
      <c r="K1892" s="271">
        <f t="shared" si="1"/>
        <v>53250</v>
      </c>
      <c r="L1892" s="271">
        <v>16667.0</v>
      </c>
      <c r="M1892" s="271">
        <v>1750.0</v>
      </c>
      <c r="N1892" s="275">
        <v>1901.0</v>
      </c>
      <c r="O1892" s="60"/>
      <c r="P1892" s="109">
        <v>1901.0</v>
      </c>
      <c r="Q1892" s="271">
        <v>5053.0</v>
      </c>
      <c r="R1892" s="276">
        <v>-0.0015</v>
      </c>
      <c r="S1892" s="271">
        <v>4973.0</v>
      </c>
      <c r="T1892" s="271">
        <v>6874.0</v>
      </c>
      <c r="U1892" s="62">
        <v>1.0</v>
      </c>
      <c r="V1892" s="277">
        <v>0.1125</v>
      </c>
      <c r="W1892" s="277">
        <v>0.0375</v>
      </c>
      <c r="X1892" s="271">
        <v>5843.0</v>
      </c>
      <c r="Y1892" s="271">
        <v>1031.0</v>
      </c>
      <c r="Z1892" s="50" t="b">
        <v>1</v>
      </c>
      <c r="AA1892" s="50" t="s">
        <v>138</v>
      </c>
      <c r="AB1892" s="50" t="s">
        <v>138</v>
      </c>
    </row>
    <row r="1893">
      <c r="A1893" s="101" t="s">
        <v>195</v>
      </c>
      <c r="B1893" s="101" t="s">
        <v>195</v>
      </c>
      <c r="C1893" s="278">
        <v>44825.0</v>
      </c>
      <c r="D1893" s="278">
        <v>44854.0</v>
      </c>
      <c r="E1893" s="271" t="s">
        <v>331</v>
      </c>
      <c r="F1893" s="138" t="s">
        <v>4</v>
      </c>
      <c r="G1893" s="101" t="s">
        <v>5</v>
      </c>
      <c r="H1893" s="273" t="s">
        <v>97</v>
      </c>
      <c r="I1893" s="274">
        <v>250.0</v>
      </c>
      <c r="J1893" s="271">
        <v>32.0</v>
      </c>
      <c r="K1893" s="271">
        <f t="shared" si="1"/>
        <v>8000</v>
      </c>
      <c r="L1893" s="271">
        <v>-1729.0</v>
      </c>
      <c r="M1893" s="271">
        <v>-3500.0</v>
      </c>
      <c r="N1893" s="275">
        <v>286.0</v>
      </c>
      <c r="O1893" s="60"/>
      <c r="P1893" s="50">
        <v>286.0</v>
      </c>
      <c r="Q1893" s="271">
        <v>-1771.0</v>
      </c>
      <c r="R1893" s="276">
        <v>-0.0015</v>
      </c>
      <c r="S1893" s="271">
        <v>-1783.0</v>
      </c>
      <c r="T1893" s="271">
        <v>-1497.0</v>
      </c>
      <c r="U1893" s="62">
        <v>1.0</v>
      </c>
      <c r="V1893" s="277">
        <v>0.1125</v>
      </c>
      <c r="W1893" s="277">
        <v>0.0375</v>
      </c>
      <c r="X1893" s="271">
        <v>-1272.0</v>
      </c>
      <c r="Y1893" s="271">
        <v>-225.0</v>
      </c>
      <c r="Z1893" s="50" t="b">
        <v>1</v>
      </c>
      <c r="AA1893" s="50" t="s">
        <v>138</v>
      </c>
      <c r="AB1893" s="50" t="s">
        <v>138</v>
      </c>
    </row>
    <row r="1894">
      <c r="A1894" s="280" t="s">
        <v>477</v>
      </c>
      <c r="B1894" s="280" t="s">
        <v>164</v>
      </c>
      <c r="C1894" s="278">
        <v>44825.0</v>
      </c>
      <c r="D1894" s="278">
        <v>44854.0</v>
      </c>
      <c r="E1894" s="280" t="s">
        <v>331</v>
      </c>
      <c r="F1894" s="138" t="s">
        <v>4</v>
      </c>
      <c r="G1894" s="271" t="s">
        <v>13</v>
      </c>
      <c r="H1894" s="271" t="s">
        <v>59</v>
      </c>
      <c r="I1894" s="274">
        <v>20.0</v>
      </c>
      <c r="J1894" s="271">
        <v>2.0</v>
      </c>
      <c r="K1894" s="271">
        <f t="shared" si="1"/>
        <v>40</v>
      </c>
      <c r="L1894" s="271">
        <v>-308.0</v>
      </c>
      <c r="M1894" s="271">
        <v>-40.0</v>
      </c>
      <c r="N1894" s="275">
        <v>2.19</v>
      </c>
      <c r="O1894" s="60"/>
      <c r="P1894" s="50">
        <v>2.0</v>
      </c>
      <c r="Q1894" s="271">
        <v>-21.0</v>
      </c>
      <c r="R1894" s="276">
        <v>1.15E-4</v>
      </c>
      <c r="S1894" s="271">
        <v>-21.0</v>
      </c>
      <c r="T1894" s="271">
        <v>-18.0</v>
      </c>
      <c r="U1894" s="62">
        <v>1.0</v>
      </c>
      <c r="V1894" s="277">
        <v>0.15</v>
      </c>
      <c r="W1894" s="277">
        <v>0.05</v>
      </c>
      <c r="X1894" s="271">
        <v>-15.0</v>
      </c>
      <c r="Y1894" s="271">
        <v>-4.0</v>
      </c>
      <c r="Z1894" s="50" t="b">
        <v>1</v>
      </c>
      <c r="AA1894" s="50" t="s">
        <v>138</v>
      </c>
      <c r="AB1894" s="50" t="s">
        <v>138</v>
      </c>
    </row>
    <row r="1895">
      <c r="A1895" s="280" t="s">
        <v>477</v>
      </c>
      <c r="B1895" s="280" t="s">
        <v>164</v>
      </c>
      <c r="C1895" s="278">
        <v>44825.0</v>
      </c>
      <c r="D1895" s="278">
        <v>44854.0</v>
      </c>
      <c r="E1895" s="280" t="s">
        <v>331</v>
      </c>
      <c r="F1895" s="138" t="s">
        <v>4</v>
      </c>
      <c r="G1895" s="271" t="s">
        <v>13</v>
      </c>
      <c r="H1895" s="271" t="s">
        <v>74</v>
      </c>
      <c r="I1895" s="274">
        <v>50.0</v>
      </c>
      <c r="J1895" s="271">
        <v>2.0</v>
      </c>
      <c r="K1895" s="271">
        <f t="shared" si="1"/>
        <v>100</v>
      </c>
      <c r="L1895" s="271">
        <v>-135.0</v>
      </c>
      <c r="M1895" s="271">
        <v>-100.0</v>
      </c>
      <c r="N1895" s="275">
        <v>5.48</v>
      </c>
      <c r="O1895" s="60"/>
      <c r="P1895" s="50">
        <v>5.0</v>
      </c>
      <c r="Q1895" s="271">
        <v>-27.0</v>
      </c>
      <c r="R1895" s="276">
        <v>1.15E-4</v>
      </c>
      <c r="S1895" s="271">
        <v>-27.0</v>
      </c>
      <c r="T1895" s="271">
        <v>-21.0</v>
      </c>
      <c r="U1895" s="62">
        <v>1.0</v>
      </c>
      <c r="V1895" s="277">
        <v>0.15</v>
      </c>
      <c r="W1895" s="277">
        <v>0.05</v>
      </c>
      <c r="X1895" s="271">
        <v>-17.0</v>
      </c>
      <c r="Y1895" s="271">
        <v>-4.0</v>
      </c>
      <c r="Z1895" s="50" t="b">
        <v>1</v>
      </c>
      <c r="AA1895" s="50" t="s">
        <v>138</v>
      </c>
      <c r="AB1895" s="50" t="s">
        <v>138</v>
      </c>
    </row>
    <row r="1896">
      <c r="A1896" s="280" t="s">
        <v>477</v>
      </c>
      <c r="B1896" s="280" t="s">
        <v>164</v>
      </c>
      <c r="C1896" s="278">
        <v>44825.0</v>
      </c>
      <c r="D1896" s="278">
        <v>44854.0</v>
      </c>
      <c r="E1896" s="280" t="s">
        <v>331</v>
      </c>
      <c r="F1896" s="138" t="s">
        <v>4</v>
      </c>
      <c r="G1896" s="271" t="s">
        <v>13</v>
      </c>
      <c r="H1896" s="271" t="s">
        <v>85</v>
      </c>
      <c r="I1896" s="274">
        <v>100.0</v>
      </c>
      <c r="J1896" s="271">
        <v>9330.0</v>
      </c>
      <c r="K1896" s="271">
        <f t="shared" si="1"/>
        <v>933000</v>
      </c>
      <c r="L1896" s="271">
        <v>146059.0</v>
      </c>
      <c r="M1896" s="271">
        <v>-41700.0</v>
      </c>
      <c r="N1896" s="275">
        <v>51085.33</v>
      </c>
      <c r="O1896" s="60"/>
      <c r="P1896" s="109">
        <v>51085.0</v>
      </c>
      <c r="Q1896" s="271">
        <v>-26402.0</v>
      </c>
      <c r="R1896" s="276">
        <v>1.15E-4</v>
      </c>
      <c r="S1896" s="271">
        <v>-26294.0</v>
      </c>
      <c r="T1896" s="271">
        <v>24791.0</v>
      </c>
      <c r="U1896" s="62">
        <v>1.0</v>
      </c>
      <c r="V1896" s="277">
        <v>0.15</v>
      </c>
      <c r="W1896" s="277">
        <v>0.05</v>
      </c>
      <c r="X1896" s="271">
        <v>19833.0</v>
      </c>
      <c r="Y1896" s="271">
        <v>4958.0</v>
      </c>
      <c r="Z1896" s="50" t="b">
        <v>1</v>
      </c>
      <c r="AA1896" s="50" t="s">
        <v>138</v>
      </c>
      <c r="AB1896" s="50" t="s">
        <v>138</v>
      </c>
    </row>
    <row r="1897">
      <c r="A1897" s="101" t="s">
        <v>505</v>
      </c>
      <c r="B1897" s="271" t="s">
        <v>166</v>
      </c>
      <c r="C1897" s="278">
        <v>44825.0</v>
      </c>
      <c r="D1897" s="278">
        <v>44854.0</v>
      </c>
      <c r="E1897" s="271" t="s">
        <v>268</v>
      </c>
      <c r="F1897" s="101" t="s">
        <v>4</v>
      </c>
      <c r="G1897" s="271" t="s">
        <v>5</v>
      </c>
      <c r="H1897" s="273" t="s">
        <v>35</v>
      </c>
      <c r="I1897" s="281">
        <v>5.0</v>
      </c>
      <c r="J1897" s="280">
        <v>1.0</v>
      </c>
      <c r="K1897" s="271">
        <f t="shared" si="1"/>
        <v>5</v>
      </c>
      <c r="L1897" s="280">
        <v>198.0</v>
      </c>
      <c r="M1897" s="280">
        <v>20.0</v>
      </c>
      <c r="N1897" s="275"/>
      <c r="O1897" s="60"/>
      <c r="P1897" s="101"/>
      <c r="Q1897" s="280">
        <v>1.0</v>
      </c>
      <c r="R1897" s="276">
        <v>1.2E-4</v>
      </c>
      <c r="S1897" s="280">
        <v>1.0</v>
      </c>
      <c r="T1897" s="280">
        <v>1.0</v>
      </c>
      <c r="U1897" s="62">
        <v>1.0</v>
      </c>
      <c r="V1897" s="277">
        <v>0.3</v>
      </c>
      <c r="W1897" s="277">
        <v>0.0</v>
      </c>
      <c r="X1897" s="280">
        <v>1.0</v>
      </c>
      <c r="Y1897" s="280">
        <v>0.0</v>
      </c>
      <c r="Z1897" s="50" t="b">
        <v>0</v>
      </c>
      <c r="AA1897" s="50" t="s">
        <v>138</v>
      </c>
      <c r="AB1897" s="50" t="s">
        <v>138</v>
      </c>
    </row>
    <row r="1898">
      <c r="A1898" s="101" t="s">
        <v>505</v>
      </c>
      <c r="B1898" s="271" t="s">
        <v>166</v>
      </c>
      <c r="C1898" s="278">
        <v>44825.0</v>
      </c>
      <c r="D1898" s="278">
        <v>44854.0</v>
      </c>
      <c r="E1898" s="271" t="s">
        <v>268</v>
      </c>
      <c r="F1898" s="101" t="s">
        <v>4</v>
      </c>
      <c r="G1898" s="271" t="s">
        <v>5</v>
      </c>
      <c r="H1898" s="273" t="s">
        <v>45</v>
      </c>
      <c r="I1898" s="281">
        <v>10.0</v>
      </c>
      <c r="J1898" s="280">
        <v>365.0</v>
      </c>
      <c r="K1898" s="271">
        <f t="shared" si="1"/>
        <v>3650</v>
      </c>
      <c r="L1898" s="280">
        <v>17067.0</v>
      </c>
      <c r="M1898" s="280">
        <v>210.0</v>
      </c>
      <c r="N1898" s="275">
        <v>197.0</v>
      </c>
      <c r="O1898" s="60"/>
      <c r="P1898" s="50">
        <v>197.0</v>
      </c>
      <c r="Q1898" s="280">
        <v>31.0</v>
      </c>
      <c r="R1898" s="276">
        <v>1.2E-4</v>
      </c>
      <c r="S1898" s="280">
        <v>31.0</v>
      </c>
      <c r="T1898" s="280">
        <v>228.0</v>
      </c>
      <c r="U1898" s="62">
        <v>1.0</v>
      </c>
      <c r="V1898" s="277">
        <v>0.3</v>
      </c>
      <c r="W1898" s="277">
        <v>0.0</v>
      </c>
      <c r="X1898" s="280">
        <v>160.0</v>
      </c>
      <c r="Y1898" s="280">
        <v>69.0</v>
      </c>
      <c r="Z1898" s="50" t="b">
        <v>0</v>
      </c>
      <c r="AA1898" s="50" t="s">
        <v>138</v>
      </c>
      <c r="AB1898" s="50" t="s">
        <v>138</v>
      </c>
    </row>
    <row r="1899">
      <c r="A1899" s="101" t="s">
        <v>505</v>
      </c>
      <c r="B1899" s="271" t="s">
        <v>166</v>
      </c>
      <c r="C1899" s="278">
        <v>44825.0</v>
      </c>
      <c r="D1899" s="278">
        <v>44854.0</v>
      </c>
      <c r="E1899" s="271" t="s">
        <v>268</v>
      </c>
      <c r="F1899" s="101" t="s">
        <v>4</v>
      </c>
      <c r="G1899" s="271" t="s">
        <v>5</v>
      </c>
      <c r="H1899" s="273" t="s">
        <v>62</v>
      </c>
      <c r="I1899" s="281">
        <v>25.0</v>
      </c>
      <c r="J1899" s="280">
        <v>1193.0</v>
      </c>
      <c r="K1899" s="271">
        <f t="shared" si="1"/>
        <v>29825</v>
      </c>
      <c r="L1899" s="280">
        <v>5361.0</v>
      </c>
      <c r="M1899" s="280">
        <v>-1500.0</v>
      </c>
      <c r="N1899" s="275">
        <v>1382.0</v>
      </c>
      <c r="O1899" s="60"/>
      <c r="P1899" s="109">
        <v>1382.0</v>
      </c>
      <c r="Q1899" s="280">
        <v>-1700.0</v>
      </c>
      <c r="R1899" s="276">
        <v>1.2E-4</v>
      </c>
      <c r="S1899" s="280">
        <v>-1697.0</v>
      </c>
      <c r="T1899" s="280">
        <v>-315.0</v>
      </c>
      <c r="U1899" s="62">
        <v>1.0</v>
      </c>
      <c r="V1899" s="277">
        <v>0.3</v>
      </c>
      <c r="W1899" s="277">
        <v>0.0</v>
      </c>
      <c r="X1899" s="280">
        <v>-220.0</v>
      </c>
      <c r="Y1899" s="280">
        <v>-94.0</v>
      </c>
      <c r="Z1899" s="50" t="b">
        <v>0</v>
      </c>
      <c r="AA1899" s="50" t="s">
        <v>138</v>
      </c>
      <c r="AB1899" s="50" t="s">
        <v>138</v>
      </c>
    </row>
    <row r="1900">
      <c r="A1900" s="101" t="s">
        <v>199</v>
      </c>
      <c r="B1900" s="101" t="s">
        <v>199</v>
      </c>
      <c r="C1900" s="278">
        <v>44825.0</v>
      </c>
      <c r="D1900" s="278">
        <v>44854.0</v>
      </c>
      <c r="E1900" s="271" t="s">
        <v>268</v>
      </c>
      <c r="F1900" s="101" t="s">
        <v>4</v>
      </c>
      <c r="G1900" s="271" t="s">
        <v>5</v>
      </c>
      <c r="H1900" s="273" t="s">
        <v>45</v>
      </c>
      <c r="I1900" s="281">
        <v>10.0</v>
      </c>
      <c r="J1900" s="280">
        <v>2319.0</v>
      </c>
      <c r="K1900" s="271">
        <f t="shared" si="1"/>
        <v>23190</v>
      </c>
      <c r="L1900" s="280">
        <v>134240.0</v>
      </c>
      <c r="M1900" s="280">
        <v>280.0</v>
      </c>
      <c r="N1900" s="275">
        <v>955.0</v>
      </c>
      <c r="O1900" s="60"/>
      <c r="P1900" s="50">
        <v>955.0</v>
      </c>
      <c r="Q1900" s="280">
        <v>746.0</v>
      </c>
      <c r="R1900" s="276">
        <v>1.2E-4</v>
      </c>
      <c r="S1900" s="280">
        <v>749.0</v>
      </c>
      <c r="T1900" s="280">
        <v>1704.0</v>
      </c>
      <c r="U1900" s="62">
        <v>1.0</v>
      </c>
      <c r="V1900" s="277">
        <v>0.17</v>
      </c>
      <c r="W1900" s="277">
        <v>0.0</v>
      </c>
      <c r="X1900" s="280">
        <v>1414.0</v>
      </c>
      <c r="Y1900" s="280">
        <v>290.0</v>
      </c>
      <c r="Z1900" s="50" t="b">
        <v>1</v>
      </c>
      <c r="AA1900" s="50" t="s">
        <v>138</v>
      </c>
      <c r="AB1900" s="50" t="s">
        <v>138</v>
      </c>
    </row>
    <row r="1901">
      <c r="A1901" s="101" t="s">
        <v>199</v>
      </c>
      <c r="B1901" s="101" t="s">
        <v>199</v>
      </c>
      <c r="C1901" s="278">
        <v>44825.0</v>
      </c>
      <c r="D1901" s="278">
        <v>44854.0</v>
      </c>
      <c r="E1901" s="271" t="s">
        <v>268</v>
      </c>
      <c r="F1901" s="101" t="s">
        <v>4</v>
      </c>
      <c r="G1901" s="271" t="s">
        <v>5</v>
      </c>
      <c r="H1901" s="273" t="s">
        <v>48</v>
      </c>
      <c r="I1901" s="281">
        <v>10.0</v>
      </c>
      <c r="J1901" s="280">
        <v>1090.0</v>
      </c>
      <c r="K1901" s="271">
        <f t="shared" si="1"/>
        <v>10900</v>
      </c>
      <c r="L1901" s="280">
        <v>21125.0</v>
      </c>
      <c r="M1901" s="280">
        <v>-700.0</v>
      </c>
      <c r="N1901" s="275">
        <v>449.0</v>
      </c>
      <c r="O1901" s="60"/>
      <c r="P1901" s="50">
        <v>449.0</v>
      </c>
      <c r="Q1901" s="280">
        <v>-161.0</v>
      </c>
      <c r="R1901" s="276">
        <v>1.2E-4</v>
      </c>
      <c r="S1901" s="280">
        <v>-159.0</v>
      </c>
      <c r="T1901" s="280">
        <v>290.0</v>
      </c>
      <c r="U1901" s="62">
        <v>1.0</v>
      </c>
      <c r="V1901" s="277">
        <v>0.17</v>
      </c>
      <c r="W1901" s="277">
        <v>0.0</v>
      </c>
      <c r="X1901" s="280">
        <v>240.0</v>
      </c>
      <c r="Y1901" s="280">
        <v>49.0</v>
      </c>
      <c r="Z1901" s="50" t="b">
        <v>1</v>
      </c>
      <c r="AA1901" s="50" t="s">
        <v>138</v>
      </c>
      <c r="AB1901" s="50" t="s">
        <v>138</v>
      </c>
    </row>
    <row r="1902">
      <c r="A1902" s="101" t="s">
        <v>156</v>
      </c>
      <c r="B1902" s="101" t="s">
        <v>156</v>
      </c>
      <c r="C1902" s="283">
        <v>44825.0</v>
      </c>
      <c r="D1902" s="278">
        <v>44854.0</v>
      </c>
      <c r="E1902" s="271" t="s">
        <v>268</v>
      </c>
      <c r="F1902" s="101" t="s">
        <v>4</v>
      </c>
      <c r="G1902" s="271" t="s">
        <v>5</v>
      </c>
      <c r="H1902" s="273" t="s">
        <v>62</v>
      </c>
      <c r="I1902" s="281">
        <v>25.0</v>
      </c>
      <c r="J1902" s="280">
        <v>67.0</v>
      </c>
      <c r="K1902" s="271">
        <f t="shared" si="1"/>
        <v>1675</v>
      </c>
      <c r="L1902" s="280">
        <v>4430.0</v>
      </c>
      <c r="M1902" s="280">
        <v>-150.0</v>
      </c>
      <c r="N1902" s="275"/>
      <c r="O1902" s="60"/>
      <c r="P1902" s="101"/>
      <c r="Q1902" s="280">
        <v>98.0</v>
      </c>
      <c r="R1902" s="276">
        <v>1.2E-4</v>
      </c>
      <c r="S1902" s="280">
        <v>98.0</v>
      </c>
      <c r="T1902" s="280">
        <v>98.0</v>
      </c>
      <c r="U1902" s="62">
        <v>1.0</v>
      </c>
      <c r="V1902" s="277">
        <v>0.2</v>
      </c>
      <c r="W1902" s="277">
        <v>0.0</v>
      </c>
      <c r="X1902" s="280">
        <v>79.0</v>
      </c>
      <c r="Y1902" s="280">
        <v>20.0</v>
      </c>
      <c r="Z1902" s="50" t="b">
        <v>1</v>
      </c>
      <c r="AA1902" s="50" t="s">
        <v>140</v>
      </c>
      <c r="AB1902" s="50" t="s">
        <v>140</v>
      </c>
    </row>
    <row r="1903">
      <c r="A1903" s="280" t="s">
        <v>156</v>
      </c>
      <c r="B1903" s="280" t="s">
        <v>158</v>
      </c>
      <c r="C1903" s="283">
        <v>44825.0</v>
      </c>
      <c r="D1903" s="283">
        <v>44854.0</v>
      </c>
      <c r="E1903" s="280" t="s">
        <v>268</v>
      </c>
      <c r="F1903" s="138" t="s">
        <v>4</v>
      </c>
      <c r="G1903" s="280" t="s">
        <v>9</v>
      </c>
      <c r="H1903" s="290" t="s">
        <v>64</v>
      </c>
      <c r="I1903" s="281">
        <v>25.0</v>
      </c>
      <c r="J1903" s="280">
        <v>32.0</v>
      </c>
      <c r="K1903" s="271">
        <f t="shared" si="1"/>
        <v>800</v>
      </c>
      <c r="L1903" s="280">
        <v>2043.0</v>
      </c>
      <c r="M1903" s="280">
        <v>-98.0</v>
      </c>
      <c r="N1903" s="282">
        <v>1352.15</v>
      </c>
      <c r="O1903" s="60"/>
      <c r="P1903" s="109">
        <v>1352.0</v>
      </c>
      <c r="Q1903" s="280">
        <v>22.0</v>
      </c>
      <c r="R1903" s="276">
        <v>1.2E-4</v>
      </c>
      <c r="S1903" s="280">
        <v>22.0</v>
      </c>
      <c r="T1903" s="280">
        <v>1374.0</v>
      </c>
      <c r="U1903" s="62">
        <v>1.0</v>
      </c>
      <c r="V1903" s="277">
        <v>0.2</v>
      </c>
      <c r="W1903" s="277">
        <v>0.0</v>
      </c>
      <c r="X1903" s="280">
        <v>1099.0</v>
      </c>
      <c r="Y1903" s="280">
        <v>275.0</v>
      </c>
      <c r="Z1903" s="50" t="b">
        <v>1</v>
      </c>
      <c r="AA1903" s="50" t="s">
        <v>140</v>
      </c>
      <c r="AB1903" s="50" t="s">
        <v>140</v>
      </c>
    </row>
    <row r="1904">
      <c r="A1904" s="280" t="s">
        <v>156</v>
      </c>
      <c r="B1904" s="280" t="s">
        <v>158</v>
      </c>
      <c r="C1904" s="283">
        <v>44825.0</v>
      </c>
      <c r="D1904" s="283">
        <v>44854.0</v>
      </c>
      <c r="E1904" s="280" t="s">
        <v>268</v>
      </c>
      <c r="F1904" s="138" t="s">
        <v>4</v>
      </c>
      <c r="G1904" s="280" t="s">
        <v>9</v>
      </c>
      <c r="H1904" s="290" t="s">
        <v>77</v>
      </c>
      <c r="I1904" s="281">
        <v>50.0</v>
      </c>
      <c r="J1904" s="280">
        <v>617.0</v>
      </c>
      <c r="K1904" s="271">
        <f t="shared" si="1"/>
        <v>30850</v>
      </c>
      <c r="L1904" s="280">
        <v>39358.0</v>
      </c>
      <c r="M1904" s="280">
        <v>-1856.0</v>
      </c>
      <c r="N1904" s="282">
        <v>747.85</v>
      </c>
      <c r="O1904" s="60"/>
      <c r="P1904" s="50">
        <v>748.0</v>
      </c>
      <c r="Q1904" s="280">
        <v>919.0</v>
      </c>
      <c r="R1904" s="276">
        <v>1.2E-4</v>
      </c>
      <c r="S1904" s="280">
        <v>923.0</v>
      </c>
      <c r="T1904" s="280">
        <v>1671.0</v>
      </c>
      <c r="U1904" s="62">
        <v>1.0</v>
      </c>
      <c r="V1904" s="277">
        <v>0.2</v>
      </c>
      <c r="W1904" s="277">
        <v>0.0</v>
      </c>
      <c r="X1904" s="280">
        <v>1337.0</v>
      </c>
      <c r="Y1904" s="280">
        <v>334.0</v>
      </c>
      <c r="Z1904" s="50" t="b">
        <v>1</v>
      </c>
      <c r="AA1904" s="50" t="s">
        <v>140</v>
      </c>
      <c r="AB1904" s="50" t="s">
        <v>140</v>
      </c>
    </row>
    <row r="1905">
      <c r="A1905" s="101" t="s">
        <v>546</v>
      </c>
      <c r="B1905" s="101" t="s">
        <v>203</v>
      </c>
      <c r="C1905" s="278">
        <v>44825.0</v>
      </c>
      <c r="D1905" s="278">
        <v>44854.0</v>
      </c>
      <c r="E1905" s="271" t="s">
        <v>331</v>
      </c>
      <c r="F1905" s="138" t="s">
        <v>4</v>
      </c>
      <c r="G1905" s="271" t="s">
        <v>13</v>
      </c>
      <c r="H1905" s="273" t="s">
        <v>59</v>
      </c>
      <c r="I1905" s="274">
        <v>20.0</v>
      </c>
      <c r="J1905" s="271">
        <v>450.0</v>
      </c>
      <c r="K1905" s="271">
        <f t="shared" si="1"/>
        <v>9000</v>
      </c>
      <c r="L1905" s="271">
        <v>9016.0</v>
      </c>
      <c r="M1905" s="271">
        <v>-80.0</v>
      </c>
      <c r="N1905" s="275">
        <v>505.32</v>
      </c>
      <c r="O1905" s="60"/>
      <c r="P1905" s="50">
        <v>505.0</v>
      </c>
      <c r="Q1905" s="271">
        <v>-141.0</v>
      </c>
      <c r="R1905" s="276">
        <v>1.2E-4</v>
      </c>
      <c r="S1905" s="271">
        <v>-140.0</v>
      </c>
      <c r="T1905" s="271">
        <v>365.0</v>
      </c>
      <c r="U1905" s="62">
        <v>1.0</v>
      </c>
      <c r="V1905" s="277">
        <v>0.09</v>
      </c>
      <c r="W1905" s="277">
        <v>0.03</v>
      </c>
      <c r="X1905" s="271">
        <v>321.0</v>
      </c>
      <c r="Y1905" s="271">
        <v>44.0</v>
      </c>
      <c r="Z1905" s="50" t="b">
        <v>1</v>
      </c>
      <c r="AA1905" s="50" t="s">
        <v>138</v>
      </c>
      <c r="AB1905" s="50" t="s">
        <v>138</v>
      </c>
    </row>
    <row r="1906">
      <c r="A1906" s="101" t="s">
        <v>546</v>
      </c>
      <c r="B1906" s="101" t="s">
        <v>203</v>
      </c>
      <c r="C1906" s="278">
        <v>44825.0</v>
      </c>
      <c r="D1906" s="278">
        <v>44854.0</v>
      </c>
      <c r="E1906" s="271" t="s">
        <v>331</v>
      </c>
      <c r="F1906" s="138" t="s">
        <v>4</v>
      </c>
      <c r="G1906" s="271" t="s">
        <v>13</v>
      </c>
      <c r="H1906" s="273" t="s">
        <v>74</v>
      </c>
      <c r="I1906" s="274">
        <v>50.0</v>
      </c>
      <c r="J1906" s="271">
        <v>4149.0</v>
      </c>
      <c r="K1906" s="271">
        <f t="shared" si="1"/>
        <v>207450</v>
      </c>
      <c r="L1906" s="271">
        <v>67198.0</v>
      </c>
      <c r="M1906" s="271">
        <v>-1700.0</v>
      </c>
      <c r="N1906" s="275">
        <v>11647.68</v>
      </c>
      <c r="O1906" s="60"/>
      <c r="P1906" s="109">
        <v>11648.0</v>
      </c>
      <c r="Q1906" s="271">
        <v>-5547.0</v>
      </c>
      <c r="R1906" s="276">
        <v>1.2E-4</v>
      </c>
      <c r="S1906" s="271">
        <v>-5522.0</v>
      </c>
      <c r="T1906" s="271">
        <v>6125.0</v>
      </c>
      <c r="U1906" s="62">
        <v>1.0</v>
      </c>
      <c r="V1906" s="277">
        <v>0.09</v>
      </c>
      <c r="W1906" s="277">
        <v>0.03</v>
      </c>
      <c r="X1906" s="271">
        <v>5390.0</v>
      </c>
      <c r="Y1906" s="271">
        <v>735.0</v>
      </c>
      <c r="Z1906" s="50" t="b">
        <v>1</v>
      </c>
      <c r="AA1906" s="50" t="s">
        <v>138</v>
      </c>
      <c r="AB1906" s="50" t="s">
        <v>138</v>
      </c>
    </row>
    <row r="1907">
      <c r="A1907" s="101" t="s">
        <v>160</v>
      </c>
      <c r="B1907" s="101" t="s">
        <v>160</v>
      </c>
      <c r="C1907" s="278">
        <v>44825.0</v>
      </c>
      <c r="D1907" s="278">
        <v>44854.0</v>
      </c>
      <c r="E1907" s="271" t="s">
        <v>268</v>
      </c>
      <c r="F1907" s="138" t="s">
        <v>4</v>
      </c>
      <c r="G1907" s="101" t="s">
        <v>5</v>
      </c>
      <c r="H1907" s="273" t="s">
        <v>35</v>
      </c>
      <c r="I1907" s="274">
        <v>5.0</v>
      </c>
      <c r="J1907" s="271">
        <v>1.0</v>
      </c>
      <c r="K1907" s="271">
        <f t="shared" si="1"/>
        <v>5</v>
      </c>
      <c r="L1907" s="271">
        <v>98.0</v>
      </c>
      <c r="M1907" s="271">
        <v>-5.0</v>
      </c>
      <c r="N1907" s="275"/>
      <c r="O1907" s="60"/>
      <c r="P1907" s="101"/>
      <c r="Q1907" s="271">
        <v>0.0</v>
      </c>
      <c r="R1907" s="276">
        <v>1.2E-4</v>
      </c>
      <c r="S1907" s="271">
        <v>0.0</v>
      </c>
      <c r="T1907" s="271">
        <v>0.0</v>
      </c>
      <c r="U1907" s="62">
        <v>1.0</v>
      </c>
      <c r="V1907" s="277">
        <v>0.25</v>
      </c>
      <c r="W1907" s="277">
        <v>0.0</v>
      </c>
      <c r="X1907" s="271">
        <v>0.0</v>
      </c>
      <c r="Y1907" s="271">
        <v>0.0</v>
      </c>
      <c r="Z1907" s="50" t="b">
        <v>1</v>
      </c>
      <c r="AA1907" s="50" t="s">
        <v>138</v>
      </c>
      <c r="AB1907" s="50" t="s">
        <v>138</v>
      </c>
    </row>
    <row r="1908">
      <c r="A1908" s="101" t="s">
        <v>160</v>
      </c>
      <c r="B1908" s="101" t="s">
        <v>160</v>
      </c>
      <c r="C1908" s="278">
        <v>44825.0</v>
      </c>
      <c r="D1908" s="278">
        <v>44854.0</v>
      </c>
      <c r="E1908" s="271" t="s">
        <v>268</v>
      </c>
      <c r="F1908" s="138" t="s">
        <v>4</v>
      </c>
      <c r="G1908" s="101" t="s">
        <v>5</v>
      </c>
      <c r="H1908" s="273" t="s">
        <v>45</v>
      </c>
      <c r="I1908" s="274">
        <v>10.0</v>
      </c>
      <c r="J1908" s="271">
        <v>2772.0</v>
      </c>
      <c r="K1908" s="271">
        <f t="shared" si="1"/>
        <v>27720</v>
      </c>
      <c r="L1908" s="271">
        <v>83017.0</v>
      </c>
      <c r="M1908" s="271">
        <v>-900.0</v>
      </c>
      <c r="N1908" s="275">
        <v>1350.0</v>
      </c>
      <c r="O1908" s="60"/>
      <c r="P1908" s="109">
        <v>1350.0</v>
      </c>
      <c r="Q1908" s="271">
        <v>-511.0</v>
      </c>
      <c r="R1908" s="276">
        <v>1.2E-4</v>
      </c>
      <c r="S1908" s="271">
        <v>-508.0</v>
      </c>
      <c r="T1908" s="271">
        <v>842.0</v>
      </c>
      <c r="U1908" s="62">
        <v>1.0</v>
      </c>
      <c r="V1908" s="277">
        <v>0.25</v>
      </c>
      <c r="W1908" s="277">
        <v>0.0</v>
      </c>
      <c r="X1908" s="271">
        <v>631.0</v>
      </c>
      <c r="Y1908" s="271">
        <v>210.0</v>
      </c>
      <c r="Z1908" s="50" t="b">
        <v>1</v>
      </c>
      <c r="AA1908" s="50" t="s">
        <v>138</v>
      </c>
      <c r="AB1908" s="50" t="s">
        <v>138</v>
      </c>
    </row>
    <row r="1909">
      <c r="A1909" s="271" t="s">
        <v>576</v>
      </c>
      <c r="B1909" s="271" t="s">
        <v>576</v>
      </c>
      <c r="C1909" s="278">
        <v>44835.0</v>
      </c>
      <c r="D1909" s="278">
        <v>44854.0</v>
      </c>
      <c r="E1909" s="271" t="s">
        <v>268</v>
      </c>
      <c r="F1909" s="101" t="s">
        <v>4</v>
      </c>
      <c r="G1909" s="271" t="s">
        <v>5</v>
      </c>
      <c r="H1909" s="273" t="s">
        <v>38</v>
      </c>
      <c r="I1909" s="274">
        <v>5.0</v>
      </c>
      <c r="J1909" s="271">
        <v>15.0</v>
      </c>
      <c r="K1909" s="271">
        <f t="shared" si="1"/>
        <v>75</v>
      </c>
      <c r="L1909" s="271">
        <f>23*15</f>
        <v>345</v>
      </c>
      <c r="M1909" s="271">
        <v>20.0</v>
      </c>
      <c r="N1909" s="275">
        <v>2.0</v>
      </c>
      <c r="O1909" s="60"/>
      <c r="P1909" s="50">
        <v>2.0</v>
      </c>
      <c r="Q1909" s="271">
        <v>-1.0</v>
      </c>
      <c r="R1909" s="276">
        <v>-0.0015</v>
      </c>
      <c r="S1909" s="271">
        <v>-2.0</v>
      </c>
      <c r="T1909" s="271">
        <v>0.0</v>
      </c>
      <c r="U1909" s="62">
        <v>1.0</v>
      </c>
      <c r="V1909" s="277">
        <v>0.3</v>
      </c>
      <c r="W1909" s="277">
        <v>0.0</v>
      </c>
      <c r="X1909" s="271">
        <v>0.0</v>
      </c>
      <c r="Y1909" s="271">
        <v>0.0</v>
      </c>
      <c r="Z1909" s="50" t="b">
        <v>0</v>
      </c>
      <c r="AA1909" s="50" t="s">
        <v>138</v>
      </c>
      <c r="AB1909" s="50" t="s">
        <v>138</v>
      </c>
    </row>
    <row r="1910">
      <c r="A1910" s="271" t="s">
        <v>576</v>
      </c>
      <c r="B1910" s="271" t="s">
        <v>576</v>
      </c>
      <c r="C1910" s="278">
        <v>44835.0</v>
      </c>
      <c r="D1910" s="278">
        <v>44854.0</v>
      </c>
      <c r="E1910" s="271" t="s">
        <v>268</v>
      </c>
      <c r="F1910" s="101" t="s">
        <v>4</v>
      </c>
      <c r="G1910" s="271" t="s">
        <v>5</v>
      </c>
      <c r="H1910" s="273" t="s">
        <v>48</v>
      </c>
      <c r="I1910" s="274">
        <v>10.0</v>
      </c>
      <c r="J1910" s="271">
        <v>1253.0</v>
      </c>
      <c r="K1910" s="271">
        <f t="shared" si="1"/>
        <v>12530</v>
      </c>
      <c r="L1910" s="271">
        <f>9*J1910</f>
        <v>11277</v>
      </c>
      <c r="M1910" s="271">
        <v>50.0</v>
      </c>
      <c r="N1910" s="275">
        <v>263.0</v>
      </c>
      <c r="O1910" s="60"/>
      <c r="P1910" s="50">
        <v>263.0</v>
      </c>
      <c r="Q1910" s="271">
        <v>-582.0</v>
      </c>
      <c r="R1910" s="276">
        <v>-0.0015</v>
      </c>
      <c r="S1910" s="271">
        <v>-601.0</v>
      </c>
      <c r="T1910" s="271">
        <v>-338.0</v>
      </c>
      <c r="U1910" s="62">
        <v>1.0</v>
      </c>
      <c r="V1910" s="277">
        <v>0.3</v>
      </c>
      <c r="W1910" s="277">
        <v>0.0</v>
      </c>
      <c r="X1910" s="271">
        <v>-237.0</v>
      </c>
      <c r="Y1910" s="271">
        <v>-101.0</v>
      </c>
      <c r="Z1910" s="50" t="b">
        <v>0</v>
      </c>
      <c r="AA1910" s="50" t="s">
        <v>138</v>
      </c>
      <c r="AB1910" s="50" t="s">
        <v>138</v>
      </c>
    </row>
    <row r="1911">
      <c r="A1911" s="271" t="s">
        <v>576</v>
      </c>
      <c r="B1911" s="271" t="s">
        <v>576</v>
      </c>
      <c r="C1911" s="278">
        <v>44835.0</v>
      </c>
      <c r="D1911" s="278">
        <v>44854.0</v>
      </c>
      <c r="E1911" s="271" t="s">
        <v>268</v>
      </c>
      <c r="F1911" s="101" t="s">
        <v>4</v>
      </c>
      <c r="G1911" s="271" t="s">
        <v>5</v>
      </c>
      <c r="H1911" s="273" t="s">
        <v>62</v>
      </c>
      <c r="I1911" s="274">
        <v>25.0</v>
      </c>
      <c r="J1911" s="271">
        <v>1747.0</v>
      </c>
      <c r="K1911" s="271">
        <f t="shared" si="1"/>
        <v>43675</v>
      </c>
      <c r="L1911" s="271">
        <f>23*J1911</f>
        <v>40181</v>
      </c>
      <c r="M1911" s="271">
        <v>300.0</v>
      </c>
      <c r="N1911" s="275">
        <v>788.0</v>
      </c>
      <c r="O1911" s="60"/>
      <c r="P1911" s="50">
        <v>788.0</v>
      </c>
      <c r="Q1911" s="271">
        <v>-933.0</v>
      </c>
      <c r="R1911" s="276">
        <v>-0.0015</v>
      </c>
      <c r="S1911" s="271">
        <v>-998.0</v>
      </c>
      <c r="T1911" s="271">
        <v>-210.0</v>
      </c>
      <c r="U1911" s="62">
        <v>1.0</v>
      </c>
      <c r="V1911" s="277">
        <v>0.3</v>
      </c>
      <c r="W1911" s="277">
        <v>0.0</v>
      </c>
      <c r="X1911" s="271">
        <v>-147.0</v>
      </c>
      <c r="Y1911" s="271">
        <v>-63.0</v>
      </c>
      <c r="Z1911" s="50" t="b">
        <v>0</v>
      </c>
      <c r="AA1911" s="50" t="s">
        <v>138</v>
      </c>
      <c r="AB1911" s="50" t="s">
        <v>138</v>
      </c>
    </row>
    <row r="1912">
      <c r="A1912" s="271" t="s">
        <v>576</v>
      </c>
      <c r="B1912" s="271" t="s">
        <v>576</v>
      </c>
      <c r="C1912" s="278">
        <v>44835.0</v>
      </c>
      <c r="D1912" s="278">
        <v>44854.0</v>
      </c>
      <c r="E1912" s="271" t="s">
        <v>268</v>
      </c>
      <c r="F1912" s="101" t="s">
        <v>4</v>
      </c>
      <c r="G1912" s="271" t="s">
        <v>5</v>
      </c>
      <c r="H1912" s="273" t="s">
        <v>63</v>
      </c>
      <c r="I1912" s="274">
        <v>25.0</v>
      </c>
      <c r="J1912" s="271">
        <v>241.0</v>
      </c>
      <c r="K1912" s="271">
        <f t="shared" si="1"/>
        <v>6025</v>
      </c>
      <c r="L1912" s="271">
        <f>16*241</f>
        <v>3856</v>
      </c>
      <c r="M1912" s="271">
        <v>350.0</v>
      </c>
      <c r="N1912" s="275">
        <v>109.0</v>
      </c>
      <c r="O1912" s="60"/>
      <c r="P1912" s="50">
        <v>109.0</v>
      </c>
      <c r="Q1912" s="271">
        <v>-88.0</v>
      </c>
      <c r="R1912" s="276">
        <v>-0.0015</v>
      </c>
      <c r="S1912" s="271">
        <v>-97.0</v>
      </c>
      <c r="T1912" s="271">
        <v>12.0</v>
      </c>
      <c r="U1912" s="62">
        <v>1.0</v>
      </c>
      <c r="V1912" s="277">
        <v>0.3</v>
      </c>
      <c r="W1912" s="277">
        <v>0.0</v>
      </c>
      <c r="X1912" s="271">
        <v>9.0</v>
      </c>
      <c r="Y1912" s="271">
        <v>4.0</v>
      </c>
      <c r="Z1912" s="50" t="b">
        <v>0</v>
      </c>
      <c r="AA1912" s="50" t="s">
        <v>138</v>
      </c>
      <c r="AB1912" s="50" t="s">
        <v>138</v>
      </c>
    </row>
    <row r="1913">
      <c r="A1913" s="271" t="s">
        <v>576</v>
      </c>
      <c r="B1913" s="271" t="s">
        <v>576</v>
      </c>
      <c r="C1913" s="278">
        <v>44835.0</v>
      </c>
      <c r="D1913" s="278">
        <v>44854.0</v>
      </c>
      <c r="E1913" s="271" t="s">
        <v>268</v>
      </c>
      <c r="F1913" s="101" t="s">
        <v>4</v>
      </c>
      <c r="G1913" s="271" t="s">
        <v>5</v>
      </c>
      <c r="H1913" s="273" t="s">
        <v>74</v>
      </c>
      <c r="I1913" s="274">
        <v>50.0</v>
      </c>
      <c r="J1913" s="271">
        <v>1262.0</v>
      </c>
      <c r="K1913" s="271">
        <f t="shared" si="1"/>
        <v>63100</v>
      </c>
      <c r="L1913" s="271">
        <f>9*J1913</f>
        <v>11358</v>
      </c>
      <c r="M1913" s="271">
        <v>-3100.0</v>
      </c>
      <c r="N1913" s="275">
        <v>1138.0</v>
      </c>
      <c r="O1913" s="60"/>
      <c r="P1913" s="109">
        <v>1138.0</v>
      </c>
      <c r="Q1913" s="271">
        <v>-2985.0</v>
      </c>
      <c r="R1913" s="276">
        <v>-0.0015</v>
      </c>
      <c r="S1913" s="271">
        <v>-3080.0</v>
      </c>
      <c r="T1913" s="271">
        <v>-1942.0</v>
      </c>
      <c r="U1913" s="62">
        <v>1.0</v>
      </c>
      <c r="V1913" s="277">
        <v>0.3</v>
      </c>
      <c r="W1913" s="277">
        <v>0.0</v>
      </c>
      <c r="X1913" s="271">
        <v>-1359.0</v>
      </c>
      <c r="Y1913" s="271">
        <v>-583.0</v>
      </c>
      <c r="Z1913" s="50" t="b">
        <v>0</v>
      </c>
      <c r="AA1913" s="50" t="s">
        <v>138</v>
      </c>
      <c r="AB1913" s="50" t="s">
        <v>138</v>
      </c>
    </row>
    <row r="1914">
      <c r="A1914" s="271" t="s">
        <v>576</v>
      </c>
      <c r="B1914" s="271" t="s">
        <v>576</v>
      </c>
      <c r="C1914" s="278">
        <v>44835.0</v>
      </c>
      <c r="D1914" s="278">
        <v>44854.0</v>
      </c>
      <c r="E1914" s="271" t="s">
        <v>268</v>
      </c>
      <c r="F1914" s="101" t="s">
        <v>12</v>
      </c>
      <c r="G1914" s="271" t="s">
        <v>5</v>
      </c>
      <c r="H1914" s="273" t="s">
        <v>10</v>
      </c>
      <c r="I1914" s="274">
        <v>0.25</v>
      </c>
      <c r="J1914" s="271">
        <v>1.0</v>
      </c>
      <c r="K1914" s="271">
        <f t="shared" si="1"/>
        <v>0.25</v>
      </c>
      <c r="L1914" s="271">
        <v>-37.0</v>
      </c>
      <c r="M1914" s="271">
        <v>0.0</v>
      </c>
      <c r="N1914" s="275"/>
      <c r="O1914" s="60"/>
      <c r="P1914" s="101"/>
      <c r="Q1914" s="271">
        <v>0.0</v>
      </c>
      <c r="R1914" s="276">
        <v>0.0</v>
      </c>
      <c r="S1914" s="271">
        <v>0.0</v>
      </c>
      <c r="T1914" s="271">
        <v>0.0</v>
      </c>
      <c r="U1914" s="62">
        <v>1.0</v>
      </c>
      <c r="V1914" s="277">
        <v>0.3</v>
      </c>
      <c r="W1914" s="277">
        <v>0.0</v>
      </c>
      <c r="X1914" s="271">
        <v>0.0</v>
      </c>
      <c r="Y1914" s="271">
        <v>0.0</v>
      </c>
      <c r="Z1914" s="50" t="b">
        <v>0</v>
      </c>
      <c r="AA1914" s="50" t="s">
        <v>138</v>
      </c>
      <c r="AB1914" s="50" t="s">
        <v>138</v>
      </c>
    </row>
    <row r="1915">
      <c r="A1915" s="101" t="s">
        <v>207</v>
      </c>
      <c r="B1915" s="101" t="s">
        <v>208</v>
      </c>
      <c r="C1915" s="278">
        <v>44825.0</v>
      </c>
      <c r="D1915" s="278">
        <v>44854.0</v>
      </c>
      <c r="E1915" s="271" t="s">
        <v>268</v>
      </c>
      <c r="F1915" s="138" t="s">
        <v>4</v>
      </c>
      <c r="G1915" s="101" t="s">
        <v>13</v>
      </c>
      <c r="H1915" s="273" t="s">
        <v>34</v>
      </c>
      <c r="I1915" s="274">
        <v>5.0</v>
      </c>
      <c r="J1915" s="271">
        <v>4.0</v>
      </c>
      <c r="K1915" s="271">
        <f t="shared" si="1"/>
        <v>20</v>
      </c>
      <c r="L1915" s="271">
        <v>147.0</v>
      </c>
      <c r="M1915" s="271">
        <v>5.0</v>
      </c>
      <c r="N1915" s="275">
        <v>8.0</v>
      </c>
      <c r="O1915" s="60"/>
      <c r="P1915" s="50">
        <v>8.0</v>
      </c>
      <c r="Q1915" s="271">
        <v>1.0</v>
      </c>
      <c r="R1915" s="276">
        <v>1.2E-4</v>
      </c>
      <c r="S1915" s="271">
        <v>1.0</v>
      </c>
      <c r="T1915" s="271">
        <v>9.0</v>
      </c>
      <c r="U1915" s="62">
        <v>1.0</v>
      </c>
      <c r="V1915" s="277">
        <v>0.3</v>
      </c>
      <c r="W1915" s="277">
        <v>0.0</v>
      </c>
      <c r="X1915" s="271">
        <v>6.0</v>
      </c>
      <c r="Y1915" s="271">
        <v>3.0</v>
      </c>
      <c r="Z1915" s="50" t="b">
        <v>1</v>
      </c>
      <c r="AA1915" s="50" t="s">
        <v>138</v>
      </c>
      <c r="AB1915" s="50" t="s">
        <v>138</v>
      </c>
    </row>
    <row r="1916">
      <c r="A1916" s="101" t="s">
        <v>207</v>
      </c>
      <c r="B1916" s="101" t="s">
        <v>208</v>
      </c>
      <c r="C1916" s="278">
        <v>44825.0</v>
      </c>
      <c r="D1916" s="278">
        <v>44854.0</v>
      </c>
      <c r="E1916" s="271" t="s">
        <v>268</v>
      </c>
      <c r="F1916" s="138" t="s">
        <v>4</v>
      </c>
      <c r="G1916" s="101" t="s">
        <v>13</v>
      </c>
      <c r="H1916" s="273" t="s">
        <v>45</v>
      </c>
      <c r="I1916" s="274">
        <v>10.0</v>
      </c>
      <c r="J1916" s="271">
        <v>5400.0</v>
      </c>
      <c r="K1916" s="271">
        <f t="shared" si="1"/>
        <v>54000</v>
      </c>
      <c r="L1916" s="271">
        <v>74218.0</v>
      </c>
      <c r="M1916" s="271">
        <v>-3540.0</v>
      </c>
      <c r="N1916" s="275">
        <v>2160.0</v>
      </c>
      <c r="O1916" s="60"/>
      <c r="P1916" s="109">
        <v>2160.0</v>
      </c>
      <c r="Q1916" s="271">
        <v>-1825.0</v>
      </c>
      <c r="R1916" s="276">
        <v>1.2E-4</v>
      </c>
      <c r="S1916" s="271">
        <v>-1818.0</v>
      </c>
      <c r="T1916" s="271">
        <v>342.0</v>
      </c>
      <c r="U1916" s="62">
        <v>1.0</v>
      </c>
      <c r="V1916" s="277">
        <v>0.3</v>
      </c>
      <c r="W1916" s="277">
        <v>0.0</v>
      </c>
      <c r="X1916" s="271">
        <v>239.0</v>
      </c>
      <c r="Y1916" s="271">
        <v>102.0</v>
      </c>
      <c r="Z1916" s="50" t="b">
        <v>1</v>
      </c>
      <c r="AA1916" s="50" t="s">
        <v>138</v>
      </c>
      <c r="AB1916" s="50" t="s">
        <v>138</v>
      </c>
    </row>
    <row r="1917">
      <c r="A1917" s="101" t="s">
        <v>210</v>
      </c>
      <c r="B1917" s="101" t="s">
        <v>210</v>
      </c>
      <c r="C1917" s="278">
        <v>44825.0</v>
      </c>
      <c r="D1917" s="278">
        <v>44854.0</v>
      </c>
      <c r="E1917" s="271" t="s">
        <v>268</v>
      </c>
      <c r="F1917" s="101" t="s">
        <v>4</v>
      </c>
      <c r="G1917" s="271" t="s">
        <v>5</v>
      </c>
      <c r="H1917" s="290" t="s">
        <v>62</v>
      </c>
      <c r="I1917" s="281">
        <v>25.0</v>
      </c>
      <c r="J1917" s="280">
        <v>730.0</v>
      </c>
      <c r="K1917" s="271">
        <f t="shared" si="1"/>
        <v>18250</v>
      </c>
      <c r="L1917" s="280">
        <v>9494.0</v>
      </c>
      <c r="M1917" s="280">
        <v>-1475.0</v>
      </c>
      <c r="N1917" s="275">
        <v>225.0</v>
      </c>
      <c r="O1917" s="60"/>
      <c r="P1917" s="50">
        <v>225.0</v>
      </c>
      <c r="Q1917" s="280">
        <v>-728.0</v>
      </c>
      <c r="R1917" s="276">
        <v>1.2E-4</v>
      </c>
      <c r="S1917" s="280">
        <v>-726.0</v>
      </c>
      <c r="T1917" s="280">
        <v>-501.0</v>
      </c>
      <c r="U1917" s="62">
        <v>1.024</v>
      </c>
      <c r="V1917" s="277">
        <v>0.3</v>
      </c>
      <c r="W1917" s="277">
        <v>0.0</v>
      </c>
      <c r="X1917" s="280">
        <v>-359.0</v>
      </c>
      <c r="Y1917" s="280">
        <v>-154.0</v>
      </c>
      <c r="Z1917" s="50" t="b">
        <v>1</v>
      </c>
      <c r="AA1917" s="50" t="s">
        <v>140</v>
      </c>
      <c r="AB1917" s="50" t="s">
        <v>138</v>
      </c>
    </row>
    <row r="1918">
      <c r="A1918" s="101" t="s">
        <v>169</v>
      </c>
      <c r="B1918" s="101" t="s">
        <v>169</v>
      </c>
      <c r="C1918" s="278">
        <v>44825.0</v>
      </c>
      <c r="D1918" s="278">
        <v>44854.0</v>
      </c>
      <c r="E1918" s="271" t="s">
        <v>268</v>
      </c>
      <c r="F1918" s="101" t="s">
        <v>4</v>
      </c>
      <c r="G1918" s="271" t="s">
        <v>5</v>
      </c>
      <c r="H1918" s="273" t="s">
        <v>38</v>
      </c>
      <c r="I1918" s="274">
        <v>5.0</v>
      </c>
      <c r="J1918" s="271">
        <v>1.0</v>
      </c>
      <c r="K1918" s="271">
        <f t="shared" si="1"/>
        <v>5</v>
      </c>
      <c r="L1918" s="271">
        <v>-49.0</v>
      </c>
      <c r="M1918" s="271">
        <v>5.0</v>
      </c>
      <c r="N1918" s="275">
        <v>1.0</v>
      </c>
      <c r="O1918" s="60"/>
      <c r="P1918" s="50">
        <v>1.0</v>
      </c>
      <c r="Q1918" s="271">
        <v>-1.0</v>
      </c>
      <c r="R1918" s="276">
        <v>1.2E-4</v>
      </c>
      <c r="S1918" s="271">
        <v>-1.0</v>
      </c>
      <c r="T1918" s="271">
        <v>0.0</v>
      </c>
      <c r="U1918" s="62">
        <v>1.0</v>
      </c>
      <c r="V1918" s="277">
        <v>0.23</v>
      </c>
      <c r="W1918" s="277">
        <v>0.0</v>
      </c>
      <c r="X1918" s="271">
        <v>0.0</v>
      </c>
      <c r="Y1918" s="271">
        <v>0.0</v>
      </c>
      <c r="Z1918" s="50" t="b">
        <v>1</v>
      </c>
      <c r="AA1918" s="50" t="s">
        <v>138</v>
      </c>
      <c r="AB1918" s="50" t="s">
        <v>138</v>
      </c>
    </row>
    <row r="1919">
      <c r="A1919" s="101" t="s">
        <v>169</v>
      </c>
      <c r="B1919" s="101" t="s">
        <v>169</v>
      </c>
      <c r="C1919" s="278">
        <v>44825.0</v>
      </c>
      <c r="D1919" s="278">
        <v>44854.0</v>
      </c>
      <c r="E1919" s="271" t="s">
        <v>268</v>
      </c>
      <c r="F1919" s="101" t="s">
        <v>4</v>
      </c>
      <c r="G1919" s="271" t="s">
        <v>5</v>
      </c>
      <c r="H1919" s="273" t="s">
        <v>48</v>
      </c>
      <c r="I1919" s="274">
        <v>10.0</v>
      </c>
      <c r="J1919" s="271">
        <v>6684.0</v>
      </c>
      <c r="K1919" s="271">
        <f t="shared" si="1"/>
        <v>66840</v>
      </c>
      <c r="L1919" s="271">
        <v>80073.0</v>
      </c>
      <c r="M1919" s="271">
        <v>-430.0</v>
      </c>
      <c r="N1919" s="275">
        <v>4065.0</v>
      </c>
      <c r="O1919" s="60"/>
      <c r="P1919" s="109">
        <v>4065.0</v>
      </c>
      <c r="Q1919" s="271">
        <v>-2498.0</v>
      </c>
      <c r="R1919" s="276">
        <v>1.2E-4</v>
      </c>
      <c r="S1919" s="271">
        <v>-2490.0</v>
      </c>
      <c r="T1919" s="271">
        <v>1575.0</v>
      </c>
      <c r="U1919" s="62">
        <v>1.0</v>
      </c>
      <c r="V1919" s="277">
        <v>0.23</v>
      </c>
      <c r="W1919" s="277">
        <v>0.0</v>
      </c>
      <c r="X1919" s="271">
        <v>1213.0</v>
      </c>
      <c r="Y1919" s="271">
        <v>362.0</v>
      </c>
      <c r="Z1919" s="50" t="b">
        <v>1</v>
      </c>
      <c r="AA1919" s="50" t="s">
        <v>138</v>
      </c>
      <c r="AB1919" s="50" t="s">
        <v>138</v>
      </c>
    </row>
    <row r="1920">
      <c r="A1920" s="101" t="s">
        <v>169</v>
      </c>
      <c r="B1920" s="101" t="s">
        <v>169</v>
      </c>
      <c r="C1920" s="278">
        <v>44825.0</v>
      </c>
      <c r="D1920" s="278">
        <v>44854.0</v>
      </c>
      <c r="E1920" s="271" t="s">
        <v>268</v>
      </c>
      <c r="F1920" s="101" t="s">
        <v>4</v>
      </c>
      <c r="G1920" s="271" t="s">
        <v>5</v>
      </c>
      <c r="H1920" s="273" t="s">
        <v>63</v>
      </c>
      <c r="I1920" s="274">
        <v>25.0</v>
      </c>
      <c r="J1920" s="271">
        <v>8755.0</v>
      </c>
      <c r="K1920" s="271">
        <f t="shared" si="1"/>
        <v>218875</v>
      </c>
      <c r="L1920" s="271">
        <v>35722.0</v>
      </c>
      <c r="M1920" s="271">
        <v>-12375.0</v>
      </c>
      <c r="N1920" s="275">
        <v>11411.0</v>
      </c>
      <c r="O1920" s="60"/>
      <c r="P1920" s="109">
        <v>11411.0</v>
      </c>
      <c r="Q1920" s="271">
        <v>-11248.0</v>
      </c>
      <c r="R1920" s="276">
        <v>1.2E-4</v>
      </c>
      <c r="S1920" s="271">
        <v>-11222.0</v>
      </c>
      <c r="T1920" s="271">
        <v>189.0</v>
      </c>
      <c r="U1920" s="62">
        <v>1.0</v>
      </c>
      <c r="V1920" s="277">
        <v>0.23</v>
      </c>
      <c r="W1920" s="277">
        <v>0.0</v>
      </c>
      <c r="X1920" s="271">
        <v>146.0</v>
      </c>
      <c r="Y1920" s="271">
        <v>44.0</v>
      </c>
      <c r="Z1920" s="50" t="b">
        <v>1</v>
      </c>
      <c r="AA1920" s="50" t="s">
        <v>138</v>
      </c>
      <c r="AB1920" s="50" t="s">
        <v>138</v>
      </c>
    </row>
    <row r="1921">
      <c r="A1921" s="101" t="s">
        <v>169</v>
      </c>
      <c r="B1921" s="101" t="s">
        <v>169</v>
      </c>
      <c r="C1921" s="278">
        <v>44825.0</v>
      </c>
      <c r="D1921" s="278">
        <v>44854.0</v>
      </c>
      <c r="E1921" s="271" t="s">
        <v>268</v>
      </c>
      <c r="F1921" s="101" t="s">
        <v>4</v>
      </c>
      <c r="G1921" s="271" t="s">
        <v>5</v>
      </c>
      <c r="H1921" s="273" t="s">
        <v>75</v>
      </c>
      <c r="I1921" s="274">
        <v>50.0</v>
      </c>
      <c r="J1921" s="271">
        <v>638.0</v>
      </c>
      <c r="K1921" s="271">
        <f t="shared" si="1"/>
        <v>31900</v>
      </c>
      <c r="L1921" s="271">
        <v>-4154.0</v>
      </c>
      <c r="M1921" s="271">
        <v>-1850.0</v>
      </c>
      <c r="N1921" s="275">
        <v>1663.0</v>
      </c>
      <c r="O1921" s="60"/>
      <c r="P1921" s="109">
        <v>1663.0</v>
      </c>
      <c r="Q1921" s="271">
        <v>-2683.0</v>
      </c>
      <c r="R1921" s="276">
        <v>1.2E-4</v>
      </c>
      <c r="S1921" s="271">
        <v>-2680.0</v>
      </c>
      <c r="T1921" s="271">
        <v>-1017.0</v>
      </c>
      <c r="U1921" s="62">
        <v>1.0</v>
      </c>
      <c r="V1921" s="277">
        <v>0.23</v>
      </c>
      <c r="W1921" s="277">
        <v>0.0</v>
      </c>
      <c r="X1921" s="271">
        <v>-783.0</v>
      </c>
      <c r="Y1921" s="271">
        <v>-234.0</v>
      </c>
      <c r="Z1921" s="50" t="b">
        <v>1</v>
      </c>
      <c r="AA1921" s="50" t="s">
        <v>138</v>
      </c>
      <c r="AB1921" s="50" t="s">
        <v>138</v>
      </c>
    </row>
    <row r="1922">
      <c r="A1922" s="271" t="s">
        <v>161</v>
      </c>
      <c r="B1922" s="271" t="s">
        <v>161</v>
      </c>
      <c r="C1922" s="278">
        <v>44825.0</v>
      </c>
      <c r="D1922" s="278">
        <v>44854.0</v>
      </c>
      <c r="E1922" s="271" t="s">
        <v>268</v>
      </c>
      <c r="F1922" s="101" t="s">
        <v>4</v>
      </c>
      <c r="G1922" s="271" t="s">
        <v>5</v>
      </c>
      <c r="H1922" s="273" t="s">
        <v>38</v>
      </c>
      <c r="I1922" s="274">
        <v>5.0</v>
      </c>
      <c r="J1922" s="271">
        <v>1473.0</v>
      </c>
      <c r="K1922" s="271">
        <f t="shared" si="1"/>
        <v>7365</v>
      </c>
      <c r="L1922" s="271">
        <v>20713.0</v>
      </c>
      <c r="M1922" s="271">
        <v>70.0</v>
      </c>
      <c r="N1922" s="275">
        <v>427.0</v>
      </c>
      <c r="O1922" s="60"/>
      <c r="P1922" s="50">
        <v>427.0</v>
      </c>
      <c r="Q1922" s="271">
        <v>-336.0</v>
      </c>
      <c r="R1922" s="276">
        <v>1.2E-4</v>
      </c>
      <c r="S1922" s="271">
        <v>-335.0</v>
      </c>
      <c r="T1922" s="271">
        <v>92.0</v>
      </c>
      <c r="U1922" s="62">
        <v>1.0</v>
      </c>
      <c r="V1922" s="277">
        <v>0.3</v>
      </c>
      <c r="W1922" s="277">
        <v>0.0</v>
      </c>
      <c r="X1922" s="271">
        <v>64.0</v>
      </c>
      <c r="Y1922" s="271">
        <v>27.0</v>
      </c>
      <c r="Z1922" s="50" t="b">
        <v>1</v>
      </c>
      <c r="AA1922" s="50" t="s">
        <v>138</v>
      </c>
      <c r="AB1922" s="50" t="s">
        <v>138</v>
      </c>
    </row>
    <row r="1923">
      <c r="A1923" s="271" t="s">
        <v>161</v>
      </c>
      <c r="B1923" s="271" t="s">
        <v>161</v>
      </c>
      <c r="C1923" s="278">
        <v>44825.0</v>
      </c>
      <c r="D1923" s="278">
        <v>44854.0</v>
      </c>
      <c r="E1923" s="271" t="s">
        <v>268</v>
      </c>
      <c r="F1923" s="101" t="s">
        <v>4</v>
      </c>
      <c r="G1923" s="271" t="s">
        <v>5</v>
      </c>
      <c r="H1923" s="273" t="s">
        <v>45</v>
      </c>
      <c r="I1923" s="274">
        <v>10.0</v>
      </c>
      <c r="J1923" s="271">
        <v>324.0</v>
      </c>
      <c r="K1923" s="271">
        <f t="shared" si="1"/>
        <v>3240</v>
      </c>
      <c r="L1923" s="271">
        <v>19870.0</v>
      </c>
      <c r="M1923" s="271">
        <v>100.0</v>
      </c>
      <c r="N1923" s="275">
        <v>164.0</v>
      </c>
      <c r="O1923" s="60"/>
      <c r="P1923" s="50">
        <v>164.0</v>
      </c>
      <c r="Q1923" s="271">
        <v>125.0</v>
      </c>
      <c r="R1923" s="276">
        <v>1.2E-4</v>
      </c>
      <c r="S1923" s="271">
        <v>125.0</v>
      </c>
      <c r="T1923" s="271">
        <v>289.0</v>
      </c>
      <c r="U1923" s="62">
        <v>1.0</v>
      </c>
      <c r="V1923" s="277">
        <v>0.3</v>
      </c>
      <c r="W1923" s="277">
        <v>0.0</v>
      </c>
      <c r="X1923" s="271">
        <v>202.0</v>
      </c>
      <c r="Y1923" s="271">
        <v>87.0</v>
      </c>
      <c r="Z1923" s="50" t="b">
        <v>1</v>
      </c>
      <c r="AA1923" s="50" t="s">
        <v>138</v>
      </c>
      <c r="AB1923" s="50" t="s">
        <v>138</v>
      </c>
    </row>
    <row r="1924">
      <c r="A1924" s="271" t="s">
        <v>161</v>
      </c>
      <c r="B1924" s="271" t="s">
        <v>161</v>
      </c>
      <c r="C1924" s="278">
        <v>44825.0</v>
      </c>
      <c r="D1924" s="278">
        <v>44854.0</v>
      </c>
      <c r="E1924" s="271" t="s">
        <v>268</v>
      </c>
      <c r="F1924" s="101" t="s">
        <v>4</v>
      </c>
      <c r="G1924" s="271" t="s">
        <v>5</v>
      </c>
      <c r="H1924" s="273" t="s">
        <v>48</v>
      </c>
      <c r="I1924" s="274">
        <v>10.0</v>
      </c>
      <c r="J1924" s="271">
        <v>2174.0</v>
      </c>
      <c r="K1924" s="271">
        <f t="shared" si="1"/>
        <v>21740</v>
      </c>
      <c r="L1924" s="271">
        <v>36025.0</v>
      </c>
      <c r="M1924" s="271">
        <v>-1410.0</v>
      </c>
      <c r="N1924" s="275">
        <v>1103.0</v>
      </c>
      <c r="O1924" s="60"/>
      <c r="P1924" s="109">
        <v>1103.0</v>
      </c>
      <c r="Q1924" s="271">
        <v>-507.0</v>
      </c>
      <c r="R1924" s="276">
        <v>1.2E-4</v>
      </c>
      <c r="S1924" s="271">
        <v>-505.0</v>
      </c>
      <c r="T1924" s="271">
        <v>598.0</v>
      </c>
      <c r="U1924" s="62">
        <v>1.0</v>
      </c>
      <c r="V1924" s="277">
        <v>0.3</v>
      </c>
      <c r="W1924" s="277">
        <v>0.0</v>
      </c>
      <c r="X1924" s="271">
        <v>419.0</v>
      </c>
      <c r="Y1924" s="271">
        <v>179.0</v>
      </c>
      <c r="Z1924" s="50" t="b">
        <v>1</v>
      </c>
      <c r="AA1924" s="50" t="s">
        <v>138</v>
      </c>
      <c r="AB1924" s="50" t="s">
        <v>138</v>
      </c>
    </row>
    <row r="1925">
      <c r="A1925" s="101" t="s">
        <v>216</v>
      </c>
      <c r="B1925" s="101" t="s">
        <v>216</v>
      </c>
      <c r="C1925" s="278">
        <v>44825.0</v>
      </c>
      <c r="D1925" s="278">
        <v>44854.0</v>
      </c>
      <c r="E1925" s="271" t="s">
        <v>268</v>
      </c>
      <c r="F1925" s="138" t="s">
        <v>4</v>
      </c>
      <c r="G1925" s="101" t="s">
        <v>5</v>
      </c>
      <c r="H1925" s="273" t="s">
        <v>85</v>
      </c>
      <c r="I1925" s="274">
        <v>100.0</v>
      </c>
      <c r="J1925" s="271">
        <v>156.0</v>
      </c>
      <c r="K1925" s="271">
        <f t="shared" si="1"/>
        <v>15600</v>
      </c>
      <c r="L1925" s="271">
        <v>4648.0</v>
      </c>
      <c r="M1925" s="271">
        <v>600.0</v>
      </c>
      <c r="N1925" s="275">
        <v>1762.0</v>
      </c>
      <c r="O1925" s="60"/>
      <c r="P1925" s="109">
        <v>1762.0</v>
      </c>
      <c r="Q1925" s="271">
        <v>-71.0</v>
      </c>
      <c r="R1925" s="276">
        <v>1.2E-4</v>
      </c>
      <c r="S1925" s="271">
        <v>-69.0</v>
      </c>
      <c r="T1925" s="271">
        <v>1693.0</v>
      </c>
      <c r="U1925" s="62">
        <v>1.0</v>
      </c>
      <c r="V1925" s="277">
        <v>0.1</v>
      </c>
      <c r="W1925" s="277">
        <v>0.0</v>
      </c>
      <c r="X1925" s="271">
        <v>1524.0</v>
      </c>
      <c r="Y1925" s="271">
        <v>169.0</v>
      </c>
      <c r="Z1925" s="50" t="b">
        <v>1</v>
      </c>
      <c r="AA1925" s="50" t="s">
        <v>138</v>
      </c>
      <c r="AB1925" s="50" t="s">
        <v>138</v>
      </c>
    </row>
    <row r="1926">
      <c r="A1926" s="101" t="s">
        <v>216</v>
      </c>
      <c r="B1926" s="101" t="s">
        <v>216</v>
      </c>
      <c r="C1926" s="278">
        <v>44825.0</v>
      </c>
      <c r="D1926" s="278">
        <v>44854.0</v>
      </c>
      <c r="E1926" s="271" t="s">
        <v>268</v>
      </c>
      <c r="F1926" s="138" t="s">
        <v>4</v>
      </c>
      <c r="G1926" s="101" t="s">
        <v>5</v>
      </c>
      <c r="H1926" s="273" t="s">
        <v>86</v>
      </c>
      <c r="I1926" s="274">
        <v>100.0</v>
      </c>
      <c r="J1926" s="271">
        <v>19.0</v>
      </c>
      <c r="K1926" s="271">
        <f t="shared" si="1"/>
        <v>1900</v>
      </c>
      <c r="L1926" s="271">
        <v>236.0</v>
      </c>
      <c r="M1926" s="271">
        <v>600.0</v>
      </c>
      <c r="N1926" s="275">
        <v>215.0</v>
      </c>
      <c r="O1926" s="60"/>
      <c r="P1926" s="50">
        <v>215.0</v>
      </c>
      <c r="Q1926" s="271">
        <v>-41.0</v>
      </c>
      <c r="R1926" s="276">
        <v>1.2E-4</v>
      </c>
      <c r="S1926" s="271">
        <v>-41.0</v>
      </c>
      <c r="T1926" s="271">
        <v>174.0</v>
      </c>
      <c r="U1926" s="62">
        <v>1.0</v>
      </c>
      <c r="V1926" s="277">
        <v>0.1</v>
      </c>
      <c r="W1926" s="277">
        <v>0.0</v>
      </c>
      <c r="X1926" s="271">
        <v>157.0</v>
      </c>
      <c r="Y1926" s="271">
        <v>17.0</v>
      </c>
      <c r="Z1926" s="50" t="b">
        <v>1</v>
      </c>
      <c r="AA1926" s="50" t="s">
        <v>138</v>
      </c>
      <c r="AB1926" s="50" t="s">
        <v>138</v>
      </c>
    </row>
    <row r="1927">
      <c r="A1927" s="101" t="s">
        <v>216</v>
      </c>
      <c r="B1927" s="101" t="s">
        <v>216</v>
      </c>
      <c r="C1927" s="278">
        <v>44825.0</v>
      </c>
      <c r="D1927" s="278">
        <v>44854.0</v>
      </c>
      <c r="E1927" s="271" t="s">
        <v>268</v>
      </c>
      <c r="F1927" s="138" t="s">
        <v>4</v>
      </c>
      <c r="G1927" s="101" t="s">
        <v>5</v>
      </c>
      <c r="H1927" s="273" t="s">
        <v>96</v>
      </c>
      <c r="I1927" s="274">
        <v>250.0</v>
      </c>
      <c r="J1927" s="271">
        <v>190.0</v>
      </c>
      <c r="K1927" s="271">
        <f t="shared" si="1"/>
        <v>47500</v>
      </c>
      <c r="L1927" s="271">
        <v>10762.0</v>
      </c>
      <c r="M1927" s="271">
        <v>-3250.0</v>
      </c>
      <c r="N1927" s="275">
        <v>5364.0</v>
      </c>
      <c r="O1927" s="60"/>
      <c r="P1927" s="109">
        <v>5364.0</v>
      </c>
      <c r="Q1927" s="271">
        <v>2301.0</v>
      </c>
      <c r="R1927" s="276">
        <v>1.2E-4</v>
      </c>
      <c r="S1927" s="271">
        <v>2307.0</v>
      </c>
      <c r="T1927" s="271">
        <v>7671.0</v>
      </c>
      <c r="U1927" s="62">
        <v>1.0</v>
      </c>
      <c r="V1927" s="277">
        <v>0.1</v>
      </c>
      <c r="W1927" s="277">
        <v>0.0</v>
      </c>
      <c r="X1927" s="271">
        <v>6904.0</v>
      </c>
      <c r="Y1927" s="271">
        <v>767.0</v>
      </c>
      <c r="Z1927" s="50" t="b">
        <v>1</v>
      </c>
      <c r="AA1927" s="50" t="s">
        <v>138</v>
      </c>
      <c r="AB1927" s="50" t="s">
        <v>138</v>
      </c>
    </row>
    <row r="1928">
      <c r="A1928" s="101" t="s">
        <v>216</v>
      </c>
      <c r="B1928" s="101" t="s">
        <v>216</v>
      </c>
      <c r="C1928" s="278">
        <v>44825.0</v>
      </c>
      <c r="D1928" s="278">
        <v>44854.0</v>
      </c>
      <c r="E1928" s="271" t="s">
        <v>268</v>
      </c>
      <c r="F1928" s="138" t="s">
        <v>4</v>
      </c>
      <c r="G1928" s="101" t="s">
        <v>5</v>
      </c>
      <c r="H1928" s="273" t="s">
        <v>97</v>
      </c>
      <c r="I1928" s="274">
        <v>250.0</v>
      </c>
      <c r="J1928" s="271">
        <v>57.0</v>
      </c>
      <c r="K1928" s="271">
        <f t="shared" si="1"/>
        <v>14250</v>
      </c>
      <c r="L1928" s="271">
        <v>-1507.0</v>
      </c>
      <c r="M1928" s="271">
        <v>-3750.0</v>
      </c>
      <c r="N1928" s="275">
        <v>1609.0</v>
      </c>
      <c r="O1928" s="60"/>
      <c r="P1928" s="109">
        <v>1609.0</v>
      </c>
      <c r="Q1928" s="271">
        <v>-2006.0</v>
      </c>
      <c r="R1928" s="276">
        <v>1.2E-4</v>
      </c>
      <c r="S1928" s="271">
        <v>-2004.0</v>
      </c>
      <c r="T1928" s="271">
        <v>-395.0</v>
      </c>
      <c r="U1928" s="62">
        <v>1.0</v>
      </c>
      <c r="V1928" s="277">
        <v>0.1</v>
      </c>
      <c r="W1928" s="277">
        <v>0.0</v>
      </c>
      <c r="X1928" s="271">
        <v>-356.0</v>
      </c>
      <c r="Y1928" s="271">
        <v>-40.0</v>
      </c>
      <c r="Z1928" s="50" t="b">
        <v>1</v>
      </c>
      <c r="AA1928" s="50" t="s">
        <v>138</v>
      </c>
      <c r="AB1928" s="50" t="s">
        <v>138</v>
      </c>
    </row>
    <row r="1929">
      <c r="A1929" s="280" t="s">
        <v>143</v>
      </c>
      <c r="B1929" s="280" t="s">
        <v>141</v>
      </c>
      <c r="C1929" s="283">
        <v>44835.0</v>
      </c>
      <c r="D1929" s="283">
        <v>44865.0</v>
      </c>
      <c r="E1929" s="280" t="s">
        <v>268</v>
      </c>
      <c r="F1929" s="138" t="s">
        <v>12</v>
      </c>
      <c r="G1929" s="280" t="s">
        <v>142</v>
      </c>
      <c r="H1929" s="290" t="s">
        <v>61</v>
      </c>
      <c r="I1929" s="281">
        <v>20.0</v>
      </c>
      <c r="J1929" s="280">
        <v>2572.0</v>
      </c>
      <c r="K1929" s="271">
        <f t="shared" si="1"/>
        <v>51440</v>
      </c>
      <c r="L1929" s="280">
        <v>116645.0</v>
      </c>
      <c r="M1929" s="280">
        <v>-1344.74</v>
      </c>
      <c r="N1929" s="282"/>
      <c r="O1929" s="60">
        <v>0.5</v>
      </c>
      <c r="P1929" s="109">
        <v>1800.0</v>
      </c>
      <c r="Q1929" s="280">
        <v>353.0</v>
      </c>
      <c r="R1929" s="276">
        <v>0.0</v>
      </c>
      <c r="S1929" s="280">
        <v>353.0</v>
      </c>
      <c r="T1929" s="280">
        <v>456.0</v>
      </c>
      <c r="U1929" s="62">
        <v>0.98</v>
      </c>
      <c r="V1929" s="277">
        <v>0.17</v>
      </c>
      <c r="W1929" s="277">
        <v>0.0</v>
      </c>
      <c r="X1929" s="280">
        <v>371.0</v>
      </c>
      <c r="Y1929" s="280">
        <v>76.0</v>
      </c>
      <c r="Z1929" s="50" t="b">
        <v>1</v>
      </c>
      <c r="AA1929" s="50" t="s">
        <v>138</v>
      </c>
      <c r="AB1929" s="50" t="s">
        <v>140</v>
      </c>
    </row>
    <row r="1930">
      <c r="A1930" s="280" t="s">
        <v>143</v>
      </c>
      <c r="B1930" s="280" t="s">
        <v>141</v>
      </c>
      <c r="C1930" s="283">
        <v>44835.0</v>
      </c>
      <c r="D1930" s="283">
        <v>44865.0</v>
      </c>
      <c r="E1930" s="280" t="s">
        <v>268</v>
      </c>
      <c r="F1930" s="138" t="s">
        <v>12</v>
      </c>
      <c r="G1930" s="280" t="s">
        <v>142</v>
      </c>
      <c r="H1930" s="290" t="s">
        <v>77</v>
      </c>
      <c r="I1930" s="281">
        <v>50.0</v>
      </c>
      <c r="J1930" s="280">
        <v>882.0</v>
      </c>
      <c r="K1930" s="271">
        <f t="shared" si="1"/>
        <v>44100</v>
      </c>
      <c r="L1930" s="280">
        <v>25048.0</v>
      </c>
      <c r="M1930" s="280">
        <v>-1152.86</v>
      </c>
      <c r="N1930" s="282"/>
      <c r="O1930" s="60">
        <v>0.5</v>
      </c>
      <c r="P1930" s="109">
        <v>1544.0</v>
      </c>
      <c r="Q1930" s="280">
        <v>-1074.0</v>
      </c>
      <c r="R1930" s="276">
        <v>0.0</v>
      </c>
      <c r="S1930" s="280">
        <v>-1074.0</v>
      </c>
      <c r="T1930" s="280">
        <v>391.0</v>
      </c>
      <c r="U1930" s="62">
        <v>0.98</v>
      </c>
      <c r="V1930" s="277">
        <v>0.17</v>
      </c>
      <c r="W1930" s="277">
        <v>0.0</v>
      </c>
      <c r="X1930" s="280">
        <v>318.0</v>
      </c>
      <c r="Y1930" s="280">
        <v>65.0</v>
      </c>
      <c r="Z1930" s="50" t="b">
        <v>1</v>
      </c>
      <c r="AA1930" s="50" t="s">
        <v>138</v>
      </c>
      <c r="AB1930" s="50" t="s">
        <v>140</v>
      </c>
    </row>
    <row r="1931">
      <c r="A1931" s="280" t="s">
        <v>143</v>
      </c>
      <c r="B1931" s="280" t="s">
        <v>141</v>
      </c>
      <c r="C1931" s="283">
        <v>44835.0</v>
      </c>
      <c r="D1931" s="283">
        <v>44865.0</v>
      </c>
      <c r="E1931" s="280" t="s">
        <v>268</v>
      </c>
      <c r="F1931" s="138" t="s">
        <v>12</v>
      </c>
      <c r="G1931" s="280" t="s">
        <v>142</v>
      </c>
      <c r="H1931" s="290" t="s">
        <v>39</v>
      </c>
      <c r="I1931" s="281">
        <v>5.0</v>
      </c>
      <c r="J1931" s="280">
        <v>26.0</v>
      </c>
      <c r="K1931" s="271">
        <f t="shared" si="1"/>
        <v>130</v>
      </c>
      <c r="L1931" s="280">
        <v>291.0</v>
      </c>
      <c r="M1931" s="280">
        <v>-3.4</v>
      </c>
      <c r="N1931" s="282"/>
      <c r="O1931" s="60">
        <v>0.5</v>
      </c>
      <c r="P1931" s="50">
        <v>5.0</v>
      </c>
      <c r="Q1931" s="280">
        <v>-7.0</v>
      </c>
      <c r="R1931" s="276">
        <v>0.0</v>
      </c>
      <c r="S1931" s="280">
        <v>-7.0</v>
      </c>
      <c r="T1931" s="280">
        <v>1.0</v>
      </c>
      <c r="U1931" s="62">
        <v>0.98</v>
      </c>
      <c r="V1931" s="277">
        <v>0.17</v>
      </c>
      <c r="W1931" s="277">
        <v>0.0</v>
      </c>
      <c r="X1931" s="280">
        <v>1.0</v>
      </c>
      <c r="Y1931" s="280">
        <v>0.0</v>
      </c>
      <c r="Z1931" s="50" t="b">
        <v>1</v>
      </c>
      <c r="AA1931" s="50" t="s">
        <v>138</v>
      </c>
      <c r="AB1931" s="50" t="s">
        <v>140</v>
      </c>
    </row>
    <row r="1932">
      <c r="A1932" s="101" t="s">
        <v>177</v>
      </c>
      <c r="B1932" s="101" t="s">
        <v>177</v>
      </c>
      <c r="C1932" s="278">
        <v>44835.0</v>
      </c>
      <c r="D1932" s="278">
        <v>44865.0</v>
      </c>
      <c r="E1932" s="271" t="s">
        <v>331</v>
      </c>
      <c r="F1932" s="138" t="s">
        <v>8</v>
      </c>
      <c r="G1932" s="280" t="s">
        <v>5</v>
      </c>
      <c r="H1932" s="273" t="s">
        <v>75</v>
      </c>
      <c r="I1932" s="274">
        <v>50.0</v>
      </c>
      <c r="J1932" s="271">
        <v>13.0</v>
      </c>
      <c r="K1932" s="271">
        <f t="shared" si="1"/>
        <v>650</v>
      </c>
      <c r="L1932" s="271">
        <v>-1154.0</v>
      </c>
      <c r="M1932" s="271">
        <v>-400.0</v>
      </c>
      <c r="N1932" s="275">
        <v>27.0</v>
      </c>
      <c r="O1932" s="60"/>
      <c r="P1932" s="50">
        <v>27.0</v>
      </c>
      <c r="Q1932" s="271">
        <v>-220.0</v>
      </c>
      <c r="R1932" s="276">
        <v>-0.003197</v>
      </c>
      <c r="S1932" s="271">
        <v>-222.0</v>
      </c>
      <c r="T1932" s="271">
        <v>-195.0</v>
      </c>
      <c r="U1932" s="62">
        <v>1.0</v>
      </c>
      <c r="V1932" s="277">
        <v>0.175</v>
      </c>
      <c r="W1932" s="277">
        <v>0.075</v>
      </c>
      <c r="X1932" s="271">
        <v>-146.0</v>
      </c>
      <c r="Y1932" s="271">
        <v>-49.0</v>
      </c>
      <c r="Z1932" s="50" t="b">
        <v>1</v>
      </c>
      <c r="AA1932" s="50" t="s">
        <v>138</v>
      </c>
      <c r="AB1932" s="50" t="s">
        <v>138</v>
      </c>
    </row>
    <row r="1933">
      <c r="A1933" s="101" t="s">
        <v>177</v>
      </c>
      <c r="B1933" s="101" t="s">
        <v>177</v>
      </c>
      <c r="C1933" s="278">
        <v>44835.0</v>
      </c>
      <c r="D1933" s="278">
        <v>44865.0</v>
      </c>
      <c r="E1933" s="271" t="s">
        <v>331</v>
      </c>
      <c r="F1933" s="138" t="s">
        <v>8</v>
      </c>
      <c r="G1933" s="280" t="s">
        <v>5</v>
      </c>
      <c r="H1933" s="273" t="s">
        <v>85</v>
      </c>
      <c r="I1933" s="274">
        <v>100.0</v>
      </c>
      <c r="J1933" s="271">
        <v>23.0</v>
      </c>
      <c r="K1933" s="271">
        <f t="shared" si="1"/>
        <v>2300</v>
      </c>
      <c r="L1933" s="271">
        <v>6.0</v>
      </c>
      <c r="M1933" s="271">
        <v>-9.0</v>
      </c>
      <c r="N1933" s="275">
        <v>80.0</v>
      </c>
      <c r="O1933" s="60"/>
      <c r="P1933" s="50">
        <v>80.0</v>
      </c>
      <c r="Q1933" s="271">
        <v>-123.0</v>
      </c>
      <c r="R1933" s="276">
        <v>-0.005185</v>
      </c>
      <c r="S1933" s="271">
        <v>-135.0</v>
      </c>
      <c r="T1933" s="271">
        <v>-55.0</v>
      </c>
      <c r="U1933" s="62">
        <v>1.0</v>
      </c>
      <c r="V1933" s="277">
        <v>0.175</v>
      </c>
      <c r="W1933" s="277">
        <v>0.075</v>
      </c>
      <c r="X1933" s="271">
        <v>-41.0</v>
      </c>
      <c r="Y1933" s="271">
        <v>-14.0</v>
      </c>
      <c r="Z1933" s="50" t="b">
        <v>1</v>
      </c>
      <c r="AA1933" s="50" t="s">
        <v>138</v>
      </c>
      <c r="AB1933" s="50" t="s">
        <v>138</v>
      </c>
    </row>
    <row r="1934">
      <c r="A1934" s="101" t="s">
        <v>177</v>
      </c>
      <c r="B1934" s="101" t="s">
        <v>177</v>
      </c>
      <c r="C1934" s="278">
        <v>44835.0</v>
      </c>
      <c r="D1934" s="278">
        <v>44865.0</v>
      </c>
      <c r="E1934" s="271" t="s">
        <v>331</v>
      </c>
      <c r="F1934" s="138" t="s">
        <v>8</v>
      </c>
      <c r="G1934" s="280" t="s">
        <v>5</v>
      </c>
      <c r="H1934" s="273" t="s">
        <v>101</v>
      </c>
      <c r="I1934" s="274">
        <v>500.0</v>
      </c>
      <c r="J1934" s="271">
        <v>106.0</v>
      </c>
      <c r="K1934" s="271">
        <f t="shared" si="1"/>
        <v>53000</v>
      </c>
      <c r="L1934" s="271">
        <v>2993.0</v>
      </c>
      <c r="M1934" s="271">
        <v>2500.0</v>
      </c>
      <c r="N1934" s="275">
        <v>1852.0</v>
      </c>
      <c r="O1934" s="60"/>
      <c r="P1934" s="109">
        <v>1852.0</v>
      </c>
      <c r="Q1934" s="271">
        <v>122.0</v>
      </c>
      <c r="R1934" s="276">
        <v>-0.005341</v>
      </c>
      <c r="S1934" s="271">
        <v>-161.0</v>
      </c>
      <c r="T1934" s="271">
        <v>1691.0</v>
      </c>
      <c r="U1934" s="62">
        <v>1.0</v>
      </c>
      <c r="V1934" s="277">
        <v>0.175</v>
      </c>
      <c r="W1934" s="277">
        <v>0.075</v>
      </c>
      <c r="X1934" s="271">
        <v>1268.0</v>
      </c>
      <c r="Y1934" s="271">
        <v>423.0</v>
      </c>
      <c r="Z1934" s="50" t="b">
        <v>1</v>
      </c>
      <c r="AA1934" s="50" t="s">
        <v>138</v>
      </c>
      <c r="AB1934" s="50" t="s">
        <v>138</v>
      </c>
    </row>
    <row r="1935">
      <c r="A1935" s="101" t="s">
        <v>177</v>
      </c>
      <c r="B1935" s="101" t="s">
        <v>177</v>
      </c>
      <c r="C1935" s="278">
        <v>44835.0</v>
      </c>
      <c r="D1935" s="278">
        <v>44865.0</v>
      </c>
      <c r="E1935" s="271" t="s">
        <v>331</v>
      </c>
      <c r="F1935" s="138" t="s">
        <v>8</v>
      </c>
      <c r="G1935" s="280" t="s">
        <v>5</v>
      </c>
      <c r="H1935" s="273" t="s">
        <v>102</v>
      </c>
      <c r="I1935" s="274">
        <v>500.0</v>
      </c>
      <c r="J1935" s="271">
        <v>115.0</v>
      </c>
      <c r="K1935" s="271">
        <f t="shared" si="1"/>
        <v>57500</v>
      </c>
      <c r="L1935" s="271">
        <v>-1241.0</v>
      </c>
      <c r="M1935" s="271">
        <v>1500.0</v>
      </c>
      <c r="N1935" s="275">
        <v>2009.0</v>
      </c>
      <c r="O1935" s="60"/>
      <c r="P1935" s="109">
        <v>2009.0</v>
      </c>
      <c r="Q1935" s="271">
        <v>-4866.0</v>
      </c>
      <c r="R1935" s="276">
        <v>-0.004888</v>
      </c>
      <c r="S1935" s="271">
        <v>-5147.0</v>
      </c>
      <c r="T1935" s="271">
        <v>-3138.0</v>
      </c>
      <c r="U1935" s="62">
        <v>1.0</v>
      </c>
      <c r="V1935" s="277">
        <v>0.175</v>
      </c>
      <c r="W1935" s="277">
        <v>0.075</v>
      </c>
      <c r="X1935" s="271">
        <v>-2354.0</v>
      </c>
      <c r="Y1935" s="271">
        <v>-785.0</v>
      </c>
      <c r="Z1935" s="50" t="b">
        <v>1</v>
      </c>
      <c r="AA1935" s="50" t="s">
        <v>138</v>
      </c>
      <c r="AB1935" s="50" t="s">
        <v>138</v>
      </c>
    </row>
    <row r="1936">
      <c r="A1936" s="101" t="s">
        <v>177</v>
      </c>
      <c r="B1936" s="101" t="s">
        <v>177</v>
      </c>
      <c r="C1936" s="278">
        <v>44835.0</v>
      </c>
      <c r="D1936" s="278">
        <v>44865.0</v>
      </c>
      <c r="E1936" s="271" t="s">
        <v>331</v>
      </c>
      <c r="F1936" s="138" t="s">
        <v>8</v>
      </c>
      <c r="G1936" s="280" t="s">
        <v>5</v>
      </c>
      <c r="H1936" s="273" t="s">
        <v>97</v>
      </c>
      <c r="I1936" s="274">
        <v>250.0</v>
      </c>
      <c r="J1936" s="271">
        <v>760.0</v>
      </c>
      <c r="K1936" s="271">
        <f t="shared" si="1"/>
        <v>190000</v>
      </c>
      <c r="L1936" s="271">
        <v>14712.0</v>
      </c>
      <c r="M1936" s="271">
        <v>-1750.0</v>
      </c>
      <c r="N1936" s="275">
        <v>6639.0</v>
      </c>
      <c r="O1936" s="60"/>
      <c r="P1936" s="109">
        <v>6639.0</v>
      </c>
      <c r="Q1936" s="271">
        <v>1715.0</v>
      </c>
      <c r="R1936" s="276">
        <v>-0.005373</v>
      </c>
      <c r="S1936" s="271">
        <v>694.0</v>
      </c>
      <c r="T1936" s="271">
        <v>7333.0</v>
      </c>
      <c r="U1936" s="62">
        <v>1.0</v>
      </c>
      <c r="V1936" s="277">
        <v>0.175</v>
      </c>
      <c r="W1936" s="277">
        <v>0.075</v>
      </c>
      <c r="X1936" s="271">
        <v>5500.0</v>
      </c>
      <c r="Y1936" s="271">
        <v>1833.0</v>
      </c>
      <c r="Z1936" s="50" t="b">
        <v>1</v>
      </c>
      <c r="AA1936" s="50" t="s">
        <v>138</v>
      </c>
      <c r="AB1936" s="50" t="s">
        <v>138</v>
      </c>
    </row>
    <row r="1937">
      <c r="A1937" s="101" t="s">
        <v>177</v>
      </c>
      <c r="B1937" s="101" t="s">
        <v>177</v>
      </c>
      <c r="C1937" s="278">
        <v>44835.0</v>
      </c>
      <c r="D1937" s="278">
        <v>44865.0</v>
      </c>
      <c r="E1937" s="271" t="s">
        <v>331</v>
      </c>
      <c r="F1937" s="138" t="s">
        <v>8</v>
      </c>
      <c r="G1937" s="280" t="s">
        <v>5</v>
      </c>
      <c r="H1937" s="273" t="s">
        <v>96</v>
      </c>
      <c r="I1937" s="274">
        <v>250.0</v>
      </c>
      <c r="J1937" s="271">
        <v>906.0</v>
      </c>
      <c r="K1937" s="271">
        <f t="shared" si="1"/>
        <v>226500</v>
      </c>
      <c r="L1937" s="271">
        <v>17957.0</v>
      </c>
      <c r="M1937" s="271">
        <v>-3500.0</v>
      </c>
      <c r="N1937" s="275">
        <v>7914.0</v>
      </c>
      <c r="O1937" s="60"/>
      <c r="P1937" s="109">
        <v>7914.0</v>
      </c>
      <c r="Q1937" s="271">
        <v>-3252.0</v>
      </c>
      <c r="R1937" s="276">
        <v>-0.005251</v>
      </c>
      <c r="S1937" s="271">
        <v>-4441.0</v>
      </c>
      <c r="T1937" s="271">
        <v>3473.0</v>
      </c>
      <c r="U1937" s="62">
        <v>1.0</v>
      </c>
      <c r="V1937" s="277">
        <v>0.175</v>
      </c>
      <c r="W1937" s="277">
        <v>0.075</v>
      </c>
      <c r="X1937" s="271">
        <v>2605.0</v>
      </c>
      <c r="Y1937" s="271">
        <v>868.0</v>
      </c>
      <c r="Z1937" s="50" t="b">
        <v>1</v>
      </c>
      <c r="AA1937" s="50" t="s">
        <v>138</v>
      </c>
      <c r="AB1937" s="50" t="s">
        <v>138</v>
      </c>
    </row>
    <row r="1938">
      <c r="A1938" s="101" t="s">
        <v>177</v>
      </c>
      <c r="B1938" s="101" t="s">
        <v>177</v>
      </c>
      <c r="C1938" s="278">
        <v>44835.0</v>
      </c>
      <c r="D1938" s="278">
        <v>44865.0</v>
      </c>
      <c r="E1938" s="271" t="s">
        <v>331</v>
      </c>
      <c r="F1938" s="138" t="s">
        <v>8</v>
      </c>
      <c r="G1938" s="280" t="s">
        <v>5</v>
      </c>
      <c r="H1938" s="273" t="s">
        <v>86</v>
      </c>
      <c r="I1938" s="274">
        <v>100.0</v>
      </c>
      <c r="J1938" s="271">
        <v>3494.0</v>
      </c>
      <c r="K1938" s="271">
        <f t="shared" si="1"/>
        <v>349400</v>
      </c>
      <c r="L1938" s="271">
        <v>33585.0</v>
      </c>
      <c r="M1938" s="271">
        <v>1900.0</v>
      </c>
      <c r="N1938" s="275">
        <v>12229.0</v>
      </c>
      <c r="O1938" s="60"/>
      <c r="P1938" s="109">
        <v>12229.0</v>
      </c>
      <c r="Q1938" s="271">
        <v>-8376.0</v>
      </c>
      <c r="R1938" s="276">
        <v>-0.0052</v>
      </c>
      <c r="S1938" s="271">
        <v>-10193.0</v>
      </c>
      <c r="T1938" s="271">
        <v>2036.0</v>
      </c>
      <c r="U1938" s="62">
        <v>1.0</v>
      </c>
      <c r="V1938" s="277">
        <v>0.175</v>
      </c>
      <c r="W1938" s="277">
        <v>0.075</v>
      </c>
      <c r="X1938" s="271">
        <v>1527.0</v>
      </c>
      <c r="Y1938" s="271">
        <v>509.0</v>
      </c>
      <c r="Z1938" s="50" t="b">
        <v>1</v>
      </c>
      <c r="AA1938" s="50" t="s">
        <v>138</v>
      </c>
      <c r="AB1938" s="50" t="s">
        <v>138</v>
      </c>
    </row>
    <row r="1939">
      <c r="A1939" s="280" t="s">
        <v>183</v>
      </c>
      <c r="B1939" s="280" t="s">
        <v>183</v>
      </c>
      <c r="C1939" s="278">
        <v>44835.0</v>
      </c>
      <c r="D1939" s="278">
        <v>44865.0</v>
      </c>
      <c r="E1939" s="280" t="s">
        <v>268</v>
      </c>
      <c r="F1939" s="138" t="s">
        <v>8</v>
      </c>
      <c r="G1939" s="271" t="s">
        <v>5</v>
      </c>
      <c r="H1939" s="290" t="s">
        <v>45</v>
      </c>
      <c r="I1939" s="274">
        <v>10.0</v>
      </c>
      <c r="J1939" s="271">
        <v>5150.0</v>
      </c>
      <c r="K1939" s="271">
        <f t="shared" si="1"/>
        <v>51500</v>
      </c>
      <c r="L1939" s="271">
        <v>169971.0</v>
      </c>
      <c r="M1939" s="271">
        <v>-1370.0</v>
      </c>
      <c r="N1939" s="275">
        <v>2310.0</v>
      </c>
      <c r="O1939" s="60"/>
      <c r="P1939" s="109">
        <v>2310.0</v>
      </c>
      <c r="Q1939" s="271">
        <v>-693.0</v>
      </c>
      <c r="R1939" s="276">
        <v>-0.005238</v>
      </c>
      <c r="S1939" s="271">
        <v>-963.0</v>
      </c>
      <c r="T1939" s="271">
        <v>1347.0</v>
      </c>
      <c r="U1939" s="62">
        <v>1.0</v>
      </c>
      <c r="V1939" s="277">
        <v>0.17</v>
      </c>
      <c r="W1939" s="277">
        <v>0.0</v>
      </c>
      <c r="X1939" s="271">
        <v>1118.0</v>
      </c>
      <c r="Y1939" s="271">
        <v>229.0</v>
      </c>
      <c r="Z1939" s="50" t="b">
        <v>1</v>
      </c>
      <c r="AA1939" s="50" t="s">
        <v>138</v>
      </c>
      <c r="AB1939" s="50" t="s">
        <v>138</v>
      </c>
    </row>
    <row r="1940">
      <c r="A1940" s="280" t="s">
        <v>183</v>
      </c>
      <c r="B1940" s="280" t="s">
        <v>183</v>
      </c>
      <c r="C1940" s="278">
        <v>44835.0</v>
      </c>
      <c r="D1940" s="278">
        <v>44865.0</v>
      </c>
      <c r="E1940" s="280" t="s">
        <v>268</v>
      </c>
      <c r="F1940" s="138" t="s">
        <v>8</v>
      </c>
      <c r="G1940" s="280" t="s">
        <v>16</v>
      </c>
      <c r="H1940" s="290" t="s">
        <v>45</v>
      </c>
      <c r="I1940" s="274">
        <v>10.0</v>
      </c>
      <c r="J1940" s="271">
        <v>7.0</v>
      </c>
      <c r="K1940" s="271">
        <f t="shared" si="1"/>
        <v>70</v>
      </c>
      <c r="L1940" s="271">
        <v>-133.0</v>
      </c>
      <c r="M1940" s="271">
        <v>20.0</v>
      </c>
      <c r="N1940" s="275"/>
      <c r="O1940" s="60"/>
      <c r="P1940" s="101"/>
      <c r="Q1940" s="271">
        <v>-7.0</v>
      </c>
      <c r="R1940" s="276">
        <v>-4.83E-4</v>
      </c>
      <c r="S1940" s="271">
        <v>-7.0</v>
      </c>
      <c r="T1940" s="271">
        <v>-7.0</v>
      </c>
      <c r="U1940" s="62">
        <v>1.0</v>
      </c>
      <c r="V1940" s="277">
        <v>0.23</v>
      </c>
      <c r="W1940" s="277">
        <v>0.0</v>
      </c>
      <c r="X1940" s="271">
        <v>-5.0</v>
      </c>
      <c r="Y1940" s="271">
        <v>-2.0</v>
      </c>
      <c r="Z1940" s="50" t="b">
        <v>1</v>
      </c>
      <c r="AA1940" s="50" t="s">
        <v>138</v>
      </c>
      <c r="AB1940" s="50" t="s">
        <v>138</v>
      </c>
    </row>
    <row r="1941">
      <c r="A1941" s="280" t="s">
        <v>185</v>
      </c>
      <c r="B1941" s="280" t="s">
        <v>185</v>
      </c>
      <c r="C1941" s="283">
        <v>44835.0</v>
      </c>
      <c r="D1941" s="283">
        <v>44865.0</v>
      </c>
      <c r="E1941" s="280" t="s">
        <v>268</v>
      </c>
      <c r="F1941" s="138" t="s">
        <v>12</v>
      </c>
      <c r="G1941" s="280" t="s">
        <v>25</v>
      </c>
      <c r="H1941" s="290" t="s">
        <v>186</v>
      </c>
      <c r="I1941" s="281">
        <v>1000.0</v>
      </c>
      <c r="J1941" s="280">
        <v>267.0</v>
      </c>
      <c r="K1941" s="271">
        <f t="shared" si="1"/>
        <v>267000</v>
      </c>
      <c r="L1941" s="280"/>
      <c r="M1941" s="280">
        <v>26000.0</v>
      </c>
      <c r="N1941" s="282">
        <v>259076.46</v>
      </c>
      <c r="O1941" s="60"/>
      <c r="P1941" s="109">
        <v>259076.0</v>
      </c>
      <c r="Q1941" s="280"/>
      <c r="R1941" s="276">
        <v>0.0</v>
      </c>
      <c r="S1941" s="280"/>
      <c r="T1941" s="280">
        <v>285076.0</v>
      </c>
      <c r="U1941" s="62">
        <v>0.016</v>
      </c>
      <c r="V1941" s="277">
        <v>0.17</v>
      </c>
      <c r="W1941" s="277">
        <v>0.0</v>
      </c>
      <c r="X1941" s="280">
        <v>3786.0</v>
      </c>
      <c r="Y1941" s="280">
        <v>775.0</v>
      </c>
      <c r="Z1941" s="50" t="b">
        <v>1</v>
      </c>
      <c r="AA1941" s="50" t="s">
        <v>138</v>
      </c>
      <c r="AB1941" s="50" t="s">
        <v>1006</v>
      </c>
    </row>
    <row r="1942">
      <c r="A1942" s="280" t="s">
        <v>185</v>
      </c>
      <c r="B1942" s="280" t="s">
        <v>185</v>
      </c>
      <c r="C1942" s="283">
        <v>44835.0</v>
      </c>
      <c r="D1942" s="283">
        <v>44865.0</v>
      </c>
      <c r="E1942" s="280" t="s">
        <v>268</v>
      </c>
      <c r="F1942" s="138" t="s">
        <v>12</v>
      </c>
      <c r="G1942" s="280" t="s">
        <v>25</v>
      </c>
      <c r="H1942" s="290" t="s">
        <v>187</v>
      </c>
      <c r="I1942" s="281">
        <v>2500.0</v>
      </c>
      <c r="J1942" s="280">
        <v>1439.0</v>
      </c>
      <c r="K1942" s="271">
        <f t="shared" si="1"/>
        <v>3597500</v>
      </c>
      <c r="L1942" s="280"/>
      <c r="M1942" s="280">
        <v>2500.0</v>
      </c>
      <c r="N1942" s="282">
        <v>40052.54</v>
      </c>
      <c r="O1942" s="60"/>
      <c r="P1942" s="109">
        <v>40053.0</v>
      </c>
      <c r="Q1942" s="280"/>
      <c r="R1942" s="276">
        <v>0.0</v>
      </c>
      <c r="S1942" s="280"/>
      <c r="T1942" s="280">
        <v>42553.0</v>
      </c>
      <c r="U1942" s="62">
        <v>0.016</v>
      </c>
      <c r="V1942" s="277">
        <v>0.17</v>
      </c>
      <c r="W1942" s="277">
        <v>0.0</v>
      </c>
      <c r="X1942" s="280">
        <v>565.0</v>
      </c>
      <c r="Y1942" s="280">
        <v>116.0</v>
      </c>
      <c r="Z1942" s="50" t="b">
        <v>1</v>
      </c>
      <c r="AA1942" s="50" t="s">
        <v>138</v>
      </c>
      <c r="AB1942" s="50" t="s">
        <v>1006</v>
      </c>
    </row>
    <row r="1943">
      <c r="A1943" s="280" t="s">
        <v>185</v>
      </c>
      <c r="B1943" s="280" t="s">
        <v>185</v>
      </c>
      <c r="C1943" s="283">
        <v>44835.0</v>
      </c>
      <c r="D1943" s="283">
        <v>44865.0</v>
      </c>
      <c r="E1943" s="280" t="s">
        <v>268</v>
      </c>
      <c r="F1943" s="138" t="s">
        <v>12</v>
      </c>
      <c r="G1943" s="280" t="s">
        <v>25</v>
      </c>
      <c r="H1943" s="290" t="s">
        <v>188</v>
      </c>
      <c r="I1943" s="281">
        <v>5000.0</v>
      </c>
      <c r="J1943" s="280">
        <v>1211.0</v>
      </c>
      <c r="K1943" s="271">
        <f t="shared" si="1"/>
        <v>6055000</v>
      </c>
      <c r="L1943" s="280"/>
      <c r="M1943" s="280">
        <v>74457.06</v>
      </c>
      <c r="N1943" s="282">
        <v>0.0</v>
      </c>
      <c r="O1943" s="60"/>
      <c r="P1943" s="50">
        <v>0.0</v>
      </c>
      <c r="Q1943" s="280"/>
      <c r="R1943" s="276">
        <v>0.0</v>
      </c>
      <c r="S1943" s="280"/>
      <c r="T1943" s="280">
        <v>74457.0</v>
      </c>
      <c r="U1943" s="62">
        <v>0.016</v>
      </c>
      <c r="V1943" s="277">
        <v>0.17</v>
      </c>
      <c r="W1943" s="277">
        <v>0.0</v>
      </c>
      <c r="X1943" s="280">
        <v>989.0</v>
      </c>
      <c r="Y1943" s="280">
        <v>203.0</v>
      </c>
      <c r="Z1943" s="50" t="b">
        <v>1</v>
      </c>
      <c r="AA1943" s="50" t="s">
        <v>138</v>
      </c>
      <c r="AB1943" s="50" t="s">
        <v>1006</v>
      </c>
    </row>
    <row r="1944">
      <c r="A1944" s="280" t="s">
        <v>180</v>
      </c>
      <c r="B1944" s="280" t="s">
        <v>180</v>
      </c>
      <c r="C1944" s="283">
        <v>44835.0</v>
      </c>
      <c r="D1944" s="283">
        <v>44865.0</v>
      </c>
      <c r="E1944" s="280" t="s">
        <v>268</v>
      </c>
      <c r="F1944" s="138" t="s">
        <v>12</v>
      </c>
      <c r="G1944" s="280" t="s">
        <v>142</v>
      </c>
      <c r="H1944" s="290" t="s">
        <v>39</v>
      </c>
      <c r="I1944" s="281">
        <v>5.0</v>
      </c>
      <c r="J1944" s="280">
        <v>2332.0</v>
      </c>
      <c r="K1944" s="271">
        <f t="shared" si="1"/>
        <v>11660</v>
      </c>
      <c r="L1944" s="280">
        <v>86284.0</v>
      </c>
      <c r="M1944" s="280">
        <v>-751.33</v>
      </c>
      <c r="N1944" s="275"/>
      <c r="O1944" s="60">
        <v>0.5</v>
      </c>
      <c r="P1944" s="50">
        <v>408.0</v>
      </c>
      <c r="Q1944" s="280">
        <v>-97.0</v>
      </c>
      <c r="R1944" s="276">
        <v>0.0</v>
      </c>
      <c r="S1944" s="280">
        <v>-97.0</v>
      </c>
      <c r="T1944" s="280">
        <v>-343.0</v>
      </c>
      <c r="U1944" s="62">
        <v>1.0</v>
      </c>
      <c r="V1944" s="277">
        <v>0.3</v>
      </c>
      <c r="W1944" s="277">
        <v>0.0</v>
      </c>
      <c r="X1944" s="280">
        <v>-240.0</v>
      </c>
      <c r="Y1944" s="280">
        <v>-103.0</v>
      </c>
      <c r="Z1944" s="50" t="b">
        <v>0</v>
      </c>
      <c r="AA1944" s="50" t="s">
        <v>138</v>
      </c>
      <c r="AB1944" s="50" t="s">
        <v>138</v>
      </c>
    </row>
    <row r="1945">
      <c r="A1945" s="280" t="s">
        <v>180</v>
      </c>
      <c r="B1945" s="280" t="s">
        <v>180</v>
      </c>
      <c r="C1945" s="283">
        <v>44835.0</v>
      </c>
      <c r="D1945" s="283">
        <v>44865.0</v>
      </c>
      <c r="E1945" s="280" t="s">
        <v>268</v>
      </c>
      <c r="F1945" s="138" t="s">
        <v>12</v>
      </c>
      <c r="G1945" s="280" t="s">
        <v>142</v>
      </c>
      <c r="H1945" s="290" t="s">
        <v>50</v>
      </c>
      <c r="I1945" s="281">
        <v>10.0</v>
      </c>
      <c r="J1945" s="280">
        <v>860.0</v>
      </c>
      <c r="K1945" s="271">
        <f t="shared" si="1"/>
        <v>8600</v>
      </c>
      <c r="L1945" s="280">
        <v>29240.0</v>
      </c>
      <c r="M1945" s="280">
        <v>-554.15</v>
      </c>
      <c r="N1945" s="275"/>
      <c r="O1945" s="60">
        <v>0.5</v>
      </c>
      <c r="P1945" s="50">
        <v>301.0</v>
      </c>
      <c r="Q1945" s="280">
        <v>-119.0</v>
      </c>
      <c r="R1945" s="276">
        <v>0.0</v>
      </c>
      <c r="S1945" s="280">
        <v>-119.0</v>
      </c>
      <c r="T1945" s="280">
        <v>-253.0</v>
      </c>
      <c r="U1945" s="62">
        <v>1.0</v>
      </c>
      <c r="V1945" s="277">
        <v>0.3</v>
      </c>
      <c r="W1945" s="277">
        <v>0.0</v>
      </c>
      <c r="X1945" s="280">
        <v>-177.0</v>
      </c>
      <c r="Y1945" s="280">
        <v>-76.0</v>
      </c>
      <c r="Z1945" s="50" t="b">
        <v>0</v>
      </c>
      <c r="AA1945" s="50" t="s">
        <v>138</v>
      </c>
      <c r="AB1945" s="50" t="s">
        <v>138</v>
      </c>
    </row>
    <row r="1946">
      <c r="A1946" s="280" t="s">
        <v>180</v>
      </c>
      <c r="B1946" s="280" t="s">
        <v>180</v>
      </c>
      <c r="C1946" s="283">
        <v>44835.0</v>
      </c>
      <c r="D1946" s="283">
        <v>44865.0</v>
      </c>
      <c r="E1946" s="280" t="s">
        <v>268</v>
      </c>
      <c r="F1946" s="138" t="s">
        <v>12</v>
      </c>
      <c r="G1946" s="280" t="s">
        <v>142</v>
      </c>
      <c r="H1946" s="290" t="s">
        <v>61</v>
      </c>
      <c r="I1946" s="281">
        <v>20.0</v>
      </c>
      <c r="J1946" s="280">
        <v>577.0</v>
      </c>
      <c r="K1946" s="271">
        <f t="shared" si="1"/>
        <v>11540</v>
      </c>
      <c r="L1946" s="280">
        <v>12694.0</v>
      </c>
      <c r="M1946" s="280">
        <v>-743.59</v>
      </c>
      <c r="N1946" s="275"/>
      <c r="O1946" s="60">
        <v>0.5</v>
      </c>
      <c r="P1946" s="50">
        <v>404.0</v>
      </c>
      <c r="Q1946" s="280">
        <v>-417.0</v>
      </c>
      <c r="R1946" s="276">
        <v>0.0</v>
      </c>
      <c r="S1946" s="280">
        <v>-417.0</v>
      </c>
      <c r="T1946" s="280">
        <v>-340.0</v>
      </c>
      <c r="U1946" s="62">
        <v>1.0</v>
      </c>
      <c r="V1946" s="277">
        <v>0.3</v>
      </c>
      <c r="W1946" s="277">
        <v>0.0</v>
      </c>
      <c r="X1946" s="280">
        <v>-238.0</v>
      </c>
      <c r="Y1946" s="280">
        <v>-102.0</v>
      </c>
      <c r="Z1946" s="50" t="b">
        <v>0</v>
      </c>
      <c r="AA1946" s="50" t="s">
        <v>138</v>
      </c>
      <c r="AB1946" s="50" t="s">
        <v>138</v>
      </c>
    </row>
    <row r="1947">
      <c r="A1947" s="280" t="s">
        <v>180</v>
      </c>
      <c r="B1947" s="280" t="s">
        <v>180</v>
      </c>
      <c r="C1947" s="283">
        <v>44835.0</v>
      </c>
      <c r="D1947" s="283">
        <v>44865.0</v>
      </c>
      <c r="E1947" s="280" t="s">
        <v>268</v>
      </c>
      <c r="F1947" s="138" t="s">
        <v>12</v>
      </c>
      <c r="G1947" s="280" t="s">
        <v>142</v>
      </c>
      <c r="H1947" s="290" t="s">
        <v>77</v>
      </c>
      <c r="I1947" s="281">
        <v>50.0</v>
      </c>
      <c r="J1947" s="280">
        <v>162.0</v>
      </c>
      <c r="K1947" s="271">
        <f t="shared" si="1"/>
        <v>8100</v>
      </c>
      <c r="L1947" s="280">
        <v>4374.0</v>
      </c>
      <c r="M1947" s="280">
        <v>-521.93</v>
      </c>
      <c r="N1947" s="275"/>
      <c r="O1947" s="60">
        <v>0.5</v>
      </c>
      <c r="P1947" s="50">
        <v>284.0</v>
      </c>
      <c r="Q1947" s="280">
        <v>-218.0</v>
      </c>
      <c r="R1947" s="276">
        <v>0.0</v>
      </c>
      <c r="S1947" s="280">
        <v>-218.0</v>
      </c>
      <c r="T1947" s="280">
        <v>-238.0</v>
      </c>
      <c r="U1947" s="62">
        <v>1.0</v>
      </c>
      <c r="V1947" s="277">
        <v>0.3</v>
      </c>
      <c r="W1947" s="277">
        <v>0.0</v>
      </c>
      <c r="X1947" s="280">
        <v>-167.0</v>
      </c>
      <c r="Y1947" s="280">
        <v>-72.0</v>
      </c>
      <c r="Z1947" s="50" t="b">
        <v>0</v>
      </c>
      <c r="AA1947" s="50" t="s">
        <v>138</v>
      </c>
      <c r="AB1947" s="50" t="s">
        <v>138</v>
      </c>
    </row>
    <row r="1948">
      <c r="A1948" s="280" t="s">
        <v>180</v>
      </c>
      <c r="B1948" s="280" t="s">
        <v>180</v>
      </c>
      <c r="C1948" s="283">
        <v>44835.0</v>
      </c>
      <c r="D1948" s="283">
        <v>44865.0</v>
      </c>
      <c r="E1948" s="280" t="s">
        <v>268</v>
      </c>
      <c r="F1948" s="138" t="s">
        <v>12</v>
      </c>
      <c r="G1948" s="280" t="s">
        <v>142</v>
      </c>
      <c r="H1948" s="290" t="s">
        <v>89</v>
      </c>
      <c r="I1948" s="281">
        <v>100.0</v>
      </c>
      <c r="J1948" s="280">
        <v>9.0</v>
      </c>
      <c r="K1948" s="271">
        <f t="shared" si="1"/>
        <v>900</v>
      </c>
      <c r="L1948" s="280"/>
      <c r="M1948" s="280">
        <v>-57.99</v>
      </c>
      <c r="N1948" s="275"/>
      <c r="O1948" s="60">
        <v>0.5</v>
      </c>
      <c r="P1948" s="50">
        <v>32.0</v>
      </c>
      <c r="Q1948" s="280"/>
      <c r="R1948" s="276">
        <v>0.0</v>
      </c>
      <c r="S1948" s="280"/>
      <c r="T1948" s="280">
        <v>-26.0</v>
      </c>
      <c r="U1948" s="62">
        <v>1.0</v>
      </c>
      <c r="V1948" s="277">
        <v>0.3</v>
      </c>
      <c r="W1948" s="277">
        <v>0.0</v>
      </c>
      <c r="X1948" s="280">
        <v>-19.0</v>
      </c>
      <c r="Y1948" s="280">
        <v>-8.0</v>
      </c>
      <c r="Z1948" s="50" t="b">
        <v>0</v>
      </c>
      <c r="AA1948" s="50" t="s">
        <v>138</v>
      </c>
      <c r="AB1948" s="50" t="s">
        <v>138</v>
      </c>
    </row>
    <row r="1949">
      <c r="A1949" s="280" t="s">
        <v>362</v>
      </c>
      <c r="B1949" s="271" t="s">
        <v>189</v>
      </c>
      <c r="C1949" s="278">
        <v>44835.0</v>
      </c>
      <c r="D1949" s="278">
        <v>44865.0</v>
      </c>
      <c r="E1949" s="280" t="s">
        <v>268</v>
      </c>
      <c r="F1949" s="138" t="s">
        <v>12</v>
      </c>
      <c r="G1949" s="271" t="s">
        <v>5</v>
      </c>
      <c r="H1949" s="273" t="s">
        <v>28</v>
      </c>
      <c r="I1949" s="274">
        <v>2.0</v>
      </c>
      <c r="J1949" s="271">
        <v>1.0</v>
      </c>
      <c r="K1949" s="271">
        <f t="shared" si="1"/>
        <v>2</v>
      </c>
      <c r="L1949" s="271"/>
      <c r="M1949" s="271">
        <v>4.0</v>
      </c>
      <c r="N1949" s="275"/>
      <c r="O1949" s="60"/>
      <c r="P1949" s="101"/>
      <c r="Q1949" s="271"/>
      <c r="R1949" s="276">
        <v>0.0</v>
      </c>
      <c r="S1949" s="271"/>
      <c r="T1949" s="271">
        <v>4.0</v>
      </c>
      <c r="U1949" s="62">
        <v>1.0</v>
      </c>
      <c r="V1949" s="277">
        <v>0.19</v>
      </c>
      <c r="W1949" s="277">
        <v>0.0</v>
      </c>
      <c r="X1949" s="271">
        <v>3.0</v>
      </c>
      <c r="Y1949" s="271">
        <v>1.0</v>
      </c>
      <c r="Z1949" s="50" t="b">
        <v>1</v>
      </c>
      <c r="AA1949" s="50" t="s">
        <v>138</v>
      </c>
      <c r="AB1949" s="50" t="s">
        <v>138</v>
      </c>
    </row>
    <row r="1950">
      <c r="A1950" s="280" t="s">
        <v>362</v>
      </c>
      <c r="B1950" s="271" t="s">
        <v>189</v>
      </c>
      <c r="C1950" s="278">
        <v>44835.0</v>
      </c>
      <c r="D1950" s="278">
        <v>44865.0</v>
      </c>
      <c r="E1950" s="280" t="s">
        <v>268</v>
      </c>
      <c r="F1950" s="138" t="s">
        <v>12</v>
      </c>
      <c r="G1950" s="271" t="s">
        <v>5</v>
      </c>
      <c r="H1950" s="273" t="s">
        <v>86</v>
      </c>
      <c r="I1950" s="274">
        <v>100.0</v>
      </c>
      <c r="J1950" s="271">
        <v>1428.0</v>
      </c>
      <c r="K1950" s="271">
        <f t="shared" si="1"/>
        <v>142800</v>
      </c>
      <c r="L1950" s="271"/>
      <c r="M1950" s="271">
        <v>-11400.0</v>
      </c>
      <c r="N1950" s="275">
        <v>5454.0</v>
      </c>
      <c r="O1950" s="60"/>
      <c r="P1950" s="109">
        <v>5454.0</v>
      </c>
      <c r="Q1950" s="271"/>
      <c r="R1950" s="276">
        <v>0.0</v>
      </c>
      <c r="S1950" s="271"/>
      <c r="T1950" s="271">
        <v>-5946.0</v>
      </c>
      <c r="U1950" s="62">
        <v>1.0</v>
      </c>
      <c r="V1950" s="277">
        <v>0.19</v>
      </c>
      <c r="W1950" s="277">
        <v>0.0</v>
      </c>
      <c r="X1950" s="271">
        <v>-4816.0</v>
      </c>
      <c r="Y1950" s="271">
        <v>-1130.0</v>
      </c>
      <c r="Z1950" s="50" t="b">
        <v>1</v>
      </c>
      <c r="AA1950" s="50" t="s">
        <v>138</v>
      </c>
      <c r="AB1950" s="50" t="s">
        <v>138</v>
      </c>
    </row>
    <row r="1951">
      <c r="A1951" s="280" t="s">
        <v>362</v>
      </c>
      <c r="B1951" s="271" t="s">
        <v>189</v>
      </c>
      <c r="C1951" s="278">
        <v>44835.0</v>
      </c>
      <c r="D1951" s="278">
        <v>44865.0</v>
      </c>
      <c r="E1951" s="280" t="s">
        <v>268</v>
      </c>
      <c r="F1951" s="138" t="s">
        <v>12</v>
      </c>
      <c r="G1951" s="271" t="s">
        <v>5</v>
      </c>
      <c r="H1951" s="273" t="s">
        <v>96</v>
      </c>
      <c r="I1951" s="274">
        <v>250.0</v>
      </c>
      <c r="J1951" s="271">
        <v>745.0</v>
      </c>
      <c r="K1951" s="271">
        <f t="shared" si="1"/>
        <v>186250</v>
      </c>
      <c r="L1951" s="271"/>
      <c r="M1951" s="271">
        <v>9250.0</v>
      </c>
      <c r="N1951" s="275">
        <v>7114.0</v>
      </c>
      <c r="O1951" s="60"/>
      <c r="P1951" s="109">
        <v>7114.0</v>
      </c>
      <c r="Q1951" s="271"/>
      <c r="R1951" s="276">
        <v>0.0</v>
      </c>
      <c r="S1951" s="271"/>
      <c r="T1951" s="271">
        <v>16364.0</v>
      </c>
      <c r="U1951" s="62">
        <v>1.0</v>
      </c>
      <c r="V1951" s="277">
        <v>0.19</v>
      </c>
      <c r="W1951" s="277">
        <v>0.0</v>
      </c>
      <c r="X1951" s="271">
        <v>13255.0</v>
      </c>
      <c r="Y1951" s="271">
        <v>3109.0</v>
      </c>
      <c r="Z1951" s="50" t="b">
        <v>1</v>
      </c>
      <c r="AA1951" s="50" t="s">
        <v>138</v>
      </c>
      <c r="AB1951" s="50" t="s">
        <v>138</v>
      </c>
    </row>
    <row r="1952">
      <c r="A1952" s="280" t="s">
        <v>362</v>
      </c>
      <c r="B1952" s="271" t="s">
        <v>189</v>
      </c>
      <c r="C1952" s="278">
        <v>44835.0</v>
      </c>
      <c r="D1952" s="278">
        <v>44865.0</v>
      </c>
      <c r="E1952" s="280" t="s">
        <v>268</v>
      </c>
      <c r="F1952" s="138" t="s">
        <v>12</v>
      </c>
      <c r="G1952" s="271" t="s">
        <v>5</v>
      </c>
      <c r="H1952" s="273" t="s">
        <v>106</v>
      </c>
      <c r="I1952" s="274">
        <v>1000.0</v>
      </c>
      <c r="J1952" s="271">
        <v>1.0</v>
      </c>
      <c r="K1952" s="271">
        <f t="shared" si="1"/>
        <v>1000</v>
      </c>
      <c r="L1952" s="271"/>
      <c r="M1952" s="271">
        <v>-1000.0</v>
      </c>
      <c r="N1952" s="275">
        <v>38.0</v>
      </c>
      <c r="O1952" s="60"/>
      <c r="P1952" s="50">
        <v>38.0</v>
      </c>
      <c r="Q1952" s="271"/>
      <c r="R1952" s="276">
        <v>0.0</v>
      </c>
      <c r="S1952" s="271"/>
      <c r="T1952" s="271">
        <v>-962.0</v>
      </c>
      <c r="U1952" s="62">
        <v>1.0</v>
      </c>
      <c r="V1952" s="277">
        <v>0.19</v>
      </c>
      <c r="W1952" s="277">
        <v>0.0</v>
      </c>
      <c r="X1952" s="271">
        <v>-779.0</v>
      </c>
      <c r="Y1952" s="271">
        <v>-183.0</v>
      </c>
      <c r="Z1952" s="50" t="b">
        <v>1</v>
      </c>
      <c r="AA1952" s="50" t="s">
        <v>138</v>
      </c>
      <c r="AB1952" s="50" t="s">
        <v>138</v>
      </c>
    </row>
    <row r="1953">
      <c r="A1953" s="280" t="s">
        <v>362</v>
      </c>
      <c r="B1953" s="271" t="s">
        <v>189</v>
      </c>
      <c r="C1953" s="278">
        <v>44835.0</v>
      </c>
      <c r="D1953" s="278">
        <v>44865.0</v>
      </c>
      <c r="E1953" s="280" t="s">
        <v>268</v>
      </c>
      <c r="F1953" s="138" t="s">
        <v>12</v>
      </c>
      <c r="G1953" s="271" t="s">
        <v>5</v>
      </c>
      <c r="H1953" s="273" t="s">
        <v>102</v>
      </c>
      <c r="I1953" s="274">
        <v>500.0</v>
      </c>
      <c r="J1953" s="271">
        <v>19.0</v>
      </c>
      <c r="K1953" s="271">
        <f t="shared" si="1"/>
        <v>9500</v>
      </c>
      <c r="L1953" s="271"/>
      <c r="M1953" s="271">
        <v>-1000.0</v>
      </c>
      <c r="N1953" s="275">
        <v>363.0</v>
      </c>
      <c r="O1953" s="60"/>
      <c r="P1953" s="50">
        <v>363.0</v>
      </c>
      <c r="Q1953" s="271"/>
      <c r="R1953" s="276">
        <v>0.0</v>
      </c>
      <c r="S1953" s="271"/>
      <c r="T1953" s="271">
        <v>-637.0</v>
      </c>
      <c r="U1953" s="62">
        <v>1.0</v>
      </c>
      <c r="V1953" s="277">
        <v>0.19</v>
      </c>
      <c r="W1953" s="277">
        <v>0.0</v>
      </c>
      <c r="X1953" s="271">
        <v>-516.0</v>
      </c>
      <c r="Y1953" s="271">
        <v>-121.0</v>
      </c>
      <c r="Z1953" s="50" t="b">
        <v>1</v>
      </c>
      <c r="AA1953" s="50" t="s">
        <v>138</v>
      </c>
      <c r="AB1953" s="50" t="s">
        <v>138</v>
      </c>
    </row>
    <row r="1954">
      <c r="A1954" s="280" t="s">
        <v>362</v>
      </c>
      <c r="B1954" s="271" t="s">
        <v>189</v>
      </c>
      <c r="C1954" s="278">
        <v>44835.0</v>
      </c>
      <c r="D1954" s="278">
        <v>44865.0</v>
      </c>
      <c r="E1954" s="280" t="s">
        <v>268</v>
      </c>
      <c r="F1954" s="138" t="s">
        <v>12</v>
      </c>
      <c r="G1954" s="271" t="s">
        <v>5</v>
      </c>
      <c r="H1954" s="273" t="s">
        <v>97</v>
      </c>
      <c r="I1954" s="274">
        <v>250.0</v>
      </c>
      <c r="J1954" s="271">
        <v>497.0</v>
      </c>
      <c r="K1954" s="271">
        <f t="shared" si="1"/>
        <v>124250</v>
      </c>
      <c r="L1954" s="271"/>
      <c r="M1954" s="271">
        <v>-10500.0</v>
      </c>
      <c r="N1954" s="275">
        <v>4745.0</v>
      </c>
      <c r="O1954" s="60"/>
      <c r="P1954" s="109">
        <v>4745.0</v>
      </c>
      <c r="Q1954" s="271"/>
      <c r="R1954" s="276">
        <v>0.0</v>
      </c>
      <c r="S1954" s="271"/>
      <c r="T1954" s="271">
        <v>-5755.0</v>
      </c>
      <c r="U1954" s="62">
        <v>1.0</v>
      </c>
      <c r="V1954" s="277">
        <v>0.19</v>
      </c>
      <c r="W1954" s="277">
        <v>0.0</v>
      </c>
      <c r="X1954" s="271">
        <v>-4662.0</v>
      </c>
      <c r="Y1954" s="271">
        <v>-1093.0</v>
      </c>
      <c r="Z1954" s="50" t="b">
        <v>1</v>
      </c>
      <c r="AA1954" s="50" t="s">
        <v>138</v>
      </c>
      <c r="AB1954" s="50" t="s">
        <v>138</v>
      </c>
    </row>
    <row r="1955">
      <c r="A1955" s="280" t="s">
        <v>362</v>
      </c>
      <c r="B1955" s="271" t="s">
        <v>189</v>
      </c>
      <c r="C1955" s="278">
        <v>44835.0</v>
      </c>
      <c r="D1955" s="278">
        <v>44865.0</v>
      </c>
      <c r="E1955" s="280" t="s">
        <v>268</v>
      </c>
      <c r="F1955" s="138" t="s">
        <v>12</v>
      </c>
      <c r="G1955" s="271" t="s">
        <v>5</v>
      </c>
      <c r="H1955" s="273" t="s">
        <v>85</v>
      </c>
      <c r="I1955" s="274">
        <v>100.0</v>
      </c>
      <c r="J1955" s="271">
        <v>119.0</v>
      </c>
      <c r="K1955" s="271">
        <f t="shared" si="1"/>
        <v>11900</v>
      </c>
      <c r="L1955" s="271"/>
      <c r="M1955" s="271">
        <v>2100.0</v>
      </c>
      <c r="N1955" s="275">
        <v>455.0</v>
      </c>
      <c r="O1955" s="60"/>
      <c r="P1955" s="50">
        <v>455.0</v>
      </c>
      <c r="Q1955" s="271"/>
      <c r="R1955" s="276">
        <v>0.0</v>
      </c>
      <c r="S1955" s="271"/>
      <c r="T1955" s="271">
        <v>2555.0</v>
      </c>
      <c r="U1955" s="62">
        <v>1.0</v>
      </c>
      <c r="V1955" s="277">
        <v>0.19</v>
      </c>
      <c r="W1955" s="277">
        <v>0.0</v>
      </c>
      <c r="X1955" s="271">
        <v>2070.0</v>
      </c>
      <c r="Y1955" s="271">
        <v>485.0</v>
      </c>
      <c r="Z1955" s="50" t="b">
        <v>1</v>
      </c>
      <c r="AA1955" s="50" t="s">
        <v>138</v>
      </c>
      <c r="AB1955" s="50" t="s">
        <v>138</v>
      </c>
    </row>
    <row r="1956">
      <c r="A1956" s="280" t="s">
        <v>362</v>
      </c>
      <c r="B1956" s="271" t="s">
        <v>189</v>
      </c>
      <c r="C1956" s="278">
        <v>44835.0</v>
      </c>
      <c r="D1956" s="278">
        <v>44865.0</v>
      </c>
      <c r="E1956" s="280" t="s">
        <v>268</v>
      </c>
      <c r="F1956" s="138" t="s">
        <v>12</v>
      </c>
      <c r="G1956" s="271" t="s">
        <v>5</v>
      </c>
      <c r="H1956" s="273" t="s">
        <v>101</v>
      </c>
      <c r="I1956" s="274">
        <v>500.0</v>
      </c>
      <c r="J1956" s="271">
        <v>115.0</v>
      </c>
      <c r="K1956" s="271">
        <f t="shared" si="1"/>
        <v>57500</v>
      </c>
      <c r="L1956" s="271"/>
      <c r="M1956" s="271">
        <v>3500.0</v>
      </c>
      <c r="N1956" s="275">
        <v>2196.0</v>
      </c>
      <c r="O1956" s="60"/>
      <c r="P1956" s="109">
        <v>2196.0</v>
      </c>
      <c r="Q1956" s="271"/>
      <c r="R1956" s="276">
        <v>0.0</v>
      </c>
      <c r="S1956" s="271"/>
      <c r="T1956" s="271">
        <v>5696.0</v>
      </c>
      <c r="U1956" s="62">
        <v>1.0</v>
      </c>
      <c r="V1956" s="277">
        <v>0.19</v>
      </c>
      <c r="W1956" s="277">
        <v>0.0</v>
      </c>
      <c r="X1956" s="271">
        <v>4614.0</v>
      </c>
      <c r="Y1956" s="271">
        <v>1082.0</v>
      </c>
      <c r="Z1956" s="50" t="b">
        <v>1</v>
      </c>
      <c r="AA1956" s="50" t="s">
        <v>138</v>
      </c>
      <c r="AB1956" s="50" t="s">
        <v>138</v>
      </c>
    </row>
    <row r="1957">
      <c r="A1957" s="280" t="s">
        <v>459</v>
      </c>
      <c r="B1957" s="280" t="s">
        <v>151</v>
      </c>
      <c r="C1957" s="283">
        <v>44835.0</v>
      </c>
      <c r="D1957" s="283">
        <v>44865.0</v>
      </c>
      <c r="E1957" s="280" t="s">
        <v>331</v>
      </c>
      <c r="F1957" s="138" t="s">
        <v>8</v>
      </c>
      <c r="G1957" s="280" t="s">
        <v>9</v>
      </c>
      <c r="H1957" s="290" t="s">
        <v>98</v>
      </c>
      <c r="I1957" s="281">
        <v>250.0</v>
      </c>
      <c r="J1957" s="280">
        <v>1761.0</v>
      </c>
      <c r="K1957" s="271">
        <f t="shared" si="1"/>
        <v>440250</v>
      </c>
      <c r="L1957" s="280">
        <v>30594.0</v>
      </c>
      <c r="M1957" s="280">
        <v>-8750.0</v>
      </c>
      <c r="N1957" s="282">
        <v>26766.16</v>
      </c>
      <c r="O1957" s="60"/>
      <c r="P1957" s="109">
        <v>26766.0</v>
      </c>
      <c r="Q1957" s="280">
        <v>-20482.0</v>
      </c>
      <c r="R1957" s="276">
        <v>-0.005083</v>
      </c>
      <c r="S1957" s="280">
        <v>-22720.0</v>
      </c>
      <c r="T1957" s="280">
        <v>4047.0</v>
      </c>
      <c r="U1957" s="62">
        <v>1.0</v>
      </c>
      <c r="V1957" s="277">
        <v>0.15</v>
      </c>
      <c r="W1957" s="277">
        <v>0.05</v>
      </c>
      <c r="X1957" s="280">
        <v>3237.0</v>
      </c>
      <c r="Y1957" s="280">
        <v>809.0</v>
      </c>
      <c r="Z1957" s="50" t="b">
        <v>0</v>
      </c>
      <c r="AA1957" s="50" t="s">
        <v>140</v>
      </c>
      <c r="AB1957" s="50" t="s">
        <v>140</v>
      </c>
    </row>
    <row r="1958">
      <c r="A1958" s="280" t="s">
        <v>459</v>
      </c>
      <c r="B1958" s="280" t="s">
        <v>151</v>
      </c>
      <c r="C1958" s="283">
        <v>44835.0</v>
      </c>
      <c r="D1958" s="283">
        <v>44865.0</v>
      </c>
      <c r="E1958" s="280" t="s">
        <v>331</v>
      </c>
      <c r="F1958" s="138" t="s">
        <v>8</v>
      </c>
      <c r="G1958" s="280" t="s">
        <v>9</v>
      </c>
      <c r="H1958" s="290" t="s">
        <v>104</v>
      </c>
      <c r="I1958" s="281">
        <v>500.0</v>
      </c>
      <c r="J1958" s="280">
        <v>479.0</v>
      </c>
      <c r="K1958" s="271">
        <f t="shared" si="1"/>
        <v>239500</v>
      </c>
      <c r="L1958" s="280">
        <v>11319.0</v>
      </c>
      <c r="M1958" s="280">
        <v>-13500.0</v>
      </c>
      <c r="N1958" s="282">
        <v>208.84</v>
      </c>
      <c r="O1958" s="60"/>
      <c r="P1958" s="50">
        <v>209.0</v>
      </c>
      <c r="Q1958" s="280">
        <v>-8397.0</v>
      </c>
      <c r="R1958" s="276">
        <v>-0.005145</v>
      </c>
      <c r="S1958" s="280">
        <v>-9629.0</v>
      </c>
      <c r="T1958" s="280">
        <v>-9420.0</v>
      </c>
      <c r="U1958" s="62">
        <v>1.0</v>
      </c>
      <c r="V1958" s="277">
        <v>0.15</v>
      </c>
      <c r="W1958" s="277">
        <v>0.05</v>
      </c>
      <c r="X1958" s="280">
        <v>-7536.0</v>
      </c>
      <c r="Y1958" s="280">
        <v>-1884.0</v>
      </c>
      <c r="Z1958" s="50" t="b">
        <v>0</v>
      </c>
      <c r="AA1958" s="50" t="s">
        <v>140</v>
      </c>
      <c r="AB1958" s="50" t="s">
        <v>140</v>
      </c>
    </row>
    <row r="1959">
      <c r="A1959" s="280" t="s">
        <v>459</v>
      </c>
      <c r="B1959" s="280" t="s">
        <v>151</v>
      </c>
      <c r="C1959" s="283">
        <v>44835.0</v>
      </c>
      <c r="D1959" s="283">
        <v>44865.0</v>
      </c>
      <c r="E1959" s="280" t="s">
        <v>331</v>
      </c>
      <c r="F1959" s="138" t="s">
        <v>8</v>
      </c>
      <c r="G1959" s="280" t="s">
        <v>9</v>
      </c>
      <c r="H1959" s="290" t="s">
        <v>105</v>
      </c>
      <c r="I1959" s="281">
        <v>500.0</v>
      </c>
      <c r="J1959" s="280">
        <v>1.0</v>
      </c>
      <c r="K1959" s="271">
        <f t="shared" si="1"/>
        <v>500</v>
      </c>
      <c r="L1959" s="280">
        <v>256.0</v>
      </c>
      <c r="M1959" s="280">
        <v>1500.0</v>
      </c>
      <c r="N1959" s="282">
        <v>0.0</v>
      </c>
      <c r="O1959" s="60"/>
      <c r="P1959" s="50">
        <v>0.0</v>
      </c>
      <c r="Q1959" s="280">
        <v>352.0</v>
      </c>
      <c r="R1959" s="276">
        <v>-0.007749</v>
      </c>
      <c r="S1959" s="280">
        <v>348.0</v>
      </c>
      <c r="T1959" s="280">
        <v>348.0</v>
      </c>
      <c r="U1959" s="62">
        <v>1.0</v>
      </c>
      <c r="V1959" s="277">
        <v>0.15</v>
      </c>
      <c r="W1959" s="277">
        <v>0.05</v>
      </c>
      <c r="X1959" s="280">
        <v>278.0</v>
      </c>
      <c r="Y1959" s="280">
        <v>70.0</v>
      </c>
      <c r="Z1959" s="50" t="b">
        <v>0</v>
      </c>
      <c r="AA1959" s="50" t="s">
        <v>140</v>
      </c>
      <c r="AB1959" s="50" t="s">
        <v>140</v>
      </c>
    </row>
    <row r="1960">
      <c r="A1960" s="101" t="s">
        <v>181</v>
      </c>
      <c r="B1960" s="101" t="s">
        <v>181</v>
      </c>
      <c r="C1960" s="278">
        <v>44835.0</v>
      </c>
      <c r="D1960" s="278">
        <v>44865.0</v>
      </c>
      <c r="E1960" s="271" t="s">
        <v>268</v>
      </c>
      <c r="F1960" s="101" t="s">
        <v>8</v>
      </c>
      <c r="G1960" s="271" t="s">
        <v>13</v>
      </c>
      <c r="H1960" s="114" t="s">
        <v>85</v>
      </c>
      <c r="I1960" s="274">
        <v>100.0</v>
      </c>
      <c r="J1960" s="271">
        <v>8479.0</v>
      </c>
      <c r="K1960" s="271">
        <f t="shared" si="1"/>
        <v>847900</v>
      </c>
      <c r="L1960" s="271">
        <v>94234.0</v>
      </c>
      <c r="M1960" s="271">
        <v>-12900.0</v>
      </c>
      <c r="N1960" s="275">
        <v>45061.39</v>
      </c>
      <c r="O1960" s="60"/>
      <c r="P1960" s="109">
        <v>45061.0</v>
      </c>
      <c r="Q1960" s="271">
        <v>-35070.0</v>
      </c>
      <c r="R1960" s="276">
        <v>-0.006305</v>
      </c>
      <c r="S1960" s="271">
        <v>-40416.0</v>
      </c>
      <c r="T1960" s="271">
        <v>4645.0</v>
      </c>
      <c r="U1960" s="62">
        <v>1.0</v>
      </c>
      <c r="V1960" s="277">
        <v>0.15</v>
      </c>
      <c r="W1960" s="277">
        <v>0.0</v>
      </c>
      <c r="X1960" s="271">
        <v>3949.0</v>
      </c>
      <c r="Y1960" s="271">
        <v>697.0</v>
      </c>
      <c r="Z1960" s="50" t="b">
        <v>1</v>
      </c>
      <c r="AA1960" s="50" t="s">
        <v>138</v>
      </c>
      <c r="AB1960" s="50" t="s">
        <v>138</v>
      </c>
    </row>
    <row r="1961">
      <c r="A1961" s="101" t="s">
        <v>181</v>
      </c>
      <c r="B1961" s="101" t="s">
        <v>181</v>
      </c>
      <c r="C1961" s="278">
        <v>44835.0</v>
      </c>
      <c r="D1961" s="278">
        <v>44865.0</v>
      </c>
      <c r="E1961" s="271" t="s">
        <v>268</v>
      </c>
      <c r="F1961" s="101" t="s">
        <v>12</v>
      </c>
      <c r="G1961" s="271" t="s">
        <v>13</v>
      </c>
      <c r="H1961" s="114" t="s">
        <v>93</v>
      </c>
      <c r="I1961" s="274">
        <v>200.0</v>
      </c>
      <c r="J1961" s="271">
        <v>28.0</v>
      </c>
      <c r="K1961" s="271">
        <f t="shared" si="1"/>
        <v>5600</v>
      </c>
      <c r="L1961" s="271">
        <v>1416.0</v>
      </c>
      <c r="M1961" s="271">
        <v>1400.0</v>
      </c>
      <c r="N1961" s="275">
        <v>297.61</v>
      </c>
      <c r="O1961" s="60"/>
      <c r="P1961" s="50">
        <v>298.0</v>
      </c>
      <c r="Q1961" s="271">
        <v>404.0</v>
      </c>
      <c r="R1961" s="276">
        <v>0.0</v>
      </c>
      <c r="S1961" s="271">
        <v>404.0</v>
      </c>
      <c r="T1961" s="271">
        <v>1698.0</v>
      </c>
      <c r="U1961" s="62">
        <v>1.0</v>
      </c>
      <c r="V1961" s="277">
        <v>0.15</v>
      </c>
      <c r="W1961" s="277">
        <v>0.0</v>
      </c>
      <c r="X1961" s="271">
        <v>1443.0</v>
      </c>
      <c r="Y1961" s="271">
        <v>255.0</v>
      </c>
      <c r="Z1961" s="50" t="b">
        <v>1</v>
      </c>
      <c r="AA1961" s="50" t="s">
        <v>138</v>
      </c>
      <c r="AB1961" s="50" t="s">
        <v>138</v>
      </c>
    </row>
    <row r="1962">
      <c r="A1962" s="280" t="s">
        <v>693</v>
      </c>
      <c r="B1962" s="280" t="s">
        <v>159</v>
      </c>
      <c r="C1962" s="283">
        <v>44835.0</v>
      </c>
      <c r="D1962" s="283">
        <v>44865.0</v>
      </c>
      <c r="E1962" s="280" t="s">
        <v>268</v>
      </c>
      <c r="F1962" s="138" t="s">
        <v>12</v>
      </c>
      <c r="G1962" s="280" t="s">
        <v>9</v>
      </c>
      <c r="H1962" s="290" t="s">
        <v>39</v>
      </c>
      <c r="I1962" s="281">
        <v>5.0</v>
      </c>
      <c r="J1962" s="280">
        <v>465.0</v>
      </c>
      <c r="K1962" s="271">
        <f t="shared" si="1"/>
        <v>2325</v>
      </c>
      <c r="L1962" s="280">
        <v>20460.0</v>
      </c>
      <c r="M1962" s="280">
        <v>-240.0</v>
      </c>
      <c r="N1962" s="282">
        <v>19.73</v>
      </c>
      <c r="O1962" s="60"/>
      <c r="P1962" s="50">
        <v>20.0</v>
      </c>
      <c r="Q1962" s="280">
        <v>-16.0</v>
      </c>
      <c r="R1962" s="276">
        <v>0.0</v>
      </c>
      <c r="S1962" s="280">
        <v>-16.0</v>
      </c>
      <c r="T1962" s="280">
        <v>-220.0</v>
      </c>
      <c r="U1962" s="62">
        <v>1.0</v>
      </c>
      <c r="V1962" s="277">
        <v>0.25</v>
      </c>
      <c r="W1962" s="277">
        <v>0.0</v>
      </c>
      <c r="X1962" s="280">
        <v>-165.0</v>
      </c>
      <c r="Y1962" s="280">
        <v>-55.0</v>
      </c>
      <c r="Z1962" s="50" t="b">
        <v>1</v>
      </c>
      <c r="AA1962" s="50" t="s">
        <v>140</v>
      </c>
      <c r="AB1962" s="50" t="s">
        <v>140</v>
      </c>
    </row>
    <row r="1963">
      <c r="A1963" s="280" t="s">
        <v>693</v>
      </c>
      <c r="B1963" s="280" t="s">
        <v>159</v>
      </c>
      <c r="C1963" s="283">
        <v>44835.0</v>
      </c>
      <c r="D1963" s="283">
        <v>44865.0</v>
      </c>
      <c r="E1963" s="280" t="s">
        <v>268</v>
      </c>
      <c r="F1963" s="138" t="s">
        <v>12</v>
      </c>
      <c r="G1963" s="280" t="s">
        <v>9</v>
      </c>
      <c r="H1963" s="290" t="s">
        <v>43</v>
      </c>
      <c r="I1963" s="281">
        <v>5.0</v>
      </c>
      <c r="J1963" s="280">
        <v>225.0</v>
      </c>
      <c r="K1963" s="271">
        <f t="shared" si="1"/>
        <v>1125</v>
      </c>
      <c r="L1963" s="280">
        <v>4050.0</v>
      </c>
      <c r="M1963" s="280">
        <v>-65.0</v>
      </c>
      <c r="N1963" s="282">
        <v>0.0</v>
      </c>
      <c r="O1963" s="60"/>
      <c r="P1963" s="50">
        <v>0.0</v>
      </c>
      <c r="Q1963" s="280">
        <v>-36.0</v>
      </c>
      <c r="R1963" s="276">
        <v>0.0</v>
      </c>
      <c r="S1963" s="280">
        <v>-36.0</v>
      </c>
      <c r="T1963" s="280">
        <v>-65.0</v>
      </c>
      <c r="U1963" s="62">
        <v>1.0</v>
      </c>
      <c r="V1963" s="277">
        <v>0.25</v>
      </c>
      <c r="W1963" s="277">
        <v>0.0</v>
      </c>
      <c r="X1963" s="280">
        <v>-49.0</v>
      </c>
      <c r="Y1963" s="280">
        <v>-16.0</v>
      </c>
      <c r="Z1963" s="50" t="b">
        <v>1</v>
      </c>
      <c r="AA1963" s="50" t="s">
        <v>140</v>
      </c>
      <c r="AB1963" s="50" t="s">
        <v>140</v>
      </c>
    </row>
    <row r="1964">
      <c r="A1964" s="101" t="s">
        <v>197</v>
      </c>
      <c r="B1964" s="101" t="s">
        <v>197</v>
      </c>
      <c r="C1964" s="278">
        <v>44835.0</v>
      </c>
      <c r="D1964" s="278">
        <v>44865.0</v>
      </c>
      <c r="E1964" s="280" t="s">
        <v>268</v>
      </c>
      <c r="F1964" s="138" t="s">
        <v>8</v>
      </c>
      <c r="G1964" s="271" t="s">
        <v>5</v>
      </c>
      <c r="H1964" s="273" t="s">
        <v>45</v>
      </c>
      <c r="I1964" s="274">
        <v>10.0</v>
      </c>
      <c r="J1964" s="271">
        <v>21.0</v>
      </c>
      <c r="K1964" s="271">
        <f t="shared" si="1"/>
        <v>210</v>
      </c>
      <c r="L1964" s="271">
        <v>-736.0</v>
      </c>
      <c r="M1964" s="271">
        <v>-30.0</v>
      </c>
      <c r="N1964" s="275">
        <v>8.0</v>
      </c>
      <c r="O1964" s="60"/>
      <c r="P1964" s="50">
        <v>8.0</v>
      </c>
      <c r="Q1964" s="271">
        <v>-28.0</v>
      </c>
      <c r="R1964" s="276">
        <v>-0.004569</v>
      </c>
      <c r="S1964" s="271">
        <v>-29.0</v>
      </c>
      <c r="T1964" s="271">
        <v>-21.0</v>
      </c>
      <c r="U1964" s="62">
        <v>1.0</v>
      </c>
      <c r="V1964" s="277">
        <v>0.25</v>
      </c>
      <c r="W1964" s="277">
        <v>0.0</v>
      </c>
      <c r="X1964" s="271">
        <v>-16.0</v>
      </c>
      <c r="Y1964" s="271">
        <v>-5.0</v>
      </c>
      <c r="Z1964" s="50" t="b">
        <v>1</v>
      </c>
      <c r="AA1964" s="50" t="s">
        <v>138</v>
      </c>
      <c r="AB1964" s="50" t="s">
        <v>138</v>
      </c>
    </row>
    <row r="1965">
      <c r="A1965" s="101" t="s">
        <v>197</v>
      </c>
      <c r="B1965" s="101" t="s">
        <v>197</v>
      </c>
      <c r="C1965" s="278">
        <v>44835.0</v>
      </c>
      <c r="D1965" s="278">
        <v>44865.0</v>
      </c>
      <c r="E1965" s="280" t="s">
        <v>268</v>
      </c>
      <c r="F1965" s="138" t="s">
        <v>8</v>
      </c>
      <c r="G1965" s="271" t="s">
        <v>5</v>
      </c>
      <c r="H1965" s="273" t="s">
        <v>62</v>
      </c>
      <c r="I1965" s="274">
        <v>25.0</v>
      </c>
      <c r="J1965" s="271">
        <v>989.0</v>
      </c>
      <c r="K1965" s="271">
        <f t="shared" si="1"/>
        <v>24725</v>
      </c>
      <c r="L1965" s="271">
        <v>44880.0</v>
      </c>
      <c r="M1965" s="271">
        <v>-425.0</v>
      </c>
      <c r="N1965" s="275">
        <v>787.0</v>
      </c>
      <c r="O1965" s="60"/>
      <c r="P1965" s="50">
        <v>787.0</v>
      </c>
      <c r="Q1965" s="271">
        <v>512.0</v>
      </c>
      <c r="R1965" s="276">
        <v>-0.005425</v>
      </c>
      <c r="S1965" s="271">
        <v>378.0</v>
      </c>
      <c r="T1965" s="271">
        <v>1165.0</v>
      </c>
      <c r="U1965" s="62">
        <v>1.0</v>
      </c>
      <c r="V1965" s="277">
        <v>0.25</v>
      </c>
      <c r="W1965" s="277">
        <v>0.0</v>
      </c>
      <c r="X1965" s="271">
        <v>874.0</v>
      </c>
      <c r="Y1965" s="271">
        <v>291.0</v>
      </c>
      <c r="Z1965" s="50" t="b">
        <v>1</v>
      </c>
      <c r="AA1965" s="50" t="s">
        <v>138</v>
      </c>
      <c r="AB1965" s="50" t="s">
        <v>138</v>
      </c>
    </row>
    <row r="1966">
      <c r="A1966" s="280" t="s">
        <v>171</v>
      </c>
      <c r="B1966" s="280" t="s">
        <v>172</v>
      </c>
      <c r="C1966" s="283">
        <v>44835.0</v>
      </c>
      <c r="D1966" s="283">
        <v>44865.0</v>
      </c>
      <c r="E1966" s="280" t="s">
        <v>268</v>
      </c>
      <c r="F1966" s="138" t="s">
        <v>8</v>
      </c>
      <c r="G1966" s="280" t="s">
        <v>9</v>
      </c>
      <c r="H1966" s="273" t="s">
        <v>50</v>
      </c>
      <c r="I1966" s="281">
        <v>10.0</v>
      </c>
      <c r="J1966" s="280">
        <v>2.0</v>
      </c>
      <c r="K1966" s="271">
        <f t="shared" si="1"/>
        <v>20</v>
      </c>
      <c r="L1966" s="280">
        <v>649.0</v>
      </c>
      <c r="M1966" s="280">
        <v>0.0</v>
      </c>
      <c r="N1966" s="282">
        <v>65.95</v>
      </c>
      <c r="O1966" s="60"/>
      <c r="P1966" s="50">
        <v>66.0</v>
      </c>
      <c r="Q1966" s="280">
        <v>10.0</v>
      </c>
      <c r="R1966" s="276">
        <v>-0.002756</v>
      </c>
      <c r="S1966" s="280">
        <v>10.0</v>
      </c>
      <c r="T1966" s="280">
        <v>76.0</v>
      </c>
      <c r="U1966" s="62">
        <v>1.0</v>
      </c>
      <c r="V1966" s="277">
        <v>0.23</v>
      </c>
      <c r="W1966" s="277">
        <v>0.0</v>
      </c>
      <c r="X1966" s="280">
        <v>58.0</v>
      </c>
      <c r="Y1966" s="280">
        <v>17.0</v>
      </c>
      <c r="Z1966" s="50" t="b">
        <v>1</v>
      </c>
      <c r="AA1966" s="50" t="s">
        <v>140</v>
      </c>
      <c r="AB1966" s="50" t="s">
        <v>140</v>
      </c>
    </row>
    <row r="1967">
      <c r="A1967" s="280" t="s">
        <v>171</v>
      </c>
      <c r="B1967" s="280" t="s">
        <v>172</v>
      </c>
      <c r="C1967" s="283">
        <v>44835.0</v>
      </c>
      <c r="D1967" s="283">
        <v>44865.0</v>
      </c>
      <c r="E1967" s="280" t="s">
        <v>268</v>
      </c>
      <c r="F1967" s="138" t="s">
        <v>8</v>
      </c>
      <c r="G1967" s="280" t="s">
        <v>9</v>
      </c>
      <c r="H1967" s="273" t="s">
        <v>64</v>
      </c>
      <c r="I1967" s="281">
        <v>25.0</v>
      </c>
      <c r="J1967" s="280">
        <v>2044.0</v>
      </c>
      <c r="K1967" s="271">
        <f t="shared" si="1"/>
        <v>51100</v>
      </c>
      <c r="L1967" s="280">
        <v>125568.0</v>
      </c>
      <c r="M1967" s="280">
        <v>4175.0</v>
      </c>
      <c r="N1967" s="282">
        <v>1933.27</v>
      </c>
      <c r="O1967" s="60"/>
      <c r="P1967" s="109">
        <v>1933.0</v>
      </c>
      <c r="Q1967" s="280">
        <v>1308.0</v>
      </c>
      <c r="R1967" s="276">
        <v>-0.005458</v>
      </c>
      <c r="S1967" s="280">
        <v>1029.0</v>
      </c>
      <c r="T1967" s="280">
        <v>2962.0</v>
      </c>
      <c r="U1967" s="62">
        <v>1.0</v>
      </c>
      <c r="V1967" s="277">
        <v>0.23</v>
      </c>
      <c r="W1967" s="277">
        <v>0.0</v>
      </c>
      <c r="X1967" s="280">
        <v>2281.0</v>
      </c>
      <c r="Y1967" s="280">
        <v>681.0</v>
      </c>
      <c r="Z1967" s="50" t="b">
        <v>1</v>
      </c>
      <c r="AA1967" s="50" t="s">
        <v>140</v>
      </c>
      <c r="AB1967" s="50" t="s">
        <v>140</v>
      </c>
    </row>
    <row r="1968">
      <c r="A1968" s="280" t="s">
        <v>171</v>
      </c>
      <c r="B1968" s="280" t="s">
        <v>172</v>
      </c>
      <c r="C1968" s="283">
        <v>44835.0</v>
      </c>
      <c r="D1968" s="283">
        <v>44865.0</v>
      </c>
      <c r="E1968" s="280" t="s">
        <v>268</v>
      </c>
      <c r="F1968" s="138" t="s">
        <v>8</v>
      </c>
      <c r="G1968" s="280" t="s">
        <v>9</v>
      </c>
      <c r="H1968" s="273" t="s">
        <v>77</v>
      </c>
      <c r="I1968" s="281">
        <v>50.0</v>
      </c>
      <c r="J1968" s="280">
        <v>2612.0</v>
      </c>
      <c r="K1968" s="271">
        <f t="shared" si="1"/>
        <v>130600</v>
      </c>
      <c r="L1968" s="280">
        <v>100832.0</v>
      </c>
      <c r="M1968" s="280">
        <v>-3900.0</v>
      </c>
      <c r="N1968" s="282">
        <v>0.0</v>
      </c>
      <c r="O1968" s="60"/>
      <c r="P1968" s="50">
        <v>0.0</v>
      </c>
      <c r="Q1968" s="280">
        <v>-2065.0</v>
      </c>
      <c r="R1968" s="276">
        <v>-0.005243</v>
      </c>
      <c r="S1968" s="280">
        <v>-2750.0</v>
      </c>
      <c r="T1968" s="280">
        <v>-2750.0</v>
      </c>
      <c r="U1968" s="62">
        <v>1.0</v>
      </c>
      <c r="V1968" s="277">
        <v>0.23</v>
      </c>
      <c r="W1968" s="277">
        <v>0.0</v>
      </c>
      <c r="X1968" s="280">
        <v>-2118.0</v>
      </c>
      <c r="Y1968" s="280">
        <v>-633.0</v>
      </c>
      <c r="Z1968" s="50" t="b">
        <v>1</v>
      </c>
      <c r="AA1968" s="50" t="s">
        <v>140</v>
      </c>
      <c r="AB1968" s="50" t="s">
        <v>140</v>
      </c>
    </row>
    <row r="1969">
      <c r="A1969" s="280" t="s">
        <v>171</v>
      </c>
      <c r="B1969" s="280" t="s">
        <v>172</v>
      </c>
      <c r="C1969" s="283">
        <v>44835.0</v>
      </c>
      <c r="D1969" s="283">
        <v>44865.0</v>
      </c>
      <c r="E1969" s="280" t="s">
        <v>268</v>
      </c>
      <c r="F1969" s="138" t="s">
        <v>12</v>
      </c>
      <c r="G1969" s="280" t="s">
        <v>9</v>
      </c>
      <c r="H1969" s="273" t="s">
        <v>69</v>
      </c>
      <c r="I1969" s="281">
        <v>25.0</v>
      </c>
      <c r="J1969" s="280">
        <v>1.0</v>
      </c>
      <c r="K1969" s="271">
        <f t="shared" si="1"/>
        <v>25</v>
      </c>
      <c r="L1969" s="280">
        <v>108.0</v>
      </c>
      <c r="M1969" s="280">
        <v>25.0</v>
      </c>
      <c r="N1969" s="282">
        <v>0.79</v>
      </c>
      <c r="O1969" s="60"/>
      <c r="P1969" s="50">
        <v>1.0</v>
      </c>
      <c r="Q1969" s="280">
        <v>6.0</v>
      </c>
      <c r="R1969" s="276">
        <v>0.0</v>
      </c>
      <c r="S1969" s="280">
        <v>6.0</v>
      </c>
      <c r="T1969" s="280">
        <v>26.0</v>
      </c>
      <c r="U1969" s="62">
        <v>1.0</v>
      </c>
      <c r="V1969" s="277">
        <v>0.23</v>
      </c>
      <c r="W1969" s="277">
        <v>0.0</v>
      </c>
      <c r="X1969" s="280">
        <v>20.0</v>
      </c>
      <c r="Y1969" s="280">
        <v>6.0</v>
      </c>
      <c r="Z1969" s="50" t="b">
        <v>1</v>
      </c>
      <c r="AA1969" s="50" t="s">
        <v>140</v>
      </c>
      <c r="AB1969" s="50" t="s">
        <v>140</v>
      </c>
    </row>
    <row r="1970">
      <c r="A1970" s="280" t="s">
        <v>176</v>
      </c>
      <c r="B1970" s="280" t="s">
        <v>176</v>
      </c>
      <c r="C1970" s="278">
        <v>44835.0</v>
      </c>
      <c r="D1970" s="278">
        <v>44865.0</v>
      </c>
      <c r="E1970" s="271" t="s">
        <v>268</v>
      </c>
      <c r="F1970" s="101" t="s">
        <v>8</v>
      </c>
      <c r="G1970" s="280" t="s">
        <v>5</v>
      </c>
      <c r="H1970" s="273" t="s">
        <v>62</v>
      </c>
      <c r="I1970" s="274">
        <v>25.0</v>
      </c>
      <c r="J1970" s="271">
        <v>3365.0</v>
      </c>
      <c r="K1970" s="271">
        <f t="shared" si="1"/>
        <v>84125</v>
      </c>
      <c r="L1970" s="271">
        <v>105694.0</v>
      </c>
      <c r="M1970" s="271">
        <v>1025.0</v>
      </c>
      <c r="N1970" s="275">
        <v>2938.0</v>
      </c>
      <c r="O1970" s="60"/>
      <c r="P1970" s="109">
        <v>2938.0</v>
      </c>
      <c r="Q1970" s="271">
        <v>-484.0</v>
      </c>
      <c r="R1970" s="276">
        <v>-0.005298</v>
      </c>
      <c r="S1970" s="271">
        <v>-930.0</v>
      </c>
      <c r="T1970" s="271">
        <v>2008.0</v>
      </c>
      <c r="U1970" s="62">
        <v>1.0</v>
      </c>
      <c r="V1970" s="277">
        <v>0.15</v>
      </c>
      <c r="W1970" s="277">
        <v>0.0</v>
      </c>
      <c r="X1970" s="271">
        <v>1707.0</v>
      </c>
      <c r="Y1970" s="271">
        <v>301.0</v>
      </c>
      <c r="Z1970" s="50" t="b">
        <v>1</v>
      </c>
      <c r="AA1970" s="50" t="s">
        <v>138</v>
      </c>
      <c r="AB1970" s="50" t="s">
        <v>138</v>
      </c>
    </row>
    <row r="1971">
      <c r="A1971" s="280" t="s">
        <v>176</v>
      </c>
      <c r="B1971" s="280" t="s">
        <v>176</v>
      </c>
      <c r="C1971" s="278">
        <v>44835.0</v>
      </c>
      <c r="D1971" s="278">
        <v>44865.0</v>
      </c>
      <c r="E1971" s="271" t="s">
        <v>268</v>
      </c>
      <c r="F1971" s="101" t="s">
        <v>12</v>
      </c>
      <c r="G1971" s="280" t="s">
        <v>5</v>
      </c>
      <c r="H1971" s="273" t="s">
        <v>74</v>
      </c>
      <c r="I1971" s="274">
        <v>50.0</v>
      </c>
      <c r="J1971" s="271">
        <v>1.0</v>
      </c>
      <c r="K1971" s="271">
        <f t="shared" si="1"/>
        <v>50</v>
      </c>
      <c r="L1971" s="271"/>
      <c r="M1971" s="271">
        <v>50.0</v>
      </c>
      <c r="N1971" s="275">
        <v>2.0</v>
      </c>
      <c r="O1971" s="60"/>
      <c r="P1971" s="50">
        <v>2.0</v>
      </c>
      <c r="Q1971" s="271"/>
      <c r="R1971" s="276">
        <v>0.0</v>
      </c>
      <c r="S1971" s="271"/>
      <c r="T1971" s="271">
        <v>52.0</v>
      </c>
      <c r="U1971" s="62">
        <v>1.0</v>
      </c>
      <c r="V1971" s="277">
        <v>0.15</v>
      </c>
      <c r="W1971" s="277">
        <v>0.0</v>
      </c>
      <c r="X1971" s="271">
        <v>44.0</v>
      </c>
      <c r="Y1971" s="271">
        <v>8.0</v>
      </c>
      <c r="Z1971" s="50" t="b">
        <v>1</v>
      </c>
      <c r="AA1971" s="50" t="s">
        <v>138</v>
      </c>
      <c r="AB1971" s="50" t="s">
        <v>138</v>
      </c>
    </row>
    <row r="1972">
      <c r="A1972" s="280" t="s">
        <v>206</v>
      </c>
      <c r="B1972" s="280" t="s">
        <v>206</v>
      </c>
      <c r="C1972" s="283">
        <v>44835.0</v>
      </c>
      <c r="D1972" s="283">
        <v>44865.0</v>
      </c>
      <c r="E1972" s="280" t="s">
        <v>268</v>
      </c>
      <c r="F1972" s="138" t="s">
        <v>12</v>
      </c>
      <c r="G1972" s="280" t="s">
        <v>142</v>
      </c>
      <c r="H1972" s="290" t="s">
        <v>39</v>
      </c>
      <c r="I1972" s="281">
        <v>5.0</v>
      </c>
      <c r="J1972" s="280">
        <v>12.0</v>
      </c>
      <c r="K1972" s="271">
        <f t="shared" si="1"/>
        <v>60</v>
      </c>
      <c r="L1972" s="280">
        <v>168.0</v>
      </c>
      <c r="M1972" s="280">
        <v>-3.62</v>
      </c>
      <c r="N1972" s="282"/>
      <c r="O1972" s="60">
        <v>0.5</v>
      </c>
      <c r="P1972" s="50">
        <v>2.0</v>
      </c>
      <c r="Q1972" s="280">
        <v>-3.0</v>
      </c>
      <c r="R1972" s="276">
        <v>0.0</v>
      </c>
      <c r="S1972" s="280">
        <v>-3.0</v>
      </c>
      <c r="T1972" s="280">
        <v>-2.0</v>
      </c>
      <c r="U1972" s="62">
        <v>1.0</v>
      </c>
      <c r="V1972" s="277">
        <v>0.1602</v>
      </c>
      <c r="W1972" s="277">
        <v>0.0</v>
      </c>
      <c r="X1972" s="280">
        <v>-1.0</v>
      </c>
      <c r="Y1972" s="280">
        <v>0.0</v>
      </c>
      <c r="Z1972" s="50" t="b">
        <v>1</v>
      </c>
      <c r="AA1972" s="50" t="s">
        <v>138</v>
      </c>
      <c r="AB1972" s="50" t="s">
        <v>138</v>
      </c>
    </row>
    <row r="1973">
      <c r="A1973" s="280" t="s">
        <v>206</v>
      </c>
      <c r="B1973" s="280" t="s">
        <v>206</v>
      </c>
      <c r="C1973" s="283">
        <v>44835.0</v>
      </c>
      <c r="D1973" s="283">
        <v>44865.0</v>
      </c>
      <c r="E1973" s="280" t="s">
        <v>268</v>
      </c>
      <c r="F1973" s="138" t="s">
        <v>12</v>
      </c>
      <c r="G1973" s="280" t="s">
        <v>142</v>
      </c>
      <c r="H1973" s="290" t="s">
        <v>50</v>
      </c>
      <c r="I1973" s="281">
        <v>10.0</v>
      </c>
      <c r="J1973" s="280">
        <v>5.0</v>
      </c>
      <c r="K1973" s="271">
        <f t="shared" si="1"/>
        <v>50</v>
      </c>
      <c r="L1973" s="280">
        <v>-140.0</v>
      </c>
      <c r="M1973" s="280">
        <v>-3.02</v>
      </c>
      <c r="N1973" s="282"/>
      <c r="O1973" s="60">
        <v>0.5</v>
      </c>
      <c r="P1973" s="50">
        <v>2.0</v>
      </c>
      <c r="Q1973" s="280">
        <v>-6.0</v>
      </c>
      <c r="R1973" s="276">
        <v>0.0</v>
      </c>
      <c r="S1973" s="280">
        <v>-6.0</v>
      </c>
      <c r="T1973" s="280">
        <v>-1.0</v>
      </c>
      <c r="U1973" s="62">
        <v>1.0</v>
      </c>
      <c r="V1973" s="277">
        <v>0.1602</v>
      </c>
      <c r="W1973" s="277">
        <v>0.0</v>
      </c>
      <c r="X1973" s="280">
        <v>-1.0</v>
      </c>
      <c r="Y1973" s="280">
        <v>0.0</v>
      </c>
      <c r="Z1973" s="50" t="b">
        <v>1</v>
      </c>
      <c r="AA1973" s="50" t="s">
        <v>138</v>
      </c>
      <c r="AB1973" s="50" t="s">
        <v>138</v>
      </c>
    </row>
    <row r="1974">
      <c r="A1974" s="280" t="s">
        <v>206</v>
      </c>
      <c r="B1974" s="280" t="s">
        <v>206</v>
      </c>
      <c r="C1974" s="283">
        <v>44835.0</v>
      </c>
      <c r="D1974" s="283">
        <v>44865.0</v>
      </c>
      <c r="E1974" s="280" t="s">
        <v>268</v>
      </c>
      <c r="F1974" s="138" t="s">
        <v>12</v>
      </c>
      <c r="G1974" s="280" t="s">
        <v>142</v>
      </c>
      <c r="H1974" s="290" t="s">
        <v>61</v>
      </c>
      <c r="I1974" s="281">
        <v>20.0</v>
      </c>
      <c r="J1974" s="280">
        <v>1513.0</v>
      </c>
      <c r="K1974" s="271">
        <f t="shared" si="1"/>
        <v>30260</v>
      </c>
      <c r="L1974" s="280">
        <v>12104.0</v>
      </c>
      <c r="M1974" s="280">
        <v>-1826.05</v>
      </c>
      <c r="N1974" s="282"/>
      <c r="O1974" s="60">
        <v>0.5</v>
      </c>
      <c r="P1974" s="109">
        <v>1059.0</v>
      </c>
      <c r="Q1974" s="280">
        <v>-1874.0</v>
      </c>
      <c r="R1974" s="276">
        <v>0.0</v>
      </c>
      <c r="S1974" s="280">
        <v>-1874.0</v>
      </c>
      <c r="T1974" s="280">
        <v>-767.0</v>
      </c>
      <c r="U1974" s="62">
        <v>1.0</v>
      </c>
      <c r="V1974" s="277">
        <v>0.1602</v>
      </c>
      <c r="W1974" s="277">
        <v>0.0</v>
      </c>
      <c r="X1974" s="280">
        <v>-644.0</v>
      </c>
      <c r="Y1974" s="280">
        <v>-123.0</v>
      </c>
      <c r="Z1974" s="50" t="b">
        <v>1</v>
      </c>
      <c r="AA1974" s="50" t="s">
        <v>138</v>
      </c>
      <c r="AB1974" s="50" t="s">
        <v>138</v>
      </c>
    </row>
    <row r="1975">
      <c r="A1975" s="280" t="s">
        <v>206</v>
      </c>
      <c r="B1975" s="280" t="s">
        <v>206</v>
      </c>
      <c r="C1975" s="283">
        <v>44835.0</v>
      </c>
      <c r="D1975" s="283">
        <v>44865.0</v>
      </c>
      <c r="E1975" s="280" t="s">
        <v>268</v>
      </c>
      <c r="F1975" s="138" t="s">
        <v>12</v>
      </c>
      <c r="G1975" s="280" t="s">
        <v>142</v>
      </c>
      <c r="H1975" s="290" t="s">
        <v>77</v>
      </c>
      <c r="I1975" s="281">
        <v>50.0</v>
      </c>
      <c r="J1975" s="280">
        <v>250.0</v>
      </c>
      <c r="K1975" s="271">
        <f t="shared" si="1"/>
        <v>12500</v>
      </c>
      <c r="L1975" s="280">
        <v>7500.0</v>
      </c>
      <c r="M1975" s="280">
        <v>-754.32</v>
      </c>
      <c r="N1975" s="282"/>
      <c r="O1975" s="60">
        <v>0.5</v>
      </c>
      <c r="P1975" s="50">
        <v>438.0</v>
      </c>
      <c r="Q1975" s="280">
        <v>-268.0</v>
      </c>
      <c r="R1975" s="276">
        <v>0.0</v>
      </c>
      <c r="S1975" s="280">
        <v>-268.0</v>
      </c>
      <c r="T1975" s="280">
        <v>-317.0</v>
      </c>
      <c r="U1975" s="62">
        <v>1.0</v>
      </c>
      <c r="V1975" s="277">
        <v>0.1602</v>
      </c>
      <c r="W1975" s="277">
        <v>0.0</v>
      </c>
      <c r="X1975" s="280">
        <v>-266.0</v>
      </c>
      <c r="Y1975" s="280">
        <v>-51.0</v>
      </c>
      <c r="Z1975" s="50" t="b">
        <v>1</v>
      </c>
      <c r="AA1975" s="50" t="s">
        <v>138</v>
      </c>
      <c r="AB1975" s="50" t="s">
        <v>138</v>
      </c>
    </row>
    <row r="1976">
      <c r="A1976" s="101" t="s">
        <v>529</v>
      </c>
      <c r="B1976" s="101" t="s">
        <v>147</v>
      </c>
      <c r="C1976" s="278">
        <v>44835.0</v>
      </c>
      <c r="D1976" s="278">
        <v>44865.0</v>
      </c>
      <c r="E1976" s="271" t="s">
        <v>268</v>
      </c>
      <c r="F1976" s="101" t="s">
        <v>12</v>
      </c>
      <c r="G1976" s="271" t="s">
        <v>13</v>
      </c>
      <c r="H1976" s="273" t="s">
        <v>59</v>
      </c>
      <c r="I1976" s="274">
        <v>20.0</v>
      </c>
      <c r="J1976" s="271">
        <v>7714.0</v>
      </c>
      <c r="K1976" s="271">
        <f t="shared" si="1"/>
        <v>154280</v>
      </c>
      <c r="L1976" s="271">
        <v>108010.0</v>
      </c>
      <c r="M1976" s="271">
        <v>-4500.0</v>
      </c>
      <c r="N1976" s="275">
        <f>6799+1300</f>
        <v>8099</v>
      </c>
      <c r="O1976" s="60"/>
      <c r="P1976" s="109">
        <v>8099.0</v>
      </c>
      <c r="Q1976" s="271">
        <v>-5099.0</v>
      </c>
      <c r="R1976" s="276">
        <v>0.0</v>
      </c>
      <c r="S1976" s="271">
        <v>-5099.0</v>
      </c>
      <c r="T1976" s="271">
        <v>3599.0</v>
      </c>
      <c r="U1976" s="62">
        <v>1.0</v>
      </c>
      <c r="V1976" s="277">
        <v>0.3</v>
      </c>
      <c r="W1976" s="277">
        <v>0.0</v>
      </c>
      <c r="X1976" s="271">
        <v>2519.0</v>
      </c>
      <c r="Y1976" s="271">
        <v>1080.0</v>
      </c>
      <c r="Z1976" s="50" t="b">
        <v>0</v>
      </c>
      <c r="AA1976" s="50" t="s">
        <v>138</v>
      </c>
      <c r="AB1976" s="50" t="s">
        <v>138</v>
      </c>
    </row>
    <row r="1977">
      <c r="A1977" s="280" t="s">
        <v>233</v>
      </c>
      <c r="B1977" s="280" t="s">
        <v>212</v>
      </c>
      <c r="C1977" s="283">
        <v>44835.0</v>
      </c>
      <c r="D1977" s="283">
        <v>44865.0</v>
      </c>
      <c r="E1977" s="280" t="s">
        <v>268</v>
      </c>
      <c r="F1977" s="138" t="s">
        <v>12</v>
      </c>
      <c r="G1977" s="280" t="s">
        <v>142</v>
      </c>
      <c r="H1977" s="290" t="s">
        <v>50</v>
      </c>
      <c r="I1977" s="281">
        <v>10.0</v>
      </c>
      <c r="J1977" s="280">
        <v>10.0</v>
      </c>
      <c r="K1977" s="271">
        <f t="shared" si="1"/>
        <v>100</v>
      </c>
      <c r="L1977" s="280">
        <v>770.0</v>
      </c>
      <c r="M1977" s="280">
        <v>2.0</v>
      </c>
      <c r="N1977" s="282"/>
      <c r="O1977" s="60">
        <v>0.5</v>
      </c>
      <c r="P1977" s="50">
        <v>4.0</v>
      </c>
      <c r="Q1977" s="280">
        <v>7.0</v>
      </c>
      <c r="R1977" s="276">
        <v>0.0</v>
      </c>
      <c r="S1977" s="280">
        <v>7.0</v>
      </c>
      <c r="T1977" s="280">
        <v>6.0</v>
      </c>
      <c r="U1977" s="62">
        <v>1.0</v>
      </c>
      <c r="V1977" s="277">
        <v>0.23</v>
      </c>
      <c r="W1977" s="277">
        <v>0.0</v>
      </c>
      <c r="X1977" s="280">
        <v>4.0</v>
      </c>
      <c r="Y1977" s="280">
        <v>1.0</v>
      </c>
      <c r="Z1977" s="50" t="b">
        <v>1</v>
      </c>
      <c r="AA1977" s="50" t="s">
        <v>138</v>
      </c>
      <c r="AB1977" s="50" t="s">
        <v>138</v>
      </c>
    </row>
    <row r="1978">
      <c r="A1978" s="280" t="s">
        <v>233</v>
      </c>
      <c r="B1978" s="280" t="s">
        <v>212</v>
      </c>
      <c r="C1978" s="283">
        <v>44835.0</v>
      </c>
      <c r="D1978" s="283">
        <v>44865.0</v>
      </c>
      <c r="E1978" s="280" t="s">
        <v>268</v>
      </c>
      <c r="F1978" s="138" t="s">
        <v>12</v>
      </c>
      <c r="G1978" s="280" t="s">
        <v>142</v>
      </c>
      <c r="H1978" s="290" t="s">
        <v>61</v>
      </c>
      <c r="I1978" s="281">
        <v>20.0</v>
      </c>
      <c r="J1978" s="280">
        <v>2314.0</v>
      </c>
      <c r="K1978" s="271">
        <f t="shared" si="1"/>
        <v>46280</v>
      </c>
      <c r="L1978" s="280">
        <v>80990.0</v>
      </c>
      <c r="M1978" s="280">
        <v>121.0</v>
      </c>
      <c r="N1978" s="282"/>
      <c r="O1978" s="60">
        <v>0.5</v>
      </c>
      <c r="P1978" s="109">
        <v>1620.0</v>
      </c>
      <c r="Q1978" s="280">
        <v>-565.0</v>
      </c>
      <c r="R1978" s="276">
        <v>0.0</v>
      </c>
      <c r="S1978" s="280">
        <v>-565.0</v>
      </c>
      <c r="T1978" s="280">
        <v>1741.0</v>
      </c>
      <c r="U1978" s="62">
        <v>1.0</v>
      </c>
      <c r="V1978" s="277">
        <v>0.23</v>
      </c>
      <c r="W1978" s="277">
        <v>0.0</v>
      </c>
      <c r="X1978" s="280">
        <v>1340.0</v>
      </c>
      <c r="Y1978" s="280">
        <v>400.0</v>
      </c>
      <c r="Z1978" s="50" t="b">
        <v>1</v>
      </c>
      <c r="AA1978" s="50" t="s">
        <v>138</v>
      </c>
      <c r="AB1978" s="50" t="s">
        <v>138</v>
      </c>
    </row>
    <row r="1979">
      <c r="A1979" s="280" t="s">
        <v>233</v>
      </c>
      <c r="B1979" s="280" t="s">
        <v>212</v>
      </c>
      <c r="C1979" s="283">
        <v>44835.0</v>
      </c>
      <c r="D1979" s="283">
        <v>44865.0</v>
      </c>
      <c r="E1979" s="280" t="s">
        <v>268</v>
      </c>
      <c r="F1979" s="101" t="s">
        <v>8</v>
      </c>
      <c r="G1979" s="271" t="s">
        <v>5</v>
      </c>
      <c r="H1979" s="273" t="s">
        <v>45</v>
      </c>
      <c r="I1979" s="274">
        <v>10.0</v>
      </c>
      <c r="J1979" s="271">
        <v>471.0</v>
      </c>
      <c r="K1979" s="271">
        <f t="shared" si="1"/>
        <v>4710</v>
      </c>
      <c r="L1979" s="271">
        <v>13789.0</v>
      </c>
      <c r="M1979" s="271">
        <v>-460.0</v>
      </c>
      <c r="N1979" s="275">
        <v>40.0</v>
      </c>
      <c r="O1979" s="60"/>
      <c r="P1979" s="50">
        <v>40.0</v>
      </c>
      <c r="Q1979" s="271">
        <v>-96.0</v>
      </c>
      <c r="R1979" s="276">
        <v>-0.005179</v>
      </c>
      <c r="S1979" s="271">
        <v>-120.0</v>
      </c>
      <c r="T1979" s="271">
        <v>-80.0</v>
      </c>
      <c r="U1979" s="62">
        <v>1.0</v>
      </c>
      <c r="V1979" s="277">
        <v>0.23</v>
      </c>
      <c r="W1979" s="277">
        <v>0.0</v>
      </c>
      <c r="X1979" s="271">
        <v>-62.0</v>
      </c>
      <c r="Y1979" s="271">
        <v>-18.0</v>
      </c>
      <c r="Z1979" s="50" t="b">
        <v>1</v>
      </c>
      <c r="AA1979" s="50" t="s">
        <v>138</v>
      </c>
      <c r="AB1979" s="50" t="s">
        <v>138</v>
      </c>
    </row>
    <row r="1980">
      <c r="A1980" s="280" t="s">
        <v>233</v>
      </c>
      <c r="B1980" s="280" t="s">
        <v>212</v>
      </c>
      <c r="C1980" s="283">
        <v>44835.0</v>
      </c>
      <c r="D1980" s="283">
        <v>44865.0</v>
      </c>
      <c r="E1980" s="280" t="s">
        <v>268</v>
      </c>
      <c r="F1980" s="101" t="s">
        <v>8</v>
      </c>
      <c r="G1980" s="271" t="s">
        <v>5</v>
      </c>
      <c r="H1980" s="273" t="s">
        <v>62</v>
      </c>
      <c r="I1980" s="274">
        <v>25.0</v>
      </c>
      <c r="J1980" s="271">
        <v>475.0</v>
      </c>
      <c r="K1980" s="271">
        <f t="shared" si="1"/>
        <v>11875</v>
      </c>
      <c r="L1980" s="271">
        <v>30528.0</v>
      </c>
      <c r="M1980" s="271">
        <v>525.0</v>
      </c>
      <c r="N1980" s="275">
        <v>80.0</v>
      </c>
      <c r="O1980" s="60"/>
      <c r="P1980" s="50">
        <v>80.0</v>
      </c>
      <c r="Q1980" s="271">
        <v>655.0</v>
      </c>
      <c r="R1980" s="276">
        <v>-0.005659</v>
      </c>
      <c r="S1980" s="271">
        <v>588.0</v>
      </c>
      <c r="T1980" s="271">
        <v>668.0</v>
      </c>
      <c r="U1980" s="62">
        <v>1.0</v>
      </c>
      <c r="V1980" s="277">
        <v>0.23</v>
      </c>
      <c r="W1980" s="277">
        <v>0.0</v>
      </c>
      <c r="X1980" s="271">
        <v>514.0</v>
      </c>
      <c r="Y1980" s="271">
        <v>154.0</v>
      </c>
      <c r="Z1980" s="50" t="b">
        <v>1</v>
      </c>
      <c r="AA1980" s="50" t="s">
        <v>138</v>
      </c>
      <c r="AB1980" s="50" t="s">
        <v>138</v>
      </c>
    </row>
    <row r="1981">
      <c r="A1981" s="280" t="s">
        <v>233</v>
      </c>
      <c r="B1981" s="280" t="s">
        <v>212</v>
      </c>
      <c r="C1981" s="283">
        <v>44835.0</v>
      </c>
      <c r="D1981" s="283">
        <v>44865.0</v>
      </c>
      <c r="E1981" s="280" t="s">
        <v>268</v>
      </c>
      <c r="F1981" s="138" t="s">
        <v>12</v>
      </c>
      <c r="G1981" s="271" t="s">
        <v>5</v>
      </c>
      <c r="H1981" s="273" t="s">
        <v>6</v>
      </c>
      <c r="I1981" s="274">
        <v>0.25</v>
      </c>
      <c r="J1981" s="271">
        <v>2.0</v>
      </c>
      <c r="K1981" s="271">
        <f t="shared" si="1"/>
        <v>0.5</v>
      </c>
      <c r="L1981" s="271"/>
      <c r="M1981" s="271">
        <v>1.0</v>
      </c>
      <c r="N1981" s="275"/>
      <c r="O1981" s="60"/>
      <c r="P1981" s="101"/>
      <c r="Q1981" s="271"/>
      <c r="R1981" s="276">
        <v>0.0</v>
      </c>
      <c r="S1981" s="271"/>
      <c r="T1981" s="271">
        <v>1.0</v>
      </c>
      <c r="U1981" s="62">
        <v>1.0</v>
      </c>
      <c r="V1981" s="277">
        <v>0.23</v>
      </c>
      <c r="W1981" s="277">
        <v>0.0</v>
      </c>
      <c r="X1981" s="271">
        <v>1.0</v>
      </c>
      <c r="Y1981" s="271">
        <v>0.0</v>
      </c>
      <c r="Z1981" s="50" t="b">
        <v>1</v>
      </c>
      <c r="AA1981" s="50" t="s">
        <v>138</v>
      </c>
      <c r="AB1981" s="50" t="s">
        <v>138</v>
      </c>
    </row>
    <row r="1982">
      <c r="A1982" s="280" t="s">
        <v>233</v>
      </c>
      <c r="B1982" s="280" t="s">
        <v>212</v>
      </c>
      <c r="C1982" s="283">
        <v>44835.0</v>
      </c>
      <c r="D1982" s="283">
        <v>44865.0</v>
      </c>
      <c r="E1982" s="280" t="s">
        <v>268</v>
      </c>
      <c r="F1982" s="138" t="s">
        <v>12</v>
      </c>
      <c r="G1982" s="271" t="s">
        <v>5</v>
      </c>
      <c r="H1982" s="273" t="s">
        <v>35</v>
      </c>
      <c r="I1982" s="274">
        <v>5.0</v>
      </c>
      <c r="J1982" s="271">
        <v>4.0</v>
      </c>
      <c r="K1982" s="271">
        <f t="shared" si="1"/>
        <v>20</v>
      </c>
      <c r="L1982" s="271"/>
      <c r="M1982" s="271">
        <v>-10.0</v>
      </c>
      <c r="N1982" s="275"/>
      <c r="O1982" s="60"/>
      <c r="P1982" s="101"/>
      <c r="Q1982" s="271"/>
      <c r="R1982" s="276">
        <v>0.0</v>
      </c>
      <c r="S1982" s="271"/>
      <c r="T1982" s="271">
        <v>-10.0</v>
      </c>
      <c r="U1982" s="62">
        <v>1.0</v>
      </c>
      <c r="V1982" s="277">
        <v>0.23</v>
      </c>
      <c r="W1982" s="277">
        <v>0.0</v>
      </c>
      <c r="X1982" s="271">
        <v>-8.0</v>
      </c>
      <c r="Y1982" s="271">
        <v>-2.0</v>
      </c>
      <c r="Z1982" s="50" t="b">
        <v>1</v>
      </c>
      <c r="AA1982" s="50" t="s">
        <v>138</v>
      </c>
      <c r="AB1982" s="50" t="s">
        <v>138</v>
      </c>
    </row>
    <row r="1983">
      <c r="A1983" s="280" t="s">
        <v>154</v>
      </c>
      <c r="B1983" s="280" t="s">
        <v>154</v>
      </c>
      <c r="C1983" s="278">
        <v>44835.0</v>
      </c>
      <c r="D1983" s="278">
        <v>44865.0</v>
      </c>
      <c r="E1983" s="280" t="s">
        <v>268</v>
      </c>
      <c r="F1983" s="138" t="s">
        <v>8</v>
      </c>
      <c r="G1983" s="271" t="s">
        <v>5</v>
      </c>
      <c r="H1983" s="273" t="s">
        <v>74</v>
      </c>
      <c r="I1983" s="274">
        <v>50.0</v>
      </c>
      <c r="J1983" s="271">
        <v>2.0</v>
      </c>
      <c r="K1983" s="271">
        <f t="shared" si="1"/>
        <v>100</v>
      </c>
      <c r="L1983" s="271">
        <v>-335.0</v>
      </c>
      <c r="M1983" s="271">
        <v>-100.0</v>
      </c>
      <c r="N1983" s="275">
        <v>4.0</v>
      </c>
      <c r="O1983" s="60"/>
      <c r="P1983" s="50">
        <v>4.0</v>
      </c>
      <c r="Q1983" s="271">
        <v>-37.0</v>
      </c>
      <c r="R1983" s="276">
        <v>-0.005405</v>
      </c>
      <c r="S1983" s="271">
        <v>-38.0</v>
      </c>
      <c r="T1983" s="271">
        <v>-34.0</v>
      </c>
      <c r="U1983" s="62">
        <v>1.0</v>
      </c>
      <c r="V1983" s="277">
        <v>0.17</v>
      </c>
      <c r="W1983" s="277">
        <v>0.0</v>
      </c>
      <c r="X1983" s="271">
        <v>-28.0</v>
      </c>
      <c r="Y1983" s="271">
        <v>-6.0</v>
      </c>
      <c r="Z1983" s="50" t="b">
        <v>1</v>
      </c>
      <c r="AA1983" s="50" t="s">
        <v>138</v>
      </c>
      <c r="AB1983" s="50" t="s">
        <v>138</v>
      </c>
    </row>
    <row r="1984">
      <c r="A1984" s="280" t="s">
        <v>154</v>
      </c>
      <c r="B1984" s="280" t="s">
        <v>154</v>
      </c>
      <c r="C1984" s="278">
        <v>44835.0</v>
      </c>
      <c r="D1984" s="278">
        <v>44865.0</v>
      </c>
      <c r="E1984" s="280" t="s">
        <v>268</v>
      </c>
      <c r="F1984" s="138" t="s">
        <v>8</v>
      </c>
      <c r="G1984" s="271" t="s">
        <v>5</v>
      </c>
      <c r="H1984" s="273" t="s">
        <v>86</v>
      </c>
      <c r="I1984" s="274">
        <v>100.0</v>
      </c>
      <c r="J1984" s="271">
        <v>25.0</v>
      </c>
      <c r="K1984" s="271">
        <f t="shared" si="1"/>
        <v>2500</v>
      </c>
      <c r="L1984" s="271">
        <v>1958.0</v>
      </c>
      <c r="M1984" s="271">
        <v>1500.0</v>
      </c>
      <c r="N1984" s="275">
        <v>86.0</v>
      </c>
      <c r="O1984" s="60"/>
      <c r="P1984" s="50">
        <v>86.0</v>
      </c>
      <c r="Q1984" s="271">
        <v>477.0</v>
      </c>
      <c r="R1984" s="276">
        <v>-0.006259</v>
      </c>
      <c r="S1984" s="271">
        <v>461.0</v>
      </c>
      <c r="T1984" s="271">
        <v>547.0</v>
      </c>
      <c r="U1984" s="62">
        <v>1.0</v>
      </c>
      <c r="V1984" s="277">
        <v>0.17</v>
      </c>
      <c r="W1984" s="277">
        <v>0.0</v>
      </c>
      <c r="X1984" s="271">
        <v>454.0</v>
      </c>
      <c r="Y1984" s="271">
        <v>93.0</v>
      </c>
      <c r="Z1984" s="50" t="b">
        <v>1</v>
      </c>
      <c r="AA1984" s="50" t="s">
        <v>138</v>
      </c>
      <c r="AB1984" s="50" t="s">
        <v>138</v>
      </c>
    </row>
    <row r="1985">
      <c r="A1985" s="280" t="s">
        <v>154</v>
      </c>
      <c r="B1985" s="280" t="s">
        <v>154</v>
      </c>
      <c r="C1985" s="278">
        <v>44835.0</v>
      </c>
      <c r="D1985" s="278">
        <v>44865.0</v>
      </c>
      <c r="E1985" s="280" t="s">
        <v>268</v>
      </c>
      <c r="F1985" s="138" t="s">
        <v>8</v>
      </c>
      <c r="G1985" s="271" t="s">
        <v>5</v>
      </c>
      <c r="H1985" s="273" t="s">
        <v>63</v>
      </c>
      <c r="I1985" s="274">
        <v>25.0</v>
      </c>
      <c r="J1985" s="271">
        <v>237.0</v>
      </c>
      <c r="K1985" s="271">
        <f t="shared" si="1"/>
        <v>5925</v>
      </c>
      <c r="L1985" s="271">
        <v>7368.0</v>
      </c>
      <c r="M1985" s="271">
        <v>775.0</v>
      </c>
      <c r="N1985" s="275">
        <v>282.0</v>
      </c>
      <c r="O1985" s="60"/>
      <c r="P1985" s="50">
        <v>282.0</v>
      </c>
      <c r="Q1985" s="271">
        <v>190.0</v>
      </c>
      <c r="R1985" s="276">
        <v>-0.005581</v>
      </c>
      <c r="S1985" s="271">
        <v>157.0</v>
      </c>
      <c r="T1985" s="271">
        <v>439.0</v>
      </c>
      <c r="U1985" s="62">
        <v>1.0</v>
      </c>
      <c r="V1985" s="277">
        <v>0.17</v>
      </c>
      <c r="W1985" s="277">
        <v>0.0</v>
      </c>
      <c r="X1985" s="271">
        <v>364.0</v>
      </c>
      <c r="Y1985" s="271">
        <v>75.0</v>
      </c>
      <c r="Z1985" s="50" t="b">
        <v>1</v>
      </c>
      <c r="AA1985" s="50" t="s">
        <v>138</v>
      </c>
      <c r="AB1985" s="50" t="s">
        <v>138</v>
      </c>
    </row>
    <row r="1986">
      <c r="A1986" s="280" t="s">
        <v>154</v>
      </c>
      <c r="B1986" s="280" t="s">
        <v>154</v>
      </c>
      <c r="C1986" s="278">
        <v>44835.0</v>
      </c>
      <c r="D1986" s="278">
        <v>44865.0</v>
      </c>
      <c r="E1986" s="280" t="s">
        <v>268</v>
      </c>
      <c r="F1986" s="138" t="s">
        <v>8</v>
      </c>
      <c r="G1986" s="271" t="s">
        <v>5</v>
      </c>
      <c r="H1986" s="273" t="s">
        <v>75</v>
      </c>
      <c r="I1986" s="274">
        <v>50.0</v>
      </c>
      <c r="J1986" s="271">
        <v>5711.0</v>
      </c>
      <c r="K1986" s="271">
        <f t="shared" si="1"/>
        <v>285550</v>
      </c>
      <c r="L1986" s="271">
        <v>42493.0</v>
      </c>
      <c r="M1986" s="271">
        <v>-16010.0</v>
      </c>
      <c r="N1986" s="275">
        <v>11827.0</v>
      </c>
      <c r="O1986" s="60"/>
      <c r="P1986" s="109">
        <v>11827.0</v>
      </c>
      <c r="Q1986" s="271">
        <v>-11683.0</v>
      </c>
      <c r="R1986" s="276">
        <v>-0.00511</v>
      </c>
      <c r="S1986" s="271">
        <v>-13142.0</v>
      </c>
      <c r="T1986" s="271">
        <v>-1315.0</v>
      </c>
      <c r="U1986" s="62">
        <v>1.0</v>
      </c>
      <c r="V1986" s="277">
        <v>0.17</v>
      </c>
      <c r="W1986" s="277">
        <v>0.0</v>
      </c>
      <c r="X1986" s="271">
        <v>-1091.0</v>
      </c>
      <c r="Y1986" s="271">
        <v>-224.0</v>
      </c>
      <c r="Z1986" s="50" t="b">
        <v>1</v>
      </c>
      <c r="AA1986" s="50" t="s">
        <v>138</v>
      </c>
      <c r="AB1986" s="50" t="s">
        <v>138</v>
      </c>
    </row>
    <row r="1987">
      <c r="A1987" s="280" t="s">
        <v>638</v>
      </c>
      <c r="B1987" s="280" t="s">
        <v>163</v>
      </c>
      <c r="C1987" s="283">
        <v>44835.0</v>
      </c>
      <c r="D1987" s="283">
        <v>44865.0</v>
      </c>
      <c r="E1987" s="280" t="s">
        <v>268</v>
      </c>
      <c r="F1987" s="101" t="s">
        <v>4</v>
      </c>
      <c r="G1987" s="271" t="s">
        <v>16</v>
      </c>
      <c r="H1987" s="290" t="s">
        <v>59</v>
      </c>
      <c r="I1987" s="281">
        <v>20.0</v>
      </c>
      <c r="J1987" s="280">
        <v>3317.0</v>
      </c>
      <c r="K1987" s="271">
        <f t="shared" si="1"/>
        <v>66340</v>
      </c>
      <c r="L1987" s="280">
        <v>174660.0</v>
      </c>
      <c r="M1987" s="280">
        <v>2260.0</v>
      </c>
      <c r="N1987" s="282">
        <v>2901.0</v>
      </c>
      <c r="O1987" s="60"/>
      <c r="P1987" s="109">
        <v>2901.0</v>
      </c>
      <c r="Q1987" s="280">
        <v>2290.0</v>
      </c>
      <c r="R1987" s="276">
        <v>-0.00152</v>
      </c>
      <c r="S1987" s="280">
        <v>2189.0</v>
      </c>
      <c r="T1987" s="280">
        <v>5090.0</v>
      </c>
      <c r="U1987" s="62">
        <v>1.0</v>
      </c>
      <c r="V1987" s="277">
        <v>0.3</v>
      </c>
      <c r="W1987" s="277">
        <v>0.0</v>
      </c>
      <c r="X1987" s="280">
        <v>3563.0</v>
      </c>
      <c r="Y1987" s="280">
        <v>1527.0</v>
      </c>
      <c r="Z1987" s="50" t="b">
        <v>1</v>
      </c>
      <c r="AA1987" s="50" t="s">
        <v>138</v>
      </c>
      <c r="AB1987" s="50" t="s">
        <v>138</v>
      </c>
    </row>
    <row r="1988">
      <c r="A1988" s="280" t="s">
        <v>638</v>
      </c>
      <c r="B1988" s="280" t="s">
        <v>163</v>
      </c>
      <c r="C1988" s="283">
        <v>44835.0</v>
      </c>
      <c r="D1988" s="283">
        <v>44865.0</v>
      </c>
      <c r="E1988" s="280" t="s">
        <v>268</v>
      </c>
      <c r="F1988" s="101" t="s">
        <v>4</v>
      </c>
      <c r="G1988" s="271" t="s">
        <v>16</v>
      </c>
      <c r="H1988" s="290" t="s">
        <v>59</v>
      </c>
      <c r="I1988" s="281">
        <v>20.0</v>
      </c>
      <c r="J1988" s="280">
        <v>1397.0</v>
      </c>
      <c r="K1988" s="271">
        <f t="shared" si="1"/>
        <v>27940</v>
      </c>
      <c r="L1988" s="280">
        <v>31191.0</v>
      </c>
      <c r="M1988" s="280">
        <v>-1500.0</v>
      </c>
      <c r="N1988" s="282">
        <v>1072.8</v>
      </c>
      <c r="O1988" s="60"/>
      <c r="P1988" s="109">
        <v>1073.0</v>
      </c>
      <c r="Q1988" s="280">
        <v>-621.0</v>
      </c>
      <c r="R1988" s="276">
        <v>-0.00152</v>
      </c>
      <c r="S1988" s="280">
        <v>-664.0</v>
      </c>
      <c r="T1988" s="280">
        <v>409.0</v>
      </c>
      <c r="U1988" s="62">
        <v>1.0</v>
      </c>
      <c r="V1988" s="277">
        <v>0.3</v>
      </c>
      <c r="W1988" s="277">
        <v>0.0</v>
      </c>
      <c r="X1988" s="280">
        <v>286.0</v>
      </c>
      <c r="Y1988" s="280">
        <v>123.0</v>
      </c>
      <c r="Z1988" s="50" t="b">
        <v>1</v>
      </c>
      <c r="AA1988" s="50" t="s">
        <v>138</v>
      </c>
      <c r="AB1988" s="50" t="s">
        <v>138</v>
      </c>
    </row>
    <row r="1989">
      <c r="A1989" s="280" t="s">
        <v>227</v>
      </c>
      <c r="B1989" s="280" t="s">
        <v>214</v>
      </c>
      <c r="C1989" s="278">
        <v>44835.0</v>
      </c>
      <c r="D1989" s="278">
        <v>44865.0</v>
      </c>
      <c r="E1989" s="280" t="s">
        <v>268</v>
      </c>
      <c r="F1989" s="138" t="s">
        <v>8</v>
      </c>
      <c r="G1989" s="271" t="s">
        <v>5</v>
      </c>
      <c r="H1989" s="273" t="s">
        <v>62</v>
      </c>
      <c r="I1989" s="274">
        <v>25.0</v>
      </c>
      <c r="J1989" s="271">
        <v>2060.0</v>
      </c>
      <c r="K1989" s="271">
        <f t="shared" si="1"/>
        <v>51500</v>
      </c>
      <c r="L1989" s="271">
        <v>97258.0</v>
      </c>
      <c r="M1989" s="271">
        <v>2550.0</v>
      </c>
      <c r="N1989" s="275">
        <v>2081.0</v>
      </c>
      <c r="O1989" s="60"/>
      <c r="P1989" s="109">
        <v>2081.0</v>
      </c>
      <c r="Q1989" s="271">
        <v>1213.0</v>
      </c>
      <c r="R1989" s="276">
        <v>-0.005449</v>
      </c>
      <c r="S1989" s="271">
        <v>932.0</v>
      </c>
      <c r="T1989" s="271">
        <v>3013.0</v>
      </c>
      <c r="U1989" s="62">
        <v>1.0</v>
      </c>
      <c r="V1989" s="277">
        <v>0.23</v>
      </c>
      <c r="W1989" s="277">
        <v>0.0</v>
      </c>
      <c r="X1989" s="271">
        <v>2320.0</v>
      </c>
      <c r="Y1989" s="271">
        <v>693.0</v>
      </c>
      <c r="Z1989" s="50" t="b">
        <v>1</v>
      </c>
      <c r="AA1989" s="50" t="s">
        <v>138</v>
      </c>
      <c r="AB1989" s="50" t="s">
        <v>138</v>
      </c>
    </row>
    <row r="1990">
      <c r="A1990" s="280" t="s">
        <v>227</v>
      </c>
      <c r="B1990" s="280" t="s">
        <v>214</v>
      </c>
      <c r="C1990" s="278">
        <v>44849.0</v>
      </c>
      <c r="D1990" s="278">
        <v>44865.0</v>
      </c>
      <c r="E1990" s="280" t="s">
        <v>268</v>
      </c>
      <c r="F1990" s="138" t="s">
        <v>8</v>
      </c>
      <c r="G1990" s="271" t="s">
        <v>5</v>
      </c>
      <c r="H1990" s="273" t="s">
        <v>74</v>
      </c>
      <c r="I1990" s="274">
        <v>50.0</v>
      </c>
      <c r="J1990" s="271">
        <v>736.0</v>
      </c>
      <c r="K1990" s="271">
        <f t="shared" si="1"/>
        <v>36800</v>
      </c>
      <c r="L1990" s="271">
        <v>-4231.0</v>
      </c>
      <c r="M1990" s="271">
        <v>-2900.0</v>
      </c>
      <c r="N1990" s="275">
        <v>1489.0</v>
      </c>
      <c r="O1990" s="60"/>
      <c r="P1990" s="109">
        <v>1489.0</v>
      </c>
      <c r="Q1990" s="271">
        <v>-2747.0</v>
      </c>
      <c r="R1990" s="276">
        <v>-0.004933</v>
      </c>
      <c r="S1990" s="271">
        <v>-2929.0</v>
      </c>
      <c r="T1990" s="271">
        <v>-1440.0</v>
      </c>
      <c r="U1990" s="62">
        <v>1.0</v>
      </c>
      <c r="V1990" s="277">
        <v>0.23</v>
      </c>
      <c r="W1990" s="277">
        <v>0.0</v>
      </c>
      <c r="X1990" s="271">
        <v>-1109.0</v>
      </c>
      <c r="Y1990" s="271">
        <v>-331.0</v>
      </c>
      <c r="Z1990" s="50" t="b">
        <v>1</v>
      </c>
      <c r="AA1990" s="50" t="s">
        <v>138</v>
      </c>
      <c r="AB1990" s="50" t="s">
        <v>138</v>
      </c>
    </row>
    <row r="1991">
      <c r="A1991" s="280" t="s">
        <v>174</v>
      </c>
      <c r="B1991" s="280" t="s">
        <v>174</v>
      </c>
      <c r="C1991" s="283">
        <v>44835.0</v>
      </c>
      <c r="D1991" s="283">
        <v>44865.0</v>
      </c>
      <c r="E1991" s="280" t="s">
        <v>268</v>
      </c>
      <c r="F1991" s="138" t="s">
        <v>12</v>
      </c>
      <c r="G1991" s="280" t="s">
        <v>9</v>
      </c>
      <c r="H1991" s="290" t="s">
        <v>30</v>
      </c>
      <c r="I1991" s="281">
        <v>2.0</v>
      </c>
      <c r="J1991" s="280">
        <v>2321.0</v>
      </c>
      <c r="K1991" s="271">
        <f t="shared" si="1"/>
        <v>4642</v>
      </c>
      <c r="L1991" s="280">
        <v>187531.0</v>
      </c>
      <c r="M1991" s="280">
        <v>360.0</v>
      </c>
      <c r="N1991" s="282">
        <v>204.66</v>
      </c>
      <c r="O1991" s="60"/>
      <c r="P1991" s="50">
        <v>205.0</v>
      </c>
      <c r="Q1991" s="280">
        <v>260.0</v>
      </c>
      <c r="R1991" s="276">
        <v>0.0</v>
      </c>
      <c r="S1991" s="280">
        <v>260.0</v>
      </c>
      <c r="T1991" s="280">
        <v>565.0</v>
      </c>
      <c r="U1991" s="62">
        <v>1.0</v>
      </c>
      <c r="V1991" s="277">
        <v>0.17</v>
      </c>
      <c r="W1991" s="277">
        <v>0.0</v>
      </c>
      <c r="X1991" s="280">
        <v>469.0</v>
      </c>
      <c r="Y1991" s="280">
        <v>96.0</v>
      </c>
      <c r="Z1991" s="50" t="b">
        <v>1</v>
      </c>
      <c r="AA1991" s="50" t="s">
        <v>140</v>
      </c>
      <c r="AB1991" s="50" t="s">
        <v>140</v>
      </c>
    </row>
    <row r="1992">
      <c r="A1992" s="280" t="s">
        <v>174</v>
      </c>
      <c r="B1992" s="280" t="s">
        <v>174</v>
      </c>
      <c r="C1992" s="283">
        <v>44835.0</v>
      </c>
      <c r="D1992" s="283">
        <v>44865.0</v>
      </c>
      <c r="E1992" s="280" t="s">
        <v>268</v>
      </c>
      <c r="F1992" s="138" t="s">
        <v>12</v>
      </c>
      <c r="G1992" s="280" t="s">
        <v>9</v>
      </c>
      <c r="H1992" s="290" t="s">
        <v>39</v>
      </c>
      <c r="I1992" s="281">
        <v>5.0</v>
      </c>
      <c r="J1992" s="280">
        <v>529.0</v>
      </c>
      <c r="K1992" s="271">
        <f t="shared" si="1"/>
        <v>2645</v>
      </c>
      <c r="L1992" s="280">
        <v>31307.0</v>
      </c>
      <c r="M1992" s="280">
        <v>60.0</v>
      </c>
      <c r="N1992" s="282">
        <v>1.34</v>
      </c>
      <c r="O1992" s="60"/>
      <c r="P1992" s="50">
        <v>1.0</v>
      </c>
      <c r="Q1992" s="280">
        <v>55.0</v>
      </c>
      <c r="R1992" s="276">
        <v>0.0</v>
      </c>
      <c r="S1992" s="280">
        <v>55.0</v>
      </c>
      <c r="T1992" s="280">
        <v>61.0</v>
      </c>
      <c r="U1992" s="62">
        <v>1.0</v>
      </c>
      <c r="V1992" s="277">
        <v>0.17</v>
      </c>
      <c r="W1992" s="277">
        <v>0.0</v>
      </c>
      <c r="X1992" s="280">
        <v>51.0</v>
      </c>
      <c r="Y1992" s="280">
        <v>10.0</v>
      </c>
      <c r="Z1992" s="50" t="b">
        <v>1</v>
      </c>
      <c r="AA1992" s="50" t="s">
        <v>140</v>
      </c>
      <c r="AB1992" s="50" t="s">
        <v>140</v>
      </c>
    </row>
    <row r="1993">
      <c r="A1993" s="101" t="s">
        <v>199</v>
      </c>
      <c r="B1993" s="101" t="s">
        <v>199</v>
      </c>
      <c r="C1993" s="278">
        <v>44855.0</v>
      </c>
      <c r="D1993" s="278">
        <v>44869.0</v>
      </c>
      <c r="E1993" s="271" t="s">
        <v>268</v>
      </c>
      <c r="F1993" s="101" t="s">
        <v>4</v>
      </c>
      <c r="G1993" s="271" t="s">
        <v>5</v>
      </c>
      <c r="H1993" s="273" t="s">
        <v>20</v>
      </c>
      <c r="I1993" s="274">
        <v>1.0</v>
      </c>
      <c r="J1993" s="271">
        <v>20.0</v>
      </c>
      <c r="K1993" s="271">
        <f t="shared" si="1"/>
        <v>20</v>
      </c>
      <c r="L1993" s="271">
        <v>1018.0</v>
      </c>
      <c r="M1993" s="271">
        <v>-3.0</v>
      </c>
      <c r="N1993" s="275">
        <v>1.49</v>
      </c>
      <c r="O1993" s="60"/>
      <c r="P1993" s="50">
        <v>1.0</v>
      </c>
      <c r="Q1993" s="271">
        <v>0.0</v>
      </c>
      <c r="R1993" s="276">
        <v>-0.00152</v>
      </c>
      <c r="S1993" s="271">
        <v>0.0</v>
      </c>
      <c r="T1993" s="271">
        <v>2.0</v>
      </c>
      <c r="U1993" s="62">
        <v>1.0</v>
      </c>
      <c r="V1993" s="277">
        <v>0.2</v>
      </c>
      <c r="W1993" s="277">
        <v>0.0</v>
      </c>
      <c r="X1993" s="271">
        <v>1.0</v>
      </c>
      <c r="Y1993" s="271">
        <v>0.0</v>
      </c>
      <c r="Z1993" s="50" t="b">
        <v>1</v>
      </c>
      <c r="AA1993" s="50" t="s">
        <v>138</v>
      </c>
      <c r="AB1993" s="50" t="s">
        <v>138</v>
      </c>
    </row>
    <row r="1994">
      <c r="A1994" s="101" t="s">
        <v>199</v>
      </c>
      <c r="B1994" s="101" t="s">
        <v>199</v>
      </c>
      <c r="C1994" s="278">
        <v>44855.0</v>
      </c>
      <c r="D1994" s="278">
        <v>44869.0</v>
      </c>
      <c r="E1994" s="271" t="s">
        <v>268</v>
      </c>
      <c r="F1994" s="101" t="s">
        <v>4</v>
      </c>
      <c r="G1994" s="271" t="s">
        <v>5</v>
      </c>
      <c r="H1994" s="273" t="s">
        <v>23</v>
      </c>
      <c r="I1994" s="274">
        <v>1.0</v>
      </c>
      <c r="J1994" s="271">
        <v>17.0</v>
      </c>
      <c r="K1994" s="271">
        <f t="shared" si="1"/>
        <v>17</v>
      </c>
      <c r="L1994" s="271">
        <v>336.0</v>
      </c>
      <c r="M1994" s="271">
        <v>-5.0</v>
      </c>
      <c r="N1994" s="275">
        <v>1.26</v>
      </c>
      <c r="O1994" s="60"/>
      <c r="P1994" s="50">
        <v>1.0</v>
      </c>
      <c r="Q1994" s="271">
        <v>0.0</v>
      </c>
      <c r="R1994" s="276">
        <v>-0.00152</v>
      </c>
      <c r="S1994" s="271">
        <v>0.0</v>
      </c>
      <c r="T1994" s="271">
        <v>1.0</v>
      </c>
      <c r="U1994" s="62">
        <v>1.0</v>
      </c>
      <c r="V1994" s="277">
        <v>0.2</v>
      </c>
      <c r="W1994" s="277">
        <v>0.0</v>
      </c>
      <c r="X1994" s="271">
        <v>1.0</v>
      </c>
      <c r="Y1994" s="271">
        <v>0.0</v>
      </c>
      <c r="Z1994" s="50" t="b">
        <v>1</v>
      </c>
      <c r="AA1994" s="50" t="s">
        <v>138</v>
      </c>
      <c r="AB1994" s="50" t="s">
        <v>138</v>
      </c>
    </row>
    <row r="1995">
      <c r="A1995" s="101" t="s">
        <v>199</v>
      </c>
      <c r="B1995" s="101" t="s">
        <v>199</v>
      </c>
      <c r="C1995" s="278">
        <v>44855.0</v>
      </c>
      <c r="D1995" s="278">
        <v>44869.0</v>
      </c>
      <c r="E1995" s="271" t="s">
        <v>268</v>
      </c>
      <c r="F1995" s="101" t="s">
        <v>4</v>
      </c>
      <c r="G1995" s="271" t="s">
        <v>5</v>
      </c>
      <c r="H1995" s="273" t="s">
        <v>38</v>
      </c>
      <c r="I1995" s="274">
        <v>5.0</v>
      </c>
      <c r="J1995" s="271">
        <v>44.0</v>
      </c>
      <c r="K1995" s="271">
        <f t="shared" si="1"/>
        <v>220</v>
      </c>
      <c r="L1995" s="271">
        <f>15*44</f>
        <v>660</v>
      </c>
      <c r="M1995" s="271">
        <v>-10.0</v>
      </c>
      <c r="N1995" s="275">
        <v>16.34</v>
      </c>
      <c r="O1995" s="60"/>
      <c r="P1995" s="50">
        <v>16.0</v>
      </c>
      <c r="Q1995" s="271">
        <v>-9.0</v>
      </c>
      <c r="R1995" s="276">
        <v>-0.00152</v>
      </c>
      <c r="S1995" s="271">
        <v>-10.0</v>
      </c>
      <c r="T1995" s="271">
        <v>7.0</v>
      </c>
      <c r="U1995" s="62">
        <v>1.0</v>
      </c>
      <c r="V1995" s="277">
        <v>0.2</v>
      </c>
      <c r="W1995" s="277">
        <v>0.0</v>
      </c>
      <c r="X1995" s="271">
        <v>5.0</v>
      </c>
      <c r="Y1995" s="271">
        <v>1.0</v>
      </c>
      <c r="Z1995" s="50" t="b">
        <v>1</v>
      </c>
      <c r="AA1995" s="50" t="s">
        <v>138</v>
      </c>
      <c r="AB1995" s="50" t="s">
        <v>138</v>
      </c>
    </row>
    <row r="1996">
      <c r="A1996" s="101" t="s">
        <v>199</v>
      </c>
      <c r="B1996" s="101" t="s">
        <v>199</v>
      </c>
      <c r="C1996" s="278">
        <v>44855.0</v>
      </c>
      <c r="D1996" s="278">
        <v>44869.0</v>
      </c>
      <c r="E1996" s="271" t="s">
        <v>268</v>
      </c>
      <c r="F1996" s="101" t="s">
        <v>4</v>
      </c>
      <c r="G1996" s="271" t="s">
        <v>5</v>
      </c>
      <c r="H1996" s="273" t="s">
        <v>45</v>
      </c>
      <c r="I1996" s="274">
        <v>10.0</v>
      </c>
      <c r="J1996" s="271">
        <v>687.0</v>
      </c>
      <c r="K1996" s="271">
        <f t="shared" si="1"/>
        <v>6870</v>
      </c>
      <c r="L1996" s="271">
        <f>687*53</f>
        <v>36411</v>
      </c>
      <c r="M1996" s="271">
        <v>60.0</v>
      </c>
      <c r="N1996" s="275">
        <v>446.36</v>
      </c>
      <c r="O1996" s="60"/>
      <c r="P1996" s="50">
        <v>446.0</v>
      </c>
      <c r="Q1996" s="271">
        <v>160.0</v>
      </c>
      <c r="R1996" s="276">
        <v>-0.00152</v>
      </c>
      <c r="S1996" s="271">
        <v>149.0</v>
      </c>
      <c r="T1996" s="271">
        <v>595.0</v>
      </c>
      <c r="U1996" s="62">
        <v>1.0</v>
      </c>
      <c r="V1996" s="277">
        <v>0.2</v>
      </c>
      <c r="W1996" s="277">
        <v>0.0</v>
      </c>
      <c r="X1996" s="271">
        <v>476.0</v>
      </c>
      <c r="Y1996" s="271">
        <v>119.0</v>
      </c>
      <c r="Z1996" s="50" t="b">
        <v>1</v>
      </c>
      <c r="AA1996" s="50" t="s">
        <v>138</v>
      </c>
      <c r="AB1996" s="50" t="s">
        <v>138</v>
      </c>
    </row>
    <row r="1997">
      <c r="A1997" s="101" t="s">
        <v>199</v>
      </c>
      <c r="B1997" s="101" t="s">
        <v>199</v>
      </c>
      <c r="C1997" s="278">
        <v>44855.0</v>
      </c>
      <c r="D1997" s="278">
        <v>44869.0</v>
      </c>
      <c r="E1997" s="271" t="s">
        <v>268</v>
      </c>
      <c r="F1997" s="101" t="s">
        <v>4</v>
      </c>
      <c r="G1997" s="271" t="s">
        <v>5</v>
      </c>
      <c r="H1997" s="273" t="s">
        <v>48</v>
      </c>
      <c r="I1997" s="274">
        <v>10.0</v>
      </c>
      <c r="J1997" s="271">
        <v>1095.0</v>
      </c>
      <c r="K1997" s="271">
        <f t="shared" si="1"/>
        <v>10950</v>
      </c>
      <c r="L1997" s="271">
        <f>1095*10</f>
        <v>10950</v>
      </c>
      <c r="M1997" s="271">
        <v>-570.0</v>
      </c>
      <c r="N1997" s="275">
        <v>711.44</v>
      </c>
      <c r="O1997" s="60"/>
      <c r="P1997" s="50">
        <v>711.0</v>
      </c>
      <c r="Q1997" s="271">
        <v>-476.0</v>
      </c>
      <c r="R1997" s="276">
        <v>-0.00152</v>
      </c>
      <c r="S1997" s="271">
        <v>-492.0</v>
      </c>
      <c r="T1997" s="271">
        <v>219.0</v>
      </c>
      <c r="U1997" s="62">
        <v>1.0</v>
      </c>
      <c r="V1997" s="277">
        <v>0.2</v>
      </c>
      <c r="W1997" s="277">
        <v>0.0</v>
      </c>
      <c r="X1997" s="271">
        <v>175.0</v>
      </c>
      <c r="Y1997" s="271">
        <v>44.0</v>
      </c>
      <c r="Z1997" s="50" t="b">
        <v>1</v>
      </c>
      <c r="AA1997" s="50" t="s">
        <v>138</v>
      </c>
      <c r="AB1997" s="50" t="s">
        <v>138</v>
      </c>
    </row>
    <row r="1998">
      <c r="A1998" s="101" t="s">
        <v>199</v>
      </c>
      <c r="B1998" s="101" t="s">
        <v>199</v>
      </c>
      <c r="C1998" s="278">
        <v>44855.0</v>
      </c>
      <c r="D1998" s="278">
        <v>44869.0</v>
      </c>
      <c r="E1998" s="271" t="s">
        <v>268</v>
      </c>
      <c r="F1998" s="101" t="s">
        <v>4</v>
      </c>
      <c r="G1998" s="271" t="s">
        <v>5</v>
      </c>
      <c r="H1998" s="273" t="s">
        <v>62</v>
      </c>
      <c r="I1998" s="274">
        <v>25.0</v>
      </c>
      <c r="J1998" s="271">
        <v>36.0</v>
      </c>
      <c r="K1998" s="271">
        <f t="shared" si="1"/>
        <v>900</v>
      </c>
      <c r="L1998" s="271">
        <f>36*-35</f>
        <v>-1260</v>
      </c>
      <c r="M1998" s="271">
        <v>-175.0</v>
      </c>
      <c r="N1998" s="275">
        <v>50.12</v>
      </c>
      <c r="O1998" s="60"/>
      <c r="P1998" s="50">
        <v>50.0</v>
      </c>
      <c r="Q1998" s="271">
        <v>-116.0</v>
      </c>
      <c r="R1998" s="276">
        <v>-0.00152</v>
      </c>
      <c r="S1998" s="271">
        <v>-117.0</v>
      </c>
      <c r="T1998" s="271">
        <v>-67.0</v>
      </c>
      <c r="U1998" s="62">
        <v>1.0</v>
      </c>
      <c r="V1998" s="277">
        <v>0.2</v>
      </c>
      <c r="W1998" s="277">
        <v>0.0</v>
      </c>
      <c r="X1998" s="271">
        <v>-54.0</v>
      </c>
      <c r="Y1998" s="271">
        <v>-13.0</v>
      </c>
      <c r="Z1998" s="50" t="b">
        <v>1</v>
      </c>
      <c r="AA1998" s="50" t="s">
        <v>138</v>
      </c>
      <c r="AB1998" s="50" t="s">
        <v>138</v>
      </c>
    </row>
    <row r="1999">
      <c r="A1999" s="280" t="s">
        <v>206</v>
      </c>
      <c r="B1999" s="280" t="s">
        <v>206</v>
      </c>
      <c r="C1999" s="278">
        <v>44866.0</v>
      </c>
      <c r="D1999" s="278">
        <v>44872.0</v>
      </c>
      <c r="E1999" s="280" t="s">
        <v>268</v>
      </c>
      <c r="F1999" s="138" t="s">
        <v>12</v>
      </c>
      <c r="G1999" s="280" t="s">
        <v>142</v>
      </c>
      <c r="H1999" s="290" t="s">
        <v>77</v>
      </c>
      <c r="I1999" s="274">
        <v>50.0</v>
      </c>
      <c r="J1999" s="271"/>
      <c r="K1999" s="271">
        <f t="shared" si="1"/>
        <v>0</v>
      </c>
      <c r="L1999" s="271"/>
      <c r="M1999" s="271">
        <v>15810.0</v>
      </c>
      <c r="N1999" s="275"/>
      <c r="O1999" s="60"/>
      <c r="P1999" s="101"/>
      <c r="Q1999" s="271"/>
      <c r="R1999" s="276">
        <v>0.0</v>
      </c>
      <c r="S1999" s="271"/>
      <c r="T1999" s="271">
        <v>15810.0</v>
      </c>
      <c r="U1999" s="62">
        <v>1.0</v>
      </c>
      <c r="V1999" s="277">
        <v>0.1602</v>
      </c>
      <c r="W1999" s="277">
        <v>0.0</v>
      </c>
      <c r="X1999" s="271">
        <v>13277.0</v>
      </c>
      <c r="Y1999" s="271">
        <v>2533.0</v>
      </c>
      <c r="Z1999" s="50" t="b">
        <v>1</v>
      </c>
      <c r="AA1999" s="50" t="s">
        <v>138</v>
      </c>
      <c r="AB1999" s="50" t="s">
        <v>138</v>
      </c>
    </row>
    <row r="2000">
      <c r="A2000" s="280" t="s">
        <v>171</v>
      </c>
      <c r="B2000" s="280" t="s">
        <v>172</v>
      </c>
      <c r="C2000" s="283">
        <v>44866.0</v>
      </c>
      <c r="D2000" s="283">
        <v>44883.0</v>
      </c>
      <c r="E2000" s="280" t="s">
        <v>268</v>
      </c>
      <c r="F2000" s="138" t="s">
        <v>8</v>
      </c>
      <c r="G2000" s="280" t="s">
        <v>9</v>
      </c>
      <c r="H2000" s="290" t="s">
        <v>50</v>
      </c>
      <c r="I2000" s="281">
        <v>10.0</v>
      </c>
      <c r="J2000" s="280">
        <v>350.0</v>
      </c>
      <c r="K2000" s="271">
        <f t="shared" si="1"/>
        <v>3500</v>
      </c>
      <c r="L2000" s="280">
        <v>35872.0</v>
      </c>
      <c r="M2000" s="280">
        <v>130.0</v>
      </c>
      <c r="N2000" s="282">
        <v>3816.45</v>
      </c>
      <c r="O2000" s="60"/>
      <c r="P2000" s="109">
        <v>3816.0</v>
      </c>
      <c r="Q2000" s="280">
        <v>350.0</v>
      </c>
      <c r="R2000" s="276">
        <v>-0.003498</v>
      </c>
      <c r="S2000" s="280">
        <v>338.0</v>
      </c>
      <c r="T2000" s="280">
        <v>4154.0</v>
      </c>
      <c r="U2000" s="62">
        <v>1.0</v>
      </c>
      <c r="V2000" s="277">
        <v>0.17</v>
      </c>
      <c r="W2000" s="277">
        <v>0.0</v>
      </c>
      <c r="X2000" s="280">
        <v>3448.0</v>
      </c>
      <c r="Y2000" s="280">
        <v>706.0</v>
      </c>
      <c r="Z2000" s="50" t="b">
        <v>1</v>
      </c>
      <c r="AA2000" s="50" t="s">
        <v>140</v>
      </c>
      <c r="AB2000" s="50" t="s">
        <v>140</v>
      </c>
    </row>
    <row r="2001">
      <c r="A2001" s="280" t="s">
        <v>171</v>
      </c>
      <c r="B2001" s="280" t="s">
        <v>172</v>
      </c>
      <c r="C2001" s="283">
        <v>44866.0</v>
      </c>
      <c r="D2001" s="283">
        <v>44883.0</v>
      </c>
      <c r="E2001" s="280" t="s">
        <v>268</v>
      </c>
      <c r="F2001" s="138" t="s">
        <v>8</v>
      </c>
      <c r="G2001" s="280" t="s">
        <v>9</v>
      </c>
      <c r="H2001" s="290" t="s">
        <v>77</v>
      </c>
      <c r="I2001" s="281">
        <v>50.0</v>
      </c>
      <c r="J2001" s="280">
        <v>254.0</v>
      </c>
      <c r="K2001" s="271">
        <f t="shared" si="1"/>
        <v>12700</v>
      </c>
      <c r="L2001" s="280">
        <v>12230.0</v>
      </c>
      <c r="M2001" s="280">
        <v>900.0</v>
      </c>
      <c r="N2001" s="282">
        <v>0.0</v>
      </c>
      <c r="O2001" s="60"/>
      <c r="P2001" s="50">
        <v>0.0</v>
      </c>
      <c r="Q2001" s="280">
        <v>19.0</v>
      </c>
      <c r="R2001" s="276">
        <v>-0.003156</v>
      </c>
      <c r="S2001" s="280">
        <v>-21.0</v>
      </c>
      <c r="T2001" s="280">
        <v>-21.0</v>
      </c>
      <c r="U2001" s="62">
        <v>1.0</v>
      </c>
      <c r="V2001" s="277">
        <v>0.17</v>
      </c>
      <c r="W2001" s="277">
        <v>0.0</v>
      </c>
      <c r="X2001" s="280">
        <v>-17.0</v>
      </c>
      <c r="Y2001" s="280">
        <v>-4.0</v>
      </c>
      <c r="Z2001" s="50" t="b">
        <v>1</v>
      </c>
      <c r="AA2001" s="50" t="s">
        <v>140</v>
      </c>
      <c r="AB2001" s="50" t="s">
        <v>140</v>
      </c>
    </row>
    <row r="2002">
      <c r="A2002" s="280" t="s">
        <v>171</v>
      </c>
      <c r="B2002" s="280" t="s">
        <v>172</v>
      </c>
      <c r="C2002" s="283">
        <v>44866.0</v>
      </c>
      <c r="D2002" s="283">
        <v>44883.0</v>
      </c>
      <c r="E2002" s="280" t="s">
        <v>268</v>
      </c>
      <c r="F2002" s="138" t="s">
        <v>8</v>
      </c>
      <c r="G2002" s="280" t="s">
        <v>9</v>
      </c>
      <c r="H2002" s="290" t="s">
        <v>64</v>
      </c>
      <c r="I2002" s="281">
        <v>25.0</v>
      </c>
      <c r="J2002" s="280">
        <v>1497.0</v>
      </c>
      <c r="K2002" s="271">
        <f t="shared" si="1"/>
        <v>37425</v>
      </c>
      <c r="L2002" s="280">
        <v>98997.0</v>
      </c>
      <c r="M2002" s="280">
        <v>499.0</v>
      </c>
      <c r="N2002" s="282">
        <v>449.02</v>
      </c>
      <c r="O2002" s="60"/>
      <c r="P2002" s="50">
        <v>449.0</v>
      </c>
      <c r="Q2002" s="280">
        <v>1277.0</v>
      </c>
      <c r="R2002" s="276">
        <v>-0.003254</v>
      </c>
      <c r="S2002" s="280">
        <v>1155.0</v>
      </c>
      <c r="T2002" s="280">
        <v>1604.0</v>
      </c>
      <c r="U2002" s="62">
        <v>1.0</v>
      </c>
      <c r="V2002" s="277">
        <v>0.17</v>
      </c>
      <c r="W2002" s="277">
        <v>0.0</v>
      </c>
      <c r="X2002" s="280">
        <v>1331.0</v>
      </c>
      <c r="Y2002" s="280">
        <v>273.0</v>
      </c>
      <c r="Z2002" s="50" t="b">
        <v>1</v>
      </c>
      <c r="AA2002" s="50" t="s">
        <v>140</v>
      </c>
      <c r="AB2002" s="50" t="s">
        <v>140</v>
      </c>
    </row>
    <row r="2003">
      <c r="A2003" s="280" t="s">
        <v>171</v>
      </c>
      <c r="B2003" s="280" t="s">
        <v>172</v>
      </c>
      <c r="C2003" s="283">
        <v>44875.0</v>
      </c>
      <c r="D2003" s="283">
        <v>44883.0</v>
      </c>
      <c r="E2003" s="280" t="s">
        <v>268</v>
      </c>
      <c r="F2003" s="138" t="s">
        <v>8</v>
      </c>
      <c r="G2003" s="280" t="s">
        <v>9</v>
      </c>
      <c r="H2003" s="290" t="s">
        <v>89</v>
      </c>
      <c r="I2003" s="281">
        <v>100.0</v>
      </c>
      <c r="J2003" s="280">
        <v>196.0</v>
      </c>
      <c r="K2003" s="271">
        <f t="shared" si="1"/>
        <v>19600</v>
      </c>
      <c r="L2003" s="280">
        <v>11077.0</v>
      </c>
      <c r="M2003" s="280">
        <v>-300.0</v>
      </c>
      <c r="N2003" s="282">
        <v>73.23</v>
      </c>
      <c r="O2003" s="60"/>
      <c r="P2003" s="50">
        <v>73.0</v>
      </c>
      <c r="Q2003" s="280">
        <v>237.0</v>
      </c>
      <c r="R2003" s="276">
        <v>-0.020944</v>
      </c>
      <c r="S2003" s="280">
        <v>-174.0</v>
      </c>
      <c r="T2003" s="280">
        <v>-101.0</v>
      </c>
      <c r="U2003" s="62">
        <v>1.0</v>
      </c>
      <c r="V2003" s="277">
        <v>0.17</v>
      </c>
      <c r="W2003" s="277">
        <v>0.0</v>
      </c>
      <c r="X2003" s="280">
        <v>-84.0</v>
      </c>
      <c r="Y2003" s="280">
        <v>-17.0</v>
      </c>
      <c r="Z2003" s="50" t="b">
        <v>1</v>
      </c>
      <c r="AA2003" s="50" t="s">
        <v>140</v>
      </c>
      <c r="AB2003" s="50" t="s">
        <v>140</v>
      </c>
    </row>
    <row r="2004">
      <c r="A2004" s="101" t="s">
        <v>267</v>
      </c>
      <c r="B2004" s="101" t="s">
        <v>267</v>
      </c>
      <c r="C2004" s="278">
        <v>44855.0</v>
      </c>
      <c r="D2004" s="278">
        <v>44885.0</v>
      </c>
      <c r="E2004" s="271" t="s">
        <v>268</v>
      </c>
      <c r="F2004" s="138" t="s">
        <v>4</v>
      </c>
      <c r="G2004" s="101" t="s">
        <v>5</v>
      </c>
      <c r="H2004" s="273" t="s">
        <v>23</v>
      </c>
      <c r="I2004" s="274">
        <v>1.0</v>
      </c>
      <c r="J2004" s="271">
        <v>10.0</v>
      </c>
      <c r="K2004" s="271">
        <f t="shared" si="1"/>
        <v>10</v>
      </c>
      <c r="L2004" s="271">
        <v>110.0</v>
      </c>
      <c r="M2004" s="271">
        <v>0.0</v>
      </c>
      <c r="N2004" s="275">
        <v>0.23</v>
      </c>
      <c r="O2004" s="60"/>
      <c r="P2004" s="50">
        <v>0.0</v>
      </c>
      <c r="Q2004" s="271">
        <v>-1.0</v>
      </c>
      <c r="R2004" s="276">
        <v>-0.00152</v>
      </c>
      <c r="S2004" s="271">
        <v>-1.0</v>
      </c>
      <c r="T2004" s="271">
        <v>0.0</v>
      </c>
      <c r="U2004" s="62">
        <v>1.0</v>
      </c>
      <c r="V2004" s="277">
        <v>0.15</v>
      </c>
      <c r="W2004" s="277">
        <v>0.0</v>
      </c>
      <c r="X2004" s="271">
        <v>0.0</v>
      </c>
      <c r="Y2004" s="271">
        <v>0.0</v>
      </c>
      <c r="Z2004" s="50" t="b">
        <v>0</v>
      </c>
      <c r="AA2004" s="50" t="s">
        <v>138</v>
      </c>
      <c r="AB2004" s="50" t="s">
        <v>138</v>
      </c>
    </row>
    <row r="2005">
      <c r="A2005" s="101" t="s">
        <v>267</v>
      </c>
      <c r="B2005" s="101" t="s">
        <v>267</v>
      </c>
      <c r="C2005" s="278">
        <v>44855.0</v>
      </c>
      <c r="D2005" s="278">
        <v>44885.0</v>
      </c>
      <c r="E2005" s="271" t="s">
        <v>268</v>
      </c>
      <c r="F2005" s="138" t="s">
        <v>4</v>
      </c>
      <c r="G2005" s="101" t="s">
        <v>5</v>
      </c>
      <c r="H2005" s="273" t="s">
        <v>29</v>
      </c>
      <c r="I2005" s="274">
        <v>2.0</v>
      </c>
      <c r="J2005" s="271">
        <v>130.0</v>
      </c>
      <c r="K2005" s="271">
        <f t="shared" si="1"/>
        <v>260</v>
      </c>
      <c r="L2005" s="271">
        <v>2210.0</v>
      </c>
      <c r="M2005" s="271">
        <v>-80.0</v>
      </c>
      <c r="N2005" s="275">
        <v>5.89</v>
      </c>
      <c r="O2005" s="60"/>
      <c r="P2005" s="50">
        <v>6.0</v>
      </c>
      <c r="Q2005" s="271">
        <v>-10.0</v>
      </c>
      <c r="R2005" s="276">
        <v>-0.00152</v>
      </c>
      <c r="S2005" s="271">
        <v>-10.0</v>
      </c>
      <c r="T2005" s="271">
        <v>-4.0</v>
      </c>
      <c r="U2005" s="62">
        <v>1.0</v>
      </c>
      <c r="V2005" s="277">
        <v>0.15</v>
      </c>
      <c r="W2005" s="277">
        <v>0.0</v>
      </c>
      <c r="X2005" s="271">
        <v>-4.0</v>
      </c>
      <c r="Y2005" s="271">
        <v>-1.0</v>
      </c>
      <c r="Z2005" s="50" t="b">
        <v>0</v>
      </c>
      <c r="AA2005" s="50" t="s">
        <v>138</v>
      </c>
      <c r="AB2005" s="50" t="s">
        <v>138</v>
      </c>
    </row>
    <row r="2006">
      <c r="A2006" s="101" t="s">
        <v>267</v>
      </c>
      <c r="B2006" s="101" t="s">
        <v>267</v>
      </c>
      <c r="C2006" s="278">
        <v>44855.0</v>
      </c>
      <c r="D2006" s="278">
        <v>44885.0</v>
      </c>
      <c r="E2006" s="271" t="s">
        <v>268</v>
      </c>
      <c r="F2006" s="138" t="s">
        <v>4</v>
      </c>
      <c r="G2006" s="101" t="s">
        <v>5</v>
      </c>
      <c r="H2006" s="273" t="s">
        <v>35</v>
      </c>
      <c r="I2006" s="274">
        <v>5.0</v>
      </c>
      <c r="J2006" s="271">
        <v>134.0</v>
      </c>
      <c r="K2006" s="271">
        <f t="shared" si="1"/>
        <v>670</v>
      </c>
      <c r="L2006" s="271">
        <v>4966.0</v>
      </c>
      <c r="M2006" s="271">
        <v>-100.0</v>
      </c>
      <c r="N2006" s="275">
        <v>15.17</v>
      </c>
      <c r="O2006" s="60"/>
      <c r="P2006" s="50">
        <v>15.0</v>
      </c>
      <c r="Q2006" s="271">
        <v>-18.0</v>
      </c>
      <c r="R2006" s="276">
        <v>-0.00152</v>
      </c>
      <c r="S2006" s="271">
        <v>-19.0</v>
      </c>
      <c r="T2006" s="271">
        <v>-4.0</v>
      </c>
      <c r="U2006" s="62">
        <v>1.0</v>
      </c>
      <c r="V2006" s="277">
        <v>0.15</v>
      </c>
      <c r="W2006" s="277">
        <v>0.0</v>
      </c>
      <c r="X2006" s="271">
        <v>-3.0</v>
      </c>
      <c r="Y2006" s="271">
        <v>-1.0</v>
      </c>
      <c r="Z2006" s="50" t="b">
        <v>0</v>
      </c>
      <c r="AA2006" s="50" t="s">
        <v>138</v>
      </c>
      <c r="AB2006" s="50" t="s">
        <v>138</v>
      </c>
    </row>
    <row r="2007">
      <c r="A2007" s="101" t="s">
        <v>267</v>
      </c>
      <c r="B2007" s="101" t="s">
        <v>267</v>
      </c>
      <c r="C2007" s="278">
        <v>44855.0</v>
      </c>
      <c r="D2007" s="278">
        <v>44885.0</v>
      </c>
      <c r="E2007" s="271" t="s">
        <v>268</v>
      </c>
      <c r="F2007" s="138" t="s">
        <v>4</v>
      </c>
      <c r="G2007" s="101" t="s">
        <v>5</v>
      </c>
      <c r="H2007" s="273" t="s">
        <v>38</v>
      </c>
      <c r="I2007" s="274">
        <v>5.0</v>
      </c>
      <c r="J2007" s="271">
        <v>105.0</v>
      </c>
      <c r="K2007" s="271">
        <f t="shared" si="1"/>
        <v>525</v>
      </c>
      <c r="L2007" s="271">
        <v>4028.0</v>
      </c>
      <c r="M2007" s="271">
        <v>105.0</v>
      </c>
      <c r="N2007" s="275">
        <v>11.89</v>
      </c>
      <c r="O2007" s="60"/>
      <c r="P2007" s="50">
        <v>12.0</v>
      </c>
      <c r="Q2007" s="271">
        <v>11.0</v>
      </c>
      <c r="R2007" s="276">
        <v>-0.00152</v>
      </c>
      <c r="S2007" s="271">
        <v>11.0</v>
      </c>
      <c r="T2007" s="271">
        <v>22.0</v>
      </c>
      <c r="U2007" s="62">
        <v>1.0</v>
      </c>
      <c r="V2007" s="277">
        <v>0.15</v>
      </c>
      <c r="W2007" s="277">
        <v>0.0</v>
      </c>
      <c r="X2007" s="271">
        <v>19.0</v>
      </c>
      <c r="Y2007" s="271">
        <v>3.0</v>
      </c>
      <c r="Z2007" s="50" t="b">
        <v>0</v>
      </c>
      <c r="AA2007" s="50" t="s">
        <v>138</v>
      </c>
      <c r="AB2007" s="50" t="s">
        <v>138</v>
      </c>
    </row>
    <row r="2008">
      <c r="A2008" s="101" t="s">
        <v>267</v>
      </c>
      <c r="B2008" s="101" t="s">
        <v>267</v>
      </c>
      <c r="C2008" s="278">
        <v>44855.0</v>
      </c>
      <c r="D2008" s="278">
        <v>44885.0</v>
      </c>
      <c r="E2008" s="271" t="s">
        <v>268</v>
      </c>
      <c r="F2008" s="138" t="s">
        <v>4</v>
      </c>
      <c r="G2008" s="101" t="s">
        <v>5</v>
      </c>
      <c r="H2008" s="273" t="s">
        <v>45</v>
      </c>
      <c r="I2008" s="274">
        <v>10.0</v>
      </c>
      <c r="J2008" s="271">
        <v>355.0</v>
      </c>
      <c r="K2008" s="271">
        <f t="shared" si="1"/>
        <v>3550</v>
      </c>
      <c r="L2008" s="271">
        <v>22591.0</v>
      </c>
      <c r="M2008" s="271">
        <v>-160.0</v>
      </c>
      <c r="N2008" s="275">
        <v>70.35</v>
      </c>
      <c r="O2008" s="60"/>
      <c r="P2008" s="50">
        <v>70.0</v>
      </c>
      <c r="Q2008" s="271">
        <v>134.0</v>
      </c>
      <c r="R2008" s="276">
        <v>-0.00152</v>
      </c>
      <c r="S2008" s="271">
        <v>128.0</v>
      </c>
      <c r="T2008" s="271">
        <v>199.0</v>
      </c>
      <c r="U2008" s="62">
        <v>1.0</v>
      </c>
      <c r="V2008" s="277">
        <v>0.15</v>
      </c>
      <c r="W2008" s="277">
        <v>0.0</v>
      </c>
      <c r="X2008" s="271">
        <v>169.0</v>
      </c>
      <c r="Y2008" s="271">
        <v>30.0</v>
      </c>
      <c r="Z2008" s="50" t="b">
        <v>0</v>
      </c>
      <c r="AA2008" s="50" t="s">
        <v>138</v>
      </c>
      <c r="AB2008" s="50" t="s">
        <v>138</v>
      </c>
    </row>
    <row r="2009">
      <c r="A2009" s="101" t="s">
        <v>267</v>
      </c>
      <c r="B2009" s="101" t="s">
        <v>267</v>
      </c>
      <c r="C2009" s="278">
        <v>44855.0</v>
      </c>
      <c r="D2009" s="278">
        <v>44885.0</v>
      </c>
      <c r="E2009" s="271" t="s">
        <v>268</v>
      </c>
      <c r="F2009" s="138" t="s">
        <v>4</v>
      </c>
      <c r="G2009" s="101" t="s">
        <v>5</v>
      </c>
      <c r="H2009" s="273" t="s">
        <v>48</v>
      </c>
      <c r="I2009" s="274">
        <v>10.0</v>
      </c>
      <c r="J2009" s="271">
        <v>187.0</v>
      </c>
      <c r="K2009" s="271">
        <f t="shared" si="1"/>
        <v>1870</v>
      </c>
      <c r="L2009" s="271">
        <v>1738.0</v>
      </c>
      <c r="M2009" s="271">
        <v>-170.0</v>
      </c>
      <c r="N2009" s="275">
        <v>37.06</v>
      </c>
      <c r="O2009" s="60"/>
      <c r="P2009" s="50">
        <v>37.0</v>
      </c>
      <c r="Q2009" s="271">
        <v>-95.0</v>
      </c>
      <c r="R2009" s="276">
        <v>-0.00152</v>
      </c>
      <c r="S2009" s="271">
        <v>-98.0</v>
      </c>
      <c r="T2009" s="271">
        <v>-60.0</v>
      </c>
      <c r="U2009" s="62">
        <v>1.0</v>
      </c>
      <c r="V2009" s="277">
        <v>0.15</v>
      </c>
      <c r="W2009" s="277">
        <v>0.0</v>
      </c>
      <c r="X2009" s="271">
        <v>-51.0</v>
      </c>
      <c r="Y2009" s="271">
        <v>-9.0</v>
      </c>
      <c r="Z2009" s="50" t="b">
        <v>0</v>
      </c>
      <c r="AA2009" s="50" t="s">
        <v>138</v>
      </c>
      <c r="AB2009" s="50" t="s">
        <v>138</v>
      </c>
    </row>
    <row r="2010">
      <c r="A2010" s="101" t="s">
        <v>267</v>
      </c>
      <c r="B2010" s="101" t="s">
        <v>267</v>
      </c>
      <c r="C2010" s="278">
        <v>44855.0</v>
      </c>
      <c r="D2010" s="278">
        <v>44885.0</v>
      </c>
      <c r="E2010" s="271" t="s">
        <v>268</v>
      </c>
      <c r="F2010" s="138" t="s">
        <v>4</v>
      </c>
      <c r="G2010" s="101" t="s">
        <v>5</v>
      </c>
      <c r="H2010" s="273" t="s">
        <v>62</v>
      </c>
      <c r="I2010" s="274">
        <v>25.0</v>
      </c>
      <c r="J2010" s="271">
        <v>410.0</v>
      </c>
      <c r="K2010" s="271">
        <f t="shared" si="1"/>
        <v>10250</v>
      </c>
      <c r="L2010" s="271">
        <v>10548.0</v>
      </c>
      <c r="M2010" s="271">
        <v>-325.0</v>
      </c>
      <c r="N2010" s="275">
        <v>174.12</v>
      </c>
      <c r="O2010" s="60"/>
      <c r="P2010" s="50">
        <v>174.0</v>
      </c>
      <c r="Q2010" s="271">
        <v>-211.0</v>
      </c>
      <c r="R2010" s="276">
        <v>-0.00152</v>
      </c>
      <c r="S2010" s="271">
        <v>-227.0</v>
      </c>
      <c r="T2010" s="271">
        <v>-53.0</v>
      </c>
      <c r="U2010" s="62">
        <v>1.0</v>
      </c>
      <c r="V2010" s="277">
        <v>0.15</v>
      </c>
      <c r="W2010" s="277">
        <v>0.0</v>
      </c>
      <c r="X2010" s="271">
        <v>-45.0</v>
      </c>
      <c r="Y2010" s="271">
        <v>-8.0</v>
      </c>
      <c r="Z2010" s="50" t="b">
        <v>0</v>
      </c>
      <c r="AA2010" s="50" t="s">
        <v>138</v>
      </c>
      <c r="AB2010" s="50" t="s">
        <v>138</v>
      </c>
    </row>
    <row r="2011">
      <c r="A2011" s="101" t="s">
        <v>267</v>
      </c>
      <c r="B2011" s="101" t="s">
        <v>267</v>
      </c>
      <c r="C2011" s="278">
        <v>44855.0</v>
      </c>
      <c r="D2011" s="278">
        <v>44885.0</v>
      </c>
      <c r="E2011" s="271" t="s">
        <v>268</v>
      </c>
      <c r="F2011" s="138" t="s">
        <v>4</v>
      </c>
      <c r="G2011" s="101" t="s">
        <v>5</v>
      </c>
      <c r="H2011" s="273" t="s">
        <v>63</v>
      </c>
      <c r="I2011" s="274">
        <v>25.0</v>
      </c>
      <c r="J2011" s="271">
        <v>182.0</v>
      </c>
      <c r="K2011" s="271">
        <f t="shared" si="1"/>
        <v>4550</v>
      </c>
      <c r="L2011" s="271">
        <v>4193.0</v>
      </c>
      <c r="M2011" s="271">
        <v>325.0</v>
      </c>
      <c r="N2011" s="275">
        <v>77.29</v>
      </c>
      <c r="O2011" s="60"/>
      <c r="P2011" s="50">
        <v>77.0</v>
      </c>
      <c r="Q2011" s="271">
        <v>13.0</v>
      </c>
      <c r="R2011" s="276">
        <v>-0.00152</v>
      </c>
      <c r="S2011" s="271">
        <v>6.0</v>
      </c>
      <c r="T2011" s="271">
        <v>83.0</v>
      </c>
      <c r="U2011" s="62">
        <v>1.0</v>
      </c>
      <c r="V2011" s="277">
        <v>0.15</v>
      </c>
      <c r="W2011" s="277">
        <v>0.0</v>
      </c>
      <c r="X2011" s="271">
        <v>71.0</v>
      </c>
      <c r="Y2011" s="271">
        <v>13.0</v>
      </c>
      <c r="Z2011" s="50" t="b">
        <v>0</v>
      </c>
      <c r="AA2011" s="50" t="s">
        <v>138</v>
      </c>
      <c r="AB2011" s="50" t="s">
        <v>138</v>
      </c>
    </row>
    <row r="2012">
      <c r="A2012" s="101" t="s">
        <v>148</v>
      </c>
      <c r="B2012" s="101" t="s">
        <v>148</v>
      </c>
      <c r="C2012" s="278">
        <v>44855.0</v>
      </c>
      <c r="D2012" s="278">
        <v>44885.0</v>
      </c>
      <c r="E2012" s="271" t="s">
        <v>331</v>
      </c>
      <c r="F2012" s="138" t="s">
        <v>4</v>
      </c>
      <c r="G2012" s="101" t="s">
        <v>5</v>
      </c>
      <c r="H2012" s="273" t="s">
        <v>85</v>
      </c>
      <c r="I2012" s="274">
        <v>100.0</v>
      </c>
      <c r="J2012" s="271">
        <v>1374.0</v>
      </c>
      <c r="K2012" s="271">
        <f t="shared" si="1"/>
        <v>137400</v>
      </c>
      <c r="L2012" s="271">
        <v>19906.0</v>
      </c>
      <c r="M2012" s="271">
        <v>-2800.0</v>
      </c>
      <c r="N2012" s="275">
        <v>4520.34</v>
      </c>
      <c r="O2012" s="60"/>
      <c r="P2012" s="109">
        <v>4520.0</v>
      </c>
      <c r="Q2012" s="271">
        <v>-3689.0</v>
      </c>
      <c r="R2012" s="276">
        <v>-0.00152</v>
      </c>
      <c r="S2012" s="271">
        <v>-3897.0</v>
      </c>
      <c r="T2012" s="271">
        <v>623.0</v>
      </c>
      <c r="U2012" s="62">
        <v>1.0</v>
      </c>
      <c r="V2012" s="277">
        <v>0.15</v>
      </c>
      <c r="W2012" s="277">
        <v>0.05</v>
      </c>
      <c r="X2012" s="271">
        <v>498.0</v>
      </c>
      <c r="Y2012" s="271">
        <v>125.0</v>
      </c>
      <c r="Z2012" s="50" t="b">
        <v>1</v>
      </c>
      <c r="AA2012" s="50" t="s">
        <v>138</v>
      </c>
      <c r="AB2012" s="50" t="s">
        <v>138</v>
      </c>
    </row>
    <row r="2013">
      <c r="A2013" s="101" t="s">
        <v>148</v>
      </c>
      <c r="B2013" s="101" t="s">
        <v>148</v>
      </c>
      <c r="C2013" s="278">
        <v>44855.0</v>
      </c>
      <c r="D2013" s="278">
        <v>44885.0</v>
      </c>
      <c r="E2013" s="271" t="s">
        <v>331</v>
      </c>
      <c r="F2013" s="138" t="s">
        <v>4</v>
      </c>
      <c r="G2013" s="101" t="s">
        <v>5</v>
      </c>
      <c r="H2013" s="273" t="s">
        <v>86</v>
      </c>
      <c r="I2013" s="274">
        <v>100.0</v>
      </c>
      <c r="J2013" s="271">
        <v>1620.0</v>
      </c>
      <c r="K2013" s="271">
        <f t="shared" si="1"/>
        <v>162000</v>
      </c>
      <c r="L2013" s="271">
        <v>13996.0</v>
      </c>
      <c r="M2013" s="271">
        <v>11600.0</v>
      </c>
      <c r="N2013" s="275">
        <v>5329.66</v>
      </c>
      <c r="O2013" s="60"/>
      <c r="P2013" s="109">
        <v>5330.0</v>
      </c>
      <c r="Q2013" s="271">
        <v>-4376.0</v>
      </c>
      <c r="R2013" s="276">
        <v>-0.00152</v>
      </c>
      <c r="S2013" s="271">
        <v>-4622.0</v>
      </c>
      <c r="T2013" s="271">
        <v>708.0</v>
      </c>
      <c r="U2013" s="62">
        <v>1.0</v>
      </c>
      <c r="V2013" s="277">
        <v>0.15</v>
      </c>
      <c r="W2013" s="277">
        <v>0.05</v>
      </c>
      <c r="X2013" s="271">
        <v>566.0</v>
      </c>
      <c r="Y2013" s="271">
        <v>142.0</v>
      </c>
      <c r="Z2013" s="50" t="b">
        <v>1</v>
      </c>
      <c r="AA2013" s="50" t="s">
        <v>138</v>
      </c>
      <c r="AB2013" s="50" t="s">
        <v>138</v>
      </c>
    </row>
    <row r="2014">
      <c r="A2014" s="101" t="s">
        <v>182</v>
      </c>
      <c r="B2014" s="101" t="s">
        <v>182</v>
      </c>
      <c r="C2014" s="278">
        <v>44855.0</v>
      </c>
      <c r="D2014" s="278">
        <v>44885.0</v>
      </c>
      <c r="E2014" s="280" t="s">
        <v>268</v>
      </c>
      <c r="F2014" s="101" t="s">
        <v>4</v>
      </c>
      <c r="G2014" s="271" t="s">
        <v>5</v>
      </c>
      <c r="H2014" s="273" t="s">
        <v>35</v>
      </c>
      <c r="I2014" s="281">
        <v>5.0</v>
      </c>
      <c r="J2014" s="280">
        <v>3.0</v>
      </c>
      <c r="K2014" s="271">
        <f t="shared" si="1"/>
        <v>15</v>
      </c>
      <c r="L2014" s="280">
        <v>788.0</v>
      </c>
      <c r="M2014" s="280">
        <v>25.0</v>
      </c>
      <c r="N2014" s="275">
        <v>1.0</v>
      </c>
      <c r="O2014" s="60"/>
      <c r="P2014" s="50">
        <v>1.0</v>
      </c>
      <c r="Q2014" s="280">
        <v>6.0</v>
      </c>
      <c r="R2014" s="276">
        <v>-0.00152</v>
      </c>
      <c r="S2014" s="280">
        <v>6.0</v>
      </c>
      <c r="T2014" s="280">
        <v>7.0</v>
      </c>
      <c r="U2014" s="62">
        <v>1.0</v>
      </c>
      <c r="V2014" s="277">
        <v>0.2</v>
      </c>
      <c r="W2014" s="277">
        <v>0.0</v>
      </c>
      <c r="X2014" s="280">
        <v>5.0</v>
      </c>
      <c r="Y2014" s="280">
        <v>1.0</v>
      </c>
      <c r="Z2014" s="50" t="b">
        <v>1</v>
      </c>
      <c r="AA2014" s="50" t="s">
        <v>138</v>
      </c>
      <c r="AB2014" s="50" t="s">
        <v>138</v>
      </c>
    </row>
    <row r="2015">
      <c r="A2015" s="101" t="s">
        <v>182</v>
      </c>
      <c r="B2015" s="101" t="s">
        <v>182</v>
      </c>
      <c r="C2015" s="278">
        <v>44855.0</v>
      </c>
      <c r="D2015" s="278">
        <v>44885.0</v>
      </c>
      <c r="E2015" s="280" t="s">
        <v>268</v>
      </c>
      <c r="F2015" s="101" t="s">
        <v>4</v>
      </c>
      <c r="G2015" s="271" t="s">
        <v>5</v>
      </c>
      <c r="H2015" s="273" t="s">
        <v>45</v>
      </c>
      <c r="I2015" s="281">
        <v>10.0</v>
      </c>
      <c r="J2015" s="280">
        <v>4239.0</v>
      </c>
      <c r="K2015" s="271">
        <f t="shared" si="1"/>
        <v>42390</v>
      </c>
      <c r="L2015" s="280">
        <v>167792.0</v>
      </c>
      <c r="M2015" s="280">
        <v>1680.0</v>
      </c>
      <c r="N2015" s="275">
        <v>1814.0</v>
      </c>
      <c r="O2015" s="60"/>
      <c r="P2015" s="109">
        <v>1814.0</v>
      </c>
      <c r="Q2015" s="280">
        <v>-59.0</v>
      </c>
      <c r="R2015" s="276">
        <v>-0.00152</v>
      </c>
      <c r="S2015" s="280">
        <v>-123.0</v>
      </c>
      <c r="T2015" s="280">
        <v>1691.0</v>
      </c>
      <c r="U2015" s="62">
        <v>1.0</v>
      </c>
      <c r="V2015" s="277">
        <v>0.2</v>
      </c>
      <c r="W2015" s="277">
        <v>0.0</v>
      </c>
      <c r="X2015" s="280">
        <v>1352.0</v>
      </c>
      <c r="Y2015" s="280">
        <v>338.0</v>
      </c>
      <c r="Z2015" s="50" t="b">
        <v>1</v>
      </c>
      <c r="AA2015" s="50" t="s">
        <v>138</v>
      </c>
      <c r="AB2015" s="50" t="s">
        <v>138</v>
      </c>
    </row>
    <row r="2016">
      <c r="A2016" s="101" t="s">
        <v>149</v>
      </c>
      <c r="B2016" s="101" t="s">
        <v>149</v>
      </c>
      <c r="C2016" s="278">
        <v>44855.0</v>
      </c>
      <c r="D2016" s="278">
        <v>44885.0</v>
      </c>
      <c r="E2016" s="271" t="s">
        <v>268</v>
      </c>
      <c r="F2016" s="138" t="s">
        <v>4</v>
      </c>
      <c r="G2016" s="101" t="s">
        <v>5</v>
      </c>
      <c r="H2016" s="273" t="s">
        <v>74</v>
      </c>
      <c r="I2016" s="274">
        <v>50.0</v>
      </c>
      <c r="J2016" s="271">
        <v>2944.0</v>
      </c>
      <c r="K2016" s="271">
        <f t="shared" si="1"/>
        <v>147200</v>
      </c>
      <c r="L2016" s="271">
        <v>36069.0</v>
      </c>
      <c r="M2016" s="271">
        <v>-7550.0</v>
      </c>
      <c r="N2016" s="275">
        <v>6233.0</v>
      </c>
      <c r="O2016" s="60"/>
      <c r="P2016" s="109">
        <v>6233.0</v>
      </c>
      <c r="Q2016" s="271">
        <v>-6077.0</v>
      </c>
      <c r="R2016" s="276">
        <v>-0.00152</v>
      </c>
      <c r="S2016" s="271">
        <v>-6300.0</v>
      </c>
      <c r="T2016" s="271">
        <v>-67.0</v>
      </c>
      <c r="U2016" s="62">
        <v>1.0</v>
      </c>
      <c r="V2016" s="291"/>
      <c r="W2016" s="277">
        <v>0.0</v>
      </c>
      <c r="X2016" s="271">
        <v>-67.0</v>
      </c>
      <c r="Y2016" s="271">
        <v>0.0</v>
      </c>
      <c r="Z2016" s="50" t="b">
        <v>0</v>
      </c>
      <c r="AA2016" s="50" t="s">
        <v>138</v>
      </c>
      <c r="AB2016" s="50" t="s">
        <v>138</v>
      </c>
    </row>
    <row r="2017">
      <c r="A2017" s="101" t="s">
        <v>149</v>
      </c>
      <c r="B2017" s="101" t="s">
        <v>149</v>
      </c>
      <c r="C2017" s="278">
        <v>44855.0</v>
      </c>
      <c r="D2017" s="278">
        <v>44885.0</v>
      </c>
      <c r="E2017" s="271" t="s">
        <v>268</v>
      </c>
      <c r="F2017" s="138" t="s">
        <v>12</v>
      </c>
      <c r="G2017" s="101" t="s">
        <v>5</v>
      </c>
      <c r="H2017" s="273" t="s">
        <v>62</v>
      </c>
      <c r="I2017" s="274">
        <v>25.0</v>
      </c>
      <c r="J2017" s="271">
        <v>63.0</v>
      </c>
      <c r="K2017" s="271">
        <f t="shared" si="1"/>
        <v>1575</v>
      </c>
      <c r="L2017" s="271">
        <v>4264.0</v>
      </c>
      <c r="M2017" s="271">
        <v>250.0</v>
      </c>
      <c r="N2017" s="275">
        <v>67.0</v>
      </c>
      <c r="O2017" s="60"/>
      <c r="P2017" s="50">
        <v>67.0</v>
      </c>
      <c r="Q2017" s="271">
        <v>97.0</v>
      </c>
      <c r="R2017" s="276">
        <v>0.0</v>
      </c>
      <c r="S2017" s="271">
        <v>97.0</v>
      </c>
      <c r="T2017" s="271">
        <v>317.0</v>
      </c>
      <c r="U2017" s="62">
        <v>1.0</v>
      </c>
      <c r="V2017" s="291"/>
      <c r="W2017" s="277">
        <v>0.0</v>
      </c>
      <c r="X2017" s="271">
        <v>317.0</v>
      </c>
      <c r="Y2017" s="271">
        <v>0.0</v>
      </c>
      <c r="Z2017" s="50" t="b">
        <v>0</v>
      </c>
      <c r="AA2017" s="50" t="s">
        <v>138</v>
      </c>
      <c r="AB2017" s="50" t="s">
        <v>138</v>
      </c>
    </row>
    <row r="2018">
      <c r="A2018" s="280" t="s">
        <v>345</v>
      </c>
      <c r="B2018" s="280" t="s">
        <v>904</v>
      </c>
      <c r="C2018" s="283">
        <v>44855.0</v>
      </c>
      <c r="D2018" s="283">
        <v>44885.0</v>
      </c>
      <c r="E2018" s="271" t="s">
        <v>331</v>
      </c>
      <c r="F2018" s="138" t="s">
        <v>4</v>
      </c>
      <c r="G2018" s="280" t="s">
        <v>9</v>
      </c>
      <c r="H2018" s="290" t="s">
        <v>50</v>
      </c>
      <c r="I2018" s="281">
        <v>10.0</v>
      </c>
      <c r="J2018" s="280">
        <v>3197.0</v>
      </c>
      <c r="K2018" s="271">
        <f t="shared" si="1"/>
        <v>31970</v>
      </c>
      <c r="L2018" s="280">
        <v>210650.0</v>
      </c>
      <c r="M2018" s="280">
        <v>596.0</v>
      </c>
      <c r="N2018" s="282">
        <v>1662.54</v>
      </c>
      <c r="O2018" s="60"/>
      <c r="P2018" s="109">
        <v>1663.0</v>
      </c>
      <c r="Q2018" s="280">
        <v>1077.0</v>
      </c>
      <c r="R2018" s="276">
        <v>-0.00152</v>
      </c>
      <c r="S2018" s="280">
        <v>1028.0</v>
      </c>
      <c r="T2018" s="280">
        <v>2691.0</v>
      </c>
      <c r="U2018" s="62">
        <v>1.028</v>
      </c>
      <c r="V2018" s="277">
        <v>0.1</v>
      </c>
      <c r="W2018" s="277">
        <v>0.1</v>
      </c>
      <c r="X2018" s="280">
        <v>2213.0</v>
      </c>
      <c r="Y2018" s="280">
        <v>553.0</v>
      </c>
      <c r="Z2018" s="50" t="b">
        <v>1</v>
      </c>
      <c r="AA2018" s="50" t="s">
        <v>138</v>
      </c>
      <c r="AB2018" s="50" t="s">
        <v>140</v>
      </c>
    </row>
    <row r="2019">
      <c r="A2019" s="280" t="s">
        <v>345</v>
      </c>
      <c r="B2019" s="280" t="s">
        <v>904</v>
      </c>
      <c r="C2019" s="283">
        <v>44855.0</v>
      </c>
      <c r="D2019" s="283">
        <v>44885.0</v>
      </c>
      <c r="E2019" s="271" t="s">
        <v>331</v>
      </c>
      <c r="F2019" s="138" t="s">
        <v>4</v>
      </c>
      <c r="G2019" s="280" t="s">
        <v>9</v>
      </c>
      <c r="H2019" s="290" t="s">
        <v>64</v>
      </c>
      <c r="I2019" s="281">
        <v>25.0</v>
      </c>
      <c r="J2019" s="280">
        <v>500.0</v>
      </c>
      <c r="K2019" s="271">
        <f t="shared" si="1"/>
        <v>12500</v>
      </c>
      <c r="L2019" s="280">
        <v>-4401.0</v>
      </c>
      <c r="M2019" s="280">
        <v>-2030.0</v>
      </c>
      <c r="N2019" s="282">
        <v>7.46</v>
      </c>
      <c r="O2019" s="60"/>
      <c r="P2019" s="50">
        <v>7.0</v>
      </c>
      <c r="Q2019" s="280">
        <v>-1272.0</v>
      </c>
      <c r="R2019" s="276">
        <v>-0.00152</v>
      </c>
      <c r="S2019" s="280">
        <v>-1291.0</v>
      </c>
      <c r="T2019" s="280">
        <v>-1284.0</v>
      </c>
      <c r="U2019" s="62">
        <v>1.028</v>
      </c>
      <c r="V2019" s="277">
        <v>0.1</v>
      </c>
      <c r="W2019" s="277">
        <v>0.1</v>
      </c>
      <c r="X2019" s="280">
        <v>-1056.0</v>
      </c>
      <c r="Y2019" s="280">
        <v>-264.0</v>
      </c>
      <c r="Z2019" s="50" t="b">
        <v>1</v>
      </c>
      <c r="AA2019" s="50" t="s">
        <v>138</v>
      </c>
      <c r="AB2019" s="50" t="s">
        <v>140</v>
      </c>
    </row>
    <row r="2020">
      <c r="A2020" s="280" t="s">
        <v>345</v>
      </c>
      <c r="B2020" s="280" t="s">
        <v>905</v>
      </c>
      <c r="C2020" s="283">
        <v>44855.0</v>
      </c>
      <c r="D2020" s="283">
        <v>44885.0</v>
      </c>
      <c r="E2020" s="271" t="s">
        <v>331</v>
      </c>
      <c r="F2020" s="138" t="s">
        <v>4</v>
      </c>
      <c r="G2020" s="271" t="s">
        <v>13</v>
      </c>
      <c r="H2020" s="273" t="s">
        <v>45</v>
      </c>
      <c r="I2020" s="281">
        <v>10.0</v>
      </c>
      <c r="J2020" s="280">
        <v>94.0</v>
      </c>
      <c r="K2020" s="271">
        <f t="shared" si="1"/>
        <v>940</v>
      </c>
      <c r="L2020" s="280">
        <v>1444.0</v>
      </c>
      <c r="M2020" s="280">
        <v>-130.0</v>
      </c>
      <c r="N2020" s="275">
        <v>22.0</v>
      </c>
      <c r="O2020" s="60"/>
      <c r="P2020" s="50">
        <v>22.0</v>
      </c>
      <c r="Q2020" s="280">
        <v>-27.0</v>
      </c>
      <c r="R2020" s="276">
        <v>-0.0015</v>
      </c>
      <c r="S2020" s="280">
        <v>-29.0</v>
      </c>
      <c r="T2020" s="280">
        <v>-7.0</v>
      </c>
      <c r="U2020" s="62">
        <v>1.0</v>
      </c>
      <c r="V2020" s="277">
        <v>0.1</v>
      </c>
      <c r="W2020" s="277">
        <v>0.1</v>
      </c>
      <c r="X2020" s="280">
        <v>-5.0</v>
      </c>
      <c r="Y2020" s="280">
        <v>-1.0</v>
      </c>
      <c r="Z2020" s="50" t="b">
        <v>1</v>
      </c>
      <c r="AA2020" s="50" t="s">
        <v>138</v>
      </c>
      <c r="AB2020" s="50" t="s">
        <v>138</v>
      </c>
    </row>
    <row r="2021">
      <c r="A2021" s="280" t="s">
        <v>345</v>
      </c>
      <c r="B2021" s="280" t="s">
        <v>905</v>
      </c>
      <c r="C2021" s="283">
        <v>44855.0</v>
      </c>
      <c r="D2021" s="283">
        <v>44885.0</v>
      </c>
      <c r="E2021" s="271" t="s">
        <v>331</v>
      </c>
      <c r="F2021" s="138" t="s">
        <v>4</v>
      </c>
      <c r="G2021" s="271" t="s">
        <v>13</v>
      </c>
      <c r="H2021" s="290" t="s">
        <v>59</v>
      </c>
      <c r="I2021" s="281">
        <v>20.0</v>
      </c>
      <c r="J2021" s="280">
        <v>177.0</v>
      </c>
      <c r="K2021" s="271">
        <f t="shared" si="1"/>
        <v>3540</v>
      </c>
      <c r="L2021" s="280">
        <v>2332.0</v>
      </c>
      <c r="M2021" s="280">
        <v>-960.0</v>
      </c>
      <c r="N2021" s="275">
        <v>82.0</v>
      </c>
      <c r="O2021" s="60"/>
      <c r="P2021" s="50">
        <v>82.0</v>
      </c>
      <c r="Q2021" s="280">
        <v>-125.0</v>
      </c>
      <c r="R2021" s="276">
        <v>-0.0015</v>
      </c>
      <c r="S2021" s="280">
        <v>-131.0</v>
      </c>
      <c r="T2021" s="280">
        <v>-49.0</v>
      </c>
      <c r="U2021" s="62">
        <v>1.0</v>
      </c>
      <c r="V2021" s="277">
        <v>0.1</v>
      </c>
      <c r="W2021" s="277">
        <v>0.1</v>
      </c>
      <c r="X2021" s="280">
        <v>-39.0</v>
      </c>
      <c r="Y2021" s="280">
        <v>-10.0</v>
      </c>
      <c r="Z2021" s="50" t="b">
        <v>1</v>
      </c>
      <c r="AA2021" s="50" t="s">
        <v>138</v>
      </c>
      <c r="AB2021" s="50" t="s">
        <v>138</v>
      </c>
    </row>
    <row r="2022">
      <c r="A2022" s="101" t="s">
        <v>170</v>
      </c>
      <c r="B2022" s="101" t="s">
        <v>170</v>
      </c>
      <c r="C2022" s="278">
        <v>44855.0</v>
      </c>
      <c r="D2022" s="278">
        <v>44885.0</v>
      </c>
      <c r="E2022" s="271" t="s">
        <v>268</v>
      </c>
      <c r="F2022" s="101" t="s">
        <v>4</v>
      </c>
      <c r="G2022" s="271" t="s">
        <v>5</v>
      </c>
      <c r="H2022" s="273" t="s">
        <v>35</v>
      </c>
      <c r="I2022" s="274">
        <v>5.0</v>
      </c>
      <c r="J2022" s="271">
        <v>73.0</v>
      </c>
      <c r="K2022" s="271">
        <f t="shared" si="1"/>
        <v>365</v>
      </c>
      <c r="L2022" s="271">
        <v>4892.0</v>
      </c>
      <c r="M2022" s="271">
        <v>40.0</v>
      </c>
      <c r="N2022" s="275">
        <v>16.0</v>
      </c>
      <c r="O2022" s="60"/>
      <c r="P2022" s="50">
        <v>16.0</v>
      </c>
      <c r="Q2022" s="271">
        <v>16.0</v>
      </c>
      <c r="R2022" s="276">
        <v>-0.00152</v>
      </c>
      <c r="S2022" s="271">
        <v>16.0</v>
      </c>
      <c r="T2022" s="271">
        <v>32.0</v>
      </c>
      <c r="U2022" s="62">
        <v>1.0</v>
      </c>
      <c r="V2022" s="277">
        <v>0.3</v>
      </c>
      <c r="W2022" s="277">
        <v>0.0</v>
      </c>
      <c r="X2022" s="271">
        <v>22.0</v>
      </c>
      <c r="Y2022" s="271">
        <v>9.0</v>
      </c>
      <c r="Z2022" s="50" t="b">
        <v>1</v>
      </c>
      <c r="AA2022" s="50" t="s">
        <v>138</v>
      </c>
      <c r="AB2022" s="50" t="s">
        <v>138</v>
      </c>
    </row>
    <row r="2023">
      <c r="A2023" s="101" t="s">
        <v>170</v>
      </c>
      <c r="B2023" s="101" t="s">
        <v>170</v>
      </c>
      <c r="C2023" s="278">
        <v>44855.0</v>
      </c>
      <c r="D2023" s="278">
        <v>44885.0</v>
      </c>
      <c r="E2023" s="271" t="s">
        <v>268</v>
      </c>
      <c r="F2023" s="101" t="s">
        <v>4</v>
      </c>
      <c r="G2023" s="271" t="s">
        <v>5</v>
      </c>
      <c r="H2023" s="273" t="s">
        <v>45</v>
      </c>
      <c r="I2023" s="274">
        <v>10.0</v>
      </c>
      <c r="J2023" s="271">
        <v>180.0</v>
      </c>
      <c r="K2023" s="271">
        <f t="shared" si="1"/>
        <v>1800</v>
      </c>
      <c r="L2023" s="271">
        <v>11577.0</v>
      </c>
      <c r="M2023" s="271">
        <v>130.0</v>
      </c>
      <c r="N2023" s="275">
        <v>69.0</v>
      </c>
      <c r="O2023" s="60"/>
      <c r="P2023" s="50">
        <v>69.0</v>
      </c>
      <c r="Q2023" s="271">
        <v>94.0</v>
      </c>
      <c r="R2023" s="276">
        <v>-0.00152</v>
      </c>
      <c r="S2023" s="271">
        <v>91.0</v>
      </c>
      <c r="T2023" s="271">
        <v>160.0</v>
      </c>
      <c r="U2023" s="62">
        <v>1.0</v>
      </c>
      <c r="V2023" s="277">
        <v>0.3</v>
      </c>
      <c r="W2023" s="277">
        <v>0.0</v>
      </c>
      <c r="X2023" s="271">
        <v>112.0</v>
      </c>
      <c r="Y2023" s="271">
        <v>48.0</v>
      </c>
      <c r="Z2023" s="50" t="b">
        <v>1</v>
      </c>
      <c r="AA2023" s="50" t="s">
        <v>138</v>
      </c>
      <c r="AB2023" s="50" t="s">
        <v>138</v>
      </c>
    </row>
    <row r="2024">
      <c r="A2024" s="101" t="s">
        <v>416</v>
      </c>
      <c r="B2024" s="101" t="s">
        <v>190</v>
      </c>
      <c r="C2024" s="278">
        <v>44855.0</v>
      </c>
      <c r="D2024" s="278">
        <v>44885.0</v>
      </c>
      <c r="E2024" s="271" t="s">
        <v>268</v>
      </c>
      <c r="F2024" s="138" t="s">
        <v>4</v>
      </c>
      <c r="G2024" s="271" t="s">
        <v>5</v>
      </c>
      <c r="H2024" s="273" t="s">
        <v>45</v>
      </c>
      <c r="I2024" s="274">
        <v>10.0</v>
      </c>
      <c r="J2024" s="271">
        <v>3768.0</v>
      </c>
      <c r="K2024" s="271">
        <f t="shared" si="1"/>
        <v>37680</v>
      </c>
      <c r="L2024" s="271">
        <v>202342.0</v>
      </c>
      <c r="M2024" s="271">
        <v>140.0</v>
      </c>
      <c r="N2024" s="275">
        <v>1685.0</v>
      </c>
      <c r="O2024" s="60"/>
      <c r="P2024" s="109">
        <v>1685.0</v>
      </c>
      <c r="Q2024" s="271">
        <v>806.0</v>
      </c>
      <c r="R2024" s="276">
        <v>-0.00152</v>
      </c>
      <c r="S2024" s="271">
        <v>749.0</v>
      </c>
      <c r="T2024" s="271">
        <v>2434.0</v>
      </c>
      <c r="U2024" s="62">
        <v>1.0</v>
      </c>
      <c r="V2024" s="277">
        <v>0.25</v>
      </c>
      <c r="W2024" s="277">
        <v>0.0</v>
      </c>
      <c r="X2024" s="271">
        <v>1826.0</v>
      </c>
      <c r="Y2024" s="271">
        <v>609.0</v>
      </c>
      <c r="Z2024" s="50" t="b">
        <v>1</v>
      </c>
      <c r="AA2024" s="50" t="s">
        <v>138</v>
      </c>
      <c r="AB2024" s="50" t="s">
        <v>138</v>
      </c>
    </row>
    <row r="2025">
      <c r="A2025" s="280" t="s">
        <v>192</v>
      </c>
      <c r="B2025" s="280" t="s">
        <v>191</v>
      </c>
      <c r="C2025" s="278">
        <v>44855.0</v>
      </c>
      <c r="D2025" s="278">
        <v>44885.0</v>
      </c>
      <c r="E2025" s="280" t="s">
        <v>268</v>
      </c>
      <c r="F2025" s="138" t="s">
        <v>4</v>
      </c>
      <c r="G2025" s="271" t="s">
        <v>22</v>
      </c>
      <c r="H2025" s="290" t="s">
        <v>51</v>
      </c>
      <c r="I2025" s="281">
        <v>10.0</v>
      </c>
      <c r="J2025" s="280">
        <v>76.0</v>
      </c>
      <c r="K2025" s="271">
        <f t="shared" si="1"/>
        <v>760</v>
      </c>
      <c r="L2025" s="280">
        <v>13600.0</v>
      </c>
      <c r="M2025" s="280">
        <v>339.0</v>
      </c>
      <c r="N2025" s="275"/>
      <c r="O2025" s="60"/>
      <c r="P2025" s="101"/>
      <c r="Q2025" s="280">
        <v>197.0</v>
      </c>
      <c r="R2025" s="276">
        <v>-0.00152</v>
      </c>
      <c r="S2025" s="280">
        <v>196.0</v>
      </c>
      <c r="T2025" s="280">
        <v>196.0</v>
      </c>
      <c r="U2025" s="62">
        <v>1.05</v>
      </c>
      <c r="V2025" s="277">
        <v>0.3</v>
      </c>
      <c r="W2025" s="277">
        <v>0.0</v>
      </c>
      <c r="X2025" s="280">
        <v>144.0</v>
      </c>
      <c r="Y2025" s="280">
        <v>62.0</v>
      </c>
      <c r="Z2025" s="50" t="b">
        <v>1</v>
      </c>
      <c r="AA2025" s="50" t="s">
        <v>138</v>
      </c>
      <c r="AB2025" s="50" t="s">
        <v>140</v>
      </c>
    </row>
    <row r="2026">
      <c r="A2026" s="280" t="s">
        <v>192</v>
      </c>
      <c r="B2026" s="280" t="s">
        <v>191</v>
      </c>
      <c r="C2026" s="278">
        <v>44855.0</v>
      </c>
      <c r="D2026" s="278">
        <v>44885.0</v>
      </c>
      <c r="E2026" s="280" t="s">
        <v>268</v>
      </c>
      <c r="F2026" s="138" t="s">
        <v>4</v>
      </c>
      <c r="G2026" s="271" t="s">
        <v>22</v>
      </c>
      <c r="H2026" s="290" t="s">
        <v>64</v>
      </c>
      <c r="I2026" s="281">
        <v>25.0</v>
      </c>
      <c r="J2026" s="280">
        <v>3157.0</v>
      </c>
      <c r="K2026" s="271">
        <f t="shared" si="1"/>
        <v>78925</v>
      </c>
      <c r="L2026" s="280">
        <v>116538.0</v>
      </c>
      <c r="M2026" s="280">
        <v>-643.0</v>
      </c>
      <c r="N2026" s="275"/>
      <c r="O2026" s="60"/>
      <c r="P2026" s="101"/>
      <c r="Q2026" s="280">
        <v>-386.0</v>
      </c>
      <c r="R2026" s="276">
        <v>-0.00152</v>
      </c>
      <c r="S2026" s="280">
        <v>-506.0</v>
      </c>
      <c r="T2026" s="280">
        <v>-506.0</v>
      </c>
      <c r="U2026" s="62">
        <v>1.05</v>
      </c>
      <c r="V2026" s="277">
        <v>0.3</v>
      </c>
      <c r="W2026" s="277">
        <v>0.0</v>
      </c>
      <c r="X2026" s="280">
        <v>-372.0</v>
      </c>
      <c r="Y2026" s="280">
        <v>-159.0</v>
      </c>
      <c r="Z2026" s="50" t="b">
        <v>1</v>
      </c>
      <c r="AA2026" s="50" t="s">
        <v>138</v>
      </c>
      <c r="AB2026" s="50" t="s">
        <v>140</v>
      </c>
    </row>
    <row r="2027">
      <c r="A2027" s="280" t="s">
        <v>200</v>
      </c>
      <c r="B2027" s="280" t="s">
        <v>200</v>
      </c>
      <c r="C2027" s="283">
        <v>44859.0</v>
      </c>
      <c r="D2027" s="283">
        <v>44885.0</v>
      </c>
      <c r="E2027" s="280" t="s">
        <v>268</v>
      </c>
      <c r="F2027" s="138" t="s">
        <v>4</v>
      </c>
      <c r="G2027" s="280" t="s">
        <v>9</v>
      </c>
      <c r="H2027" s="290" t="s">
        <v>50</v>
      </c>
      <c r="I2027" s="281">
        <v>10.0</v>
      </c>
      <c r="J2027" s="280">
        <v>2911.0</v>
      </c>
      <c r="K2027" s="271">
        <f t="shared" si="1"/>
        <v>29110</v>
      </c>
      <c r="L2027" s="280">
        <v>177571.0</v>
      </c>
      <c r="M2027" s="280">
        <v>1090.0</v>
      </c>
      <c r="N2027" s="282">
        <v>209.0</v>
      </c>
      <c r="O2027" s="60"/>
      <c r="P2027" s="50">
        <v>209.0</v>
      </c>
      <c r="Q2027" s="280">
        <v>722.0</v>
      </c>
      <c r="R2027" s="276">
        <v>-0.00152</v>
      </c>
      <c r="S2027" s="280">
        <v>678.0</v>
      </c>
      <c r="T2027" s="280">
        <v>887.0</v>
      </c>
      <c r="U2027" s="62">
        <v>1.0</v>
      </c>
      <c r="V2027" s="277">
        <v>0.17</v>
      </c>
      <c r="W2027" s="277">
        <v>0.0</v>
      </c>
      <c r="X2027" s="280">
        <v>736.0</v>
      </c>
      <c r="Y2027" s="280">
        <v>151.0</v>
      </c>
      <c r="Z2027" s="50" t="b">
        <v>1</v>
      </c>
      <c r="AA2027" s="50" t="s">
        <v>140</v>
      </c>
      <c r="AB2027" s="50" t="s">
        <v>140</v>
      </c>
    </row>
    <row r="2028">
      <c r="A2028" s="280" t="s">
        <v>193</v>
      </c>
      <c r="B2028" s="280" t="s">
        <v>193</v>
      </c>
      <c r="C2028" s="278">
        <v>44855.0</v>
      </c>
      <c r="D2028" s="278">
        <v>44885.0</v>
      </c>
      <c r="E2028" s="280" t="s">
        <v>268</v>
      </c>
      <c r="F2028" s="138" t="s">
        <v>4</v>
      </c>
      <c r="G2028" s="271" t="s">
        <v>5</v>
      </c>
      <c r="H2028" s="290" t="s">
        <v>62</v>
      </c>
      <c r="I2028" s="281">
        <v>25.0</v>
      </c>
      <c r="J2028" s="280">
        <v>1665.0</v>
      </c>
      <c r="K2028" s="271">
        <f t="shared" si="1"/>
        <v>41625</v>
      </c>
      <c r="L2028" s="280">
        <v>45283.0</v>
      </c>
      <c r="M2028" s="280">
        <v>-625.0</v>
      </c>
      <c r="N2028" s="275">
        <v>774.0</v>
      </c>
      <c r="O2028" s="60"/>
      <c r="P2028" s="50">
        <v>774.0</v>
      </c>
      <c r="Q2028" s="280">
        <v>-565.0</v>
      </c>
      <c r="R2028" s="276">
        <v>-0.00152</v>
      </c>
      <c r="S2028" s="280">
        <v>-628.0</v>
      </c>
      <c r="T2028" s="280">
        <v>146.0</v>
      </c>
      <c r="U2028" s="62">
        <v>1.0</v>
      </c>
      <c r="V2028" s="277">
        <v>0.3</v>
      </c>
      <c r="W2028" s="277">
        <v>0.0</v>
      </c>
      <c r="X2028" s="280">
        <v>102.0</v>
      </c>
      <c r="Y2028" s="280">
        <v>44.0</v>
      </c>
      <c r="Z2028" s="50" t="b">
        <v>1</v>
      </c>
      <c r="AA2028" s="50" t="s">
        <v>138</v>
      </c>
      <c r="AB2028" s="50" t="s">
        <v>138</v>
      </c>
    </row>
    <row r="2029">
      <c r="A2029" s="280" t="s">
        <v>193</v>
      </c>
      <c r="B2029" s="280" t="s">
        <v>194</v>
      </c>
      <c r="C2029" s="278">
        <v>44855.0</v>
      </c>
      <c r="D2029" s="278">
        <v>44885.0</v>
      </c>
      <c r="E2029" s="280" t="s">
        <v>268</v>
      </c>
      <c r="F2029" s="138" t="s">
        <v>4</v>
      </c>
      <c r="G2029" s="271" t="s">
        <v>22</v>
      </c>
      <c r="H2029" s="290" t="s">
        <v>51</v>
      </c>
      <c r="I2029" s="281">
        <v>10.0</v>
      </c>
      <c r="J2029" s="280">
        <v>868.0</v>
      </c>
      <c r="K2029" s="271">
        <f t="shared" si="1"/>
        <v>8680</v>
      </c>
      <c r="L2029" s="280">
        <v>57388.0</v>
      </c>
      <c r="M2029" s="280">
        <v>560.0</v>
      </c>
      <c r="N2029" s="275"/>
      <c r="O2029" s="60"/>
      <c r="P2029" s="101"/>
      <c r="Q2029" s="280">
        <v>410.0</v>
      </c>
      <c r="R2029" s="276">
        <v>-0.00152</v>
      </c>
      <c r="S2029" s="280">
        <v>397.0</v>
      </c>
      <c r="T2029" s="280">
        <v>397.0</v>
      </c>
      <c r="U2029" s="62">
        <v>1.028</v>
      </c>
      <c r="V2029" s="277">
        <v>0.3</v>
      </c>
      <c r="W2029" s="277">
        <v>0.0</v>
      </c>
      <c r="X2029" s="280">
        <v>286.0</v>
      </c>
      <c r="Y2029" s="280">
        <v>122.0</v>
      </c>
      <c r="Z2029" s="50" t="b">
        <v>1</v>
      </c>
      <c r="AA2029" s="50" t="s">
        <v>138</v>
      </c>
      <c r="AB2029" s="50" t="s">
        <v>140</v>
      </c>
    </row>
    <row r="2030">
      <c r="A2030" s="280" t="s">
        <v>193</v>
      </c>
      <c r="B2030" s="280" t="s">
        <v>193</v>
      </c>
      <c r="C2030" s="278">
        <v>44855.0</v>
      </c>
      <c r="D2030" s="278">
        <v>44885.0</v>
      </c>
      <c r="E2030" s="280" t="s">
        <v>268</v>
      </c>
      <c r="F2030" s="138" t="s">
        <v>12</v>
      </c>
      <c r="G2030" s="271" t="s">
        <v>5</v>
      </c>
      <c r="H2030" s="273" t="s">
        <v>35</v>
      </c>
      <c r="I2030" s="274">
        <v>5.0</v>
      </c>
      <c r="J2030" s="271">
        <v>5.0</v>
      </c>
      <c r="K2030" s="271">
        <f t="shared" si="1"/>
        <v>25</v>
      </c>
      <c r="L2030" s="271"/>
      <c r="M2030" s="271">
        <v>15.0</v>
      </c>
      <c r="N2030" s="275">
        <v>1.0</v>
      </c>
      <c r="O2030" s="60"/>
      <c r="P2030" s="50">
        <v>1.0</v>
      </c>
      <c r="Q2030" s="271"/>
      <c r="R2030" s="276">
        <v>0.0</v>
      </c>
      <c r="S2030" s="271"/>
      <c r="T2030" s="271">
        <v>16.0</v>
      </c>
      <c r="U2030" s="62">
        <v>1.0</v>
      </c>
      <c r="V2030" s="277">
        <v>0.3</v>
      </c>
      <c r="W2030" s="277">
        <v>0.0</v>
      </c>
      <c r="X2030" s="271">
        <v>11.0</v>
      </c>
      <c r="Y2030" s="271">
        <v>5.0</v>
      </c>
      <c r="Z2030" s="50" t="b">
        <v>1</v>
      </c>
      <c r="AA2030" s="50" t="s">
        <v>138</v>
      </c>
      <c r="AB2030" s="50" t="s">
        <v>138</v>
      </c>
    </row>
    <row r="2031">
      <c r="A2031" s="280" t="s">
        <v>193</v>
      </c>
      <c r="B2031" s="280" t="s">
        <v>193</v>
      </c>
      <c r="C2031" s="278">
        <v>44855.0</v>
      </c>
      <c r="D2031" s="278">
        <v>44885.0</v>
      </c>
      <c r="E2031" s="280" t="s">
        <v>268</v>
      </c>
      <c r="F2031" s="138" t="s">
        <v>12</v>
      </c>
      <c r="G2031" s="271" t="s">
        <v>5</v>
      </c>
      <c r="H2031" s="273" t="s">
        <v>63</v>
      </c>
      <c r="I2031" s="274">
        <v>25.0</v>
      </c>
      <c r="J2031" s="271">
        <v>1.0</v>
      </c>
      <c r="K2031" s="271">
        <f t="shared" si="1"/>
        <v>25</v>
      </c>
      <c r="L2031" s="271"/>
      <c r="M2031" s="271">
        <v>-25.0</v>
      </c>
      <c r="N2031" s="275"/>
      <c r="O2031" s="60"/>
      <c r="P2031" s="101"/>
      <c r="Q2031" s="271"/>
      <c r="R2031" s="276">
        <v>0.0</v>
      </c>
      <c r="S2031" s="271"/>
      <c r="T2031" s="271">
        <v>-25.0</v>
      </c>
      <c r="U2031" s="62">
        <v>1.0</v>
      </c>
      <c r="V2031" s="277">
        <v>0.3</v>
      </c>
      <c r="W2031" s="277">
        <v>0.0</v>
      </c>
      <c r="X2031" s="271">
        <v>-18.0</v>
      </c>
      <c r="Y2031" s="271">
        <v>-8.0</v>
      </c>
      <c r="Z2031" s="50" t="b">
        <v>1</v>
      </c>
      <c r="AA2031" s="50" t="s">
        <v>138</v>
      </c>
      <c r="AB2031" s="50" t="s">
        <v>138</v>
      </c>
    </row>
    <row r="2032">
      <c r="A2032" s="280" t="s">
        <v>150</v>
      </c>
      <c r="B2032" s="280" t="s">
        <v>152</v>
      </c>
      <c r="C2032" s="278">
        <v>44855.0</v>
      </c>
      <c r="D2032" s="278">
        <v>44885.0</v>
      </c>
      <c r="E2032" s="280" t="s">
        <v>268</v>
      </c>
      <c r="F2032" s="138" t="s">
        <v>4</v>
      </c>
      <c r="G2032" s="280" t="s">
        <v>5</v>
      </c>
      <c r="H2032" s="273" t="s">
        <v>62</v>
      </c>
      <c r="I2032" s="274">
        <v>25.0</v>
      </c>
      <c r="J2032" s="271">
        <v>640.0</v>
      </c>
      <c r="K2032" s="271">
        <f t="shared" si="1"/>
        <v>16000</v>
      </c>
      <c r="L2032" s="271">
        <v>9856.0</v>
      </c>
      <c r="M2032" s="271">
        <v>-1250.0</v>
      </c>
      <c r="N2032" s="275">
        <v>250.0</v>
      </c>
      <c r="O2032" s="60"/>
      <c r="P2032" s="50">
        <v>250.0</v>
      </c>
      <c r="Q2032" s="271">
        <v>-567.0</v>
      </c>
      <c r="R2032" s="276">
        <v>-0.00152</v>
      </c>
      <c r="S2032" s="271">
        <v>-591.0</v>
      </c>
      <c r="T2032" s="271">
        <v>-341.0</v>
      </c>
      <c r="U2032" s="62">
        <v>1.0</v>
      </c>
      <c r="V2032" s="291"/>
      <c r="W2032" s="277">
        <v>0.0</v>
      </c>
      <c r="X2032" s="271">
        <v>-341.0</v>
      </c>
      <c r="Y2032" s="271">
        <v>0.0</v>
      </c>
      <c r="Z2032" s="50" t="b">
        <v>0</v>
      </c>
      <c r="AA2032" s="50" t="s">
        <v>138</v>
      </c>
      <c r="AB2032" s="50" t="s">
        <v>138</v>
      </c>
    </row>
    <row r="2033">
      <c r="A2033" s="101" t="s">
        <v>195</v>
      </c>
      <c r="B2033" s="101" t="s">
        <v>195</v>
      </c>
      <c r="C2033" s="278">
        <v>44855.0</v>
      </c>
      <c r="D2033" s="278">
        <v>44885.0</v>
      </c>
      <c r="E2033" s="271" t="s">
        <v>331</v>
      </c>
      <c r="F2033" s="138" t="s">
        <v>4</v>
      </c>
      <c r="G2033" s="101" t="s">
        <v>5</v>
      </c>
      <c r="H2033" s="273" t="s">
        <v>74</v>
      </c>
      <c r="I2033" s="274">
        <v>50.0</v>
      </c>
      <c r="J2033" s="271">
        <v>769.0</v>
      </c>
      <c r="K2033" s="271">
        <f t="shared" si="1"/>
        <v>38450</v>
      </c>
      <c r="L2033" s="271">
        <v>13128.0</v>
      </c>
      <c r="M2033" s="271">
        <v>-1900.0</v>
      </c>
      <c r="N2033" s="275">
        <v>1731.14</v>
      </c>
      <c r="O2033" s="60"/>
      <c r="P2033" s="109">
        <v>1731.0</v>
      </c>
      <c r="Q2033" s="271">
        <v>-1241.0</v>
      </c>
      <c r="R2033" s="276">
        <v>-0.0015</v>
      </c>
      <c r="S2033" s="271">
        <v>-1299.0</v>
      </c>
      <c r="T2033" s="271">
        <v>432.0</v>
      </c>
      <c r="U2033" s="62">
        <v>1.0</v>
      </c>
      <c r="V2033" s="277">
        <v>0.1125</v>
      </c>
      <c r="W2033" s="277">
        <v>0.0375</v>
      </c>
      <c r="X2033" s="271">
        <v>367.0</v>
      </c>
      <c r="Y2033" s="271">
        <v>65.0</v>
      </c>
      <c r="Z2033" s="50" t="b">
        <v>1</v>
      </c>
      <c r="AA2033" s="50" t="s">
        <v>138</v>
      </c>
      <c r="AB2033" s="50" t="s">
        <v>138</v>
      </c>
    </row>
    <row r="2034">
      <c r="A2034" s="101" t="s">
        <v>195</v>
      </c>
      <c r="B2034" s="101" t="s">
        <v>195</v>
      </c>
      <c r="C2034" s="278">
        <v>44855.0</v>
      </c>
      <c r="D2034" s="278">
        <v>44885.0</v>
      </c>
      <c r="E2034" s="271" t="s">
        <v>331</v>
      </c>
      <c r="F2034" s="138" t="s">
        <v>4</v>
      </c>
      <c r="G2034" s="101" t="s">
        <v>5</v>
      </c>
      <c r="H2034" s="273" t="s">
        <v>75</v>
      </c>
      <c r="I2034" s="274">
        <v>50.0</v>
      </c>
      <c r="J2034" s="271">
        <v>57.0</v>
      </c>
      <c r="K2034" s="271">
        <f t="shared" si="1"/>
        <v>2850</v>
      </c>
      <c r="L2034" s="271">
        <v>2792.0</v>
      </c>
      <c r="M2034" s="271">
        <v>100.0</v>
      </c>
      <c r="N2034" s="275">
        <v>128.32</v>
      </c>
      <c r="O2034" s="60"/>
      <c r="P2034" s="50">
        <v>128.0</v>
      </c>
      <c r="Q2034" s="271">
        <v>249.0</v>
      </c>
      <c r="R2034" s="276">
        <v>-0.0015</v>
      </c>
      <c r="S2034" s="271">
        <v>245.0</v>
      </c>
      <c r="T2034" s="271">
        <v>373.0</v>
      </c>
      <c r="U2034" s="62">
        <v>1.0</v>
      </c>
      <c r="V2034" s="277">
        <v>0.1125</v>
      </c>
      <c r="W2034" s="277">
        <v>0.0375</v>
      </c>
      <c r="X2034" s="271">
        <v>317.0</v>
      </c>
      <c r="Y2034" s="271">
        <v>56.0</v>
      </c>
      <c r="Z2034" s="50" t="b">
        <v>1</v>
      </c>
      <c r="AA2034" s="50" t="s">
        <v>138</v>
      </c>
      <c r="AB2034" s="50" t="s">
        <v>138</v>
      </c>
    </row>
    <row r="2035">
      <c r="A2035" s="101" t="s">
        <v>195</v>
      </c>
      <c r="B2035" s="101" t="s">
        <v>195</v>
      </c>
      <c r="C2035" s="278">
        <v>44855.0</v>
      </c>
      <c r="D2035" s="278">
        <v>44885.0</v>
      </c>
      <c r="E2035" s="271" t="s">
        <v>331</v>
      </c>
      <c r="F2035" s="138" t="s">
        <v>4</v>
      </c>
      <c r="G2035" s="101" t="s">
        <v>5</v>
      </c>
      <c r="H2035" s="273" t="s">
        <v>85</v>
      </c>
      <c r="I2035" s="274">
        <v>100.0</v>
      </c>
      <c r="J2035" s="271">
        <v>3053.0</v>
      </c>
      <c r="K2035" s="271">
        <f t="shared" si="1"/>
        <v>305300</v>
      </c>
      <c r="L2035" s="271">
        <v>82890.0</v>
      </c>
      <c r="M2035" s="271">
        <v>1800.0</v>
      </c>
      <c r="N2035" s="275">
        <v>11454.61</v>
      </c>
      <c r="O2035" s="60"/>
      <c r="P2035" s="109">
        <v>11455.0</v>
      </c>
      <c r="Q2035" s="271">
        <v>-935.0</v>
      </c>
      <c r="R2035" s="276">
        <v>-0.0015</v>
      </c>
      <c r="S2035" s="271">
        <v>-1393.0</v>
      </c>
      <c r="T2035" s="271">
        <v>10062.0</v>
      </c>
      <c r="U2035" s="62">
        <v>1.0</v>
      </c>
      <c r="V2035" s="277">
        <v>0.1125</v>
      </c>
      <c r="W2035" s="277">
        <v>0.0375</v>
      </c>
      <c r="X2035" s="271">
        <v>8553.0</v>
      </c>
      <c r="Y2035" s="271">
        <v>1509.0</v>
      </c>
      <c r="Z2035" s="50" t="b">
        <v>1</v>
      </c>
      <c r="AA2035" s="50" t="s">
        <v>138</v>
      </c>
      <c r="AB2035" s="50" t="s">
        <v>138</v>
      </c>
    </row>
    <row r="2036">
      <c r="A2036" s="101" t="s">
        <v>195</v>
      </c>
      <c r="B2036" s="101" t="s">
        <v>195</v>
      </c>
      <c r="C2036" s="278">
        <v>44855.0</v>
      </c>
      <c r="D2036" s="278">
        <v>44885.0</v>
      </c>
      <c r="E2036" s="271" t="s">
        <v>331</v>
      </c>
      <c r="F2036" s="138" t="s">
        <v>4</v>
      </c>
      <c r="G2036" s="101" t="s">
        <v>5</v>
      </c>
      <c r="H2036" s="273" t="s">
        <v>86</v>
      </c>
      <c r="I2036" s="274">
        <v>100.0</v>
      </c>
      <c r="J2036" s="271">
        <v>381.0</v>
      </c>
      <c r="K2036" s="271">
        <f t="shared" si="1"/>
        <v>38100</v>
      </c>
      <c r="L2036" s="271">
        <v>3583.0</v>
      </c>
      <c r="M2036" s="271">
        <v>-1900.0</v>
      </c>
      <c r="N2036" s="275">
        <v>1429.48</v>
      </c>
      <c r="O2036" s="60"/>
      <c r="P2036" s="109">
        <v>1429.0</v>
      </c>
      <c r="Q2036" s="271">
        <v>-936.0</v>
      </c>
      <c r="R2036" s="276">
        <v>-0.0015</v>
      </c>
      <c r="S2036" s="271">
        <v>-993.0</v>
      </c>
      <c r="T2036" s="271">
        <v>436.0</v>
      </c>
      <c r="U2036" s="62">
        <v>1.0</v>
      </c>
      <c r="V2036" s="277">
        <v>0.1125</v>
      </c>
      <c r="W2036" s="277">
        <v>0.0375</v>
      </c>
      <c r="X2036" s="271">
        <v>371.0</v>
      </c>
      <c r="Y2036" s="271">
        <v>65.0</v>
      </c>
      <c r="Z2036" s="50" t="b">
        <v>1</v>
      </c>
      <c r="AA2036" s="50" t="s">
        <v>138</v>
      </c>
      <c r="AB2036" s="50" t="s">
        <v>138</v>
      </c>
    </row>
    <row r="2037">
      <c r="A2037" s="101" t="s">
        <v>195</v>
      </c>
      <c r="B2037" s="101" t="s">
        <v>195</v>
      </c>
      <c r="C2037" s="278">
        <v>44855.0</v>
      </c>
      <c r="D2037" s="278">
        <v>44885.0</v>
      </c>
      <c r="E2037" s="271" t="s">
        <v>331</v>
      </c>
      <c r="F2037" s="138" t="s">
        <v>4</v>
      </c>
      <c r="G2037" s="101" t="s">
        <v>5</v>
      </c>
      <c r="H2037" s="273" t="s">
        <v>96</v>
      </c>
      <c r="I2037" s="274">
        <v>250.0</v>
      </c>
      <c r="J2037" s="271">
        <v>633.0</v>
      </c>
      <c r="K2037" s="271">
        <f t="shared" si="1"/>
        <v>158250</v>
      </c>
      <c r="L2037" s="271">
        <v>21112.0</v>
      </c>
      <c r="M2037" s="271">
        <v>-6250.0</v>
      </c>
      <c r="N2037" s="275">
        <v>5936.0</v>
      </c>
      <c r="O2037" s="60"/>
      <c r="P2037" s="109">
        <v>5936.0</v>
      </c>
      <c r="Q2037" s="271">
        <v>1760.0</v>
      </c>
      <c r="R2037" s="276">
        <v>-0.0015</v>
      </c>
      <c r="S2037" s="271">
        <v>1523.0</v>
      </c>
      <c r="T2037" s="271">
        <v>7459.0</v>
      </c>
      <c r="U2037" s="62">
        <v>1.0</v>
      </c>
      <c r="V2037" s="277">
        <v>0.1125</v>
      </c>
      <c r="W2037" s="277">
        <v>0.0375</v>
      </c>
      <c r="X2037" s="271">
        <v>6340.0</v>
      </c>
      <c r="Y2037" s="271">
        <v>1119.0</v>
      </c>
      <c r="Z2037" s="50" t="b">
        <v>1</v>
      </c>
      <c r="AA2037" s="50" t="s">
        <v>138</v>
      </c>
      <c r="AB2037" s="50" t="s">
        <v>138</v>
      </c>
    </row>
    <row r="2038">
      <c r="A2038" s="101" t="s">
        <v>195</v>
      </c>
      <c r="B2038" s="101" t="s">
        <v>195</v>
      </c>
      <c r="C2038" s="278">
        <v>44855.0</v>
      </c>
      <c r="D2038" s="278">
        <v>44885.0</v>
      </c>
      <c r="E2038" s="271" t="s">
        <v>331</v>
      </c>
      <c r="F2038" s="138" t="s">
        <v>4</v>
      </c>
      <c r="G2038" s="101" t="s">
        <v>5</v>
      </c>
      <c r="H2038" s="273" t="s">
        <v>97</v>
      </c>
      <c r="I2038" s="274">
        <v>250.0</v>
      </c>
      <c r="J2038" s="271">
        <v>711.0</v>
      </c>
      <c r="K2038" s="271">
        <f t="shared" si="1"/>
        <v>177750</v>
      </c>
      <c r="L2038" s="271">
        <v>4138.0</v>
      </c>
      <c r="M2038" s="271">
        <v>2750.0</v>
      </c>
      <c r="N2038" s="275">
        <v>6663.0</v>
      </c>
      <c r="O2038" s="60"/>
      <c r="P2038" s="109">
        <v>6663.0</v>
      </c>
      <c r="Q2038" s="271">
        <v>-5923.0</v>
      </c>
      <c r="R2038" s="276">
        <v>-0.0015</v>
      </c>
      <c r="S2038" s="271">
        <v>-6190.0</v>
      </c>
      <c r="T2038" s="271">
        <v>473.0</v>
      </c>
      <c r="U2038" s="62">
        <v>1.0</v>
      </c>
      <c r="V2038" s="277">
        <v>0.1125</v>
      </c>
      <c r="W2038" s="277">
        <v>0.0375</v>
      </c>
      <c r="X2038" s="271">
        <v>402.0</v>
      </c>
      <c r="Y2038" s="271">
        <v>71.0</v>
      </c>
      <c r="Z2038" s="50" t="b">
        <v>1</v>
      </c>
      <c r="AA2038" s="50" t="s">
        <v>138</v>
      </c>
      <c r="AB2038" s="50" t="s">
        <v>138</v>
      </c>
    </row>
    <row r="2039">
      <c r="A2039" s="101" t="s">
        <v>195</v>
      </c>
      <c r="B2039" s="101" t="s">
        <v>195</v>
      </c>
      <c r="C2039" s="278">
        <v>44855.0</v>
      </c>
      <c r="D2039" s="278">
        <v>44885.0</v>
      </c>
      <c r="E2039" s="271" t="s">
        <v>331</v>
      </c>
      <c r="F2039" s="138" t="s">
        <v>12</v>
      </c>
      <c r="G2039" s="101" t="s">
        <v>5</v>
      </c>
      <c r="H2039" s="273" t="s">
        <v>196</v>
      </c>
      <c r="I2039" s="274">
        <v>100.0</v>
      </c>
      <c r="J2039" s="271">
        <v>5.0</v>
      </c>
      <c r="K2039" s="271">
        <f t="shared" si="1"/>
        <v>500</v>
      </c>
      <c r="L2039" s="271"/>
      <c r="M2039" s="271">
        <v>285.0</v>
      </c>
      <c r="N2039" s="275">
        <v>7.0</v>
      </c>
      <c r="O2039" s="60"/>
      <c r="P2039" s="50">
        <v>7.0</v>
      </c>
      <c r="Q2039" s="271"/>
      <c r="R2039" s="276">
        <v>0.0</v>
      </c>
      <c r="S2039" s="271"/>
      <c r="T2039" s="271">
        <v>292.0</v>
      </c>
      <c r="U2039" s="62">
        <v>1.0</v>
      </c>
      <c r="V2039" s="277">
        <v>0.1125</v>
      </c>
      <c r="W2039" s="277">
        <v>0.0375</v>
      </c>
      <c r="X2039" s="271">
        <v>248.0</v>
      </c>
      <c r="Y2039" s="271">
        <v>44.0</v>
      </c>
      <c r="Z2039" s="50" t="b">
        <v>1</v>
      </c>
      <c r="AA2039" s="50" t="s">
        <v>138</v>
      </c>
      <c r="AB2039" s="50" t="s">
        <v>138</v>
      </c>
    </row>
    <row r="2040">
      <c r="A2040" s="280" t="s">
        <v>459</v>
      </c>
      <c r="B2040" s="280" t="s">
        <v>151</v>
      </c>
      <c r="C2040" s="283">
        <v>44866.0</v>
      </c>
      <c r="D2040" s="283">
        <v>44885.0</v>
      </c>
      <c r="E2040" s="280" t="s">
        <v>331</v>
      </c>
      <c r="F2040" s="138" t="s">
        <v>4</v>
      </c>
      <c r="G2040" s="280" t="s">
        <v>9</v>
      </c>
      <c r="H2040" s="290" t="s">
        <v>98</v>
      </c>
      <c r="I2040" s="281">
        <v>250.0</v>
      </c>
      <c r="J2040" s="280">
        <v>871.0</v>
      </c>
      <c r="K2040" s="271">
        <f t="shared" si="1"/>
        <v>217750</v>
      </c>
      <c r="L2040" s="280">
        <v>28036.0</v>
      </c>
      <c r="M2040" s="280">
        <v>-11308.0</v>
      </c>
      <c r="N2040" s="282">
        <v>10220.47</v>
      </c>
      <c r="O2040" s="60"/>
      <c r="P2040" s="109">
        <v>10220.0</v>
      </c>
      <c r="Q2040" s="280">
        <v>-4309.0</v>
      </c>
      <c r="R2040" s="276">
        <v>-0.00152</v>
      </c>
      <c r="S2040" s="280">
        <v>-4640.0</v>
      </c>
      <c r="T2040" s="280">
        <v>5581.0</v>
      </c>
      <c r="U2040" s="62">
        <v>1.0</v>
      </c>
      <c r="V2040" s="277">
        <v>0.15</v>
      </c>
      <c r="W2040" s="277">
        <v>0.05</v>
      </c>
      <c r="X2040" s="280">
        <v>4464.0</v>
      </c>
      <c r="Y2040" s="280">
        <v>1116.0</v>
      </c>
      <c r="Z2040" s="50" t="b">
        <v>0</v>
      </c>
      <c r="AA2040" s="50" t="s">
        <v>140</v>
      </c>
      <c r="AB2040" s="50" t="s">
        <v>140</v>
      </c>
    </row>
    <row r="2041">
      <c r="A2041" s="280" t="s">
        <v>459</v>
      </c>
      <c r="B2041" s="280" t="s">
        <v>151</v>
      </c>
      <c r="C2041" s="283">
        <v>44866.0</v>
      </c>
      <c r="D2041" s="283">
        <v>44885.0</v>
      </c>
      <c r="E2041" s="280" t="s">
        <v>331</v>
      </c>
      <c r="F2041" s="138" t="s">
        <v>4</v>
      </c>
      <c r="G2041" s="280" t="s">
        <v>9</v>
      </c>
      <c r="H2041" s="290" t="s">
        <v>104</v>
      </c>
      <c r="I2041" s="281">
        <v>500.0</v>
      </c>
      <c r="J2041" s="280">
        <v>162.0</v>
      </c>
      <c r="K2041" s="271">
        <f t="shared" si="1"/>
        <v>81000</v>
      </c>
      <c r="L2041" s="280">
        <v>3275.0</v>
      </c>
      <c r="M2041" s="280">
        <v>-6168.0</v>
      </c>
      <c r="N2041" s="282">
        <v>54.53</v>
      </c>
      <c r="O2041" s="60"/>
      <c r="P2041" s="50">
        <v>55.0</v>
      </c>
      <c r="Q2041" s="280">
        <v>-3405.0</v>
      </c>
      <c r="R2041" s="276">
        <v>-0.00152</v>
      </c>
      <c r="S2041" s="280">
        <v>-3528.0</v>
      </c>
      <c r="T2041" s="280">
        <v>-3473.0</v>
      </c>
      <c r="U2041" s="62">
        <v>1.0</v>
      </c>
      <c r="V2041" s="277">
        <v>0.15</v>
      </c>
      <c r="W2041" s="277">
        <v>0.05</v>
      </c>
      <c r="X2041" s="280">
        <v>-2779.0</v>
      </c>
      <c r="Y2041" s="280">
        <v>-695.0</v>
      </c>
      <c r="Z2041" s="50" t="b">
        <v>0</v>
      </c>
      <c r="AA2041" s="50" t="s">
        <v>140</v>
      </c>
      <c r="AB2041" s="50" t="s">
        <v>140</v>
      </c>
    </row>
    <row r="2042">
      <c r="A2042" s="280" t="s">
        <v>477</v>
      </c>
      <c r="B2042" s="280" t="s">
        <v>164</v>
      </c>
      <c r="C2042" s="278">
        <v>44855.0</v>
      </c>
      <c r="D2042" s="278">
        <v>44885.0</v>
      </c>
      <c r="E2042" s="280" t="s">
        <v>331</v>
      </c>
      <c r="F2042" s="138" t="s">
        <v>4</v>
      </c>
      <c r="G2042" s="271" t="s">
        <v>13</v>
      </c>
      <c r="H2042" s="271" t="s">
        <v>85</v>
      </c>
      <c r="I2042" s="274">
        <v>100.0</v>
      </c>
      <c r="J2042" s="271">
        <v>1.0</v>
      </c>
      <c r="K2042" s="271">
        <f t="shared" si="1"/>
        <v>100</v>
      </c>
      <c r="L2042" s="271">
        <v>0.0</v>
      </c>
      <c r="M2042" s="271">
        <v>0.0</v>
      </c>
      <c r="N2042" s="275">
        <v>0.0</v>
      </c>
      <c r="O2042" s="60"/>
      <c r="P2042" s="50">
        <v>0.0</v>
      </c>
      <c r="Q2042" s="271">
        <v>-7.0</v>
      </c>
      <c r="R2042" s="276">
        <v>0.0</v>
      </c>
      <c r="S2042" s="271">
        <v>-7.0</v>
      </c>
      <c r="T2042" s="271">
        <v>-7.0</v>
      </c>
      <c r="U2042" s="62">
        <v>1.0</v>
      </c>
      <c r="V2042" s="277">
        <v>0.0</v>
      </c>
      <c r="W2042" s="277">
        <v>0.0</v>
      </c>
      <c r="X2042" s="271">
        <v>-7.0</v>
      </c>
      <c r="Y2042" s="271">
        <v>0.0</v>
      </c>
      <c r="Z2042" s="50" t="b">
        <v>1</v>
      </c>
      <c r="AA2042" s="50" t="s">
        <v>138</v>
      </c>
      <c r="AB2042" s="50" t="s">
        <v>138</v>
      </c>
    </row>
    <row r="2043">
      <c r="A2043" s="101" t="s">
        <v>505</v>
      </c>
      <c r="B2043" s="271" t="s">
        <v>166</v>
      </c>
      <c r="C2043" s="278">
        <v>44855.0</v>
      </c>
      <c r="D2043" s="278">
        <v>44885.0</v>
      </c>
      <c r="E2043" s="271" t="s">
        <v>268</v>
      </c>
      <c r="F2043" s="101" t="s">
        <v>4</v>
      </c>
      <c r="G2043" s="271" t="s">
        <v>5</v>
      </c>
      <c r="H2043" s="273" t="s">
        <v>35</v>
      </c>
      <c r="I2043" s="281">
        <v>5.0</v>
      </c>
      <c r="J2043" s="280">
        <v>1.0</v>
      </c>
      <c r="K2043" s="271">
        <f t="shared" si="1"/>
        <v>5</v>
      </c>
      <c r="L2043" s="280">
        <v>-413.0</v>
      </c>
      <c r="M2043" s="280">
        <v>-5.0</v>
      </c>
      <c r="N2043" s="275" t="s">
        <v>323</v>
      </c>
      <c r="O2043" s="60"/>
      <c r="P2043" s="101"/>
      <c r="Q2043" s="280">
        <v>-4.0</v>
      </c>
      <c r="R2043" s="276">
        <v>-0.00152</v>
      </c>
      <c r="S2043" s="280">
        <v>-4.0</v>
      </c>
      <c r="T2043" s="280">
        <v>-4.0</v>
      </c>
      <c r="U2043" s="62">
        <v>1.0</v>
      </c>
      <c r="V2043" s="277">
        <v>0.3</v>
      </c>
      <c r="W2043" s="277">
        <v>0.0</v>
      </c>
      <c r="X2043" s="280">
        <v>-3.0</v>
      </c>
      <c r="Y2043" s="280">
        <v>-1.0</v>
      </c>
      <c r="Z2043" s="50" t="b">
        <v>0</v>
      </c>
      <c r="AA2043" s="50" t="s">
        <v>138</v>
      </c>
      <c r="AB2043" s="50" t="s">
        <v>138</v>
      </c>
    </row>
    <row r="2044">
      <c r="A2044" s="101" t="s">
        <v>505</v>
      </c>
      <c r="B2044" s="271" t="s">
        <v>166</v>
      </c>
      <c r="C2044" s="278">
        <v>44855.0</v>
      </c>
      <c r="D2044" s="278">
        <v>44885.0</v>
      </c>
      <c r="E2044" s="271" t="s">
        <v>268</v>
      </c>
      <c r="F2044" s="101" t="s">
        <v>4</v>
      </c>
      <c r="G2044" s="271" t="s">
        <v>5</v>
      </c>
      <c r="H2044" s="273" t="s">
        <v>45</v>
      </c>
      <c r="I2044" s="281">
        <v>10.0</v>
      </c>
      <c r="J2044" s="280">
        <v>3717.0</v>
      </c>
      <c r="K2044" s="271">
        <f t="shared" si="1"/>
        <v>37170</v>
      </c>
      <c r="L2044" s="280">
        <v>88940.0</v>
      </c>
      <c r="M2044" s="280">
        <v>120.0</v>
      </c>
      <c r="N2044" s="275">
        <v>1551.0</v>
      </c>
      <c r="O2044" s="60"/>
      <c r="P2044" s="109">
        <v>1551.0</v>
      </c>
      <c r="Q2044" s="280">
        <v>-1119.0</v>
      </c>
      <c r="R2044" s="276">
        <v>-0.00152</v>
      </c>
      <c r="S2044" s="280">
        <v>-1176.0</v>
      </c>
      <c r="T2044" s="280">
        <v>375.0</v>
      </c>
      <c r="U2044" s="62">
        <v>1.0</v>
      </c>
      <c r="V2044" s="277">
        <v>0.3</v>
      </c>
      <c r="W2044" s="277">
        <v>0.0</v>
      </c>
      <c r="X2044" s="280">
        <v>263.0</v>
      </c>
      <c r="Y2044" s="280">
        <v>113.0</v>
      </c>
      <c r="Z2044" s="50" t="b">
        <v>0</v>
      </c>
      <c r="AA2044" s="50" t="s">
        <v>138</v>
      </c>
      <c r="AB2044" s="50" t="s">
        <v>138</v>
      </c>
    </row>
    <row r="2045">
      <c r="A2045" s="101" t="s">
        <v>505</v>
      </c>
      <c r="B2045" s="271" t="s">
        <v>166</v>
      </c>
      <c r="C2045" s="278">
        <v>44855.0</v>
      </c>
      <c r="D2045" s="278">
        <v>44885.0</v>
      </c>
      <c r="E2045" s="271" t="s">
        <v>268</v>
      </c>
      <c r="F2045" s="101" t="s">
        <v>4</v>
      </c>
      <c r="G2045" s="271" t="s">
        <v>5</v>
      </c>
      <c r="H2045" s="273" t="s">
        <v>62</v>
      </c>
      <c r="I2045" s="281">
        <v>25.0</v>
      </c>
      <c r="J2045" s="280">
        <v>261.0</v>
      </c>
      <c r="K2045" s="271">
        <f t="shared" si="1"/>
        <v>6525</v>
      </c>
      <c r="L2045" s="280">
        <v>-3702.0</v>
      </c>
      <c r="M2045" s="280">
        <v>-1325.0</v>
      </c>
      <c r="N2045" s="275">
        <v>234.0</v>
      </c>
      <c r="O2045" s="60"/>
      <c r="P2045" s="50">
        <v>234.0</v>
      </c>
      <c r="Q2045" s="280">
        <v>-589.0</v>
      </c>
      <c r="R2045" s="276">
        <v>-0.00152</v>
      </c>
      <c r="S2045" s="280">
        <v>-599.0</v>
      </c>
      <c r="T2045" s="280">
        <v>-365.0</v>
      </c>
      <c r="U2045" s="62">
        <v>1.0</v>
      </c>
      <c r="V2045" s="277">
        <v>0.3</v>
      </c>
      <c r="W2045" s="277">
        <v>0.0</v>
      </c>
      <c r="X2045" s="280">
        <v>-256.0</v>
      </c>
      <c r="Y2045" s="280">
        <v>-110.0</v>
      </c>
      <c r="Z2045" s="50" t="b">
        <v>0</v>
      </c>
      <c r="AA2045" s="50" t="s">
        <v>138</v>
      </c>
      <c r="AB2045" s="50" t="s">
        <v>138</v>
      </c>
    </row>
    <row r="2046">
      <c r="A2046" s="101" t="s">
        <v>199</v>
      </c>
      <c r="B2046" s="101" t="s">
        <v>199</v>
      </c>
      <c r="C2046" s="278">
        <v>44870.0</v>
      </c>
      <c r="D2046" s="278">
        <v>44885.0</v>
      </c>
      <c r="E2046" s="271" t="s">
        <v>331</v>
      </c>
      <c r="F2046" s="101" t="s">
        <v>4</v>
      </c>
      <c r="G2046" s="271" t="s">
        <v>5</v>
      </c>
      <c r="H2046" s="273" t="s">
        <v>28</v>
      </c>
      <c r="I2046" s="274">
        <v>2.0</v>
      </c>
      <c r="J2046" s="271">
        <v>28.0</v>
      </c>
      <c r="K2046" s="271">
        <f t="shared" si="1"/>
        <v>56</v>
      </c>
      <c r="L2046" s="271">
        <v>2041.0</v>
      </c>
      <c r="M2046" s="271">
        <v>-8.0</v>
      </c>
      <c r="N2046" s="275">
        <v>3.23</v>
      </c>
      <c r="O2046" s="60"/>
      <c r="P2046" s="50">
        <v>3.0</v>
      </c>
      <c r="Q2046" s="271">
        <v>3.0</v>
      </c>
      <c r="R2046" s="276">
        <v>-0.00152</v>
      </c>
      <c r="S2046" s="271">
        <v>3.0</v>
      </c>
      <c r="T2046" s="271">
        <v>6.0</v>
      </c>
      <c r="U2046" s="62">
        <v>1.0</v>
      </c>
      <c r="V2046" s="277">
        <v>0.2</v>
      </c>
      <c r="W2046" s="277">
        <v>0.1</v>
      </c>
      <c r="X2046" s="271">
        <v>4.0</v>
      </c>
      <c r="Y2046" s="271">
        <v>2.0</v>
      </c>
      <c r="Z2046" s="50" t="b">
        <v>1</v>
      </c>
      <c r="AA2046" s="50" t="s">
        <v>138</v>
      </c>
      <c r="AB2046" s="50" t="s">
        <v>138</v>
      </c>
    </row>
    <row r="2047">
      <c r="A2047" s="101" t="s">
        <v>199</v>
      </c>
      <c r="B2047" s="101" t="s">
        <v>199</v>
      </c>
      <c r="C2047" s="278">
        <v>44870.0</v>
      </c>
      <c r="D2047" s="278">
        <v>44885.0</v>
      </c>
      <c r="E2047" s="271" t="s">
        <v>331</v>
      </c>
      <c r="F2047" s="101" t="s">
        <v>4</v>
      </c>
      <c r="G2047" s="271" t="s">
        <v>5</v>
      </c>
      <c r="H2047" s="273" t="s">
        <v>35</v>
      </c>
      <c r="I2047" s="274">
        <v>5.0</v>
      </c>
      <c r="J2047" s="271">
        <v>1.0</v>
      </c>
      <c r="K2047" s="271">
        <f t="shared" si="1"/>
        <v>5</v>
      </c>
      <c r="L2047" s="271">
        <v>56.0</v>
      </c>
      <c r="M2047" s="271">
        <v>-5.0</v>
      </c>
      <c r="N2047" s="275">
        <v>0.29</v>
      </c>
      <c r="O2047" s="60"/>
      <c r="P2047" s="50">
        <v>0.0</v>
      </c>
      <c r="Q2047" s="271">
        <v>0.0</v>
      </c>
      <c r="R2047" s="276">
        <v>-0.00152</v>
      </c>
      <c r="S2047" s="271">
        <v>0.0</v>
      </c>
      <c r="T2047" s="271">
        <v>0.0</v>
      </c>
      <c r="U2047" s="62">
        <v>1.0</v>
      </c>
      <c r="V2047" s="277">
        <v>0.2</v>
      </c>
      <c r="W2047" s="277">
        <v>0.1</v>
      </c>
      <c r="X2047" s="271">
        <v>0.0</v>
      </c>
      <c r="Y2047" s="271">
        <v>0.0</v>
      </c>
      <c r="Z2047" s="50" t="b">
        <v>1</v>
      </c>
      <c r="AA2047" s="50" t="s">
        <v>138</v>
      </c>
      <c r="AB2047" s="50" t="s">
        <v>138</v>
      </c>
    </row>
    <row r="2048">
      <c r="A2048" s="101" t="s">
        <v>199</v>
      </c>
      <c r="B2048" s="101" t="s">
        <v>199</v>
      </c>
      <c r="C2048" s="278">
        <v>44870.0</v>
      </c>
      <c r="D2048" s="278">
        <v>44885.0</v>
      </c>
      <c r="E2048" s="271" t="s">
        <v>331</v>
      </c>
      <c r="F2048" s="101" t="s">
        <v>4</v>
      </c>
      <c r="G2048" s="271" t="s">
        <v>5</v>
      </c>
      <c r="H2048" s="273" t="s">
        <v>38</v>
      </c>
      <c r="I2048" s="274">
        <v>5.0</v>
      </c>
      <c r="J2048" s="271">
        <v>91.0</v>
      </c>
      <c r="K2048" s="271">
        <f t="shared" si="1"/>
        <v>455</v>
      </c>
      <c r="L2048" s="271">
        <f>1536-L2042</f>
        <v>1536</v>
      </c>
      <c r="M2048" s="271">
        <v>-35.0</v>
      </c>
      <c r="N2048" s="275">
        <v>26.25</v>
      </c>
      <c r="O2048" s="60"/>
      <c r="P2048" s="50">
        <v>26.0</v>
      </c>
      <c r="Q2048" s="271">
        <v>-17.0</v>
      </c>
      <c r="R2048" s="276">
        <v>-0.00152</v>
      </c>
      <c r="S2048" s="271">
        <v>-18.0</v>
      </c>
      <c r="T2048" s="271">
        <v>9.0</v>
      </c>
      <c r="U2048" s="62">
        <v>1.0</v>
      </c>
      <c r="V2048" s="277">
        <v>0.2</v>
      </c>
      <c r="W2048" s="277">
        <v>0.1</v>
      </c>
      <c r="X2048" s="271">
        <v>6.0</v>
      </c>
      <c r="Y2048" s="271">
        <v>3.0</v>
      </c>
      <c r="Z2048" s="50" t="b">
        <v>1</v>
      </c>
      <c r="AA2048" s="50" t="s">
        <v>138</v>
      </c>
      <c r="AB2048" s="50" t="s">
        <v>138</v>
      </c>
    </row>
    <row r="2049">
      <c r="A2049" s="101" t="s">
        <v>199</v>
      </c>
      <c r="B2049" s="101" t="s">
        <v>199</v>
      </c>
      <c r="C2049" s="278">
        <v>44870.0</v>
      </c>
      <c r="D2049" s="278">
        <v>44885.0</v>
      </c>
      <c r="E2049" s="271" t="s">
        <v>331</v>
      </c>
      <c r="F2049" s="101" t="s">
        <v>4</v>
      </c>
      <c r="G2049" s="271" t="s">
        <v>5</v>
      </c>
      <c r="H2049" s="273" t="s">
        <v>45</v>
      </c>
      <c r="I2049" s="274">
        <v>10.0</v>
      </c>
      <c r="J2049" s="271">
        <v>120.0</v>
      </c>
      <c r="K2049" s="271">
        <f t="shared" si="1"/>
        <v>1200</v>
      </c>
      <c r="L2049" s="271">
        <f>41192-L2043</f>
        <v>41605</v>
      </c>
      <c r="M2049" s="271">
        <v>30.0</v>
      </c>
      <c r="N2049" s="275">
        <v>60.59</v>
      </c>
      <c r="O2049" s="60"/>
      <c r="P2049" s="50">
        <v>61.0</v>
      </c>
      <c r="Q2049" s="271">
        <v>674.0</v>
      </c>
      <c r="R2049" s="276">
        <v>-0.00152</v>
      </c>
      <c r="S2049" s="271">
        <v>673.0</v>
      </c>
      <c r="T2049" s="271">
        <v>733.0</v>
      </c>
      <c r="U2049" s="62">
        <v>1.0</v>
      </c>
      <c r="V2049" s="277">
        <v>0.2</v>
      </c>
      <c r="W2049" s="277">
        <v>0.1</v>
      </c>
      <c r="X2049" s="271">
        <v>513.0</v>
      </c>
      <c r="Y2049" s="271">
        <v>220.0</v>
      </c>
      <c r="Z2049" s="50" t="b">
        <v>1</v>
      </c>
      <c r="AA2049" s="50" t="s">
        <v>138</v>
      </c>
      <c r="AB2049" s="50" t="s">
        <v>138</v>
      </c>
    </row>
    <row r="2050">
      <c r="A2050" s="101" t="s">
        <v>199</v>
      </c>
      <c r="B2050" s="101" t="s">
        <v>199</v>
      </c>
      <c r="C2050" s="278">
        <v>44870.0</v>
      </c>
      <c r="D2050" s="278">
        <v>44885.0</v>
      </c>
      <c r="E2050" s="271" t="s">
        <v>331</v>
      </c>
      <c r="F2050" s="101" t="s">
        <v>4</v>
      </c>
      <c r="G2050" s="271" t="s">
        <v>5</v>
      </c>
      <c r="H2050" s="273" t="s">
        <v>48</v>
      </c>
      <c r="I2050" s="274">
        <v>10.0</v>
      </c>
      <c r="J2050" s="271">
        <v>15.0</v>
      </c>
      <c r="K2050" s="271">
        <f t="shared" si="1"/>
        <v>150</v>
      </c>
      <c r="L2050" s="271">
        <f>10292-10950</f>
        <v>-658</v>
      </c>
      <c r="M2050" s="271">
        <v>20.0</v>
      </c>
      <c r="N2050" s="275">
        <v>7.57</v>
      </c>
      <c r="O2050" s="60"/>
      <c r="P2050" s="50">
        <v>8.0</v>
      </c>
      <c r="Q2050" s="271">
        <v>-31.0</v>
      </c>
      <c r="R2050" s="276">
        <v>-0.00152</v>
      </c>
      <c r="S2050" s="271">
        <v>-31.0</v>
      </c>
      <c r="T2050" s="271">
        <v>-24.0</v>
      </c>
      <c r="U2050" s="62">
        <v>1.0</v>
      </c>
      <c r="V2050" s="277">
        <v>0.2</v>
      </c>
      <c r="W2050" s="277">
        <v>0.1</v>
      </c>
      <c r="X2050" s="271">
        <v>-17.0</v>
      </c>
      <c r="Y2050" s="271">
        <v>-7.0</v>
      </c>
      <c r="Z2050" s="50" t="b">
        <v>1</v>
      </c>
      <c r="AA2050" s="50" t="s">
        <v>138</v>
      </c>
      <c r="AB2050" s="50" t="s">
        <v>138</v>
      </c>
    </row>
    <row r="2051">
      <c r="A2051" s="101" t="s">
        <v>199</v>
      </c>
      <c r="B2051" s="101" t="s">
        <v>199</v>
      </c>
      <c r="C2051" s="278">
        <v>44870.0</v>
      </c>
      <c r="D2051" s="278">
        <v>44885.0</v>
      </c>
      <c r="E2051" s="271" t="s">
        <v>331</v>
      </c>
      <c r="F2051" s="101" t="s">
        <v>4</v>
      </c>
      <c r="G2051" s="271" t="s">
        <v>5</v>
      </c>
      <c r="H2051" s="273" t="s">
        <v>62</v>
      </c>
      <c r="I2051" s="274">
        <v>25.0</v>
      </c>
      <c r="J2051" s="271">
        <v>1231.0</v>
      </c>
      <c r="K2051" s="271">
        <f t="shared" si="1"/>
        <v>30775</v>
      </c>
      <c r="L2051" s="271">
        <f>19247-L2045</f>
        <v>22949</v>
      </c>
      <c r="M2051" s="271">
        <v>-25.0</v>
      </c>
      <c r="N2051" s="275">
        <v>1331.82</v>
      </c>
      <c r="O2051" s="60"/>
      <c r="P2051" s="109">
        <v>1332.0</v>
      </c>
      <c r="Q2051" s="271">
        <v>-906.0</v>
      </c>
      <c r="R2051" s="276">
        <v>-0.00152</v>
      </c>
      <c r="S2051" s="271">
        <v>-953.0</v>
      </c>
      <c r="T2051" s="271">
        <v>379.0</v>
      </c>
      <c r="U2051" s="62">
        <v>1.0</v>
      </c>
      <c r="V2051" s="277">
        <v>0.2</v>
      </c>
      <c r="W2051" s="277">
        <v>0.1</v>
      </c>
      <c r="X2051" s="271">
        <v>266.0</v>
      </c>
      <c r="Y2051" s="271">
        <v>114.0</v>
      </c>
      <c r="Z2051" s="50" t="b">
        <v>1</v>
      </c>
      <c r="AA2051" s="50" t="s">
        <v>138</v>
      </c>
      <c r="AB2051" s="50" t="s">
        <v>138</v>
      </c>
    </row>
    <row r="2052">
      <c r="A2052" s="101" t="s">
        <v>199</v>
      </c>
      <c r="B2052" s="101" t="s">
        <v>199</v>
      </c>
      <c r="C2052" s="278">
        <v>44870.0</v>
      </c>
      <c r="D2052" s="278">
        <v>44885.0</v>
      </c>
      <c r="E2052" s="271" t="s">
        <v>331</v>
      </c>
      <c r="F2052" s="101" t="s">
        <v>4</v>
      </c>
      <c r="G2052" s="271" t="s">
        <v>5</v>
      </c>
      <c r="H2052" s="273" t="s">
        <v>63</v>
      </c>
      <c r="I2052" s="274">
        <v>25.0</v>
      </c>
      <c r="J2052" s="271">
        <v>3.0</v>
      </c>
      <c r="K2052" s="271">
        <f t="shared" si="1"/>
        <v>75</v>
      </c>
      <c r="L2052" s="271">
        <v>394.0</v>
      </c>
      <c r="M2052" s="271">
        <v>-25.0</v>
      </c>
      <c r="N2052" s="275">
        <v>3.25</v>
      </c>
      <c r="O2052" s="60"/>
      <c r="P2052" s="50">
        <v>3.0</v>
      </c>
      <c r="Q2052" s="271">
        <v>26.0</v>
      </c>
      <c r="R2052" s="276">
        <v>-0.00152</v>
      </c>
      <c r="S2052" s="271">
        <v>26.0</v>
      </c>
      <c r="T2052" s="271">
        <v>29.0</v>
      </c>
      <c r="U2052" s="62">
        <v>1.0</v>
      </c>
      <c r="V2052" s="277">
        <v>0.2</v>
      </c>
      <c r="W2052" s="277">
        <v>0.1</v>
      </c>
      <c r="X2052" s="271">
        <v>20.0</v>
      </c>
      <c r="Y2052" s="271">
        <v>9.0</v>
      </c>
      <c r="Z2052" s="50" t="b">
        <v>1</v>
      </c>
      <c r="AA2052" s="50" t="s">
        <v>138</v>
      </c>
      <c r="AB2052" s="50" t="s">
        <v>138</v>
      </c>
    </row>
    <row r="2053">
      <c r="A2053" s="280" t="s">
        <v>156</v>
      </c>
      <c r="B2053" s="280" t="s">
        <v>158</v>
      </c>
      <c r="C2053" s="283">
        <v>44855.0</v>
      </c>
      <c r="D2053" s="283">
        <v>44885.0</v>
      </c>
      <c r="E2053" s="280" t="s">
        <v>268</v>
      </c>
      <c r="F2053" s="138" t="s">
        <v>4</v>
      </c>
      <c r="G2053" s="280" t="s">
        <v>9</v>
      </c>
      <c r="H2053" s="290" t="s">
        <v>64</v>
      </c>
      <c r="I2053" s="281">
        <v>25.0</v>
      </c>
      <c r="J2053" s="280">
        <v>435.0</v>
      </c>
      <c r="K2053" s="271">
        <f t="shared" si="1"/>
        <v>10875</v>
      </c>
      <c r="L2053" s="280">
        <v>26796.0</v>
      </c>
      <c r="M2053" s="280">
        <v>386.0</v>
      </c>
      <c r="N2053" s="282">
        <v>62.05</v>
      </c>
      <c r="O2053" s="60"/>
      <c r="P2053" s="50">
        <v>62.0</v>
      </c>
      <c r="Q2053" s="280">
        <v>360.0</v>
      </c>
      <c r="R2053" s="276">
        <v>-0.00152</v>
      </c>
      <c r="S2053" s="280">
        <v>343.0</v>
      </c>
      <c r="T2053" s="280">
        <v>406.0</v>
      </c>
      <c r="U2053" s="62">
        <v>1.028</v>
      </c>
      <c r="V2053" s="277">
        <v>0.25</v>
      </c>
      <c r="W2053" s="277">
        <v>0.0</v>
      </c>
      <c r="X2053" s="280">
        <v>313.0</v>
      </c>
      <c r="Y2053" s="280">
        <v>104.0</v>
      </c>
      <c r="Z2053" s="50" t="b">
        <v>1</v>
      </c>
      <c r="AA2053" s="50" t="s">
        <v>138</v>
      </c>
      <c r="AB2053" s="50" t="s">
        <v>140</v>
      </c>
    </row>
    <row r="2054">
      <c r="A2054" s="280" t="s">
        <v>156</v>
      </c>
      <c r="B2054" s="101" t="s">
        <v>156</v>
      </c>
      <c r="C2054" s="283">
        <v>44855.0</v>
      </c>
      <c r="D2054" s="283">
        <v>44885.0</v>
      </c>
      <c r="E2054" s="280" t="s">
        <v>268</v>
      </c>
      <c r="F2054" s="138" t="s">
        <v>4</v>
      </c>
      <c r="G2054" s="271" t="s">
        <v>5</v>
      </c>
      <c r="H2054" s="273" t="s">
        <v>62</v>
      </c>
      <c r="I2054" s="281">
        <v>25.0</v>
      </c>
      <c r="J2054" s="280">
        <v>110.0</v>
      </c>
      <c r="K2054" s="271">
        <f t="shared" si="1"/>
        <v>2750</v>
      </c>
      <c r="L2054" s="280">
        <v>7648.0</v>
      </c>
      <c r="M2054" s="280">
        <v>575.0</v>
      </c>
      <c r="N2054" s="282">
        <v>26.0</v>
      </c>
      <c r="O2054" s="60"/>
      <c r="P2054" s="50">
        <v>26.0</v>
      </c>
      <c r="Q2054" s="280">
        <v>196.0</v>
      </c>
      <c r="R2054" s="276">
        <v>-0.00152</v>
      </c>
      <c r="S2054" s="280">
        <v>192.0</v>
      </c>
      <c r="T2054" s="280">
        <v>218.0</v>
      </c>
      <c r="U2054" s="62">
        <v>1.0</v>
      </c>
      <c r="V2054" s="277">
        <v>0.25</v>
      </c>
      <c r="W2054" s="277">
        <v>0.0</v>
      </c>
      <c r="X2054" s="280">
        <v>163.0</v>
      </c>
      <c r="Y2054" s="280">
        <v>54.0</v>
      </c>
      <c r="Z2054" s="50" t="b">
        <v>1</v>
      </c>
      <c r="AA2054" s="50" t="s">
        <v>138</v>
      </c>
      <c r="AB2054" s="50" t="s">
        <v>138</v>
      </c>
    </row>
    <row r="2055">
      <c r="A2055" s="280" t="s">
        <v>156</v>
      </c>
      <c r="B2055" s="101" t="s">
        <v>156</v>
      </c>
      <c r="C2055" s="283">
        <v>44855.0</v>
      </c>
      <c r="D2055" s="283">
        <v>44885.0</v>
      </c>
      <c r="E2055" s="280" t="s">
        <v>268</v>
      </c>
      <c r="F2055" s="138" t="s">
        <v>12</v>
      </c>
      <c r="G2055" s="271" t="s">
        <v>5</v>
      </c>
      <c r="H2055" s="273" t="s">
        <v>63</v>
      </c>
      <c r="I2055" s="274">
        <v>25.0</v>
      </c>
      <c r="J2055" s="271">
        <v>360.0</v>
      </c>
      <c r="K2055" s="271">
        <f t="shared" si="1"/>
        <v>9000</v>
      </c>
      <c r="L2055" s="271">
        <v>9360.0</v>
      </c>
      <c r="M2055" s="271">
        <v>675.0</v>
      </c>
      <c r="N2055" s="275">
        <v>85.0</v>
      </c>
      <c r="O2055" s="60"/>
      <c r="P2055" s="50">
        <v>85.0</v>
      </c>
      <c r="Q2055" s="271">
        <v>147.0</v>
      </c>
      <c r="R2055" s="276">
        <v>0.0</v>
      </c>
      <c r="S2055" s="271">
        <v>147.0</v>
      </c>
      <c r="T2055" s="271">
        <v>760.0</v>
      </c>
      <c r="U2055" s="62">
        <v>1.0</v>
      </c>
      <c r="V2055" s="277">
        <v>0.25</v>
      </c>
      <c r="W2055" s="277">
        <v>0.0</v>
      </c>
      <c r="X2055" s="271">
        <v>570.0</v>
      </c>
      <c r="Y2055" s="271">
        <v>190.0</v>
      </c>
      <c r="Z2055" s="50" t="b">
        <v>1</v>
      </c>
      <c r="AA2055" s="50" t="s">
        <v>138</v>
      </c>
      <c r="AB2055" s="50" t="s">
        <v>138</v>
      </c>
    </row>
    <row r="2056">
      <c r="A2056" s="101" t="s">
        <v>546</v>
      </c>
      <c r="B2056" s="101" t="s">
        <v>203</v>
      </c>
      <c r="C2056" s="278">
        <v>44855.0</v>
      </c>
      <c r="D2056" s="278">
        <v>44885.0</v>
      </c>
      <c r="E2056" s="271" t="s">
        <v>331</v>
      </c>
      <c r="F2056" s="138" t="s">
        <v>4</v>
      </c>
      <c r="G2056" s="271" t="s">
        <v>13</v>
      </c>
      <c r="H2056" s="273" t="s">
        <v>74</v>
      </c>
      <c r="I2056" s="274">
        <v>50.0</v>
      </c>
      <c r="J2056" s="271">
        <v>1.0</v>
      </c>
      <c r="K2056" s="271">
        <f t="shared" si="1"/>
        <v>50</v>
      </c>
      <c r="L2056" s="271">
        <v>348.0</v>
      </c>
      <c r="M2056" s="271">
        <v>350.0</v>
      </c>
      <c r="N2056" s="275">
        <v>2.65</v>
      </c>
      <c r="O2056" s="60"/>
      <c r="P2056" s="50">
        <v>3.0</v>
      </c>
      <c r="Q2056" s="271">
        <v>46.0</v>
      </c>
      <c r="R2056" s="276">
        <v>-0.001521</v>
      </c>
      <c r="S2056" s="271">
        <v>46.0</v>
      </c>
      <c r="T2056" s="271">
        <v>49.0</v>
      </c>
      <c r="U2056" s="62">
        <v>1.0</v>
      </c>
      <c r="V2056" s="277">
        <v>0.09</v>
      </c>
      <c r="W2056" s="277">
        <v>0.03</v>
      </c>
      <c r="X2056" s="271">
        <v>43.0</v>
      </c>
      <c r="Y2056" s="271">
        <v>6.0</v>
      </c>
      <c r="Z2056" s="50" t="b">
        <v>1</v>
      </c>
      <c r="AA2056" s="50" t="s">
        <v>138</v>
      </c>
      <c r="AB2056" s="50" t="s">
        <v>138</v>
      </c>
    </row>
    <row r="2057">
      <c r="A2057" s="101" t="s">
        <v>546</v>
      </c>
      <c r="B2057" s="101" t="s">
        <v>203</v>
      </c>
      <c r="C2057" s="278">
        <v>44855.0</v>
      </c>
      <c r="D2057" s="278">
        <v>44885.0</v>
      </c>
      <c r="E2057" s="271" t="s">
        <v>331</v>
      </c>
      <c r="F2057" s="138" t="s">
        <v>4</v>
      </c>
      <c r="G2057" s="271" t="s">
        <v>13</v>
      </c>
      <c r="H2057" s="273" t="s">
        <v>85</v>
      </c>
      <c r="I2057" s="274">
        <v>100.0</v>
      </c>
      <c r="J2057" s="271">
        <v>4956.0</v>
      </c>
      <c r="K2057" s="271">
        <f t="shared" si="1"/>
        <v>495600</v>
      </c>
      <c r="L2057" s="271">
        <v>72267.0</v>
      </c>
      <c r="M2057" s="271">
        <v>-24300.0</v>
      </c>
      <c r="N2057" s="275">
        <v>26302.54</v>
      </c>
      <c r="O2057" s="60"/>
      <c r="P2057" s="109">
        <v>26303.0</v>
      </c>
      <c r="Q2057" s="271">
        <v>-15554.0</v>
      </c>
      <c r="R2057" s="276">
        <v>-0.001521</v>
      </c>
      <c r="S2057" s="271">
        <v>-16308.0</v>
      </c>
      <c r="T2057" s="271">
        <v>9994.0</v>
      </c>
      <c r="U2057" s="62">
        <v>1.0</v>
      </c>
      <c r="V2057" s="277">
        <v>0.09</v>
      </c>
      <c r="W2057" s="277">
        <v>0.03</v>
      </c>
      <c r="X2057" s="271">
        <v>8795.0</v>
      </c>
      <c r="Y2057" s="271">
        <v>1199.0</v>
      </c>
      <c r="Z2057" s="50" t="b">
        <v>1</v>
      </c>
      <c r="AA2057" s="50" t="s">
        <v>138</v>
      </c>
      <c r="AB2057" s="50" t="s">
        <v>138</v>
      </c>
    </row>
    <row r="2058">
      <c r="A2058" s="101" t="s">
        <v>546</v>
      </c>
      <c r="B2058" s="101" t="s">
        <v>203</v>
      </c>
      <c r="C2058" s="278">
        <v>44855.0</v>
      </c>
      <c r="D2058" s="278">
        <v>44885.0</v>
      </c>
      <c r="E2058" s="271" t="s">
        <v>331</v>
      </c>
      <c r="F2058" s="138" t="s">
        <v>4</v>
      </c>
      <c r="G2058" s="271" t="s">
        <v>13</v>
      </c>
      <c r="H2058" s="273" t="s">
        <v>93</v>
      </c>
      <c r="I2058" s="274">
        <v>200.0</v>
      </c>
      <c r="J2058" s="271">
        <v>2511.0</v>
      </c>
      <c r="K2058" s="271">
        <f t="shared" si="1"/>
        <v>502200</v>
      </c>
      <c r="L2058" s="271">
        <v>7955.0</v>
      </c>
      <c r="M2058" s="271">
        <v>-35000.0</v>
      </c>
      <c r="N2058" s="275">
        <v>26652.81</v>
      </c>
      <c r="O2058" s="60"/>
      <c r="P2058" s="109">
        <v>26653.0</v>
      </c>
      <c r="Q2058" s="271">
        <v>-32251.0</v>
      </c>
      <c r="R2058" s="276">
        <v>-0.001521</v>
      </c>
      <c r="S2058" s="271">
        <v>-33015.0</v>
      </c>
      <c r="T2058" s="271">
        <v>-6362.0</v>
      </c>
      <c r="U2058" s="62">
        <v>1.0</v>
      </c>
      <c r="V2058" s="277">
        <v>0.09</v>
      </c>
      <c r="W2058" s="277">
        <v>0.03</v>
      </c>
      <c r="X2058" s="271">
        <v>-5599.0</v>
      </c>
      <c r="Y2058" s="271">
        <v>-763.0</v>
      </c>
      <c r="Z2058" s="50" t="b">
        <v>1</v>
      </c>
      <c r="AA2058" s="50" t="s">
        <v>138</v>
      </c>
      <c r="AB2058" s="50" t="s">
        <v>138</v>
      </c>
    </row>
    <row r="2059">
      <c r="A2059" s="101" t="s">
        <v>160</v>
      </c>
      <c r="B2059" s="101" t="s">
        <v>160</v>
      </c>
      <c r="C2059" s="278">
        <v>44855.0</v>
      </c>
      <c r="D2059" s="278">
        <v>44885.0</v>
      </c>
      <c r="E2059" s="271" t="s">
        <v>268</v>
      </c>
      <c r="F2059" s="138" t="s">
        <v>4</v>
      </c>
      <c r="G2059" s="101" t="s">
        <v>5</v>
      </c>
      <c r="H2059" s="273" t="s">
        <v>45</v>
      </c>
      <c r="I2059" s="274">
        <v>10.0</v>
      </c>
      <c r="J2059" s="271">
        <v>341.0</v>
      </c>
      <c r="K2059" s="271">
        <f t="shared" si="1"/>
        <v>3410</v>
      </c>
      <c r="L2059" s="271">
        <v>-5750.0</v>
      </c>
      <c r="M2059" s="271">
        <v>-700.0</v>
      </c>
      <c r="N2059" s="275">
        <v>120.0</v>
      </c>
      <c r="O2059" s="60"/>
      <c r="P2059" s="50">
        <v>120.0</v>
      </c>
      <c r="Q2059" s="271">
        <v>-358.0</v>
      </c>
      <c r="R2059" s="276">
        <v>-0.00152</v>
      </c>
      <c r="S2059" s="271">
        <v>-363.0</v>
      </c>
      <c r="T2059" s="271">
        <v>-243.0</v>
      </c>
      <c r="U2059" s="62">
        <v>1.0</v>
      </c>
      <c r="V2059" s="277">
        <v>0.3</v>
      </c>
      <c r="W2059" s="277">
        <v>0.0</v>
      </c>
      <c r="X2059" s="271">
        <v>-170.0</v>
      </c>
      <c r="Y2059" s="271">
        <v>-73.0</v>
      </c>
      <c r="Z2059" s="50" t="b">
        <v>1</v>
      </c>
      <c r="AA2059" s="50" t="s">
        <v>138</v>
      </c>
      <c r="AB2059" s="50" t="s">
        <v>138</v>
      </c>
    </row>
    <row r="2060">
      <c r="A2060" s="101" t="s">
        <v>160</v>
      </c>
      <c r="B2060" s="101" t="s">
        <v>160</v>
      </c>
      <c r="C2060" s="278">
        <v>44855.0</v>
      </c>
      <c r="D2060" s="278">
        <v>44885.0</v>
      </c>
      <c r="E2060" s="271" t="s">
        <v>268</v>
      </c>
      <c r="F2060" s="138" t="s">
        <v>4</v>
      </c>
      <c r="G2060" s="101" t="s">
        <v>5</v>
      </c>
      <c r="H2060" s="273" t="s">
        <v>62</v>
      </c>
      <c r="I2060" s="274">
        <v>25.0</v>
      </c>
      <c r="J2060" s="271">
        <v>2243.0</v>
      </c>
      <c r="K2060" s="271">
        <f t="shared" si="1"/>
        <v>56075</v>
      </c>
      <c r="L2060" s="271">
        <v>43614.0</v>
      </c>
      <c r="M2060" s="271">
        <v>250.0</v>
      </c>
      <c r="N2060" s="275">
        <v>1690.0</v>
      </c>
      <c r="O2060" s="60"/>
      <c r="P2060" s="109">
        <v>1690.0</v>
      </c>
      <c r="Q2060" s="271">
        <v>-1567.0</v>
      </c>
      <c r="R2060" s="276">
        <v>-0.00152</v>
      </c>
      <c r="S2060" s="271">
        <v>-1652.0</v>
      </c>
      <c r="T2060" s="271">
        <v>38.0</v>
      </c>
      <c r="U2060" s="62">
        <v>1.0</v>
      </c>
      <c r="V2060" s="277">
        <v>0.3</v>
      </c>
      <c r="W2060" s="277">
        <v>0.0</v>
      </c>
      <c r="X2060" s="271">
        <v>26.0</v>
      </c>
      <c r="Y2060" s="271">
        <v>11.0</v>
      </c>
      <c r="Z2060" s="50" t="b">
        <v>1</v>
      </c>
      <c r="AA2060" s="50" t="s">
        <v>138</v>
      </c>
      <c r="AB2060" s="50" t="s">
        <v>138</v>
      </c>
    </row>
    <row r="2061">
      <c r="A2061" s="271" t="s">
        <v>576</v>
      </c>
      <c r="B2061" s="271" t="s">
        <v>576</v>
      </c>
      <c r="C2061" s="278">
        <v>44855.0</v>
      </c>
      <c r="D2061" s="278">
        <v>44885.0</v>
      </c>
      <c r="E2061" s="271" t="s">
        <v>268</v>
      </c>
      <c r="F2061" s="101" t="s">
        <v>4</v>
      </c>
      <c r="G2061" s="271" t="s">
        <v>5</v>
      </c>
      <c r="H2061" s="273" t="s">
        <v>35</v>
      </c>
      <c r="I2061" s="274">
        <v>5.0</v>
      </c>
      <c r="J2061" s="271">
        <v>6.0</v>
      </c>
      <c r="K2061" s="271">
        <f t="shared" si="1"/>
        <v>30</v>
      </c>
      <c r="L2061" s="271">
        <v>289.0</v>
      </c>
      <c r="M2061" s="271">
        <v>-10.0</v>
      </c>
      <c r="N2061" s="275">
        <v>5.0</v>
      </c>
      <c r="O2061" s="60"/>
      <c r="P2061" s="50">
        <v>5.0</v>
      </c>
      <c r="Q2061" s="271">
        <v>0.0</v>
      </c>
      <c r="R2061" s="276">
        <v>-0.0015</v>
      </c>
      <c r="S2061" s="271">
        <v>0.0</v>
      </c>
      <c r="T2061" s="271">
        <v>5.0</v>
      </c>
      <c r="U2061" s="62">
        <v>1.0</v>
      </c>
      <c r="V2061" s="277">
        <v>0.3</v>
      </c>
      <c r="W2061" s="277">
        <v>0.0</v>
      </c>
      <c r="X2061" s="271">
        <v>3.0</v>
      </c>
      <c r="Y2061" s="271">
        <v>1.0</v>
      </c>
      <c r="Z2061" s="50" t="b">
        <v>0</v>
      </c>
      <c r="AA2061" s="50" t="s">
        <v>138</v>
      </c>
      <c r="AB2061" s="50" t="s">
        <v>138</v>
      </c>
    </row>
    <row r="2062">
      <c r="A2062" s="271" t="s">
        <v>576</v>
      </c>
      <c r="B2062" s="271" t="s">
        <v>576</v>
      </c>
      <c r="C2062" s="278">
        <v>44855.0</v>
      </c>
      <c r="D2062" s="278">
        <v>44885.0</v>
      </c>
      <c r="E2062" s="271" t="s">
        <v>268</v>
      </c>
      <c r="F2062" s="101" t="s">
        <v>4</v>
      </c>
      <c r="G2062" s="271" t="s">
        <v>5</v>
      </c>
      <c r="H2062" s="273" t="s">
        <v>45</v>
      </c>
      <c r="I2062" s="274">
        <v>10.0</v>
      </c>
      <c r="J2062" s="271">
        <v>1.0</v>
      </c>
      <c r="K2062" s="271">
        <f t="shared" si="1"/>
        <v>10</v>
      </c>
      <c r="L2062" s="271">
        <v>15.0</v>
      </c>
      <c r="M2062" s="271">
        <v>-10.0</v>
      </c>
      <c r="N2062" s="275">
        <v>1.0</v>
      </c>
      <c r="O2062" s="60"/>
      <c r="P2062" s="50">
        <v>1.0</v>
      </c>
      <c r="Q2062" s="271">
        <v>0.0</v>
      </c>
      <c r="R2062" s="276">
        <v>-0.0015</v>
      </c>
      <c r="S2062" s="271">
        <v>0.0</v>
      </c>
      <c r="T2062" s="271">
        <v>1.0</v>
      </c>
      <c r="U2062" s="62">
        <v>1.0</v>
      </c>
      <c r="V2062" s="277">
        <v>0.3</v>
      </c>
      <c r="W2062" s="277">
        <v>0.0</v>
      </c>
      <c r="X2062" s="271">
        <v>0.0</v>
      </c>
      <c r="Y2062" s="271">
        <v>0.0</v>
      </c>
      <c r="Z2062" s="50" t="b">
        <v>0</v>
      </c>
      <c r="AA2062" s="50" t="s">
        <v>138</v>
      </c>
      <c r="AB2062" s="50" t="s">
        <v>138</v>
      </c>
    </row>
    <row r="2063">
      <c r="A2063" s="271" t="s">
        <v>576</v>
      </c>
      <c r="B2063" s="271" t="s">
        <v>576</v>
      </c>
      <c r="C2063" s="278">
        <v>44855.0</v>
      </c>
      <c r="D2063" s="278">
        <v>44885.0</v>
      </c>
      <c r="E2063" s="271" t="s">
        <v>268</v>
      </c>
      <c r="F2063" s="101" t="s">
        <v>4</v>
      </c>
      <c r="G2063" s="271" t="s">
        <v>5</v>
      </c>
      <c r="H2063" s="273" t="s">
        <v>48</v>
      </c>
      <c r="I2063" s="274">
        <v>10.0</v>
      </c>
      <c r="J2063" s="271">
        <v>1271.0</v>
      </c>
      <c r="K2063" s="271">
        <f t="shared" si="1"/>
        <v>12710</v>
      </c>
      <c r="L2063" s="271">
        <v>21631.0</v>
      </c>
      <c r="M2063" s="271">
        <v>200.0</v>
      </c>
      <c r="N2063" s="275">
        <v>1755.0</v>
      </c>
      <c r="O2063" s="60"/>
      <c r="P2063" s="109">
        <v>1755.0</v>
      </c>
      <c r="Q2063" s="271">
        <v>-279.0</v>
      </c>
      <c r="R2063" s="276">
        <v>-0.0015</v>
      </c>
      <c r="S2063" s="271">
        <v>-298.0</v>
      </c>
      <c r="T2063" s="271">
        <v>1457.0</v>
      </c>
      <c r="U2063" s="62">
        <v>1.0</v>
      </c>
      <c r="V2063" s="277">
        <v>0.3</v>
      </c>
      <c r="W2063" s="277">
        <v>0.0</v>
      </c>
      <c r="X2063" s="271">
        <v>1020.0</v>
      </c>
      <c r="Y2063" s="271">
        <v>437.0</v>
      </c>
      <c r="Z2063" s="50" t="b">
        <v>0</v>
      </c>
      <c r="AA2063" s="50" t="s">
        <v>138</v>
      </c>
      <c r="AB2063" s="50" t="s">
        <v>138</v>
      </c>
    </row>
    <row r="2064">
      <c r="A2064" s="271" t="s">
        <v>576</v>
      </c>
      <c r="B2064" s="271" t="s">
        <v>576</v>
      </c>
      <c r="C2064" s="278">
        <v>44855.0</v>
      </c>
      <c r="D2064" s="278">
        <v>44885.0</v>
      </c>
      <c r="E2064" s="271" t="s">
        <v>268</v>
      </c>
      <c r="F2064" s="101" t="s">
        <v>4</v>
      </c>
      <c r="G2064" s="271" t="s">
        <v>5</v>
      </c>
      <c r="H2064" s="273" t="s">
        <v>62</v>
      </c>
      <c r="I2064" s="274">
        <v>25.0</v>
      </c>
      <c r="J2064" s="271">
        <v>237.0</v>
      </c>
      <c r="K2064" s="271">
        <f t="shared" si="1"/>
        <v>5925</v>
      </c>
      <c r="L2064" s="271">
        <v>-484.0</v>
      </c>
      <c r="M2064" s="271">
        <v>-1200.0</v>
      </c>
      <c r="N2064" s="275">
        <v>701.0</v>
      </c>
      <c r="O2064" s="60"/>
      <c r="P2064" s="50">
        <v>701.0</v>
      </c>
      <c r="Q2064" s="271">
        <v>-402.0</v>
      </c>
      <c r="R2064" s="276">
        <v>-0.0015</v>
      </c>
      <c r="S2064" s="271">
        <v>-411.0</v>
      </c>
      <c r="T2064" s="271">
        <v>290.0</v>
      </c>
      <c r="U2064" s="62">
        <v>1.0</v>
      </c>
      <c r="V2064" s="277">
        <v>0.3</v>
      </c>
      <c r="W2064" s="277">
        <v>0.0</v>
      </c>
      <c r="X2064" s="271">
        <v>203.0</v>
      </c>
      <c r="Y2064" s="271">
        <v>87.0</v>
      </c>
      <c r="Z2064" s="50" t="b">
        <v>0</v>
      </c>
      <c r="AA2064" s="50" t="s">
        <v>138</v>
      </c>
      <c r="AB2064" s="50" t="s">
        <v>138</v>
      </c>
    </row>
    <row r="2065">
      <c r="A2065" s="271" t="s">
        <v>576</v>
      </c>
      <c r="B2065" s="271" t="s">
        <v>576</v>
      </c>
      <c r="C2065" s="278">
        <v>44855.0</v>
      </c>
      <c r="D2065" s="278">
        <v>44885.0</v>
      </c>
      <c r="E2065" s="271" t="s">
        <v>268</v>
      </c>
      <c r="F2065" s="101" t="s">
        <v>4</v>
      </c>
      <c r="G2065" s="271" t="s">
        <v>5</v>
      </c>
      <c r="H2065" s="273" t="s">
        <v>63</v>
      </c>
      <c r="I2065" s="274">
        <v>25.0</v>
      </c>
      <c r="J2065" s="271">
        <v>16.0</v>
      </c>
      <c r="K2065" s="271">
        <f t="shared" si="1"/>
        <v>400</v>
      </c>
      <c r="L2065" s="271">
        <v>781.0</v>
      </c>
      <c r="M2065" s="271">
        <v>0.0</v>
      </c>
      <c r="N2065" s="275">
        <v>47.0</v>
      </c>
      <c r="O2065" s="60"/>
      <c r="P2065" s="50">
        <v>47.0</v>
      </c>
      <c r="Q2065" s="271">
        <v>35.0</v>
      </c>
      <c r="R2065" s="276">
        <v>-0.0015</v>
      </c>
      <c r="S2065" s="271">
        <v>34.0</v>
      </c>
      <c r="T2065" s="271">
        <v>81.0</v>
      </c>
      <c r="U2065" s="62">
        <v>1.0</v>
      </c>
      <c r="V2065" s="277">
        <v>0.3</v>
      </c>
      <c r="W2065" s="277">
        <v>0.0</v>
      </c>
      <c r="X2065" s="271">
        <v>57.0</v>
      </c>
      <c r="Y2065" s="271">
        <v>24.0</v>
      </c>
      <c r="Z2065" s="50" t="b">
        <v>0</v>
      </c>
      <c r="AA2065" s="50" t="s">
        <v>138</v>
      </c>
      <c r="AB2065" s="50" t="s">
        <v>138</v>
      </c>
    </row>
    <row r="2066">
      <c r="A2066" s="271" t="s">
        <v>576</v>
      </c>
      <c r="B2066" s="271" t="s">
        <v>576</v>
      </c>
      <c r="C2066" s="278">
        <v>44855.0</v>
      </c>
      <c r="D2066" s="278">
        <v>44885.0</v>
      </c>
      <c r="E2066" s="271" t="s">
        <v>268</v>
      </c>
      <c r="F2066" s="101" t="s">
        <v>4</v>
      </c>
      <c r="G2066" s="271" t="s">
        <v>5</v>
      </c>
      <c r="H2066" s="273" t="s">
        <v>74</v>
      </c>
      <c r="I2066" s="274">
        <v>50.0</v>
      </c>
      <c r="J2066" s="271">
        <v>359.0</v>
      </c>
      <c r="K2066" s="271">
        <f t="shared" si="1"/>
        <v>17950</v>
      </c>
      <c r="L2066" s="271">
        <v>3532.0</v>
      </c>
      <c r="M2066" s="271">
        <v>-750.0</v>
      </c>
      <c r="N2066" s="275">
        <v>2124.0</v>
      </c>
      <c r="O2066" s="60"/>
      <c r="P2066" s="109">
        <v>2124.0</v>
      </c>
      <c r="Q2066" s="271">
        <v>-821.0</v>
      </c>
      <c r="R2066" s="276">
        <v>-0.0015</v>
      </c>
      <c r="S2066" s="271">
        <v>-848.0</v>
      </c>
      <c r="T2066" s="271">
        <v>1276.0</v>
      </c>
      <c r="U2066" s="62">
        <v>1.0</v>
      </c>
      <c r="V2066" s="277">
        <v>0.3</v>
      </c>
      <c r="W2066" s="277">
        <v>0.0</v>
      </c>
      <c r="X2066" s="271">
        <v>893.0</v>
      </c>
      <c r="Y2066" s="271">
        <v>383.0</v>
      </c>
      <c r="Z2066" s="50" t="b">
        <v>0</v>
      </c>
      <c r="AA2066" s="50" t="s">
        <v>138</v>
      </c>
      <c r="AB2066" s="50" t="s">
        <v>138</v>
      </c>
    </row>
    <row r="2067">
      <c r="A2067" s="101" t="s">
        <v>207</v>
      </c>
      <c r="B2067" s="101" t="s">
        <v>208</v>
      </c>
      <c r="C2067" s="278">
        <v>44855.0</v>
      </c>
      <c r="D2067" s="278">
        <v>44885.0</v>
      </c>
      <c r="E2067" s="271" t="s">
        <v>268</v>
      </c>
      <c r="F2067" s="138" t="s">
        <v>4</v>
      </c>
      <c r="G2067" s="101" t="s">
        <v>13</v>
      </c>
      <c r="H2067" s="273" t="s">
        <v>45</v>
      </c>
      <c r="I2067" s="274">
        <v>10.0</v>
      </c>
      <c r="J2067" s="271">
        <v>8.0</v>
      </c>
      <c r="K2067" s="271">
        <f t="shared" si="1"/>
        <v>80</v>
      </c>
      <c r="L2067" s="271">
        <v>554.0</v>
      </c>
      <c r="M2067" s="271">
        <v>20.0</v>
      </c>
      <c r="N2067" s="275">
        <v>2.0</v>
      </c>
      <c r="O2067" s="60"/>
      <c r="P2067" s="50">
        <v>2.0</v>
      </c>
      <c r="Q2067" s="271">
        <v>10.0</v>
      </c>
      <c r="R2067" s="276">
        <v>-0.00152</v>
      </c>
      <c r="S2067" s="271">
        <v>10.0</v>
      </c>
      <c r="T2067" s="271">
        <v>12.0</v>
      </c>
      <c r="U2067" s="62">
        <v>1.0</v>
      </c>
      <c r="V2067" s="277">
        <v>0.22</v>
      </c>
      <c r="W2067" s="277">
        <v>0.0</v>
      </c>
      <c r="X2067" s="271">
        <v>9.0</v>
      </c>
      <c r="Y2067" s="271">
        <v>3.0</v>
      </c>
      <c r="Z2067" s="50" t="b">
        <v>1</v>
      </c>
      <c r="AA2067" s="50" t="s">
        <v>138</v>
      </c>
      <c r="AB2067" s="50" t="s">
        <v>138</v>
      </c>
    </row>
    <row r="2068">
      <c r="A2068" s="101" t="s">
        <v>207</v>
      </c>
      <c r="B2068" s="101" t="s">
        <v>208</v>
      </c>
      <c r="C2068" s="278">
        <v>44855.0</v>
      </c>
      <c r="D2068" s="278">
        <v>44885.0</v>
      </c>
      <c r="E2068" s="271" t="s">
        <v>268</v>
      </c>
      <c r="F2068" s="138" t="s">
        <v>4</v>
      </c>
      <c r="G2068" s="101" t="s">
        <v>13</v>
      </c>
      <c r="H2068" s="273" t="s">
        <v>59</v>
      </c>
      <c r="I2068" s="274">
        <v>20.0</v>
      </c>
      <c r="J2068" s="271">
        <v>7421.0</v>
      </c>
      <c r="K2068" s="271">
        <f t="shared" si="1"/>
        <v>148420</v>
      </c>
      <c r="L2068" s="271">
        <v>87606.0</v>
      </c>
      <c r="M2068" s="271">
        <v>-5300.0</v>
      </c>
      <c r="N2068" s="275">
        <f>6475+1100</f>
        <v>7575</v>
      </c>
      <c r="O2068" s="60"/>
      <c r="P2068" s="109">
        <v>7575.0</v>
      </c>
      <c r="Q2068" s="271">
        <v>-5844.0</v>
      </c>
      <c r="R2068" s="276">
        <v>-0.00152</v>
      </c>
      <c r="S2068" s="271">
        <v>-6069.0</v>
      </c>
      <c r="T2068" s="271">
        <v>1506.0</v>
      </c>
      <c r="U2068" s="62">
        <v>1.0</v>
      </c>
      <c r="V2068" s="277">
        <v>0.22</v>
      </c>
      <c r="W2068" s="277">
        <v>0.0</v>
      </c>
      <c r="X2068" s="271">
        <v>1174.0</v>
      </c>
      <c r="Y2068" s="271">
        <v>331.0</v>
      </c>
      <c r="Z2068" s="50" t="b">
        <v>1</v>
      </c>
      <c r="AA2068" s="50" t="s">
        <v>138</v>
      </c>
      <c r="AB2068" s="50" t="s">
        <v>138</v>
      </c>
    </row>
    <row r="2069">
      <c r="A2069" s="101" t="s">
        <v>210</v>
      </c>
      <c r="B2069" s="101" t="s">
        <v>210</v>
      </c>
      <c r="C2069" s="278">
        <v>44855.0</v>
      </c>
      <c r="D2069" s="278">
        <v>44885.0</v>
      </c>
      <c r="E2069" s="271" t="s">
        <v>268</v>
      </c>
      <c r="F2069" s="101" t="s">
        <v>4</v>
      </c>
      <c r="G2069" s="271" t="s">
        <v>5</v>
      </c>
      <c r="H2069" s="290" t="s">
        <v>35</v>
      </c>
      <c r="I2069" s="281">
        <v>5.0</v>
      </c>
      <c r="J2069" s="280">
        <v>38.0</v>
      </c>
      <c r="K2069" s="271">
        <f t="shared" si="1"/>
        <v>190</v>
      </c>
      <c r="L2069" s="280">
        <v>1888.0</v>
      </c>
      <c r="M2069" s="280">
        <v>-10.0</v>
      </c>
      <c r="N2069" s="275">
        <v>10.0</v>
      </c>
      <c r="O2069" s="60"/>
      <c r="P2069" s="50">
        <v>10.0</v>
      </c>
      <c r="Q2069" s="280">
        <v>0.0</v>
      </c>
      <c r="R2069" s="276">
        <v>-0.00152</v>
      </c>
      <c r="S2069" s="280">
        <v>0.0</v>
      </c>
      <c r="T2069" s="280">
        <v>10.0</v>
      </c>
      <c r="U2069" s="62">
        <v>1.028</v>
      </c>
      <c r="V2069" s="277">
        <v>0.3</v>
      </c>
      <c r="W2069" s="277">
        <v>0.0</v>
      </c>
      <c r="X2069" s="280">
        <v>7.0</v>
      </c>
      <c r="Y2069" s="280">
        <v>3.0</v>
      </c>
      <c r="Z2069" s="50" t="b">
        <v>1</v>
      </c>
      <c r="AA2069" s="50" t="s">
        <v>140</v>
      </c>
      <c r="AB2069" s="50" t="s">
        <v>138</v>
      </c>
    </row>
    <row r="2070">
      <c r="A2070" s="101" t="s">
        <v>210</v>
      </c>
      <c r="B2070" s="101" t="s">
        <v>210</v>
      </c>
      <c r="C2070" s="278">
        <v>44855.0</v>
      </c>
      <c r="D2070" s="278">
        <v>44885.0</v>
      </c>
      <c r="E2070" s="271" t="s">
        <v>268</v>
      </c>
      <c r="F2070" s="101" t="s">
        <v>4</v>
      </c>
      <c r="G2070" s="271" t="s">
        <v>5</v>
      </c>
      <c r="H2070" s="290" t="s">
        <v>62</v>
      </c>
      <c r="I2070" s="281">
        <v>25.0</v>
      </c>
      <c r="J2070" s="280">
        <v>1928.0</v>
      </c>
      <c r="K2070" s="271">
        <f t="shared" si="1"/>
        <v>48200</v>
      </c>
      <c r="L2070" s="280">
        <v>43157.0</v>
      </c>
      <c r="M2070" s="280">
        <v>-1175.0</v>
      </c>
      <c r="N2070" s="275">
        <v>1895.0</v>
      </c>
      <c r="O2070" s="60"/>
      <c r="P2070" s="109">
        <v>1895.0</v>
      </c>
      <c r="Q2070" s="280">
        <v>-1075.0</v>
      </c>
      <c r="R2070" s="276">
        <v>-0.00152</v>
      </c>
      <c r="S2070" s="280">
        <v>-1148.0</v>
      </c>
      <c r="T2070" s="280">
        <v>747.0</v>
      </c>
      <c r="U2070" s="62">
        <v>1.028</v>
      </c>
      <c r="V2070" s="277">
        <v>0.3</v>
      </c>
      <c r="W2070" s="277">
        <v>0.0</v>
      </c>
      <c r="X2070" s="280">
        <v>537.0</v>
      </c>
      <c r="Y2070" s="280">
        <v>230.0</v>
      </c>
      <c r="Z2070" s="50" t="b">
        <v>1</v>
      </c>
      <c r="AA2070" s="50" t="s">
        <v>140</v>
      </c>
      <c r="AB2070" s="50" t="s">
        <v>138</v>
      </c>
    </row>
    <row r="2071">
      <c r="A2071" s="101" t="s">
        <v>169</v>
      </c>
      <c r="B2071" s="101" t="s">
        <v>169</v>
      </c>
      <c r="C2071" s="278">
        <v>44855.0</v>
      </c>
      <c r="D2071" s="278">
        <v>44885.0</v>
      </c>
      <c r="E2071" s="271" t="s">
        <v>268</v>
      </c>
      <c r="F2071" s="101" t="s">
        <v>4</v>
      </c>
      <c r="G2071" s="271" t="s">
        <v>5</v>
      </c>
      <c r="H2071" s="273" t="s">
        <v>38</v>
      </c>
      <c r="I2071" s="274">
        <v>5.0</v>
      </c>
      <c r="J2071" s="271">
        <v>1.0</v>
      </c>
      <c r="K2071" s="271">
        <f t="shared" si="1"/>
        <v>5</v>
      </c>
      <c r="L2071" s="271">
        <v>1.0</v>
      </c>
      <c r="M2071" s="271">
        <v>10.0</v>
      </c>
      <c r="N2071" s="275">
        <v>1.0</v>
      </c>
      <c r="O2071" s="60"/>
      <c r="P2071" s="50">
        <v>1.0</v>
      </c>
      <c r="Q2071" s="271">
        <v>0.0</v>
      </c>
      <c r="R2071" s="276">
        <v>-0.00152</v>
      </c>
      <c r="S2071" s="271">
        <v>0.0</v>
      </c>
      <c r="T2071" s="271">
        <v>1.0</v>
      </c>
      <c r="U2071" s="62">
        <v>1.0</v>
      </c>
      <c r="V2071" s="277">
        <v>0.23</v>
      </c>
      <c r="W2071" s="277">
        <v>0.0</v>
      </c>
      <c r="X2071" s="271">
        <v>0.0</v>
      </c>
      <c r="Y2071" s="271">
        <v>0.0</v>
      </c>
      <c r="Z2071" s="50" t="b">
        <v>1</v>
      </c>
      <c r="AA2071" s="50" t="s">
        <v>138</v>
      </c>
      <c r="AB2071" s="50" t="s">
        <v>138</v>
      </c>
    </row>
    <row r="2072">
      <c r="A2072" s="101" t="s">
        <v>169</v>
      </c>
      <c r="B2072" s="101" t="s">
        <v>169</v>
      </c>
      <c r="C2072" s="278">
        <v>44855.0</v>
      </c>
      <c r="D2072" s="278">
        <v>44885.0</v>
      </c>
      <c r="E2072" s="271" t="s">
        <v>268</v>
      </c>
      <c r="F2072" s="101" t="s">
        <v>4</v>
      </c>
      <c r="G2072" s="271" t="s">
        <v>5</v>
      </c>
      <c r="H2072" s="273" t="s">
        <v>48</v>
      </c>
      <c r="I2072" s="274">
        <v>10.0</v>
      </c>
      <c r="J2072" s="271">
        <v>8717.0</v>
      </c>
      <c r="K2072" s="271">
        <f t="shared" si="1"/>
        <v>87170</v>
      </c>
      <c r="L2072" s="271">
        <v>99370.0</v>
      </c>
      <c r="M2072" s="271">
        <v>-2120.0</v>
      </c>
      <c r="N2072" s="275">
        <v>7507.0</v>
      </c>
      <c r="O2072" s="60"/>
      <c r="P2072" s="109">
        <v>7507.0</v>
      </c>
      <c r="Q2072" s="271">
        <v>-3356.0</v>
      </c>
      <c r="R2072" s="276">
        <v>-0.00152</v>
      </c>
      <c r="S2072" s="271">
        <v>-3489.0</v>
      </c>
      <c r="T2072" s="271">
        <v>4018.0</v>
      </c>
      <c r="U2072" s="62">
        <v>1.0</v>
      </c>
      <c r="V2072" s="277">
        <v>0.23</v>
      </c>
      <c r="W2072" s="277">
        <v>0.0</v>
      </c>
      <c r="X2072" s="271">
        <v>3094.0</v>
      </c>
      <c r="Y2072" s="271">
        <v>924.0</v>
      </c>
      <c r="Z2072" s="50" t="b">
        <v>1</v>
      </c>
      <c r="AA2072" s="50" t="s">
        <v>138</v>
      </c>
      <c r="AB2072" s="50" t="s">
        <v>138</v>
      </c>
    </row>
    <row r="2073">
      <c r="A2073" s="101" t="s">
        <v>169</v>
      </c>
      <c r="B2073" s="101" t="s">
        <v>169</v>
      </c>
      <c r="C2073" s="278">
        <v>44855.0</v>
      </c>
      <c r="D2073" s="278">
        <v>44885.0</v>
      </c>
      <c r="E2073" s="271" t="s">
        <v>268</v>
      </c>
      <c r="F2073" s="101" t="s">
        <v>4</v>
      </c>
      <c r="G2073" s="271" t="s">
        <v>5</v>
      </c>
      <c r="H2073" s="273" t="s">
        <v>63</v>
      </c>
      <c r="I2073" s="274">
        <v>25.0</v>
      </c>
      <c r="J2073" s="271">
        <v>2668.0</v>
      </c>
      <c r="K2073" s="271">
        <f t="shared" si="1"/>
        <v>66700</v>
      </c>
      <c r="L2073" s="271">
        <v>4500.0</v>
      </c>
      <c r="M2073" s="271">
        <v>-3825.0</v>
      </c>
      <c r="N2073" s="275">
        <v>4923.0</v>
      </c>
      <c r="O2073" s="60"/>
      <c r="P2073" s="109">
        <v>4923.0</v>
      </c>
      <c r="Q2073" s="271">
        <v>-3884.0</v>
      </c>
      <c r="R2073" s="276">
        <v>-0.00152</v>
      </c>
      <c r="S2073" s="271">
        <v>-3986.0</v>
      </c>
      <c r="T2073" s="271">
        <v>937.0</v>
      </c>
      <c r="U2073" s="62">
        <v>1.0</v>
      </c>
      <c r="V2073" s="277">
        <v>0.23</v>
      </c>
      <c r="W2073" s="277">
        <v>0.0</v>
      </c>
      <c r="X2073" s="271">
        <v>722.0</v>
      </c>
      <c r="Y2073" s="271">
        <v>216.0</v>
      </c>
      <c r="Z2073" s="50" t="b">
        <v>1</v>
      </c>
      <c r="AA2073" s="50" t="s">
        <v>138</v>
      </c>
      <c r="AB2073" s="50" t="s">
        <v>138</v>
      </c>
    </row>
    <row r="2074">
      <c r="A2074" s="101" t="s">
        <v>169</v>
      </c>
      <c r="B2074" s="101" t="s">
        <v>169</v>
      </c>
      <c r="C2074" s="278">
        <v>44855.0</v>
      </c>
      <c r="D2074" s="278">
        <v>44885.0</v>
      </c>
      <c r="E2074" s="271" t="s">
        <v>268</v>
      </c>
      <c r="F2074" s="101" t="s">
        <v>4</v>
      </c>
      <c r="G2074" s="271" t="s">
        <v>5</v>
      </c>
      <c r="H2074" s="273" t="s">
        <v>75</v>
      </c>
      <c r="I2074" s="274">
        <v>50.0</v>
      </c>
      <c r="J2074" s="271">
        <v>138.0</v>
      </c>
      <c r="K2074" s="271">
        <f t="shared" si="1"/>
        <v>6900</v>
      </c>
      <c r="L2074" s="271">
        <v>-595.0</v>
      </c>
      <c r="M2074" s="271">
        <v>-1050.0</v>
      </c>
      <c r="N2074" s="275">
        <v>509.0</v>
      </c>
      <c r="O2074" s="60"/>
      <c r="P2074" s="50">
        <v>509.0</v>
      </c>
      <c r="Q2074" s="271">
        <v>-530.0</v>
      </c>
      <c r="R2074" s="276">
        <v>-0.00152</v>
      </c>
      <c r="S2074" s="271">
        <v>-540.0</v>
      </c>
      <c r="T2074" s="271">
        <v>-31.0</v>
      </c>
      <c r="U2074" s="62">
        <v>1.0</v>
      </c>
      <c r="V2074" s="277">
        <v>0.23</v>
      </c>
      <c r="W2074" s="277">
        <v>0.0</v>
      </c>
      <c r="X2074" s="271">
        <v>-24.0</v>
      </c>
      <c r="Y2074" s="271">
        <v>-7.0</v>
      </c>
      <c r="Z2074" s="50" t="b">
        <v>1</v>
      </c>
      <c r="AA2074" s="50" t="s">
        <v>138</v>
      </c>
      <c r="AB2074" s="50" t="s">
        <v>138</v>
      </c>
    </row>
    <row r="2075">
      <c r="A2075" s="271" t="s">
        <v>161</v>
      </c>
      <c r="B2075" s="271" t="s">
        <v>161</v>
      </c>
      <c r="C2075" s="278">
        <v>44855.0</v>
      </c>
      <c r="D2075" s="278">
        <v>44885.0</v>
      </c>
      <c r="E2075" s="271" t="s">
        <v>268</v>
      </c>
      <c r="F2075" s="101" t="s">
        <v>4</v>
      </c>
      <c r="G2075" s="271" t="s">
        <v>5</v>
      </c>
      <c r="H2075" s="273" t="s">
        <v>38</v>
      </c>
      <c r="I2075" s="274">
        <v>5.0</v>
      </c>
      <c r="J2075" s="271">
        <v>1.0</v>
      </c>
      <c r="K2075" s="271">
        <f t="shared" si="1"/>
        <v>5</v>
      </c>
      <c r="L2075" s="271">
        <v>-242.0</v>
      </c>
      <c r="M2075" s="271">
        <v>10.0</v>
      </c>
      <c r="N2075" s="275">
        <v>1.0</v>
      </c>
      <c r="O2075" s="60"/>
      <c r="P2075" s="50">
        <v>1.0</v>
      </c>
      <c r="Q2075" s="271">
        <v>-4.0</v>
      </c>
      <c r="R2075" s="276">
        <v>-0.00152</v>
      </c>
      <c r="S2075" s="271">
        <v>-4.0</v>
      </c>
      <c r="T2075" s="271">
        <v>-3.0</v>
      </c>
      <c r="U2075" s="62">
        <v>1.0</v>
      </c>
      <c r="V2075" s="277">
        <v>0.3</v>
      </c>
      <c r="W2075" s="277">
        <v>0.0</v>
      </c>
      <c r="X2075" s="271">
        <v>-2.0</v>
      </c>
      <c r="Y2075" s="271">
        <v>-1.0</v>
      </c>
      <c r="Z2075" s="50" t="b">
        <v>1</v>
      </c>
      <c r="AA2075" s="50" t="s">
        <v>138</v>
      </c>
      <c r="AB2075" s="50" t="s">
        <v>138</v>
      </c>
    </row>
    <row r="2076">
      <c r="A2076" s="271" t="s">
        <v>161</v>
      </c>
      <c r="B2076" s="271" t="s">
        <v>161</v>
      </c>
      <c r="C2076" s="278">
        <v>44855.0</v>
      </c>
      <c r="D2076" s="278">
        <v>44885.0</v>
      </c>
      <c r="E2076" s="271" t="s">
        <v>268</v>
      </c>
      <c r="F2076" s="101" t="s">
        <v>4</v>
      </c>
      <c r="G2076" s="271" t="s">
        <v>5</v>
      </c>
      <c r="H2076" s="273" t="s">
        <v>45</v>
      </c>
      <c r="I2076" s="274">
        <v>10.0</v>
      </c>
      <c r="J2076" s="271">
        <v>717.0</v>
      </c>
      <c r="K2076" s="271">
        <f t="shared" si="1"/>
        <v>7170</v>
      </c>
      <c r="L2076" s="271">
        <v>22210.0</v>
      </c>
      <c r="M2076" s="271">
        <v>410.0</v>
      </c>
      <c r="N2076" s="275">
        <v>320.0</v>
      </c>
      <c r="O2076" s="60"/>
      <c r="P2076" s="50">
        <v>320.0</v>
      </c>
      <c r="Q2076" s="271">
        <v>-123.0</v>
      </c>
      <c r="R2076" s="276">
        <v>-0.00152</v>
      </c>
      <c r="S2076" s="271">
        <v>-134.0</v>
      </c>
      <c r="T2076" s="271">
        <v>186.0</v>
      </c>
      <c r="U2076" s="62">
        <v>1.0</v>
      </c>
      <c r="V2076" s="277">
        <v>0.3</v>
      </c>
      <c r="W2076" s="277">
        <v>0.0</v>
      </c>
      <c r="X2076" s="271">
        <v>130.0</v>
      </c>
      <c r="Y2076" s="271">
        <v>56.0</v>
      </c>
      <c r="Z2076" s="50" t="b">
        <v>1</v>
      </c>
      <c r="AA2076" s="50" t="s">
        <v>138</v>
      </c>
      <c r="AB2076" s="50" t="s">
        <v>138</v>
      </c>
    </row>
    <row r="2077">
      <c r="A2077" s="271" t="s">
        <v>161</v>
      </c>
      <c r="B2077" s="271" t="s">
        <v>161</v>
      </c>
      <c r="C2077" s="278">
        <v>44855.0</v>
      </c>
      <c r="D2077" s="278">
        <v>44885.0</v>
      </c>
      <c r="E2077" s="271" t="s">
        <v>268</v>
      </c>
      <c r="F2077" s="101" t="s">
        <v>4</v>
      </c>
      <c r="G2077" s="271" t="s">
        <v>5</v>
      </c>
      <c r="H2077" s="273" t="s">
        <v>48</v>
      </c>
      <c r="I2077" s="274">
        <v>10.0</v>
      </c>
      <c r="J2077" s="271">
        <v>3412.0</v>
      </c>
      <c r="K2077" s="271">
        <f t="shared" si="1"/>
        <v>34120</v>
      </c>
      <c r="L2077" s="271">
        <v>37466.0</v>
      </c>
      <c r="M2077" s="271">
        <v>-2130.0</v>
      </c>
      <c r="N2077" s="275">
        <v>1523.0</v>
      </c>
      <c r="O2077" s="60"/>
      <c r="P2077" s="109">
        <v>1523.0</v>
      </c>
      <c r="Q2077" s="271">
        <v>-1379.0</v>
      </c>
      <c r="R2077" s="276">
        <v>-0.00152</v>
      </c>
      <c r="S2077" s="271">
        <v>-1431.0</v>
      </c>
      <c r="T2077" s="271">
        <v>92.0</v>
      </c>
      <c r="U2077" s="62">
        <v>1.0</v>
      </c>
      <c r="V2077" s="277">
        <v>0.3</v>
      </c>
      <c r="W2077" s="277">
        <v>0.0</v>
      </c>
      <c r="X2077" s="271">
        <v>64.0</v>
      </c>
      <c r="Y2077" s="271">
        <v>27.0</v>
      </c>
      <c r="Z2077" s="50" t="b">
        <v>1</v>
      </c>
      <c r="AA2077" s="50" t="s">
        <v>138</v>
      </c>
      <c r="AB2077" s="50" t="s">
        <v>138</v>
      </c>
    </row>
    <row r="2078">
      <c r="A2078" s="271" t="s">
        <v>161</v>
      </c>
      <c r="B2078" s="271" t="s">
        <v>161</v>
      </c>
      <c r="C2078" s="278">
        <v>44855.0</v>
      </c>
      <c r="D2078" s="278">
        <v>44885.0</v>
      </c>
      <c r="E2078" s="271" t="s">
        <v>268</v>
      </c>
      <c r="F2078" s="101" t="s">
        <v>12</v>
      </c>
      <c r="G2078" s="271" t="s">
        <v>5</v>
      </c>
      <c r="H2078" s="273" t="s">
        <v>23</v>
      </c>
      <c r="I2078" s="274">
        <v>1.0</v>
      </c>
      <c r="J2078" s="271">
        <v>24.0</v>
      </c>
      <c r="K2078" s="271">
        <f t="shared" si="1"/>
        <v>24</v>
      </c>
      <c r="L2078" s="271"/>
      <c r="M2078" s="271">
        <v>-3.0</v>
      </c>
      <c r="N2078" s="275">
        <v>1.0</v>
      </c>
      <c r="O2078" s="60"/>
      <c r="P2078" s="50">
        <v>1.0</v>
      </c>
      <c r="Q2078" s="271"/>
      <c r="R2078" s="276">
        <v>0.0</v>
      </c>
      <c r="S2078" s="271"/>
      <c r="T2078" s="271">
        <v>-2.0</v>
      </c>
      <c r="U2078" s="62">
        <v>1.0</v>
      </c>
      <c r="V2078" s="277">
        <v>0.3</v>
      </c>
      <c r="W2078" s="277">
        <v>0.0</v>
      </c>
      <c r="X2078" s="271">
        <v>-1.0</v>
      </c>
      <c r="Y2078" s="271">
        <v>-1.0</v>
      </c>
      <c r="Z2078" s="50" t="b">
        <v>1</v>
      </c>
      <c r="AA2078" s="50" t="s">
        <v>138</v>
      </c>
      <c r="AB2078" s="50" t="s">
        <v>138</v>
      </c>
    </row>
    <row r="2079">
      <c r="A2079" s="101" t="s">
        <v>216</v>
      </c>
      <c r="B2079" s="101" t="s">
        <v>216</v>
      </c>
      <c r="C2079" s="278">
        <v>44855.0</v>
      </c>
      <c r="D2079" s="278">
        <v>44885.0</v>
      </c>
      <c r="E2079" s="271" t="s">
        <v>268</v>
      </c>
      <c r="F2079" s="138" t="s">
        <v>4</v>
      </c>
      <c r="G2079" s="101" t="s">
        <v>5</v>
      </c>
      <c r="H2079" s="273" t="s">
        <v>74</v>
      </c>
      <c r="I2079" s="274">
        <v>50.0</v>
      </c>
      <c r="J2079" s="271">
        <v>91.0</v>
      </c>
      <c r="K2079" s="271">
        <f t="shared" si="1"/>
        <v>4550</v>
      </c>
      <c r="L2079" s="271">
        <v>7306.0</v>
      </c>
      <c r="M2079" s="271">
        <v>800.0</v>
      </c>
      <c r="N2079" s="275">
        <v>67.0</v>
      </c>
      <c r="O2079" s="60"/>
      <c r="P2079" s="50">
        <v>67.0</v>
      </c>
      <c r="Q2079" s="271">
        <v>386.0</v>
      </c>
      <c r="R2079" s="276">
        <v>-0.00152</v>
      </c>
      <c r="S2079" s="271">
        <v>379.0</v>
      </c>
      <c r="T2079" s="271">
        <v>446.0</v>
      </c>
      <c r="U2079" s="62">
        <v>1.0</v>
      </c>
      <c r="V2079" s="277">
        <v>0.1</v>
      </c>
      <c r="W2079" s="277">
        <v>0.0</v>
      </c>
      <c r="X2079" s="271">
        <v>402.0</v>
      </c>
      <c r="Y2079" s="271">
        <v>45.0</v>
      </c>
      <c r="Z2079" s="50" t="b">
        <v>1</v>
      </c>
      <c r="AA2079" s="50" t="s">
        <v>138</v>
      </c>
      <c r="AB2079" s="50" t="s">
        <v>138</v>
      </c>
    </row>
    <row r="2080">
      <c r="A2080" s="101" t="s">
        <v>216</v>
      </c>
      <c r="B2080" s="101" t="s">
        <v>216</v>
      </c>
      <c r="C2080" s="278">
        <v>44855.0</v>
      </c>
      <c r="D2080" s="278">
        <v>44885.0</v>
      </c>
      <c r="E2080" s="271" t="s">
        <v>268</v>
      </c>
      <c r="F2080" s="138" t="s">
        <v>4</v>
      </c>
      <c r="G2080" s="101" t="s">
        <v>5</v>
      </c>
      <c r="H2080" s="273" t="s">
        <v>75</v>
      </c>
      <c r="I2080" s="274">
        <v>50.0</v>
      </c>
      <c r="J2080" s="271">
        <v>17.0</v>
      </c>
      <c r="K2080" s="271">
        <f t="shared" si="1"/>
        <v>850</v>
      </c>
      <c r="L2080" s="271">
        <v>358.0</v>
      </c>
      <c r="M2080" s="271">
        <v>300.0</v>
      </c>
      <c r="N2080" s="275">
        <v>13.0</v>
      </c>
      <c r="O2080" s="60"/>
      <c r="P2080" s="50">
        <v>13.0</v>
      </c>
      <c r="Q2080" s="271">
        <v>1.0</v>
      </c>
      <c r="R2080" s="276">
        <v>-0.00152</v>
      </c>
      <c r="S2080" s="271">
        <v>0.0</v>
      </c>
      <c r="T2080" s="271">
        <v>13.0</v>
      </c>
      <c r="U2080" s="62">
        <v>1.0</v>
      </c>
      <c r="V2080" s="277">
        <v>0.1</v>
      </c>
      <c r="W2080" s="277">
        <v>0.0</v>
      </c>
      <c r="X2080" s="271">
        <v>11.0</v>
      </c>
      <c r="Y2080" s="271">
        <v>1.0</v>
      </c>
      <c r="Z2080" s="50" t="b">
        <v>1</v>
      </c>
      <c r="AA2080" s="50" t="s">
        <v>138</v>
      </c>
      <c r="AB2080" s="50" t="s">
        <v>138</v>
      </c>
    </row>
    <row r="2081">
      <c r="A2081" s="101" t="s">
        <v>216</v>
      </c>
      <c r="B2081" s="101" t="s">
        <v>216</v>
      </c>
      <c r="C2081" s="278">
        <v>44855.0</v>
      </c>
      <c r="D2081" s="278">
        <v>44885.0</v>
      </c>
      <c r="E2081" s="271" t="s">
        <v>268</v>
      </c>
      <c r="F2081" s="138" t="s">
        <v>4</v>
      </c>
      <c r="G2081" s="101" t="s">
        <v>5</v>
      </c>
      <c r="H2081" s="273" t="s">
        <v>85</v>
      </c>
      <c r="I2081" s="274">
        <v>100.0</v>
      </c>
      <c r="J2081" s="271">
        <v>947.0</v>
      </c>
      <c r="K2081" s="271">
        <f t="shared" si="1"/>
        <v>94700</v>
      </c>
      <c r="L2081" s="271">
        <v>3651.0</v>
      </c>
      <c r="M2081" s="271">
        <v>-11100.0</v>
      </c>
      <c r="N2081" s="275">
        <v>1165.0</v>
      </c>
      <c r="O2081" s="60"/>
      <c r="P2081" s="109">
        <v>1165.0</v>
      </c>
      <c r="Q2081" s="271">
        <v>-4429.0</v>
      </c>
      <c r="R2081" s="276">
        <v>-0.00152</v>
      </c>
      <c r="S2081" s="271">
        <v>-4573.0</v>
      </c>
      <c r="T2081" s="271">
        <v>-3408.0</v>
      </c>
      <c r="U2081" s="62">
        <v>1.0</v>
      </c>
      <c r="V2081" s="277">
        <v>0.1</v>
      </c>
      <c r="W2081" s="277">
        <v>0.0</v>
      </c>
      <c r="X2081" s="271">
        <v>-3068.0</v>
      </c>
      <c r="Y2081" s="271">
        <v>-341.0</v>
      </c>
      <c r="Z2081" s="50" t="b">
        <v>1</v>
      </c>
      <c r="AA2081" s="50" t="s">
        <v>138</v>
      </c>
      <c r="AB2081" s="50" t="s">
        <v>138</v>
      </c>
    </row>
    <row r="2082">
      <c r="A2082" s="101" t="s">
        <v>216</v>
      </c>
      <c r="B2082" s="101" t="s">
        <v>216</v>
      </c>
      <c r="C2082" s="278">
        <v>44855.0</v>
      </c>
      <c r="D2082" s="278">
        <v>44885.0</v>
      </c>
      <c r="E2082" s="271" t="s">
        <v>268</v>
      </c>
      <c r="F2082" s="138" t="s">
        <v>4</v>
      </c>
      <c r="G2082" s="101" t="s">
        <v>5</v>
      </c>
      <c r="H2082" s="273" t="s">
        <v>86</v>
      </c>
      <c r="I2082" s="274">
        <v>100.0</v>
      </c>
      <c r="J2082" s="271">
        <v>20.0</v>
      </c>
      <c r="K2082" s="271">
        <f t="shared" si="1"/>
        <v>2000</v>
      </c>
      <c r="L2082" s="271">
        <v>-437.0</v>
      </c>
      <c r="M2082" s="271">
        <v>400.0</v>
      </c>
      <c r="N2082" s="275">
        <v>25.0</v>
      </c>
      <c r="O2082" s="60"/>
      <c r="P2082" s="50">
        <v>25.0</v>
      </c>
      <c r="Q2082" s="271">
        <v>-245.0</v>
      </c>
      <c r="R2082" s="276">
        <v>-0.00152</v>
      </c>
      <c r="S2082" s="271">
        <v>-248.0</v>
      </c>
      <c r="T2082" s="271">
        <v>-223.0</v>
      </c>
      <c r="U2082" s="62">
        <v>1.0</v>
      </c>
      <c r="V2082" s="277">
        <v>0.1</v>
      </c>
      <c r="W2082" s="277">
        <v>0.0</v>
      </c>
      <c r="X2082" s="271">
        <v>-200.0</v>
      </c>
      <c r="Y2082" s="271">
        <v>-22.0</v>
      </c>
      <c r="Z2082" s="50" t="b">
        <v>1</v>
      </c>
      <c r="AA2082" s="50" t="s">
        <v>138</v>
      </c>
      <c r="AB2082" s="50" t="s">
        <v>138</v>
      </c>
    </row>
    <row r="2083">
      <c r="A2083" s="101" t="s">
        <v>216</v>
      </c>
      <c r="B2083" s="101" t="s">
        <v>216</v>
      </c>
      <c r="C2083" s="278">
        <v>44855.0</v>
      </c>
      <c r="D2083" s="278">
        <v>44885.0</v>
      </c>
      <c r="E2083" s="271" t="s">
        <v>268</v>
      </c>
      <c r="F2083" s="138" t="s">
        <v>4</v>
      </c>
      <c r="G2083" s="101" t="s">
        <v>5</v>
      </c>
      <c r="H2083" s="273" t="s">
        <v>96</v>
      </c>
      <c r="I2083" s="274">
        <v>250.0</v>
      </c>
      <c r="J2083" s="271">
        <v>462.0</v>
      </c>
      <c r="K2083" s="271">
        <f t="shared" si="1"/>
        <v>115500</v>
      </c>
      <c r="L2083" s="271">
        <v>-1756.0</v>
      </c>
      <c r="M2083" s="271">
        <v>-14250.0</v>
      </c>
      <c r="N2083" s="275">
        <v>1420.0</v>
      </c>
      <c r="O2083" s="60"/>
      <c r="P2083" s="109">
        <v>1420.0</v>
      </c>
      <c r="Q2083" s="271">
        <v>-6785.0</v>
      </c>
      <c r="R2083" s="276">
        <v>-0.00152</v>
      </c>
      <c r="S2083" s="271">
        <v>-6960.0</v>
      </c>
      <c r="T2083" s="271">
        <v>-5540.0</v>
      </c>
      <c r="U2083" s="62">
        <v>1.0</v>
      </c>
      <c r="V2083" s="277">
        <v>0.1</v>
      </c>
      <c r="W2083" s="277">
        <v>0.0</v>
      </c>
      <c r="X2083" s="271">
        <v>-4986.0</v>
      </c>
      <c r="Y2083" s="271">
        <v>-554.0</v>
      </c>
      <c r="Z2083" s="50" t="b">
        <v>1</v>
      </c>
      <c r="AA2083" s="50" t="s">
        <v>138</v>
      </c>
      <c r="AB2083" s="50" t="s">
        <v>138</v>
      </c>
    </row>
    <row r="2084">
      <c r="A2084" s="101" t="s">
        <v>216</v>
      </c>
      <c r="B2084" s="101" t="s">
        <v>216</v>
      </c>
      <c r="C2084" s="278">
        <v>44855.0</v>
      </c>
      <c r="D2084" s="278">
        <v>44885.0</v>
      </c>
      <c r="E2084" s="271" t="s">
        <v>268</v>
      </c>
      <c r="F2084" s="138" t="s">
        <v>4</v>
      </c>
      <c r="G2084" s="101" t="s">
        <v>5</v>
      </c>
      <c r="H2084" s="273" t="s">
        <v>97</v>
      </c>
      <c r="I2084" s="274">
        <v>250.0</v>
      </c>
      <c r="J2084" s="271">
        <v>166.0</v>
      </c>
      <c r="K2084" s="271">
        <f t="shared" si="1"/>
        <v>41500</v>
      </c>
      <c r="L2084" s="271">
        <v>105.0</v>
      </c>
      <c r="M2084" s="271">
        <v>-1500.0</v>
      </c>
      <c r="N2084" s="275">
        <v>510.0</v>
      </c>
      <c r="O2084" s="60"/>
      <c r="P2084" s="50">
        <v>510.0</v>
      </c>
      <c r="Q2084" s="271">
        <v>-2059.0</v>
      </c>
      <c r="R2084" s="276">
        <v>-0.00152</v>
      </c>
      <c r="S2084" s="271">
        <v>-2122.0</v>
      </c>
      <c r="T2084" s="271">
        <v>-1612.0</v>
      </c>
      <c r="U2084" s="62">
        <v>1.0</v>
      </c>
      <c r="V2084" s="277">
        <v>0.1</v>
      </c>
      <c r="W2084" s="277">
        <v>0.0</v>
      </c>
      <c r="X2084" s="271">
        <v>-1451.0</v>
      </c>
      <c r="Y2084" s="271">
        <v>-161.0</v>
      </c>
      <c r="Z2084" s="50" t="b">
        <v>1</v>
      </c>
      <c r="AA2084" s="50" t="s">
        <v>138</v>
      </c>
      <c r="AB2084" s="50" t="s">
        <v>138</v>
      </c>
    </row>
    <row r="2085">
      <c r="A2085" s="280" t="s">
        <v>143</v>
      </c>
      <c r="B2085" s="280" t="s">
        <v>143</v>
      </c>
      <c r="C2085" s="283">
        <v>44866.0</v>
      </c>
      <c r="D2085" s="283">
        <v>44895.0</v>
      </c>
      <c r="E2085" s="280" t="s">
        <v>268</v>
      </c>
      <c r="F2085" s="138" t="s">
        <v>12</v>
      </c>
      <c r="G2085" s="280" t="s">
        <v>142</v>
      </c>
      <c r="H2085" s="290" t="s">
        <v>61</v>
      </c>
      <c r="I2085" s="281">
        <v>20.0</v>
      </c>
      <c r="J2085" s="280">
        <v>337.0</v>
      </c>
      <c r="K2085" s="271">
        <f t="shared" si="1"/>
        <v>6740</v>
      </c>
      <c r="L2085" s="280"/>
      <c r="M2085" s="280">
        <v>-533.74</v>
      </c>
      <c r="N2085" s="282"/>
      <c r="O2085" s="60">
        <v>0.5</v>
      </c>
      <c r="P2085" s="50">
        <v>236.0</v>
      </c>
      <c r="Q2085" s="280"/>
      <c r="R2085" s="276">
        <v>0.0</v>
      </c>
      <c r="S2085" s="280"/>
      <c r="T2085" s="280">
        <v>-298.0</v>
      </c>
      <c r="U2085" s="62">
        <v>1.052</v>
      </c>
      <c r="V2085" s="291"/>
      <c r="W2085" s="277">
        <v>0.0</v>
      </c>
      <c r="X2085" s="280">
        <v>-313.0</v>
      </c>
      <c r="Y2085" s="280">
        <v>0.0</v>
      </c>
      <c r="Z2085" s="50" t="b">
        <v>0</v>
      </c>
      <c r="AA2085" s="50" t="s">
        <v>138</v>
      </c>
      <c r="AB2085" s="50" t="s">
        <v>140</v>
      </c>
    </row>
    <row r="2086">
      <c r="A2086" s="280" t="s">
        <v>143</v>
      </c>
      <c r="B2086" s="280" t="s">
        <v>143</v>
      </c>
      <c r="C2086" s="283">
        <v>44866.0</v>
      </c>
      <c r="D2086" s="283">
        <v>44895.0</v>
      </c>
      <c r="E2086" s="280" t="s">
        <v>268</v>
      </c>
      <c r="F2086" s="138" t="s">
        <v>12</v>
      </c>
      <c r="G2086" s="280" t="s">
        <v>142</v>
      </c>
      <c r="H2086" s="290" t="s">
        <v>39</v>
      </c>
      <c r="I2086" s="281">
        <v>5.0</v>
      </c>
      <c r="J2086" s="280">
        <v>158.0</v>
      </c>
      <c r="K2086" s="271">
        <f t="shared" si="1"/>
        <v>790</v>
      </c>
      <c r="L2086" s="280"/>
      <c r="M2086" s="280">
        <v>-62.56</v>
      </c>
      <c r="N2086" s="282"/>
      <c r="O2086" s="60">
        <v>0.5</v>
      </c>
      <c r="P2086" s="50">
        <v>28.0</v>
      </c>
      <c r="Q2086" s="280"/>
      <c r="R2086" s="276">
        <v>0.0</v>
      </c>
      <c r="S2086" s="280"/>
      <c r="T2086" s="280">
        <v>-35.0</v>
      </c>
      <c r="U2086" s="62">
        <v>1.052</v>
      </c>
      <c r="V2086" s="291"/>
      <c r="W2086" s="277">
        <v>0.0</v>
      </c>
      <c r="X2086" s="280">
        <v>-37.0</v>
      </c>
      <c r="Y2086" s="280">
        <v>0.0</v>
      </c>
      <c r="Z2086" s="50" t="b">
        <v>0</v>
      </c>
      <c r="AA2086" s="50" t="s">
        <v>138</v>
      </c>
      <c r="AB2086" s="50" t="s">
        <v>140</v>
      </c>
    </row>
    <row r="2087">
      <c r="A2087" s="280" t="s">
        <v>143</v>
      </c>
      <c r="B2087" s="280" t="s">
        <v>143</v>
      </c>
      <c r="C2087" s="283">
        <v>44866.0</v>
      </c>
      <c r="D2087" s="283">
        <v>44895.0</v>
      </c>
      <c r="E2087" s="280" t="s">
        <v>268</v>
      </c>
      <c r="F2087" s="138" t="s">
        <v>12</v>
      </c>
      <c r="G2087" s="280" t="s">
        <v>142</v>
      </c>
      <c r="H2087" s="290" t="s">
        <v>50</v>
      </c>
      <c r="I2087" s="281">
        <v>10.0</v>
      </c>
      <c r="J2087" s="280">
        <v>98.0</v>
      </c>
      <c r="K2087" s="271">
        <f t="shared" si="1"/>
        <v>980</v>
      </c>
      <c r="L2087" s="280"/>
      <c r="M2087" s="280">
        <v>-77.61</v>
      </c>
      <c r="N2087" s="282"/>
      <c r="O2087" s="60">
        <v>0.5</v>
      </c>
      <c r="P2087" s="50">
        <v>34.0</v>
      </c>
      <c r="Q2087" s="280"/>
      <c r="R2087" s="276">
        <v>0.0</v>
      </c>
      <c r="S2087" s="280"/>
      <c r="T2087" s="280">
        <v>-43.0</v>
      </c>
      <c r="U2087" s="62">
        <v>1.052</v>
      </c>
      <c r="V2087" s="291"/>
      <c r="W2087" s="277">
        <v>0.0</v>
      </c>
      <c r="X2087" s="280">
        <v>-46.0</v>
      </c>
      <c r="Y2087" s="280">
        <v>0.0</v>
      </c>
      <c r="Z2087" s="50" t="b">
        <v>0</v>
      </c>
      <c r="AA2087" s="50" t="s">
        <v>138</v>
      </c>
      <c r="AB2087" s="50" t="s">
        <v>140</v>
      </c>
    </row>
    <row r="2088">
      <c r="A2088" s="280" t="s">
        <v>143</v>
      </c>
      <c r="B2088" s="280" t="s">
        <v>143</v>
      </c>
      <c r="C2088" s="283">
        <v>44866.0</v>
      </c>
      <c r="D2088" s="283">
        <v>44895.0</v>
      </c>
      <c r="E2088" s="280" t="s">
        <v>268</v>
      </c>
      <c r="F2088" s="138" t="s">
        <v>12</v>
      </c>
      <c r="G2088" s="280" t="s">
        <v>142</v>
      </c>
      <c r="H2088" s="290" t="s">
        <v>89</v>
      </c>
      <c r="I2088" s="281">
        <v>100.0</v>
      </c>
      <c r="J2088" s="280">
        <v>20.0</v>
      </c>
      <c r="K2088" s="271">
        <f t="shared" si="1"/>
        <v>2000</v>
      </c>
      <c r="L2088" s="280"/>
      <c r="M2088" s="280">
        <v>-158.38</v>
      </c>
      <c r="N2088" s="282"/>
      <c r="O2088" s="60">
        <v>0.5</v>
      </c>
      <c r="P2088" s="50">
        <v>70.0</v>
      </c>
      <c r="Q2088" s="280"/>
      <c r="R2088" s="276">
        <v>0.0</v>
      </c>
      <c r="S2088" s="280"/>
      <c r="T2088" s="280">
        <v>-88.0</v>
      </c>
      <c r="U2088" s="62">
        <v>1.052</v>
      </c>
      <c r="V2088" s="291"/>
      <c r="W2088" s="277">
        <v>0.0</v>
      </c>
      <c r="X2088" s="280">
        <v>-93.0</v>
      </c>
      <c r="Y2088" s="280">
        <v>0.0</v>
      </c>
      <c r="Z2088" s="50" t="b">
        <v>0</v>
      </c>
      <c r="AA2088" s="50" t="s">
        <v>138</v>
      </c>
      <c r="AB2088" s="50" t="s">
        <v>140</v>
      </c>
    </row>
    <row r="2089">
      <c r="A2089" s="280" t="s">
        <v>143</v>
      </c>
      <c r="B2089" s="280" t="s">
        <v>143</v>
      </c>
      <c r="C2089" s="283">
        <v>44866.0</v>
      </c>
      <c r="D2089" s="283">
        <v>44895.0</v>
      </c>
      <c r="E2089" s="280" t="s">
        <v>268</v>
      </c>
      <c r="F2089" s="138" t="s">
        <v>12</v>
      </c>
      <c r="G2089" s="280" t="s">
        <v>142</v>
      </c>
      <c r="H2089" s="290" t="s">
        <v>77</v>
      </c>
      <c r="I2089" s="281">
        <v>50.0</v>
      </c>
      <c r="J2089" s="280">
        <v>7.0</v>
      </c>
      <c r="K2089" s="271">
        <f t="shared" si="1"/>
        <v>350</v>
      </c>
      <c r="L2089" s="280"/>
      <c r="M2089" s="280">
        <v>-27.72</v>
      </c>
      <c r="N2089" s="282"/>
      <c r="O2089" s="60">
        <v>0.5</v>
      </c>
      <c r="P2089" s="50">
        <v>12.0</v>
      </c>
      <c r="Q2089" s="280"/>
      <c r="R2089" s="276">
        <v>0.0</v>
      </c>
      <c r="S2089" s="280"/>
      <c r="T2089" s="280">
        <v>-15.0</v>
      </c>
      <c r="U2089" s="62">
        <v>1.052</v>
      </c>
      <c r="V2089" s="291"/>
      <c r="W2089" s="277">
        <v>0.0</v>
      </c>
      <c r="X2089" s="280">
        <v>-16.0</v>
      </c>
      <c r="Y2089" s="280">
        <v>0.0</v>
      </c>
      <c r="Z2089" s="50" t="b">
        <v>0</v>
      </c>
      <c r="AA2089" s="50" t="s">
        <v>138</v>
      </c>
      <c r="AB2089" s="50" t="s">
        <v>140</v>
      </c>
    </row>
    <row r="2090">
      <c r="A2090" s="101" t="s">
        <v>177</v>
      </c>
      <c r="B2090" s="101" t="s">
        <v>177</v>
      </c>
      <c r="C2090" s="278">
        <v>44866.0</v>
      </c>
      <c r="D2090" s="278">
        <v>44895.0</v>
      </c>
      <c r="E2090" s="271" t="s">
        <v>331</v>
      </c>
      <c r="F2090" s="138" t="s">
        <v>12</v>
      </c>
      <c r="G2090" s="271" t="s">
        <v>16</v>
      </c>
      <c r="H2090" s="273" t="s">
        <v>85</v>
      </c>
      <c r="I2090" s="274">
        <v>100.0</v>
      </c>
      <c r="J2090" s="271">
        <v>1.0</v>
      </c>
      <c r="K2090" s="271">
        <f t="shared" si="1"/>
        <v>100</v>
      </c>
      <c r="L2090" s="271">
        <v>0.0</v>
      </c>
      <c r="M2090" s="271">
        <v>0.0</v>
      </c>
      <c r="N2090" s="275">
        <v>6586.0</v>
      </c>
      <c r="O2090" s="60"/>
      <c r="P2090" s="109">
        <v>6586.0</v>
      </c>
      <c r="Q2090" s="271">
        <v>-5.0</v>
      </c>
      <c r="R2090" s="276">
        <v>0.0</v>
      </c>
      <c r="S2090" s="271">
        <v>-5.0</v>
      </c>
      <c r="T2090" s="271">
        <v>6586.0</v>
      </c>
      <c r="U2090" s="62">
        <v>1.0</v>
      </c>
      <c r="V2090" s="277">
        <v>0.167</v>
      </c>
      <c r="W2090" s="277">
        <v>0.0</v>
      </c>
      <c r="X2090" s="271">
        <v>5486.0</v>
      </c>
      <c r="Y2090" s="271">
        <v>1100.0</v>
      </c>
      <c r="Z2090" s="50" t="b">
        <v>0</v>
      </c>
      <c r="AA2090" s="50" t="s">
        <v>138</v>
      </c>
      <c r="AB2090" s="50" t="s">
        <v>138</v>
      </c>
    </row>
    <row r="2091">
      <c r="A2091" s="101" t="s">
        <v>177</v>
      </c>
      <c r="B2091" s="101" t="s">
        <v>177</v>
      </c>
      <c r="C2091" s="278">
        <v>44866.0</v>
      </c>
      <c r="D2091" s="278">
        <v>44895.0</v>
      </c>
      <c r="E2091" s="271" t="s">
        <v>331</v>
      </c>
      <c r="F2091" s="138" t="s">
        <v>8</v>
      </c>
      <c r="G2091" s="280" t="s">
        <v>5</v>
      </c>
      <c r="H2091" s="273" t="s">
        <v>85</v>
      </c>
      <c r="I2091" s="274">
        <v>100.0</v>
      </c>
      <c r="J2091" s="271">
        <v>3.0</v>
      </c>
      <c r="K2091" s="271">
        <f t="shared" si="1"/>
        <v>300</v>
      </c>
      <c r="L2091" s="271">
        <v>69.0</v>
      </c>
      <c r="M2091" s="271">
        <v>-300.0</v>
      </c>
      <c r="N2091" s="275">
        <v>7.0</v>
      </c>
      <c r="O2091" s="60"/>
      <c r="P2091" s="50">
        <v>7.0</v>
      </c>
      <c r="Q2091" s="271">
        <v>-3.0</v>
      </c>
      <c r="R2091" s="276">
        <v>-0.002442</v>
      </c>
      <c r="S2091" s="271">
        <v>-4.0</v>
      </c>
      <c r="T2091" s="271">
        <v>3.0</v>
      </c>
      <c r="U2091" s="62">
        <v>1.0</v>
      </c>
      <c r="V2091" s="277">
        <v>0.175</v>
      </c>
      <c r="W2091" s="277">
        <v>0.075</v>
      </c>
      <c r="X2091" s="271">
        <v>2.0</v>
      </c>
      <c r="Y2091" s="271">
        <v>1.0</v>
      </c>
      <c r="Z2091" s="50" t="b">
        <v>0</v>
      </c>
      <c r="AA2091" s="50" t="s">
        <v>138</v>
      </c>
      <c r="AB2091" s="50" t="s">
        <v>138</v>
      </c>
    </row>
    <row r="2092">
      <c r="A2092" s="101" t="s">
        <v>177</v>
      </c>
      <c r="B2092" s="101" t="s">
        <v>177</v>
      </c>
      <c r="C2092" s="278">
        <v>44866.0</v>
      </c>
      <c r="D2092" s="278">
        <v>44895.0</v>
      </c>
      <c r="E2092" s="271" t="s">
        <v>331</v>
      </c>
      <c r="F2092" s="138" t="s">
        <v>8</v>
      </c>
      <c r="G2092" s="280" t="s">
        <v>5</v>
      </c>
      <c r="H2092" s="273" t="s">
        <v>102</v>
      </c>
      <c r="I2092" s="274">
        <v>500.0</v>
      </c>
      <c r="J2092" s="271">
        <v>56.0</v>
      </c>
      <c r="K2092" s="271">
        <f t="shared" si="1"/>
        <v>28000</v>
      </c>
      <c r="L2092" s="271">
        <v>953.0</v>
      </c>
      <c r="M2092" s="271">
        <v>1000.0</v>
      </c>
      <c r="N2092" s="275">
        <v>638.0</v>
      </c>
      <c r="O2092" s="60"/>
      <c r="P2092" s="50">
        <v>638.0</v>
      </c>
      <c r="Q2092" s="271">
        <v>71.0</v>
      </c>
      <c r="R2092" s="276">
        <v>-0.003185</v>
      </c>
      <c r="S2092" s="271">
        <v>-18.0</v>
      </c>
      <c r="T2092" s="271">
        <v>620.0</v>
      </c>
      <c r="U2092" s="62">
        <v>1.0</v>
      </c>
      <c r="V2092" s="277">
        <v>0.175</v>
      </c>
      <c r="W2092" s="277">
        <v>0.075</v>
      </c>
      <c r="X2092" s="271">
        <v>465.0</v>
      </c>
      <c r="Y2092" s="271">
        <v>155.0</v>
      </c>
      <c r="Z2092" s="50" t="b">
        <v>0</v>
      </c>
      <c r="AA2092" s="50" t="s">
        <v>138</v>
      </c>
      <c r="AB2092" s="50" t="s">
        <v>138</v>
      </c>
    </row>
    <row r="2093">
      <c r="A2093" s="101" t="s">
        <v>177</v>
      </c>
      <c r="B2093" s="101" t="s">
        <v>177</v>
      </c>
      <c r="C2093" s="278">
        <v>44866.0</v>
      </c>
      <c r="D2093" s="278">
        <v>44895.0</v>
      </c>
      <c r="E2093" s="271" t="s">
        <v>331</v>
      </c>
      <c r="F2093" s="138" t="s">
        <v>8</v>
      </c>
      <c r="G2093" s="280" t="s">
        <v>5</v>
      </c>
      <c r="H2093" s="273" t="s">
        <v>75</v>
      </c>
      <c r="I2093" s="274">
        <v>50.0</v>
      </c>
      <c r="J2093" s="271">
        <v>112.0</v>
      </c>
      <c r="K2093" s="271">
        <f t="shared" si="1"/>
        <v>5600</v>
      </c>
      <c r="L2093" s="271">
        <v>1363.0</v>
      </c>
      <c r="M2093" s="271">
        <v>1500.0</v>
      </c>
      <c r="N2093" s="275">
        <v>153.0</v>
      </c>
      <c r="O2093" s="60"/>
      <c r="P2093" s="50">
        <v>153.0</v>
      </c>
      <c r="Q2093" s="271">
        <v>-148.0</v>
      </c>
      <c r="R2093" s="276">
        <v>-0.003075</v>
      </c>
      <c r="S2093" s="271">
        <v>-165.0</v>
      </c>
      <c r="T2093" s="271">
        <v>-12.0</v>
      </c>
      <c r="U2093" s="62">
        <v>1.0</v>
      </c>
      <c r="V2093" s="277">
        <v>0.175</v>
      </c>
      <c r="W2093" s="277">
        <v>0.075</v>
      </c>
      <c r="X2093" s="271">
        <v>-9.0</v>
      </c>
      <c r="Y2093" s="271">
        <v>-3.0</v>
      </c>
      <c r="Z2093" s="50" t="b">
        <v>0</v>
      </c>
      <c r="AA2093" s="50" t="s">
        <v>138</v>
      </c>
      <c r="AB2093" s="50" t="s">
        <v>138</v>
      </c>
    </row>
    <row r="2094">
      <c r="A2094" s="101" t="s">
        <v>177</v>
      </c>
      <c r="B2094" s="101" t="s">
        <v>177</v>
      </c>
      <c r="C2094" s="278">
        <v>44866.0</v>
      </c>
      <c r="D2094" s="278">
        <v>44895.0</v>
      </c>
      <c r="E2094" s="271" t="s">
        <v>331</v>
      </c>
      <c r="F2094" s="138" t="s">
        <v>8</v>
      </c>
      <c r="G2094" s="280" t="s">
        <v>5</v>
      </c>
      <c r="H2094" s="273" t="s">
        <v>101</v>
      </c>
      <c r="I2094" s="274">
        <v>500.0</v>
      </c>
      <c r="J2094" s="271">
        <v>131.0</v>
      </c>
      <c r="K2094" s="271">
        <f t="shared" si="1"/>
        <v>65500</v>
      </c>
      <c r="L2094" s="271">
        <v>-1755.0</v>
      </c>
      <c r="M2094" s="271">
        <v>6500.0</v>
      </c>
      <c r="N2094" s="275">
        <v>1492.0</v>
      </c>
      <c r="O2094" s="60"/>
      <c r="P2094" s="109">
        <v>1492.0</v>
      </c>
      <c r="Q2094" s="271">
        <v>-4978.0</v>
      </c>
      <c r="R2094" s="276">
        <v>-0.002905</v>
      </c>
      <c r="S2094" s="271">
        <v>-5168.0</v>
      </c>
      <c r="T2094" s="271">
        <v>-3676.0</v>
      </c>
      <c r="U2094" s="62">
        <v>1.0</v>
      </c>
      <c r="V2094" s="277">
        <v>0.175</v>
      </c>
      <c r="W2094" s="277">
        <v>0.075</v>
      </c>
      <c r="X2094" s="271">
        <v>-2757.0</v>
      </c>
      <c r="Y2094" s="271">
        <v>-919.0</v>
      </c>
      <c r="Z2094" s="50" t="b">
        <v>0</v>
      </c>
      <c r="AA2094" s="50" t="s">
        <v>138</v>
      </c>
      <c r="AB2094" s="50" t="s">
        <v>138</v>
      </c>
    </row>
    <row r="2095">
      <c r="A2095" s="101" t="s">
        <v>177</v>
      </c>
      <c r="B2095" s="101" t="s">
        <v>177</v>
      </c>
      <c r="C2095" s="278">
        <v>44866.0</v>
      </c>
      <c r="D2095" s="278">
        <v>44895.0</v>
      </c>
      <c r="E2095" s="271" t="s">
        <v>331</v>
      </c>
      <c r="F2095" s="138" t="s">
        <v>8</v>
      </c>
      <c r="G2095" s="280" t="s">
        <v>5</v>
      </c>
      <c r="H2095" s="273" t="s">
        <v>96</v>
      </c>
      <c r="I2095" s="274">
        <v>250.0</v>
      </c>
      <c r="J2095" s="271">
        <v>709.0</v>
      </c>
      <c r="K2095" s="271">
        <f t="shared" si="1"/>
        <v>177250</v>
      </c>
      <c r="L2095" s="271">
        <v>23177.0</v>
      </c>
      <c r="M2095" s="271">
        <v>-1750.0</v>
      </c>
      <c r="N2095" s="275">
        <v>4037.0</v>
      </c>
      <c r="O2095" s="60"/>
      <c r="P2095" s="109">
        <v>4037.0</v>
      </c>
      <c r="Q2095" s="271">
        <v>1742.0</v>
      </c>
      <c r="R2095" s="276">
        <v>-0.003176</v>
      </c>
      <c r="S2095" s="271">
        <v>1179.0</v>
      </c>
      <c r="T2095" s="271">
        <v>5216.0</v>
      </c>
      <c r="U2095" s="62">
        <v>1.0</v>
      </c>
      <c r="V2095" s="277">
        <v>0.175</v>
      </c>
      <c r="W2095" s="277">
        <v>0.075</v>
      </c>
      <c r="X2095" s="271">
        <v>3912.0</v>
      </c>
      <c r="Y2095" s="271">
        <v>1304.0</v>
      </c>
      <c r="Z2095" s="50" t="b">
        <v>0</v>
      </c>
      <c r="AA2095" s="50" t="s">
        <v>138</v>
      </c>
      <c r="AB2095" s="50" t="s">
        <v>138</v>
      </c>
    </row>
    <row r="2096">
      <c r="A2096" s="101" t="s">
        <v>177</v>
      </c>
      <c r="B2096" s="101" t="s">
        <v>177</v>
      </c>
      <c r="C2096" s="278">
        <v>44866.0</v>
      </c>
      <c r="D2096" s="278">
        <v>44895.0</v>
      </c>
      <c r="E2096" s="271" t="s">
        <v>331</v>
      </c>
      <c r="F2096" s="138" t="s">
        <v>8</v>
      </c>
      <c r="G2096" s="280" t="s">
        <v>5</v>
      </c>
      <c r="H2096" s="273" t="s">
        <v>86</v>
      </c>
      <c r="I2096" s="274">
        <v>100.0</v>
      </c>
      <c r="J2096" s="271">
        <v>1604.0</v>
      </c>
      <c r="K2096" s="271">
        <f t="shared" si="1"/>
        <v>160400</v>
      </c>
      <c r="L2096" s="271">
        <v>12310.0</v>
      </c>
      <c r="M2096" s="271">
        <v>-12800.0</v>
      </c>
      <c r="N2096" s="275">
        <v>3653.0</v>
      </c>
      <c r="O2096" s="60"/>
      <c r="P2096" s="109">
        <v>3653.0</v>
      </c>
      <c r="Q2096" s="271">
        <v>-4784.0</v>
      </c>
      <c r="R2096" s="276">
        <v>-0.003048</v>
      </c>
      <c r="S2096" s="271">
        <v>-5273.0</v>
      </c>
      <c r="T2096" s="271">
        <v>-1620.0</v>
      </c>
      <c r="U2096" s="62">
        <v>1.0</v>
      </c>
      <c r="V2096" s="277">
        <v>0.175</v>
      </c>
      <c r="W2096" s="277">
        <v>0.075</v>
      </c>
      <c r="X2096" s="271">
        <v>-1215.0</v>
      </c>
      <c r="Y2096" s="271">
        <v>-405.0</v>
      </c>
      <c r="Z2096" s="50" t="b">
        <v>0</v>
      </c>
      <c r="AA2096" s="50" t="s">
        <v>138</v>
      </c>
      <c r="AB2096" s="50" t="s">
        <v>138</v>
      </c>
    </row>
    <row r="2097">
      <c r="A2097" s="101" t="s">
        <v>177</v>
      </c>
      <c r="B2097" s="101" t="s">
        <v>177</v>
      </c>
      <c r="C2097" s="278">
        <v>44866.0</v>
      </c>
      <c r="D2097" s="278">
        <v>44895.0</v>
      </c>
      <c r="E2097" s="271" t="s">
        <v>331</v>
      </c>
      <c r="F2097" s="138" t="s">
        <v>8</v>
      </c>
      <c r="G2097" s="280" t="s">
        <v>5</v>
      </c>
      <c r="H2097" s="273" t="s">
        <v>97</v>
      </c>
      <c r="I2097" s="274">
        <v>250.0</v>
      </c>
      <c r="J2097" s="271">
        <v>1766.0</v>
      </c>
      <c r="K2097" s="271">
        <f t="shared" si="1"/>
        <v>441500</v>
      </c>
      <c r="L2097" s="271">
        <v>7436.0</v>
      </c>
      <c r="M2097" s="271">
        <v>-16500.0</v>
      </c>
      <c r="N2097" s="275">
        <v>10056.0</v>
      </c>
      <c r="O2097" s="60"/>
      <c r="P2097" s="109">
        <v>10056.0</v>
      </c>
      <c r="Q2097" s="271">
        <v>-16702.0</v>
      </c>
      <c r="R2097" s="276">
        <v>-0.003023</v>
      </c>
      <c r="S2097" s="271">
        <v>-18037.0</v>
      </c>
      <c r="T2097" s="271">
        <v>-7981.0</v>
      </c>
      <c r="U2097" s="62">
        <v>1.0</v>
      </c>
      <c r="V2097" s="277">
        <v>0.175</v>
      </c>
      <c r="W2097" s="277">
        <v>0.075</v>
      </c>
      <c r="X2097" s="271">
        <v>-5986.0</v>
      </c>
      <c r="Y2097" s="271">
        <v>-1995.0</v>
      </c>
      <c r="Z2097" s="50" t="b">
        <v>0</v>
      </c>
      <c r="AA2097" s="50" t="s">
        <v>138</v>
      </c>
      <c r="AB2097" s="50" t="s">
        <v>138</v>
      </c>
    </row>
    <row r="2098">
      <c r="A2098" s="101" t="s">
        <v>177</v>
      </c>
      <c r="B2098" s="101" t="s">
        <v>177</v>
      </c>
      <c r="C2098" s="278">
        <v>44866.0</v>
      </c>
      <c r="D2098" s="278">
        <v>44895.0</v>
      </c>
      <c r="E2098" s="271" t="s">
        <v>331</v>
      </c>
      <c r="F2098" s="138" t="s">
        <v>12</v>
      </c>
      <c r="G2098" s="280" t="s">
        <v>5</v>
      </c>
      <c r="H2098" s="273" t="s">
        <v>63</v>
      </c>
      <c r="I2098" s="274">
        <v>25.0</v>
      </c>
      <c r="J2098" s="271">
        <v>14.0</v>
      </c>
      <c r="K2098" s="271">
        <f t="shared" si="1"/>
        <v>350</v>
      </c>
      <c r="L2098" s="271"/>
      <c r="M2098" s="271">
        <v>75.0</v>
      </c>
      <c r="N2098" s="275">
        <v>10.0</v>
      </c>
      <c r="O2098" s="60"/>
      <c r="P2098" s="50">
        <v>10.0</v>
      </c>
      <c r="Q2098" s="271"/>
      <c r="R2098" s="276">
        <v>0.0</v>
      </c>
      <c r="S2098" s="271"/>
      <c r="T2098" s="271">
        <v>85.0</v>
      </c>
      <c r="U2098" s="62">
        <v>1.0</v>
      </c>
      <c r="V2098" s="277">
        <v>0.175</v>
      </c>
      <c r="W2098" s="277">
        <v>0.075</v>
      </c>
      <c r="X2098" s="271">
        <v>64.0</v>
      </c>
      <c r="Y2098" s="271">
        <v>21.0</v>
      </c>
      <c r="Z2098" s="50" t="b">
        <v>0</v>
      </c>
      <c r="AA2098" s="50" t="s">
        <v>138</v>
      </c>
      <c r="AB2098" s="50" t="s">
        <v>138</v>
      </c>
    </row>
    <row r="2099">
      <c r="A2099" s="280" t="s">
        <v>183</v>
      </c>
      <c r="B2099" s="280" t="s">
        <v>183</v>
      </c>
      <c r="C2099" s="278">
        <v>44866.0</v>
      </c>
      <c r="D2099" s="278">
        <v>44895.0</v>
      </c>
      <c r="E2099" s="280" t="s">
        <v>268</v>
      </c>
      <c r="F2099" s="138" t="s">
        <v>8</v>
      </c>
      <c r="G2099" s="271" t="s">
        <v>5</v>
      </c>
      <c r="H2099" s="290" t="s">
        <v>35</v>
      </c>
      <c r="I2099" s="274">
        <v>5.0</v>
      </c>
      <c r="J2099" s="271">
        <v>68.0</v>
      </c>
      <c r="K2099" s="271">
        <f t="shared" si="1"/>
        <v>340</v>
      </c>
      <c r="L2099" s="271">
        <v>5195.0</v>
      </c>
      <c r="M2099" s="271">
        <v>100.0</v>
      </c>
      <c r="N2099" s="275">
        <v>15.0</v>
      </c>
      <c r="O2099" s="60"/>
      <c r="P2099" s="50">
        <v>15.0</v>
      </c>
      <c r="Q2099" s="271">
        <v>17.0</v>
      </c>
      <c r="R2099" s="276">
        <v>-0.002937</v>
      </c>
      <c r="S2099" s="271">
        <v>16.0</v>
      </c>
      <c r="T2099" s="271">
        <v>31.0</v>
      </c>
      <c r="U2099" s="62">
        <v>1.0</v>
      </c>
      <c r="V2099" s="277">
        <v>0.23</v>
      </c>
      <c r="W2099" s="277">
        <v>0.0</v>
      </c>
      <c r="X2099" s="271">
        <v>24.0</v>
      </c>
      <c r="Y2099" s="271">
        <v>7.0</v>
      </c>
      <c r="Z2099" s="50" t="b">
        <v>1</v>
      </c>
      <c r="AA2099" s="50" t="s">
        <v>138</v>
      </c>
      <c r="AB2099" s="50" t="s">
        <v>138</v>
      </c>
    </row>
    <row r="2100">
      <c r="A2100" s="280" t="s">
        <v>183</v>
      </c>
      <c r="B2100" s="280" t="s">
        <v>183</v>
      </c>
      <c r="C2100" s="278">
        <v>44866.0</v>
      </c>
      <c r="D2100" s="278">
        <v>44895.0</v>
      </c>
      <c r="E2100" s="280" t="s">
        <v>268</v>
      </c>
      <c r="F2100" s="138" t="s">
        <v>8</v>
      </c>
      <c r="G2100" s="271" t="s">
        <v>5</v>
      </c>
      <c r="H2100" s="290" t="s">
        <v>45</v>
      </c>
      <c r="I2100" s="274">
        <v>10.0</v>
      </c>
      <c r="J2100" s="271">
        <v>72.0</v>
      </c>
      <c r="K2100" s="271">
        <f t="shared" si="1"/>
        <v>720</v>
      </c>
      <c r="L2100" s="271">
        <v>-1937.0</v>
      </c>
      <c r="M2100" s="271">
        <v>-90.0</v>
      </c>
      <c r="N2100" s="275">
        <v>28.0</v>
      </c>
      <c r="O2100" s="60"/>
      <c r="P2100" s="50">
        <v>28.0</v>
      </c>
      <c r="Q2100" s="271">
        <v>-89.0</v>
      </c>
      <c r="R2100" s="276">
        <v>-0.003041</v>
      </c>
      <c r="S2100" s="271">
        <v>-91.0</v>
      </c>
      <c r="T2100" s="271">
        <v>-63.0</v>
      </c>
      <c r="U2100" s="62">
        <v>1.0</v>
      </c>
      <c r="V2100" s="277">
        <v>0.23</v>
      </c>
      <c r="W2100" s="277">
        <v>0.0</v>
      </c>
      <c r="X2100" s="271">
        <v>-49.0</v>
      </c>
      <c r="Y2100" s="271">
        <v>-14.0</v>
      </c>
      <c r="Z2100" s="50" t="b">
        <v>1</v>
      </c>
      <c r="AA2100" s="50" t="s">
        <v>138</v>
      </c>
      <c r="AB2100" s="50" t="s">
        <v>138</v>
      </c>
    </row>
    <row r="2101">
      <c r="A2101" s="280" t="s">
        <v>183</v>
      </c>
      <c r="B2101" s="280" t="s">
        <v>183</v>
      </c>
      <c r="C2101" s="278">
        <v>44866.0</v>
      </c>
      <c r="D2101" s="278">
        <v>44895.0</v>
      </c>
      <c r="E2101" s="280" t="s">
        <v>268</v>
      </c>
      <c r="F2101" s="138" t="s">
        <v>8</v>
      </c>
      <c r="G2101" s="271" t="s">
        <v>5</v>
      </c>
      <c r="H2101" s="273" t="s">
        <v>74</v>
      </c>
      <c r="I2101" s="274">
        <v>50.0</v>
      </c>
      <c r="J2101" s="271">
        <v>509.0</v>
      </c>
      <c r="K2101" s="271">
        <f t="shared" si="1"/>
        <v>25450</v>
      </c>
      <c r="L2101" s="271">
        <v>4248.0</v>
      </c>
      <c r="M2101" s="271">
        <v>-1450.0</v>
      </c>
      <c r="N2101" s="275">
        <v>852.0</v>
      </c>
      <c r="O2101" s="60"/>
      <c r="P2101" s="50">
        <v>852.0</v>
      </c>
      <c r="Q2101" s="271">
        <v>-1235.0</v>
      </c>
      <c r="R2101" s="276">
        <v>-0.002988</v>
      </c>
      <c r="S2101" s="271">
        <v>-1311.0</v>
      </c>
      <c r="T2101" s="271">
        <v>-459.0</v>
      </c>
      <c r="U2101" s="62">
        <v>1.0</v>
      </c>
      <c r="V2101" s="277">
        <v>0.23</v>
      </c>
      <c r="W2101" s="277">
        <v>0.0</v>
      </c>
      <c r="X2101" s="271">
        <v>-353.0</v>
      </c>
      <c r="Y2101" s="271">
        <v>-106.0</v>
      </c>
      <c r="Z2101" s="50" t="b">
        <v>1</v>
      </c>
      <c r="AA2101" s="50" t="s">
        <v>138</v>
      </c>
      <c r="AB2101" s="50" t="s">
        <v>138</v>
      </c>
    </row>
    <row r="2102">
      <c r="A2102" s="280" t="s">
        <v>183</v>
      </c>
      <c r="B2102" s="280" t="s">
        <v>183</v>
      </c>
      <c r="C2102" s="278">
        <v>44866.0</v>
      </c>
      <c r="D2102" s="278">
        <v>44895.0</v>
      </c>
      <c r="E2102" s="280" t="s">
        <v>268</v>
      </c>
      <c r="F2102" s="138" t="s">
        <v>8</v>
      </c>
      <c r="G2102" s="271" t="s">
        <v>5</v>
      </c>
      <c r="H2102" s="273" t="s">
        <v>62</v>
      </c>
      <c r="I2102" s="274">
        <v>25.0</v>
      </c>
      <c r="J2102" s="271">
        <v>1612.0</v>
      </c>
      <c r="K2102" s="271">
        <f t="shared" si="1"/>
        <v>40300</v>
      </c>
      <c r="L2102" s="271">
        <v>63341.0</v>
      </c>
      <c r="M2102" s="271">
        <v>5200.0</v>
      </c>
      <c r="N2102" s="275">
        <v>1350.0</v>
      </c>
      <c r="O2102" s="60"/>
      <c r="P2102" s="109">
        <v>1350.0</v>
      </c>
      <c r="Q2102" s="271">
        <v>357.0</v>
      </c>
      <c r="R2102" s="276">
        <v>-0.003179</v>
      </c>
      <c r="S2102" s="271">
        <v>229.0</v>
      </c>
      <c r="T2102" s="271">
        <v>1579.0</v>
      </c>
      <c r="U2102" s="62">
        <v>1.0</v>
      </c>
      <c r="V2102" s="277">
        <v>0.23</v>
      </c>
      <c r="W2102" s="277">
        <v>0.0</v>
      </c>
      <c r="X2102" s="271">
        <v>1216.0</v>
      </c>
      <c r="Y2102" s="271">
        <v>363.0</v>
      </c>
      <c r="Z2102" s="50" t="b">
        <v>1</v>
      </c>
      <c r="AA2102" s="50" t="s">
        <v>138</v>
      </c>
      <c r="AB2102" s="50" t="s">
        <v>138</v>
      </c>
    </row>
    <row r="2103">
      <c r="A2103" s="280" t="s">
        <v>185</v>
      </c>
      <c r="B2103" s="280" t="s">
        <v>185</v>
      </c>
      <c r="C2103" s="283">
        <v>44866.0</v>
      </c>
      <c r="D2103" s="283">
        <v>44895.0</v>
      </c>
      <c r="E2103" s="280" t="s">
        <v>268</v>
      </c>
      <c r="F2103" s="138" t="s">
        <v>12</v>
      </c>
      <c r="G2103" s="280" t="s">
        <v>25</v>
      </c>
      <c r="H2103" s="290" t="s">
        <v>186</v>
      </c>
      <c r="I2103" s="281">
        <v>1000.0</v>
      </c>
      <c r="J2103" s="280">
        <v>597.0</v>
      </c>
      <c r="K2103" s="271">
        <f t="shared" si="1"/>
        <v>597000</v>
      </c>
      <c r="L2103" s="280"/>
      <c r="M2103" s="280">
        <v>95335.33</v>
      </c>
      <c r="N2103" s="282">
        <v>350450.13</v>
      </c>
      <c r="O2103" s="60"/>
      <c r="P2103" s="109">
        <v>350450.0</v>
      </c>
      <c r="Q2103" s="280"/>
      <c r="R2103" s="276">
        <v>0.0</v>
      </c>
      <c r="S2103" s="280"/>
      <c r="T2103" s="280">
        <v>445785.0</v>
      </c>
      <c r="U2103" s="62">
        <v>0.016</v>
      </c>
      <c r="V2103" s="277">
        <v>0.17</v>
      </c>
      <c r="W2103" s="277">
        <v>0.0</v>
      </c>
      <c r="X2103" s="280">
        <v>5920.0</v>
      </c>
      <c r="Y2103" s="280">
        <v>1213.0</v>
      </c>
      <c r="Z2103" s="50" t="b">
        <v>1</v>
      </c>
      <c r="AA2103" s="50" t="s">
        <v>138</v>
      </c>
      <c r="AB2103" s="50" t="s">
        <v>1006</v>
      </c>
    </row>
    <row r="2104">
      <c r="A2104" s="280" t="s">
        <v>185</v>
      </c>
      <c r="B2104" s="280" t="s">
        <v>185</v>
      </c>
      <c r="C2104" s="283">
        <v>44866.0</v>
      </c>
      <c r="D2104" s="283">
        <v>44895.0</v>
      </c>
      <c r="E2104" s="280" t="s">
        <v>268</v>
      </c>
      <c r="F2104" s="138" t="s">
        <v>12</v>
      </c>
      <c r="G2104" s="280" t="s">
        <v>25</v>
      </c>
      <c r="H2104" s="290" t="s">
        <v>187</v>
      </c>
      <c r="I2104" s="281">
        <v>2500.0</v>
      </c>
      <c r="J2104" s="280">
        <v>1512.0</v>
      </c>
      <c r="K2104" s="271">
        <f t="shared" si="1"/>
        <v>3780000</v>
      </c>
      <c r="L2104" s="280"/>
      <c r="M2104" s="280">
        <v>-25000.0</v>
      </c>
      <c r="N2104" s="282">
        <v>25459.87</v>
      </c>
      <c r="O2104" s="60"/>
      <c r="P2104" s="109">
        <v>25460.0</v>
      </c>
      <c r="Q2104" s="280"/>
      <c r="R2104" s="276">
        <v>0.0</v>
      </c>
      <c r="S2104" s="280"/>
      <c r="T2104" s="280">
        <v>460.0</v>
      </c>
      <c r="U2104" s="62">
        <v>0.016</v>
      </c>
      <c r="V2104" s="277">
        <v>0.17</v>
      </c>
      <c r="W2104" s="277">
        <v>0.0</v>
      </c>
      <c r="X2104" s="280">
        <v>6.0</v>
      </c>
      <c r="Y2104" s="280">
        <v>1.0</v>
      </c>
      <c r="Z2104" s="50" t="b">
        <v>1</v>
      </c>
      <c r="AA2104" s="50" t="s">
        <v>138</v>
      </c>
      <c r="AB2104" s="50" t="s">
        <v>1006</v>
      </c>
    </row>
    <row r="2105">
      <c r="A2105" s="280" t="s">
        <v>185</v>
      </c>
      <c r="B2105" s="280" t="s">
        <v>185</v>
      </c>
      <c r="C2105" s="283">
        <v>44866.0</v>
      </c>
      <c r="D2105" s="283">
        <v>44895.0</v>
      </c>
      <c r="E2105" s="280" t="s">
        <v>268</v>
      </c>
      <c r="F2105" s="138" t="s">
        <v>12</v>
      </c>
      <c r="G2105" s="280" t="s">
        <v>25</v>
      </c>
      <c r="H2105" s="290" t="s">
        <v>188</v>
      </c>
      <c r="I2105" s="281">
        <v>5000.0</v>
      </c>
      <c r="J2105" s="280">
        <v>730.0</v>
      </c>
      <c r="K2105" s="271">
        <f t="shared" si="1"/>
        <v>3650000</v>
      </c>
      <c r="L2105" s="280"/>
      <c r="M2105" s="280">
        <v>56666.67</v>
      </c>
      <c r="N2105" s="282">
        <v>0.0</v>
      </c>
      <c r="O2105" s="60"/>
      <c r="P2105" s="50">
        <v>0.0</v>
      </c>
      <c r="Q2105" s="280"/>
      <c r="R2105" s="276">
        <v>0.0</v>
      </c>
      <c r="S2105" s="280"/>
      <c r="T2105" s="280">
        <v>56667.0</v>
      </c>
      <c r="U2105" s="62">
        <v>0.016</v>
      </c>
      <c r="V2105" s="277">
        <v>0.17</v>
      </c>
      <c r="W2105" s="277">
        <v>0.0</v>
      </c>
      <c r="X2105" s="280">
        <v>753.0</v>
      </c>
      <c r="Y2105" s="280">
        <v>154.0</v>
      </c>
      <c r="Z2105" s="50" t="b">
        <v>1</v>
      </c>
      <c r="AA2105" s="50" t="s">
        <v>138</v>
      </c>
      <c r="AB2105" s="50" t="s">
        <v>1006</v>
      </c>
    </row>
    <row r="2106">
      <c r="A2106" s="280" t="s">
        <v>180</v>
      </c>
      <c r="B2106" s="280" t="s">
        <v>180</v>
      </c>
      <c r="C2106" s="283">
        <v>44866.0</v>
      </c>
      <c r="D2106" s="283">
        <v>44895.0</v>
      </c>
      <c r="E2106" s="280" t="s">
        <v>268</v>
      </c>
      <c r="F2106" s="138" t="s">
        <v>12</v>
      </c>
      <c r="G2106" s="280" t="s">
        <v>142</v>
      </c>
      <c r="H2106" s="290" t="s">
        <v>39</v>
      </c>
      <c r="I2106" s="281">
        <v>5.0</v>
      </c>
      <c r="J2106" s="280">
        <v>2302.0</v>
      </c>
      <c r="K2106" s="271">
        <f t="shared" si="1"/>
        <v>11510</v>
      </c>
      <c r="L2106" s="280"/>
      <c r="M2106" s="280">
        <v>130.87</v>
      </c>
      <c r="N2106" s="282"/>
      <c r="O2106" s="60">
        <v>0.5</v>
      </c>
      <c r="P2106" s="50">
        <v>403.0</v>
      </c>
      <c r="Q2106" s="280"/>
      <c r="R2106" s="276">
        <v>0.0</v>
      </c>
      <c r="S2106" s="280"/>
      <c r="T2106" s="280">
        <v>534.0</v>
      </c>
      <c r="U2106" s="62">
        <v>1.0</v>
      </c>
      <c r="V2106" s="277">
        <v>0.3</v>
      </c>
      <c r="W2106" s="277">
        <v>0.0</v>
      </c>
      <c r="X2106" s="280">
        <v>374.0</v>
      </c>
      <c r="Y2106" s="280">
        <v>160.0</v>
      </c>
      <c r="Z2106" s="50" t="b">
        <v>0</v>
      </c>
      <c r="AA2106" s="50" t="s">
        <v>138</v>
      </c>
      <c r="AB2106" s="50" t="s">
        <v>138</v>
      </c>
    </row>
    <row r="2107">
      <c r="A2107" s="280" t="s">
        <v>180</v>
      </c>
      <c r="B2107" s="280" t="s">
        <v>180</v>
      </c>
      <c r="C2107" s="283">
        <v>44866.0</v>
      </c>
      <c r="D2107" s="283">
        <v>44895.0</v>
      </c>
      <c r="E2107" s="280" t="s">
        <v>268</v>
      </c>
      <c r="F2107" s="138" t="s">
        <v>12</v>
      </c>
      <c r="G2107" s="280" t="s">
        <v>142</v>
      </c>
      <c r="H2107" s="290" t="s">
        <v>50</v>
      </c>
      <c r="I2107" s="281">
        <v>10.0</v>
      </c>
      <c r="J2107" s="280">
        <v>177.0</v>
      </c>
      <c r="K2107" s="271">
        <f t="shared" si="1"/>
        <v>1770</v>
      </c>
      <c r="L2107" s="280"/>
      <c r="M2107" s="280">
        <v>20.13</v>
      </c>
      <c r="N2107" s="282"/>
      <c r="O2107" s="60">
        <v>0.5</v>
      </c>
      <c r="P2107" s="50">
        <v>62.0</v>
      </c>
      <c r="Q2107" s="280"/>
      <c r="R2107" s="276">
        <v>0.0</v>
      </c>
      <c r="S2107" s="280"/>
      <c r="T2107" s="280">
        <v>82.0</v>
      </c>
      <c r="U2107" s="62">
        <v>1.0</v>
      </c>
      <c r="V2107" s="277">
        <v>0.3</v>
      </c>
      <c r="W2107" s="277">
        <v>0.0</v>
      </c>
      <c r="X2107" s="280">
        <v>57.0</v>
      </c>
      <c r="Y2107" s="280">
        <v>25.0</v>
      </c>
      <c r="Z2107" s="50" t="b">
        <v>0</v>
      </c>
      <c r="AA2107" s="50" t="s">
        <v>138</v>
      </c>
      <c r="AB2107" s="50" t="s">
        <v>138</v>
      </c>
    </row>
    <row r="2108">
      <c r="A2108" s="280" t="s">
        <v>362</v>
      </c>
      <c r="B2108" s="271" t="s">
        <v>189</v>
      </c>
      <c r="C2108" s="278">
        <v>44866.0</v>
      </c>
      <c r="D2108" s="278">
        <v>44895.0</v>
      </c>
      <c r="E2108" s="280" t="s">
        <v>268</v>
      </c>
      <c r="F2108" s="138" t="s">
        <v>12</v>
      </c>
      <c r="G2108" s="271" t="s">
        <v>5</v>
      </c>
      <c r="H2108" s="273" t="s">
        <v>86</v>
      </c>
      <c r="I2108" s="274">
        <v>100.0</v>
      </c>
      <c r="J2108" s="271">
        <v>367.0</v>
      </c>
      <c r="K2108" s="271">
        <f t="shared" si="1"/>
        <v>36700</v>
      </c>
      <c r="L2108" s="271">
        <v>11110.0</v>
      </c>
      <c r="M2108" s="271">
        <v>6300.0</v>
      </c>
      <c r="N2108" s="275">
        <v>208.0</v>
      </c>
      <c r="O2108" s="60"/>
      <c r="P2108" s="50">
        <v>208.0</v>
      </c>
      <c r="Q2108" s="271">
        <v>1489.0</v>
      </c>
      <c r="R2108" s="276">
        <v>0.0</v>
      </c>
      <c r="S2108" s="271">
        <v>1489.0</v>
      </c>
      <c r="T2108" s="271">
        <v>6508.0</v>
      </c>
      <c r="U2108" s="62">
        <v>1.0</v>
      </c>
      <c r="V2108" s="277">
        <v>0.19</v>
      </c>
      <c r="W2108" s="277">
        <v>0.0</v>
      </c>
      <c r="X2108" s="271">
        <v>5271.0</v>
      </c>
      <c r="Y2108" s="271">
        <v>1237.0</v>
      </c>
      <c r="Z2108" s="50" t="b">
        <v>1</v>
      </c>
      <c r="AA2108" s="50" t="s">
        <v>138</v>
      </c>
      <c r="AB2108" s="50" t="s">
        <v>138</v>
      </c>
    </row>
    <row r="2109">
      <c r="A2109" s="280" t="s">
        <v>362</v>
      </c>
      <c r="B2109" s="271" t="s">
        <v>189</v>
      </c>
      <c r="C2109" s="278">
        <v>44866.0</v>
      </c>
      <c r="D2109" s="278">
        <v>44895.0</v>
      </c>
      <c r="E2109" s="280" t="s">
        <v>268</v>
      </c>
      <c r="F2109" s="138" t="s">
        <v>12</v>
      </c>
      <c r="G2109" s="271" t="s">
        <v>5</v>
      </c>
      <c r="H2109" s="273" t="s">
        <v>102</v>
      </c>
      <c r="I2109" s="274">
        <v>500.0</v>
      </c>
      <c r="J2109" s="271">
        <v>1.0</v>
      </c>
      <c r="K2109" s="271">
        <f t="shared" si="1"/>
        <v>500</v>
      </c>
      <c r="L2109" s="271">
        <v>-49.0</v>
      </c>
      <c r="M2109" s="271">
        <v>1000.0</v>
      </c>
      <c r="N2109" s="275">
        <v>3.0</v>
      </c>
      <c r="O2109" s="60"/>
      <c r="P2109" s="50">
        <v>3.0</v>
      </c>
      <c r="Q2109" s="271">
        <v>-102.0</v>
      </c>
      <c r="R2109" s="276">
        <v>0.0</v>
      </c>
      <c r="S2109" s="271">
        <v>-102.0</v>
      </c>
      <c r="T2109" s="271">
        <v>1003.0</v>
      </c>
      <c r="U2109" s="62">
        <v>1.0</v>
      </c>
      <c r="V2109" s="277">
        <v>0.19</v>
      </c>
      <c r="W2109" s="277">
        <v>0.0</v>
      </c>
      <c r="X2109" s="271">
        <v>812.0</v>
      </c>
      <c r="Y2109" s="271">
        <v>191.0</v>
      </c>
      <c r="Z2109" s="50" t="b">
        <v>1</v>
      </c>
      <c r="AA2109" s="50" t="s">
        <v>138</v>
      </c>
      <c r="AB2109" s="50" t="s">
        <v>138</v>
      </c>
    </row>
    <row r="2110">
      <c r="A2110" s="280" t="s">
        <v>362</v>
      </c>
      <c r="B2110" s="271" t="s">
        <v>189</v>
      </c>
      <c r="C2110" s="278">
        <v>44866.0</v>
      </c>
      <c r="D2110" s="278">
        <v>44895.0</v>
      </c>
      <c r="E2110" s="280" t="s">
        <v>268</v>
      </c>
      <c r="F2110" s="138" t="s">
        <v>12</v>
      </c>
      <c r="G2110" s="271" t="s">
        <v>5</v>
      </c>
      <c r="H2110" s="273" t="s">
        <v>10</v>
      </c>
      <c r="I2110" s="274">
        <v>0.25</v>
      </c>
      <c r="J2110" s="271">
        <v>14.0</v>
      </c>
      <c r="K2110" s="271">
        <f t="shared" si="1"/>
        <v>3.5</v>
      </c>
      <c r="L2110" s="271"/>
      <c r="M2110" s="271">
        <v>-0.25</v>
      </c>
      <c r="N2110" s="275"/>
      <c r="O2110" s="60"/>
      <c r="P2110" s="101"/>
      <c r="Q2110" s="271"/>
      <c r="R2110" s="276">
        <v>0.0</v>
      </c>
      <c r="S2110" s="271"/>
      <c r="T2110" s="271">
        <v>0.0</v>
      </c>
      <c r="U2110" s="62">
        <v>1.0</v>
      </c>
      <c r="V2110" s="277">
        <v>0.19</v>
      </c>
      <c r="W2110" s="277">
        <v>0.0</v>
      </c>
      <c r="X2110" s="271">
        <v>0.0</v>
      </c>
      <c r="Y2110" s="271">
        <v>0.0</v>
      </c>
      <c r="Z2110" s="50" t="b">
        <v>1</v>
      </c>
      <c r="AA2110" s="50" t="s">
        <v>138</v>
      </c>
      <c r="AB2110" s="50" t="s">
        <v>138</v>
      </c>
    </row>
    <row r="2111">
      <c r="A2111" s="280" t="s">
        <v>362</v>
      </c>
      <c r="B2111" s="271" t="s">
        <v>189</v>
      </c>
      <c r="C2111" s="278">
        <v>44866.0</v>
      </c>
      <c r="D2111" s="278">
        <v>44895.0</v>
      </c>
      <c r="E2111" s="280" t="s">
        <v>268</v>
      </c>
      <c r="F2111" s="138" t="s">
        <v>12</v>
      </c>
      <c r="G2111" s="271" t="s">
        <v>5</v>
      </c>
      <c r="H2111" s="273" t="s">
        <v>101</v>
      </c>
      <c r="I2111" s="274">
        <v>500.0</v>
      </c>
      <c r="J2111" s="271">
        <v>18.0</v>
      </c>
      <c r="K2111" s="271">
        <f t="shared" si="1"/>
        <v>9000</v>
      </c>
      <c r="L2111" s="271">
        <v>-897.0</v>
      </c>
      <c r="M2111" s="271">
        <v>-2000.0</v>
      </c>
      <c r="N2111" s="275">
        <v>51.0</v>
      </c>
      <c r="O2111" s="60"/>
      <c r="P2111" s="50">
        <v>51.0</v>
      </c>
      <c r="Q2111" s="271">
        <v>-1301.0</v>
      </c>
      <c r="R2111" s="276">
        <v>0.0</v>
      </c>
      <c r="S2111" s="271">
        <v>-1301.0</v>
      </c>
      <c r="T2111" s="271">
        <v>-1949.0</v>
      </c>
      <c r="U2111" s="62">
        <v>1.0</v>
      </c>
      <c r="V2111" s="277">
        <v>0.19</v>
      </c>
      <c r="W2111" s="277">
        <v>0.0</v>
      </c>
      <c r="X2111" s="271">
        <v>-1579.0</v>
      </c>
      <c r="Y2111" s="271">
        <v>-370.0</v>
      </c>
      <c r="Z2111" s="50" t="b">
        <v>1</v>
      </c>
      <c r="AA2111" s="50" t="s">
        <v>138</v>
      </c>
      <c r="AB2111" s="50" t="s">
        <v>138</v>
      </c>
    </row>
    <row r="2112">
      <c r="A2112" s="280" t="s">
        <v>362</v>
      </c>
      <c r="B2112" s="271" t="s">
        <v>189</v>
      </c>
      <c r="C2112" s="278">
        <v>44866.0</v>
      </c>
      <c r="D2112" s="278">
        <v>44895.0</v>
      </c>
      <c r="E2112" s="280" t="s">
        <v>268</v>
      </c>
      <c r="F2112" s="138" t="s">
        <v>12</v>
      </c>
      <c r="G2112" s="271" t="s">
        <v>5</v>
      </c>
      <c r="H2112" s="273" t="s">
        <v>85</v>
      </c>
      <c r="I2112" s="274">
        <v>100.0</v>
      </c>
      <c r="J2112" s="271">
        <v>49.0</v>
      </c>
      <c r="K2112" s="271">
        <f t="shared" si="1"/>
        <v>4900</v>
      </c>
      <c r="L2112" s="271">
        <f>12593/416*J2112</f>
        <v>1483.310096</v>
      </c>
      <c r="M2112" s="271">
        <v>1800.0</v>
      </c>
      <c r="N2112" s="275">
        <v>28.0</v>
      </c>
      <c r="O2112" s="60"/>
      <c r="P2112" s="50">
        <v>28.0</v>
      </c>
      <c r="Q2112" s="271">
        <v>13.0</v>
      </c>
      <c r="R2112" s="276">
        <v>0.0</v>
      </c>
      <c r="S2112" s="271">
        <v>13.0</v>
      </c>
      <c r="T2112" s="271">
        <v>1828.0</v>
      </c>
      <c r="U2112" s="62">
        <v>1.0</v>
      </c>
      <c r="V2112" s="277">
        <v>0.19</v>
      </c>
      <c r="W2112" s="277">
        <v>0.0</v>
      </c>
      <c r="X2112" s="271">
        <v>1481.0</v>
      </c>
      <c r="Y2112" s="271">
        <v>347.0</v>
      </c>
      <c r="Z2112" s="50" t="b">
        <v>1</v>
      </c>
      <c r="AA2112" s="50" t="s">
        <v>138</v>
      </c>
      <c r="AB2112" s="50" t="s">
        <v>138</v>
      </c>
    </row>
    <row r="2113">
      <c r="A2113" s="280" t="s">
        <v>362</v>
      </c>
      <c r="B2113" s="271" t="s">
        <v>189</v>
      </c>
      <c r="C2113" s="278">
        <v>44866.0</v>
      </c>
      <c r="D2113" s="278">
        <v>44895.0</v>
      </c>
      <c r="E2113" s="280" t="s">
        <v>268</v>
      </c>
      <c r="F2113" s="138" t="s">
        <v>12</v>
      </c>
      <c r="G2113" s="271" t="s">
        <v>5</v>
      </c>
      <c r="H2113" s="273" t="s">
        <v>97</v>
      </c>
      <c r="I2113" s="274">
        <v>250.0</v>
      </c>
      <c r="J2113" s="271">
        <v>51.0</v>
      </c>
      <c r="K2113" s="271">
        <f t="shared" si="1"/>
        <v>12750</v>
      </c>
      <c r="L2113" s="287">
        <f t="shared" ref="L2113:L2114" si="10">1503/183*J2113</f>
        <v>418.8688525</v>
      </c>
      <c r="M2113" s="287">
        <v>500.0</v>
      </c>
      <c r="N2113" s="275">
        <v>72.0</v>
      </c>
      <c r="O2113" s="60"/>
      <c r="P2113" s="50">
        <v>72.0</v>
      </c>
      <c r="Q2113" s="287">
        <v>-330.0</v>
      </c>
      <c r="R2113" s="276">
        <v>0.0</v>
      </c>
      <c r="S2113" s="287">
        <v>-330.0</v>
      </c>
      <c r="T2113" s="287">
        <v>572.0</v>
      </c>
      <c r="U2113" s="62">
        <v>1.0</v>
      </c>
      <c r="V2113" s="277">
        <v>0.19</v>
      </c>
      <c r="W2113" s="277">
        <v>0.0</v>
      </c>
      <c r="X2113" s="287">
        <v>463.0</v>
      </c>
      <c r="Y2113" s="287">
        <v>109.0</v>
      </c>
      <c r="Z2113" s="50" t="b">
        <v>1</v>
      </c>
      <c r="AA2113" s="50" t="s">
        <v>138</v>
      </c>
      <c r="AB2113" s="50" t="s">
        <v>138</v>
      </c>
    </row>
    <row r="2114">
      <c r="A2114" s="280" t="s">
        <v>362</v>
      </c>
      <c r="B2114" s="271" t="s">
        <v>189</v>
      </c>
      <c r="C2114" s="278">
        <v>44866.0</v>
      </c>
      <c r="D2114" s="278">
        <v>44895.0</v>
      </c>
      <c r="E2114" s="280" t="s">
        <v>268</v>
      </c>
      <c r="F2114" s="138" t="s">
        <v>12</v>
      </c>
      <c r="G2114" s="271" t="s">
        <v>5</v>
      </c>
      <c r="H2114" s="273" t="s">
        <v>96</v>
      </c>
      <c r="I2114" s="274">
        <v>250.0</v>
      </c>
      <c r="J2114" s="271">
        <v>132.0</v>
      </c>
      <c r="K2114" s="271">
        <f t="shared" si="1"/>
        <v>33000</v>
      </c>
      <c r="L2114" s="287">
        <f t="shared" si="10"/>
        <v>1084.131148</v>
      </c>
      <c r="M2114" s="287">
        <v>-4250.0</v>
      </c>
      <c r="N2114" s="275">
        <v>187.0</v>
      </c>
      <c r="O2114" s="60"/>
      <c r="P2114" s="50">
        <v>187.0</v>
      </c>
      <c r="Q2114" s="287">
        <v>-1194.0</v>
      </c>
      <c r="R2114" s="276">
        <v>0.0</v>
      </c>
      <c r="S2114" s="287">
        <v>-1194.0</v>
      </c>
      <c r="T2114" s="287">
        <v>-4063.0</v>
      </c>
      <c r="U2114" s="62">
        <v>1.0</v>
      </c>
      <c r="V2114" s="277">
        <v>0.19</v>
      </c>
      <c r="W2114" s="277">
        <v>0.0</v>
      </c>
      <c r="X2114" s="287">
        <v>-3291.0</v>
      </c>
      <c r="Y2114" s="287">
        <v>-772.0</v>
      </c>
      <c r="Z2114" s="50" t="b">
        <v>1</v>
      </c>
      <c r="AA2114" s="50" t="s">
        <v>138</v>
      </c>
      <c r="AB2114" s="50" t="s">
        <v>138</v>
      </c>
    </row>
    <row r="2115">
      <c r="A2115" s="101" t="s">
        <v>181</v>
      </c>
      <c r="B2115" s="101" t="s">
        <v>181</v>
      </c>
      <c r="C2115" s="278">
        <v>44866.0</v>
      </c>
      <c r="D2115" s="278">
        <v>44895.0</v>
      </c>
      <c r="E2115" s="271" t="s">
        <v>268</v>
      </c>
      <c r="F2115" s="101" t="s">
        <v>8</v>
      </c>
      <c r="G2115" s="271" t="s">
        <v>13</v>
      </c>
      <c r="H2115" s="114" t="s">
        <v>85</v>
      </c>
      <c r="I2115" s="274">
        <v>100.0</v>
      </c>
      <c r="J2115" s="271">
        <v>7363.0</v>
      </c>
      <c r="K2115" s="271">
        <f t="shared" si="1"/>
        <v>736300</v>
      </c>
      <c r="L2115" s="271">
        <v>96080.0</v>
      </c>
      <c r="M2115" s="271">
        <v>-25100.0</v>
      </c>
      <c r="N2115" s="275">
        <v>44183.73</v>
      </c>
      <c r="O2115" s="60"/>
      <c r="P2115" s="109">
        <v>44184.0</v>
      </c>
      <c r="Q2115" s="271">
        <v>-27786.0</v>
      </c>
      <c r="R2115" s="276">
        <v>-0.003025</v>
      </c>
      <c r="S2115" s="271">
        <v>-30013.0</v>
      </c>
      <c r="T2115" s="271">
        <v>14171.0</v>
      </c>
      <c r="U2115" s="62">
        <v>1.0</v>
      </c>
      <c r="V2115" s="277">
        <v>0.15</v>
      </c>
      <c r="W2115" s="277">
        <v>0.0</v>
      </c>
      <c r="X2115" s="271">
        <v>12045.0</v>
      </c>
      <c r="Y2115" s="271">
        <v>2126.0</v>
      </c>
      <c r="Z2115" s="50" t="b">
        <v>1</v>
      </c>
      <c r="AA2115" s="50" t="s">
        <v>138</v>
      </c>
      <c r="AB2115" s="50" t="s">
        <v>138</v>
      </c>
    </row>
    <row r="2116">
      <c r="A2116" s="101" t="s">
        <v>181</v>
      </c>
      <c r="B2116" s="101" t="s">
        <v>181</v>
      </c>
      <c r="C2116" s="278">
        <v>44866.0</v>
      </c>
      <c r="D2116" s="278">
        <v>44895.0</v>
      </c>
      <c r="E2116" s="271" t="s">
        <v>268</v>
      </c>
      <c r="F2116" s="101" t="s">
        <v>8</v>
      </c>
      <c r="G2116" s="271" t="s">
        <v>13</v>
      </c>
      <c r="H2116" s="114" t="s">
        <v>93</v>
      </c>
      <c r="I2116" s="274">
        <v>200.0</v>
      </c>
      <c r="J2116" s="271">
        <v>1455.0</v>
      </c>
      <c r="K2116" s="271">
        <f t="shared" si="1"/>
        <v>291000</v>
      </c>
      <c r="L2116" s="271">
        <v>2645.0</v>
      </c>
      <c r="M2116" s="271">
        <v>-18800.0</v>
      </c>
      <c r="N2116" s="275">
        <v>17462.27</v>
      </c>
      <c r="O2116" s="60"/>
      <c r="P2116" s="109">
        <v>17462.0</v>
      </c>
      <c r="Q2116" s="271">
        <v>-19081.0</v>
      </c>
      <c r="R2116" s="276">
        <v>-0.002938</v>
      </c>
      <c r="S2116" s="271">
        <v>-19936.0</v>
      </c>
      <c r="T2116" s="271">
        <v>-2474.0</v>
      </c>
      <c r="U2116" s="62">
        <v>1.0</v>
      </c>
      <c r="V2116" s="277">
        <v>0.15</v>
      </c>
      <c r="W2116" s="277">
        <v>0.0</v>
      </c>
      <c r="X2116" s="271">
        <v>-2103.0</v>
      </c>
      <c r="Y2116" s="271">
        <v>-371.0</v>
      </c>
      <c r="Z2116" s="50" t="b">
        <v>1</v>
      </c>
      <c r="AA2116" s="50" t="s">
        <v>138</v>
      </c>
      <c r="AB2116" s="50" t="s">
        <v>138</v>
      </c>
    </row>
    <row r="2117">
      <c r="A2117" s="280" t="s">
        <v>693</v>
      </c>
      <c r="B2117" s="280" t="s">
        <v>1008</v>
      </c>
      <c r="C2117" s="283">
        <v>44866.0</v>
      </c>
      <c r="D2117" s="283">
        <v>44895.0</v>
      </c>
      <c r="E2117" s="280" t="s">
        <v>268</v>
      </c>
      <c r="F2117" s="138" t="s">
        <v>12</v>
      </c>
      <c r="G2117" s="280" t="s">
        <v>9</v>
      </c>
      <c r="H2117" s="290" t="s">
        <v>43</v>
      </c>
      <c r="I2117" s="281">
        <v>5.0</v>
      </c>
      <c r="J2117" s="280">
        <v>3954.0</v>
      </c>
      <c r="K2117" s="271">
        <f t="shared" si="1"/>
        <v>19770</v>
      </c>
      <c r="L2117" s="280">
        <v>71338.0</v>
      </c>
      <c r="M2117" s="280">
        <v>-300.0</v>
      </c>
      <c r="N2117" s="282">
        <v>425.0</v>
      </c>
      <c r="O2117" s="60"/>
      <c r="P2117" s="50">
        <v>425.0</v>
      </c>
      <c r="Q2117" s="280">
        <v>-636.0</v>
      </c>
      <c r="R2117" s="276">
        <v>0.0</v>
      </c>
      <c r="S2117" s="280">
        <v>-636.0</v>
      </c>
      <c r="T2117" s="280">
        <v>125.0</v>
      </c>
      <c r="U2117" s="62">
        <v>1.0</v>
      </c>
      <c r="V2117" s="277">
        <v>0.25</v>
      </c>
      <c r="W2117" s="277">
        <v>0.0</v>
      </c>
      <c r="X2117" s="280">
        <v>94.0</v>
      </c>
      <c r="Y2117" s="280">
        <v>31.0</v>
      </c>
      <c r="Z2117" s="50" t="b">
        <v>1</v>
      </c>
      <c r="AA2117" s="50" t="s">
        <v>140</v>
      </c>
      <c r="AB2117" s="50" t="s">
        <v>140</v>
      </c>
    </row>
    <row r="2118">
      <c r="A2118" s="101" t="s">
        <v>197</v>
      </c>
      <c r="B2118" s="101" t="s">
        <v>197</v>
      </c>
      <c r="C2118" s="278">
        <v>44866.0</v>
      </c>
      <c r="D2118" s="278">
        <v>44895.0</v>
      </c>
      <c r="E2118" s="280" t="s">
        <v>268</v>
      </c>
      <c r="F2118" s="138" t="s">
        <v>8</v>
      </c>
      <c r="G2118" s="271" t="s">
        <v>5</v>
      </c>
      <c r="H2118" s="273" t="s">
        <v>45</v>
      </c>
      <c r="I2118" s="274">
        <v>10.0</v>
      </c>
      <c r="J2118" s="271">
        <v>2.0</v>
      </c>
      <c r="K2118" s="271">
        <f t="shared" si="1"/>
        <v>20</v>
      </c>
      <c r="L2118" s="271">
        <v>1475.0</v>
      </c>
      <c r="M2118" s="271">
        <v>30.0</v>
      </c>
      <c r="N2118" s="275">
        <v>1.0</v>
      </c>
      <c r="O2118" s="60"/>
      <c r="P2118" s="50">
        <v>1.0</v>
      </c>
      <c r="Q2118" s="271">
        <v>26.0</v>
      </c>
      <c r="R2118" s="276">
        <v>-0.028796</v>
      </c>
      <c r="S2118" s="271">
        <v>25.0</v>
      </c>
      <c r="T2118" s="271">
        <v>26.0</v>
      </c>
      <c r="U2118" s="62">
        <v>1.0</v>
      </c>
      <c r="V2118" s="277">
        <v>0.17</v>
      </c>
      <c r="W2118" s="277">
        <v>0.0</v>
      </c>
      <c r="X2118" s="271">
        <v>22.0</v>
      </c>
      <c r="Y2118" s="271">
        <v>4.0</v>
      </c>
      <c r="Z2118" s="50" t="b">
        <v>1</v>
      </c>
      <c r="AA2118" s="50" t="s">
        <v>138</v>
      </c>
      <c r="AB2118" s="50" t="s">
        <v>138</v>
      </c>
    </row>
    <row r="2119">
      <c r="A2119" s="101" t="s">
        <v>197</v>
      </c>
      <c r="B2119" s="101" t="s">
        <v>197</v>
      </c>
      <c r="C2119" s="278">
        <v>44866.0</v>
      </c>
      <c r="D2119" s="278">
        <v>44895.0</v>
      </c>
      <c r="E2119" s="280" t="s">
        <v>268</v>
      </c>
      <c r="F2119" s="138" t="s">
        <v>8</v>
      </c>
      <c r="G2119" s="271" t="s">
        <v>5</v>
      </c>
      <c r="H2119" s="273" t="s">
        <v>75</v>
      </c>
      <c r="I2119" s="274">
        <v>50.0</v>
      </c>
      <c r="J2119" s="271">
        <v>234.0</v>
      </c>
      <c r="K2119" s="271">
        <f t="shared" si="1"/>
        <v>11700</v>
      </c>
      <c r="L2119" s="271">
        <v>3896.0</v>
      </c>
      <c r="M2119" s="271">
        <v>-450.0</v>
      </c>
      <c r="N2119" s="275">
        <v>448.0</v>
      </c>
      <c r="O2119" s="60"/>
      <c r="P2119" s="50">
        <v>448.0</v>
      </c>
      <c r="Q2119" s="271">
        <v>-147.0</v>
      </c>
      <c r="R2119" s="276">
        <v>-0.003097</v>
      </c>
      <c r="S2119" s="271">
        <v>-183.0</v>
      </c>
      <c r="T2119" s="271">
        <v>265.0</v>
      </c>
      <c r="U2119" s="62">
        <v>1.0</v>
      </c>
      <c r="V2119" s="277">
        <v>0.17</v>
      </c>
      <c r="W2119" s="277">
        <v>0.0</v>
      </c>
      <c r="X2119" s="271">
        <v>220.0</v>
      </c>
      <c r="Y2119" s="271">
        <v>45.0</v>
      </c>
      <c r="Z2119" s="50" t="b">
        <v>1</v>
      </c>
      <c r="AA2119" s="50" t="s">
        <v>138</v>
      </c>
      <c r="AB2119" s="50" t="s">
        <v>138</v>
      </c>
    </row>
    <row r="2120">
      <c r="A2120" s="101" t="s">
        <v>197</v>
      </c>
      <c r="B2120" s="101" t="s">
        <v>197</v>
      </c>
      <c r="C2120" s="278">
        <v>44866.0</v>
      </c>
      <c r="D2120" s="278">
        <v>44895.0</v>
      </c>
      <c r="E2120" s="280" t="s">
        <v>268</v>
      </c>
      <c r="F2120" s="138" t="s">
        <v>8</v>
      </c>
      <c r="G2120" s="271" t="s">
        <v>5</v>
      </c>
      <c r="H2120" s="273" t="s">
        <v>74</v>
      </c>
      <c r="I2120" s="274">
        <v>50.0</v>
      </c>
      <c r="J2120" s="271">
        <v>300.0</v>
      </c>
      <c r="K2120" s="271">
        <f t="shared" si="1"/>
        <v>15000</v>
      </c>
      <c r="L2120" s="271">
        <v>12424.0</v>
      </c>
      <c r="M2120" s="271">
        <v>2800.0</v>
      </c>
      <c r="N2120" s="275">
        <v>574.0</v>
      </c>
      <c r="O2120" s="60"/>
      <c r="P2120" s="50">
        <v>574.0</v>
      </c>
      <c r="Q2120" s="271">
        <v>192.0</v>
      </c>
      <c r="R2120" s="276">
        <v>-0.003193</v>
      </c>
      <c r="S2120" s="271">
        <v>144.0</v>
      </c>
      <c r="T2120" s="271">
        <v>718.0</v>
      </c>
      <c r="U2120" s="62">
        <v>1.0</v>
      </c>
      <c r="V2120" s="277">
        <v>0.17</v>
      </c>
      <c r="W2120" s="277">
        <v>0.0</v>
      </c>
      <c r="X2120" s="271">
        <v>596.0</v>
      </c>
      <c r="Y2120" s="271">
        <v>122.0</v>
      </c>
      <c r="Z2120" s="50" t="b">
        <v>1</v>
      </c>
      <c r="AA2120" s="50" t="s">
        <v>138</v>
      </c>
      <c r="AB2120" s="50" t="s">
        <v>138</v>
      </c>
    </row>
    <row r="2121">
      <c r="A2121" s="101" t="s">
        <v>197</v>
      </c>
      <c r="B2121" s="101" t="s">
        <v>197</v>
      </c>
      <c r="C2121" s="278">
        <v>44866.0</v>
      </c>
      <c r="D2121" s="278">
        <v>44895.0</v>
      </c>
      <c r="E2121" s="280" t="s">
        <v>268</v>
      </c>
      <c r="F2121" s="138" t="s">
        <v>8</v>
      </c>
      <c r="G2121" s="271" t="s">
        <v>5</v>
      </c>
      <c r="H2121" s="273" t="s">
        <v>62</v>
      </c>
      <c r="I2121" s="274">
        <v>25.0</v>
      </c>
      <c r="J2121" s="271">
        <v>1936.0</v>
      </c>
      <c r="K2121" s="271">
        <f t="shared" si="1"/>
        <v>48400</v>
      </c>
      <c r="L2121" s="271">
        <v>80387.0</v>
      </c>
      <c r="M2121" s="271">
        <v>2000.0</v>
      </c>
      <c r="N2121" s="275">
        <v>1852.0</v>
      </c>
      <c r="O2121" s="60"/>
      <c r="P2121" s="109">
        <v>1852.0</v>
      </c>
      <c r="Q2121" s="271">
        <v>629.0</v>
      </c>
      <c r="R2121" s="276">
        <v>-0.003181</v>
      </c>
      <c r="S2121" s="271">
        <v>475.0</v>
      </c>
      <c r="T2121" s="271">
        <v>2327.0</v>
      </c>
      <c r="U2121" s="62">
        <v>1.0</v>
      </c>
      <c r="V2121" s="277">
        <v>0.17</v>
      </c>
      <c r="W2121" s="277">
        <v>0.0</v>
      </c>
      <c r="X2121" s="271">
        <v>1931.0</v>
      </c>
      <c r="Y2121" s="271">
        <v>396.0</v>
      </c>
      <c r="Z2121" s="50" t="b">
        <v>1</v>
      </c>
      <c r="AA2121" s="50" t="s">
        <v>138</v>
      </c>
      <c r="AB2121" s="50" t="s">
        <v>138</v>
      </c>
    </row>
    <row r="2122">
      <c r="A2122" s="101" t="s">
        <v>197</v>
      </c>
      <c r="B2122" s="101" t="s">
        <v>197</v>
      </c>
      <c r="C2122" s="278">
        <v>44866.0</v>
      </c>
      <c r="D2122" s="278">
        <v>44895.0</v>
      </c>
      <c r="E2122" s="280" t="s">
        <v>268</v>
      </c>
      <c r="F2122" s="138" t="s">
        <v>12</v>
      </c>
      <c r="G2122" s="271" t="s">
        <v>5</v>
      </c>
      <c r="H2122" s="273" t="s">
        <v>35</v>
      </c>
      <c r="I2122" s="274">
        <v>5.0</v>
      </c>
      <c r="J2122" s="271">
        <v>1.0</v>
      </c>
      <c r="K2122" s="271">
        <f t="shared" si="1"/>
        <v>5</v>
      </c>
      <c r="L2122" s="271"/>
      <c r="M2122" s="271">
        <v>10.0</v>
      </c>
      <c r="N2122" s="275"/>
      <c r="O2122" s="60"/>
      <c r="P2122" s="101"/>
      <c r="Q2122" s="271"/>
      <c r="R2122" s="276">
        <v>0.0</v>
      </c>
      <c r="S2122" s="271"/>
      <c r="T2122" s="271">
        <v>10.0</v>
      </c>
      <c r="U2122" s="62">
        <v>1.0</v>
      </c>
      <c r="V2122" s="277">
        <v>0.17</v>
      </c>
      <c r="W2122" s="277">
        <v>0.0</v>
      </c>
      <c r="X2122" s="271">
        <v>8.0</v>
      </c>
      <c r="Y2122" s="271">
        <v>2.0</v>
      </c>
      <c r="Z2122" s="50" t="b">
        <v>1</v>
      </c>
      <c r="AA2122" s="50" t="s">
        <v>138</v>
      </c>
      <c r="AB2122" s="50" t="s">
        <v>138</v>
      </c>
    </row>
    <row r="2123">
      <c r="A2123" s="280" t="s">
        <v>171</v>
      </c>
      <c r="B2123" s="280" t="s">
        <v>172</v>
      </c>
      <c r="C2123" s="283">
        <v>44883.0</v>
      </c>
      <c r="D2123" s="283">
        <v>44895.0</v>
      </c>
      <c r="E2123" s="280" t="s">
        <v>268</v>
      </c>
      <c r="F2123" s="138" t="s">
        <v>8</v>
      </c>
      <c r="G2123" s="280" t="s">
        <v>9</v>
      </c>
      <c r="H2123" s="290" t="s">
        <v>69</v>
      </c>
      <c r="I2123" s="281">
        <v>25.0</v>
      </c>
      <c r="J2123" s="280">
        <v>149.0</v>
      </c>
      <c r="K2123" s="271">
        <f t="shared" si="1"/>
        <v>3725</v>
      </c>
      <c r="L2123" s="280">
        <v>-332.0</v>
      </c>
      <c r="M2123" s="280">
        <v>-800.0</v>
      </c>
      <c r="N2123" s="282">
        <v>46.3</v>
      </c>
      <c r="O2123" s="60"/>
      <c r="P2123" s="50">
        <v>46.0</v>
      </c>
      <c r="Q2123" s="280">
        <v>-345.0</v>
      </c>
      <c r="R2123" s="276">
        <v>-0.002733</v>
      </c>
      <c r="S2123" s="280">
        <v>-355.0</v>
      </c>
      <c r="T2123" s="280">
        <v>-309.0</v>
      </c>
      <c r="U2123" s="62">
        <v>1.0</v>
      </c>
      <c r="V2123" s="277">
        <v>0.17</v>
      </c>
      <c r="W2123" s="277">
        <v>0.0</v>
      </c>
      <c r="X2123" s="280">
        <v>-256.0</v>
      </c>
      <c r="Y2123" s="280">
        <v>-52.0</v>
      </c>
      <c r="Z2123" s="50" t="b">
        <v>1</v>
      </c>
      <c r="AA2123" s="50" t="s">
        <v>140</v>
      </c>
      <c r="AB2123" s="50" t="s">
        <v>140</v>
      </c>
    </row>
    <row r="2124">
      <c r="A2124" s="280" t="s">
        <v>171</v>
      </c>
      <c r="B2124" s="280" t="s">
        <v>172</v>
      </c>
      <c r="C2124" s="283">
        <v>44891.0</v>
      </c>
      <c r="D2124" s="283">
        <v>44895.0</v>
      </c>
      <c r="E2124" s="280" t="s">
        <v>268</v>
      </c>
      <c r="F2124" s="138" t="s">
        <v>12</v>
      </c>
      <c r="G2124" s="280" t="s">
        <v>9</v>
      </c>
      <c r="H2124" s="290" t="s">
        <v>64</v>
      </c>
      <c r="I2124" s="281">
        <v>25.0</v>
      </c>
      <c r="J2124" s="280">
        <v>108.0</v>
      </c>
      <c r="K2124" s="271">
        <f t="shared" si="1"/>
        <v>2700</v>
      </c>
      <c r="L2124" s="280">
        <v>2424.0</v>
      </c>
      <c r="M2124" s="280">
        <v>150.0</v>
      </c>
      <c r="N2124" s="282">
        <v>0.0</v>
      </c>
      <c r="O2124" s="60"/>
      <c r="P2124" s="50">
        <v>0.0</v>
      </c>
      <c r="Q2124" s="280">
        <v>-122.0</v>
      </c>
      <c r="R2124" s="276">
        <v>0.0</v>
      </c>
      <c r="S2124" s="280">
        <v>-122.0</v>
      </c>
      <c r="T2124" s="280">
        <v>150.0</v>
      </c>
      <c r="U2124" s="62">
        <v>1.0</v>
      </c>
      <c r="V2124" s="277">
        <v>0.17</v>
      </c>
      <c r="W2124" s="277">
        <v>0.0</v>
      </c>
      <c r="X2124" s="280">
        <v>125.0</v>
      </c>
      <c r="Y2124" s="280">
        <v>26.0</v>
      </c>
      <c r="Z2124" s="50" t="b">
        <v>1</v>
      </c>
      <c r="AA2124" s="50" t="s">
        <v>140</v>
      </c>
      <c r="AB2124" s="50" t="s">
        <v>140</v>
      </c>
    </row>
    <row r="2125">
      <c r="A2125" s="280" t="s">
        <v>176</v>
      </c>
      <c r="B2125" s="280" t="s">
        <v>176</v>
      </c>
      <c r="C2125" s="278">
        <v>44866.0</v>
      </c>
      <c r="D2125" s="278">
        <v>44895.0</v>
      </c>
      <c r="E2125" s="271" t="s">
        <v>268</v>
      </c>
      <c r="F2125" s="101" t="s">
        <v>8</v>
      </c>
      <c r="G2125" s="280" t="s">
        <v>5</v>
      </c>
      <c r="H2125" s="273" t="s">
        <v>62</v>
      </c>
      <c r="I2125" s="274">
        <v>25.0</v>
      </c>
      <c r="J2125" s="271">
        <v>3234.0</v>
      </c>
      <c r="K2125" s="271">
        <f t="shared" si="1"/>
        <v>80850</v>
      </c>
      <c r="L2125" s="271">
        <v>71661.0</v>
      </c>
      <c r="M2125" s="271">
        <v>-2650.0</v>
      </c>
      <c r="N2125" s="275">
        <v>3368.0</v>
      </c>
      <c r="O2125" s="60"/>
      <c r="P2125" s="109">
        <v>3368.0</v>
      </c>
      <c r="Q2125" s="271">
        <v>-1852.0</v>
      </c>
      <c r="R2125" s="276">
        <v>-0.003075</v>
      </c>
      <c r="S2125" s="271">
        <v>-2101.0</v>
      </c>
      <c r="T2125" s="271">
        <v>1267.0</v>
      </c>
      <c r="U2125" s="62">
        <v>1.0</v>
      </c>
      <c r="V2125" s="277">
        <v>0.25</v>
      </c>
      <c r="W2125" s="277">
        <v>0.0</v>
      </c>
      <c r="X2125" s="271">
        <v>950.0</v>
      </c>
      <c r="Y2125" s="271">
        <v>317.0</v>
      </c>
      <c r="Z2125" s="50" t="b">
        <v>0</v>
      </c>
      <c r="AA2125" s="50" t="s">
        <v>138</v>
      </c>
      <c r="AB2125" s="50" t="s">
        <v>138</v>
      </c>
    </row>
    <row r="2126">
      <c r="A2126" s="280" t="s">
        <v>206</v>
      </c>
      <c r="B2126" s="280" t="s">
        <v>206</v>
      </c>
      <c r="C2126" s="283">
        <v>44873.0</v>
      </c>
      <c r="D2126" s="283">
        <v>44895.0</v>
      </c>
      <c r="E2126" s="280" t="s">
        <v>268</v>
      </c>
      <c r="F2126" s="138" t="s">
        <v>12</v>
      </c>
      <c r="G2126" s="280" t="s">
        <v>142</v>
      </c>
      <c r="H2126" s="290" t="s">
        <v>39</v>
      </c>
      <c r="I2126" s="281">
        <v>5.0</v>
      </c>
      <c r="J2126" s="280">
        <v>13.0</v>
      </c>
      <c r="K2126" s="271">
        <f t="shared" si="1"/>
        <v>65</v>
      </c>
      <c r="L2126" s="280"/>
      <c r="M2126" s="280">
        <v>1.03</v>
      </c>
      <c r="N2126" s="282"/>
      <c r="O2126" s="60">
        <v>0.5</v>
      </c>
      <c r="P2126" s="50">
        <v>2.0</v>
      </c>
      <c r="Q2126" s="280"/>
      <c r="R2126" s="276">
        <v>0.0</v>
      </c>
      <c r="S2126" s="280"/>
      <c r="T2126" s="280">
        <v>3.0</v>
      </c>
      <c r="U2126" s="62">
        <v>1.0</v>
      </c>
      <c r="V2126" s="277">
        <v>0.23</v>
      </c>
      <c r="W2126" s="277">
        <v>0.0</v>
      </c>
      <c r="X2126" s="280">
        <v>3.0</v>
      </c>
      <c r="Y2126" s="280">
        <v>1.0</v>
      </c>
      <c r="Z2126" s="50" t="b">
        <v>1</v>
      </c>
      <c r="AA2126" s="50" t="s">
        <v>138</v>
      </c>
      <c r="AB2126" s="50" t="s">
        <v>138</v>
      </c>
    </row>
    <row r="2127">
      <c r="A2127" s="280" t="s">
        <v>206</v>
      </c>
      <c r="B2127" s="280" t="s">
        <v>206</v>
      </c>
      <c r="C2127" s="283">
        <v>44873.0</v>
      </c>
      <c r="D2127" s="283">
        <v>44895.0</v>
      </c>
      <c r="E2127" s="280" t="s">
        <v>268</v>
      </c>
      <c r="F2127" s="138" t="s">
        <v>12</v>
      </c>
      <c r="G2127" s="280" t="s">
        <v>142</v>
      </c>
      <c r="H2127" s="290" t="s">
        <v>50</v>
      </c>
      <c r="I2127" s="281">
        <v>10.0</v>
      </c>
      <c r="J2127" s="280">
        <v>5.0</v>
      </c>
      <c r="K2127" s="271">
        <f t="shared" si="1"/>
        <v>50</v>
      </c>
      <c r="L2127" s="280"/>
      <c r="M2127" s="280">
        <v>0.79</v>
      </c>
      <c r="N2127" s="282"/>
      <c r="O2127" s="60">
        <v>0.5</v>
      </c>
      <c r="P2127" s="50">
        <v>2.0</v>
      </c>
      <c r="Q2127" s="280"/>
      <c r="R2127" s="276">
        <v>0.0</v>
      </c>
      <c r="S2127" s="280"/>
      <c r="T2127" s="280">
        <v>3.0</v>
      </c>
      <c r="U2127" s="62">
        <v>1.0</v>
      </c>
      <c r="V2127" s="277">
        <v>0.23</v>
      </c>
      <c r="W2127" s="277">
        <v>0.0</v>
      </c>
      <c r="X2127" s="280">
        <v>2.0</v>
      </c>
      <c r="Y2127" s="280">
        <v>1.0</v>
      </c>
      <c r="Z2127" s="50" t="b">
        <v>1</v>
      </c>
      <c r="AA2127" s="50" t="s">
        <v>138</v>
      </c>
      <c r="AB2127" s="50" t="s">
        <v>138</v>
      </c>
    </row>
    <row r="2128">
      <c r="A2128" s="280" t="s">
        <v>206</v>
      </c>
      <c r="B2128" s="280" t="s">
        <v>206</v>
      </c>
      <c r="C2128" s="283">
        <v>44873.0</v>
      </c>
      <c r="D2128" s="283">
        <v>44895.0</v>
      </c>
      <c r="E2128" s="280" t="s">
        <v>268</v>
      </c>
      <c r="F2128" s="138" t="s">
        <v>12</v>
      </c>
      <c r="G2128" s="280" t="s">
        <v>142</v>
      </c>
      <c r="H2128" s="290" t="s">
        <v>61</v>
      </c>
      <c r="I2128" s="281">
        <v>20.0</v>
      </c>
      <c r="J2128" s="280">
        <v>14.0</v>
      </c>
      <c r="K2128" s="271">
        <f t="shared" si="1"/>
        <v>280</v>
      </c>
      <c r="L2128" s="280"/>
      <c r="M2128" s="280">
        <v>4.44</v>
      </c>
      <c r="N2128" s="282"/>
      <c r="O2128" s="60">
        <v>0.5</v>
      </c>
      <c r="P2128" s="50">
        <v>10.0</v>
      </c>
      <c r="Q2128" s="280"/>
      <c r="R2128" s="276">
        <v>0.0</v>
      </c>
      <c r="S2128" s="280"/>
      <c r="T2128" s="280">
        <v>14.0</v>
      </c>
      <c r="U2128" s="62">
        <v>1.0</v>
      </c>
      <c r="V2128" s="277">
        <v>0.23</v>
      </c>
      <c r="W2128" s="277">
        <v>0.0</v>
      </c>
      <c r="X2128" s="280">
        <v>11.0</v>
      </c>
      <c r="Y2128" s="280">
        <v>3.0</v>
      </c>
      <c r="Z2128" s="50" t="b">
        <v>1</v>
      </c>
      <c r="AA2128" s="50" t="s">
        <v>138</v>
      </c>
      <c r="AB2128" s="50" t="s">
        <v>138</v>
      </c>
    </row>
    <row r="2129">
      <c r="A2129" s="280" t="s">
        <v>206</v>
      </c>
      <c r="B2129" s="280" t="s">
        <v>206</v>
      </c>
      <c r="C2129" s="283">
        <v>44873.0</v>
      </c>
      <c r="D2129" s="283">
        <v>44895.0</v>
      </c>
      <c r="E2129" s="280" t="s">
        <v>268</v>
      </c>
      <c r="F2129" s="138" t="s">
        <v>12</v>
      </c>
      <c r="G2129" s="280" t="s">
        <v>142</v>
      </c>
      <c r="H2129" s="290" t="s">
        <v>77</v>
      </c>
      <c r="I2129" s="281">
        <v>50.0</v>
      </c>
      <c r="J2129" s="280">
        <v>612.0</v>
      </c>
      <c r="K2129" s="271">
        <f t="shared" si="1"/>
        <v>30600</v>
      </c>
      <c r="L2129" s="280"/>
      <c r="M2129" s="280">
        <v>484.95</v>
      </c>
      <c r="N2129" s="282"/>
      <c r="O2129" s="60">
        <v>0.5</v>
      </c>
      <c r="P2129" s="109">
        <v>1071.0</v>
      </c>
      <c r="Q2129" s="280"/>
      <c r="R2129" s="276">
        <v>0.0</v>
      </c>
      <c r="S2129" s="280"/>
      <c r="T2129" s="280">
        <v>1556.0</v>
      </c>
      <c r="U2129" s="62">
        <v>1.0</v>
      </c>
      <c r="V2129" s="277">
        <v>0.23</v>
      </c>
      <c r="W2129" s="277">
        <v>0.0</v>
      </c>
      <c r="X2129" s="280">
        <v>1198.0</v>
      </c>
      <c r="Y2129" s="280">
        <v>358.0</v>
      </c>
      <c r="Z2129" s="50" t="b">
        <v>1</v>
      </c>
      <c r="AA2129" s="50" t="s">
        <v>138</v>
      </c>
      <c r="AB2129" s="50" t="s">
        <v>138</v>
      </c>
    </row>
    <row r="2130">
      <c r="A2130" s="280" t="s">
        <v>206</v>
      </c>
      <c r="B2130" s="280" t="s">
        <v>206</v>
      </c>
      <c r="C2130" s="283">
        <v>44873.0</v>
      </c>
      <c r="D2130" s="283">
        <v>44895.0</v>
      </c>
      <c r="E2130" s="280" t="s">
        <v>268</v>
      </c>
      <c r="F2130" s="138" t="s">
        <v>12</v>
      </c>
      <c r="G2130" s="280" t="s">
        <v>142</v>
      </c>
      <c r="H2130" s="290" t="s">
        <v>89</v>
      </c>
      <c r="I2130" s="281">
        <v>100.0</v>
      </c>
      <c r="J2130" s="280">
        <v>27.0</v>
      </c>
      <c r="K2130" s="271">
        <f t="shared" si="1"/>
        <v>2700</v>
      </c>
      <c r="L2130" s="280"/>
      <c r="M2130" s="280">
        <v>42.79</v>
      </c>
      <c r="N2130" s="282"/>
      <c r="O2130" s="60">
        <v>0.5</v>
      </c>
      <c r="P2130" s="50">
        <v>95.0</v>
      </c>
      <c r="Q2130" s="280"/>
      <c r="R2130" s="276">
        <v>0.0</v>
      </c>
      <c r="S2130" s="280"/>
      <c r="T2130" s="280">
        <v>137.0</v>
      </c>
      <c r="U2130" s="62">
        <v>1.0</v>
      </c>
      <c r="V2130" s="277">
        <v>0.23</v>
      </c>
      <c r="W2130" s="277">
        <v>0.0</v>
      </c>
      <c r="X2130" s="280">
        <v>106.0</v>
      </c>
      <c r="Y2130" s="280">
        <v>32.0</v>
      </c>
      <c r="Z2130" s="50" t="b">
        <v>1</v>
      </c>
      <c r="AA2130" s="50" t="s">
        <v>138</v>
      </c>
      <c r="AB2130" s="50" t="s">
        <v>138</v>
      </c>
    </row>
    <row r="2131">
      <c r="A2131" s="101" t="s">
        <v>529</v>
      </c>
      <c r="B2131" s="101" t="s">
        <v>147</v>
      </c>
      <c r="C2131" s="278">
        <v>44866.0</v>
      </c>
      <c r="D2131" s="278">
        <v>44895.0</v>
      </c>
      <c r="E2131" s="271" t="s">
        <v>268</v>
      </c>
      <c r="F2131" s="101" t="s">
        <v>12</v>
      </c>
      <c r="G2131" s="271" t="s">
        <v>13</v>
      </c>
      <c r="H2131" s="273" t="s">
        <v>59</v>
      </c>
      <c r="I2131" s="274">
        <v>20.0</v>
      </c>
      <c r="J2131" s="271">
        <v>6917.0</v>
      </c>
      <c r="K2131" s="271">
        <f t="shared" si="1"/>
        <v>138340</v>
      </c>
      <c r="L2131" s="271">
        <v>142685.0</v>
      </c>
      <c r="M2131" s="271">
        <v>500.0</v>
      </c>
      <c r="N2131" s="275">
        <f>5725+1240</f>
        <v>6965</v>
      </c>
      <c r="O2131" s="60"/>
      <c r="P2131" s="109">
        <v>6965.0</v>
      </c>
      <c r="Q2131" s="271">
        <v>-1935.0</v>
      </c>
      <c r="R2131" s="276">
        <v>0.0</v>
      </c>
      <c r="S2131" s="271">
        <v>-1935.0</v>
      </c>
      <c r="T2131" s="271">
        <v>7465.0</v>
      </c>
      <c r="U2131" s="62">
        <v>1.0</v>
      </c>
      <c r="V2131" s="277">
        <v>0.3</v>
      </c>
      <c r="W2131" s="277">
        <v>0.0</v>
      </c>
      <c r="X2131" s="271">
        <v>5226.0</v>
      </c>
      <c r="Y2131" s="271">
        <v>2240.0</v>
      </c>
      <c r="Z2131" s="50" t="b">
        <v>0</v>
      </c>
      <c r="AA2131" s="50" t="s">
        <v>138</v>
      </c>
      <c r="AB2131" s="50" t="s">
        <v>138</v>
      </c>
    </row>
    <row r="2132">
      <c r="A2132" s="280" t="s">
        <v>233</v>
      </c>
      <c r="B2132" s="280" t="s">
        <v>212</v>
      </c>
      <c r="C2132" s="283">
        <v>44866.0</v>
      </c>
      <c r="D2132" s="283">
        <v>44895.0</v>
      </c>
      <c r="E2132" s="280" t="s">
        <v>268</v>
      </c>
      <c r="F2132" s="138" t="s">
        <v>12</v>
      </c>
      <c r="G2132" s="280" t="s">
        <v>142</v>
      </c>
      <c r="H2132" s="290" t="s">
        <v>61</v>
      </c>
      <c r="I2132" s="281">
        <v>20.0</v>
      </c>
      <c r="J2132" s="280">
        <v>714.0</v>
      </c>
      <c r="K2132" s="271">
        <f t="shared" si="1"/>
        <v>14280</v>
      </c>
      <c r="L2132" s="280"/>
      <c r="M2132" s="280">
        <v>2052.32</v>
      </c>
      <c r="N2132" s="282"/>
      <c r="O2132" s="60">
        <v>0.5</v>
      </c>
      <c r="P2132" s="50">
        <v>500.0</v>
      </c>
      <c r="Q2132" s="280"/>
      <c r="R2132" s="276">
        <v>0.0</v>
      </c>
      <c r="S2132" s="280"/>
      <c r="T2132" s="280">
        <v>2552.0</v>
      </c>
      <c r="U2132" s="62">
        <v>1.0</v>
      </c>
      <c r="V2132" s="277">
        <v>0.17</v>
      </c>
      <c r="W2132" s="277">
        <v>0.0</v>
      </c>
      <c r="X2132" s="280">
        <v>2118.0</v>
      </c>
      <c r="Y2132" s="280">
        <v>434.0</v>
      </c>
      <c r="Z2132" s="50" t="b">
        <v>1</v>
      </c>
      <c r="AA2132" s="50" t="s">
        <v>138</v>
      </c>
      <c r="AB2132" s="50" t="s">
        <v>138</v>
      </c>
    </row>
    <row r="2133">
      <c r="A2133" s="280" t="s">
        <v>233</v>
      </c>
      <c r="B2133" s="280" t="s">
        <v>212</v>
      </c>
      <c r="C2133" s="283">
        <v>44866.0</v>
      </c>
      <c r="D2133" s="283">
        <v>44895.0</v>
      </c>
      <c r="E2133" s="280" t="s">
        <v>268</v>
      </c>
      <c r="F2133" s="138" t="s">
        <v>12</v>
      </c>
      <c r="G2133" s="280" t="s">
        <v>142</v>
      </c>
      <c r="H2133" s="290" t="s">
        <v>50</v>
      </c>
      <c r="I2133" s="281">
        <v>10.0</v>
      </c>
      <c r="J2133" s="280">
        <v>13.0</v>
      </c>
      <c r="K2133" s="271">
        <f t="shared" si="1"/>
        <v>130</v>
      </c>
      <c r="L2133" s="280"/>
      <c r="M2133" s="280">
        <v>18.68</v>
      </c>
      <c r="N2133" s="282"/>
      <c r="O2133" s="60">
        <v>0.5</v>
      </c>
      <c r="P2133" s="50">
        <v>5.0</v>
      </c>
      <c r="Q2133" s="280"/>
      <c r="R2133" s="276">
        <v>0.0</v>
      </c>
      <c r="S2133" s="280"/>
      <c r="T2133" s="280">
        <v>23.0</v>
      </c>
      <c r="U2133" s="62">
        <v>1.0</v>
      </c>
      <c r="V2133" s="277">
        <v>0.17</v>
      </c>
      <c r="W2133" s="277">
        <v>0.0</v>
      </c>
      <c r="X2133" s="280">
        <v>19.0</v>
      </c>
      <c r="Y2133" s="280">
        <v>4.0</v>
      </c>
      <c r="Z2133" s="50" t="b">
        <v>1</v>
      </c>
      <c r="AA2133" s="50" t="s">
        <v>138</v>
      </c>
      <c r="AB2133" s="50" t="s">
        <v>138</v>
      </c>
    </row>
    <row r="2134">
      <c r="A2134" s="280" t="s">
        <v>233</v>
      </c>
      <c r="B2134" s="280" t="s">
        <v>212</v>
      </c>
      <c r="C2134" s="283">
        <v>44866.0</v>
      </c>
      <c r="D2134" s="283">
        <v>44895.0</v>
      </c>
      <c r="E2134" s="280" t="s">
        <v>268</v>
      </c>
      <c r="F2134" s="101" t="s">
        <v>8</v>
      </c>
      <c r="G2134" s="271" t="s">
        <v>5</v>
      </c>
      <c r="H2134" s="273" t="s">
        <v>45</v>
      </c>
      <c r="I2134" s="274">
        <v>10.0</v>
      </c>
      <c r="J2134" s="271">
        <v>186.0</v>
      </c>
      <c r="K2134" s="271">
        <f t="shared" si="1"/>
        <v>1860</v>
      </c>
      <c r="L2134" s="271">
        <v>10393.0</v>
      </c>
      <c r="M2134" s="271">
        <v>1350.0</v>
      </c>
      <c r="N2134" s="275">
        <v>112.0</v>
      </c>
      <c r="O2134" s="60"/>
      <c r="P2134" s="50">
        <v>112.0</v>
      </c>
      <c r="Q2134" s="271">
        <v>53.0</v>
      </c>
      <c r="R2134" s="276">
        <v>-0.003225</v>
      </c>
      <c r="S2134" s="271">
        <v>47.0</v>
      </c>
      <c r="T2134" s="271">
        <v>159.0</v>
      </c>
      <c r="U2134" s="62">
        <v>1.0</v>
      </c>
      <c r="V2134" s="277">
        <v>0.17</v>
      </c>
      <c r="W2134" s="277">
        <v>0.0</v>
      </c>
      <c r="X2134" s="271">
        <v>132.0</v>
      </c>
      <c r="Y2134" s="271">
        <v>27.0</v>
      </c>
      <c r="Z2134" s="50" t="b">
        <v>1</v>
      </c>
      <c r="AA2134" s="50" t="s">
        <v>138</v>
      </c>
      <c r="AB2134" s="50" t="s">
        <v>138</v>
      </c>
    </row>
    <row r="2135">
      <c r="A2135" s="280" t="s">
        <v>233</v>
      </c>
      <c r="B2135" s="280" t="s">
        <v>212</v>
      </c>
      <c r="C2135" s="283">
        <v>44866.0</v>
      </c>
      <c r="D2135" s="283">
        <v>44895.0</v>
      </c>
      <c r="E2135" s="280" t="s">
        <v>268</v>
      </c>
      <c r="F2135" s="101" t="s">
        <v>8</v>
      </c>
      <c r="G2135" s="271" t="s">
        <v>5</v>
      </c>
      <c r="H2135" s="273" t="s">
        <v>62</v>
      </c>
      <c r="I2135" s="274">
        <v>25.0</v>
      </c>
      <c r="J2135" s="271">
        <v>691.0</v>
      </c>
      <c r="K2135" s="271">
        <f t="shared" si="1"/>
        <v>17275</v>
      </c>
      <c r="L2135" s="271">
        <v>49705.0</v>
      </c>
      <c r="M2135" s="271">
        <v>310.0</v>
      </c>
      <c r="N2135" s="275">
        <v>891.0</v>
      </c>
      <c r="O2135" s="60"/>
      <c r="P2135" s="50">
        <v>891.0</v>
      </c>
      <c r="Q2135" s="271">
        <v>1199.0</v>
      </c>
      <c r="R2135" s="276">
        <v>-0.003392</v>
      </c>
      <c r="S2135" s="271">
        <v>1140.0</v>
      </c>
      <c r="T2135" s="271">
        <v>2031.0</v>
      </c>
      <c r="U2135" s="62">
        <v>1.0</v>
      </c>
      <c r="V2135" s="277">
        <v>0.17</v>
      </c>
      <c r="W2135" s="277">
        <v>0.0</v>
      </c>
      <c r="X2135" s="271">
        <v>1686.0</v>
      </c>
      <c r="Y2135" s="271">
        <v>345.0</v>
      </c>
      <c r="Z2135" s="50" t="b">
        <v>1</v>
      </c>
      <c r="AA2135" s="50" t="s">
        <v>138</v>
      </c>
      <c r="AB2135" s="50" t="s">
        <v>138</v>
      </c>
    </row>
    <row r="2136">
      <c r="A2136" s="280" t="s">
        <v>233</v>
      </c>
      <c r="B2136" s="280" t="s">
        <v>212</v>
      </c>
      <c r="C2136" s="283">
        <v>44866.0</v>
      </c>
      <c r="D2136" s="283">
        <v>44895.0</v>
      </c>
      <c r="E2136" s="280" t="s">
        <v>268</v>
      </c>
      <c r="F2136" s="138" t="s">
        <v>12</v>
      </c>
      <c r="G2136" s="271" t="s">
        <v>5</v>
      </c>
      <c r="H2136" s="273" t="s">
        <v>35</v>
      </c>
      <c r="I2136" s="274">
        <v>5.0</v>
      </c>
      <c r="J2136" s="271">
        <v>2.0</v>
      </c>
      <c r="K2136" s="271">
        <f t="shared" si="1"/>
        <v>10</v>
      </c>
      <c r="L2136" s="271">
        <v>-424.0</v>
      </c>
      <c r="M2136" s="271">
        <v>-10.0</v>
      </c>
      <c r="N2136" s="275">
        <v>1.0</v>
      </c>
      <c r="O2136" s="60"/>
      <c r="P2136" s="50">
        <v>1.0</v>
      </c>
      <c r="Q2136" s="271">
        <v>-5.0</v>
      </c>
      <c r="R2136" s="276">
        <v>0.0</v>
      </c>
      <c r="S2136" s="271">
        <v>-5.0</v>
      </c>
      <c r="T2136" s="271">
        <v>-9.0</v>
      </c>
      <c r="U2136" s="62">
        <v>1.0</v>
      </c>
      <c r="V2136" s="277">
        <v>0.17</v>
      </c>
      <c r="W2136" s="277">
        <v>0.0</v>
      </c>
      <c r="X2136" s="271">
        <v>-7.0</v>
      </c>
      <c r="Y2136" s="271">
        <v>-2.0</v>
      </c>
      <c r="Z2136" s="50" t="b">
        <v>1</v>
      </c>
      <c r="AA2136" s="50" t="s">
        <v>138</v>
      </c>
      <c r="AB2136" s="50" t="s">
        <v>138</v>
      </c>
    </row>
    <row r="2137">
      <c r="A2137" s="280" t="s">
        <v>233</v>
      </c>
      <c r="B2137" s="280" t="s">
        <v>212</v>
      </c>
      <c r="C2137" s="283">
        <v>44866.0</v>
      </c>
      <c r="D2137" s="283">
        <v>44895.0</v>
      </c>
      <c r="E2137" s="280" t="s">
        <v>268</v>
      </c>
      <c r="F2137" s="138" t="s">
        <v>12</v>
      </c>
      <c r="G2137" s="271" t="s">
        <v>5</v>
      </c>
      <c r="H2137" s="273" t="s">
        <v>63</v>
      </c>
      <c r="I2137" s="274">
        <v>25.0</v>
      </c>
      <c r="J2137" s="271">
        <v>1.0</v>
      </c>
      <c r="K2137" s="271">
        <f t="shared" si="1"/>
        <v>25</v>
      </c>
      <c r="L2137" s="271"/>
      <c r="M2137" s="271">
        <v>-35.0</v>
      </c>
      <c r="N2137" s="275">
        <v>1.0</v>
      </c>
      <c r="O2137" s="60"/>
      <c r="P2137" s="50">
        <v>1.0</v>
      </c>
      <c r="Q2137" s="271"/>
      <c r="R2137" s="276">
        <v>0.0</v>
      </c>
      <c r="S2137" s="271"/>
      <c r="T2137" s="271">
        <v>-34.0</v>
      </c>
      <c r="U2137" s="62">
        <v>1.0</v>
      </c>
      <c r="V2137" s="277">
        <v>0.17</v>
      </c>
      <c r="W2137" s="277">
        <v>0.0</v>
      </c>
      <c r="X2137" s="271">
        <v>-28.0</v>
      </c>
      <c r="Y2137" s="271">
        <v>-6.0</v>
      </c>
      <c r="Z2137" s="50" t="b">
        <v>1</v>
      </c>
      <c r="AA2137" s="50" t="s">
        <v>138</v>
      </c>
      <c r="AB2137" s="50" t="s">
        <v>138</v>
      </c>
    </row>
    <row r="2138">
      <c r="A2138" s="280" t="s">
        <v>233</v>
      </c>
      <c r="B2138" s="280" t="s">
        <v>212</v>
      </c>
      <c r="C2138" s="283">
        <v>44866.0</v>
      </c>
      <c r="D2138" s="283">
        <v>44895.0</v>
      </c>
      <c r="E2138" s="280" t="s">
        <v>268</v>
      </c>
      <c r="F2138" s="138" t="s">
        <v>12</v>
      </c>
      <c r="G2138" s="271" t="s">
        <v>5</v>
      </c>
      <c r="H2138" s="273" t="s">
        <v>74</v>
      </c>
      <c r="I2138" s="274">
        <v>50.0</v>
      </c>
      <c r="J2138" s="271">
        <v>3.0</v>
      </c>
      <c r="K2138" s="271">
        <f t="shared" si="1"/>
        <v>150</v>
      </c>
      <c r="L2138" s="271">
        <v>-103.0</v>
      </c>
      <c r="M2138" s="271">
        <v>-150.0</v>
      </c>
      <c r="N2138" s="275">
        <v>8.0</v>
      </c>
      <c r="O2138" s="60"/>
      <c r="P2138" s="50">
        <v>8.0</v>
      </c>
      <c r="Q2138" s="271">
        <v>-19.0</v>
      </c>
      <c r="R2138" s="276">
        <v>0.0</v>
      </c>
      <c r="S2138" s="271">
        <v>-19.0</v>
      </c>
      <c r="T2138" s="271">
        <v>-142.0</v>
      </c>
      <c r="U2138" s="62">
        <v>1.0</v>
      </c>
      <c r="V2138" s="277">
        <v>0.17</v>
      </c>
      <c r="W2138" s="277">
        <v>0.0</v>
      </c>
      <c r="X2138" s="271">
        <v>-118.0</v>
      </c>
      <c r="Y2138" s="271">
        <v>-24.0</v>
      </c>
      <c r="Z2138" s="50" t="b">
        <v>1</v>
      </c>
      <c r="AA2138" s="50" t="s">
        <v>138</v>
      </c>
      <c r="AB2138" s="50" t="s">
        <v>138</v>
      </c>
    </row>
    <row r="2139">
      <c r="A2139" s="280" t="s">
        <v>154</v>
      </c>
      <c r="B2139" s="280" t="s">
        <v>154</v>
      </c>
      <c r="C2139" s="278">
        <v>44866.0</v>
      </c>
      <c r="D2139" s="278">
        <v>44895.0</v>
      </c>
      <c r="E2139" s="280" t="s">
        <v>268</v>
      </c>
      <c r="F2139" s="138" t="s">
        <v>8</v>
      </c>
      <c r="G2139" s="271" t="s">
        <v>5</v>
      </c>
      <c r="H2139" s="273" t="s">
        <v>86</v>
      </c>
      <c r="I2139" s="274">
        <v>100.0</v>
      </c>
      <c r="J2139" s="271">
        <v>32.0</v>
      </c>
      <c r="K2139" s="271">
        <f t="shared" si="1"/>
        <v>3200</v>
      </c>
      <c r="L2139" s="271">
        <v>1484.0</v>
      </c>
      <c r="M2139" s="271">
        <v>900.0</v>
      </c>
      <c r="N2139" s="275">
        <v>110.0</v>
      </c>
      <c r="O2139" s="60"/>
      <c r="P2139" s="50">
        <v>110.0</v>
      </c>
      <c r="Q2139" s="271">
        <v>292.0</v>
      </c>
      <c r="R2139" s="276">
        <v>-0.003368</v>
      </c>
      <c r="S2139" s="271">
        <v>281.0</v>
      </c>
      <c r="T2139" s="271">
        <v>391.0</v>
      </c>
      <c r="U2139" s="62">
        <v>1.0</v>
      </c>
      <c r="V2139" s="277">
        <v>0.17</v>
      </c>
      <c r="W2139" s="277">
        <v>0.0</v>
      </c>
      <c r="X2139" s="271">
        <v>325.0</v>
      </c>
      <c r="Y2139" s="271">
        <v>67.0</v>
      </c>
      <c r="Z2139" s="50" t="b">
        <v>1</v>
      </c>
      <c r="AA2139" s="50" t="s">
        <v>138</v>
      </c>
      <c r="AB2139" s="50" t="s">
        <v>138</v>
      </c>
    </row>
    <row r="2140">
      <c r="A2140" s="280" t="s">
        <v>154</v>
      </c>
      <c r="B2140" s="280" t="s">
        <v>154</v>
      </c>
      <c r="C2140" s="278">
        <v>44866.0</v>
      </c>
      <c r="D2140" s="278">
        <v>44895.0</v>
      </c>
      <c r="E2140" s="280" t="s">
        <v>268</v>
      </c>
      <c r="F2140" s="138" t="s">
        <v>8</v>
      </c>
      <c r="G2140" s="271" t="s">
        <v>5</v>
      </c>
      <c r="H2140" s="273" t="s">
        <v>63</v>
      </c>
      <c r="I2140" s="274">
        <v>25.0</v>
      </c>
      <c r="J2140" s="271">
        <v>733.0</v>
      </c>
      <c r="K2140" s="271">
        <f t="shared" si="1"/>
        <v>18325</v>
      </c>
      <c r="L2140" s="271">
        <v>21331.0</v>
      </c>
      <c r="M2140" s="271">
        <v>800.0</v>
      </c>
      <c r="N2140" s="275">
        <v>758.0</v>
      </c>
      <c r="O2140" s="60"/>
      <c r="P2140" s="50">
        <v>758.0</v>
      </c>
      <c r="Q2140" s="271">
        <v>484.0</v>
      </c>
      <c r="R2140" s="276">
        <v>-0.003235</v>
      </c>
      <c r="S2140" s="271">
        <v>425.0</v>
      </c>
      <c r="T2140" s="271">
        <v>1183.0</v>
      </c>
      <c r="U2140" s="62">
        <v>1.0</v>
      </c>
      <c r="V2140" s="277">
        <v>0.17</v>
      </c>
      <c r="W2140" s="277">
        <v>0.0</v>
      </c>
      <c r="X2140" s="271">
        <v>982.0</v>
      </c>
      <c r="Y2140" s="271">
        <v>201.0</v>
      </c>
      <c r="Z2140" s="50" t="b">
        <v>1</v>
      </c>
      <c r="AA2140" s="50" t="s">
        <v>138</v>
      </c>
      <c r="AB2140" s="50" t="s">
        <v>138</v>
      </c>
    </row>
    <row r="2141">
      <c r="A2141" s="280" t="s">
        <v>154</v>
      </c>
      <c r="B2141" s="280" t="s">
        <v>154</v>
      </c>
      <c r="C2141" s="278">
        <v>44866.0</v>
      </c>
      <c r="D2141" s="278">
        <v>44895.0</v>
      </c>
      <c r="E2141" s="280" t="s">
        <v>268</v>
      </c>
      <c r="F2141" s="138" t="s">
        <v>8</v>
      </c>
      <c r="G2141" s="271" t="s">
        <v>5</v>
      </c>
      <c r="H2141" s="273" t="s">
        <v>75</v>
      </c>
      <c r="I2141" s="274">
        <v>50.0</v>
      </c>
      <c r="J2141" s="271">
        <v>10829.0</v>
      </c>
      <c r="K2141" s="271">
        <f t="shared" si="1"/>
        <v>541450</v>
      </c>
      <c r="L2141" s="271">
        <v>104819.0</v>
      </c>
      <c r="M2141" s="271">
        <v>-5500.0</v>
      </c>
      <c r="N2141" s="275">
        <v>22411.0</v>
      </c>
      <c r="O2141" s="60"/>
      <c r="P2141" s="109">
        <v>22411.0</v>
      </c>
      <c r="Q2141" s="271">
        <v>-18188.0</v>
      </c>
      <c r="R2141" s="276">
        <v>-0.003037</v>
      </c>
      <c r="S2141" s="271">
        <v>-19832.0</v>
      </c>
      <c r="T2141" s="271">
        <v>2579.0</v>
      </c>
      <c r="U2141" s="62">
        <v>1.0</v>
      </c>
      <c r="V2141" s="277">
        <v>0.17</v>
      </c>
      <c r="W2141" s="277">
        <v>0.0</v>
      </c>
      <c r="X2141" s="271">
        <v>2140.0</v>
      </c>
      <c r="Y2141" s="271">
        <v>438.0</v>
      </c>
      <c r="Z2141" s="50" t="b">
        <v>1</v>
      </c>
      <c r="AA2141" s="50" t="s">
        <v>138</v>
      </c>
      <c r="AB2141" s="50" t="s">
        <v>138</v>
      </c>
    </row>
    <row r="2142">
      <c r="A2142" s="280" t="s">
        <v>154</v>
      </c>
      <c r="B2142" s="280" t="s">
        <v>154</v>
      </c>
      <c r="C2142" s="278">
        <v>44866.0</v>
      </c>
      <c r="D2142" s="278">
        <v>44895.0</v>
      </c>
      <c r="E2142" s="280" t="s">
        <v>268</v>
      </c>
      <c r="F2142" s="138" t="s">
        <v>12</v>
      </c>
      <c r="G2142" s="271" t="s">
        <v>5</v>
      </c>
      <c r="H2142" s="273" t="s">
        <v>48</v>
      </c>
      <c r="I2142" s="274">
        <v>10.0</v>
      </c>
      <c r="J2142" s="271">
        <v>83.0</v>
      </c>
      <c r="K2142" s="271">
        <f t="shared" si="1"/>
        <v>830</v>
      </c>
      <c r="L2142" s="271"/>
      <c r="M2142" s="271">
        <v>-40.0</v>
      </c>
      <c r="N2142" s="275">
        <v>40.0</v>
      </c>
      <c r="O2142" s="60"/>
      <c r="P2142" s="50">
        <v>40.0</v>
      </c>
      <c r="Q2142" s="271"/>
      <c r="R2142" s="276">
        <v>0.0</v>
      </c>
      <c r="S2142" s="271"/>
      <c r="T2142" s="271">
        <v>0.0</v>
      </c>
      <c r="U2142" s="62">
        <v>1.0</v>
      </c>
      <c r="V2142" s="277">
        <v>0.17</v>
      </c>
      <c r="W2142" s="277">
        <v>0.0</v>
      </c>
      <c r="X2142" s="271">
        <v>0.0</v>
      </c>
      <c r="Y2142" s="271">
        <v>0.0</v>
      </c>
      <c r="Z2142" s="50" t="b">
        <v>1</v>
      </c>
      <c r="AA2142" s="50" t="s">
        <v>138</v>
      </c>
      <c r="AB2142" s="50" t="s">
        <v>138</v>
      </c>
    </row>
    <row r="2143">
      <c r="A2143" s="280" t="s">
        <v>638</v>
      </c>
      <c r="B2143" s="280" t="s">
        <v>163</v>
      </c>
      <c r="C2143" s="283">
        <v>44866.0</v>
      </c>
      <c r="D2143" s="283">
        <v>44895.0</v>
      </c>
      <c r="E2143" s="280" t="s">
        <v>268</v>
      </c>
      <c r="F2143" s="101" t="s">
        <v>4</v>
      </c>
      <c r="G2143" s="280" t="s">
        <v>16</v>
      </c>
      <c r="H2143" s="290" t="s">
        <v>59</v>
      </c>
      <c r="I2143" s="281">
        <v>20.0</v>
      </c>
      <c r="J2143" s="280">
        <v>6194.0</v>
      </c>
      <c r="K2143" s="271">
        <f t="shared" si="1"/>
        <v>123880</v>
      </c>
      <c r="L2143" s="280">
        <v>241827.0</v>
      </c>
      <c r="M2143" s="280">
        <v>-420.0</v>
      </c>
      <c r="N2143" s="282">
        <f>6077-500</f>
        <v>5577</v>
      </c>
      <c r="O2143" s="60"/>
      <c r="P2143" s="109">
        <v>5577.0</v>
      </c>
      <c r="Q2143" s="280">
        <v>1120.0</v>
      </c>
      <c r="R2143" s="276">
        <v>1.9E-4</v>
      </c>
      <c r="S2143" s="280">
        <v>1143.0</v>
      </c>
      <c r="T2143" s="280">
        <v>6720.0</v>
      </c>
      <c r="U2143" s="62">
        <v>1.0</v>
      </c>
      <c r="V2143" s="277">
        <v>0.12</v>
      </c>
      <c r="W2143" s="277">
        <v>0.0</v>
      </c>
      <c r="X2143" s="280">
        <v>5914.0</v>
      </c>
      <c r="Y2143" s="280">
        <v>806.0</v>
      </c>
      <c r="Z2143" s="50" t="b">
        <v>1</v>
      </c>
      <c r="AA2143" s="50" t="s">
        <v>138</v>
      </c>
      <c r="AB2143" s="50" t="s">
        <v>138</v>
      </c>
    </row>
    <row r="2144">
      <c r="A2144" s="280" t="s">
        <v>227</v>
      </c>
      <c r="B2144" s="280" t="s">
        <v>214</v>
      </c>
      <c r="C2144" s="278">
        <v>44866.0</v>
      </c>
      <c r="D2144" s="278">
        <v>44895.0</v>
      </c>
      <c r="E2144" s="280" t="s">
        <v>268</v>
      </c>
      <c r="F2144" s="138" t="s">
        <v>8</v>
      </c>
      <c r="G2144" s="271" t="s">
        <v>5</v>
      </c>
      <c r="H2144" s="273" t="s">
        <v>62</v>
      </c>
      <c r="I2144" s="274">
        <v>25.0</v>
      </c>
      <c r="J2144" s="271">
        <v>3619.0</v>
      </c>
      <c r="K2144" s="271">
        <f t="shared" si="1"/>
        <v>90475</v>
      </c>
      <c r="L2144" s="271">
        <v>56968.0</v>
      </c>
      <c r="M2144" s="271">
        <v>-500.0</v>
      </c>
      <c r="N2144" s="275">
        <v>3738.0</v>
      </c>
      <c r="O2144" s="60"/>
      <c r="P2144" s="109">
        <v>3738.0</v>
      </c>
      <c r="Q2144" s="271">
        <v>-3150.0</v>
      </c>
      <c r="R2144" s="276">
        <v>-0.003034</v>
      </c>
      <c r="S2144" s="271">
        <v>-3424.0</v>
      </c>
      <c r="T2144" s="271">
        <v>314.0</v>
      </c>
      <c r="U2144" s="62">
        <v>1.0</v>
      </c>
      <c r="V2144" s="277">
        <v>0.3</v>
      </c>
      <c r="W2144" s="277">
        <v>0.0</v>
      </c>
      <c r="X2144" s="271">
        <v>220.0</v>
      </c>
      <c r="Y2144" s="271">
        <v>94.0</v>
      </c>
      <c r="Z2144" s="50" t="b">
        <v>1</v>
      </c>
      <c r="AA2144" s="50" t="s">
        <v>138</v>
      </c>
      <c r="AB2144" s="50" t="s">
        <v>138</v>
      </c>
    </row>
    <row r="2145">
      <c r="A2145" s="280" t="s">
        <v>227</v>
      </c>
      <c r="B2145" s="280" t="s">
        <v>214</v>
      </c>
      <c r="C2145" s="278">
        <v>44866.0</v>
      </c>
      <c r="D2145" s="278">
        <v>44895.0</v>
      </c>
      <c r="E2145" s="280" t="s">
        <v>268</v>
      </c>
      <c r="F2145" s="138" t="s">
        <v>12</v>
      </c>
      <c r="G2145" s="271" t="s">
        <v>5</v>
      </c>
      <c r="H2145" s="273" t="s">
        <v>74</v>
      </c>
      <c r="I2145" s="274">
        <v>50.0</v>
      </c>
      <c r="J2145" s="271">
        <v>8.0</v>
      </c>
      <c r="K2145" s="271">
        <f t="shared" si="1"/>
        <v>400</v>
      </c>
      <c r="L2145" s="271"/>
      <c r="M2145" s="271">
        <v>-50.0</v>
      </c>
      <c r="N2145" s="275">
        <v>17.0</v>
      </c>
      <c r="O2145" s="60"/>
      <c r="P2145" s="50">
        <v>17.0</v>
      </c>
      <c r="Q2145" s="271"/>
      <c r="R2145" s="276">
        <v>0.0</v>
      </c>
      <c r="S2145" s="271"/>
      <c r="T2145" s="271">
        <v>-33.0</v>
      </c>
      <c r="U2145" s="62">
        <v>1.0</v>
      </c>
      <c r="V2145" s="277">
        <v>0.3</v>
      </c>
      <c r="W2145" s="277">
        <v>0.0</v>
      </c>
      <c r="X2145" s="271">
        <v>-23.0</v>
      </c>
      <c r="Y2145" s="271">
        <v>-10.0</v>
      </c>
      <c r="Z2145" s="50" t="b">
        <v>1</v>
      </c>
      <c r="AA2145" s="50" t="s">
        <v>138</v>
      </c>
      <c r="AB2145" s="50" t="s">
        <v>138</v>
      </c>
    </row>
    <row r="2146">
      <c r="A2146" s="280" t="s">
        <v>215</v>
      </c>
      <c r="B2146" s="280" t="s">
        <v>215</v>
      </c>
      <c r="C2146" s="278">
        <v>44866.0</v>
      </c>
      <c r="D2146" s="278">
        <v>44895.0</v>
      </c>
      <c r="E2146" s="280" t="s">
        <v>268</v>
      </c>
      <c r="F2146" s="138" t="s">
        <v>12</v>
      </c>
      <c r="G2146" s="271" t="s">
        <v>5</v>
      </c>
      <c r="H2146" s="273" t="s">
        <v>35</v>
      </c>
      <c r="I2146" s="274">
        <v>5.0</v>
      </c>
      <c r="J2146" s="271">
        <v>13.0</v>
      </c>
      <c r="K2146" s="271">
        <f t="shared" si="1"/>
        <v>65</v>
      </c>
      <c r="L2146" s="271"/>
      <c r="M2146" s="271">
        <v>5.0</v>
      </c>
      <c r="N2146" s="275"/>
      <c r="O2146" s="60"/>
      <c r="P2146" s="101"/>
      <c r="Q2146" s="271"/>
      <c r="R2146" s="276">
        <v>0.0</v>
      </c>
      <c r="S2146" s="271"/>
      <c r="T2146" s="271">
        <v>5.0</v>
      </c>
      <c r="U2146" s="62">
        <v>1.0</v>
      </c>
      <c r="V2146" s="277">
        <v>0.3</v>
      </c>
      <c r="W2146" s="277">
        <v>0.0</v>
      </c>
      <c r="X2146" s="271">
        <v>4.0</v>
      </c>
      <c r="Y2146" s="271">
        <v>2.0</v>
      </c>
      <c r="Z2146" s="50" t="b">
        <v>1</v>
      </c>
      <c r="AA2146" s="50" t="s">
        <v>138</v>
      </c>
      <c r="AB2146" s="50" t="s">
        <v>138</v>
      </c>
    </row>
    <row r="2147">
      <c r="A2147" s="280" t="s">
        <v>215</v>
      </c>
      <c r="B2147" s="280" t="s">
        <v>215</v>
      </c>
      <c r="C2147" s="278">
        <v>44866.0</v>
      </c>
      <c r="D2147" s="278">
        <v>44895.0</v>
      </c>
      <c r="E2147" s="280" t="s">
        <v>268</v>
      </c>
      <c r="F2147" s="138" t="s">
        <v>12</v>
      </c>
      <c r="G2147" s="271" t="s">
        <v>5</v>
      </c>
      <c r="H2147" s="273" t="s">
        <v>45</v>
      </c>
      <c r="I2147" s="274">
        <v>10.0</v>
      </c>
      <c r="J2147" s="271">
        <v>3814.0</v>
      </c>
      <c r="K2147" s="271">
        <f t="shared" si="1"/>
        <v>38140</v>
      </c>
      <c r="L2147" s="271">
        <f>20*3814</f>
        <v>76280</v>
      </c>
      <c r="M2147" s="271">
        <v>-1520.0</v>
      </c>
      <c r="N2147" s="275">
        <v>698.0</v>
      </c>
      <c r="O2147" s="60"/>
      <c r="P2147" s="50">
        <v>698.0</v>
      </c>
      <c r="Q2147" s="271">
        <v>-1423.0</v>
      </c>
      <c r="R2147" s="276">
        <v>0.0</v>
      </c>
      <c r="S2147" s="271">
        <v>-1423.0</v>
      </c>
      <c r="T2147" s="271">
        <v>-822.0</v>
      </c>
      <c r="U2147" s="62">
        <v>1.0</v>
      </c>
      <c r="V2147" s="277">
        <v>0.3</v>
      </c>
      <c r="W2147" s="277">
        <v>0.0</v>
      </c>
      <c r="X2147" s="271">
        <v>-575.0</v>
      </c>
      <c r="Y2147" s="271">
        <v>-247.0</v>
      </c>
      <c r="Z2147" s="50" t="b">
        <v>1</v>
      </c>
      <c r="AA2147" s="50" t="s">
        <v>138</v>
      </c>
      <c r="AB2147" s="50" t="s">
        <v>138</v>
      </c>
    </row>
    <row r="2148">
      <c r="A2148" s="280" t="s">
        <v>215</v>
      </c>
      <c r="B2148" s="280" t="s">
        <v>215</v>
      </c>
      <c r="C2148" s="278">
        <v>44866.0</v>
      </c>
      <c r="D2148" s="278">
        <v>44895.0</v>
      </c>
      <c r="E2148" s="280" t="s">
        <v>268</v>
      </c>
      <c r="F2148" s="138" t="s">
        <v>12</v>
      </c>
      <c r="G2148" s="271" t="s">
        <v>5</v>
      </c>
      <c r="H2148" s="273" t="s">
        <v>48</v>
      </c>
      <c r="I2148" s="274">
        <v>10.0</v>
      </c>
      <c r="J2148" s="271">
        <v>2.0</v>
      </c>
      <c r="K2148" s="271">
        <f t="shared" si="1"/>
        <v>20</v>
      </c>
      <c r="L2148" s="271"/>
      <c r="M2148" s="271">
        <v>10.0</v>
      </c>
      <c r="N2148" s="275"/>
      <c r="O2148" s="60"/>
      <c r="P2148" s="101"/>
      <c r="Q2148" s="271"/>
      <c r="R2148" s="276">
        <v>0.0</v>
      </c>
      <c r="S2148" s="271"/>
      <c r="T2148" s="271">
        <v>10.0</v>
      </c>
      <c r="U2148" s="62">
        <v>1.0</v>
      </c>
      <c r="V2148" s="277">
        <v>0.3</v>
      </c>
      <c r="W2148" s="277">
        <v>0.0</v>
      </c>
      <c r="X2148" s="271">
        <v>7.0</v>
      </c>
      <c r="Y2148" s="271">
        <v>3.0</v>
      </c>
      <c r="Z2148" s="50" t="b">
        <v>1</v>
      </c>
      <c r="AA2148" s="50" t="s">
        <v>138</v>
      </c>
      <c r="AB2148" s="50" t="s">
        <v>138</v>
      </c>
    </row>
    <row r="2149">
      <c r="A2149" s="280" t="s">
        <v>174</v>
      </c>
      <c r="B2149" s="280" t="s">
        <v>174</v>
      </c>
      <c r="C2149" s="283">
        <v>44866.0</v>
      </c>
      <c r="D2149" s="283">
        <v>44895.0</v>
      </c>
      <c r="E2149" s="280" t="s">
        <v>268</v>
      </c>
      <c r="F2149" s="138" t="s">
        <v>12</v>
      </c>
      <c r="G2149" s="280" t="s">
        <v>9</v>
      </c>
      <c r="H2149" s="290" t="s">
        <v>30</v>
      </c>
      <c r="I2149" s="281">
        <v>2.0</v>
      </c>
      <c r="J2149" s="280">
        <v>1628.0</v>
      </c>
      <c r="K2149" s="271">
        <f t="shared" si="1"/>
        <v>3256</v>
      </c>
      <c r="L2149" s="280">
        <v>164052.0</v>
      </c>
      <c r="M2149" s="280">
        <v>20.0</v>
      </c>
      <c r="N2149" s="282">
        <v>91.18</v>
      </c>
      <c r="O2149" s="60"/>
      <c r="P2149" s="50">
        <v>91.0</v>
      </c>
      <c r="Q2149" s="280">
        <v>300.0</v>
      </c>
      <c r="R2149" s="276">
        <v>0.0</v>
      </c>
      <c r="S2149" s="280">
        <v>300.0</v>
      </c>
      <c r="T2149" s="280">
        <v>111.0</v>
      </c>
      <c r="U2149" s="62">
        <v>1.0</v>
      </c>
      <c r="V2149" s="277">
        <v>0.17</v>
      </c>
      <c r="W2149" s="277">
        <v>0.0</v>
      </c>
      <c r="X2149" s="280">
        <v>92.0</v>
      </c>
      <c r="Y2149" s="280">
        <v>19.0</v>
      </c>
      <c r="Z2149" s="50" t="b">
        <v>1</v>
      </c>
      <c r="AA2149" s="50" t="s">
        <v>140</v>
      </c>
      <c r="AB2149" s="50" t="s">
        <v>140</v>
      </c>
    </row>
    <row r="2150">
      <c r="A2150" s="280" t="s">
        <v>174</v>
      </c>
      <c r="B2150" s="280" t="s">
        <v>174</v>
      </c>
      <c r="C2150" s="283">
        <v>44866.0</v>
      </c>
      <c r="D2150" s="283">
        <v>44895.0</v>
      </c>
      <c r="E2150" s="280" t="s">
        <v>268</v>
      </c>
      <c r="F2150" s="138" t="s">
        <v>12</v>
      </c>
      <c r="G2150" s="280" t="s">
        <v>9</v>
      </c>
      <c r="H2150" s="290" t="s">
        <v>39</v>
      </c>
      <c r="I2150" s="281">
        <v>5.0</v>
      </c>
      <c r="J2150" s="280">
        <v>16.0</v>
      </c>
      <c r="K2150" s="271">
        <f t="shared" si="1"/>
        <v>80</v>
      </c>
      <c r="L2150" s="280">
        <v>1070.0</v>
      </c>
      <c r="M2150" s="280">
        <v>-25.0</v>
      </c>
      <c r="N2150" s="282">
        <v>0.36</v>
      </c>
      <c r="O2150" s="60"/>
      <c r="P2150" s="50">
        <v>0.0</v>
      </c>
      <c r="Q2150" s="280">
        <v>3.0</v>
      </c>
      <c r="R2150" s="276">
        <v>0.0</v>
      </c>
      <c r="S2150" s="280">
        <v>3.0</v>
      </c>
      <c r="T2150" s="280">
        <v>-25.0</v>
      </c>
      <c r="U2150" s="62">
        <v>1.0</v>
      </c>
      <c r="V2150" s="277">
        <v>0.17</v>
      </c>
      <c r="W2150" s="277">
        <v>0.0</v>
      </c>
      <c r="X2150" s="280">
        <v>-20.0</v>
      </c>
      <c r="Y2150" s="280">
        <v>-4.0</v>
      </c>
      <c r="Z2150" s="50" t="b">
        <v>1</v>
      </c>
      <c r="AA2150" s="50" t="s">
        <v>140</v>
      </c>
      <c r="AB2150" s="50" t="s">
        <v>140</v>
      </c>
    </row>
    <row r="2151">
      <c r="A2151" s="101" t="s">
        <v>137</v>
      </c>
      <c r="B2151" s="101" t="s">
        <v>137</v>
      </c>
      <c r="C2151" s="278">
        <v>44886.0</v>
      </c>
      <c r="D2151" s="278">
        <v>44915.0</v>
      </c>
      <c r="E2151" s="271" t="s">
        <v>268</v>
      </c>
      <c r="F2151" s="138" t="s">
        <v>4</v>
      </c>
      <c r="G2151" s="271" t="s">
        <v>5</v>
      </c>
      <c r="H2151" s="273" t="s">
        <v>28</v>
      </c>
      <c r="I2151" s="274">
        <v>2.0</v>
      </c>
      <c r="J2151" s="271">
        <v>1.0</v>
      </c>
      <c r="K2151" s="271">
        <f t="shared" si="1"/>
        <v>2</v>
      </c>
      <c r="L2151" s="271">
        <v>102.0</v>
      </c>
      <c r="M2151" s="271">
        <v>2.0</v>
      </c>
      <c r="N2151" s="275"/>
      <c r="O2151" s="60"/>
      <c r="P2151" s="101"/>
      <c r="Q2151" s="271">
        <v>0.0</v>
      </c>
      <c r="R2151" s="276">
        <v>1.9E-4</v>
      </c>
      <c r="S2151" s="271">
        <v>0.0</v>
      </c>
      <c r="T2151" s="271">
        <v>0.0</v>
      </c>
      <c r="U2151" s="62">
        <v>1.0</v>
      </c>
      <c r="V2151" s="277">
        <v>0.17</v>
      </c>
      <c r="W2151" s="277">
        <v>0.0</v>
      </c>
      <c r="X2151" s="271">
        <v>0.0</v>
      </c>
      <c r="Y2151" s="271">
        <v>0.0</v>
      </c>
      <c r="Z2151" s="50" t="b">
        <v>1</v>
      </c>
      <c r="AA2151" s="50" t="s">
        <v>138</v>
      </c>
      <c r="AB2151" s="50" t="s">
        <v>138</v>
      </c>
    </row>
    <row r="2152">
      <c r="A2152" s="101" t="s">
        <v>137</v>
      </c>
      <c r="B2152" s="101" t="s">
        <v>137</v>
      </c>
      <c r="C2152" s="278">
        <v>44886.0</v>
      </c>
      <c r="D2152" s="278">
        <v>44915.0</v>
      </c>
      <c r="E2152" s="271" t="s">
        <v>268</v>
      </c>
      <c r="F2152" s="138" t="s">
        <v>4</v>
      </c>
      <c r="G2152" s="271" t="s">
        <v>5</v>
      </c>
      <c r="H2152" s="273" t="s">
        <v>35</v>
      </c>
      <c r="I2152" s="274">
        <v>5.0</v>
      </c>
      <c r="J2152" s="271">
        <v>695.0</v>
      </c>
      <c r="K2152" s="271">
        <f t="shared" si="1"/>
        <v>3475</v>
      </c>
      <c r="L2152" s="271">
        <v>51600.0</v>
      </c>
      <c r="M2152" s="271">
        <v>80.0</v>
      </c>
      <c r="N2152" s="275">
        <v>239.0</v>
      </c>
      <c r="O2152" s="60"/>
      <c r="P2152" s="50">
        <v>239.0</v>
      </c>
      <c r="Q2152" s="271">
        <v>160.0</v>
      </c>
      <c r="R2152" s="276">
        <v>1.9E-4</v>
      </c>
      <c r="S2152" s="271">
        <v>161.0</v>
      </c>
      <c r="T2152" s="271">
        <v>400.0</v>
      </c>
      <c r="U2152" s="62">
        <v>1.0</v>
      </c>
      <c r="V2152" s="277">
        <v>0.17</v>
      </c>
      <c r="W2152" s="277">
        <v>0.0</v>
      </c>
      <c r="X2152" s="271">
        <v>332.0</v>
      </c>
      <c r="Y2152" s="271">
        <v>68.0</v>
      </c>
      <c r="Z2152" s="50" t="b">
        <v>1</v>
      </c>
      <c r="AA2152" s="50" t="s">
        <v>138</v>
      </c>
      <c r="AB2152" s="50" t="s">
        <v>138</v>
      </c>
    </row>
    <row r="2153">
      <c r="A2153" s="101" t="s">
        <v>137</v>
      </c>
      <c r="B2153" s="101" t="s">
        <v>137</v>
      </c>
      <c r="C2153" s="278">
        <v>44886.0</v>
      </c>
      <c r="D2153" s="278">
        <v>44915.0</v>
      </c>
      <c r="E2153" s="271" t="s">
        <v>268</v>
      </c>
      <c r="F2153" s="138" t="s">
        <v>4</v>
      </c>
      <c r="G2153" s="271" t="s">
        <v>5</v>
      </c>
      <c r="H2153" s="273" t="s">
        <v>45</v>
      </c>
      <c r="I2153" s="274">
        <v>10.0</v>
      </c>
      <c r="J2153" s="271">
        <v>1210.0</v>
      </c>
      <c r="K2153" s="271">
        <f t="shared" si="1"/>
        <v>12100</v>
      </c>
      <c r="L2153" s="271">
        <v>46480.0</v>
      </c>
      <c r="M2153" s="271">
        <v>1340.0</v>
      </c>
      <c r="N2153" s="275">
        <v>730.0</v>
      </c>
      <c r="O2153" s="60"/>
      <c r="P2153" s="50">
        <v>730.0</v>
      </c>
      <c r="Q2153" s="271">
        <v>-47.0</v>
      </c>
      <c r="R2153" s="276">
        <v>1.9E-4</v>
      </c>
      <c r="S2153" s="271">
        <v>-45.0</v>
      </c>
      <c r="T2153" s="271">
        <v>685.0</v>
      </c>
      <c r="U2153" s="62">
        <v>1.0</v>
      </c>
      <c r="V2153" s="277">
        <v>0.17</v>
      </c>
      <c r="W2153" s="277">
        <v>0.0</v>
      </c>
      <c r="X2153" s="271">
        <v>569.0</v>
      </c>
      <c r="Y2153" s="271">
        <v>117.0</v>
      </c>
      <c r="Z2153" s="50" t="b">
        <v>1</v>
      </c>
      <c r="AA2153" s="50" t="s">
        <v>138</v>
      </c>
      <c r="AB2153" s="50" t="s">
        <v>138</v>
      </c>
    </row>
    <row r="2154">
      <c r="A2154" s="101" t="s">
        <v>137</v>
      </c>
      <c r="B2154" s="101" t="s">
        <v>137</v>
      </c>
      <c r="C2154" s="278">
        <v>44886.0</v>
      </c>
      <c r="D2154" s="278">
        <v>44915.0</v>
      </c>
      <c r="E2154" s="271" t="s">
        <v>268</v>
      </c>
      <c r="F2154" s="138" t="s">
        <v>12</v>
      </c>
      <c r="G2154" s="271" t="s">
        <v>5</v>
      </c>
      <c r="H2154" s="273" t="s">
        <v>20</v>
      </c>
      <c r="I2154" s="274">
        <v>1.0</v>
      </c>
      <c r="J2154" s="271">
        <v>1.0</v>
      </c>
      <c r="K2154" s="271">
        <f t="shared" si="1"/>
        <v>1</v>
      </c>
      <c r="L2154" s="271"/>
      <c r="M2154" s="271">
        <v>-1.0</v>
      </c>
      <c r="N2154" s="275"/>
      <c r="O2154" s="60"/>
      <c r="P2154" s="101"/>
      <c r="Q2154" s="271"/>
      <c r="R2154" s="276">
        <v>0.0</v>
      </c>
      <c r="S2154" s="271"/>
      <c r="T2154" s="271">
        <v>-1.0</v>
      </c>
      <c r="U2154" s="62">
        <v>1.0</v>
      </c>
      <c r="V2154" s="277">
        <v>0.17</v>
      </c>
      <c r="W2154" s="277">
        <v>0.0</v>
      </c>
      <c r="X2154" s="271">
        <v>-1.0</v>
      </c>
      <c r="Y2154" s="271">
        <v>0.0</v>
      </c>
      <c r="Z2154" s="50" t="b">
        <v>1</v>
      </c>
      <c r="AA2154" s="50" t="s">
        <v>138</v>
      </c>
      <c r="AB2154" s="50" t="s">
        <v>138</v>
      </c>
    </row>
    <row r="2155">
      <c r="A2155" s="101" t="s">
        <v>137</v>
      </c>
      <c r="B2155" s="101" t="s">
        <v>137</v>
      </c>
      <c r="C2155" s="278">
        <v>44886.0</v>
      </c>
      <c r="D2155" s="278">
        <v>44915.0</v>
      </c>
      <c r="E2155" s="271" t="s">
        <v>268</v>
      </c>
      <c r="F2155" s="138" t="s">
        <v>12</v>
      </c>
      <c r="G2155" s="271" t="s">
        <v>5</v>
      </c>
      <c r="H2155" s="273" t="s">
        <v>29</v>
      </c>
      <c r="I2155" s="274">
        <v>2.0</v>
      </c>
      <c r="J2155" s="271">
        <v>1.0</v>
      </c>
      <c r="K2155" s="271">
        <f t="shared" si="1"/>
        <v>2</v>
      </c>
      <c r="L2155" s="271"/>
      <c r="M2155" s="271">
        <v>-2.0</v>
      </c>
      <c r="N2155" s="275"/>
      <c r="O2155" s="60"/>
      <c r="P2155" s="101"/>
      <c r="Q2155" s="271"/>
      <c r="R2155" s="276">
        <v>0.0</v>
      </c>
      <c r="S2155" s="271"/>
      <c r="T2155" s="271">
        <v>-2.0</v>
      </c>
      <c r="U2155" s="62">
        <v>1.0</v>
      </c>
      <c r="V2155" s="277">
        <v>0.17</v>
      </c>
      <c r="W2155" s="277">
        <v>0.0</v>
      </c>
      <c r="X2155" s="271">
        <v>-2.0</v>
      </c>
      <c r="Y2155" s="271">
        <v>0.0</v>
      </c>
      <c r="Z2155" s="50" t="b">
        <v>1</v>
      </c>
      <c r="AA2155" s="50" t="s">
        <v>138</v>
      </c>
      <c r="AB2155" s="50" t="s">
        <v>138</v>
      </c>
    </row>
    <row r="2156">
      <c r="A2156" s="101" t="s">
        <v>137</v>
      </c>
      <c r="B2156" s="101" t="s">
        <v>137</v>
      </c>
      <c r="C2156" s="278">
        <v>44886.0</v>
      </c>
      <c r="D2156" s="278">
        <v>44915.0</v>
      </c>
      <c r="E2156" s="271" t="s">
        <v>268</v>
      </c>
      <c r="F2156" s="138" t="s">
        <v>12</v>
      </c>
      <c r="G2156" s="271" t="s">
        <v>5</v>
      </c>
      <c r="H2156" s="273" t="s">
        <v>6</v>
      </c>
      <c r="I2156" s="274">
        <v>0.25</v>
      </c>
      <c r="J2156" s="271">
        <v>1.0</v>
      </c>
      <c r="K2156" s="271">
        <f t="shared" si="1"/>
        <v>0.25</v>
      </c>
      <c r="L2156" s="271"/>
      <c r="M2156" s="271">
        <v>0.0</v>
      </c>
      <c r="N2156" s="275"/>
      <c r="O2156" s="60"/>
      <c r="P2156" s="101"/>
      <c r="Q2156" s="271"/>
      <c r="R2156" s="276">
        <v>0.0</v>
      </c>
      <c r="S2156" s="271"/>
      <c r="T2156" s="271">
        <v>0.0</v>
      </c>
      <c r="U2156" s="62">
        <v>1.0</v>
      </c>
      <c r="V2156" s="277">
        <v>0.17</v>
      </c>
      <c r="W2156" s="277">
        <v>0.0</v>
      </c>
      <c r="X2156" s="271">
        <v>0.0</v>
      </c>
      <c r="Y2156" s="271">
        <v>0.0</v>
      </c>
      <c r="Z2156" s="50" t="b">
        <v>1</v>
      </c>
      <c r="AA2156" s="50" t="s">
        <v>138</v>
      </c>
      <c r="AB2156" s="50" t="s">
        <v>138</v>
      </c>
    </row>
    <row r="2157">
      <c r="A2157" s="101" t="s">
        <v>137</v>
      </c>
      <c r="B2157" s="101" t="s">
        <v>137</v>
      </c>
      <c r="C2157" s="278">
        <v>44886.0</v>
      </c>
      <c r="D2157" s="278">
        <v>44915.0</v>
      </c>
      <c r="E2157" s="271" t="s">
        <v>268</v>
      </c>
      <c r="F2157" s="138" t="s">
        <v>12</v>
      </c>
      <c r="G2157" s="271" t="s">
        <v>5</v>
      </c>
      <c r="H2157" s="273" t="s">
        <v>62</v>
      </c>
      <c r="I2157" s="274">
        <v>25.0</v>
      </c>
      <c r="J2157" s="271">
        <v>2.0</v>
      </c>
      <c r="K2157" s="271">
        <f t="shared" si="1"/>
        <v>50</v>
      </c>
      <c r="L2157" s="271"/>
      <c r="M2157" s="271">
        <v>0.0</v>
      </c>
      <c r="N2157" s="275">
        <v>3.0</v>
      </c>
      <c r="O2157" s="60"/>
      <c r="P2157" s="50">
        <v>3.0</v>
      </c>
      <c r="Q2157" s="271"/>
      <c r="R2157" s="276">
        <v>0.0</v>
      </c>
      <c r="S2157" s="271"/>
      <c r="T2157" s="271">
        <v>3.0</v>
      </c>
      <c r="U2157" s="62">
        <v>1.0</v>
      </c>
      <c r="V2157" s="277">
        <v>0.17</v>
      </c>
      <c r="W2157" s="277">
        <v>0.0</v>
      </c>
      <c r="X2157" s="271">
        <v>2.0</v>
      </c>
      <c r="Y2157" s="271">
        <v>1.0</v>
      </c>
      <c r="Z2157" s="50" t="b">
        <v>1</v>
      </c>
      <c r="AA2157" s="50" t="s">
        <v>138</v>
      </c>
      <c r="AB2157" s="50" t="s">
        <v>138</v>
      </c>
    </row>
    <row r="2158">
      <c r="A2158" s="101" t="s">
        <v>137</v>
      </c>
      <c r="B2158" s="101" t="s">
        <v>137</v>
      </c>
      <c r="C2158" s="278">
        <v>44886.0</v>
      </c>
      <c r="D2158" s="278">
        <v>44915.0</v>
      </c>
      <c r="E2158" s="271" t="s">
        <v>268</v>
      </c>
      <c r="F2158" s="138" t="s">
        <v>12</v>
      </c>
      <c r="G2158" s="271" t="s">
        <v>5</v>
      </c>
      <c r="H2158" s="273" t="s">
        <v>23</v>
      </c>
      <c r="I2158" s="274">
        <v>1.0</v>
      </c>
      <c r="J2158" s="271">
        <v>2.0</v>
      </c>
      <c r="K2158" s="271">
        <f t="shared" si="1"/>
        <v>2</v>
      </c>
      <c r="L2158" s="271"/>
      <c r="M2158" s="271">
        <v>-2.0</v>
      </c>
      <c r="N2158" s="275"/>
      <c r="O2158" s="60"/>
      <c r="P2158" s="101"/>
      <c r="Q2158" s="271"/>
      <c r="R2158" s="276">
        <v>0.0</v>
      </c>
      <c r="S2158" s="271"/>
      <c r="T2158" s="271">
        <v>-2.0</v>
      </c>
      <c r="U2158" s="62">
        <v>1.0</v>
      </c>
      <c r="V2158" s="277">
        <v>0.17</v>
      </c>
      <c r="W2158" s="277">
        <v>0.0</v>
      </c>
      <c r="X2158" s="271">
        <v>-2.0</v>
      </c>
      <c r="Y2158" s="271">
        <v>0.0</v>
      </c>
      <c r="Z2158" s="50" t="b">
        <v>1</v>
      </c>
      <c r="AA2158" s="50" t="s">
        <v>138</v>
      </c>
      <c r="AB2158" s="50" t="s">
        <v>138</v>
      </c>
    </row>
    <row r="2159">
      <c r="A2159" s="101" t="s">
        <v>148</v>
      </c>
      <c r="B2159" s="101" t="s">
        <v>148</v>
      </c>
      <c r="C2159" s="278">
        <v>44886.0</v>
      </c>
      <c r="D2159" s="278">
        <v>44915.0</v>
      </c>
      <c r="E2159" s="271" t="s">
        <v>331</v>
      </c>
      <c r="F2159" s="138" t="s">
        <v>4</v>
      </c>
      <c r="G2159" s="101" t="s">
        <v>5</v>
      </c>
      <c r="H2159" s="273" t="s">
        <v>85</v>
      </c>
      <c r="I2159" s="274">
        <v>100.0</v>
      </c>
      <c r="J2159" s="271">
        <v>1325.0</v>
      </c>
      <c r="K2159" s="271">
        <f t="shared" si="1"/>
        <v>132500</v>
      </c>
      <c r="L2159" s="271">
        <v>5170.0</v>
      </c>
      <c r="M2159" s="271">
        <v>-7900.0</v>
      </c>
      <c r="N2159" s="275">
        <v>5176.0</v>
      </c>
      <c r="O2159" s="60"/>
      <c r="P2159" s="109">
        <v>5176.0</v>
      </c>
      <c r="Q2159" s="271">
        <v>-6187.0</v>
      </c>
      <c r="R2159" s="276">
        <v>1.9E-4</v>
      </c>
      <c r="S2159" s="271">
        <v>-6162.0</v>
      </c>
      <c r="T2159" s="271">
        <v>-986.0</v>
      </c>
      <c r="U2159" s="62">
        <v>1.0</v>
      </c>
      <c r="V2159" s="277">
        <v>0.15</v>
      </c>
      <c r="W2159" s="277">
        <v>0.05</v>
      </c>
      <c r="X2159" s="271">
        <v>-789.0</v>
      </c>
      <c r="Y2159" s="271">
        <v>-197.0</v>
      </c>
      <c r="Z2159" s="50" t="b">
        <v>1</v>
      </c>
      <c r="AA2159" s="50" t="s">
        <v>138</v>
      </c>
      <c r="AB2159" s="50" t="s">
        <v>138</v>
      </c>
    </row>
    <row r="2160">
      <c r="A2160" s="101" t="s">
        <v>148</v>
      </c>
      <c r="B2160" s="101" t="s">
        <v>148</v>
      </c>
      <c r="C2160" s="278">
        <v>44886.0</v>
      </c>
      <c r="D2160" s="278">
        <v>44915.0</v>
      </c>
      <c r="E2160" s="271" t="s">
        <v>331</v>
      </c>
      <c r="F2160" s="138" t="s">
        <v>4</v>
      </c>
      <c r="G2160" s="101" t="s">
        <v>5</v>
      </c>
      <c r="H2160" s="273" t="s">
        <v>86</v>
      </c>
      <c r="I2160" s="274">
        <v>100.0</v>
      </c>
      <c r="J2160" s="271">
        <v>1875.0</v>
      </c>
      <c r="K2160" s="271">
        <f t="shared" si="1"/>
        <v>187500</v>
      </c>
      <c r="L2160" s="271">
        <v>21342.0</v>
      </c>
      <c r="M2160" s="271">
        <v>-1500.0</v>
      </c>
      <c r="N2160" s="275">
        <v>7324.0</v>
      </c>
      <c r="O2160" s="60"/>
      <c r="P2160" s="109">
        <v>7324.0</v>
      </c>
      <c r="Q2160" s="271">
        <v>-3459.0</v>
      </c>
      <c r="R2160" s="276">
        <v>1.9E-4</v>
      </c>
      <c r="S2160" s="271">
        <v>-3423.0</v>
      </c>
      <c r="T2160" s="271">
        <v>3901.0</v>
      </c>
      <c r="U2160" s="62">
        <v>1.0</v>
      </c>
      <c r="V2160" s="277">
        <v>0.15</v>
      </c>
      <c r="W2160" s="277">
        <v>0.05</v>
      </c>
      <c r="X2160" s="271">
        <v>3120.0</v>
      </c>
      <c r="Y2160" s="271">
        <v>780.0</v>
      </c>
      <c r="Z2160" s="50" t="b">
        <v>1</v>
      </c>
      <c r="AA2160" s="50" t="s">
        <v>138</v>
      </c>
      <c r="AB2160" s="50" t="s">
        <v>138</v>
      </c>
    </row>
    <row r="2161">
      <c r="A2161" s="101" t="s">
        <v>182</v>
      </c>
      <c r="B2161" s="101" t="s">
        <v>182</v>
      </c>
      <c r="C2161" s="278">
        <v>44886.0</v>
      </c>
      <c r="D2161" s="278">
        <v>44915.0</v>
      </c>
      <c r="E2161" s="280" t="s">
        <v>268</v>
      </c>
      <c r="F2161" s="101" t="s">
        <v>4</v>
      </c>
      <c r="G2161" s="271" t="s">
        <v>5</v>
      </c>
      <c r="H2161" s="273" t="s">
        <v>35</v>
      </c>
      <c r="I2161" s="281">
        <v>5.0</v>
      </c>
      <c r="J2161" s="280">
        <v>1.0</v>
      </c>
      <c r="K2161" s="271">
        <f t="shared" si="1"/>
        <v>5</v>
      </c>
      <c r="L2161" s="280">
        <v>-197.0</v>
      </c>
      <c r="M2161" s="280">
        <v>-5.0</v>
      </c>
      <c r="N2161" s="275"/>
      <c r="O2161" s="60"/>
      <c r="P2161" s="101"/>
      <c r="Q2161" s="280">
        <v>-2.0</v>
      </c>
      <c r="R2161" s="276">
        <v>1.9E-4</v>
      </c>
      <c r="S2161" s="280">
        <v>-2.0</v>
      </c>
      <c r="T2161" s="280">
        <v>-2.0</v>
      </c>
      <c r="U2161" s="62">
        <v>1.0</v>
      </c>
      <c r="V2161" s="277">
        <v>0.2</v>
      </c>
      <c r="W2161" s="277">
        <v>0.0</v>
      </c>
      <c r="X2161" s="280">
        <v>-2.0</v>
      </c>
      <c r="Y2161" s="280">
        <v>0.0</v>
      </c>
      <c r="Z2161" s="50" t="b">
        <v>1</v>
      </c>
      <c r="AA2161" s="50" t="s">
        <v>138</v>
      </c>
      <c r="AB2161" s="50" t="s">
        <v>138</v>
      </c>
    </row>
    <row r="2162">
      <c r="A2162" s="101" t="s">
        <v>182</v>
      </c>
      <c r="B2162" s="101" t="s">
        <v>182</v>
      </c>
      <c r="C2162" s="278">
        <v>44886.0</v>
      </c>
      <c r="D2162" s="278">
        <v>44915.0</v>
      </c>
      <c r="E2162" s="280" t="s">
        <v>268</v>
      </c>
      <c r="F2162" s="101" t="s">
        <v>4</v>
      </c>
      <c r="G2162" s="271" t="s">
        <v>5</v>
      </c>
      <c r="H2162" s="273" t="s">
        <v>45</v>
      </c>
      <c r="I2162" s="281">
        <v>10.0</v>
      </c>
      <c r="J2162" s="280">
        <v>4289.0</v>
      </c>
      <c r="K2162" s="271">
        <f t="shared" si="1"/>
        <v>42890</v>
      </c>
      <c r="L2162" s="280">
        <v>56194.0</v>
      </c>
      <c r="M2162" s="280">
        <v>-2100.0</v>
      </c>
      <c r="N2162" s="275">
        <v>1935.0</v>
      </c>
      <c r="O2162" s="60"/>
      <c r="P2162" s="109">
        <v>1935.0</v>
      </c>
      <c r="Q2162" s="280">
        <v>-2211.0</v>
      </c>
      <c r="R2162" s="276">
        <v>1.9E-4</v>
      </c>
      <c r="S2162" s="280">
        <v>-2203.0</v>
      </c>
      <c r="T2162" s="280">
        <v>-268.0</v>
      </c>
      <c r="U2162" s="62">
        <v>1.0</v>
      </c>
      <c r="V2162" s="277">
        <v>0.2</v>
      </c>
      <c r="W2162" s="277">
        <v>0.0</v>
      </c>
      <c r="X2162" s="280">
        <v>-214.0</v>
      </c>
      <c r="Y2162" s="280">
        <v>-54.0</v>
      </c>
      <c r="Z2162" s="50" t="b">
        <v>1</v>
      </c>
      <c r="AA2162" s="50" t="s">
        <v>138</v>
      </c>
      <c r="AB2162" s="50" t="s">
        <v>138</v>
      </c>
    </row>
    <row r="2163">
      <c r="A2163" s="101" t="s">
        <v>149</v>
      </c>
      <c r="B2163" s="101" t="s">
        <v>149</v>
      </c>
      <c r="C2163" s="278">
        <v>44886.0</v>
      </c>
      <c r="D2163" s="278">
        <v>44915.0</v>
      </c>
      <c r="E2163" s="271" t="s">
        <v>268</v>
      </c>
      <c r="F2163" s="138" t="s">
        <v>4</v>
      </c>
      <c r="G2163" s="101" t="s">
        <v>5</v>
      </c>
      <c r="H2163" s="273" t="s">
        <v>74</v>
      </c>
      <c r="I2163" s="274">
        <v>50.0</v>
      </c>
      <c r="J2163" s="271">
        <v>673.0</v>
      </c>
      <c r="K2163" s="271">
        <f t="shared" si="1"/>
        <v>33650</v>
      </c>
      <c r="L2163" s="271">
        <v>33320.0</v>
      </c>
      <c r="M2163" s="271">
        <v>3950.0</v>
      </c>
      <c r="N2163" s="275">
        <v>4459.0</v>
      </c>
      <c r="O2163" s="60"/>
      <c r="P2163" s="109">
        <v>4459.0</v>
      </c>
      <c r="Q2163" s="271">
        <v>936.0</v>
      </c>
      <c r="R2163" s="276">
        <v>1.9E-4</v>
      </c>
      <c r="S2163" s="271">
        <v>942.0</v>
      </c>
      <c r="T2163" s="271">
        <v>5401.0</v>
      </c>
      <c r="U2163" s="62">
        <v>1.0</v>
      </c>
      <c r="V2163" s="291"/>
      <c r="W2163" s="277">
        <v>0.0</v>
      </c>
      <c r="X2163" s="271">
        <v>5401.0</v>
      </c>
      <c r="Y2163" s="271">
        <v>0.0</v>
      </c>
      <c r="Z2163" s="50" t="b">
        <v>0</v>
      </c>
      <c r="AA2163" s="50" t="s">
        <v>138</v>
      </c>
      <c r="AB2163" s="50" t="s">
        <v>138</v>
      </c>
    </row>
    <row r="2164">
      <c r="A2164" s="101" t="s">
        <v>149</v>
      </c>
      <c r="B2164" s="101" t="s">
        <v>149</v>
      </c>
      <c r="C2164" s="278">
        <v>44886.0</v>
      </c>
      <c r="D2164" s="278">
        <v>44915.0</v>
      </c>
      <c r="E2164" s="271" t="s">
        <v>268</v>
      </c>
      <c r="F2164" s="138" t="s">
        <v>12</v>
      </c>
      <c r="G2164" s="101" t="s">
        <v>5</v>
      </c>
      <c r="H2164" s="273" t="s">
        <v>62</v>
      </c>
      <c r="I2164" s="274">
        <v>25.0</v>
      </c>
      <c r="J2164" s="271">
        <v>199.0</v>
      </c>
      <c r="K2164" s="271">
        <f t="shared" si="1"/>
        <v>4975</v>
      </c>
      <c r="L2164" s="271">
        <v>-2876.0</v>
      </c>
      <c r="M2164" s="271">
        <v>125.0</v>
      </c>
      <c r="N2164" s="275">
        <v>659.0</v>
      </c>
      <c r="O2164" s="60"/>
      <c r="P2164" s="50">
        <v>659.0</v>
      </c>
      <c r="Q2164" s="271">
        <v>-452.0</v>
      </c>
      <c r="R2164" s="276">
        <v>0.0</v>
      </c>
      <c r="S2164" s="271">
        <v>-452.0</v>
      </c>
      <c r="T2164" s="271">
        <v>784.0</v>
      </c>
      <c r="U2164" s="62">
        <v>1.0</v>
      </c>
      <c r="V2164" s="291"/>
      <c r="W2164" s="277">
        <v>0.0</v>
      </c>
      <c r="X2164" s="271">
        <v>784.0</v>
      </c>
      <c r="Y2164" s="271">
        <v>0.0</v>
      </c>
      <c r="Z2164" s="50" t="b">
        <v>0</v>
      </c>
      <c r="AA2164" s="50" t="s">
        <v>138</v>
      </c>
      <c r="AB2164" s="50" t="s">
        <v>138</v>
      </c>
    </row>
    <row r="2165">
      <c r="A2165" s="101" t="s">
        <v>149</v>
      </c>
      <c r="B2165" s="101" t="s">
        <v>149</v>
      </c>
      <c r="C2165" s="278">
        <v>44886.0</v>
      </c>
      <c r="D2165" s="278">
        <v>44915.0</v>
      </c>
      <c r="E2165" s="271" t="s">
        <v>268</v>
      </c>
      <c r="F2165" s="138" t="s">
        <v>12</v>
      </c>
      <c r="G2165" s="101" t="s">
        <v>5</v>
      </c>
      <c r="H2165" s="273" t="s">
        <v>45</v>
      </c>
      <c r="I2165" s="274">
        <v>10.0</v>
      </c>
      <c r="J2165" s="271">
        <v>82.0</v>
      </c>
      <c r="K2165" s="271">
        <f t="shared" si="1"/>
        <v>820</v>
      </c>
      <c r="L2165" s="271">
        <v>6276.0</v>
      </c>
      <c r="M2165" s="271">
        <v>80.0</v>
      </c>
      <c r="N2165" s="275">
        <v>127.0</v>
      </c>
      <c r="O2165" s="60"/>
      <c r="P2165" s="50">
        <v>127.0</v>
      </c>
      <c r="Q2165" s="271">
        <v>54.0</v>
      </c>
      <c r="R2165" s="276">
        <v>0.0</v>
      </c>
      <c r="S2165" s="271">
        <v>54.0</v>
      </c>
      <c r="T2165" s="271">
        <v>207.0</v>
      </c>
      <c r="U2165" s="62">
        <v>1.0</v>
      </c>
      <c r="V2165" s="291"/>
      <c r="W2165" s="277">
        <v>0.0</v>
      </c>
      <c r="X2165" s="271">
        <v>207.0</v>
      </c>
      <c r="Y2165" s="271">
        <v>0.0</v>
      </c>
      <c r="Z2165" s="50" t="b">
        <v>0</v>
      </c>
      <c r="AA2165" s="50" t="s">
        <v>138</v>
      </c>
      <c r="AB2165" s="50" t="s">
        <v>138</v>
      </c>
    </row>
    <row r="2166">
      <c r="A2166" s="101" t="s">
        <v>177</v>
      </c>
      <c r="B2166" s="101" t="s">
        <v>177</v>
      </c>
      <c r="C2166" s="278">
        <v>44896.0</v>
      </c>
      <c r="D2166" s="278">
        <v>44915.0</v>
      </c>
      <c r="E2166" s="271" t="s">
        <v>331</v>
      </c>
      <c r="F2166" s="138" t="s">
        <v>8</v>
      </c>
      <c r="G2166" s="280" t="s">
        <v>5</v>
      </c>
      <c r="H2166" s="273" t="s">
        <v>85</v>
      </c>
      <c r="I2166" s="274">
        <v>100.0</v>
      </c>
      <c r="J2166" s="271">
        <v>4.0</v>
      </c>
      <c r="K2166" s="271">
        <f t="shared" si="1"/>
        <v>400</v>
      </c>
      <c r="L2166" s="271">
        <v>898.0</v>
      </c>
      <c r="M2166" s="271">
        <v>300.0</v>
      </c>
      <c r="N2166" s="275">
        <v>11.95</v>
      </c>
      <c r="O2166" s="60"/>
      <c r="P2166" s="50">
        <v>12.0</v>
      </c>
      <c r="Q2166" s="271">
        <v>146.0</v>
      </c>
      <c r="R2166" s="276">
        <v>-0.00178</v>
      </c>
      <c r="S2166" s="271">
        <v>145.0</v>
      </c>
      <c r="T2166" s="271">
        <v>157.0</v>
      </c>
      <c r="U2166" s="62">
        <v>1.0</v>
      </c>
      <c r="V2166" s="277">
        <v>0.175</v>
      </c>
      <c r="W2166" s="277">
        <v>0.075</v>
      </c>
      <c r="X2166" s="271">
        <v>118.0</v>
      </c>
      <c r="Y2166" s="271">
        <v>39.0</v>
      </c>
      <c r="Z2166" s="50" t="b">
        <v>0</v>
      </c>
      <c r="AA2166" s="50" t="s">
        <v>138</v>
      </c>
      <c r="AB2166" s="50" t="s">
        <v>138</v>
      </c>
    </row>
    <row r="2167">
      <c r="A2167" s="101" t="s">
        <v>177</v>
      </c>
      <c r="B2167" s="101" t="s">
        <v>177</v>
      </c>
      <c r="C2167" s="278">
        <v>44896.0</v>
      </c>
      <c r="D2167" s="278">
        <v>44915.0</v>
      </c>
      <c r="E2167" s="271" t="s">
        <v>331</v>
      </c>
      <c r="F2167" s="138" t="s">
        <v>8</v>
      </c>
      <c r="G2167" s="280" t="s">
        <v>5</v>
      </c>
      <c r="H2167" s="273" t="s">
        <v>86</v>
      </c>
      <c r="I2167" s="274">
        <v>100.0</v>
      </c>
      <c r="J2167" s="271">
        <v>2336.0</v>
      </c>
      <c r="K2167" s="271">
        <f t="shared" si="1"/>
        <v>233600</v>
      </c>
      <c r="L2167" s="271">
        <v>24492.0</v>
      </c>
      <c r="M2167" s="271">
        <v>-1200.0</v>
      </c>
      <c r="N2167" s="275">
        <v>6979.44</v>
      </c>
      <c r="O2167" s="60"/>
      <c r="P2167" s="109">
        <v>6979.0</v>
      </c>
      <c r="Q2167" s="271">
        <v>-4995.0</v>
      </c>
      <c r="R2167" s="276">
        <v>-8.54E-4</v>
      </c>
      <c r="S2167" s="271">
        <v>-5195.0</v>
      </c>
      <c r="T2167" s="271">
        <v>1785.0</v>
      </c>
      <c r="U2167" s="62">
        <v>1.0</v>
      </c>
      <c r="V2167" s="277">
        <v>0.175</v>
      </c>
      <c r="W2167" s="277">
        <v>0.075</v>
      </c>
      <c r="X2167" s="271">
        <v>1339.0</v>
      </c>
      <c r="Y2167" s="271">
        <v>446.0</v>
      </c>
      <c r="Z2167" s="50" t="b">
        <v>0</v>
      </c>
      <c r="AA2167" s="50" t="s">
        <v>138</v>
      </c>
      <c r="AB2167" s="50" t="s">
        <v>138</v>
      </c>
    </row>
    <row r="2168">
      <c r="A2168" s="101" t="s">
        <v>177</v>
      </c>
      <c r="B2168" s="101" t="s">
        <v>177</v>
      </c>
      <c r="C2168" s="278">
        <v>44896.0</v>
      </c>
      <c r="D2168" s="278">
        <v>44915.0</v>
      </c>
      <c r="E2168" s="271" t="s">
        <v>331</v>
      </c>
      <c r="F2168" s="138" t="s">
        <v>8</v>
      </c>
      <c r="G2168" s="280" t="s">
        <v>5</v>
      </c>
      <c r="H2168" s="273" t="s">
        <v>96</v>
      </c>
      <c r="I2168" s="274">
        <v>250.0</v>
      </c>
      <c r="J2168" s="271">
        <v>794.0</v>
      </c>
      <c r="K2168" s="271">
        <f t="shared" si="1"/>
        <v>198500</v>
      </c>
      <c r="L2168" s="271">
        <v>10366.0</v>
      </c>
      <c r="M2168" s="271">
        <v>-8750.0</v>
      </c>
      <c r="N2168" s="275">
        <v>5930.73</v>
      </c>
      <c r="O2168" s="60"/>
      <c r="P2168" s="109">
        <v>5931.0</v>
      </c>
      <c r="Q2168" s="271">
        <v>-5400.0</v>
      </c>
      <c r="R2168" s="276">
        <v>-8.52E-4</v>
      </c>
      <c r="S2168" s="271">
        <v>-5569.0</v>
      </c>
      <c r="T2168" s="271">
        <v>362.0</v>
      </c>
      <c r="U2168" s="62">
        <v>1.0</v>
      </c>
      <c r="V2168" s="277">
        <v>0.175</v>
      </c>
      <c r="W2168" s="277">
        <v>0.075</v>
      </c>
      <c r="X2168" s="271">
        <v>271.0</v>
      </c>
      <c r="Y2168" s="271">
        <v>90.0</v>
      </c>
      <c r="Z2168" s="50" t="b">
        <v>0</v>
      </c>
      <c r="AA2168" s="50" t="s">
        <v>138</v>
      </c>
      <c r="AB2168" s="50" t="s">
        <v>138</v>
      </c>
    </row>
    <row r="2169">
      <c r="A2169" s="101" t="s">
        <v>177</v>
      </c>
      <c r="B2169" s="101" t="s">
        <v>177</v>
      </c>
      <c r="C2169" s="278">
        <v>44896.0</v>
      </c>
      <c r="D2169" s="278">
        <v>44915.0</v>
      </c>
      <c r="E2169" s="271" t="s">
        <v>331</v>
      </c>
      <c r="F2169" s="138" t="s">
        <v>8</v>
      </c>
      <c r="G2169" s="280" t="s">
        <v>5</v>
      </c>
      <c r="H2169" s="273" t="s">
        <v>97</v>
      </c>
      <c r="I2169" s="274">
        <v>250.0</v>
      </c>
      <c r="J2169" s="271">
        <v>1506.0</v>
      </c>
      <c r="K2169" s="271">
        <f t="shared" si="1"/>
        <v>376500</v>
      </c>
      <c r="L2169" s="271">
        <v>5426.0</v>
      </c>
      <c r="M2169" s="271">
        <v>-7500.0</v>
      </c>
      <c r="N2169" s="275">
        <f>11248.97+200</f>
        <v>11448.97</v>
      </c>
      <c r="O2169" s="60"/>
      <c r="P2169" s="109">
        <v>11449.0</v>
      </c>
      <c r="Q2169" s="271">
        <v>-15230.0</v>
      </c>
      <c r="R2169" s="276">
        <v>-8.52E-4</v>
      </c>
      <c r="S2169" s="271">
        <v>-15551.0</v>
      </c>
      <c r="T2169" s="271">
        <v>-4102.0</v>
      </c>
      <c r="U2169" s="62">
        <v>1.0</v>
      </c>
      <c r="V2169" s="277">
        <v>0.175</v>
      </c>
      <c r="W2169" s="277">
        <v>0.075</v>
      </c>
      <c r="X2169" s="271">
        <v>-3076.0</v>
      </c>
      <c r="Y2169" s="271">
        <v>-1025.0</v>
      </c>
      <c r="Z2169" s="50" t="b">
        <v>0</v>
      </c>
      <c r="AA2169" s="50" t="s">
        <v>138</v>
      </c>
      <c r="AB2169" s="50" t="s">
        <v>138</v>
      </c>
    </row>
    <row r="2170">
      <c r="A2170" s="101" t="s">
        <v>177</v>
      </c>
      <c r="B2170" s="101" t="s">
        <v>177</v>
      </c>
      <c r="C2170" s="278">
        <v>44896.0</v>
      </c>
      <c r="D2170" s="278">
        <v>44915.0</v>
      </c>
      <c r="E2170" s="271" t="s">
        <v>331</v>
      </c>
      <c r="F2170" s="138" t="s">
        <v>8</v>
      </c>
      <c r="G2170" s="280" t="s">
        <v>5</v>
      </c>
      <c r="H2170" s="273" t="s">
        <v>101</v>
      </c>
      <c r="I2170" s="274">
        <v>500.0</v>
      </c>
      <c r="J2170" s="271">
        <v>301.0</v>
      </c>
      <c r="K2170" s="271">
        <f t="shared" si="1"/>
        <v>150500</v>
      </c>
      <c r="L2170" s="271">
        <v>-13783.0</v>
      </c>
      <c r="M2170" s="271">
        <v>-35500.0</v>
      </c>
      <c r="N2170" s="275">
        <v>4496.6</v>
      </c>
      <c r="O2170" s="60"/>
      <c r="P2170" s="109">
        <v>4497.0</v>
      </c>
      <c r="Q2170" s="271">
        <v>-20627.0</v>
      </c>
      <c r="R2170" s="276">
        <v>-8.49E-4</v>
      </c>
      <c r="S2170" s="271">
        <v>-20754.0</v>
      </c>
      <c r="T2170" s="271">
        <v>-16258.0</v>
      </c>
      <c r="U2170" s="62">
        <v>1.0</v>
      </c>
      <c r="V2170" s="277">
        <v>0.175</v>
      </c>
      <c r="W2170" s="277">
        <v>0.075</v>
      </c>
      <c r="X2170" s="271">
        <v>-12193.0</v>
      </c>
      <c r="Y2170" s="271">
        <v>-4064.0</v>
      </c>
      <c r="Z2170" s="50" t="b">
        <v>0</v>
      </c>
      <c r="AA2170" s="50" t="s">
        <v>138</v>
      </c>
      <c r="AB2170" s="50" t="s">
        <v>138</v>
      </c>
    </row>
    <row r="2171">
      <c r="A2171" s="101" t="s">
        <v>177</v>
      </c>
      <c r="B2171" s="101" t="s">
        <v>177</v>
      </c>
      <c r="C2171" s="278">
        <v>44896.0</v>
      </c>
      <c r="D2171" s="278">
        <v>44915.0</v>
      </c>
      <c r="E2171" s="271" t="s">
        <v>331</v>
      </c>
      <c r="F2171" s="138" t="s">
        <v>8</v>
      </c>
      <c r="G2171" s="280" t="s">
        <v>5</v>
      </c>
      <c r="H2171" s="273" t="s">
        <v>102</v>
      </c>
      <c r="I2171" s="274">
        <v>500.0</v>
      </c>
      <c r="J2171" s="271">
        <v>126.0</v>
      </c>
      <c r="K2171" s="271">
        <f t="shared" si="1"/>
        <v>63000</v>
      </c>
      <c r="L2171" s="271">
        <v>-974.0</v>
      </c>
      <c r="M2171" s="271">
        <v>-5000.0</v>
      </c>
      <c r="N2171" s="275">
        <v>1882.3</v>
      </c>
      <c r="O2171" s="60"/>
      <c r="P2171" s="109">
        <v>1882.0</v>
      </c>
      <c r="Q2171" s="271">
        <v>-4735.0</v>
      </c>
      <c r="R2171" s="276">
        <v>-8.59E-4</v>
      </c>
      <c r="S2171" s="271">
        <v>-4790.0</v>
      </c>
      <c r="T2171" s="271">
        <v>-2907.0</v>
      </c>
      <c r="U2171" s="62">
        <v>1.0</v>
      </c>
      <c r="V2171" s="277">
        <v>0.175</v>
      </c>
      <c r="W2171" s="277">
        <v>0.075</v>
      </c>
      <c r="X2171" s="271">
        <v>-2180.0</v>
      </c>
      <c r="Y2171" s="271">
        <v>-727.0</v>
      </c>
      <c r="Z2171" s="50" t="b">
        <v>0</v>
      </c>
      <c r="AA2171" s="50" t="s">
        <v>138</v>
      </c>
      <c r="AB2171" s="50" t="s">
        <v>138</v>
      </c>
    </row>
    <row r="2172">
      <c r="A2172" s="280" t="s">
        <v>183</v>
      </c>
      <c r="B2172" s="280" t="s">
        <v>183</v>
      </c>
      <c r="C2172" s="278">
        <v>44896.0</v>
      </c>
      <c r="D2172" s="278">
        <v>44915.0</v>
      </c>
      <c r="E2172" s="280" t="s">
        <v>268</v>
      </c>
      <c r="F2172" s="138" t="s">
        <v>8</v>
      </c>
      <c r="G2172" s="271" t="s">
        <v>5</v>
      </c>
      <c r="H2172" s="273" t="s">
        <v>62</v>
      </c>
      <c r="I2172" s="274">
        <v>25.0</v>
      </c>
      <c r="J2172" s="271">
        <v>1812.0</v>
      </c>
      <c r="K2172" s="271">
        <f t="shared" si="1"/>
        <v>45300</v>
      </c>
      <c r="L2172" s="271">
        <v>27040.0</v>
      </c>
      <c r="M2172" s="271">
        <v>-2050.0</v>
      </c>
      <c r="N2172" s="275">
        <v>550.0</v>
      </c>
      <c r="O2172" s="60"/>
      <c r="P2172" s="50">
        <v>550.0</v>
      </c>
      <c r="Q2172" s="271">
        <v>-1646.0</v>
      </c>
      <c r="R2172" s="276">
        <v>-8.46E-4</v>
      </c>
      <c r="S2172" s="271">
        <v>-1684.0</v>
      </c>
      <c r="T2172" s="271">
        <v>-1134.0</v>
      </c>
      <c r="U2172" s="62">
        <v>1.0</v>
      </c>
      <c r="V2172" s="277">
        <v>0.23</v>
      </c>
      <c r="W2172" s="277">
        <v>0.0</v>
      </c>
      <c r="X2172" s="271">
        <v>-873.0</v>
      </c>
      <c r="Y2172" s="271">
        <v>-261.0</v>
      </c>
      <c r="Z2172" s="50" t="b">
        <v>1</v>
      </c>
      <c r="AA2172" s="50" t="s">
        <v>138</v>
      </c>
      <c r="AB2172" s="50" t="s">
        <v>138</v>
      </c>
    </row>
    <row r="2173">
      <c r="A2173" s="101" t="s">
        <v>184</v>
      </c>
      <c r="B2173" s="101" t="s">
        <v>184</v>
      </c>
      <c r="C2173" s="278">
        <v>44886.0</v>
      </c>
      <c r="D2173" s="278">
        <v>44915.0</v>
      </c>
      <c r="E2173" s="271" t="s">
        <v>268</v>
      </c>
      <c r="F2173" s="138" t="s">
        <v>4</v>
      </c>
      <c r="G2173" s="101" t="s">
        <v>5</v>
      </c>
      <c r="H2173" s="273" t="s">
        <v>35</v>
      </c>
      <c r="I2173" s="274">
        <v>5.0</v>
      </c>
      <c r="J2173" s="271">
        <v>727.0</v>
      </c>
      <c r="K2173" s="271">
        <f t="shared" si="1"/>
        <v>3635</v>
      </c>
      <c r="L2173" s="271">
        <v>49735.0</v>
      </c>
      <c r="M2173" s="271">
        <v>125.0</v>
      </c>
      <c r="N2173" s="275">
        <v>193.0</v>
      </c>
      <c r="O2173" s="60"/>
      <c r="P2173" s="50">
        <v>193.0</v>
      </c>
      <c r="Q2173" s="271">
        <v>124.0</v>
      </c>
      <c r="R2173" s="276">
        <v>1.9E-4</v>
      </c>
      <c r="S2173" s="271">
        <v>125.0</v>
      </c>
      <c r="T2173" s="271">
        <v>318.0</v>
      </c>
      <c r="U2173" s="62">
        <v>1.0</v>
      </c>
      <c r="V2173" s="277">
        <v>0.17</v>
      </c>
      <c r="W2173" s="277">
        <v>0.0</v>
      </c>
      <c r="X2173" s="271">
        <v>264.0</v>
      </c>
      <c r="Y2173" s="271">
        <v>54.0</v>
      </c>
      <c r="Z2173" s="50" t="b">
        <v>1</v>
      </c>
      <c r="AA2173" s="50" t="s">
        <v>138</v>
      </c>
      <c r="AB2173" s="50" t="s">
        <v>138</v>
      </c>
    </row>
    <row r="2174">
      <c r="A2174" s="101" t="s">
        <v>184</v>
      </c>
      <c r="B2174" s="101" t="s">
        <v>184</v>
      </c>
      <c r="C2174" s="278">
        <v>44886.0</v>
      </c>
      <c r="D2174" s="278">
        <v>44915.0</v>
      </c>
      <c r="E2174" s="271" t="s">
        <v>268</v>
      </c>
      <c r="F2174" s="138" t="s">
        <v>4</v>
      </c>
      <c r="G2174" s="101" t="s">
        <v>5</v>
      </c>
      <c r="H2174" s="273" t="s">
        <v>45</v>
      </c>
      <c r="I2174" s="274">
        <v>10.0</v>
      </c>
      <c r="J2174" s="271">
        <v>454.0</v>
      </c>
      <c r="K2174" s="271">
        <f t="shared" si="1"/>
        <v>4540</v>
      </c>
      <c r="L2174" s="271">
        <v>31193.0</v>
      </c>
      <c r="M2174" s="271">
        <v>30.0</v>
      </c>
      <c r="N2174" s="275">
        <v>210.0</v>
      </c>
      <c r="O2174" s="60"/>
      <c r="P2174" s="50">
        <v>210.0</v>
      </c>
      <c r="Q2174" s="271">
        <v>230.0</v>
      </c>
      <c r="R2174" s="276">
        <v>1.9E-4</v>
      </c>
      <c r="S2174" s="271">
        <v>230.0</v>
      </c>
      <c r="T2174" s="271">
        <v>440.0</v>
      </c>
      <c r="U2174" s="62">
        <v>1.0</v>
      </c>
      <c r="V2174" s="277">
        <v>0.17</v>
      </c>
      <c r="W2174" s="277">
        <v>0.0</v>
      </c>
      <c r="X2174" s="271">
        <v>366.0</v>
      </c>
      <c r="Y2174" s="271">
        <v>75.0</v>
      </c>
      <c r="Z2174" s="50" t="b">
        <v>1</v>
      </c>
      <c r="AA2174" s="50" t="s">
        <v>138</v>
      </c>
      <c r="AB2174" s="50" t="s">
        <v>138</v>
      </c>
    </row>
    <row r="2175">
      <c r="A2175" s="101" t="s">
        <v>184</v>
      </c>
      <c r="B2175" s="101" t="s">
        <v>184</v>
      </c>
      <c r="C2175" s="278">
        <v>44886.0</v>
      </c>
      <c r="D2175" s="278">
        <v>44915.0</v>
      </c>
      <c r="E2175" s="271" t="s">
        <v>268</v>
      </c>
      <c r="F2175" s="101" t="s">
        <v>12</v>
      </c>
      <c r="G2175" s="101" t="s">
        <v>5</v>
      </c>
      <c r="H2175" s="273" t="s">
        <v>28</v>
      </c>
      <c r="I2175" s="274">
        <v>2.0</v>
      </c>
      <c r="J2175" s="271">
        <v>91.0</v>
      </c>
      <c r="K2175" s="271">
        <f t="shared" si="1"/>
        <v>182</v>
      </c>
      <c r="L2175" s="271"/>
      <c r="M2175" s="271">
        <v>30.0</v>
      </c>
      <c r="N2175" s="275">
        <v>10.0</v>
      </c>
      <c r="O2175" s="60"/>
      <c r="P2175" s="50">
        <v>10.0</v>
      </c>
      <c r="Q2175" s="271"/>
      <c r="R2175" s="276">
        <v>0.0</v>
      </c>
      <c r="S2175" s="271"/>
      <c r="T2175" s="271">
        <v>40.0</v>
      </c>
      <c r="U2175" s="62">
        <v>1.0</v>
      </c>
      <c r="V2175" s="277">
        <v>0.17</v>
      </c>
      <c r="W2175" s="277">
        <v>0.0</v>
      </c>
      <c r="X2175" s="271">
        <v>33.0</v>
      </c>
      <c r="Y2175" s="271">
        <v>7.0</v>
      </c>
      <c r="Z2175" s="50" t="b">
        <v>1</v>
      </c>
      <c r="AA2175" s="50" t="s">
        <v>138</v>
      </c>
      <c r="AB2175" s="50" t="s">
        <v>138</v>
      </c>
    </row>
    <row r="2176">
      <c r="A2176" s="101" t="s">
        <v>170</v>
      </c>
      <c r="B2176" s="101" t="s">
        <v>170</v>
      </c>
      <c r="C2176" s="278">
        <v>44886.0</v>
      </c>
      <c r="D2176" s="278">
        <v>44915.0</v>
      </c>
      <c r="E2176" s="271" t="s">
        <v>268</v>
      </c>
      <c r="F2176" s="101" t="s">
        <v>4</v>
      </c>
      <c r="G2176" s="271" t="s">
        <v>5</v>
      </c>
      <c r="H2176" s="273" t="s">
        <v>35</v>
      </c>
      <c r="I2176" s="274">
        <v>5.0</v>
      </c>
      <c r="J2176" s="271">
        <v>210.0</v>
      </c>
      <c r="K2176" s="271">
        <f t="shared" si="1"/>
        <v>1050</v>
      </c>
      <c r="L2176" s="271">
        <v>19795.0</v>
      </c>
      <c r="M2176" s="271">
        <v>55.0</v>
      </c>
      <c r="N2176" s="275">
        <v>114.0</v>
      </c>
      <c r="O2176" s="60"/>
      <c r="P2176" s="50">
        <v>114.0</v>
      </c>
      <c r="Q2176" s="271">
        <v>86.0</v>
      </c>
      <c r="R2176" s="276">
        <v>1.9E-4</v>
      </c>
      <c r="S2176" s="271">
        <v>87.0</v>
      </c>
      <c r="T2176" s="271">
        <v>201.0</v>
      </c>
      <c r="U2176" s="62">
        <v>1.0</v>
      </c>
      <c r="V2176" s="277">
        <v>0.3</v>
      </c>
      <c r="W2176" s="277">
        <v>0.0</v>
      </c>
      <c r="X2176" s="271">
        <v>140.0</v>
      </c>
      <c r="Y2176" s="271">
        <v>60.0</v>
      </c>
      <c r="Z2176" s="50" t="b">
        <v>1</v>
      </c>
      <c r="AA2176" s="50" t="s">
        <v>138</v>
      </c>
      <c r="AB2176" s="50" t="s">
        <v>138</v>
      </c>
    </row>
    <row r="2177">
      <c r="A2177" s="101" t="s">
        <v>170</v>
      </c>
      <c r="B2177" s="101" t="s">
        <v>170</v>
      </c>
      <c r="C2177" s="278">
        <v>44886.0</v>
      </c>
      <c r="D2177" s="278">
        <v>44915.0</v>
      </c>
      <c r="E2177" s="271" t="s">
        <v>268</v>
      </c>
      <c r="F2177" s="101" t="s">
        <v>4</v>
      </c>
      <c r="G2177" s="271" t="s">
        <v>5</v>
      </c>
      <c r="H2177" s="273" t="s">
        <v>45</v>
      </c>
      <c r="I2177" s="274">
        <v>10.0</v>
      </c>
      <c r="J2177" s="271">
        <v>439.0</v>
      </c>
      <c r="K2177" s="271">
        <f t="shared" si="1"/>
        <v>4390</v>
      </c>
      <c r="L2177" s="271">
        <v>10098.0</v>
      </c>
      <c r="M2177" s="271">
        <v>-290.0</v>
      </c>
      <c r="N2177" s="275">
        <v>31.0</v>
      </c>
      <c r="O2177" s="60"/>
      <c r="P2177" s="50">
        <v>31.0</v>
      </c>
      <c r="Q2177" s="271">
        <v>-140.0</v>
      </c>
      <c r="R2177" s="276">
        <v>1.9E-4</v>
      </c>
      <c r="S2177" s="271">
        <v>-139.0</v>
      </c>
      <c r="T2177" s="271">
        <v>-108.0</v>
      </c>
      <c r="U2177" s="62">
        <v>1.0</v>
      </c>
      <c r="V2177" s="277">
        <v>0.3</v>
      </c>
      <c r="W2177" s="277">
        <v>0.0</v>
      </c>
      <c r="X2177" s="271">
        <v>-75.0</v>
      </c>
      <c r="Y2177" s="271">
        <v>-32.0</v>
      </c>
      <c r="Z2177" s="50" t="b">
        <v>1</v>
      </c>
      <c r="AA2177" s="50" t="s">
        <v>138</v>
      </c>
      <c r="AB2177" s="50" t="s">
        <v>138</v>
      </c>
    </row>
    <row r="2178">
      <c r="A2178" s="101" t="s">
        <v>170</v>
      </c>
      <c r="B2178" s="101" t="s">
        <v>170</v>
      </c>
      <c r="C2178" s="278">
        <v>44886.0</v>
      </c>
      <c r="D2178" s="278">
        <v>44915.0</v>
      </c>
      <c r="E2178" s="271" t="s">
        <v>268</v>
      </c>
      <c r="F2178" s="101" t="s">
        <v>12</v>
      </c>
      <c r="G2178" s="271" t="s">
        <v>5</v>
      </c>
      <c r="H2178" s="273" t="s">
        <v>28</v>
      </c>
      <c r="I2178" s="274">
        <v>2.0</v>
      </c>
      <c r="J2178" s="271">
        <v>26.0</v>
      </c>
      <c r="K2178" s="271">
        <f t="shared" si="1"/>
        <v>52</v>
      </c>
      <c r="L2178" s="271"/>
      <c r="M2178" s="271">
        <v>6.0</v>
      </c>
      <c r="N2178" s="275">
        <v>2.0</v>
      </c>
      <c r="O2178" s="60"/>
      <c r="P2178" s="50">
        <v>2.0</v>
      </c>
      <c r="Q2178" s="271"/>
      <c r="R2178" s="276">
        <v>0.0</v>
      </c>
      <c r="S2178" s="271"/>
      <c r="T2178" s="271">
        <v>8.0</v>
      </c>
      <c r="U2178" s="62">
        <v>1.0</v>
      </c>
      <c r="V2178" s="277">
        <v>0.3</v>
      </c>
      <c r="W2178" s="277">
        <v>0.0</v>
      </c>
      <c r="X2178" s="271">
        <v>6.0</v>
      </c>
      <c r="Y2178" s="271">
        <v>2.0</v>
      </c>
      <c r="Z2178" s="50" t="b">
        <v>1</v>
      </c>
      <c r="AA2178" s="50" t="s">
        <v>138</v>
      </c>
      <c r="AB2178" s="50" t="s">
        <v>138</v>
      </c>
    </row>
    <row r="2179">
      <c r="A2179" s="101" t="s">
        <v>416</v>
      </c>
      <c r="B2179" s="101" t="s">
        <v>190</v>
      </c>
      <c r="C2179" s="278">
        <v>44886.0</v>
      </c>
      <c r="D2179" s="278">
        <v>44915.0</v>
      </c>
      <c r="E2179" s="271" t="s">
        <v>268</v>
      </c>
      <c r="F2179" s="138" t="s">
        <v>4</v>
      </c>
      <c r="G2179" s="271" t="s">
        <v>5</v>
      </c>
      <c r="H2179" s="273" t="s">
        <v>45</v>
      </c>
      <c r="I2179" s="274">
        <v>10.0</v>
      </c>
      <c r="J2179" s="271">
        <v>3279.0</v>
      </c>
      <c r="K2179" s="271">
        <f t="shared" si="1"/>
        <v>32790</v>
      </c>
      <c r="L2179" s="271">
        <v>144988.0</v>
      </c>
      <c r="M2179" s="271">
        <v>980.0</v>
      </c>
      <c r="N2179" s="275">
        <v>1463.0</v>
      </c>
      <c r="O2179" s="60"/>
      <c r="P2179" s="109">
        <v>1463.0</v>
      </c>
      <c r="Q2179" s="271">
        <v>187.0</v>
      </c>
      <c r="R2179" s="276">
        <v>1.9E-4</v>
      </c>
      <c r="S2179" s="271">
        <v>193.0</v>
      </c>
      <c r="T2179" s="271">
        <v>1656.0</v>
      </c>
      <c r="U2179" s="62">
        <v>1.0</v>
      </c>
      <c r="V2179" s="277">
        <v>0.25</v>
      </c>
      <c r="W2179" s="277">
        <v>0.0</v>
      </c>
      <c r="X2179" s="271">
        <v>1242.0</v>
      </c>
      <c r="Y2179" s="271">
        <v>414.0</v>
      </c>
      <c r="Z2179" s="50" t="b">
        <v>1</v>
      </c>
      <c r="AA2179" s="50" t="s">
        <v>138</v>
      </c>
      <c r="AB2179" s="50" t="s">
        <v>138</v>
      </c>
    </row>
    <row r="2180">
      <c r="A2180" s="101" t="s">
        <v>416</v>
      </c>
      <c r="B2180" s="101" t="s">
        <v>190</v>
      </c>
      <c r="C2180" s="278">
        <v>44886.0</v>
      </c>
      <c r="D2180" s="278">
        <v>44915.0</v>
      </c>
      <c r="E2180" s="271" t="s">
        <v>268</v>
      </c>
      <c r="F2180" s="138" t="s">
        <v>4</v>
      </c>
      <c r="G2180" s="271" t="s">
        <v>5</v>
      </c>
      <c r="H2180" s="273" t="s">
        <v>62</v>
      </c>
      <c r="I2180" s="274">
        <v>25.0</v>
      </c>
      <c r="J2180" s="271">
        <v>405.0</v>
      </c>
      <c r="K2180" s="271">
        <f t="shared" si="1"/>
        <v>10125</v>
      </c>
      <c r="L2180" s="271">
        <v>32199.0</v>
      </c>
      <c r="M2180" s="271">
        <v>425.0</v>
      </c>
      <c r="N2180" s="275">
        <v>387.0</v>
      </c>
      <c r="O2180" s="60"/>
      <c r="P2180" s="50">
        <v>387.0</v>
      </c>
      <c r="Q2180" s="271">
        <v>830.0</v>
      </c>
      <c r="R2180" s="276">
        <v>1.9E-4</v>
      </c>
      <c r="S2180" s="271">
        <v>832.0</v>
      </c>
      <c r="T2180" s="271">
        <v>1219.0</v>
      </c>
      <c r="U2180" s="62">
        <v>1.0</v>
      </c>
      <c r="V2180" s="277">
        <v>0.25</v>
      </c>
      <c r="W2180" s="277">
        <v>0.0</v>
      </c>
      <c r="X2180" s="271">
        <v>914.0</v>
      </c>
      <c r="Y2180" s="271">
        <v>305.0</v>
      </c>
      <c r="Z2180" s="50" t="b">
        <v>1</v>
      </c>
      <c r="AA2180" s="50" t="s">
        <v>138</v>
      </c>
      <c r="AB2180" s="50" t="s">
        <v>138</v>
      </c>
    </row>
    <row r="2181">
      <c r="A2181" s="280" t="s">
        <v>192</v>
      </c>
      <c r="B2181" s="280" t="s">
        <v>192</v>
      </c>
      <c r="C2181" s="278">
        <v>44886.0</v>
      </c>
      <c r="D2181" s="278">
        <v>44915.0</v>
      </c>
      <c r="E2181" s="280" t="s">
        <v>268</v>
      </c>
      <c r="F2181" s="138" t="s">
        <v>4</v>
      </c>
      <c r="G2181" s="271" t="s">
        <v>5</v>
      </c>
      <c r="H2181" s="273" t="s">
        <v>29</v>
      </c>
      <c r="I2181" s="281">
        <v>2.0</v>
      </c>
      <c r="J2181" s="280">
        <v>10.0</v>
      </c>
      <c r="K2181" s="271">
        <f t="shared" si="1"/>
        <v>20</v>
      </c>
      <c r="L2181" s="280">
        <v>46.0</v>
      </c>
      <c r="M2181" s="280">
        <v>-10.0</v>
      </c>
      <c r="N2181" s="275">
        <v>1.0</v>
      </c>
      <c r="O2181" s="60"/>
      <c r="P2181" s="50">
        <v>1.0</v>
      </c>
      <c r="Q2181" s="280">
        <v>-1.0</v>
      </c>
      <c r="R2181" s="276">
        <v>1.9E-4</v>
      </c>
      <c r="S2181" s="280">
        <v>-1.0</v>
      </c>
      <c r="T2181" s="280">
        <v>0.0</v>
      </c>
      <c r="U2181" s="62">
        <v>1.0</v>
      </c>
      <c r="V2181" s="277">
        <v>0.3</v>
      </c>
      <c r="W2181" s="277">
        <v>0.0</v>
      </c>
      <c r="X2181" s="280">
        <v>0.0</v>
      </c>
      <c r="Y2181" s="280">
        <v>0.0</v>
      </c>
      <c r="Z2181" s="50" t="b">
        <v>1</v>
      </c>
      <c r="AA2181" s="50" t="s">
        <v>138</v>
      </c>
      <c r="AB2181" s="50" t="s">
        <v>138</v>
      </c>
    </row>
    <row r="2182">
      <c r="A2182" s="280" t="s">
        <v>192</v>
      </c>
      <c r="B2182" s="280" t="s">
        <v>192</v>
      </c>
      <c r="C2182" s="278">
        <v>44886.0</v>
      </c>
      <c r="D2182" s="278">
        <v>44915.0</v>
      </c>
      <c r="E2182" s="280" t="s">
        <v>268</v>
      </c>
      <c r="F2182" s="138" t="s">
        <v>4</v>
      </c>
      <c r="G2182" s="271" t="s">
        <v>5</v>
      </c>
      <c r="H2182" s="273" t="s">
        <v>35</v>
      </c>
      <c r="I2182" s="281">
        <v>5.0</v>
      </c>
      <c r="J2182" s="280">
        <v>13.0</v>
      </c>
      <c r="K2182" s="271">
        <f t="shared" si="1"/>
        <v>65</v>
      </c>
      <c r="L2182" s="280">
        <v>1113.0</v>
      </c>
      <c r="M2182" s="280">
        <v>25.0</v>
      </c>
      <c r="N2182" s="275">
        <v>3.0</v>
      </c>
      <c r="O2182" s="60"/>
      <c r="P2182" s="50">
        <v>3.0</v>
      </c>
      <c r="Q2182" s="280">
        <v>4.0</v>
      </c>
      <c r="R2182" s="276">
        <v>1.9E-4</v>
      </c>
      <c r="S2182" s="280">
        <v>4.0</v>
      </c>
      <c r="T2182" s="280">
        <v>7.0</v>
      </c>
      <c r="U2182" s="62">
        <v>1.0</v>
      </c>
      <c r="V2182" s="277">
        <v>0.3</v>
      </c>
      <c r="W2182" s="277">
        <v>0.0</v>
      </c>
      <c r="X2182" s="280">
        <v>5.0</v>
      </c>
      <c r="Y2182" s="280">
        <v>2.0</v>
      </c>
      <c r="Z2182" s="50" t="b">
        <v>1</v>
      </c>
      <c r="AA2182" s="50" t="s">
        <v>138</v>
      </c>
      <c r="AB2182" s="50" t="s">
        <v>138</v>
      </c>
    </row>
    <row r="2183">
      <c r="A2183" s="280" t="s">
        <v>192</v>
      </c>
      <c r="B2183" s="280" t="s">
        <v>192</v>
      </c>
      <c r="C2183" s="278">
        <v>44886.0</v>
      </c>
      <c r="D2183" s="278">
        <v>44915.0</v>
      </c>
      <c r="E2183" s="280" t="s">
        <v>268</v>
      </c>
      <c r="F2183" s="138" t="s">
        <v>4</v>
      </c>
      <c r="G2183" s="271" t="s">
        <v>5</v>
      </c>
      <c r="H2183" s="273" t="s">
        <v>45</v>
      </c>
      <c r="I2183" s="281">
        <v>10.0</v>
      </c>
      <c r="J2183" s="280">
        <v>803.0</v>
      </c>
      <c r="K2183" s="271">
        <f t="shared" si="1"/>
        <v>8030</v>
      </c>
      <c r="L2183" s="280">
        <v>49802.0</v>
      </c>
      <c r="M2183" s="280">
        <v>260.0</v>
      </c>
      <c r="N2183" s="275">
        <v>292.0</v>
      </c>
      <c r="O2183" s="60"/>
      <c r="P2183" s="50">
        <v>292.0</v>
      </c>
      <c r="Q2183" s="280">
        <v>331.0</v>
      </c>
      <c r="R2183" s="276">
        <v>1.9E-4</v>
      </c>
      <c r="S2183" s="280">
        <v>333.0</v>
      </c>
      <c r="T2183" s="280">
        <v>625.0</v>
      </c>
      <c r="U2183" s="62">
        <v>1.0</v>
      </c>
      <c r="V2183" s="277">
        <v>0.3</v>
      </c>
      <c r="W2183" s="277">
        <v>0.0</v>
      </c>
      <c r="X2183" s="280">
        <v>437.0</v>
      </c>
      <c r="Y2183" s="280">
        <v>187.0</v>
      </c>
      <c r="Z2183" s="50" t="b">
        <v>1</v>
      </c>
      <c r="AA2183" s="50" t="s">
        <v>138</v>
      </c>
      <c r="AB2183" s="50" t="s">
        <v>138</v>
      </c>
    </row>
    <row r="2184">
      <c r="A2184" s="280" t="s">
        <v>192</v>
      </c>
      <c r="B2184" s="280" t="s">
        <v>192</v>
      </c>
      <c r="C2184" s="278">
        <v>44886.0</v>
      </c>
      <c r="D2184" s="278">
        <v>44915.0</v>
      </c>
      <c r="E2184" s="280" t="s">
        <v>268</v>
      </c>
      <c r="F2184" s="138" t="s">
        <v>4</v>
      </c>
      <c r="G2184" s="271" t="s">
        <v>5</v>
      </c>
      <c r="H2184" s="273" t="s">
        <v>62</v>
      </c>
      <c r="I2184" s="281">
        <v>25.0</v>
      </c>
      <c r="J2184" s="280">
        <v>2814.0</v>
      </c>
      <c r="K2184" s="271">
        <f t="shared" si="1"/>
        <v>70350</v>
      </c>
      <c r="L2184" s="280">
        <v>91887.0</v>
      </c>
      <c r="M2184" s="280">
        <v>-225.0</v>
      </c>
      <c r="N2184" s="275">
        <v>2195.0</v>
      </c>
      <c r="O2184" s="60"/>
      <c r="P2184" s="109">
        <v>2195.0</v>
      </c>
      <c r="Q2184" s="280">
        <v>-151.0</v>
      </c>
      <c r="R2184" s="276">
        <v>1.9E-4</v>
      </c>
      <c r="S2184" s="280">
        <v>-138.0</v>
      </c>
      <c r="T2184" s="280">
        <v>2057.0</v>
      </c>
      <c r="U2184" s="62">
        <v>1.0</v>
      </c>
      <c r="V2184" s="277">
        <v>0.3</v>
      </c>
      <c r="W2184" s="277">
        <v>0.0</v>
      </c>
      <c r="X2184" s="280">
        <v>1440.0</v>
      </c>
      <c r="Y2184" s="280">
        <v>617.0</v>
      </c>
      <c r="Z2184" s="50" t="b">
        <v>1</v>
      </c>
      <c r="AA2184" s="50" t="s">
        <v>138</v>
      </c>
      <c r="AB2184" s="50" t="s">
        <v>138</v>
      </c>
    </row>
    <row r="2185">
      <c r="A2185" s="280" t="s">
        <v>192</v>
      </c>
      <c r="B2185" s="280" t="s">
        <v>192</v>
      </c>
      <c r="C2185" s="278">
        <v>44886.0</v>
      </c>
      <c r="D2185" s="278">
        <v>44915.0</v>
      </c>
      <c r="E2185" s="280" t="s">
        <v>268</v>
      </c>
      <c r="F2185" s="138" t="s">
        <v>4</v>
      </c>
      <c r="G2185" s="271" t="s">
        <v>5</v>
      </c>
      <c r="H2185" s="273" t="s">
        <v>74</v>
      </c>
      <c r="I2185" s="281">
        <v>50.0</v>
      </c>
      <c r="J2185" s="280">
        <v>102.0</v>
      </c>
      <c r="K2185" s="271">
        <f t="shared" si="1"/>
        <v>5100</v>
      </c>
      <c r="L2185" s="280">
        <v>-4048.0</v>
      </c>
      <c r="M2185" s="280">
        <v>-2050.0</v>
      </c>
      <c r="N2185" s="275">
        <v>159.0</v>
      </c>
      <c r="O2185" s="60"/>
      <c r="P2185" s="50">
        <v>159.0</v>
      </c>
      <c r="Q2185" s="280">
        <v>-695.0</v>
      </c>
      <c r="R2185" s="276">
        <v>1.9E-4</v>
      </c>
      <c r="S2185" s="280">
        <v>-694.0</v>
      </c>
      <c r="T2185" s="280">
        <v>-535.0</v>
      </c>
      <c r="U2185" s="62">
        <v>1.0</v>
      </c>
      <c r="V2185" s="277">
        <v>0.3</v>
      </c>
      <c r="W2185" s="277">
        <v>0.0</v>
      </c>
      <c r="X2185" s="280">
        <v>-375.0</v>
      </c>
      <c r="Y2185" s="280">
        <v>-161.0</v>
      </c>
      <c r="Z2185" s="50" t="b">
        <v>1</v>
      </c>
      <c r="AA2185" s="50" t="s">
        <v>138</v>
      </c>
      <c r="AB2185" s="50" t="s">
        <v>138</v>
      </c>
    </row>
    <row r="2186">
      <c r="A2186" s="280" t="s">
        <v>192</v>
      </c>
      <c r="B2186" s="280" t="s">
        <v>192</v>
      </c>
      <c r="C2186" s="278">
        <v>44886.0</v>
      </c>
      <c r="D2186" s="278">
        <v>44915.0</v>
      </c>
      <c r="E2186" s="280" t="s">
        <v>268</v>
      </c>
      <c r="F2186" s="138" t="s">
        <v>4</v>
      </c>
      <c r="G2186" s="271" t="s">
        <v>5</v>
      </c>
      <c r="H2186" s="273" t="s">
        <v>96</v>
      </c>
      <c r="I2186" s="281">
        <v>250.0</v>
      </c>
      <c r="J2186" s="280">
        <v>3.0</v>
      </c>
      <c r="K2186" s="271">
        <f t="shared" si="1"/>
        <v>750</v>
      </c>
      <c r="L2186" s="280">
        <v>-297.0</v>
      </c>
      <c r="M2186" s="280">
        <v>-750.0</v>
      </c>
      <c r="N2186" s="275">
        <v>20.0</v>
      </c>
      <c r="O2186" s="60"/>
      <c r="P2186" s="50">
        <v>20.0</v>
      </c>
      <c r="Q2186" s="280">
        <v>-177.0</v>
      </c>
      <c r="R2186" s="276">
        <v>1.9E-4</v>
      </c>
      <c r="S2186" s="280">
        <v>-177.0</v>
      </c>
      <c r="T2186" s="280">
        <v>-157.0</v>
      </c>
      <c r="U2186" s="62">
        <v>1.0</v>
      </c>
      <c r="V2186" s="277">
        <v>0.3</v>
      </c>
      <c r="W2186" s="277">
        <v>0.0</v>
      </c>
      <c r="X2186" s="280">
        <v>-110.0</v>
      </c>
      <c r="Y2186" s="280">
        <v>-47.0</v>
      </c>
      <c r="Z2186" s="50" t="b">
        <v>1</v>
      </c>
      <c r="AA2186" s="50" t="s">
        <v>138</v>
      </c>
      <c r="AB2186" s="50" t="s">
        <v>138</v>
      </c>
    </row>
    <row r="2187">
      <c r="A2187" s="280" t="s">
        <v>192</v>
      </c>
      <c r="B2187" s="280" t="s">
        <v>192</v>
      </c>
      <c r="C2187" s="278">
        <v>44886.0</v>
      </c>
      <c r="D2187" s="278">
        <v>44915.0</v>
      </c>
      <c r="E2187" s="280" t="s">
        <v>268</v>
      </c>
      <c r="F2187" s="138" t="s">
        <v>12</v>
      </c>
      <c r="G2187" s="271" t="s">
        <v>5</v>
      </c>
      <c r="H2187" s="273" t="s">
        <v>20</v>
      </c>
      <c r="I2187" s="274">
        <v>1.0</v>
      </c>
      <c r="J2187" s="271">
        <v>11.0</v>
      </c>
      <c r="K2187" s="271">
        <f t="shared" si="1"/>
        <v>11</v>
      </c>
      <c r="L2187" s="271"/>
      <c r="M2187" s="271">
        <v>-3.0</v>
      </c>
      <c r="N2187" s="275"/>
      <c r="O2187" s="60"/>
      <c r="P2187" s="101"/>
      <c r="Q2187" s="271"/>
      <c r="R2187" s="276">
        <v>0.0</v>
      </c>
      <c r="S2187" s="271"/>
      <c r="T2187" s="271">
        <v>-3.0</v>
      </c>
      <c r="U2187" s="62">
        <v>1.0</v>
      </c>
      <c r="V2187" s="277">
        <v>0.3</v>
      </c>
      <c r="W2187" s="277">
        <v>0.0</v>
      </c>
      <c r="X2187" s="271">
        <v>-2.0</v>
      </c>
      <c r="Y2187" s="271">
        <v>-1.0</v>
      </c>
      <c r="Z2187" s="50" t="b">
        <v>1</v>
      </c>
      <c r="AA2187" s="50" t="s">
        <v>138</v>
      </c>
      <c r="AB2187" s="50" t="s">
        <v>138</v>
      </c>
    </row>
    <row r="2188">
      <c r="A2188" s="280" t="s">
        <v>192</v>
      </c>
      <c r="B2188" s="280" t="s">
        <v>192</v>
      </c>
      <c r="C2188" s="278">
        <v>44886.0</v>
      </c>
      <c r="D2188" s="278">
        <v>44915.0</v>
      </c>
      <c r="E2188" s="280" t="s">
        <v>268</v>
      </c>
      <c r="F2188" s="138" t="s">
        <v>12</v>
      </c>
      <c r="G2188" s="271" t="s">
        <v>5</v>
      </c>
      <c r="H2188" s="273" t="s">
        <v>6</v>
      </c>
      <c r="I2188" s="274">
        <v>0.25</v>
      </c>
      <c r="J2188" s="271">
        <v>8.0</v>
      </c>
      <c r="K2188" s="271">
        <f t="shared" si="1"/>
        <v>2</v>
      </c>
      <c r="L2188" s="271"/>
      <c r="M2188" s="271">
        <v>-2.0</v>
      </c>
      <c r="N2188" s="275"/>
      <c r="O2188" s="60"/>
      <c r="P2188" s="101"/>
      <c r="Q2188" s="271"/>
      <c r="R2188" s="276">
        <v>0.0</v>
      </c>
      <c r="S2188" s="271"/>
      <c r="T2188" s="271">
        <v>-2.0</v>
      </c>
      <c r="U2188" s="62">
        <v>1.0</v>
      </c>
      <c r="V2188" s="277">
        <v>0.3</v>
      </c>
      <c r="W2188" s="277">
        <v>0.0</v>
      </c>
      <c r="X2188" s="271">
        <v>-1.0</v>
      </c>
      <c r="Y2188" s="271">
        <v>-1.0</v>
      </c>
      <c r="Z2188" s="50" t="b">
        <v>1</v>
      </c>
      <c r="AA2188" s="50" t="s">
        <v>138</v>
      </c>
      <c r="AB2188" s="50" t="s">
        <v>138</v>
      </c>
    </row>
    <row r="2189">
      <c r="A2189" s="280" t="s">
        <v>192</v>
      </c>
      <c r="B2189" s="280" t="s">
        <v>192</v>
      </c>
      <c r="C2189" s="278">
        <v>44886.0</v>
      </c>
      <c r="D2189" s="278">
        <v>44915.0</v>
      </c>
      <c r="E2189" s="280" t="s">
        <v>268</v>
      </c>
      <c r="F2189" s="138" t="s">
        <v>12</v>
      </c>
      <c r="G2189" s="271" t="s">
        <v>5</v>
      </c>
      <c r="H2189" s="273" t="s">
        <v>10</v>
      </c>
      <c r="I2189" s="274">
        <v>0.25</v>
      </c>
      <c r="J2189" s="271">
        <v>1.0</v>
      </c>
      <c r="K2189" s="271">
        <f t="shared" si="1"/>
        <v>0.25</v>
      </c>
      <c r="L2189" s="271"/>
      <c r="M2189" s="271">
        <v>0.0</v>
      </c>
      <c r="N2189" s="275"/>
      <c r="O2189" s="60"/>
      <c r="P2189" s="101"/>
      <c r="Q2189" s="271"/>
      <c r="R2189" s="276">
        <v>0.0</v>
      </c>
      <c r="S2189" s="271"/>
      <c r="T2189" s="271">
        <v>0.0</v>
      </c>
      <c r="U2189" s="62">
        <v>1.0</v>
      </c>
      <c r="V2189" s="277">
        <v>0.3</v>
      </c>
      <c r="W2189" s="277">
        <v>0.0</v>
      </c>
      <c r="X2189" s="271">
        <v>0.0</v>
      </c>
      <c r="Y2189" s="271">
        <v>0.0</v>
      </c>
      <c r="Z2189" s="50" t="b">
        <v>1</v>
      </c>
      <c r="AA2189" s="50" t="s">
        <v>138</v>
      </c>
      <c r="AB2189" s="50" t="s">
        <v>138</v>
      </c>
    </row>
    <row r="2190">
      <c r="A2190" s="280" t="s">
        <v>200</v>
      </c>
      <c r="B2190" s="280" t="s">
        <v>200</v>
      </c>
      <c r="C2190" s="283">
        <v>44886.0</v>
      </c>
      <c r="D2190" s="283">
        <v>44915.0</v>
      </c>
      <c r="E2190" s="280" t="s">
        <v>268</v>
      </c>
      <c r="F2190" s="138" t="s">
        <v>4</v>
      </c>
      <c r="G2190" s="280" t="s">
        <v>9</v>
      </c>
      <c r="H2190" s="290" t="s">
        <v>50</v>
      </c>
      <c r="I2190" s="281">
        <v>10.0</v>
      </c>
      <c r="J2190" s="280">
        <v>4359.0</v>
      </c>
      <c r="K2190" s="271">
        <f t="shared" si="1"/>
        <v>43590</v>
      </c>
      <c r="L2190" s="280">
        <v>239745.0</v>
      </c>
      <c r="M2190" s="280">
        <v>1836.0</v>
      </c>
      <c r="N2190" s="282">
        <v>990.0</v>
      </c>
      <c r="O2190" s="60"/>
      <c r="P2190" s="50">
        <v>990.0</v>
      </c>
      <c r="Q2190" s="280">
        <v>607.0</v>
      </c>
      <c r="R2190" s="276">
        <v>1.9E-4</v>
      </c>
      <c r="S2190" s="280">
        <v>615.0</v>
      </c>
      <c r="T2190" s="280">
        <v>1605.0</v>
      </c>
      <c r="U2190" s="62">
        <v>1.0</v>
      </c>
      <c r="V2190" s="277">
        <v>0.17</v>
      </c>
      <c r="W2190" s="277">
        <v>0.0</v>
      </c>
      <c r="X2190" s="280">
        <v>1332.0</v>
      </c>
      <c r="Y2190" s="280">
        <v>273.0</v>
      </c>
      <c r="Z2190" s="50" t="b">
        <v>1</v>
      </c>
      <c r="AA2190" s="50" t="s">
        <v>140</v>
      </c>
      <c r="AB2190" s="50" t="s">
        <v>140</v>
      </c>
    </row>
    <row r="2191">
      <c r="A2191" s="280" t="s">
        <v>193</v>
      </c>
      <c r="B2191" s="280" t="s">
        <v>193</v>
      </c>
      <c r="C2191" s="278">
        <v>44886.0</v>
      </c>
      <c r="D2191" s="278">
        <v>44915.0</v>
      </c>
      <c r="E2191" s="280" t="s">
        <v>268</v>
      </c>
      <c r="F2191" s="138" t="s">
        <v>4</v>
      </c>
      <c r="G2191" s="271" t="s">
        <v>5</v>
      </c>
      <c r="H2191" s="290" t="s">
        <v>62</v>
      </c>
      <c r="I2191" s="281">
        <v>25.0</v>
      </c>
      <c r="J2191" s="280">
        <v>1125.0</v>
      </c>
      <c r="K2191" s="271">
        <f t="shared" si="1"/>
        <v>28125</v>
      </c>
      <c r="L2191" s="280">
        <v>67985.0</v>
      </c>
      <c r="M2191" s="280">
        <v>1175.0</v>
      </c>
      <c r="N2191" s="275">
        <v>375.0</v>
      </c>
      <c r="O2191" s="60"/>
      <c r="P2191" s="50">
        <v>375.0</v>
      </c>
      <c r="Q2191" s="280">
        <v>1352.0</v>
      </c>
      <c r="R2191" s="276">
        <v>1.9E-4</v>
      </c>
      <c r="S2191" s="280">
        <v>1357.0</v>
      </c>
      <c r="T2191" s="280">
        <v>1732.0</v>
      </c>
      <c r="U2191" s="62">
        <v>1.0</v>
      </c>
      <c r="V2191" s="277">
        <v>0.17</v>
      </c>
      <c r="W2191" s="277">
        <v>0.0</v>
      </c>
      <c r="X2191" s="280">
        <v>1438.0</v>
      </c>
      <c r="Y2191" s="280">
        <v>294.0</v>
      </c>
      <c r="Z2191" s="50" t="b">
        <v>1</v>
      </c>
      <c r="AA2191" s="50" t="s">
        <v>138</v>
      </c>
      <c r="AB2191" s="50" t="s">
        <v>138</v>
      </c>
    </row>
    <row r="2192">
      <c r="A2192" s="280" t="s">
        <v>193</v>
      </c>
      <c r="B2192" s="280" t="s">
        <v>194</v>
      </c>
      <c r="C2192" s="278">
        <v>44886.0</v>
      </c>
      <c r="D2192" s="278">
        <v>44915.0</v>
      </c>
      <c r="E2192" s="280" t="s">
        <v>268</v>
      </c>
      <c r="F2192" s="138" t="s">
        <v>4</v>
      </c>
      <c r="G2192" s="271" t="s">
        <v>22</v>
      </c>
      <c r="H2192" s="290" t="s">
        <v>51</v>
      </c>
      <c r="I2192" s="281">
        <v>10.0</v>
      </c>
      <c r="J2192" s="280">
        <v>872.0</v>
      </c>
      <c r="K2192" s="271">
        <f t="shared" si="1"/>
        <v>8720</v>
      </c>
      <c r="L2192" s="280">
        <v>64059.0</v>
      </c>
      <c r="M2192" s="280">
        <v>2120.0</v>
      </c>
      <c r="N2192" s="275"/>
      <c r="O2192" s="60"/>
      <c r="P2192" s="101"/>
      <c r="Q2192" s="280">
        <v>530.0</v>
      </c>
      <c r="R2192" s="276">
        <v>1.9E-4</v>
      </c>
      <c r="S2192" s="280">
        <v>531.0</v>
      </c>
      <c r="T2192" s="280">
        <v>531.0</v>
      </c>
      <c r="U2192" s="62">
        <v>1.0</v>
      </c>
      <c r="V2192" s="277">
        <v>0.17</v>
      </c>
      <c r="W2192" s="277">
        <v>0.0</v>
      </c>
      <c r="X2192" s="280">
        <v>441.0</v>
      </c>
      <c r="Y2192" s="280">
        <v>90.0</v>
      </c>
      <c r="Z2192" s="50" t="b">
        <v>1</v>
      </c>
      <c r="AA2192" s="50" t="s">
        <v>138</v>
      </c>
      <c r="AB2192" s="50" t="s">
        <v>138</v>
      </c>
    </row>
    <row r="2193">
      <c r="A2193" s="280" t="s">
        <v>150</v>
      </c>
      <c r="B2193" s="280" t="s">
        <v>152</v>
      </c>
      <c r="C2193" s="278">
        <v>44886.0</v>
      </c>
      <c r="D2193" s="283">
        <v>44915.0</v>
      </c>
      <c r="E2193" s="280" t="s">
        <v>268</v>
      </c>
      <c r="F2193" s="138" t="s">
        <v>4</v>
      </c>
      <c r="G2193" s="280" t="s">
        <v>5</v>
      </c>
      <c r="H2193" s="273" t="s">
        <v>62</v>
      </c>
      <c r="I2193" s="274">
        <v>25.0</v>
      </c>
      <c r="J2193" s="271">
        <v>3.0</v>
      </c>
      <c r="K2193" s="271">
        <f t="shared" si="1"/>
        <v>75</v>
      </c>
      <c r="L2193" s="271">
        <v>356.0</v>
      </c>
      <c r="M2193" s="271">
        <v>100.0</v>
      </c>
      <c r="N2193" s="275">
        <v>3.0</v>
      </c>
      <c r="O2193" s="60"/>
      <c r="P2193" s="50">
        <v>3.0</v>
      </c>
      <c r="Q2193" s="271">
        <v>12.0</v>
      </c>
      <c r="R2193" s="276">
        <v>1.9E-4</v>
      </c>
      <c r="S2193" s="271">
        <v>12.0</v>
      </c>
      <c r="T2193" s="271">
        <v>15.0</v>
      </c>
      <c r="U2193" s="62">
        <v>1.0</v>
      </c>
      <c r="V2193" s="291"/>
      <c r="W2193" s="277">
        <v>0.0</v>
      </c>
      <c r="X2193" s="271">
        <v>15.0</v>
      </c>
      <c r="Y2193" s="271">
        <v>0.0</v>
      </c>
      <c r="Z2193" s="50" t="b">
        <v>0</v>
      </c>
      <c r="AA2193" s="50" t="s">
        <v>138</v>
      </c>
      <c r="AB2193" s="50" t="s">
        <v>138</v>
      </c>
    </row>
    <row r="2194">
      <c r="A2194" s="280" t="s">
        <v>150</v>
      </c>
      <c r="B2194" s="280" t="s">
        <v>152</v>
      </c>
      <c r="C2194" s="278">
        <v>44886.0</v>
      </c>
      <c r="D2194" s="283">
        <v>44915.0</v>
      </c>
      <c r="E2194" s="280" t="s">
        <v>268</v>
      </c>
      <c r="F2194" s="138" t="s">
        <v>4</v>
      </c>
      <c r="G2194" s="280" t="s">
        <v>5</v>
      </c>
      <c r="H2194" s="273" t="s">
        <v>74</v>
      </c>
      <c r="I2194" s="274">
        <v>50.0</v>
      </c>
      <c r="J2194" s="271">
        <v>320.0</v>
      </c>
      <c r="K2194" s="271">
        <f t="shared" si="1"/>
        <v>16000</v>
      </c>
      <c r="L2194" s="271">
        <v>1882.0</v>
      </c>
      <c r="M2194" s="271">
        <v>5400.0</v>
      </c>
      <c r="N2194" s="275">
        <v>592.0</v>
      </c>
      <c r="O2194" s="60"/>
      <c r="P2194" s="50">
        <v>592.0</v>
      </c>
      <c r="Q2194" s="271">
        <v>-850.0</v>
      </c>
      <c r="R2194" s="276">
        <v>1.9E-4</v>
      </c>
      <c r="S2194" s="271">
        <v>-846.0</v>
      </c>
      <c r="T2194" s="271">
        <v>-254.0</v>
      </c>
      <c r="U2194" s="62">
        <v>1.0</v>
      </c>
      <c r="V2194" s="291"/>
      <c r="W2194" s="277">
        <v>0.0</v>
      </c>
      <c r="X2194" s="271">
        <v>-254.0</v>
      </c>
      <c r="Y2194" s="271">
        <v>0.0</v>
      </c>
      <c r="Z2194" s="50" t="b">
        <v>0</v>
      </c>
      <c r="AA2194" s="50" t="s">
        <v>138</v>
      </c>
      <c r="AB2194" s="50" t="s">
        <v>138</v>
      </c>
    </row>
    <row r="2195">
      <c r="A2195" s="101" t="s">
        <v>195</v>
      </c>
      <c r="B2195" s="101" t="s">
        <v>195</v>
      </c>
      <c r="C2195" s="278">
        <v>44886.0</v>
      </c>
      <c r="D2195" s="278">
        <v>44915.0</v>
      </c>
      <c r="E2195" s="271" t="s">
        <v>331</v>
      </c>
      <c r="F2195" s="138" t="s">
        <v>4</v>
      </c>
      <c r="G2195" s="101" t="s">
        <v>5</v>
      </c>
      <c r="H2195" s="273" t="s">
        <v>75</v>
      </c>
      <c r="I2195" s="274">
        <v>50.0</v>
      </c>
      <c r="J2195" s="271">
        <v>29.0</v>
      </c>
      <c r="K2195" s="271">
        <f t="shared" si="1"/>
        <v>1450</v>
      </c>
      <c r="L2195" s="271">
        <v>551.0</v>
      </c>
      <c r="M2195" s="271">
        <v>-50.0</v>
      </c>
      <c r="N2195" s="275">
        <v>71.18</v>
      </c>
      <c r="O2195" s="60"/>
      <c r="P2195" s="50">
        <v>71.0</v>
      </c>
      <c r="Q2195" s="271">
        <v>-8.0</v>
      </c>
      <c r="R2195" s="276">
        <v>-0.0015</v>
      </c>
      <c r="S2195" s="271">
        <v>-10.0</v>
      </c>
      <c r="T2195" s="271">
        <v>61.0</v>
      </c>
      <c r="U2195" s="62">
        <v>1.0</v>
      </c>
      <c r="V2195" s="277">
        <v>0.1125</v>
      </c>
      <c r="W2195" s="277">
        <v>0.0375</v>
      </c>
      <c r="X2195" s="271">
        <v>52.0</v>
      </c>
      <c r="Y2195" s="271">
        <v>9.0</v>
      </c>
      <c r="Z2195" s="50" t="b">
        <v>1</v>
      </c>
      <c r="AA2195" s="50" t="s">
        <v>138</v>
      </c>
      <c r="AB2195" s="50" t="s">
        <v>138</v>
      </c>
    </row>
    <row r="2196">
      <c r="A2196" s="101" t="s">
        <v>195</v>
      </c>
      <c r="B2196" s="101" t="s">
        <v>195</v>
      </c>
      <c r="C2196" s="278">
        <v>44886.0</v>
      </c>
      <c r="D2196" s="278">
        <v>44915.0</v>
      </c>
      <c r="E2196" s="271" t="s">
        <v>331</v>
      </c>
      <c r="F2196" s="138" t="s">
        <v>4</v>
      </c>
      <c r="G2196" s="101" t="s">
        <v>5</v>
      </c>
      <c r="H2196" s="273" t="s">
        <v>85</v>
      </c>
      <c r="I2196" s="274">
        <v>100.0</v>
      </c>
      <c r="J2196" s="271">
        <v>2235.0</v>
      </c>
      <c r="K2196" s="271">
        <f t="shared" si="1"/>
        <v>223500</v>
      </c>
      <c r="L2196" s="271">
        <v>65014.0</v>
      </c>
      <c r="M2196" s="271">
        <v>10400.0</v>
      </c>
      <c r="N2196" s="275">
        <v>9143.29</v>
      </c>
      <c r="O2196" s="60"/>
      <c r="P2196" s="109">
        <v>9143.0</v>
      </c>
      <c r="Q2196" s="271">
        <v>117.0</v>
      </c>
      <c r="R2196" s="276">
        <v>-0.0015</v>
      </c>
      <c r="S2196" s="271">
        <v>-219.0</v>
      </c>
      <c r="T2196" s="271">
        <v>8925.0</v>
      </c>
      <c r="U2196" s="62">
        <v>1.0</v>
      </c>
      <c r="V2196" s="277">
        <v>0.1125</v>
      </c>
      <c r="W2196" s="277">
        <v>0.0375</v>
      </c>
      <c r="X2196" s="271">
        <v>7586.0</v>
      </c>
      <c r="Y2196" s="271">
        <v>1339.0</v>
      </c>
      <c r="Z2196" s="50" t="b">
        <v>1</v>
      </c>
      <c r="AA2196" s="50" t="s">
        <v>138</v>
      </c>
      <c r="AB2196" s="50" t="s">
        <v>138</v>
      </c>
    </row>
    <row r="2197">
      <c r="A2197" s="101" t="s">
        <v>195</v>
      </c>
      <c r="B2197" s="101" t="s">
        <v>195</v>
      </c>
      <c r="C2197" s="278">
        <v>44886.0</v>
      </c>
      <c r="D2197" s="278">
        <v>44915.0</v>
      </c>
      <c r="E2197" s="271" t="s">
        <v>331</v>
      </c>
      <c r="F2197" s="138" t="s">
        <v>4</v>
      </c>
      <c r="G2197" s="101" t="s">
        <v>5</v>
      </c>
      <c r="H2197" s="273" t="s">
        <v>86</v>
      </c>
      <c r="I2197" s="274">
        <v>100.0</v>
      </c>
      <c r="J2197" s="271">
        <v>746.0</v>
      </c>
      <c r="K2197" s="271">
        <f t="shared" si="1"/>
        <v>74600</v>
      </c>
      <c r="L2197" s="271">
        <v>4799.0</v>
      </c>
      <c r="M2197" s="271">
        <v>-1800.0</v>
      </c>
      <c r="N2197" s="275">
        <v>3051.85</v>
      </c>
      <c r="O2197" s="60"/>
      <c r="P2197" s="109">
        <v>3052.0</v>
      </c>
      <c r="Q2197" s="271">
        <v>-2529.0</v>
      </c>
      <c r="R2197" s="276">
        <v>-0.0015</v>
      </c>
      <c r="S2197" s="271">
        <v>-2641.0</v>
      </c>
      <c r="T2197" s="271">
        <v>411.0</v>
      </c>
      <c r="U2197" s="62">
        <v>1.0</v>
      </c>
      <c r="V2197" s="277">
        <v>0.1125</v>
      </c>
      <c r="W2197" s="277">
        <v>0.0375</v>
      </c>
      <c r="X2197" s="271">
        <v>349.0</v>
      </c>
      <c r="Y2197" s="271">
        <v>62.0</v>
      </c>
      <c r="Z2197" s="50" t="b">
        <v>1</v>
      </c>
      <c r="AA2197" s="50" t="s">
        <v>138</v>
      </c>
      <c r="AB2197" s="50" t="s">
        <v>138</v>
      </c>
    </row>
    <row r="2198">
      <c r="A2198" s="101" t="s">
        <v>195</v>
      </c>
      <c r="B2198" s="101" t="s">
        <v>195</v>
      </c>
      <c r="C2198" s="278">
        <v>44886.0</v>
      </c>
      <c r="D2198" s="278">
        <v>44915.0</v>
      </c>
      <c r="E2198" s="271" t="s">
        <v>331</v>
      </c>
      <c r="F2198" s="138" t="s">
        <v>4</v>
      </c>
      <c r="G2198" s="101" t="s">
        <v>5</v>
      </c>
      <c r="H2198" s="273" t="s">
        <v>96</v>
      </c>
      <c r="I2198" s="274">
        <v>250.0</v>
      </c>
      <c r="J2198" s="271">
        <v>1110.0</v>
      </c>
      <c r="K2198" s="271">
        <f t="shared" si="1"/>
        <v>277500</v>
      </c>
      <c r="L2198" s="271">
        <v>40697.0</v>
      </c>
      <c r="M2198" s="271">
        <v>14750.0</v>
      </c>
      <c r="N2198" s="275">
        <v>11352.4</v>
      </c>
      <c r="O2198" s="60"/>
      <c r="P2198" s="109">
        <v>11352.0</v>
      </c>
      <c r="Q2198" s="271">
        <v>4799.0</v>
      </c>
      <c r="R2198" s="276">
        <v>-0.0015</v>
      </c>
      <c r="S2198" s="271">
        <v>4383.0</v>
      </c>
      <c r="T2198" s="271">
        <v>15736.0</v>
      </c>
      <c r="U2198" s="62">
        <v>1.0</v>
      </c>
      <c r="V2198" s="277">
        <v>0.1125</v>
      </c>
      <c r="W2198" s="277">
        <v>0.0375</v>
      </c>
      <c r="X2198" s="271">
        <v>13375.0</v>
      </c>
      <c r="Y2198" s="271">
        <v>2360.0</v>
      </c>
      <c r="Z2198" s="50" t="b">
        <v>1</v>
      </c>
      <c r="AA2198" s="50" t="s">
        <v>138</v>
      </c>
      <c r="AB2198" s="50" t="s">
        <v>138</v>
      </c>
    </row>
    <row r="2199">
      <c r="A2199" s="101" t="s">
        <v>195</v>
      </c>
      <c r="B2199" s="101" t="s">
        <v>195</v>
      </c>
      <c r="C2199" s="278">
        <v>44886.0</v>
      </c>
      <c r="D2199" s="278">
        <v>44915.0</v>
      </c>
      <c r="E2199" s="271" t="s">
        <v>331</v>
      </c>
      <c r="F2199" s="138" t="s">
        <v>4</v>
      </c>
      <c r="G2199" s="101" t="s">
        <v>5</v>
      </c>
      <c r="H2199" s="273" t="s">
        <v>97</v>
      </c>
      <c r="I2199" s="274">
        <v>250.0</v>
      </c>
      <c r="J2199" s="271">
        <v>372.0</v>
      </c>
      <c r="K2199" s="271">
        <f t="shared" si="1"/>
        <v>93000</v>
      </c>
      <c r="L2199" s="271">
        <v>3480.0</v>
      </c>
      <c r="M2199" s="271">
        <v>-2750.0</v>
      </c>
      <c r="N2199" s="275">
        <v>3804.59</v>
      </c>
      <c r="O2199" s="60"/>
      <c r="P2199" s="109">
        <v>3805.0</v>
      </c>
      <c r="Q2199" s="271">
        <v>-2074.0</v>
      </c>
      <c r="R2199" s="276">
        <v>-0.0015</v>
      </c>
      <c r="S2199" s="271">
        <v>-2214.0</v>
      </c>
      <c r="T2199" s="271">
        <v>1591.0</v>
      </c>
      <c r="U2199" s="62">
        <v>1.0</v>
      </c>
      <c r="V2199" s="277">
        <v>0.1125</v>
      </c>
      <c r="W2199" s="277">
        <v>0.0375</v>
      </c>
      <c r="X2199" s="271">
        <v>1352.0</v>
      </c>
      <c r="Y2199" s="271">
        <v>239.0</v>
      </c>
      <c r="Z2199" s="50" t="b">
        <v>1</v>
      </c>
      <c r="AA2199" s="50" t="s">
        <v>138</v>
      </c>
      <c r="AB2199" s="50" t="s">
        <v>138</v>
      </c>
    </row>
    <row r="2200">
      <c r="A2200" s="101" t="s">
        <v>195</v>
      </c>
      <c r="B2200" s="101" t="s">
        <v>195</v>
      </c>
      <c r="C2200" s="278">
        <v>44886.0</v>
      </c>
      <c r="D2200" s="278">
        <v>44915.0</v>
      </c>
      <c r="E2200" s="271" t="s">
        <v>331</v>
      </c>
      <c r="F2200" s="138" t="s">
        <v>12</v>
      </c>
      <c r="G2200" s="101" t="s">
        <v>5</v>
      </c>
      <c r="H2200" s="273" t="s">
        <v>196</v>
      </c>
      <c r="I2200" s="274">
        <v>100.0</v>
      </c>
      <c r="J2200" s="271">
        <v>1.0</v>
      </c>
      <c r="K2200" s="271">
        <f t="shared" si="1"/>
        <v>100</v>
      </c>
      <c r="L2200" s="271"/>
      <c r="M2200" s="271">
        <v>96.0</v>
      </c>
      <c r="N2200" s="275">
        <v>1.54</v>
      </c>
      <c r="O2200" s="60"/>
      <c r="P2200" s="50">
        <v>2.0</v>
      </c>
      <c r="Q2200" s="271"/>
      <c r="R2200" s="276">
        <v>0.0</v>
      </c>
      <c r="S2200" s="271"/>
      <c r="T2200" s="271">
        <v>98.0</v>
      </c>
      <c r="U2200" s="62">
        <v>1.0</v>
      </c>
      <c r="V2200" s="277">
        <v>0.1125</v>
      </c>
      <c r="W2200" s="277">
        <v>0.0375</v>
      </c>
      <c r="X2200" s="271">
        <v>83.0</v>
      </c>
      <c r="Y2200" s="271">
        <v>15.0</v>
      </c>
      <c r="Z2200" s="50" t="b">
        <v>1</v>
      </c>
      <c r="AA2200" s="50" t="s">
        <v>138</v>
      </c>
      <c r="AB2200" s="50" t="s">
        <v>138</v>
      </c>
    </row>
    <row r="2201">
      <c r="A2201" s="101" t="s">
        <v>195</v>
      </c>
      <c r="B2201" s="101" t="s">
        <v>195</v>
      </c>
      <c r="C2201" s="278">
        <v>44886.0</v>
      </c>
      <c r="D2201" s="278">
        <v>44915.0</v>
      </c>
      <c r="E2201" s="271" t="s">
        <v>331</v>
      </c>
      <c r="F2201" s="138" t="s">
        <v>12</v>
      </c>
      <c r="G2201" s="101" t="s">
        <v>5</v>
      </c>
      <c r="H2201" s="273" t="s">
        <v>6</v>
      </c>
      <c r="I2201" s="274">
        <v>0.25</v>
      </c>
      <c r="J2201" s="271">
        <v>9.0</v>
      </c>
      <c r="K2201" s="271">
        <f t="shared" si="1"/>
        <v>2.25</v>
      </c>
      <c r="L2201" s="271"/>
      <c r="M2201" s="271">
        <v>0.0</v>
      </c>
      <c r="N2201" s="275">
        <v>0.15</v>
      </c>
      <c r="O2201" s="60"/>
      <c r="P2201" s="50">
        <v>0.0</v>
      </c>
      <c r="Q2201" s="271"/>
      <c r="R2201" s="276">
        <v>0.0</v>
      </c>
      <c r="S2201" s="271"/>
      <c r="T2201" s="271">
        <v>0.0</v>
      </c>
      <c r="U2201" s="62">
        <v>1.0</v>
      </c>
      <c r="V2201" s="277">
        <v>0.1125</v>
      </c>
      <c r="W2201" s="277">
        <v>0.0375</v>
      </c>
      <c r="X2201" s="271">
        <v>0.0</v>
      </c>
      <c r="Y2201" s="271">
        <v>0.0</v>
      </c>
      <c r="Z2201" s="50" t="b">
        <v>1</v>
      </c>
      <c r="AA2201" s="50" t="s">
        <v>138</v>
      </c>
      <c r="AB2201" s="50" t="s">
        <v>138</v>
      </c>
    </row>
    <row r="2202">
      <c r="A2202" s="280" t="s">
        <v>459</v>
      </c>
      <c r="B2202" s="280" t="s">
        <v>151</v>
      </c>
      <c r="C2202" s="283">
        <v>44886.0</v>
      </c>
      <c r="D2202" s="278">
        <v>44915.0</v>
      </c>
      <c r="E2202" s="280" t="s">
        <v>331</v>
      </c>
      <c r="F2202" s="138" t="s">
        <v>8</v>
      </c>
      <c r="G2202" s="280" t="s">
        <v>9</v>
      </c>
      <c r="H2202" s="290" t="s">
        <v>98</v>
      </c>
      <c r="I2202" s="274">
        <v>250.0</v>
      </c>
      <c r="J2202" s="271">
        <v>81.0</v>
      </c>
      <c r="K2202" s="271">
        <f t="shared" si="1"/>
        <v>20250</v>
      </c>
      <c r="L2202" s="271">
        <v>-11.0</v>
      </c>
      <c r="M2202" s="271">
        <v>-250.0</v>
      </c>
      <c r="N2202" s="275">
        <v>2089.0</v>
      </c>
      <c r="O2202" s="60"/>
      <c r="P2202" s="109">
        <v>2089.0</v>
      </c>
      <c r="Q2202" s="271">
        <v>-1581.0</v>
      </c>
      <c r="R2202" s="276">
        <v>-0.001671</v>
      </c>
      <c r="S2202" s="271">
        <v>-1615.0</v>
      </c>
      <c r="T2202" s="271">
        <v>474.0</v>
      </c>
      <c r="U2202" s="62">
        <v>1.0</v>
      </c>
      <c r="V2202" s="277">
        <v>0.15</v>
      </c>
      <c r="W2202" s="277">
        <v>0.05</v>
      </c>
      <c r="X2202" s="271">
        <v>379.0</v>
      </c>
      <c r="Y2202" s="271">
        <v>95.0</v>
      </c>
      <c r="Z2202" s="50" t="b">
        <v>0</v>
      </c>
      <c r="AA2202" s="50" t="s">
        <v>140</v>
      </c>
      <c r="AB2202" s="50" t="s">
        <v>140</v>
      </c>
    </row>
    <row r="2203">
      <c r="A2203" s="280" t="s">
        <v>459</v>
      </c>
      <c r="B2203" s="280" t="s">
        <v>151</v>
      </c>
      <c r="C2203" s="283">
        <v>44886.0</v>
      </c>
      <c r="D2203" s="278">
        <v>44915.0</v>
      </c>
      <c r="E2203" s="280" t="s">
        <v>331</v>
      </c>
      <c r="F2203" s="138" t="s">
        <v>8</v>
      </c>
      <c r="G2203" s="280" t="s">
        <v>9</v>
      </c>
      <c r="H2203" s="290" t="s">
        <v>104</v>
      </c>
      <c r="I2203" s="274">
        <v>500.0</v>
      </c>
      <c r="J2203" s="271">
        <v>15.0</v>
      </c>
      <c r="K2203" s="271">
        <f t="shared" si="1"/>
        <v>7500</v>
      </c>
      <c r="L2203" s="271">
        <v>1739.0</v>
      </c>
      <c r="M2203" s="271">
        <v>-2000.0</v>
      </c>
      <c r="N2203" s="275">
        <v>11.0</v>
      </c>
      <c r="O2203" s="60"/>
      <c r="P2203" s="50">
        <v>11.0</v>
      </c>
      <c r="Q2203" s="271">
        <v>1009.0</v>
      </c>
      <c r="R2203" s="276">
        <v>-0.001871</v>
      </c>
      <c r="S2203" s="271">
        <v>995.0</v>
      </c>
      <c r="T2203" s="271">
        <v>1006.0</v>
      </c>
      <c r="U2203" s="62">
        <v>1.0</v>
      </c>
      <c r="V2203" s="277">
        <v>0.15</v>
      </c>
      <c r="W2203" s="277">
        <v>0.05</v>
      </c>
      <c r="X2203" s="271">
        <v>805.0</v>
      </c>
      <c r="Y2203" s="271">
        <v>201.0</v>
      </c>
      <c r="Z2203" s="50" t="b">
        <v>0</v>
      </c>
      <c r="AA2203" s="50" t="s">
        <v>140</v>
      </c>
      <c r="AB2203" s="50" t="s">
        <v>140</v>
      </c>
    </row>
    <row r="2204">
      <c r="A2204" s="280" t="s">
        <v>459</v>
      </c>
      <c r="B2204" s="280" t="s">
        <v>145</v>
      </c>
      <c r="C2204" s="283">
        <v>44886.0</v>
      </c>
      <c r="D2204" s="278">
        <v>44915.0</v>
      </c>
      <c r="E2204" s="280" t="s">
        <v>331</v>
      </c>
      <c r="F2204" s="138" t="s">
        <v>8</v>
      </c>
      <c r="G2204" s="280" t="s">
        <v>5</v>
      </c>
      <c r="H2204" s="273" t="s">
        <v>85</v>
      </c>
      <c r="I2204" s="274">
        <v>100.0</v>
      </c>
      <c r="J2204" s="271">
        <v>456.0</v>
      </c>
      <c r="K2204" s="271">
        <f t="shared" si="1"/>
        <v>45600</v>
      </c>
      <c r="L2204" s="271">
        <v>8473.0</v>
      </c>
      <c r="M2204" s="271">
        <v>-4800.0</v>
      </c>
      <c r="N2204" s="275">
        <v>709.0</v>
      </c>
      <c r="O2204" s="60"/>
      <c r="P2204" s="50">
        <v>709.0</v>
      </c>
      <c r="Q2204" s="271">
        <v>-974.0</v>
      </c>
      <c r="R2204" s="276">
        <v>-8.49E-4</v>
      </c>
      <c r="S2204" s="271">
        <v>-1013.0</v>
      </c>
      <c r="T2204" s="271">
        <v>-304.0</v>
      </c>
      <c r="U2204" s="62">
        <v>1.0</v>
      </c>
      <c r="V2204" s="277">
        <v>0.15</v>
      </c>
      <c r="W2204" s="277">
        <v>0.05</v>
      </c>
      <c r="X2204" s="271">
        <v>-243.0</v>
      </c>
      <c r="Y2204" s="271">
        <v>-61.0</v>
      </c>
      <c r="Z2204" s="50" t="b">
        <v>0</v>
      </c>
      <c r="AA2204" s="50" t="s">
        <v>138</v>
      </c>
      <c r="AB2204" s="50" t="s">
        <v>138</v>
      </c>
    </row>
    <row r="2205">
      <c r="A2205" s="280" t="s">
        <v>477</v>
      </c>
      <c r="B2205" s="280" t="s">
        <v>164</v>
      </c>
      <c r="C2205" s="278">
        <v>44886.0</v>
      </c>
      <c r="D2205" s="278">
        <v>44915.0</v>
      </c>
      <c r="E2205" s="280" t="s">
        <v>331</v>
      </c>
      <c r="F2205" s="138" t="s">
        <v>4</v>
      </c>
      <c r="G2205" s="271" t="s">
        <v>13</v>
      </c>
      <c r="H2205" s="271" t="s">
        <v>85</v>
      </c>
      <c r="I2205" s="274">
        <v>100.0</v>
      </c>
      <c r="J2205" s="271">
        <v>6886.0</v>
      </c>
      <c r="K2205" s="271">
        <f t="shared" si="1"/>
        <v>688600</v>
      </c>
      <c r="L2205" s="271">
        <v>53577.0</v>
      </c>
      <c r="M2205" s="271">
        <v>-45400.0</v>
      </c>
      <c r="N2205" s="275">
        <v>36998.0</v>
      </c>
      <c r="O2205" s="60"/>
      <c r="P2205" s="109">
        <v>36998.0</v>
      </c>
      <c r="Q2205" s="271">
        <v>-35088.0</v>
      </c>
      <c r="R2205" s="276">
        <v>1.9E-4</v>
      </c>
      <c r="S2205" s="271">
        <v>-34957.0</v>
      </c>
      <c r="T2205" s="271">
        <v>2041.0</v>
      </c>
      <c r="U2205" s="62">
        <v>1.0</v>
      </c>
      <c r="V2205" s="277">
        <v>0.15</v>
      </c>
      <c r="W2205" s="277">
        <v>0.05</v>
      </c>
      <c r="X2205" s="271">
        <v>1632.0</v>
      </c>
      <c r="Y2205" s="271">
        <v>408.0</v>
      </c>
      <c r="Z2205" s="50" t="b">
        <v>1</v>
      </c>
      <c r="AA2205" s="50" t="s">
        <v>138</v>
      </c>
      <c r="AB2205" s="50" t="s">
        <v>138</v>
      </c>
    </row>
    <row r="2206">
      <c r="A2206" s="101" t="s">
        <v>505</v>
      </c>
      <c r="B2206" s="271" t="s">
        <v>166</v>
      </c>
      <c r="C2206" s="278">
        <v>44886.0</v>
      </c>
      <c r="D2206" s="278">
        <v>44915.0</v>
      </c>
      <c r="E2206" s="271" t="s">
        <v>268</v>
      </c>
      <c r="F2206" s="101" t="s">
        <v>4</v>
      </c>
      <c r="G2206" s="271" t="s">
        <v>5</v>
      </c>
      <c r="H2206" s="273" t="s">
        <v>35</v>
      </c>
      <c r="I2206" s="281">
        <v>5.0</v>
      </c>
      <c r="J2206" s="280">
        <v>1.0</v>
      </c>
      <c r="K2206" s="271">
        <f t="shared" si="1"/>
        <v>5</v>
      </c>
      <c r="L2206" s="280">
        <v>375.0</v>
      </c>
      <c r="M2206" s="280">
        <v>10.0</v>
      </c>
      <c r="N2206" s="275"/>
      <c r="O2206" s="60"/>
      <c r="P2206" s="101"/>
      <c r="Q2206" s="280">
        <v>3.0</v>
      </c>
      <c r="R2206" s="276">
        <v>1.9E-4</v>
      </c>
      <c r="S2206" s="280">
        <v>3.0</v>
      </c>
      <c r="T2206" s="280">
        <v>3.0</v>
      </c>
      <c r="U2206" s="62">
        <v>1.0</v>
      </c>
      <c r="V2206" s="277">
        <v>0.3</v>
      </c>
      <c r="W2206" s="277">
        <v>0.0</v>
      </c>
      <c r="X2206" s="280">
        <v>2.0</v>
      </c>
      <c r="Y2206" s="280">
        <v>1.0</v>
      </c>
      <c r="Z2206" s="50" t="b">
        <v>1</v>
      </c>
      <c r="AA2206" s="50" t="s">
        <v>138</v>
      </c>
      <c r="AB2206" s="50" t="s">
        <v>138</v>
      </c>
    </row>
    <row r="2207">
      <c r="A2207" s="101" t="s">
        <v>505</v>
      </c>
      <c r="B2207" s="271" t="s">
        <v>166</v>
      </c>
      <c r="C2207" s="278">
        <v>44886.0</v>
      </c>
      <c r="D2207" s="278">
        <v>44915.0</v>
      </c>
      <c r="E2207" s="271" t="s">
        <v>268</v>
      </c>
      <c r="F2207" s="101" t="s">
        <v>4</v>
      </c>
      <c r="G2207" s="271" t="s">
        <v>5</v>
      </c>
      <c r="H2207" s="273" t="s">
        <v>45</v>
      </c>
      <c r="I2207" s="281">
        <v>10.0</v>
      </c>
      <c r="J2207" s="280">
        <v>2463.0</v>
      </c>
      <c r="K2207" s="271">
        <f t="shared" si="1"/>
        <v>24630</v>
      </c>
      <c r="L2207" s="280">
        <v>86748.0</v>
      </c>
      <c r="M2207" s="280">
        <v>-160.0</v>
      </c>
      <c r="N2207" s="275">
        <v>1594.0</v>
      </c>
      <c r="O2207" s="60"/>
      <c r="P2207" s="109">
        <v>1594.0</v>
      </c>
      <c r="Q2207" s="280">
        <v>-248.0</v>
      </c>
      <c r="R2207" s="276">
        <v>1.9E-4</v>
      </c>
      <c r="S2207" s="280">
        <v>-244.0</v>
      </c>
      <c r="T2207" s="280">
        <v>1350.0</v>
      </c>
      <c r="U2207" s="62">
        <v>1.0</v>
      </c>
      <c r="V2207" s="277">
        <v>0.3</v>
      </c>
      <c r="W2207" s="277">
        <v>0.0</v>
      </c>
      <c r="X2207" s="280">
        <v>945.0</v>
      </c>
      <c r="Y2207" s="280">
        <v>405.0</v>
      </c>
      <c r="Z2207" s="50" t="b">
        <v>1</v>
      </c>
      <c r="AA2207" s="50" t="s">
        <v>138</v>
      </c>
      <c r="AB2207" s="50" t="s">
        <v>138</v>
      </c>
    </row>
    <row r="2208">
      <c r="A2208" s="101" t="s">
        <v>197</v>
      </c>
      <c r="B2208" s="101" t="s">
        <v>197</v>
      </c>
      <c r="C2208" s="278">
        <v>44896.0</v>
      </c>
      <c r="D2208" s="278">
        <v>44915.0</v>
      </c>
      <c r="E2208" s="280" t="s">
        <v>268</v>
      </c>
      <c r="F2208" s="138" t="s">
        <v>8</v>
      </c>
      <c r="G2208" s="271" t="s">
        <v>5</v>
      </c>
      <c r="H2208" s="273" t="s">
        <v>45</v>
      </c>
      <c r="I2208" s="274">
        <v>10.0</v>
      </c>
      <c r="J2208" s="271">
        <v>15.0</v>
      </c>
      <c r="K2208" s="271">
        <f t="shared" si="1"/>
        <v>150</v>
      </c>
      <c r="L2208" s="271">
        <v>1598.0</v>
      </c>
      <c r="M2208" s="271">
        <v>20.0</v>
      </c>
      <c r="N2208" s="275">
        <v>5.0</v>
      </c>
      <c r="O2208" s="60"/>
      <c r="P2208" s="50">
        <v>5.0</v>
      </c>
      <c r="Q2208" s="271">
        <v>18.0</v>
      </c>
      <c r="R2208" s="276">
        <v>-0.001414</v>
      </c>
      <c r="S2208" s="271">
        <v>18.0</v>
      </c>
      <c r="T2208" s="271">
        <v>23.0</v>
      </c>
      <c r="U2208" s="62">
        <v>1.0</v>
      </c>
      <c r="V2208" s="277">
        <v>0.35</v>
      </c>
      <c r="W2208" s="277">
        <v>0.0</v>
      </c>
      <c r="X2208" s="271">
        <v>15.0</v>
      </c>
      <c r="Y2208" s="271">
        <v>8.0</v>
      </c>
      <c r="Z2208" s="50" t="b">
        <v>1</v>
      </c>
      <c r="AA2208" s="50" t="s">
        <v>138</v>
      </c>
      <c r="AB2208" s="50" t="s">
        <v>138</v>
      </c>
    </row>
    <row r="2209">
      <c r="A2209" s="101" t="s">
        <v>197</v>
      </c>
      <c r="B2209" s="101" t="s">
        <v>197</v>
      </c>
      <c r="C2209" s="278">
        <v>44896.0</v>
      </c>
      <c r="D2209" s="278">
        <v>44915.0</v>
      </c>
      <c r="E2209" s="280" t="s">
        <v>268</v>
      </c>
      <c r="F2209" s="138" t="s">
        <v>8</v>
      </c>
      <c r="G2209" s="271" t="s">
        <v>5</v>
      </c>
      <c r="H2209" s="273" t="s">
        <v>62</v>
      </c>
      <c r="I2209" s="274">
        <v>25.0</v>
      </c>
      <c r="J2209" s="271">
        <v>324.0</v>
      </c>
      <c r="K2209" s="271">
        <f t="shared" si="1"/>
        <v>8100</v>
      </c>
      <c r="L2209" s="271">
        <v>5351.0</v>
      </c>
      <c r="M2209" s="271">
        <v>25.0</v>
      </c>
      <c r="N2209" s="275">
        <v>244.0</v>
      </c>
      <c r="O2209" s="60"/>
      <c r="P2209" s="50">
        <v>244.0</v>
      </c>
      <c r="Q2209" s="271">
        <v>-270.0</v>
      </c>
      <c r="R2209" s="276">
        <v>-8.22E-4</v>
      </c>
      <c r="S2209" s="271">
        <v>-277.0</v>
      </c>
      <c r="T2209" s="271">
        <v>-33.0</v>
      </c>
      <c r="U2209" s="62">
        <v>1.0</v>
      </c>
      <c r="V2209" s="277">
        <v>0.35</v>
      </c>
      <c r="W2209" s="277">
        <v>0.0</v>
      </c>
      <c r="X2209" s="271">
        <v>-21.0</v>
      </c>
      <c r="Y2209" s="271">
        <v>-12.0</v>
      </c>
      <c r="Z2209" s="50" t="b">
        <v>1</v>
      </c>
      <c r="AA2209" s="50" t="s">
        <v>138</v>
      </c>
      <c r="AB2209" s="50" t="s">
        <v>138</v>
      </c>
    </row>
    <row r="2210">
      <c r="A2210" s="101" t="s">
        <v>199</v>
      </c>
      <c r="B2210" s="101" t="s">
        <v>199</v>
      </c>
      <c r="C2210" s="278">
        <v>44886.0</v>
      </c>
      <c r="D2210" s="278">
        <v>44915.0</v>
      </c>
      <c r="E2210" s="271" t="s">
        <v>331</v>
      </c>
      <c r="F2210" s="101" t="s">
        <v>4</v>
      </c>
      <c r="G2210" s="271" t="s">
        <v>5</v>
      </c>
      <c r="H2210" s="273" t="s">
        <v>48</v>
      </c>
      <c r="I2210" s="274">
        <v>10.0</v>
      </c>
      <c r="J2210" s="271">
        <v>69.0</v>
      </c>
      <c r="K2210" s="271">
        <f t="shared" si="1"/>
        <v>690</v>
      </c>
      <c r="L2210" s="271">
        <v>1886.0</v>
      </c>
      <c r="M2210" s="271">
        <v>-190.0</v>
      </c>
      <c r="N2210" s="275">
        <v>28.0</v>
      </c>
      <c r="O2210" s="60"/>
      <c r="P2210" s="50">
        <v>28.0</v>
      </c>
      <c r="Q2210" s="271">
        <v>7.0</v>
      </c>
      <c r="R2210" s="276">
        <v>1.9E-4</v>
      </c>
      <c r="S2210" s="271">
        <v>7.0</v>
      </c>
      <c r="T2210" s="271">
        <v>35.0</v>
      </c>
      <c r="U2210" s="62">
        <v>1.0</v>
      </c>
      <c r="V2210" s="277">
        <v>0.17</v>
      </c>
      <c r="W2210" s="277">
        <v>0.1</v>
      </c>
      <c r="X2210" s="271">
        <v>25.0</v>
      </c>
      <c r="Y2210" s="271">
        <v>9.0</v>
      </c>
      <c r="Z2210" s="50" t="b">
        <v>1</v>
      </c>
      <c r="AA2210" s="50" t="s">
        <v>138</v>
      </c>
      <c r="AB2210" s="50" t="s">
        <v>138</v>
      </c>
    </row>
    <row r="2211">
      <c r="A2211" s="101" t="s">
        <v>199</v>
      </c>
      <c r="B2211" s="101" t="s">
        <v>199</v>
      </c>
      <c r="C2211" s="278">
        <v>44886.0</v>
      </c>
      <c r="D2211" s="278">
        <v>44915.0</v>
      </c>
      <c r="E2211" s="271" t="s">
        <v>331</v>
      </c>
      <c r="F2211" s="101" t="s">
        <v>4</v>
      </c>
      <c r="G2211" s="271" t="s">
        <v>5</v>
      </c>
      <c r="H2211" s="273" t="s">
        <v>62</v>
      </c>
      <c r="I2211" s="274">
        <v>25.0</v>
      </c>
      <c r="J2211" s="271">
        <v>2335.0</v>
      </c>
      <c r="K2211" s="271">
        <f t="shared" si="1"/>
        <v>58375</v>
      </c>
      <c r="L2211" s="271">
        <v>84460.0</v>
      </c>
      <c r="M2211" s="271">
        <v>600.0</v>
      </c>
      <c r="N2211" s="275">
        <v>2066.0</v>
      </c>
      <c r="O2211" s="60"/>
      <c r="P2211" s="109">
        <v>2066.0</v>
      </c>
      <c r="Q2211" s="271">
        <v>179.0</v>
      </c>
      <c r="R2211" s="276">
        <v>1.9E-4</v>
      </c>
      <c r="S2211" s="271">
        <v>190.0</v>
      </c>
      <c r="T2211" s="271">
        <v>2256.0</v>
      </c>
      <c r="U2211" s="62">
        <v>1.0</v>
      </c>
      <c r="V2211" s="277">
        <v>0.17</v>
      </c>
      <c r="W2211" s="277">
        <v>0.1</v>
      </c>
      <c r="X2211" s="271">
        <v>1647.0</v>
      </c>
      <c r="Y2211" s="271">
        <v>609.0</v>
      </c>
      <c r="Z2211" s="50" t="b">
        <v>1</v>
      </c>
      <c r="AA2211" s="50" t="s">
        <v>138</v>
      </c>
      <c r="AB2211" s="50" t="s">
        <v>138</v>
      </c>
    </row>
    <row r="2212">
      <c r="A2212" s="101" t="s">
        <v>199</v>
      </c>
      <c r="B2212" s="101" t="s">
        <v>199</v>
      </c>
      <c r="C2212" s="278">
        <v>44886.0</v>
      </c>
      <c r="D2212" s="278">
        <v>44915.0</v>
      </c>
      <c r="E2212" s="271" t="s">
        <v>331</v>
      </c>
      <c r="F2212" s="101" t="s">
        <v>4</v>
      </c>
      <c r="G2212" s="271" t="s">
        <v>5</v>
      </c>
      <c r="H2212" s="273" t="s">
        <v>63</v>
      </c>
      <c r="I2212" s="274">
        <v>25.0</v>
      </c>
      <c r="J2212" s="271">
        <v>220.0</v>
      </c>
      <c r="K2212" s="271">
        <f t="shared" si="1"/>
        <v>5500</v>
      </c>
      <c r="L2212" s="271">
        <v>1189.0</v>
      </c>
      <c r="M2212" s="271">
        <v>-175.0</v>
      </c>
      <c r="N2212" s="275">
        <v>195.0</v>
      </c>
      <c r="O2212" s="60"/>
      <c r="P2212" s="50">
        <v>195.0</v>
      </c>
      <c r="Q2212" s="271">
        <v>-260.0</v>
      </c>
      <c r="R2212" s="276">
        <v>1.9E-4</v>
      </c>
      <c r="S2212" s="271">
        <v>-259.0</v>
      </c>
      <c r="T2212" s="271">
        <v>-64.0</v>
      </c>
      <c r="U2212" s="62">
        <v>1.0</v>
      </c>
      <c r="V2212" s="277">
        <v>0.17</v>
      </c>
      <c r="W2212" s="277">
        <v>0.1</v>
      </c>
      <c r="X2212" s="271">
        <v>-47.0</v>
      </c>
      <c r="Y2212" s="271">
        <v>-17.0</v>
      </c>
      <c r="Z2212" s="50" t="b">
        <v>1</v>
      </c>
      <c r="AA2212" s="50" t="s">
        <v>138</v>
      </c>
      <c r="AB2212" s="50" t="s">
        <v>138</v>
      </c>
    </row>
    <row r="2213">
      <c r="A2213" s="280" t="s">
        <v>156</v>
      </c>
      <c r="B2213" s="280" t="s">
        <v>158</v>
      </c>
      <c r="C2213" s="283">
        <v>44886.0</v>
      </c>
      <c r="D2213" s="283">
        <v>44915.0</v>
      </c>
      <c r="E2213" s="280" t="s">
        <v>268</v>
      </c>
      <c r="F2213" s="138" t="s">
        <v>4</v>
      </c>
      <c r="G2213" s="280" t="s">
        <v>9</v>
      </c>
      <c r="H2213" s="290" t="s">
        <v>69</v>
      </c>
      <c r="I2213" s="281">
        <v>25.0</v>
      </c>
      <c r="J2213" s="280">
        <v>614.0</v>
      </c>
      <c r="K2213" s="271">
        <f t="shared" si="1"/>
        <v>15350</v>
      </c>
      <c r="L2213" s="280">
        <v>9997.0</v>
      </c>
      <c r="M2213" s="280">
        <v>-133.0</v>
      </c>
      <c r="N2213" s="282">
        <v>125.73</v>
      </c>
      <c r="O2213" s="60"/>
      <c r="P2213" s="50">
        <v>126.0</v>
      </c>
      <c r="Q2213" s="280">
        <v>-562.0</v>
      </c>
      <c r="R2213" s="276">
        <v>1.9E-4</v>
      </c>
      <c r="S2213" s="280">
        <v>-559.0</v>
      </c>
      <c r="T2213" s="280">
        <v>-433.0</v>
      </c>
      <c r="U2213" s="62">
        <v>1.061</v>
      </c>
      <c r="V2213" s="277">
        <v>0.25</v>
      </c>
      <c r="W2213" s="277">
        <v>0.0</v>
      </c>
      <c r="X2213" s="280">
        <v>-345.0</v>
      </c>
      <c r="Y2213" s="280">
        <v>-115.0</v>
      </c>
      <c r="Z2213" s="50" t="b">
        <v>1</v>
      </c>
      <c r="AA2213" s="50" t="s">
        <v>138</v>
      </c>
      <c r="AB2213" s="50" t="s">
        <v>140</v>
      </c>
    </row>
    <row r="2214">
      <c r="A2214" s="280" t="s">
        <v>156</v>
      </c>
      <c r="B2214" s="280" t="s">
        <v>158</v>
      </c>
      <c r="C2214" s="283">
        <v>44886.0</v>
      </c>
      <c r="D2214" s="283">
        <v>44915.0</v>
      </c>
      <c r="E2214" s="280" t="s">
        <v>268</v>
      </c>
      <c r="F2214" s="138" t="s">
        <v>4</v>
      </c>
      <c r="G2214" s="280" t="s">
        <v>9</v>
      </c>
      <c r="H2214" s="290" t="s">
        <v>64</v>
      </c>
      <c r="I2214" s="281">
        <v>25.0</v>
      </c>
      <c r="J2214" s="280">
        <v>727.0</v>
      </c>
      <c r="K2214" s="271">
        <f t="shared" si="1"/>
        <v>18175</v>
      </c>
      <c r="L2214" s="280">
        <v>71641.0</v>
      </c>
      <c r="M2214" s="280">
        <v>2759.0</v>
      </c>
      <c r="N2214" s="282">
        <v>4.27</v>
      </c>
      <c r="O2214" s="60"/>
      <c r="P2214" s="50">
        <v>4.0</v>
      </c>
      <c r="Q2214" s="280">
        <v>1689.0</v>
      </c>
      <c r="R2214" s="276">
        <v>1.9E-4</v>
      </c>
      <c r="S2214" s="280">
        <v>1692.0</v>
      </c>
      <c r="T2214" s="280">
        <v>1696.0</v>
      </c>
      <c r="U2214" s="62">
        <v>1.061</v>
      </c>
      <c r="V2214" s="277">
        <v>0.25</v>
      </c>
      <c r="W2214" s="277">
        <v>0.0</v>
      </c>
      <c r="X2214" s="280">
        <v>1350.0</v>
      </c>
      <c r="Y2214" s="280">
        <v>450.0</v>
      </c>
      <c r="Z2214" s="50" t="b">
        <v>1</v>
      </c>
      <c r="AA2214" s="50" t="s">
        <v>138</v>
      </c>
      <c r="AB2214" s="50" t="s">
        <v>140</v>
      </c>
    </row>
    <row r="2215">
      <c r="A2215" s="280" t="s">
        <v>156</v>
      </c>
      <c r="B2215" s="280" t="s">
        <v>158</v>
      </c>
      <c r="C2215" s="283">
        <v>44886.0</v>
      </c>
      <c r="D2215" s="283">
        <v>44915.0</v>
      </c>
      <c r="E2215" s="280" t="s">
        <v>268</v>
      </c>
      <c r="F2215" s="138" t="s">
        <v>4</v>
      </c>
      <c r="G2215" s="280" t="s">
        <v>9</v>
      </c>
      <c r="H2215" s="290" t="s">
        <v>77</v>
      </c>
      <c r="I2215" s="281">
        <v>50.0</v>
      </c>
      <c r="J2215" s="280">
        <v>60.0</v>
      </c>
      <c r="K2215" s="271">
        <f t="shared" si="1"/>
        <v>3000</v>
      </c>
      <c r="L2215" s="280">
        <v>8763.0</v>
      </c>
      <c r="M2215" s="280">
        <v>2122.0</v>
      </c>
      <c r="N2215" s="282">
        <v>0.0</v>
      </c>
      <c r="O2215" s="60"/>
      <c r="P2215" s="50">
        <v>0.0</v>
      </c>
      <c r="Q2215" s="280">
        <v>537.0</v>
      </c>
      <c r="R2215" s="276">
        <v>1.9E-4</v>
      </c>
      <c r="S2215" s="280">
        <v>538.0</v>
      </c>
      <c r="T2215" s="280">
        <v>538.0</v>
      </c>
      <c r="U2215" s="62">
        <v>1.061</v>
      </c>
      <c r="V2215" s="277">
        <v>0.25</v>
      </c>
      <c r="W2215" s="277">
        <v>0.0</v>
      </c>
      <c r="X2215" s="280">
        <v>428.0</v>
      </c>
      <c r="Y2215" s="280">
        <v>143.0</v>
      </c>
      <c r="Z2215" s="50" t="b">
        <v>1</v>
      </c>
      <c r="AA2215" s="50" t="s">
        <v>138</v>
      </c>
      <c r="AB2215" s="50" t="s">
        <v>140</v>
      </c>
    </row>
    <row r="2216">
      <c r="A2216" s="280" t="s">
        <v>156</v>
      </c>
      <c r="B2216" s="101" t="s">
        <v>156</v>
      </c>
      <c r="C2216" s="283">
        <v>44886.0</v>
      </c>
      <c r="D2216" s="283">
        <v>44915.0</v>
      </c>
      <c r="E2216" s="280" t="s">
        <v>268</v>
      </c>
      <c r="F2216" s="138" t="s">
        <v>4</v>
      </c>
      <c r="G2216" s="271" t="s">
        <v>5</v>
      </c>
      <c r="H2216" s="273" t="s">
        <v>62</v>
      </c>
      <c r="I2216" s="281">
        <v>25.0</v>
      </c>
      <c r="J2216" s="280">
        <v>379.0</v>
      </c>
      <c r="K2216" s="271">
        <f t="shared" si="1"/>
        <v>9475</v>
      </c>
      <c r="L2216" s="280">
        <v>13363.0</v>
      </c>
      <c r="M2216" s="280">
        <v>-100.0</v>
      </c>
      <c r="N2216" s="275">
        <v>373.0</v>
      </c>
      <c r="O2216" s="60"/>
      <c r="P2216" s="50">
        <v>373.0</v>
      </c>
      <c r="Q2216" s="280">
        <v>12.0</v>
      </c>
      <c r="R2216" s="276">
        <v>1.9E-4</v>
      </c>
      <c r="S2216" s="280">
        <v>14.0</v>
      </c>
      <c r="T2216" s="280">
        <v>387.0</v>
      </c>
      <c r="U2216" s="62">
        <v>1.0</v>
      </c>
      <c r="V2216" s="277">
        <v>0.25</v>
      </c>
      <c r="W2216" s="277">
        <v>0.0</v>
      </c>
      <c r="X2216" s="280">
        <v>290.0</v>
      </c>
      <c r="Y2216" s="280">
        <v>97.0</v>
      </c>
      <c r="Z2216" s="50" t="b">
        <v>1</v>
      </c>
      <c r="AA2216" s="50" t="s">
        <v>138</v>
      </c>
      <c r="AB2216" s="50" t="s">
        <v>138</v>
      </c>
    </row>
    <row r="2217">
      <c r="A2217" s="280" t="s">
        <v>156</v>
      </c>
      <c r="B2217" s="101" t="s">
        <v>156</v>
      </c>
      <c r="C2217" s="283">
        <v>44886.0</v>
      </c>
      <c r="D2217" s="283">
        <v>44915.0</v>
      </c>
      <c r="E2217" s="280" t="s">
        <v>268</v>
      </c>
      <c r="F2217" s="138" t="s">
        <v>4</v>
      </c>
      <c r="G2217" s="271" t="s">
        <v>5</v>
      </c>
      <c r="H2217" s="273" t="s">
        <v>74</v>
      </c>
      <c r="I2217" s="281">
        <v>50.0</v>
      </c>
      <c r="J2217" s="280">
        <v>9.0</v>
      </c>
      <c r="K2217" s="271">
        <f t="shared" si="1"/>
        <v>450</v>
      </c>
      <c r="L2217" s="280">
        <v>1834.0</v>
      </c>
      <c r="M2217" s="280">
        <v>0.0</v>
      </c>
      <c r="N2217" s="275">
        <v>18.0</v>
      </c>
      <c r="O2217" s="60"/>
      <c r="P2217" s="50">
        <v>18.0</v>
      </c>
      <c r="Q2217" s="280">
        <v>141.0</v>
      </c>
      <c r="R2217" s="276">
        <v>1.9E-4</v>
      </c>
      <c r="S2217" s="280">
        <v>141.0</v>
      </c>
      <c r="T2217" s="280">
        <v>159.0</v>
      </c>
      <c r="U2217" s="62">
        <v>1.0</v>
      </c>
      <c r="V2217" s="277">
        <v>0.25</v>
      </c>
      <c r="W2217" s="277">
        <v>0.0</v>
      </c>
      <c r="X2217" s="280">
        <v>119.0</v>
      </c>
      <c r="Y2217" s="280">
        <v>40.0</v>
      </c>
      <c r="Z2217" s="50" t="b">
        <v>1</v>
      </c>
      <c r="AA2217" s="50" t="s">
        <v>138</v>
      </c>
      <c r="AB2217" s="50" t="s">
        <v>138</v>
      </c>
    </row>
    <row r="2218">
      <c r="A2218" s="280" t="s">
        <v>156</v>
      </c>
      <c r="B2218" s="101" t="s">
        <v>156</v>
      </c>
      <c r="C2218" s="283">
        <v>44886.0</v>
      </c>
      <c r="D2218" s="283">
        <v>44915.0</v>
      </c>
      <c r="E2218" s="280" t="s">
        <v>268</v>
      </c>
      <c r="F2218" s="138" t="s">
        <v>4</v>
      </c>
      <c r="G2218" s="271" t="s">
        <v>5</v>
      </c>
      <c r="H2218" s="273" t="s">
        <v>75</v>
      </c>
      <c r="I2218" s="281">
        <v>50.0</v>
      </c>
      <c r="J2218" s="280">
        <v>3892.0</v>
      </c>
      <c r="K2218" s="271">
        <f t="shared" si="1"/>
        <v>194600</v>
      </c>
      <c r="L2218" s="280">
        <v>33334.0</v>
      </c>
      <c r="M2218" s="280">
        <v>-10250.0</v>
      </c>
      <c r="N2218" s="275">
        <v>7664.0</v>
      </c>
      <c r="O2218" s="60"/>
      <c r="P2218" s="109">
        <v>7664.0</v>
      </c>
      <c r="Q2218" s="280">
        <v>-7317.0</v>
      </c>
      <c r="R2218" s="276">
        <v>1.9E-4</v>
      </c>
      <c r="S2218" s="280">
        <v>-7280.0</v>
      </c>
      <c r="T2218" s="280">
        <v>384.0</v>
      </c>
      <c r="U2218" s="62">
        <v>1.0</v>
      </c>
      <c r="V2218" s="277">
        <v>0.25</v>
      </c>
      <c r="W2218" s="277">
        <v>0.0</v>
      </c>
      <c r="X2218" s="280">
        <v>288.0</v>
      </c>
      <c r="Y2218" s="280">
        <v>96.0</v>
      </c>
      <c r="Z2218" s="50" t="b">
        <v>1</v>
      </c>
      <c r="AA2218" s="50" t="s">
        <v>138</v>
      </c>
      <c r="AB2218" s="50" t="s">
        <v>138</v>
      </c>
    </row>
    <row r="2219">
      <c r="A2219" s="280" t="s">
        <v>156</v>
      </c>
      <c r="B2219" s="101" t="s">
        <v>156</v>
      </c>
      <c r="C2219" s="283">
        <v>44886.0</v>
      </c>
      <c r="D2219" s="283">
        <v>44915.0</v>
      </c>
      <c r="E2219" s="280" t="s">
        <v>268</v>
      </c>
      <c r="F2219" s="138" t="s">
        <v>4</v>
      </c>
      <c r="G2219" s="271" t="s">
        <v>5</v>
      </c>
      <c r="H2219" s="273" t="s">
        <v>85</v>
      </c>
      <c r="I2219" s="281">
        <v>100.0</v>
      </c>
      <c r="J2219" s="280">
        <v>731.0</v>
      </c>
      <c r="K2219" s="271">
        <f t="shared" si="1"/>
        <v>73100</v>
      </c>
      <c r="L2219" s="280">
        <v>12441.0</v>
      </c>
      <c r="M2219" s="280">
        <v>-2300.0</v>
      </c>
      <c r="N2219" s="275">
        <v>2399.0</v>
      </c>
      <c r="O2219" s="60"/>
      <c r="P2219" s="109">
        <v>2399.0</v>
      </c>
      <c r="Q2219" s="280">
        <v>-1620.0</v>
      </c>
      <c r="R2219" s="276">
        <v>1.9E-4</v>
      </c>
      <c r="S2219" s="280">
        <v>-1606.0</v>
      </c>
      <c r="T2219" s="280">
        <v>793.0</v>
      </c>
      <c r="U2219" s="62">
        <v>1.0</v>
      </c>
      <c r="V2219" s="277">
        <v>0.25</v>
      </c>
      <c r="W2219" s="277">
        <v>0.0</v>
      </c>
      <c r="X2219" s="280">
        <v>595.0</v>
      </c>
      <c r="Y2219" s="280">
        <v>198.0</v>
      </c>
      <c r="Z2219" s="50" t="b">
        <v>1</v>
      </c>
      <c r="AA2219" s="50" t="s">
        <v>138</v>
      </c>
      <c r="AB2219" s="50" t="s">
        <v>138</v>
      </c>
    </row>
    <row r="2220">
      <c r="A2220" s="280" t="s">
        <v>156</v>
      </c>
      <c r="B2220" s="101" t="s">
        <v>156</v>
      </c>
      <c r="C2220" s="283">
        <v>44886.0</v>
      </c>
      <c r="D2220" s="283">
        <v>44915.0</v>
      </c>
      <c r="E2220" s="280" t="s">
        <v>268</v>
      </c>
      <c r="F2220" s="138" t="s">
        <v>4</v>
      </c>
      <c r="G2220" s="271" t="s">
        <v>5</v>
      </c>
      <c r="H2220" s="273" t="s">
        <v>86</v>
      </c>
      <c r="I2220" s="281">
        <v>100.0</v>
      </c>
      <c r="J2220" s="280">
        <v>1729.0</v>
      </c>
      <c r="K2220" s="271">
        <f t="shared" si="1"/>
        <v>172900</v>
      </c>
      <c r="L2220" s="280">
        <v>3126.0</v>
      </c>
      <c r="M2220" s="280">
        <v>-6900.0</v>
      </c>
      <c r="N2220" s="275">
        <v>5674.0</v>
      </c>
      <c r="O2220" s="60"/>
      <c r="P2220" s="109">
        <v>5674.0</v>
      </c>
      <c r="Q2220" s="280">
        <v>-8370.0</v>
      </c>
      <c r="R2220" s="276">
        <v>1.9E-4</v>
      </c>
      <c r="S2220" s="280">
        <v>-8337.0</v>
      </c>
      <c r="T2220" s="280">
        <v>-2663.0</v>
      </c>
      <c r="U2220" s="62">
        <v>1.0</v>
      </c>
      <c r="V2220" s="277">
        <v>0.25</v>
      </c>
      <c r="W2220" s="277">
        <v>0.0</v>
      </c>
      <c r="X2220" s="280">
        <v>-1998.0</v>
      </c>
      <c r="Y2220" s="280">
        <v>-666.0</v>
      </c>
      <c r="Z2220" s="50" t="b">
        <v>1</v>
      </c>
      <c r="AA2220" s="50" t="s">
        <v>138</v>
      </c>
      <c r="AB2220" s="50" t="s">
        <v>138</v>
      </c>
    </row>
    <row r="2221">
      <c r="A2221" s="101" t="s">
        <v>156</v>
      </c>
      <c r="B2221" s="101" t="s">
        <v>153</v>
      </c>
      <c r="C2221" s="283">
        <v>44886.0</v>
      </c>
      <c r="D2221" s="283">
        <v>44915.0</v>
      </c>
      <c r="E2221" s="280" t="s">
        <v>268</v>
      </c>
      <c r="F2221" s="138" t="s">
        <v>4</v>
      </c>
      <c r="G2221" s="271" t="s">
        <v>13</v>
      </c>
      <c r="H2221" s="273" t="s">
        <v>59</v>
      </c>
      <c r="I2221" s="281">
        <v>20.0</v>
      </c>
      <c r="J2221" s="280">
        <v>42.0</v>
      </c>
      <c r="K2221" s="271">
        <f t="shared" si="1"/>
        <v>840</v>
      </c>
      <c r="L2221" s="280">
        <v>1645.0</v>
      </c>
      <c r="M2221" s="280">
        <v>320.0</v>
      </c>
      <c r="N2221" s="275">
        <v>57.0</v>
      </c>
      <c r="O2221" s="60"/>
      <c r="P2221" s="50">
        <v>57.0</v>
      </c>
      <c r="Q2221" s="280">
        <v>33.0</v>
      </c>
      <c r="R2221" s="276">
        <v>1.9E-4</v>
      </c>
      <c r="S2221" s="280">
        <v>33.0</v>
      </c>
      <c r="T2221" s="280">
        <v>90.0</v>
      </c>
      <c r="U2221" s="62">
        <v>1.0</v>
      </c>
      <c r="V2221" s="277">
        <v>0.25</v>
      </c>
      <c r="W2221" s="277">
        <v>0.0</v>
      </c>
      <c r="X2221" s="280">
        <v>68.0</v>
      </c>
      <c r="Y2221" s="280">
        <v>23.0</v>
      </c>
      <c r="Z2221" s="50" t="b">
        <v>1</v>
      </c>
      <c r="AA2221" s="50" t="s">
        <v>138</v>
      </c>
      <c r="AB2221" s="50" t="s">
        <v>138</v>
      </c>
    </row>
    <row r="2222">
      <c r="A2222" s="101" t="s">
        <v>156</v>
      </c>
      <c r="B2222" s="101" t="s">
        <v>153</v>
      </c>
      <c r="C2222" s="283">
        <v>44886.0</v>
      </c>
      <c r="D2222" s="283">
        <v>44915.0</v>
      </c>
      <c r="E2222" s="280" t="s">
        <v>268</v>
      </c>
      <c r="F2222" s="138" t="s">
        <v>4</v>
      </c>
      <c r="G2222" s="271" t="s">
        <v>13</v>
      </c>
      <c r="H2222" s="273" t="s">
        <v>74</v>
      </c>
      <c r="I2222" s="281">
        <v>50.0</v>
      </c>
      <c r="J2222" s="280">
        <v>72.0</v>
      </c>
      <c r="K2222" s="271">
        <f t="shared" si="1"/>
        <v>3600</v>
      </c>
      <c r="L2222" s="280">
        <v>2779.0</v>
      </c>
      <c r="M2222" s="280">
        <v>250.0</v>
      </c>
      <c r="N2222" s="275">
        <v>200.0</v>
      </c>
      <c r="O2222" s="60"/>
      <c r="P2222" s="50">
        <v>200.0</v>
      </c>
      <c r="Q2222" s="280">
        <v>136.0</v>
      </c>
      <c r="R2222" s="276">
        <v>1.9E-4</v>
      </c>
      <c r="S2222" s="280">
        <v>136.0</v>
      </c>
      <c r="T2222" s="280">
        <v>336.0</v>
      </c>
      <c r="U2222" s="62">
        <v>1.0</v>
      </c>
      <c r="V2222" s="277">
        <v>0.25</v>
      </c>
      <c r="W2222" s="277">
        <v>0.0</v>
      </c>
      <c r="X2222" s="280">
        <v>252.0</v>
      </c>
      <c r="Y2222" s="280">
        <v>84.0</v>
      </c>
      <c r="Z2222" s="50" t="b">
        <v>1</v>
      </c>
      <c r="AA2222" s="50" t="s">
        <v>138</v>
      </c>
      <c r="AB2222" s="50" t="s">
        <v>138</v>
      </c>
    </row>
    <row r="2223">
      <c r="A2223" s="280" t="s">
        <v>156</v>
      </c>
      <c r="B2223" s="101" t="s">
        <v>156</v>
      </c>
      <c r="C2223" s="283">
        <v>44886.0</v>
      </c>
      <c r="D2223" s="283">
        <v>44915.0</v>
      </c>
      <c r="E2223" s="280" t="s">
        <v>268</v>
      </c>
      <c r="F2223" s="138" t="s">
        <v>12</v>
      </c>
      <c r="G2223" s="271" t="s">
        <v>5</v>
      </c>
      <c r="H2223" s="273" t="s">
        <v>63</v>
      </c>
      <c r="I2223" s="274">
        <v>25.0</v>
      </c>
      <c r="J2223" s="271">
        <v>32.0</v>
      </c>
      <c r="K2223" s="271">
        <f t="shared" si="1"/>
        <v>800</v>
      </c>
      <c r="L2223" s="271"/>
      <c r="M2223" s="271">
        <v>200.0</v>
      </c>
      <c r="N2223" s="275">
        <v>32.0</v>
      </c>
      <c r="O2223" s="60"/>
      <c r="P2223" s="50">
        <v>32.0</v>
      </c>
      <c r="Q2223" s="271"/>
      <c r="R2223" s="276">
        <v>0.0</v>
      </c>
      <c r="S2223" s="271"/>
      <c r="T2223" s="271">
        <v>232.0</v>
      </c>
      <c r="U2223" s="62">
        <v>1.086</v>
      </c>
      <c r="V2223" s="277">
        <v>0.25</v>
      </c>
      <c r="W2223" s="277">
        <v>0.0</v>
      </c>
      <c r="X2223" s="271">
        <v>189.0</v>
      </c>
      <c r="Y2223" s="271">
        <v>63.0</v>
      </c>
      <c r="Z2223" s="50" t="b">
        <v>1</v>
      </c>
      <c r="AA2223" s="50" t="s">
        <v>138</v>
      </c>
      <c r="AB2223" s="50" t="s">
        <v>138</v>
      </c>
    </row>
    <row r="2224">
      <c r="A2224" s="280" t="s">
        <v>171</v>
      </c>
      <c r="B2224" s="280" t="s">
        <v>172</v>
      </c>
      <c r="C2224" s="283">
        <v>44896.0</v>
      </c>
      <c r="D2224" s="283">
        <v>44915.0</v>
      </c>
      <c r="E2224" s="280" t="s">
        <v>268</v>
      </c>
      <c r="F2224" s="138" t="s">
        <v>8</v>
      </c>
      <c r="G2224" s="280" t="s">
        <v>9</v>
      </c>
      <c r="H2224" s="290" t="s">
        <v>64</v>
      </c>
      <c r="I2224" s="281">
        <v>25.0</v>
      </c>
      <c r="J2224" s="280">
        <v>483.0</v>
      </c>
      <c r="K2224" s="271">
        <f t="shared" si="1"/>
        <v>12075</v>
      </c>
      <c r="L2224" s="280">
        <v>27414.0</v>
      </c>
      <c r="M2224" s="280">
        <v>1675.0</v>
      </c>
      <c r="N2224" s="282">
        <v>230.0</v>
      </c>
      <c r="O2224" s="60"/>
      <c r="P2224" s="50">
        <v>230.0</v>
      </c>
      <c r="Q2224" s="280">
        <v>207.0</v>
      </c>
      <c r="R2224" s="276">
        <v>-8.84E-4</v>
      </c>
      <c r="S2224" s="280">
        <v>196.0</v>
      </c>
      <c r="T2224" s="280">
        <v>426.0</v>
      </c>
      <c r="U2224" s="62">
        <v>1.0</v>
      </c>
      <c r="V2224" s="277">
        <v>0.3</v>
      </c>
      <c r="W2224" s="277">
        <v>0.0</v>
      </c>
      <c r="X2224" s="280">
        <v>298.0</v>
      </c>
      <c r="Y2224" s="280">
        <v>128.0</v>
      </c>
      <c r="Z2224" s="50" t="b">
        <v>1</v>
      </c>
      <c r="AA2224" s="50" t="s">
        <v>140</v>
      </c>
      <c r="AB2224" s="50" t="s">
        <v>140</v>
      </c>
    </row>
    <row r="2225">
      <c r="A2225" s="101" t="s">
        <v>546</v>
      </c>
      <c r="B2225" s="101" t="s">
        <v>202</v>
      </c>
      <c r="C2225" s="278">
        <v>44886.0</v>
      </c>
      <c r="D2225" s="278">
        <v>44915.0</v>
      </c>
      <c r="E2225" s="271" t="s">
        <v>331</v>
      </c>
      <c r="F2225" s="138" t="s">
        <v>4</v>
      </c>
      <c r="G2225" s="271" t="s">
        <v>13</v>
      </c>
      <c r="H2225" s="273" t="s">
        <v>85</v>
      </c>
      <c r="I2225" s="274">
        <v>100.0</v>
      </c>
      <c r="J2225" s="271">
        <v>6.0</v>
      </c>
      <c r="K2225" s="271">
        <f t="shared" si="1"/>
        <v>600</v>
      </c>
      <c r="L2225" s="271">
        <v>-1802.0</v>
      </c>
      <c r="M2225" s="271">
        <v>-300.0</v>
      </c>
      <c r="N2225" s="275">
        <f>13+400+220</f>
        <v>633</v>
      </c>
      <c r="O2225" s="60"/>
      <c r="P2225" s="50">
        <v>633.0</v>
      </c>
      <c r="Q2225" s="271">
        <v>-562.0</v>
      </c>
      <c r="R2225" s="276">
        <v>1.9E-4</v>
      </c>
      <c r="S2225" s="271">
        <v>-562.0</v>
      </c>
      <c r="T2225" s="271">
        <v>71.0</v>
      </c>
      <c r="U2225" s="62">
        <v>1.0</v>
      </c>
      <c r="V2225" s="277">
        <v>0.09</v>
      </c>
      <c r="W2225" s="277">
        <v>0.03</v>
      </c>
      <c r="X2225" s="271">
        <v>62.0</v>
      </c>
      <c r="Y2225" s="271">
        <v>8.0</v>
      </c>
      <c r="Z2225" s="50" t="b">
        <v>1</v>
      </c>
      <c r="AA2225" s="50" t="s">
        <v>138</v>
      </c>
      <c r="AB2225" s="50" t="s">
        <v>138</v>
      </c>
    </row>
    <row r="2226">
      <c r="A2226" s="101" t="s">
        <v>546</v>
      </c>
      <c r="B2226" s="101" t="s">
        <v>203</v>
      </c>
      <c r="C2226" s="278">
        <v>44886.0</v>
      </c>
      <c r="D2226" s="278">
        <v>44915.0</v>
      </c>
      <c r="E2226" s="271" t="s">
        <v>331</v>
      </c>
      <c r="F2226" s="138" t="s">
        <v>4</v>
      </c>
      <c r="G2226" s="271" t="s">
        <v>13</v>
      </c>
      <c r="H2226" s="273" t="s">
        <v>74</v>
      </c>
      <c r="I2226" s="274">
        <v>50.0</v>
      </c>
      <c r="J2226" s="271">
        <v>2340.0</v>
      </c>
      <c r="K2226" s="271">
        <f t="shared" si="1"/>
        <v>117000</v>
      </c>
      <c r="L2226" s="271">
        <v>27131.0</v>
      </c>
      <c r="M2226" s="271">
        <v>-3550.0</v>
      </c>
      <c r="N2226" s="275">
        <v>7921.74</v>
      </c>
      <c r="O2226" s="60"/>
      <c r="P2226" s="109">
        <v>7922.0</v>
      </c>
      <c r="Q2226" s="271">
        <v>-4678.0</v>
      </c>
      <c r="R2226" s="276">
        <v>1.9E-4</v>
      </c>
      <c r="S2226" s="271">
        <v>-4656.0</v>
      </c>
      <c r="T2226" s="271">
        <v>3265.0</v>
      </c>
      <c r="U2226" s="62">
        <v>1.0</v>
      </c>
      <c r="V2226" s="277">
        <v>0.09</v>
      </c>
      <c r="W2226" s="277">
        <v>0.03</v>
      </c>
      <c r="X2226" s="271">
        <v>2874.0</v>
      </c>
      <c r="Y2226" s="271">
        <v>392.0</v>
      </c>
      <c r="Z2226" s="50" t="b">
        <v>1</v>
      </c>
      <c r="AA2226" s="50" t="s">
        <v>138</v>
      </c>
      <c r="AB2226" s="50" t="s">
        <v>138</v>
      </c>
    </row>
    <row r="2227">
      <c r="A2227" s="101" t="s">
        <v>546</v>
      </c>
      <c r="B2227" s="101" t="s">
        <v>203</v>
      </c>
      <c r="C2227" s="278">
        <v>44886.0</v>
      </c>
      <c r="D2227" s="278">
        <v>44915.0</v>
      </c>
      <c r="E2227" s="271" t="s">
        <v>331</v>
      </c>
      <c r="F2227" s="138" t="s">
        <v>4</v>
      </c>
      <c r="G2227" s="271" t="s">
        <v>13</v>
      </c>
      <c r="H2227" s="273" t="s">
        <v>85</v>
      </c>
      <c r="I2227" s="274">
        <v>100.0</v>
      </c>
      <c r="J2227" s="271">
        <v>3427.0</v>
      </c>
      <c r="K2227" s="271">
        <f t="shared" si="1"/>
        <v>342700</v>
      </c>
      <c r="L2227" s="271">
        <v>20617.0</v>
      </c>
      <c r="M2227" s="271">
        <v>-19800.0</v>
      </c>
      <c r="N2227" s="275">
        <v>23203.26</v>
      </c>
      <c r="O2227" s="60"/>
      <c r="P2227" s="109">
        <v>23203.0</v>
      </c>
      <c r="Q2227" s="271">
        <v>-19202.0</v>
      </c>
      <c r="R2227" s="276">
        <v>1.9E-4</v>
      </c>
      <c r="S2227" s="271">
        <v>-19137.0</v>
      </c>
      <c r="T2227" s="271">
        <v>4066.0</v>
      </c>
      <c r="U2227" s="62">
        <v>1.0</v>
      </c>
      <c r="V2227" s="277">
        <v>0.09</v>
      </c>
      <c r="W2227" s="277">
        <v>0.03</v>
      </c>
      <c r="X2227" s="271">
        <v>3578.0</v>
      </c>
      <c r="Y2227" s="271">
        <v>488.0</v>
      </c>
      <c r="Z2227" s="50" t="b">
        <v>1</v>
      </c>
      <c r="AA2227" s="50" t="s">
        <v>138</v>
      </c>
      <c r="AB2227" s="50" t="s">
        <v>138</v>
      </c>
    </row>
    <row r="2228">
      <c r="A2228" s="101" t="s">
        <v>546</v>
      </c>
      <c r="B2228" s="101" t="s">
        <v>204</v>
      </c>
      <c r="C2228" s="278">
        <v>44886.0</v>
      </c>
      <c r="D2228" s="278">
        <v>44915.0</v>
      </c>
      <c r="E2228" s="271" t="s">
        <v>331</v>
      </c>
      <c r="F2228" s="138" t="s">
        <v>4</v>
      </c>
      <c r="G2228" s="271" t="s">
        <v>13</v>
      </c>
      <c r="H2228" s="273" t="s">
        <v>74</v>
      </c>
      <c r="I2228" s="274">
        <v>50.0</v>
      </c>
      <c r="J2228" s="271">
        <v>102.0</v>
      </c>
      <c r="K2228" s="271">
        <f t="shared" si="1"/>
        <v>5100</v>
      </c>
      <c r="L2228" s="271">
        <v>-64.0</v>
      </c>
      <c r="M2228" s="271">
        <v>-600.0</v>
      </c>
      <c r="N2228" s="275">
        <v>166.0</v>
      </c>
      <c r="O2228" s="60"/>
      <c r="P2228" s="50">
        <v>166.0</v>
      </c>
      <c r="Q2228" s="271">
        <v>-383.0</v>
      </c>
      <c r="R2228" s="276">
        <v>1.9E-4</v>
      </c>
      <c r="S2228" s="271">
        <v>-382.0</v>
      </c>
      <c r="T2228" s="271">
        <v>-216.0</v>
      </c>
      <c r="U2228" s="62">
        <v>1.0</v>
      </c>
      <c r="V2228" s="277">
        <v>0.09</v>
      </c>
      <c r="W2228" s="277">
        <v>0.03</v>
      </c>
      <c r="X2228" s="271">
        <v>-190.0</v>
      </c>
      <c r="Y2228" s="271">
        <v>-26.0</v>
      </c>
      <c r="Z2228" s="50" t="b">
        <v>1</v>
      </c>
      <c r="AA2228" s="50" t="s">
        <v>138</v>
      </c>
      <c r="AB2228" s="50" t="s">
        <v>138</v>
      </c>
    </row>
    <row r="2229">
      <c r="A2229" s="101" t="s">
        <v>160</v>
      </c>
      <c r="B2229" s="101" t="s">
        <v>160</v>
      </c>
      <c r="C2229" s="278">
        <v>44886.0</v>
      </c>
      <c r="D2229" s="278">
        <v>44915.0</v>
      </c>
      <c r="E2229" s="271" t="s">
        <v>268</v>
      </c>
      <c r="F2229" s="138" t="s">
        <v>4</v>
      </c>
      <c r="G2229" s="101" t="s">
        <v>5</v>
      </c>
      <c r="H2229" s="273" t="s">
        <v>62</v>
      </c>
      <c r="I2229" s="274">
        <v>25.0</v>
      </c>
      <c r="J2229" s="271">
        <v>797.0</v>
      </c>
      <c r="K2229" s="271">
        <f t="shared" si="1"/>
        <v>19925</v>
      </c>
      <c r="L2229" s="271">
        <v>8512.0</v>
      </c>
      <c r="M2229" s="271">
        <v>-325.0</v>
      </c>
      <c r="N2229" s="275">
        <v>1100.0</v>
      </c>
      <c r="O2229" s="60"/>
      <c r="P2229" s="109">
        <v>1100.0</v>
      </c>
      <c r="Q2229" s="271">
        <v>-881.0</v>
      </c>
      <c r="R2229" s="276">
        <v>1.9E-4</v>
      </c>
      <c r="S2229" s="271">
        <v>-877.0</v>
      </c>
      <c r="T2229" s="271">
        <v>223.0</v>
      </c>
      <c r="U2229" s="62">
        <v>1.0</v>
      </c>
      <c r="V2229" s="277">
        <v>0.3</v>
      </c>
      <c r="W2229" s="277">
        <v>0.0</v>
      </c>
      <c r="X2229" s="271">
        <v>156.0</v>
      </c>
      <c r="Y2229" s="271">
        <v>67.0</v>
      </c>
      <c r="Z2229" s="50" t="b">
        <v>1</v>
      </c>
      <c r="AA2229" s="50" t="s">
        <v>138</v>
      </c>
      <c r="AB2229" s="50" t="s">
        <v>138</v>
      </c>
    </row>
    <row r="2230">
      <c r="A2230" s="280" t="s">
        <v>176</v>
      </c>
      <c r="B2230" s="280" t="s">
        <v>176</v>
      </c>
      <c r="C2230" s="278">
        <v>44896.0</v>
      </c>
      <c r="D2230" s="278">
        <v>44915.0</v>
      </c>
      <c r="E2230" s="271" t="s">
        <v>268</v>
      </c>
      <c r="F2230" s="101" t="s">
        <v>8</v>
      </c>
      <c r="G2230" s="280" t="s">
        <v>5</v>
      </c>
      <c r="H2230" s="273" t="s">
        <v>62</v>
      </c>
      <c r="I2230" s="274">
        <v>25.0</v>
      </c>
      <c r="J2230" s="271">
        <v>582.0</v>
      </c>
      <c r="K2230" s="271">
        <f t="shared" si="1"/>
        <v>14550</v>
      </c>
      <c r="L2230" s="271">
        <v>14516.0</v>
      </c>
      <c r="M2230" s="271">
        <v>-75.0</v>
      </c>
      <c r="N2230" s="275">
        <v>210.0</v>
      </c>
      <c r="O2230" s="60"/>
      <c r="P2230" s="50">
        <v>210.0</v>
      </c>
      <c r="Q2230" s="271">
        <v>-308.0</v>
      </c>
      <c r="R2230" s="276">
        <v>-8.75E-4</v>
      </c>
      <c r="S2230" s="271">
        <v>-321.0</v>
      </c>
      <c r="T2230" s="271">
        <v>-111.0</v>
      </c>
      <c r="U2230" s="62">
        <v>1.0</v>
      </c>
      <c r="V2230" s="277">
        <v>0.17</v>
      </c>
      <c r="W2230" s="277">
        <v>0.0</v>
      </c>
      <c r="X2230" s="271">
        <v>-92.0</v>
      </c>
      <c r="Y2230" s="271">
        <v>-19.0</v>
      </c>
      <c r="Z2230" s="50" t="b">
        <v>0</v>
      </c>
      <c r="AA2230" s="50" t="s">
        <v>138</v>
      </c>
      <c r="AB2230" s="50" t="s">
        <v>138</v>
      </c>
    </row>
    <row r="2231">
      <c r="A2231" s="280" t="s">
        <v>176</v>
      </c>
      <c r="B2231" s="280" t="s">
        <v>176</v>
      </c>
      <c r="C2231" s="278">
        <v>44896.0</v>
      </c>
      <c r="D2231" s="278">
        <v>44915.0</v>
      </c>
      <c r="E2231" s="271" t="s">
        <v>268</v>
      </c>
      <c r="F2231" s="101" t="s">
        <v>12</v>
      </c>
      <c r="G2231" s="280" t="s">
        <v>5</v>
      </c>
      <c r="H2231" s="273" t="s">
        <v>45</v>
      </c>
      <c r="I2231" s="274">
        <v>10.0</v>
      </c>
      <c r="J2231" s="271">
        <v>1949.0</v>
      </c>
      <c r="K2231" s="271">
        <f t="shared" si="1"/>
        <v>19490</v>
      </c>
      <c r="L2231" s="271">
        <f>62.73*J2231</f>
        <v>122260.77</v>
      </c>
      <c r="M2231" s="271">
        <v>340.0</v>
      </c>
      <c r="N2231" s="275">
        <v>329.0</v>
      </c>
      <c r="O2231" s="60"/>
      <c r="P2231" s="50">
        <v>329.0</v>
      </c>
      <c r="Q2231" s="271">
        <v>800.0</v>
      </c>
      <c r="R2231" s="276">
        <v>0.0</v>
      </c>
      <c r="S2231" s="271">
        <v>800.0</v>
      </c>
      <c r="T2231" s="271">
        <v>669.0</v>
      </c>
      <c r="U2231" s="62">
        <v>1.0</v>
      </c>
      <c r="V2231" s="277">
        <v>0.17</v>
      </c>
      <c r="W2231" s="277">
        <v>0.0</v>
      </c>
      <c r="X2231" s="271">
        <v>555.0</v>
      </c>
      <c r="Y2231" s="271">
        <v>114.0</v>
      </c>
      <c r="Z2231" s="50" t="b">
        <v>0</v>
      </c>
      <c r="AA2231" s="50" t="s">
        <v>138</v>
      </c>
      <c r="AB2231" s="50" t="s">
        <v>138</v>
      </c>
    </row>
    <row r="2232">
      <c r="A2232" s="101" t="s">
        <v>205</v>
      </c>
      <c r="B2232" s="101" t="s">
        <v>205</v>
      </c>
      <c r="C2232" s="278">
        <v>44886.0</v>
      </c>
      <c r="D2232" s="278">
        <v>44915.0</v>
      </c>
      <c r="E2232" s="271" t="s">
        <v>268</v>
      </c>
      <c r="F2232" s="138" t="s">
        <v>4</v>
      </c>
      <c r="G2232" s="101" t="s">
        <v>5</v>
      </c>
      <c r="H2232" s="273" t="s">
        <v>62</v>
      </c>
      <c r="I2232" s="274">
        <v>25.0</v>
      </c>
      <c r="J2232" s="271">
        <v>115.0</v>
      </c>
      <c r="K2232" s="271">
        <f t="shared" si="1"/>
        <v>2875</v>
      </c>
      <c r="L2232" s="271">
        <v>3808.0</v>
      </c>
      <c r="M2232" s="271">
        <v>-150.0</v>
      </c>
      <c r="N2232" s="275">
        <v>124.27</v>
      </c>
      <c r="O2232" s="60"/>
      <c r="P2232" s="50">
        <v>124.0</v>
      </c>
      <c r="Q2232" s="271">
        <v>-18.0</v>
      </c>
      <c r="R2232" s="276">
        <v>1.9E-4</v>
      </c>
      <c r="S2232" s="271">
        <v>-17.0</v>
      </c>
      <c r="T2232" s="271">
        <v>107.0</v>
      </c>
      <c r="U2232" s="62">
        <v>1.0</v>
      </c>
      <c r="V2232" s="277">
        <v>0.23</v>
      </c>
      <c r="W2232" s="277">
        <v>0.0</v>
      </c>
      <c r="X2232" s="271">
        <v>83.0</v>
      </c>
      <c r="Y2232" s="271">
        <v>25.0</v>
      </c>
      <c r="Z2232" s="50" t="b">
        <v>1</v>
      </c>
      <c r="AA2232" s="50" t="s">
        <v>138</v>
      </c>
      <c r="AB2232" s="50" t="s">
        <v>138</v>
      </c>
    </row>
    <row r="2233">
      <c r="A2233" s="101" t="s">
        <v>205</v>
      </c>
      <c r="B2233" s="101" t="s">
        <v>205</v>
      </c>
      <c r="C2233" s="278">
        <v>44886.0</v>
      </c>
      <c r="D2233" s="278">
        <v>44915.0</v>
      </c>
      <c r="E2233" s="271" t="s">
        <v>268</v>
      </c>
      <c r="F2233" s="138" t="s">
        <v>4</v>
      </c>
      <c r="G2233" s="101" t="s">
        <v>5</v>
      </c>
      <c r="H2233" s="273" t="s">
        <v>63</v>
      </c>
      <c r="I2233" s="274">
        <v>25.0</v>
      </c>
      <c r="J2233" s="271">
        <v>5359.0</v>
      </c>
      <c r="K2233" s="271">
        <f t="shared" si="1"/>
        <v>133975</v>
      </c>
      <c r="L2233" s="271">
        <v>51997.0</v>
      </c>
      <c r="M2233" s="271">
        <v>-250.0</v>
      </c>
      <c r="N2233" s="275">
        <v>5791.0</v>
      </c>
      <c r="O2233" s="60"/>
      <c r="P2233" s="109">
        <v>5791.0</v>
      </c>
      <c r="Q2233" s="271">
        <v>-5025.0</v>
      </c>
      <c r="R2233" s="276">
        <v>1.9E-4</v>
      </c>
      <c r="S2233" s="271">
        <v>-4999.0</v>
      </c>
      <c r="T2233" s="271">
        <v>792.0</v>
      </c>
      <c r="U2233" s="62">
        <v>1.0</v>
      </c>
      <c r="V2233" s="277">
        <v>0.23</v>
      </c>
      <c r="W2233" s="277">
        <v>0.0</v>
      </c>
      <c r="X2233" s="271">
        <v>610.0</v>
      </c>
      <c r="Y2233" s="271">
        <v>182.0</v>
      </c>
      <c r="Z2233" s="50" t="b">
        <v>1</v>
      </c>
      <c r="AA2233" s="50" t="s">
        <v>138</v>
      </c>
      <c r="AB2233" s="50" t="s">
        <v>138</v>
      </c>
    </row>
    <row r="2234">
      <c r="A2234" s="101" t="s">
        <v>205</v>
      </c>
      <c r="B2234" s="101" t="s">
        <v>205</v>
      </c>
      <c r="C2234" s="278">
        <v>44886.0</v>
      </c>
      <c r="D2234" s="278">
        <v>44915.0</v>
      </c>
      <c r="E2234" s="271" t="s">
        <v>268</v>
      </c>
      <c r="F2234" s="138" t="s">
        <v>4</v>
      </c>
      <c r="G2234" s="101" t="s">
        <v>5</v>
      </c>
      <c r="H2234" s="273" t="s">
        <v>74</v>
      </c>
      <c r="I2234" s="274">
        <v>50.0</v>
      </c>
      <c r="J2234" s="271">
        <v>1172.0</v>
      </c>
      <c r="K2234" s="271">
        <f t="shared" si="1"/>
        <v>58600</v>
      </c>
      <c r="L2234" s="271">
        <v>24531.0</v>
      </c>
      <c r="M2234" s="271">
        <v>-1200.0</v>
      </c>
      <c r="N2234" s="275">
        <v>2532.95</v>
      </c>
      <c r="O2234" s="60"/>
      <c r="P2234" s="109">
        <v>2533.0</v>
      </c>
      <c r="Q2234" s="271">
        <v>-1681.0</v>
      </c>
      <c r="R2234" s="276">
        <v>1.9E-4</v>
      </c>
      <c r="S2234" s="271">
        <v>-1669.0</v>
      </c>
      <c r="T2234" s="271">
        <v>864.0</v>
      </c>
      <c r="U2234" s="62">
        <v>1.0</v>
      </c>
      <c r="V2234" s="277">
        <v>0.23</v>
      </c>
      <c r="W2234" s="277">
        <v>0.0</v>
      </c>
      <c r="X2234" s="271">
        <v>665.0</v>
      </c>
      <c r="Y2234" s="271">
        <v>199.0</v>
      </c>
      <c r="Z2234" s="50" t="b">
        <v>1</v>
      </c>
      <c r="AA2234" s="50" t="s">
        <v>138</v>
      </c>
      <c r="AB2234" s="50" t="s">
        <v>138</v>
      </c>
    </row>
    <row r="2235">
      <c r="A2235" s="101" t="s">
        <v>205</v>
      </c>
      <c r="B2235" s="101" t="s">
        <v>205</v>
      </c>
      <c r="C2235" s="278">
        <v>44886.0</v>
      </c>
      <c r="D2235" s="278">
        <v>44915.0</v>
      </c>
      <c r="E2235" s="271" t="s">
        <v>268</v>
      </c>
      <c r="F2235" s="138" t="s">
        <v>4</v>
      </c>
      <c r="G2235" s="101" t="s">
        <v>5</v>
      </c>
      <c r="H2235" s="273" t="s">
        <v>75</v>
      </c>
      <c r="I2235" s="274">
        <v>50.0</v>
      </c>
      <c r="J2235" s="271">
        <v>5355.0</v>
      </c>
      <c r="K2235" s="271">
        <f t="shared" si="1"/>
        <v>267750</v>
      </c>
      <c r="L2235" s="271">
        <v>34365.0</v>
      </c>
      <c r="M2235" s="271">
        <v>-13300.0</v>
      </c>
      <c r="N2235" s="275">
        <v>11573.36</v>
      </c>
      <c r="O2235" s="60"/>
      <c r="P2235" s="109">
        <v>11573.0</v>
      </c>
      <c r="Q2235" s="271">
        <v>-12760.0</v>
      </c>
      <c r="R2235" s="276">
        <v>1.9E-4</v>
      </c>
      <c r="S2235" s="271">
        <v>-12710.0</v>
      </c>
      <c r="T2235" s="271">
        <v>-1136.0</v>
      </c>
      <c r="U2235" s="62">
        <v>1.0</v>
      </c>
      <c r="V2235" s="277">
        <v>0.23</v>
      </c>
      <c r="W2235" s="277">
        <v>0.0</v>
      </c>
      <c r="X2235" s="271">
        <v>-875.0</v>
      </c>
      <c r="Y2235" s="271">
        <v>-261.0</v>
      </c>
      <c r="Z2235" s="50" t="b">
        <v>1</v>
      </c>
      <c r="AA2235" s="50" t="s">
        <v>138</v>
      </c>
      <c r="AB2235" s="50" t="s">
        <v>138</v>
      </c>
    </row>
    <row r="2236">
      <c r="A2236" s="101" t="s">
        <v>205</v>
      </c>
      <c r="B2236" s="101" t="s">
        <v>205</v>
      </c>
      <c r="C2236" s="278">
        <v>44886.0</v>
      </c>
      <c r="D2236" s="278">
        <v>44915.0</v>
      </c>
      <c r="E2236" s="271" t="s">
        <v>268</v>
      </c>
      <c r="F2236" s="138" t="s">
        <v>12</v>
      </c>
      <c r="G2236" s="101" t="s">
        <v>5</v>
      </c>
      <c r="H2236" s="273" t="s">
        <v>6</v>
      </c>
      <c r="I2236" s="274">
        <v>0.25</v>
      </c>
      <c r="J2236" s="271">
        <v>1.0</v>
      </c>
      <c r="K2236" s="271">
        <f t="shared" si="1"/>
        <v>0.25</v>
      </c>
      <c r="L2236" s="271"/>
      <c r="M2236" s="271">
        <v>0.0</v>
      </c>
      <c r="N2236" s="275">
        <v>0.01</v>
      </c>
      <c r="O2236" s="60"/>
      <c r="P2236" s="50">
        <v>0.0</v>
      </c>
      <c r="Q2236" s="271"/>
      <c r="R2236" s="276">
        <v>0.0</v>
      </c>
      <c r="S2236" s="271"/>
      <c r="T2236" s="271">
        <v>0.0</v>
      </c>
      <c r="U2236" s="62">
        <v>1.0</v>
      </c>
      <c r="V2236" s="277">
        <v>0.23</v>
      </c>
      <c r="W2236" s="277">
        <v>0.0</v>
      </c>
      <c r="X2236" s="271">
        <v>0.0</v>
      </c>
      <c r="Y2236" s="271">
        <v>0.0</v>
      </c>
      <c r="Z2236" s="50" t="b">
        <v>1</v>
      </c>
      <c r="AA2236" s="50" t="s">
        <v>138</v>
      </c>
      <c r="AB2236" s="50" t="s">
        <v>138</v>
      </c>
    </row>
    <row r="2237">
      <c r="A2237" s="101" t="s">
        <v>205</v>
      </c>
      <c r="B2237" s="101" t="s">
        <v>205</v>
      </c>
      <c r="C2237" s="278">
        <v>44886.0</v>
      </c>
      <c r="D2237" s="278">
        <v>44915.0</v>
      </c>
      <c r="E2237" s="271" t="s">
        <v>268</v>
      </c>
      <c r="F2237" s="138" t="s">
        <v>12</v>
      </c>
      <c r="G2237" s="101" t="s">
        <v>5</v>
      </c>
      <c r="H2237" s="273" t="s">
        <v>20</v>
      </c>
      <c r="I2237" s="274">
        <v>1.0</v>
      </c>
      <c r="J2237" s="271">
        <v>4.0</v>
      </c>
      <c r="K2237" s="271">
        <f t="shared" si="1"/>
        <v>4</v>
      </c>
      <c r="L2237" s="271"/>
      <c r="M2237" s="271">
        <v>3.0</v>
      </c>
      <c r="N2237" s="275">
        <v>0.23</v>
      </c>
      <c r="O2237" s="60"/>
      <c r="P2237" s="50">
        <v>0.0</v>
      </c>
      <c r="Q2237" s="271"/>
      <c r="R2237" s="276">
        <v>0.0</v>
      </c>
      <c r="S2237" s="271"/>
      <c r="T2237" s="271">
        <v>3.0</v>
      </c>
      <c r="U2237" s="62">
        <v>1.0</v>
      </c>
      <c r="V2237" s="277">
        <v>0.23</v>
      </c>
      <c r="W2237" s="277">
        <v>0.0</v>
      </c>
      <c r="X2237" s="271">
        <v>2.0</v>
      </c>
      <c r="Y2237" s="271">
        <v>1.0</v>
      </c>
      <c r="Z2237" s="50" t="b">
        <v>1</v>
      </c>
      <c r="AA2237" s="50" t="s">
        <v>138</v>
      </c>
      <c r="AB2237" s="50" t="s">
        <v>138</v>
      </c>
    </row>
    <row r="2238">
      <c r="A2238" s="101" t="s">
        <v>205</v>
      </c>
      <c r="B2238" s="101" t="s">
        <v>205</v>
      </c>
      <c r="C2238" s="278">
        <v>44886.0</v>
      </c>
      <c r="D2238" s="278">
        <v>44915.0</v>
      </c>
      <c r="E2238" s="271" t="s">
        <v>268</v>
      </c>
      <c r="F2238" s="138" t="s">
        <v>12</v>
      </c>
      <c r="G2238" s="101" t="s">
        <v>5</v>
      </c>
      <c r="H2238" s="273" t="s">
        <v>23</v>
      </c>
      <c r="I2238" s="274">
        <v>1.0</v>
      </c>
      <c r="J2238" s="271">
        <v>1.0</v>
      </c>
      <c r="K2238" s="271">
        <f t="shared" si="1"/>
        <v>1</v>
      </c>
      <c r="L2238" s="271"/>
      <c r="M2238" s="271">
        <v>1.0</v>
      </c>
      <c r="N2238" s="275">
        <v>0.06</v>
      </c>
      <c r="O2238" s="60"/>
      <c r="P2238" s="50">
        <v>0.0</v>
      </c>
      <c r="Q2238" s="271"/>
      <c r="R2238" s="276">
        <v>0.0</v>
      </c>
      <c r="S2238" s="271"/>
      <c r="T2238" s="271">
        <v>1.0</v>
      </c>
      <c r="U2238" s="62">
        <v>1.0</v>
      </c>
      <c r="V2238" s="277">
        <v>0.23</v>
      </c>
      <c r="W2238" s="277">
        <v>0.0</v>
      </c>
      <c r="X2238" s="271">
        <v>1.0</v>
      </c>
      <c r="Y2238" s="271">
        <v>0.0</v>
      </c>
      <c r="Z2238" s="50" t="b">
        <v>1</v>
      </c>
      <c r="AA2238" s="50" t="s">
        <v>138</v>
      </c>
      <c r="AB2238" s="50" t="s">
        <v>138</v>
      </c>
    </row>
    <row r="2239">
      <c r="A2239" s="101" t="s">
        <v>205</v>
      </c>
      <c r="B2239" s="101" t="s">
        <v>205</v>
      </c>
      <c r="C2239" s="278">
        <v>44886.0</v>
      </c>
      <c r="D2239" s="278">
        <v>44915.0</v>
      </c>
      <c r="E2239" s="271" t="s">
        <v>268</v>
      </c>
      <c r="F2239" s="138" t="s">
        <v>12</v>
      </c>
      <c r="G2239" s="101" t="s">
        <v>5</v>
      </c>
      <c r="H2239" s="273" t="s">
        <v>29</v>
      </c>
      <c r="I2239" s="274">
        <v>2.0</v>
      </c>
      <c r="J2239" s="271">
        <v>1.0</v>
      </c>
      <c r="K2239" s="271">
        <f t="shared" si="1"/>
        <v>2</v>
      </c>
      <c r="L2239" s="271"/>
      <c r="M2239" s="271">
        <v>2.0</v>
      </c>
      <c r="N2239" s="275">
        <v>0.12</v>
      </c>
      <c r="O2239" s="60"/>
      <c r="P2239" s="50">
        <v>0.0</v>
      </c>
      <c r="Q2239" s="271"/>
      <c r="R2239" s="276">
        <v>0.0</v>
      </c>
      <c r="S2239" s="271"/>
      <c r="T2239" s="271">
        <v>2.0</v>
      </c>
      <c r="U2239" s="62">
        <v>1.0</v>
      </c>
      <c r="V2239" s="277">
        <v>0.23</v>
      </c>
      <c r="W2239" s="277">
        <v>0.0</v>
      </c>
      <c r="X2239" s="271">
        <v>2.0</v>
      </c>
      <c r="Y2239" s="271">
        <v>0.0</v>
      </c>
      <c r="Z2239" s="50" t="b">
        <v>1</v>
      </c>
      <c r="AA2239" s="50" t="s">
        <v>138</v>
      </c>
      <c r="AB2239" s="50" t="s">
        <v>138</v>
      </c>
    </row>
    <row r="2240">
      <c r="A2240" s="101" t="s">
        <v>207</v>
      </c>
      <c r="B2240" s="101" t="s">
        <v>208</v>
      </c>
      <c r="C2240" s="278">
        <v>44886.0</v>
      </c>
      <c r="D2240" s="278">
        <v>44915.0</v>
      </c>
      <c r="E2240" s="271" t="s">
        <v>268</v>
      </c>
      <c r="F2240" s="138" t="s">
        <v>4</v>
      </c>
      <c r="G2240" s="101" t="s">
        <v>13</v>
      </c>
      <c r="H2240" s="273" t="s">
        <v>45</v>
      </c>
      <c r="I2240" s="274">
        <v>10.0</v>
      </c>
      <c r="J2240" s="271">
        <v>3892.0</v>
      </c>
      <c r="K2240" s="271">
        <f t="shared" si="1"/>
        <v>38920</v>
      </c>
      <c r="L2240" s="271">
        <v>75820.0</v>
      </c>
      <c r="M2240" s="271">
        <v>480.0</v>
      </c>
      <c r="N2240" s="275">
        <v>2231.11</v>
      </c>
      <c r="O2240" s="60"/>
      <c r="P2240" s="109">
        <v>2231.0</v>
      </c>
      <c r="Q2240" s="271">
        <v>-673.0</v>
      </c>
      <c r="R2240" s="276">
        <v>1.9E-4</v>
      </c>
      <c r="S2240" s="271">
        <v>-666.0</v>
      </c>
      <c r="T2240" s="271">
        <v>1566.0</v>
      </c>
      <c r="U2240" s="62">
        <v>1.0</v>
      </c>
      <c r="V2240" s="277">
        <v>0.22</v>
      </c>
      <c r="W2240" s="277">
        <v>0.0</v>
      </c>
      <c r="X2240" s="271">
        <v>1221.0</v>
      </c>
      <c r="Y2240" s="271">
        <v>344.0</v>
      </c>
      <c r="Z2240" s="50" t="b">
        <v>1</v>
      </c>
      <c r="AA2240" s="50" t="s">
        <v>138</v>
      </c>
      <c r="AB2240" s="50" t="s">
        <v>138</v>
      </c>
    </row>
    <row r="2241">
      <c r="A2241" s="101" t="s">
        <v>207</v>
      </c>
      <c r="B2241" s="101" t="s">
        <v>208</v>
      </c>
      <c r="C2241" s="278">
        <v>44886.0</v>
      </c>
      <c r="D2241" s="278">
        <v>44915.0</v>
      </c>
      <c r="E2241" s="271" t="s">
        <v>268</v>
      </c>
      <c r="F2241" s="138" t="s">
        <v>4</v>
      </c>
      <c r="G2241" s="101" t="s">
        <v>13</v>
      </c>
      <c r="H2241" s="273" t="s">
        <v>59</v>
      </c>
      <c r="I2241" s="274">
        <v>20.0</v>
      </c>
      <c r="J2241" s="271">
        <v>3173.0</v>
      </c>
      <c r="K2241" s="271">
        <f t="shared" si="1"/>
        <v>63460</v>
      </c>
      <c r="L2241" s="271">
        <v>30658.0</v>
      </c>
      <c r="M2241" s="271">
        <v>-5340.0</v>
      </c>
      <c r="N2241" s="275">
        <v>3637.89</v>
      </c>
      <c r="O2241" s="60"/>
      <c r="P2241" s="109">
        <v>3638.0</v>
      </c>
      <c r="Q2241" s="271">
        <v>-2890.0</v>
      </c>
      <c r="R2241" s="276">
        <v>1.9E-4</v>
      </c>
      <c r="S2241" s="271">
        <v>-2878.0</v>
      </c>
      <c r="T2241" s="271">
        <v>760.0</v>
      </c>
      <c r="U2241" s="62">
        <v>1.0</v>
      </c>
      <c r="V2241" s="277">
        <v>0.22</v>
      </c>
      <c r="W2241" s="277">
        <v>0.0</v>
      </c>
      <c r="X2241" s="271">
        <v>593.0</v>
      </c>
      <c r="Y2241" s="271">
        <v>167.0</v>
      </c>
      <c r="Z2241" s="50" t="b">
        <v>1</v>
      </c>
      <c r="AA2241" s="50" t="s">
        <v>138</v>
      </c>
      <c r="AB2241" s="50" t="s">
        <v>138</v>
      </c>
    </row>
    <row r="2242">
      <c r="A2242" s="101" t="s">
        <v>210</v>
      </c>
      <c r="B2242" s="101" t="s">
        <v>210</v>
      </c>
      <c r="C2242" s="278">
        <v>44886.0</v>
      </c>
      <c r="D2242" s="278">
        <v>44915.0</v>
      </c>
      <c r="E2242" s="271" t="s">
        <v>268</v>
      </c>
      <c r="F2242" s="101" t="s">
        <v>4</v>
      </c>
      <c r="G2242" s="271" t="s">
        <v>5</v>
      </c>
      <c r="H2242" s="290" t="s">
        <v>35</v>
      </c>
      <c r="I2242" s="281">
        <v>5.0</v>
      </c>
      <c r="J2242" s="280">
        <v>4.0</v>
      </c>
      <c r="K2242" s="271">
        <f t="shared" si="1"/>
        <v>20</v>
      </c>
      <c r="L2242" s="280">
        <v>572.0</v>
      </c>
      <c r="M2242" s="280">
        <v>5.0</v>
      </c>
      <c r="N2242" s="275">
        <v>1.0</v>
      </c>
      <c r="O2242" s="60"/>
      <c r="P2242" s="50">
        <v>1.0</v>
      </c>
      <c r="Q2242" s="280">
        <v>3.0</v>
      </c>
      <c r="R2242" s="276">
        <v>1.9E-4</v>
      </c>
      <c r="S2242" s="280">
        <v>3.0</v>
      </c>
      <c r="T2242" s="280">
        <v>4.0</v>
      </c>
      <c r="U2242" s="62">
        <v>1.0</v>
      </c>
      <c r="V2242" s="277">
        <v>0.23</v>
      </c>
      <c r="W2242" s="277">
        <v>0.0</v>
      </c>
      <c r="X2242" s="280">
        <v>3.0</v>
      </c>
      <c r="Y2242" s="280">
        <v>1.0</v>
      </c>
      <c r="Z2242" s="50" t="b">
        <v>1</v>
      </c>
      <c r="AA2242" s="50" t="s">
        <v>138</v>
      </c>
      <c r="AB2242" s="50" t="s">
        <v>138</v>
      </c>
    </row>
    <row r="2243">
      <c r="A2243" s="101" t="s">
        <v>210</v>
      </c>
      <c r="B2243" s="101" t="s">
        <v>210</v>
      </c>
      <c r="C2243" s="278">
        <v>44886.0</v>
      </c>
      <c r="D2243" s="278">
        <v>44915.0</v>
      </c>
      <c r="E2243" s="271" t="s">
        <v>268</v>
      </c>
      <c r="F2243" s="101" t="s">
        <v>4</v>
      </c>
      <c r="G2243" s="271" t="s">
        <v>5</v>
      </c>
      <c r="H2243" s="290" t="s">
        <v>45</v>
      </c>
      <c r="I2243" s="281">
        <v>10.0</v>
      </c>
      <c r="J2243" s="280">
        <v>1.0</v>
      </c>
      <c r="K2243" s="271">
        <f t="shared" si="1"/>
        <v>10</v>
      </c>
      <c r="L2243" s="280">
        <v>485.0</v>
      </c>
      <c r="M2243" s="280">
        <v>40.0</v>
      </c>
      <c r="N2243" s="275"/>
      <c r="O2243" s="60"/>
      <c r="P2243" s="101"/>
      <c r="Q2243" s="280">
        <v>8.0</v>
      </c>
      <c r="R2243" s="276">
        <v>1.9E-4</v>
      </c>
      <c r="S2243" s="280">
        <v>8.0</v>
      </c>
      <c r="T2243" s="280">
        <v>8.0</v>
      </c>
      <c r="U2243" s="62">
        <v>1.0</v>
      </c>
      <c r="V2243" s="277">
        <v>0.23</v>
      </c>
      <c r="W2243" s="277">
        <v>0.0</v>
      </c>
      <c r="X2243" s="280">
        <v>6.0</v>
      </c>
      <c r="Y2243" s="280">
        <v>2.0</v>
      </c>
      <c r="Z2243" s="50" t="b">
        <v>1</v>
      </c>
      <c r="AA2243" s="50" t="s">
        <v>138</v>
      </c>
      <c r="AB2243" s="50" t="s">
        <v>138</v>
      </c>
    </row>
    <row r="2244">
      <c r="A2244" s="101" t="s">
        <v>210</v>
      </c>
      <c r="B2244" s="101" t="s">
        <v>210</v>
      </c>
      <c r="C2244" s="278">
        <v>44886.0</v>
      </c>
      <c r="D2244" s="278">
        <v>44915.0</v>
      </c>
      <c r="E2244" s="271" t="s">
        <v>268</v>
      </c>
      <c r="F2244" s="101" t="s">
        <v>4</v>
      </c>
      <c r="G2244" s="271" t="s">
        <v>5</v>
      </c>
      <c r="H2244" s="290" t="s">
        <v>62</v>
      </c>
      <c r="I2244" s="281">
        <v>25.0</v>
      </c>
      <c r="J2244" s="280">
        <v>2097.0</v>
      </c>
      <c r="K2244" s="271">
        <f t="shared" si="1"/>
        <v>52425</v>
      </c>
      <c r="L2244" s="280">
        <v>58557.0</v>
      </c>
      <c r="M2244" s="280">
        <v>-2875.0</v>
      </c>
      <c r="N2244" s="275">
        <v>1767.0</v>
      </c>
      <c r="O2244" s="60"/>
      <c r="P2244" s="109">
        <v>1767.0</v>
      </c>
      <c r="Q2244" s="280">
        <v>-641.0</v>
      </c>
      <c r="R2244" s="276">
        <v>1.9E-4</v>
      </c>
      <c r="S2244" s="280">
        <v>-631.0</v>
      </c>
      <c r="T2244" s="280">
        <v>1136.0</v>
      </c>
      <c r="U2244" s="62">
        <v>1.0</v>
      </c>
      <c r="V2244" s="277">
        <v>0.23</v>
      </c>
      <c r="W2244" s="277">
        <v>0.0</v>
      </c>
      <c r="X2244" s="280">
        <v>875.0</v>
      </c>
      <c r="Y2244" s="280">
        <v>261.0</v>
      </c>
      <c r="Z2244" s="50" t="b">
        <v>1</v>
      </c>
      <c r="AA2244" s="50" t="s">
        <v>138</v>
      </c>
      <c r="AB2244" s="50" t="s">
        <v>138</v>
      </c>
    </row>
    <row r="2245">
      <c r="A2245" s="280" t="s">
        <v>233</v>
      </c>
      <c r="B2245" s="280" t="s">
        <v>212</v>
      </c>
      <c r="C2245" s="283">
        <v>44896.0</v>
      </c>
      <c r="D2245" s="278">
        <v>44915.0</v>
      </c>
      <c r="E2245" s="280" t="s">
        <v>268</v>
      </c>
      <c r="F2245" s="101" t="s">
        <v>8</v>
      </c>
      <c r="G2245" s="271" t="s">
        <v>5</v>
      </c>
      <c r="H2245" s="273" t="s">
        <v>62</v>
      </c>
      <c r="I2245" s="274">
        <v>25.0</v>
      </c>
      <c r="J2245" s="271">
        <v>1128.0</v>
      </c>
      <c r="K2245" s="271">
        <f t="shared" si="1"/>
        <v>28200</v>
      </c>
      <c r="L2245" s="271">
        <v>24999.0</v>
      </c>
      <c r="M2245" s="271">
        <v>525.0</v>
      </c>
      <c r="N2245" s="275">
        <v>993.0</v>
      </c>
      <c r="O2245" s="60"/>
      <c r="P2245" s="50">
        <v>993.0</v>
      </c>
      <c r="Q2245" s="271">
        <v>-646.0</v>
      </c>
      <c r="R2245" s="276">
        <v>-8.54E-4</v>
      </c>
      <c r="S2245" s="271">
        <v>-670.0</v>
      </c>
      <c r="T2245" s="271">
        <v>323.0</v>
      </c>
      <c r="U2245" s="62">
        <v>1.0</v>
      </c>
      <c r="V2245" s="277">
        <v>0.23</v>
      </c>
      <c r="W2245" s="277">
        <v>0.0</v>
      </c>
      <c r="X2245" s="271">
        <v>249.0</v>
      </c>
      <c r="Y2245" s="271">
        <v>74.0</v>
      </c>
      <c r="Z2245" s="50" t="b">
        <v>1</v>
      </c>
      <c r="AA2245" s="50" t="s">
        <v>138</v>
      </c>
      <c r="AB2245" s="50" t="s">
        <v>138</v>
      </c>
    </row>
    <row r="2246">
      <c r="A2246" s="280" t="s">
        <v>233</v>
      </c>
      <c r="B2246" s="280" t="s">
        <v>212</v>
      </c>
      <c r="C2246" s="283">
        <v>44896.0</v>
      </c>
      <c r="D2246" s="278">
        <v>44915.0</v>
      </c>
      <c r="E2246" s="280" t="s">
        <v>268</v>
      </c>
      <c r="F2246" s="101" t="s">
        <v>8</v>
      </c>
      <c r="G2246" s="271" t="s">
        <v>5</v>
      </c>
      <c r="H2246" s="273" t="s">
        <v>45</v>
      </c>
      <c r="I2246" s="274">
        <v>10.0</v>
      </c>
      <c r="J2246" s="271">
        <v>426.0</v>
      </c>
      <c r="K2246" s="271">
        <f t="shared" si="1"/>
        <v>4260</v>
      </c>
      <c r="L2246" s="271">
        <v>35351.0</v>
      </c>
      <c r="M2246" s="271">
        <v>460.0</v>
      </c>
      <c r="N2246" s="275">
        <v>175.0</v>
      </c>
      <c r="O2246" s="60"/>
      <c r="P2246" s="50">
        <v>175.0</v>
      </c>
      <c r="Q2246" s="271">
        <v>333.0</v>
      </c>
      <c r="R2246" s="276">
        <v>-7.52E-4</v>
      </c>
      <c r="S2246" s="271">
        <v>330.0</v>
      </c>
      <c r="T2246" s="271">
        <v>505.0</v>
      </c>
      <c r="U2246" s="62">
        <v>1.0</v>
      </c>
      <c r="V2246" s="277">
        <v>0.23</v>
      </c>
      <c r="W2246" s="277">
        <v>0.0</v>
      </c>
      <c r="X2246" s="271">
        <v>389.0</v>
      </c>
      <c r="Y2246" s="271">
        <v>116.0</v>
      </c>
      <c r="Z2246" s="50" t="b">
        <v>1</v>
      </c>
      <c r="AA2246" s="50" t="s">
        <v>138</v>
      </c>
      <c r="AB2246" s="50" t="s">
        <v>138</v>
      </c>
    </row>
    <row r="2247">
      <c r="A2247" s="280" t="s">
        <v>233</v>
      </c>
      <c r="B2247" s="280" t="s">
        <v>212</v>
      </c>
      <c r="C2247" s="283">
        <v>44896.0</v>
      </c>
      <c r="D2247" s="278">
        <v>44915.0</v>
      </c>
      <c r="E2247" s="280" t="s">
        <v>268</v>
      </c>
      <c r="F2247" s="138" t="s">
        <v>12</v>
      </c>
      <c r="G2247" s="271" t="s">
        <v>5</v>
      </c>
      <c r="H2247" s="273" t="s">
        <v>74</v>
      </c>
      <c r="I2247" s="274">
        <v>50.0</v>
      </c>
      <c r="J2247" s="271">
        <v>3.0</v>
      </c>
      <c r="K2247" s="271">
        <f t="shared" si="1"/>
        <v>150</v>
      </c>
      <c r="L2247" s="271"/>
      <c r="M2247" s="271">
        <v>-50.0</v>
      </c>
      <c r="N2247" s="275">
        <v>5.0</v>
      </c>
      <c r="O2247" s="60"/>
      <c r="P2247" s="50">
        <v>5.0</v>
      </c>
      <c r="Q2247" s="271"/>
      <c r="R2247" s="276">
        <v>0.0</v>
      </c>
      <c r="S2247" s="271"/>
      <c r="T2247" s="271">
        <v>-45.0</v>
      </c>
      <c r="U2247" s="62">
        <v>1.0</v>
      </c>
      <c r="V2247" s="277">
        <v>0.23</v>
      </c>
      <c r="W2247" s="277">
        <v>0.0</v>
      </c>
      <c r="X2247" s="271">
        <v>-35.0</v>
      </c>
      <c r="Y2247" s="271">
        <v>-10.0</v>
      </c>
      <c r="Z2247" s="50" t="b">
        <v>1</v>
      </c>
      <c r="AA2247" s="50" t="s">
        <v>138</v>
      </c>
      <c r="AB2247" s="50" t="s">
        <v>138</v>
      </c>
    </row>
    <row r="2248">
      <c r="A2248" s="280" t="s">
        <v>233</v>
      </c>
      <c r="B2248" s="280" t="s">
        <v>212</v>
      </c>
      <c r="C2248" s="283">
        <v>44896.0</v>
      </c>
      <c r="D2248" s="278">
        <v>44915.0</v>
      </c>
      <c r="E2248" s="280" t="s">
        <v>268</v>
      </c>
      <c r="F2248" s="138" t="s">
        <v>12</v>
      </c>
      <c r="G2248" s="271" t="s">
        <v>5</v>
      </c>
      <c r="H2248" s="273" t="s">
        <v>63</v>
      </c>
      <c r="I2248" s="274">
        <v>25.0</v>
      </c>
      <c r="J2248" s="271">
        <v>2.0</v>
      </c>
      <c r="K2248" s="271">
        <f t="shared" si="1"/>
        <v>50</v>
      </c>
      <c r="L2248" s="271"/>
      <c r="M2248" s="271">
        <v>50.0</v>
      </c>
      <c r="N2248" s="275">
        <v>2.0</v>
      </c>
      <c r="O2248" s="60"/>
      <c r="P2248" s="50">
        <v>2.0</v>
      </c>
      <c r="Q2248" s="271"/>
      <c r="R2248" s="276">
        <v>0.0</v>
      </c>
      <c r="S2248" s="271"/>
      <c r="T2248" s="271">
        <v>52.0</v>
      </c>
      <c r="U2248" s="62">
        <v>1.0</v>
      </c>
      <c r="V2248" s="277">
        <v>0.23</v>
      </c>
      <c r="W2248" s="277">
        <v>0.0</v>
      </c>
      <c r="X2248" s="271">
        <v>40.0</v>
      </c>
      <c r="Y2248" s="271">
        <v>12.0</v>
      </c>
      <c r="Z2248" s="50" t="b">
        <v>1</v>
      </c>
      <c r="AA2248" s="50" t="s">
        <v>138</v>
      </c>
      <c r="AB2248" s="50" t="s">
        <v>138</v>
      </c>
    </row>
    <row r="2249">
      <c r="A2249" s="101" t="s">
        <v>169</v>
      </c>
      <c r="B2249" s="101" t="s">
        <v>169</v>
      </c>
      <c r="C2249" s="278">
        <v>44886.0</v>
      </c>
      <c r="D2249" s="278">
        <v>44915.0</v>
      </c>
      <c r="E2249" s="271" t="s">
        <v>268</v>
      </c>
      <c r="F2249" s="101" t="s">
        <v>4</v>
      </c>
      <c r="G2249" s="271" t="s">
        <v>5</v>
      </c>
      <c r="H2249" s="273" t="s">
        <v>48</v>
      </c>
      <c r="I2249" s="274">
        <v>10.0</v>
      </c>
      <c r="J2249" s="271">
        <v>19718.0</v>
      </c>
      <c r="K2249" s="271">
        <f t="shared" si="1"/>
        <v>197180</v>
      </c>
      <c r="L2249" s="271">
        <v>298548.0</v>
      </c>
      <c r="M2249" s="271">
        <v>-6270.0</v>
      </c>
      <c r="N2249" s="275">
        <v>4405.0</v>
      </c>
      <c r="O2249" s="60"/>
      <c r="P2249" s="109">
        <v>4405.0</v>
      </c>
      <c r="Q2249" s="271">
        <v>-5344.0</v>
      </c>
      <c r="R2249" s="276">
        <v>1.9E-4</v>
      </c>
      <c r="S2249" s="271">
        <v>-5307.0</v>
      </c>
      <c r="T2249" s="271">
        <v>-902.0</v>
      </c>
      <c r="U2249" s="62">
        <v>1.0</v>
      </c>
      <c r="V2249" s="277">
        <v>0.23</v>
      </c>
      <c r="W2249" s="277">
        <v>0.0</v>
      </c>
      <c r="X2249" s="271">
        <v>-694.0</v>
      </c>
      <c r="Y2249" s="271">
        <v>-207.0</v>
      </c>
      <c r="Z2249" s="50" t="b">
        <v>0</v>
      </c>
      <c r="AA2249" s="50" t="s">
        <v>138</v>
      </c>
      <c r="AB2249" s="50" t="s">
        <v>138</v>
      </c>
    </row>
    <row r="2250">
      <c r="A2250" s="101" t="s">
        <v>169</v>
      </c>
      <c r="B2250" s="101" t="s">
        <v>169</v>
      </c>
      <c r="C2250" s="278">
        <v>44886.0</v>
      </c>
      <c r="D2250" s="278">
        <v>44915.0</v>
      </c>
      <c r="E2250" s="271" t="s">
        <v>268</v>
      </c>
      <c r="F2250" s="101" t="s">
        <v>4</v>
      </c>
      <c r="G2250" s="271" t="s">
        <v>5</v>
      </c>
      <c r="H2250" s="273" t="s">
        <v>63</v>
      </c>
      <c r="I2250" s="274">
        <v>25.0</v>
      </c>
      <c r="J2250" s="271">
        <v>857.0</v>
      </c>
      <c r="K2250" s="271">
        <f t="shared" si="1"/>
        <v>21425</v>
      </c>
      <c r="L2250" s="271">
        <v>1223.0</v>
      </c>
      <c r="M2250" s="271">
        <v>-1350.0</v>
      </c>
      <c r="N2250" s="275">
        <v>410.0</v>
      </c>
      <c r="O2250" s="60"/>
      <c r="P2250" s="50">
        <v>410.0</v>
      </c>
      <c r="Q2250" s="271">
        <v>-1267.0</v>
      </c>
      <c r="R2250" s="276">
        <v>1.9E-4</v>
      </c>
      <c r="S2250" s="271">
        <v>-1263.0</v>
      </c>
      <c r="T2250" s="271">
        <v>-853.0</v>
      </c>
      <c r="U2250" s="62">
        <v>1.0</v>
      </c>
      <c r="V2250" s="277">
        <v>0.23</v>
      </c>
      <c r="W2250" s="277">
        <v>0.0</v>
      </c>
      <c r="X2250" s="271">
        <v>-657.0</v>
      </c>
      <c r="Y2250" s="271">
        <v>-196.0</v>
      </c>
      <c r="Z2250" s="50" t="b">
        <v>0</v>
      </c>
      <c r="AA2250" s="50" t="s">
        <v>138</v>
      </c>
      <c r="AB2250" s="50" t="s">
        <v>138</v>
      </c>
    </row>
    <row r="2251">
      <c r="A2251" s="271" t="s">
        <v>161</v>
      </c>
      <c r="B2251" s="271" t="s">
        <v>161</v>
      </c>
      <c r="C2251" s="278">
        <v>44886.0</v>
      </c>
      <c r="D2251" s="278">
        <v>44915.0</v>
      </c>
      <c r="E2251" s="271" t="s">
        <v>268</v>
      </c>
      <c r="F2251" s="101" t="s">
        <v>4</v>
      </c>
      <c r="G2251" s="271" t="s">
        <v>5</v>
      </c>
      <c r="H2251" s="273" t="s">
        <v>48</v>
      </c>
      <c r="I2251" s="274">
        <v>10.0</v>
      </c>
      <c r="J2251" s="271">
        <v>2183.0</v>
      </c>
      <c r="K2251" s="271">
        <f t="shared" si="1"/>
        <v>21830</v>
      </c>
      <c r="L2251" s="271">
        <v>18500.0</v>
      </c>
      <c r="M2251" s="271">
        <v>-440.0</v>
      </c>
      <c r="N2251" s="275">
        <v>1580.0</v>
      </c>
      <c r="O2251" s="60"/>
      <c r="P2251" s="109">
        <v>1580.0</v>
      </c>
      <c r="Q2251" s="271">
        <v>-1050.0</v>
      </c>
      <c r="R2251" s="276">
        <v>1.9E-4</v>
      </c>
      <c r="S2251" s="271">
        <v>-1046.0</v>
      </c>
      <c r="T2251" s="271">
        <v>534.0</v>
      </c>
      <c r="U2251" s="62">
        <v>1.0</v>
      </c>
      <c r="V2251" s="277">
        <v>0.23</v>
      </c>
      <c r="W2251" s="277">
        <v>0.0</v>
      </c>
      <c r="X2251" s="271">
        <v>411.0</v>
      </c>
      <c r="Y2251" s="271">
        <v>123.0</v>
      </c>
      <c r="Z2251" s="50" t="b">
        <v>1</v>
      </c>
      <c r="AA2251" s="50" t="s">
        <v>138</v>
      </c>
      <c r="AB2251" s="50" t="s">
        <v>138</v>
      </c>
    </row>
    <row r="2252">
      <c r="A2252" s="280" t="s">
        <v>154</v>
      </c>
      <c r="B2252" s="280" t="s">
        <v>154</v>
      </c>
      <c r="C2252" s="278">
        <v>44896.0</v>
      </c>
      <c r="D2252" s="278">
        <v>44915.0</v>
      </c>
      <c r="E2252" s="280" t="s">
        <v>268</v>
      </c>
      <c r="F2252" s="138" t="s">
        <v>8</v>
      </c>
      <c r="G2252" s="271" t="s">
        <v>5</v>
      </c>
      <c r="H2252" s="273" t="s">
        <v>63</v>
      </c>
      <c r="I2252" s="274">
        <v>25.0</v>
      </c>
      <c r="J2252" s="271">
        <v>390.0</v>
      </c>
      <c r="K2252" s="271">
        <f t="shared" si="1"/>
        <v>9750</v>
      </c>
      <c r="L2252" s="271">
        <v>6486.0</v>
      </c>
      <c r="M2252" s="271">
        <v>925.0</v>
      </c>
      <c r="N2252" s="275">
        <v>174.0</v>
      </c>
      <c r="O2252" s="60"/>
      <c r="P2252" s="50">
        <v>174.0</v>
      </c>
      <c r="Q2252" s="271">
        <v>-123.0</v>
      </c>
      <c r="R2252" s="276">
        <v>-8.33E-4</v>
      </c>
      <c r="S2252" s="271">
        <v>-131.0</v>
      </c>
      <c r="T2252" s="271">
        <v>43.0</v>
      </c>
      <c r="U2252" s="62">
        <v>1.0</v>
      </c>
      <c r="V2252" s="277">
        <v>0.25</v>
      </c>
      <c r="W2252" s="277">
        <v>0.0</v>
      </c>
      <c r="X2252" s="271">
        <v>32.0</v>
      </c>
      <c r="Y2252" s="271">
        <v>11.0</v>
      </c>
      <c r="Z2252" s="50" t="b">
        <v>1</v>
      </c>
      <c r="AA2252" s="50" t="s">
        <v>138</v>
      </c>
      <c r="AB2252" s="50" t="s">
        <v>138</v>
      </c>
    </row>
    <row r="2253">
      <c r="A2253" s="280" t="s">
        <v>154</v>
      </c>
      <c r="B2253" s="280" t="s">
        <v>154</v>
      </c>
      <c r="C2253" s="278">
        <v>44896.0</v>
      </c>
      <c r="D2253" s="278">
        <v>44915.0</v>
      </c>
      <c r="E2253" s="280" t="s">
        <v>268</v>
      </c>
      <c r="F2253" s="138" t="s">
        <v>8</v>
      </c>
      <c r="G2253" s="271" t="s">
        <v>5</v>
      </c>
      <c r="H2253" s="273" t="s">
        <v>75</v>
      </c>
      <c r="I2253" s="274">
        <v>50.0</v>
      </c>
      <c r="J2253" s="271">
        <v>5055.0</v>
      </c>
      <c r="K2253" s="271">
        <f t="shared" si="1"/>
        <v>252750</v>
      </c>
      <c r="L2253" s="271">
        <v>49896.0</v>
      </c>
      <c r="M2253" s="271">
        <v>-500.0</v>
      </c>
      <c r="N2253" s="275">
        <v>4513.0</v>
      </c>
      <c r="O2253" s="60"/>
      <c r="P2253" s="109">
        <v>4513.0</v>
      </c>
      <c r="Q2253" s="271">
        <v>-8466.0</v>
      </c>
      <c r="R2253" s="276">
        <v>-8.51E-4</v>
      </c>
      <c r="S2253" s="271">
        <v>-8681.0</v>
      </c>
      <c r="T2253" s="271">
        <v>-4168.0</v>
      </c>
      <c r="U2253" s="62">
        <v>1.0</v>
      </c>
      <c r="V2253" s="277">
        <v>0.25</v>
      </c>
      <c r="W2253" s="277">
        <v>0.0</v>
      </c>
      <c r="X2253" s="271">
        <v>-3126.0</v>
      </c>
      <c r="Y2253" s="271">
        <v>-1042.0</v>
      </c>
      <c r="Z2253" s="50" t="b">
        <v>1</v>
      </c>
      <c r="AA2253" s="50" t="s">
        <v>138</v>
      </c>
      <c r="AB2253" s="50" t="s">
        <v>138</v>
      </c>
    </row>
    <row r="2254">
      <c r="A2254" s="280" t="s">
        <v>154</v>
      </c>
      <c r="B2254" s="280" t="s">
        <v>154</v>
      </c>
      <c r="C2254" s="278">
        <v>44896.0</v>
      </c>
      <c r="D2254" s="278">
        <v>44915.0</v>
      </c>
      <c r="E2254" s="280" t="s">
        <v>268</v>
      </c>
      <c r="F2254" s="138" t="s">
        <v>8</v>
      </c>
      <c r="G2254" s="271" t="s">
        <v>5</v>
      </c>
      <c r="H2254" s="273" t="s">
        <v>62</v>
      </c>
      <c r="I2254" s="274">
        <v>25.0</v>
      </c>
      <c r="J2254" s="271">
        <v>2.0</v>
      </c>
      <c r="K2254" s="271">
        <f t="shared" si="1"/>
        <v>50</v>
      </c>
      <c r="L2254" s="271">
        <v>582.0</v>
      </c>
      <c r="M2254" s="271">
        <v>75.0</v>
      </c>
      <c r="N2254" s="275">
        <v>1.0</v>
      </c>
      <c r="O2254" s="60"/>
      <c r="P2254" s="50">
        <v>1.0</v>
      </c>
      <c r="Q2254" s="271">
        <v>24.0</v>
      </c>
      <c r="R2254" s="276">
        <v>0.0</v>
      </c>
      <c r="S2254" s="271">
        <v>24.0</v>
      </c>
      <c r="T2254" s="271">
        <v>25.0</v>
      </c>
      <c r="U2254" s="62">
        <v>1.0</v>
      </c>
      <c r="V2254" s="277">
        <v>0.25</v>
      </c>
      <c r="W2254" s="277">
        <v>0.0</v>
      </c>
      <c r="X2254" s="271">
        <v>19.0</v>
      </c>
      <c r="Y2254" s="271">
        <v>6.0</v>
      </c>
      <c r="Z2254" s="50" t="b">
        <v>1</v>
      </c>
      <c r="AA2254" s="50" t="s">
        <v>138</v>
      </c>
      <c r="AB2254" s="50" t="s">
        <v>138</v>
      </c>
    </row>
    <row r="2255">
      <c r="A2255" s="280" t="s">
        <v>154</v>
      </c>
      <c r="B2255" s="280" t="s">
        <v>154</v>
      </c>
      <c r="C2255" s="278">
        <v>44896.0</v>
      </c>
      <c r="D2255" s="278">
        <v>44915.0</v>
      </c>
      <c r="E2255" s="280" t="s">
        <v>268</v>
      </c>
      <c r="F2255" s="138" t="s">
        <v>8</v>
      </c>
      <c r="G2255" s="271" t="s">
        <v>5</v>
      </c>
      <c r="H2255" s="273" t="s">
        <v>74</v>
      </c>
      <c r="I2255" s="274">
        <v>50.0</v>
      </c>
      <c r="J2255" s="271">
        <v>4.0</v>
      </c>
      <c r="K2255" s="271">
        <f t="shared" si="1"/>
        <v>200</v>
      </c>
      <c r="L2255" s="271">
        <v>250.0</v>
      </c>
      <c r="M2255" s="271">
        <v>-50.0</v>
      </c>
      <c r="N2255" s="275">
        <v>4.0</v>
      </c>
      <c r="O2255" s="60"/>
      <c r="P2255" s="50">
        <v>4.0</v>
      </c>
      <c r="Q2255" s="271">
        <v>10.0</v>
      </c>
      <c r="R2255" s="276">
        <v>0.0</v>
      </c>
      <c r="S2255" s="271">
        <v>10.0</v>
      </c>
      <c r="T2255" s="271">
        <v>14.0</v>
      </c>
      <c r="U2255" s="62">
        <v>1.0</v>
      </c>
      <c r="V2255" s="277">
        <v>0.25</v>
      </c>
      <c r="W2255" s="277">
        <v>0.0</v>
      </c>
      <c r="X2255" s="271">
        <v>11.0</v>
      </c>
      <c r="Y2255" s="271">
        <v>4.0</v>
      </c>
      <c r="Z2255" s="50" t="b">
        <v>1</v>
      </c>
      <c r="AA2255" s="50" t="s">
        <v>138</v>
      </c>
      <c r="AB2255" s="50" t="s">
        <v>138</v>
      </c>
    </row>
    <row r="2256">
      <c r="A2256" s="280" t="s">
        <v>154</v>
      </c>
      <c r="B2256" s="280" t="s">
        <v>154</v>
      </c>
      <c r="C2256" s="278">
        <v>44896.0</v>
      </c>
      <c r="D2256" s="278">
        <v>44915.0</v>
      </c>
      <c r="E2256" s="280" t="s">
        <v>268</v>
      </c>
      <c r="F2256" s="138" t="s">
        <v>12</v>
      </c>
      <c r="G2256" s="271" t="s">
        <v>5</v>
      </c>
      <c r="H2256" s="273" t="s">
        <v>48</v>
      </c>
      <c r="I2256" s="274">
        <v>10.0</v>
      </c>
      <c r="J2256" s="271">
        <v>41.0</v>
      </c>
      <c r="K2256" s="271">
        <f t="shared" si="1"/>
        <v>410</v>
      </c>
      <c r="L2256" s="271"/>
      <c r="M2256" s="271">
        <v>0.0</v>
      </c>
      <c r="N2256" s="275">
        <v>8.0</v>
      </c>
      <c r="O2256" s="60"/>
      <c r="P2256" s="50">
        <v>8.0</v>
      </c>
      <c r="Q2256" s="271"/>
      <c r="R2256" s="276">
        <v>0.0</v>
      </c>
      <c r="S2256" s="271"/>
      <c r="T2256" s="271">
        <v>8.0</v>
      </c>
      <c r="U2256" s="62">
        <v>1.0</v>
      </c>
      <c r="V2256" s="277">
        <v>0.25</v>
      </c>
      <c r="W2256" s="277">
        <v>0.0</v>
      </c>
      <c r="X2256" s="271">
        <v>6.0</v>
      </c>
      <c r="Y2256" s="271">
        <v>2.0</v>
      </c>
      <c r="Z2256" s="50" t="b">
        <v>1</v>
      </c>
      <c r="AA2256" s="50" t="s">
        <v>138</v>
      </c>
      <c r="AB2256" s="50" t="s">
        <v>138</v>
      </c>
    </row>
    <row r="2257">
      <c r="A2257" s="280" t="s">
        <v>652</v>
      </c>
      <c r="B2257" s="280" t="s">
        <v>201</v>
      </c>
      <c r="C2257" s="283">
        <v>44896.0</v>
      </c>
      <c r="D2257" s="283">
        <v>44915.0</v>
      </c>
      <c r="E2257" s="280" t="s">
        <v>268</v>
      </c>
      <c r="F2257" s="138" t="s">
        <v>8</v>
      </c>
      <c r="G2257" s="280" t="s">
        <v>9</v>
      </c>
      <c r="H2257" s="290" t="s">
        <v>50</v>
      </c>
      <c r="I2257" s="281">
        <v>10.0</v>
      </c>
      <c r="J2257" s="280">
        <v>8000.0</v>
      </c>
      <c r="K2257" s="271">
        <f t="shared" si="1"/>
        <v>80000</v>
      </c>
      <c r="L2257" s="280">
        <v>533153.0</v>
      </c>
      <c r="M2257" s="280">
        <v>3190.0</v>
      </c>
      <c r="N2257" s="282">
        <v>1680.0</v>
      </c>
      <c r="O2257" s="60"/>
      <c r="P2257" s="109">
        <v>1680.0</v>
      </c>
      <c r="Q2257" s="280">
        <v>2804.0</v>
      </c>
      <c r="R2257" s="276">
        <v>-8.73E-4</v>
      </c>
      <c r="S2257" s="280">
        <v>2734.0</v>
      </c>
      <c r="T2257" s="280">
        <v>4414.0</v>
      </c>
      <c r="U2257" s="62">
        <v>1.0</v>
      </c>
      <c r="V2257" s="277">
        <v>0.17</v>
      </c>
      <c r="W2257" s="277">
        <v>0.0</v>
      </c>
      <c r="X2257" s="280">
        <v>3664.0</v>
      </c>
      <c r="Y2257" s="280">
        <v>750.0</v>
      </c>
      <c r="Z2257" s="50" t="b">
        <v>1</v>
      </c>
      <c r="AA2257" s="50" t="s">
        <v>140</v>
      </c>
      <c r="AB2257" s="50" t="s">
        <v>140</v>
      </c>
    </row>
    <row r="2258">
      <c r="A2258" s="280" t="s">
        <v>227</v>
      </c>
      <c r="B2258" s="280" t="s">
        <v>214</v>
      </c>
      <c r="C2258" s="278">
        <v>44896.0</v>
      </c>
      <c r="D2258" s="278">
        <v>44915.0</v>
      </c>
      <c r="E2258" s="271" t="s">
        <v>331</v>
      </c>
      <c r="F2258" s="138" t="s">
        <v>8</v>
      </c>
      <c r="G2258" s="271" t="s">
        <v>5</v>
      </c>
      <c r="H2258" s="273" t="s">
        <v>62</v>
      </c>
      <c r="I2258" s="274">
        <v>25.0</v>
      </c>
      <c r="J2258" s="271">
        <v>3138.0</v>
      </c>
      <c r="K2258" s="271">
        <f t="shared" si="1"/>
        <v>78450</v>
      </c>
      <c r="L2258" s="271">
        <v>83999.0</v>
      </c>
      <c r="M2258" s="271">
        <v>-4350.0</v>
      </c>
      <c r="N2258" s="275">
        <v>3275.0</v>
      </c>
      <c r="O2258" s="60"/>
      <c r="P2258" s="109">
        <v>3275.0</v>
      </c>
      <c r="Q2258" s="271">
        <v>-1127.0</v>
      </c>
      <c r="R2258" s="276">
        <v>-8.56E-4</v>
      </c>
      <c r="S2258" s="271">
        <v>-1194.0</v>
      </c>
      <c r="T2258" s="271">
        <v>2081.0</v>
      </c>
      <c r="U2258" s="62">
        <v>1.0</v>
      </c>
      <c r="V2258" s="277">
        <v>0.17</v>
      </c>
      <c r="W2258" s="277">
        <v>0.1</v>
      </c>
      <c r="X2258" s="271">
        <v>1519.0</v>
      </c>
      <c r="Y2258" s="271">
        <v>562.0</v>
      </c>
      <c r="Z2258" s="50" t="b">
        <v>1</v>
      </c>
      <c r="AA2258" s="50" t="s">
        <v>138</v>
      </c>
      <c r="AB2258" s="50" t="s">
        <v>138</v>
      </c>
    </row>
    <row r="2259">
      <c r="A2259" s="280" t="s">
        <v>227</v>
      </c>
      <c r="B2259" s="280" t="s">
        <v>214</v>
      </c>
      <c r="C2259" s="278">
        <v>44896.0</v>
      </c>
      <c r="D2259" s="278">
        <v>44915.0</v>
      </c>
      <c r="E2259" s="271" t="s">
        <v>331</v>
      </c>
      <c r="F2259" s="138" t="s">
        <v>12</v>
      </c>
      <c r="G2259" s="271" t="s">
        <v>5</v>
      </c>
      <c r="H2259" s="273" t="s">
        <v>74</v>
      </c>
      <c r="I2259" s="274">
        <v>50.0</v>
      </c>
      <c r="J2259" s="271">
        <v>12.0</v>
      </c>
      <c r="K2259" s="271">
        <f t="shared" si="1"/>
        <v>600</v>
      </c>
      <c r="L2259" s="271"/>
      <c r="M2259" s="271">
        <v>-100.0</v>
      </c>
      <c r="N2259" s="275">
        <v>25.0</v>
      </c>
      <c r="O2259" s="60"/>
      <c r="P2259" s="50">
        <v>25.0</v>
      </c>
      <c r="Q2259" s="271"/>
      <c r="R2259" s="276">
        <v>0.0</v>
      </c>
      <c r="S2259" s="271"/>
      <c r="T2259" s="271">
        <v>-75.0</v>
      </c>
      <c r="U2259" s="62">
        <v>1.0</v>
      </c>
      <c r="V2259" s="277">
        <v>0.17</v>
      </c>
      <c r="W2259" s="277">
        <v>0.1</v>
      </c>
      <c r="X2259" s="271">
        <v>-55.0</v>
      </c>
      <c r="Y2259" s="271">
        <v>-20.0</v>
      </c>
      <c r="Z2259" s="50" t="b">
        <v>1</v>
      </c>
      <c r="AA2259" s="50" t="s">
        <v>138</v>
      </c>
      <c r="AB2259" s="50" t="s">
        <v>138</v>
      </c>
    </row>
    <row r="2260">
      <c r="A2260" s="101" t="s">
        <v>216</v>
      </c>
      <c r="B2260" s="101" t="s">
        <v>216</v>
      </c>
      <c r="C2260" s="278">
        <v>44886.0</v>
      </c>
      <c r="D2260" s="278">
        <v>44915.0</v>
      </c>
      <c r="E2260" s="271" t="s">
        <v>268</v>
      </c>
      <c r="F2260" s="138" t="s">
        <v>4</v>
      </c>
      <c r="G2260" s="101" t="s">
        <v>5</v>
      </c>
      <c r="H2260" s="273" t="s">
        <v>74</v>
      </c>
      <c r="I2260" s="274">
        <v>50.0</v>
      </c>
      <c r="J2260" s="271">
        <v>1.0</v>
      </c>
      <c r="K2260" s="271">
        <f t="shared" si="1"/>
        <v>50</v>
      </c>
      <c r="L2260" s="271">
        <v>335.0</v>
      </c>
      <c r="M2260" s="271">
        <v>50.0</v>
      </c>
      <c r="N2260" s="275">
        <v>2.67</v>
      </c>
      <c r="O2260" s="60"/>
      <c r="P2260" s="50">
        <v>3.0</v>
      </c>
      <c r="Q2260" s="271">
        <v>27.0</v>
      </c>
      <c r="R2260" s="276">
        <v>1.9E-4</v>
      </c>
      <c r="S2260" s="271">
        <v>27.0</v>
      </c>
      <c r="T2260" s="271">
        <v>30.0</v>
      </c>
      <c r="U2260" s="62">
        <v>1.0</v>
      </c>
      <c r="V2260" s="277">
        <v>0.1</v>
      </c>
      <c r="W2260" s="277">
        <v>0.0</v>
      </c>
      <c r="X2260" s="271">
        <v>27.0</v>
      </c>
      <c r="Y2260" s="271">
        <v>3.0</v>
      </c>
      <c r="Z2260" s="50" t="b">
        <v>1</v>
      </c>
      <c r="AA2260" s="50" t="s">
        <v>138</v>
      </c>
      <c r="AB2260" s="50" t="s">
        <v>138</v>
      </c>
    </row>
    <row r="2261">
      <c r="A2261" s="101" t="s">
        <v>216</v>
      </c>
      <c r="B2261" s="101" t="s">
        <v>216</v>
      </c>
      <c r="C2261" s="278">
        <v>44886.0</v>
      </c>
      <c r="D2261" s="278">
        <v>44915.0</v>
      </c>
      <c r="E2261" s="271" t="s">
        <v>268</v>
      </c>
      <c r="F2261" s="138" t="s">
        <v>4</v>
      </c>
      <c r="G2261" s="101" t="s">
        <v>5</v>
      </c>
      <c r="H2261" s="273" t="s">
        <v>85</v>
      </c>
      <c r="I2261" s="274">
        <v>100.0</v>
      </c>
      <c r="J2261" s="271">
        <v>2289.0</v>
      </c>
      <c r="K2261" s="271">
        <f t="shared" si="1"/>
        <v>228900</v>
      </c>
      <c r="L2261" s="271">
        <v>44440.0</v>
      </c>
      <c r="M2261" s="271">
        <v>-10300.0</v>
      </c>
      <c r="N2261" s="275">
        <v>10200.5</v>
      </c>
      <c r="O2261" s="60"/>
      <c r="P2261" s="109">
        <v>10201.0</v>
      </c>
      <c r="Q2261" s="271">
        <v>-4087.0</v>
      </c>
      <c r="R2261" s="276">
        <v>1.9E-4</v>
      </c>
      <c r="S2261" s="271">
        <v>-4044.0</v>
      </c>
      <c r="T2261" s="271">
        <v>6157.0</v>
      </c>
      <c r="U2261" s="62">
        <v>1.0</v>
      </c>
      <c r="V2261" s="277">
        <v>0.1</v>
      </c>
      <c r="W2261" s="277">
        <v>0.0</v>
      </c>
      <c r="X2261" s="271">
        <v>5541.0</v>
      </c>
      <c r="Y2261" s="271">
        <v>616.0</v>
      </c>
      <c r="Z2261" s="50" t="b">
        <v>1</v>
      </c>
      <c r="AA2261" s="50" t="s">
        <v>138</v>
      </c>
      <c r="AB2261" s="50" t="s">
        <v>138</v>
      </c>
    </row>
    <row r="2262">
      <c r="A2262" s="101" t="s">
        <v>216</v>
      </c>
      <c r="B2262" s="101" t="s">
        <v>216</v>
      </c>
      <c r="C2262" s="278">
        <v>44886.0</v>
      </c>
      <c r="D2262" s="278">
        <v>44915.0</v>
      </c>
      <c r="E2262" s="271" t="s">
        <v>268</v>
      </c>
      <c r="F2262" s="138" t="s">
        <v>4</v>
      </c>
      <c r="G2262" s="101" t="s">
        <v>5</v>
      </c>
      <c r="H2262" s="273" t="s">
        <v>86</v>
      </c>
      <c r="I2262" s="274">
        <v>100.0</v>
      </c>
      <c r="J2262" s="271">
        <v>33.0</v>
      </c>
      <c r="K2262" s="271">
        <f t="shared" si="1"/>
        <v>3300</v>
      </c>
      <c r="L2262" s="271">
        <v>-2098.0</v>
      </c>
      <c r="M2262" s="271">
        <v>-400.0</v>
      </c>
      <c r="N2262" s="275">
        <v>147.06</v>
      </c>
      <c r="O2262" s="60"/>
      <c r="P2262" s="50">
        <v>147.0</v>
      </c>
      <c r="Q2262" s="271">
        <v>-836.0</v>
      </c>
      <c r="R2262" s="276">
        <v>1.9E-4</v>
      </c>
      <c r="S2262" s="271">
        <v>-835.0</v>
      </c>
      <c r="T2262" s="271">
        <v>-688.0</v>
      </c>
      <c r="U2262" s="62">
        <v>1.0</v>
      </c>
      <c r="V2262" s="277">
        <v>0.1</v>
      </c>
      <c r="W2262" s="277">
        <v>0.0</v>
      </c>
      <c r="X2262" s="271">
        <v>-619.0</v>
      </c>
      <c r="Y2262" s="271">
        <v>-69.0</v>
      </c>
      <c r="Z2262" s="50" t="b">
        <v>1</v>
      </c>
      <c r="AA2262" s="50" t="s">
        <v>138</v>
      </c>
      <c r="AB2262" s="50" t="s">
        <v>138</v>
      </c>
    </row>
    <row r="2263">
      <c r="A2263" s="101" t="s">
        <v>216</v>
      </c>
      <c r="B2263" s="101" t="s">
        <v>216</v>
      </c>
      <c r="C2263" s="278">
        <v>44886.0</v>
      </c>
      <c r="D2263" s="278">
        <v>44915.0</v>
      </c>
      <c r="E2263" s="271" t="s">
        <v>268</v>
      </c>
      <c r="F2263" s="138" t="s">
        <v>4</v>
      </c>
      <c r="G2263" s="101" t="s">
        <v>5</v>
      </c>
      <c r="H2263" s="273" t="s">
        <v>96</v>
      </c>
      <c r="I2263" s="274">
        <v>250.0</v>
      </c>
      <c r="J2263" s="271">
        <v>615.0</v>
      </c>
      <c r="K2263" s="271">
        <f t="shared" si="1"/>
        <v>153750</v>
      </c>
      <c r="L2263" s="271">
        <v>205.0</v>
      </c>
      <c r="M2263" s="271">
        <v>750.0</v>
      </c>
      <c r="N2263" s="275">
        <v>6851.58</v>
      </c>
      <c r="O2263" s="60"/>
      <c r="P2263" s="109">
        <v>6852.0</v>
      </c>
      <c r="Q2263" s="271">
        <v>-7875.0</v>
      </c>
      <c r="R2263" s="276">
        <v>1.9E-4</v>
      </c>
      <c r="S2263" s="271">
        <v>-7846.0</v>
      </c>
      <c r="T2263" s="271">
        <v>-994.0</v>
      </c>
      <c r="U2263" s="62">
        <v>1.0</v>
      </c>
      <c r="V2263" s="277">
        <v>0.1</v>
      </c>
      <c r="W2263" s="277">
        <v>0.0</v>
      </c>
      <c r="X2263" s="271">
        <v>-895.0</v>
      </c>
      <c r="Y2263" s="271">
        <v>-99.0</v>
      </c>
      <c r="Z2263" s="50" t="b">
        <v>1</v>
      </c>
      <c r="AA2263" s="50" t="s">
        <v>138</v>
      </c>
      <c r="AB2263" s="50" t="s">
        <v>138</v>
      </c>
    </row>
    <row r="2264">
      <c r="A2264" s="101" t="s">
        <v>216</v>
      </c>
      <c r="B2264" s="101" t="s">
        <v>216</v>
      </c>
      <c r="C2264" s="278">
        <v>44886.0</v>
      </c>
      <c r="D2264" s="278">
        <v>44915.0</v>
      </c>
      <c r="E2264" s="271" t="s">
        <v>268</v>
      </c>
      <c r="F2264" s="138" t="s">
        <v>4</v>
      </c>
      <c r="G2264" s="101" t="s">
        <v>5</v>
      </c>
      <c r="H2264" s="273" t="s">
        <v>97</v>
      </c>
      <c r="I2264" s="274">
        <v>250.0</v>
      </c>
      <c r="J2264" s="271">
        <v>51.0</v>
      </c>
      <c r="K2264" s="271">
        <f t="shared" si="1"/>
        <v>12750</v>
      </c>
      <c r="L2264" s="271">
        <v>409.0</v>
      </c>
      <c r="M2264" s="271">
        <v>1500.0</v>
      </c>
      <c r="N2264" s="275">
        <v>568.18</v>
      </c>
      <c r="O2264" s="60"/>
      <c r="P2264" s="50">
        <v>568.0</v>
      </c>
      <c r="Q2264" s="271">
        <v>-341.0</v>
      </c>
      <c r="R2264" s="276">
        <v>1.9E-4</v>
      </c>
      <c r="S2264" s="271">
        <v>-338.0</v>
      </c>
      <c r="T2264" s="271">
        <v>230.0</v>
      </c>
      <c r="U2264" s="62">
        <v>1.0</v>
      </c>
      <c r="V2264" s="277">
        <v>0.1</v>
      </c>
      <c r="W2264" s="277">
        <v>0.0</v>
      </c>
      <c r="X2264" s="271">
        <v>207.0</v>
      </c>
      <c r="Y2264" s="271">
        <v>23.0</v>
      </c>
      <c r="Z2264" s="50" t="b">
        <v>1</v>
      </c>
      <c r="AA2264" s="50" t="s">
        <v>138</v>
      </c>
      <c r="AB2264" s="50" t="s">
        <v>138</v>
      </c>
    </row>
    <row r="2265">
      <c r="A2265" s="280" t="s">
        <v>185</v>
      </c>
      <c r="B2265" s="280" t="s">
        <v>185</v>
      </c>
      <c r="C2265" s="283">
        <v>44896.0</v>
      </c>
      <c r="D2265" s="283">
        <v>44921.0</v>
      </c>
      <c r="E2265" s="280" t="s">
        <v>268</v>
      </c>
      <c r="F2265" s="138" t="s">
        <v>12</v>
      </c>
      <c r="G2265" s="280" t="s">
        <v>142</v>
      </c>
      <c r="H2265" s="290" t="s">
        <v>61</v>
      </c>
      <c r="I2265" s="281">
        <v>20.0</v>
      </c>
      <c r="J2265" s="280">
        <v>1753.0</v>
      </c>
      <c r="K2265" s="271">
        <f t="shared" si="1"/>
        <v>35060</v>
      </c>
      <c r="L2265" s="280"/>
      <c r="M2265" s="280">
        <v>608.22</v>
      </c>
      <c r="N2265" s="282"/>
      <c r="O2265" s="60">
        <v>0.5</v>
      </c>
      <c r="P2265" s="109">
        <v>1227.0</v>
      </c>
      <c r="Q2265" s="280"/>
      <c r="R2265" s="276">
        <v>0.0</v>
      </c>
      <c r="S2265" s="280"/>
      <c r="T2265" s="280">
        <v>1835.0</v>
      </c>
      <c r="U2265" s="62">
        <v>1.061</v>
      </c>
      <c r="V2265" s="277">
        <v>0.17</v>
      </c>
      <c r="W2265" s="277">
        <v>0.0</v>
      </c>
      <c r="X2265" s="280">
        <v>1616.0</v>
      </c>
      <c r="Y2265" s="280">
        <v>331.0</v>
      </c>
      <c r="Z2265" s="50" t="b">
        <v>1</v>
      </c>
      <c r="AA2265" s="50" t="s">
        <v>138</v>
      </c>
      <c r="AB2265" s="50" t="s">
        <v>140</v>
      </c>
    </row>
    <row r="2266">
      <c r="A2266" s="280" t="s">
        <v>185</v>
      </c>
      <c r="B2266" s="280" t="s">
        <v>185</v>
      </c>
      <c r="C2266" s="283">
        <v>44896.0</v>
      </c>
      <c r="D2266" s="283">
        <v>44921.0</v>
      </c>
      <c r="E2266" s="280" t="s">
        <v>268</v>
      </c>
      <c r="F2266" s="138" t="s">
        <v>12</v>
      </c>
      <c r="G2266" s="280" t="s">
        <v>142</v>
      </c>
      <c r="H2266" s="290" t="s">
        <v>50</v>
      </c>
      <c r="I2266" s="281">
        <v>10.0</v>
      </c>
      <c r="J2266" s="280">
        <v>1.0</v>
      </c>
      <c r="K2266" s="271">
        <f t="shared" si="1"/>
        <v>10</v>
      </c>
      <c r="L2266" s="280"/>
      <c r="M2266" s="280">
        <v>0.17</v>
      </c>
      <c r="N2266" s="282"/>
      <c r="O2266" s="60">
        <v>0.5</v>
      </c>
      <c r="P2266" s="50">
        <v>0.0</v>
      </c>
      <c r="Q2266" s="280"/>
      <c r="R2266" s="276">
        <v>0.0</v>
      </c>
      <c r="S2266" s="280"/>
      <c r="T2266" s="280">
        <v>1.0</v>
      </c>
      <c r="U2266" s="62">
        <v>1.061</v>
      </c>
      <c r="V2266" s="277">
        <v>0.17</v>
      </c>
      <c r="W2266" s="277">
        <v>0.0</v>
      </c>
      <c r="X2266" s="280">
        <v>0.0</v>
      </c>
      <c r="Y2266" s="280">
        <v>0.0</v>
      </c>
      <c r="Z2266" s="50" t="b">
        <v>1</v>
      </c>
      <c r="AA2266" s="50" t="s">
        <v>138</v>
      </c>
      <c r="AB2266" s="50" t="s">
        <v>140</v>
      </c>
    </row>
    <row r="2267">
      <c r="A2267" s="280" t="s">
        <v>185</v>
      </c>
      <c r="B2267" s="280" t="s">
        <v>185</v>
      </c>
      <c r="C2267" s="283">
        <v>44896.0</v>
      </c>
      <c r="D2267" s="283">
        <v>44921.0</v>
      </c>
      <c r="E2267" s="280" t="s">
        <v>268</v>
      </c>
      <c r="F2267" s="138" t="s">
        <v>12</v>
      </c>
      <c r="G2267" s="280" t="s">
        <v>142</v>
      </c>
      <c r="H2267" s="290" t="s">
        <v>39</v>
      </c>
      <c r="I2267" s="281">
        <v>5.0</v>
      </c>
      <c r="J2267" s="280">
        <v>7.0</v>
      </c>
      <c r="K2267" s="271">
        <f t="shared" si="1"/>
        <v>35</v>
      </c>
      <c r="L2267" s="280"/>
      <c r="M2267" s="280">
        <v>0.61</v>
      </c>
      <c r="N2267" s="282"/>
      <c r="O2267" s="60">
        <v>0.5</v>
      </c>
      <c r="P2267" s="50">
        <v>1.0</v>
      </c>
      <c r="Q2267" s="280"/>
      <c r="R2267" s="276">
        <v>0.0</v>
      </c>
      <c r="S2267" s="280"/>
      <c r="T2267" s="280">
        <v>2.0</v>
      </c>
      <c r="U2267" s="62">
        <v>1.061</v>
      </c>
      <c r="V2267" s="277">
        <v>0.17</v>
      </c>
      <c r="W2267" s="277">
        <v>0.0</v>
      </c>
      <c r="X2267" s="280">
        <v>2.0</v>
      </c>
      <c r="Y2267" s="280">
        <v>0.0</v>
      </c>
      <c r="Z2267" s="50" t="b">
        <v>1</v>
      </c>
      <c r="AA2267" s="50" t="s">
        <v>138</v>
      </c>
      <c r="AB2267" s="50" t="s">
        <v>140</v>
      </c>
    </row>
    <row r="2268">
      <c r="A2268" s="280" t="s">
        <v>185</v>
      </c>
      <c r="B2268" s="280" t="s">
        <v>185</v>
      </c>
      <c r="C2268" s="283">
        <v>44896.0</v>
      </c>
      <c r="D2268" s="283">
        <v>44921.0</v>
      </c>
      <c r="E2268" s="280" t="s">
        <v>268</v>
      </c>
      <c r="F2268" s="138" t="s">
        <v>12</v>
      </c>
      <c r="G2268" s="280" t="s">
        <v>25</v>
      </c>
      <c r="H2268" s="290" t="s">
        <v>186</v>
      </c>
      <c r="I2268" s="281">
        <v>1000.0</v>
      </c>
      <c r="J2268" s="280">
        <v>22.0</v>
      </c>
      <c r="K2268" s="271">
        <f t="shared" si="1"/>
        <v>22000</v>
      </c>
      <c r="L2268" s="280"/>
      <c r="M2268" s="280">
        <v>-4000.0</v>
      </c>
      <c r="N2268" s="282">
        <v>2326.95</v>
      </c>
      <c r="O2268" s="60"/>
      <c r="P2268" s="109">
        <v>2327.0</v>
      </c>
      <c r="Q2268" s="280"/>
      <c r="R2268" s="276">
        <v>0.0</v>
      </c>
      <c r="S2268" s="280"/>
      <c r="T2268" s="280">
        <v>-1673.0</v>
      </c>
      <c r="U2268" s="62">
        <v>0.014</v>
      </c>
      <c r="V2268" s="277">
        <v>0.17</v>
      </c>
      <c r="W2268" s="277">
        <v>0.0</v>
      </c>
      <c r="X2268" s="280">
        <v>-19.0</v>
      </c>
      <c r="Y2268" s="280">
        <v>-4.0</v>
      </c>
      <c r="Z2268" s="50" t="b">
        <v>1</v>
      </c>
      <c r="AA2268" s="50" t="s">
        <v>138</v>
      </c>
      <c r="AB2268" s="50" t="s">
        <v>1006</v>
      </c>
    </row>
    <row r="2269">
      <c r="A2269" s="280" t="s">
        <v>185</v>
      </c>
      <c r="B2269" s="280" t="s">
        <v>185</v>
      </c>
      <c r="C2269" s="283">
        <v>44896.0</v>
      </c>
      <c r="D2269" s="283">
        <v>44921.0</v>
      </c>
      <c r="E2269" s="280" t="s">
        <v>268</v>
      </c>
      <c r="F2269" s="138" t="s">
        <v>12</v>
      </c>
      <c r="G2269" s="280" t="s">
        <v>25</v>
      </c>
      <c r="H2269" s="290" t="s">
        <v>187</v>
      </c>
      <c r="I2269" s="281">
        <v>2500.0</v>
      </c>
      <c r="J2269" s="280">
        <v>31.0</v>
      </c>
      <c r="K2269" s="271">
        <f t="shared" si="1"/>
        <v>77500</v>
      </c>
      <c r="L2269" s="280"/>
      <c r="M2269" s="280">
        <v>30000.0</v>
      </c>
      <c r="N2269" s="282">
        <v>94.05</v>
      </c>
      <c r="O2269" s="60"/>
      <c r="P2269" s="50">
        <v>94.0</v>
      </c>
      <c r="Q2269" s="280"/>
      <c r="R2269" s="276">
        <v>0.0</v>
      </c>
      <c r="S2269" s="280"/>
      <c r="T2269" s="280">
        <v>30094.0</v>
      </c>
      <c r="U2269" s="62">
        <v>0.014</v>
      </c>
      <c r="V2269" s="277">
        <v>0.17</v>
      </c>
      <c r="W2269" s="277">
        <v>0.0</v>
      </c>
      <c r="X2269" s="280">
        <v>350.0</v>
      </c>
      <c r="Y2269" s="280">
        <v>72.0</v>
      </c>
      <c r="Z2269" s="50" t="b">
        <v>1</v>
      </c>
      <c r="AA2269" s="50" t="s">
        <v>138</v>
      </c>
      <c r="AB2269" s="50" t="s">
        <v>1006</v>
      </c>
    </row>
    <row r="2270">
      <c r="A2270" s="280" t="s">
        <v>185</v>
      </c>
      <c r="B2270" s="280" t="s">
        <v>185</v>
      </c>
      <c r="C2270" s="283">
        <v>44896.0</v>
      </c>
      <c r="D2270" s="283">
        <v>44921.0</v>
      </c>
      <c r="E2270" s="280" t="s">
        <v>268</v>
      </c>
      <c r="F2270" s="138" t="s">
        <v>12</v>
      </c>
      <c r="G2270" s="280" t="s">
        <v>25</v>
      </c>
      <c r="H2270" s="290" t="s">
        <v>188</v>
      </c>
      <c r="I2270" s="281">
        <v>5000.0</v>
      </c>
      <c r="J2270" s="280">
        <v>10.0</v>
      </c>
      <c r="K2270" s="271">
        <f t="shared" si="1"/>
        <v>50000</v>
      </c>
      <c r="L2270" s="280"/>
      <c r="M2270" s="280">
        <v>-35000.0</v>
      </c>
      <c r="N2270" s="282">
        <v>0.0</v>
      </c>
      <c r="O2270" s="60"/>
      <c r="P2270" s="50">
        <v>0.0</v>
      </c>
      <c r="Q2270" s="280"/>
      <c r="R2270" s="276">
        <v>0.0</v>
      </c>
      <c r="S2270" s="280"/>
      <c r="T2270" s="280">
        <v>-35000.0</v>
      </c>
      <c r="U2270" s="62">
        <v>0.014</v>
      </c>
      <c r="V2270" s="277">
        <v>0.17</v>
      </c>
      <c r="W2270" s="277">
        <v>0.0</v>
      </c>
      <c r="X2270" s="280">
        <v>-407.0</v>
      </c>
      <c r="Y2270" s="280">
        <v>-83.0</v>
      </c>
      <c r="Z2270" s="50" t="b">
        <v>1</v>
      </c>
      <c r="AA2270" s="50" t="s">
        <v>138</v>
      </c>
      <c r="AB2270" s="50" t="s">
        <v>1006</v>
      </c>
    </row>
    <row r="2271">
      <c r="A2271" s="280" t="s">
        <v>693</v>
      </c>
      <c r="B2271" s="280" t="s">
        <v>224</v>
      </c>
      <c r="C2271" s="283">
        <v>44896.0</v>
      </c>
      <c r="D2271" s="283">
        <v>44921.0</v>
      </c>
      <c r="E2271" s="280" t="s">
        <v>268</v>
      </c>
      <c r="F2271" s="138" t="s">
        <v>12</v>
      </c>
      <c r="G2271" s="280" t="s">
        <v>9</v>
      </c>
      <c r="H2271" s="290" t="s">
        <v>39</v>
      </c>
      <c r="I2271" s="281">
        <v>5.0</v>
      </c>
      <c r="J2271" s="280">
        <v>2958.0</v>
      </c>
      <c r="K2271" s="271">
        <f t="shared" si="1"/>
        <v>14790</v>
      </c>
      <c r="L2271" s="280">
        <v>188757.0</v>
      </c>
      <c r="M2271" s="280">
        <v>290.0</v>
      </c>
      <c r="N2271" s="282">
        <v>782.0</v>
      </c>
      <c r="O2271" s="60"/>
      <c r="P2271" s="50">
        <v>782.0</v>
      </c>
      <c r="Q2271" s="280">
        <v>429.0</v>
      </c>
      <c r="R2271" s="276">
        <v>0.0</v>
      </c>
      <c r="S2271" s="280">
        <v>429.0</v>
      </c>
      <c r="T2271" s="280">
        <v>1072.0</v>
      </c>
      <c r="U2271" s="62">
        <v>1.0</v>
      </c>
      <c r="V2271" s="277">
        <v>0.25</v>
      </c>
      <c r="W2271" s="277">
        <v>0.0</v>
      </c>
      <c r="X2271" s="280">
        <v>804.0</v>
      </c>
      <c r="Y2271" s="280">
        <v>268.0</v>
      </c>
      <c r="Z2271" s="50" t="b">
        <v>1</v>
      </c>
      <c r="AA2271" s="50" t="s">
        <v>140</v>
      </c>
      <c r="AB2271" s="50" t="s">
        <v>140</v>
      </c>
    </row>
    <row r="2272">
      <c r="A2272" s="280" t="s">
        <v>693</v>
      </c>
      <c r="B2272" s="280" t="s">
        <v>224</v>
      </c>
      <c r="C2272" s="283">
        <v>44896.0</v>
      </c>
      <c r="D2272" s="283">
        <v>44921.0</v>
      </c>
      <c r="E2272" s="280" t="s">
        <v>268</v>
      </c>
      <c r="F2272" s="138" t="s">
        <v>12</v>
      </c>
      <c r="G2272" s="280" t="s">
        <v>9</v>
      </c>
      <c r="H2272" s="290" t="s">
        <v>43</v>
      </c>
      <c r="I2272" s="281">
        <v>5.0</v>
      </c>
      <c r="J2272" s="280">
        <v>30.0</v>
      </c>
      <c r="K2272" s="271">
        <f t="shared" si="1"/>
        <v>150</v>
      </c>
      <c r="L2272" s="280">
        <v>541.0</v>
      </c>
      <c r="M2272" s="280">
        <v>-70.0</v>
      </c>
      <c r="N2272" s="282">
        <v>0.0</v>
      </c>
      <c r="O2272" s="60"/>
      <c r="P2272" s="50">
        <v>0.0</v>
      </c>
      <c r="Q2272" s="280">
        <v>-5.0</v>
      </c>
      <c r="R2272" s="276">
        <v>0.0</v>
      </c>
      <c r="S2272" s="280">
        <v>-5.0</v>
      </c>
      <c r="T2272" s="280">
        <v>-70.0</v>
      </c>
      <c r="U2272" s="62">
        <v>1.0</v>
      </c>
      <c r="V2272" s="277">
        <v>0.25</v>
      </c>
      <c r="W2272" s="277">
        <v>0.0</v>
      </c>
      <c r="X2272" s="280">
        <v>-53.0</v>
      </c>
      <c r="Y2272" s="280">
        <v>-18.0</v>
      </c>
      <c r="Z2272" s="50" t="b">
        <v>1</v>
      </c>
      <c r="AA2272" s="50" t="s">
        <v>140</v>
      </c>
      <c r="AB2272" s="50" t="s">
        <v>140</v>
      </c>
    </row>
    <row r="2273">
      <c r="A2273" s="280" t="s">
        <v>206</v>
      </c>
      <c r="B2273" s="280" t="s">
        <v>206</v>
      </c>
      <c r="C2273" s="283">
        <v>44896.0</v>
      </c>
      <c r="D2273" s="283">
        <v>44921.0</v>
      </c>
      <c r="E2273" s="280" t="s">
        <v>268</v>
      </c>
      <c r="F2273" s="138" t="s">
        <v>12</v>
      </c>
      <c r="G2273" s="280" t="s">
        <v>142</v>
      </c>
      <c r="H2273" s="290" t="s">
        <v>39</v>
      </c>
      <c r="I2273" s="281">
        <v>5.0</v>
      </c>
      <c r="J2273" s="280">
        <v>16.0</v>
      </c>
      <c r="K2273" s="271">
        <f t="shared" si="1"/>
        <v>80</v>
      </c>
      <c r="L2273" s="280"/>
      <c r="M2273" s="280">
        <v>0.37</v>
      </c>
      <c r="N2273" s="282"/>
      <c r="O2273" s="60">
        <v>0.5</v>
      </c>
      <c r="P2273" s="50">
        <v>3.0</v>
      </c>
      <c r="Q2273" s="280"/>
      <c r="R2273" s="276">
        <v>0.0</v>
      </c>
      <c r="S2273" s="280"/>
      <c r="T2273" s="280">
        <v>3.0</v>
      </c>
      <c r="U2273" s="62">
        <v>1.0</v>
      </c>
      <c r="V2273" s="277">
        <v>0.17</v>
      </c>
      <c r="W2273" s="277">
        <v>0.0</v>
      </c>
      <c r="X2273" s="280">
        <v>3.0</v>
      </c>
      <c r="Y2273" s="280">
        <v>1.0</v>
      </c>
      <c r="Z2273" s="50" t="b">
        <v>1</v>
      </c>
      <c r="AA2273" s="50" t="s">
        <v>138</v>
      </c>
      <c r="AB2273" s="50" t="s">
        <v>138</v>
      </c>
    </row>
    <row r="2274">
      <c r="A2274" s="280" t="s">
        <v>206</v>
      </c>
      <c r="B2274" s="280" t="s">
        <v>206</v>
      </c>
      <c r="C2274" s="283">
        <v>44896.0</v>
      </c>
      <c r="D2274" s="283">
        <v>44921.0</v>
      </c>
      <c r="E2274" s="280" t="s">
        <v>268</v>
      </c>
      <c r="F2274" s="138" t="s">
        <v>12</v>
      </c>
      <c r="G2274" s="280" t="s">
        <v>142</v>
      </c>
      <c r="H2274" s="290" t="s">
        <v>50</v>
      </c>
      <c r="I2274" s="281">
        <v>10.0</v>
      </c>
      <c r="J2274" s="280">
        <v>14.0</v>
      </c>
      <c r="K2274" s="271">
        <f t="shared" si="1"/>
        <v>140</v>
      </c>
      <c r="L2274" s="280"/>
      <c r="M2274" s="280">
        <v>0.64</v>
      </c>
      <c r="N2274" s="282"/>
      <c r="O2274" s="60">
        <v>0.5</v>
      </c>
      <c r="P2274" s="50">
        <v>5.0</v>
      </c>
      <c r="Q2274" s="280"/>
      <c r="R2274" s="276">
        <v>0.0</v>
      </c>
      <c r="S2274" s="280"/>
      <c r="T2274" s="280">
        <v>6.0</v>
      </c>
      <c r="U2274" s="62">
        <v>1.0</v>
      </c>
      <c r="V2274" s="277">
        <v>0.17</v>
      </c>
      <c r="W2274" s="277">
        <v>0.0</v>
      </c>
      <c r="X2274" s="280">
        <v>5.0</v>
      </c>
      <c r="Y2274" s="280">
        <v>1.0</v>
      </c>
      <c r="Z2274" s="50" t="b">
        <v>1</v>
      </c>
      <c r="AA2274" s="50" t="s">
        <v>138</v>
      </c>
      <c r="AB2274" s="50" t="s">
        <v>138</v>
      </c>
    </row>
    <row r="2275">
      <c r="A2275" s="280" t="s">
        <v>206</v>
      </c>
      <c r="B2275" s="280" t="s">
        <v>206</v>
      </c>
      <c r="C2275" s="283">
        <v>44896.0</v>
      </c>
      <c r="D2275" s="283">
        <v>44921.0</v>
      </c>
      <c r="E2275" s="280" t="s">
        <v>268</v>
      </c>
      <c r="F2275" s="138" t="s">
        <v>12</v>
      </c>
      <c r="G2275" s="280" t="s">
        <v>142</v>
      </c>
      <c r="H2275" s="290" t="s">
        <v>61</v>
      </c>
      <c r="I2275" s="281">
        <v>20.0</v>
      </c>
      <c r="J2275" s="280">
        <v>13.0</v>
      </c>
      <c r="K2275" s="271">
        <f t="shared" si="1"/>
        <v>260</v>
      </c>
      <c r="L2275" s="280"/>
      <c r="M2275" s="280">
        <v>1.2</v>
      </c>
      <c r="N2275" s="282"/>
      <c r="O2275" s="60">
        <v>0.5</v>
      </c>
      <c r="P2275" s="50">
        <v>9.0</v>
      </c>
      <c r="Q2275" s="280"/>
      <c r="R2275" s="276">
        <v>0.0</v>
      </c>
      <c r="S2275" s="280"/>
      <c r="T2275" s="280">
        <v>10.0</v>
      </c>
      <c r="U2275" s="62">
        <v>1.0</v>
      </c>
      <c r="V2275" s="277">
        <v>0.17</v>
      </c>
      <c r="W2275" s="277">
        <v>0.0</v>
      </c>
      <c r="X2275" s="280">
        <v>9.0</v>
      </c>
      <c r="Y2275" s="280">
        <v>2.0</v>
      </c>
      <c r="Z2275" s="50" t="b">
        <v>1</v>
      </c>
      <c r="AA2275" s="50" t="s">
        <v>138</v>
      </c>
      <c r="AB2275" s="50" t="s">
        <v>138</v>
      </c>
    </row>
    <row r="2276">
      <c r="A2276" s="280" t="s">
        <v>206</v>
      </c>
      <c r="B2276" s="280" t="s">
        <v>206</v>
      </c>
      <c r="C2276" s="283">
        <v>44896.0</v>
      </c>
      <c r="D2276" s="283">
        <v>44921.0</v>
      </c>
      <c r="E2276" s="280" t="s">
        <v>268</v>
      </c>
      <c r="F2276" s="138" t="s">
        <v>12</v>
      </c>
      <c r="G2276" s="280" t="s">
        <v>142</v>
      </c>
      <c r="H2276" s="290" t="s">
        <v>77</v>
      </c>
      <c r="I2276" s="281">
        <v>50.0</v>
      </c>
      <c r="J2276" s="280">
        <v>1053.0</v>
      </c>
      <c r="K2276" s="271">
        <f t="shared" si="1"/>
        <v>52650</v>
      </c>
      <c r="L2276" s="280"/>
      <c r="M2276" s="280">
        <v>242.01</v>
      </c>
      <c r="N2276" s="282"/>
      <c r="O2276" s="60">
        <v>0.5</v>
      </c>
      <c r="P2276" s="109">
        <v>1843.0</v>
      </c>
      <c r="Q2276" s="280"/>
      <c r="R2276" s="276">
        <v>0.0</v>
      </c>
      <c r="S2276" s="280"/>
      <c r="T2276" s="280">
        <v>2085.0</v>
      </c>
      <c r="U2276" s="62">
        <v>1.0</v>
      </c>
      <c r="V2276" s="277">
        <v>0.17</v>
      </c>
      <c r="W2276" s="277">
        <v>0.0</v>
      </c>
      <c r="X2276" s="280">
        <v>1730.0</v>
      </c>
      <c r="Y2276" s="280">
        <v>354.0</v>
      </c>
      <c r="Z2276" s="50" t="b">
        <v>1</v>
      </c>
      <c r="AA2276" s="50" t="s">
        <v>138</v>
      </c>
      <c r="AB2276" s="50" t="s">
        <v>138</v>
      </c>
    </row>
    <row r="2277">
      <c r="A2277" s="280" t="s">
        <v>206</v>
      </c>
      <c r="B2277" s="280" t="s">
        <v>206</v>
      </c>
      <c r="C2277" s="283">
        <v>44896.0</v>
      </c>
      <c r="D2277" s="283">
        <v>44921.0</v>
      </c>
      <c r="E2277" s="280" t="s">
        <v>268</v>
      </c>
      <c r="F2277" s="138" t="s">
        <v>12</v>
      </c>
      <c r="G2277" s="280" t="s">
        <v>142</v>
      </c>
      <c r="H2277" s="290" t="s">
        <v>89</v>
      </c>
      <c r="I2277" s="281">
        <v>100.0</v>
      </c>
      <c r="J2277" s="280">
        <v>774.0</v>
      </c>
      <c r="K2277" s="271">
        <f t="shared" si="1"/>
        <v>77400</v>
      </c>
      <c r="L2277" s="280"/>
      <c r="M2277" s="280">
        <v>355.78</v>
      </c>
      <c r="N2277" s="282"/>
      <c r="O2277" s="60">
        <v>0.5</v>
      </c>
      <c r="P2277" s="109">
        <v>2709.0</v>
      </c>
      <c r="Q2277" s="280"/>
      <c r="R2277" s="276">
        <v>0.0</v>
      </c>
      <c r="S2277" s="280"/>
      <c r="T2277" s="280">
        <v>3065.0</v>
      </c>
      <c r="U2277" s="62">
        <v>1.0</v>
      </c>
      <c r="V2277" s="277">
        <v>0.17</v>
      </c>
      <c r="W2277" s="277">
        <v>0.0</v>
      </c>
      <c r="X2277" s="280">
        <v>2544.0</v>
      </c>
      <c r="Y2277" s="280">
        <v>521.0</v>
      </c>
      <c r="Z2277" s="50" t="b">
        <v>1</v>
      </c>
      <c r="AA2277" s="50" t="s">
        <v>138</v>
      </c>
      <c r="AB2277" s="50" t="s">
        <v>138</v>
      </c>
    </row>
    <row r="2278">
      <c r="A2278" s="280" t="s">
        <v>206</v>
      </c>
      <c r="B2278" s="280" t="s">
        <v>206</v>
      </c>
      <c r="C2278" s="283">
        <v>44896.0</v>
      </c>
      <c r="D2278" s="283">
        <v>44921.0</v>
      </c>
      <c r="E2278" s="280" t="s">
        <v>268</v>
      </c>
      <c r="F2278" s="138" t="s">
        <v>12</v>
      </c>
      <c r="G2278" s="280" t="s">
        <v>142</v>
      </c>
      <c r="H2278" s="290" t="s">
        <v>89</v>
      </c>
      <c r="I2278" s="281">
        <v>100.0</v>
      </c>
      <c r="J2278" s="280">
        <v>14.0</v>
      </c>
      <c r="K2278" s="271">
        <f t="shared" si="1"/>
        <v>1400</v>
      </c>
      <c r="L2278" s="280"/>
      <c r="M2278" s="280">
        <v>17.0</v>
      </c>
      <c r="N2278" s="282">
        <v>70.0</v>
      </c>
      <c r="O2278" s="60"/>
      <c r="P2278" s="50">
        <v>70.0</v>
      </c>
      <c r="Q2278" s="280"/>
      <c r="R2278" s="276">
        <v>0.0</v>
      </c>
      <c r="S2278" s="280"/>
      <c r="T2278" s="280">
        <v>87.0</v>
      </c>
      <c r="U2278" s="62">
        <v>1.0</v>
      </c>
      <c r="V2278" s="277">
        <v>0.17</v>
      </c>
      <c r="W2278" s="277">
        <v>0.0</v>
      </c>
      <c r="X2278" s="280">
        <v>72.0</v>
      </c>
      <c r="Y2278" s="280">
        <v>15.0</v>
      </c>
      <c r="Z2278" s="50" t="b">
        <v>1</v>
      </c>
      <c r="AA2278" s="50" t="s">
        <v>138</v>
      </c>
      <c r="AB2278" s="50" t="s">
        <v>138</v>
      </c>
    </row>
    <row r="2279">
      <c r="A2279" s="280" t="s">
        <v>233</v>
      </c>
      <c r="B2279" s="280" t="s">
        <v>212</v>
      </c>
      <c r="C2279" s="283">
        <v>44896.0</v>
      </c>
      <c r="D2279" s="283">
        <v>44921.0</v>
      </c>
      <c r="E2279" s="280" t="s">
        <v>268</v>
      </c>
      <c r="F2279" s="138" t="s">
        <v>12</v>
      </c>
      <c r="G2279" s="280" t="s">
        <v>142</v>
      </c>
      <c r="H2279" s="290" t="s">
        <v>61</v>
      </c>
      <c r="I2279" s="281">
        <v>20.0</v>
      </c>
      <c r="J2279" s="280">
        <v>697.0</v>
      </c>
      <c r="K2279" s="271">
        <f t="shared" si="1"/>
        <v>13940</v>
      </c>
      <c r="L2279" s="280"/>
      <c r="M2279" s="280">
        <v>749.16</v>
      </c>
      <c r="N2279" s="282"/>
      <c r="O2279" s="60">
        <v>0.5</v>
      </c>
      <c r="P2279" s="50">
        <v>488.0</v>
      </c>
      <c r="Q2279" s="280"/>
      <c r="R2279" s="276">
        <v>0.0</v>
      </c>
      <c r="S2279" s="280"/>
      <c r="T2279" s="280">
        <v>1237.0</v>
      </c>
      <c r="U2279" s="62">
        <v>1.0</v>
      </c>
      <c r="V2279" s="277">
        <v>0.23</v>
      </c>
      <c r="W2279" s="277">
        <v>0.0</v>
      </c>
      <c r="X2279" s="280">
        <v>953.0</v>
      </c>
      <c r="Y2279" s="280">
        <v>285.0</v>
      </c>
      <c r="Z2279" s="50" t="b">
        <v>1</v>
      </c>
      <c r="AA2279" s="50" t="s">
        <v>138</v>
      </c>
      <c r="AB2279" s="50" t="s">
        <v>138</v>
      </c>
    </row>
    <row r="2280">
      <c r="A2280" s="280" t="s">
        <v>233</v>
      </c>
      <c r="B2280" s="280" t="s">
        <v>212</v>
      </c>
      <c r="C2280" s="283">
        <v>44896.0</v>
      </c>
      <c r="D2280" s="283">
        <v>44921.0</v>
      </c>
      <c r="E2280" s="280" t="s">
        <v>268</v>
      </c>
      <c r="F2280" s="138" t="s">
        <v>12</v>
      </c>
      <c r="G2280" s="280" t="s">
        <v>142</v>
      </c>
      <c r="H2280" s="290" t="s">
        <v>50</v>
      </c>
      <c r="I2280" s="281">
        <v>10.0</v>
      </c>
      <c r="J2280" s="280">
        <v>5.0</v>
      </c>
      <c r="K2280" s="271">
        <f t="shared" si="1"/>
        <v>50</v>
      </c>
      <c r="L2280" s="280"/>
      <c r="M2280" s="280">
        <v>2.69</v>
      </c>
      <c r="N2280" s="282"/>
      <c r="O2280" s="60">
        <v>0.5</v>
      </c>
      <c r="P2280" s="50">
        <v>2.0</v>
      </c>
      <c r="Q2280" s="280"/>
      <c r="R2280" s="276">
        <v>0.0</v>
      </c>
      <c r="S2280" s="280"/>
      <c r="T2280" s="280">
        <v>4.0</v>
      </c>
      <c r="U2280" s="62">
        <v>1.0</v>
      </c>
      <c r="V2280" s="277">
        <v>0.23</v>
      </c>
      <c r="W2280" s="277">
        <v>0.0</v>
      </c>
      <c r="X2280" s="280">
        <v>3.0</v>
      </c>
      <c r="Y2280" s="280">
        <v>1.0</v>
      </c>
      <c r="Z2280" s="50" t="b">
        <v>1</v>
      </c>
      <c r="AA2280" s="50" t="s">
        <v>138</v>
      </c>
      <c r="AB2280" s="50" t="s">
        <v>138</v>
      </c>
    </row>
    <row r="2281">
      <c r="A2281" s="280" t="s">
        <v>233</v>
      </c>
      <c r="B2281" s="280" t="s">
        <v>212</v>
      </c>
      <c r="C2281" s="283">
        <v>44896.0</v>
      </c>
      <c r="D2281" s="283">
        <v>44921.0</v>
      </c>
      <c r="E2281" s="280" t="s">
        <v>268</v>
      </c>
      <c r="F2281" s="138" t="s">
        <v>12</v>
      </c>
      <c r="G2281" s="280" t="s">
        <v>142</v>
      </c>
      <c r="H2281" s="290" t="s">
        <v>39</v>
      </c>
      <c r="I2281" s="281">
        <v>5.0</v>
      </c>
      <c r="J2281" s="280">
        <v>8.0</v>
      </c>
      <c r="K2281" s="271">
        <f t="shared" si="1"/>
        <v>40</v>
      </c>
      <c r="L2281" s="280"/>
      <c r="M2281" s="280">
        <v>2.15</v>
      </c>
      <c r="N2281" s="282"/>
      <c r="O2281" s="60">
        <v>0.5</v>
      </c>
      <c r="P2281" s="50">
        <v>1.0</v>
      </c>
      <c r="Q2281" s="280"/>
      <c r="R2281" s="276">
        <v>0.0</v>
      </c>
      <c r="S2281" s="280"/>
      <c r="T2281" s="280">
        <v>4.0</v>
      </c>
      <c r="U2281" s="62">
        <v>1.0</v>
      </c>
      <c r="V2281" s="277">
        <v>0.23</v>
      </c>
      <c r="W2281" s="277">
        <v>0.0</v>
      </c>
      <c r="X2281" s="280">
        <v>3.0</v>
      </c>
      <c r="Y2281" s="280">
        <v>1.0</v>
      </c>
      <c r="Z2281" s="50" t="b">
        <v>1</v>
      </c>
      <c r="AA2281" s="50" t="s">
        <v>138</v>
      </c>
      <c r="AB2281" s="50" t="s">
        <v>138</v>
      </c>
    </row>
    <row r="2282">
      <c r="A2282" s="280" t="s">
        <v>180</v>
      </c>
      <c r="B2282" s="280" t="s">
        <v>180</v>
      </c>
      <c r="C2282" s="283">
        <v>44896.0</v>
      </c>
      <c r="D2282" s="283">
        <v>44922.0</v>
      </c>
      <c r="E2282" s="280" t="s">
        <v>268</v>
      </c>
      <c r="F2282" s="138" t="s">
        <v>12</v>
      </c>
      <c r="G2282" s="280" t="s">
        <v>142</v>
      </c>
      <c r="H2282" s="290" t="s">
        <v>39</v>
      </c>
      <c r="I2282" s="281">
        <v>5.0</v>
      </c>
      <c r="J2282" s="280">
        <v>1345.0</v>
      </c>
      <c r="K2282" s="271">
        <f t="shared" si="1"/>
        <v>6725</v>
      </c>
      <c r="L2282" s="280"/>
      <c r="M2282" s="280">
        <v>264.78</v>
      </c>
      <c r="N2282" s="282"/>
      <c r="O2282" s="60">
        <v>0.5</v>
      </c>
      <c r="P2282" s="50">
        <v>235.0</v>
      </c>
      <c r="Q2282" s="280"/>
      <c r="R2282" s="276">
        <v>0.0</v>
      </c>
      <c r="S2282" s="280"/>
      <c r="T2282" s="280">
        <v>500.0</v>
      </c>
      <c r="U2282" s="62">
        <v>1.0</v>
      </c>
      <c r="V2282" s="277">
        <v>0.3</v>
      </c>
      <c r="W2282" s="277">
        <v>0.0</v>
      </c>
      <c r="X2282" s="280">
        <v>350.0</v>
      </c>
      <c r="Y2282" s="280">
        <v>150.0</v>
      </c>
      <c r="Z2282" s="50" t="b">
        <v>0</v>
      </c>
      <c r="AA2282" s="50" t="s">
        <v>138</v>
      </c>
      <c r="AB2282" s="50" t="s">
        <v>138</v>
      </c>
    </row>
    <row r="2283">
      <c r="A2283" s="280" t="s">
        <v>180</v>
      </c>
      <c r="B2283" s="280" t="s">
        <v>180</v>
      </c>
      <c r="C2283" s="283">
        <v>44896.0</v>
      </c>
      <c r="D2283" s="283">
        <v>44922.0</v>
      </c>
      <c r="E2283" s="280" t="s">
        <v>268</v>
      </c>
      <c r="F2283" s="138" t="s">
        <v>12</v>
      </c>
      <c r="G2283" s="280" t="s">
        <v>142</v>
      </c>
      <c r="H2283" s="290" t="s">
        <v>50</v>
      </c>
      <c r="I2283" s="281">
        <v>10.0</v>
      </c>
      <c r="J2283" s="280">
        <v>252.0</v>
      </c>
      <c r="K2283" s="271">
        <f t="shared" si="1"/>
        <v>2520</v>
      </c>
      <c r="L2283" s="280"/>
      <c r="M2283" s="280">
        <v>99.22</v>
      </c>
      <c r="N2283" s="282"/>
      <c r="O2283" s="60">
        <v>0.5</v>
      </c>
      <c r="P2283" s="50">
        <v>88.0</v>
      </c>
      <c r="Q2283" s="280"/>
      <c r="R2283" s="276">
        <v>0.0</v>
      </c>
      <c r="S2283" s="280"/>
      <c r="T2283" s="280">
        <v>187.0</v>
      </c>
      <c r="U2283" s="62">
        <v>1.0</v>
      </c>
      <c r="V2283" s="277">
        <v>0.3</v>
      </c>
      <c r="W2283" s="277">
        <v>0.0</v>
      </c>
      <c r="X2283" s="280">
        <v>131.0</v>
      </c>
      <c r="Y2283" s="280">
        <v>56.0</v>
      </c>
      <c r="Z2283" s="50" t="b">
        <v>0</v>
      </c>
      <c r="AA2283" s="50" t="s">
        <v>138</v>
      </c>
      <c r="AB2283" s="50" t="s">
        <v>138</v>
      </c>
    </row>
    <row r="2284">
      <c r="A2284" s="101" t="s">
        <v>181</v>
      </c>
      <c r="B2284" s="101" t="s">
        <v>181</v>
      </c>
      <c r="C2284" s="278">
        <v>44896.0</v>
      </c>
      <c r="D2284" s="278">
        <v>44922.0</v>
      </c>
      <c r="E2284" s="271" t="s">
        <v>268</v>
      </c>
      <c r="F2284" s="101" t="s">
        <v>12</v>
      </c>
      <c r="G2284" s="271" t="s">
        <v>13</v>
      </c>
      <c r="H2284" s="114" t="s">
        <v>85</v>
      </c>
      <c r="I2284" s="274">
        <v>100.0</v>
      </c>
      <c r="J2284" s="271">
        <v>3969.0</v>
      </c>
      <c r="K2284" s="271">
        <f t="shared" si="1"/>
        <v>396900</v>
      </c>
      <c r="L2284" s="271">
        <v>38183.0</v>
      </c>
      <c r="M2284" s="271">
        <v>-10300.0</v>
      </c>
      <c r="N2284" s="275">
        <v>20110.0</v>
      </c>
      <c r="O2284" s="60"/>
      <c r="P2284" s="109">
        <v>20110.0</v>
      </c>
      <c r="Q2284" s="271">
        <v>-18122.0</v>
      </c>
      <c r="R2284" s="276">
        <v>0.0</v>
      </c>
      <c r="S2284" s="271">
        <v>-18122.0</v>
      </c>
      <c r="T2284" s="271">
        <v>9810.0</v>
      </c>
      <c r="U2284" s="62">
        <v>1.0</v>
      </c>
      <c r="V2284" s="277">
        <v>0.15</v>
      </c>
      <c r="W2284" s="277">
        <v>0.0</v>
      </c>
      <c r="X2284" s="271">
        <v>8339.0</v>
      </c>
      <c r="Y2284" s="271">
        <v>1472.0</v>
      </c>
      <c r="Z2284" s="50" t="b">
        <v>1</v>
      </c>
      <c r="AA2284" s="50" t="s">
        <v>138</v>
      </c>
      <c r="AB2284" s="50" t="s">
        <v>138</v>
      </c>
    </row>
    <row r="2285">
      <c r="A2285" s="280" t="s">
        <v>183</v>
      </c>
      <c r="B2285" s="280" t="s">
        <v>183</v>
      </c>
      <c r="C2285" s="283">
        <v>44896.0</v>
      </c>
      <c r="D2285" s="283">
        <v>44926.0</v>
      </c>
      <c r="E2285" s="280" t="s">
        <v>268</v>
      </c>
      <c r="F2285" s="138" t="s">
        <v>8</v>
      </c>
      <c r="G2285" s="280" t="s">
        <v>16</v>
      </c>
      <c r="H2285" s="290" t="s">
        <v>45</v>
      </c>
      <c r="I2285" s="281">
        <v>10.0</v>
      </c>
      <c r="J2285" s="280">
        <v>476.0</v>
      </c>
      <c r="K2285" s="271">
        <f t="shared" si="1"/>
        <v>4760</v>
      </c>
      <c r="L2285" s="280">
        <v>28033.0</v>
      </c>
      <c r="M2285" s="280">
        <v>110.0</v>
      </c>
      <c r="N2285" s="282">
        <v>70.0</v>
      </c>
      <c r="O2285" s="60"/>
      <c r="P2285" s="50">
        <v>70.0</v>
      </c>
      <c r="Q2285" s="280">
        <v>219.0</v>
      </c>
      <c r="R2285" s="276">
        <v>0.001811</v>
      </c>
      <c r="S2285" s="280">
        <v>228.0</v>
      </c>
      <c r="T2285" s="280">
        <v>298.0</v>
      </c>
      <c r="U2285" s="62">
        <v>1.0</v>
      </c>
      <c r="V2285" s="277">
        <v>0.23</v>
      </c>
      <c r="W2285" s="277">
        <v>0.0</v>
      </c>
      <c r="X2285" s="280">
        <v>229.0</v>
      </c>
      <c r="Y2285" s="280">
        <v>69.0</v>
      </c>
      <c r="Z2285" s="50" t="b">
        <v>1</v>
      </c>
      <c r="AA2285" s="50" t="s">
        <v>138</v>
      </c>
      <c r="AB2285" s="50" t="s">
        <v>138</v>
      </c>
    </row>
    <row r="2286">
      <c r="A2286" s="280" t="s">
        <v>183</v>
      </c>
      <c r="B2286" s="280" t="s">
        <v>183</v>
      </c>
      <c r="C2286" s="283">
        <v>44896.0</v>
      </c>
      <c r="D2286" s="283">
        <v>44926.0</v>
      </c>
      <c r="E2286" s="280" t="s">
        <v>268</v>
      </c>
      <c r="F2286" s="138" t="s">
        <v>8</v>
      </c>
      <c r="G2286" s="280" t="s">
        <v>16</v>
      </c>
      <c r="H2286" s="290" t="s">
        <v>35</v>
      </c>
      <c r="I2286" s="281">
        <v>5.0</v>
      </c>
      <c r="J2286" s="280">
        <v>1.0</v>
      </c>
      <c r="K2286" s="271">
        <f t="shared" si="1"/>
        <v>5</v>
      </c>
      <c r="L2286" s="280">
        <v>926.0</v>
      </c>
      <c r="M2286" s="280">
        <v>10.0</v>
      </c>
      <c r="N2286" s="282">
        <v>0.01</v>
      </c>
      <c r="O2286" s="60"/>
      <c r="P2286" s="50">
        <v>0.0</v>
      </c>
      <c r="Q2286" s="280">
        <v>8.0</v>
      </c>
      <c r="R2286" s="276">
        <v>-6.54E-4</v>
      </c>
      <c r="S2286" s="280">
        <v>8.0</v>
      </c>
      <c r="T2286" s="280">
        <v>8.0</v>
      </c>
      <c r="U2286" s="62">
        <v>1.0</v>
      </c>
      <c r="V2286" s="277">
        <v>0.23</v>
      </c>
      <c r="W2286" s="277">
        <v>0.0</v>
      </c>
      <c r="X2286" s="280">
        <v>6.0</v>
      </c>
      <c r="Y2286" s="280">
        <v>2.0</v>
      </c>
      <c r="Z2286" s="50" t="b">
        <v>1</v>
      </c>
      <c r="AA2286" s="50" t="s">
        <v>138</v>
      </c>
      <c r="AB2286" s="50" t="s">
        <v>138</v>
      </c>
    </row>
    <row r="2287">
      <c r="A2287" s="280" t="s">
        <v>379</v>
      </c>
      <c r="B2287" s="280" t="s">
        <v>168</v>
      </c>
      <c r="C2287" s="283">
        <v>44903.0</v>
      </c>
      <c r="D2287" s="283">
        <v>44926.0</v>
      </c>
      <c r="E2287" s="280" t="s">
        <v>268</v>
      </c>
      <c r="F2287" s="138" t="s">
        <v>4</v>
      </c>
      <c r="G2287" s="280" t="s">
        <v>16</v>
      </c>
      <c r="H2287" s="290" t="s">
        <v>59</v>
      </c>
      <c r="I2287" s="281">
        <v>20.0</v>
      </c>
      <c r="J2287" s="280">
        <v>2775.0</v>
      </c>
      <c r="K2287" s="271">
        <f t="shared" si="1"/>
        <v>55500</v>
      </c>
      <c r="L2287" s="292">
        <f>106948/3658*2775</f>
        <v>81131.95735</v>
      </c>
      <c r="M2287" s="292">
        <v>-2260.0</v>
      </c>
      <c r="N2287" s="275">
        <v>1621.0</v>
      </c>
      <c r="O2287" s="60"/>
      <c r="P2287" s="109">
        <v>1621.0</v>
      </c>
      <c r="Q2287" s="292">
        <v>-519.0</v>
      </c>
      <c r="R2287" s="276">
        <v>0.00193</v>
      </c>
      <c r="S2287" s="292">
        <v>-412.0</v>
      </c>
      <c r="T2287" s="292">
        <v>1209.0</v>
      </c>
      <c r="U2287" s="62">
        <v>1.0</v>
      </c>
      <c r="V2287" s="277">
        <v>0.23</v>
      </c>
      <c r="W2287" s="277">
        <v>0.0</v>
      </c>
      <c r="X2287" s="292">
        <v>931.0</v>
      </c>
      <c r="Y2287" s="292">
        <v>278.0</v>
      </c>
      <c r="Z2287" s="50" t="b">
        <v>0</v>
      </c>
      <c r="AA2287" s="50" t="s">
        <v>138</v>
      </c>
      <c r="AB2287" s="50" t="s">
        <v>138</v>
      </c>
    </row>
    <row r="2288">
      <c r="A2288" s="280" t="s">
        <v>379</v>
      </c>
      <c r="B2288" s="280" t="s">
        <v>168</v>
      </c>
      <c r="C2288" s="283">
        <v>44903.0</v>
      </c>
      <c r="D2288" s="283">
        <v>44926.0</v>
      </c>
      <c r="E2288" s="280" t="s">
        <v>268</v>
      </c>
      <c r="F2288" s="138" t="s">
        <v>4</v>
      </c>
      <c r="G2288" s="280" t="s">
        <v>16</v>
      </c>
      <c r="H2288" s="290" t="s">
        <v>35</v>
      </c>
      <c r="I2288" s="281">
        <v>5.0</v>
      </c>
      <c r="J2288" s="280">
        <v>1.0</v>
      </c>
      <c r="K2288" s="271">
        <f t="shared" si="1"/>
        <v>5</v>
      </c>
      <c r="L2288" s="292">
        <f>12688/397</f>
        <v>31.95969773</v>
      </c>
      <c r="M2288" s="292">
        <v>5.0</v>
      </c>
      <c r="N2288" s="275">
        <v>5.0</v>
      </c>
      <c r="O2288" s="60"/>
      <c r="P2288" s="50">
        <v>5.0</v>
      </c>
      <c r="Q2288" s="292">
        <v>0.0</v>
      </c>
      <c r="R2288" s="276">
        <v>0.00193</v>
      </c>
      <c r="S2288" s="292">
        <v>0.0</v>
      </c>
      <c r="T2288" s="292">
        <v>5.0</v>
      </c>
      <c r="U2288" s="62">
        <v>1.0</v>
      </c>
      <c r="V2288" s="277">
        <v>0.23</v>
      </c>
      <c r="W2288" s="277">
        <v>0.0</v>
      </c>
      <c r="X2288" s="292">
        <v>4.0</v>
      </c>
      <c r="Y2288" s="292">
        <v>1.0</v>
      </c>
      <c r="Z2288" s="50" t="b">
        <v>0</v>
      </c>
      <c r="AA2288" s="50" t="s">
        <v>138</v>
      </c>
      <c r="AB2288" s="50" t="s">
        <v>138</v>
      </c>
    </row>
    <row r="2289">
      <c r="A2289" s="280" t="s">
        <v>362</v>
      </c>
      <c r="B2289" s="271" t="s">
        <v>189</v>
      </c>
      <c r="C2289" s="278">
        <v>44896.0</v>
      </c>
      <c r="D2289" s="278">
        <v>44926.0</v>
      </c>
      <c r="E2289" s="280" t="s">
        <v>268</v>
      </c>
      <c r="F2289" s="138" t="s">
        <v>12</v>
      </c>
      <c r="G2289" s="271" t="s">
        <v>5</v>
      </c>
      <c r="H2289" s="273" t="s">
        <v>75</v>
      </c>
      <c r="I2289" s="274">
        <v>50.0</v>
      </c>
      <c r="J2289" s="271">
        <v>1.0</v>
      </c>
      <c r="K2289" s="271">
        <f t="shared" si="1"/>
        <v>50</v>
      </c>
      <c r="L2289" s="287">
        <f>16783/465*1</f>
        <v>36.09247312</v>
      </c>
      <c r="M2289" s="287">
        <v>-50.0</v>
      </c>
      <c r="N2289" s="275">
        <v>2.0</v>
      </c>
      <c r="O2289" s="60"/>
      <c r="P2289" s="50">
        <v>2.0</v>
      </c>
      <c r="Q2289" s="287">
        <v>2.0</v>
      </c>
      <c r="R2289" s="276">
        <v>0.0</v>
      </c>
      <c r="S2289" s="287">
        <v>2.0</v>
      </c>
      <c r="T2289" s="287">
        <v>-48.0</v>
      </c>
      <c r="U2289" s="62">
        <v>1.0</v>
      </c>
      <c r="V2289" s="277">
        <v>0.19</v>
      </c>
      <c r="W2289" s="277">
        <v>0.0</v>
      </c>
      <c r="X2289" s="287">
        <v>-39.0</v>
      </c>
      <c r="Y2289" s="287">
        <v>-9.0</v>
      </c>
      <c r="Z2289" s="50" t="b">
        <v>1</v>
      </c>
      <c r="AA2289" s="50" t="s">
        <v>138</v>
      </c>
      <c r="AB2289" s="50" t="s">
        <v>138</v>
      </c>
    </row>
    <row r="2290">
      <c r="A2290" s="280" t="s">
        <v>362</v>
      </c>
      <c r="B2290" s="271" t="s">
        <v>189</v>
      </c>
      <c r="C2290" s="278">
        <v>44896.0</v>
      </c>
      <c r="D2290" s="278">
        <v>44926.0</v>
      </c>
      <c r="E2290" s="280" t="s">
        <v>268</v>
      </c>
      <c r="F2290" s="138" t="s">
        <v>12</v>
      </c>
      <c r="G2290" s="271" t="s">
        <v>5</v>
      </c>
      <c r="H2290" s="273" t="s">
        <v>97</v>
      </c>
      <c r="I2290" s="274">
        <v>250.0</v>
      </c>
      <c r="J2290" s="271">
        <v>1.0</v>
      </c>
      <c r="K2290" s="271">
        <f t="shared" si="1"/>
        <v>250</v>
      </c>
      <c r="L2290" s="287">
        <f>3614/17*1</f>
        <v>212.5882353</v>
      </c>
      <c r="M2290" s="287">
        <v>-250.0</v>
      </c>
      <c r="N2290" s="275">
        <v>9.0</v>
      </c>
      <c r="O2290" s="60"/>
      <c r="P2290" s="50">
        <v>9.0</v>
      </c>
      <c r="Q2290" s="287">
        <v>154.0</v>
      </c>
      <c r="R2290" s="276">
        <v>0.0</v>
      </c>
      <c r="S2290" s="287">
        <v>154.0</v>
      </c>
      <c r="T2290" s="287">
        <v>-241.0</v>
      </c>
      <c r="U2290" s="62">
        <v>1.0</v>
      </c>
      <c r="V2290" s="277">
        <v>0.19</v>
      </c>
      <c r="W2290" s="277">
        <v>0.0</v>
      </c>
      <c r="X2290" s="287">
        <v>-195.0</v>
      </c>
      <c r="Y2290" s="287">
        <v>-46.0</v>
      </c>
      <c r="Z2290" s="50" t="b">
        <v>1</v>
      </c>
      <c r="AA2290" s="50" t="s">
        <v>138</v>
      </c>
      <c r="AB2290" s="50" t="s">
        <v>138</v>
      </c>
    </row>
    <row r="2291">
      <c r="A2291" s="280" t="s">
        <v>362</v>
      </c>
      <c r="B2291" s="271" t="s">
        <v>189</v>
      </c>
      <c r="C2291" s="278">
        <v>44896.0</v>
      </c>
      <c r="D2291" s="278">
        <v>44926.0</v>
      </c>
      <c r="E2291" s="280" t="s">
        <v>268</v>
      </c>
      <c r="F2291" s="138" t="s">
        <v>12</v>
      </c>
      <c r="G2291" s="271" t="s">
        <v>5</v>
      </c>
      <c r="H2291" s="273" t="s">
        <v>63</v>
      </c>
      <c r="I2291" s="274">
        <v>25.0</v>
      </c>
      <c r="J2291" s="271">
        <v>7.0</v>
      </c>
      <c r="K2291" s="271">
        <f t="shared" si="1"/>
        <v>175</v>
      </c>
      <c r="L2291" s="287">
        <f>94/127*7</f>
        <v>5.181102362</v>
      </c>
      <c r="M2291" s="287">
        <v>-25.0</v>
      </c>
      <c r="N2291" s="275">
        <v>8.0</v>
      </c>
      <c r="O2291" s="60"/>
      <c r="P2291" s="50">
        <v>8.0</v>
      </c>
      <c r="Q2291" s="287">
        <v>-11.0</v>
      </c>
      <c r="R2291" s="276">
        <v>0.0</v>
      </c>
      <c r="S2291" s="287">
        <v>-11.0</v>
      </c>
      <c r="T2291" s="287">
        <v>-17.0</v>
      </c>
      <c r="U2291" s="62">
        <v>1.0</v>
      </c>
      <c r="V2291" s="277">
        <v>0.19</v>
      </c>
      <c r="W2291" s="277">
        <v>0.0</v>
      </c>
      <c r="X2291" s="287">
        <v>-14.0</v>
      </c>
      <c r="Y2291" s="287">
        <v>-3.0</v>
      </c>
      <c r="Z2291" s="50" t="b">
        <v>1</v>
      </c>
      <c r="AA2291" s="50" t="s">
        <v>138</v>
      </c>
      <c r="AB2291" s="50" t="s">
        <v>138</v>
      </c>
    </row>
    <row r="2292">
      <c r="A2292" s="280" t="s">
        <v>362</v>
      </c>
      <c r="B2292" s="271" t="s">
        <v>189</v>
      </c>
      <c r="C2292" s="278">
        <v>44896.0</v>
      </c>
      <c r="D2292" s="278">
        <v>44926.0</v>
      </c>
      <c r="E2292" s="280" t="s">
        <v>268</v>
      </c>
      <c r="F2292" s="138" t="s">
        <v>12</v>
      </c>
      <c r="G2292" s="271" t="s">
        <v>5</v>
      </c>
      <c r="H2292" s="273" t="s">
        <v>86</v>
      </c>
      <c r="I2292" s="274">
        <v>100.0</v>
      </c>
      <c r="J2292" s="271">
        <v>8.0</v>
      </c>
      <c r="K2292" s="271">
        <f t="shared" si="1"/>
        <v>800</v>
      </c>
      <c r="L2292" s="287">
        <f>6276/127*8</f>
        <v>395.3385827</v>
      </c>
      <c r="M2292" s="287">
        <v>-100.0</v>
      </c>
      <c r="N2292" s="275">
        <v>30.0</v>
      </c>
      <c r="O2292" s="60"/>
      <c r="P2292" s="50">
        <v>30.0</v>
      </c>
      <c r="Q2292" s="287">
        <v>80.0</v>
      </c>
      <c r="R2292" s="276">
        <v>0.0</v>
      </c>
      <c r="S2292" s="287">
        <v>80.0</v>
      </c>
      <c r="T2292" s="287">
        <v>-70.0</v>
      </c>
      <c r="U2292" s="62">
        <v>1.0</v>
      </c>
      <c r="V2292" s="277">
        <v>0.19</v>
      </c>
      <c r="W2292" s="277">
        <v>0.0</v>
      </c>
      <c r="X2292" s="287">
        <v>-57.0</v>
      </c>
      <c r="Y2292" s="287">
        <v>-13.0</v>
      </c>
      <c r="Z2292" s="50" t="b">
        <v>1</v>
      </c>
      <c r="AA2292" s="50" t="s">
        <v>138</v>
      </c>
      <c r="AB2292" s="50" t="s">
        <v>138</v>
      </c>
    </row>
    <row r="2293">
      <c r="A2293" s="280" t="s">
        <v>362</v>
      </c>
      <c r="B2293" s="271" t="s">
        <v>189</v>
      </c>
      <c r="C2293" s="278">
        <v>44896.0</v>
      </c>
      <c r="D2293" s="278">
        <v>44926.0</v>
      </c>
      <c r="E2293" s="280" t="s">
        <v>268</v>
      </c>
      <c r="F2293" s="138" t="s">
        <v>12</v>
      </c>
      <c r="G2293" s="271" t="s">
        <v>5</v>
      </c>
      <c r="H2293" s="273" t="s">
        <v>96</v>
      </c>
      <c r="I2293" s="274">
        <v>250.0</v>
      </c>
      <c r="J2293" s="271">
        <v>16.0</v>
      </c>
      <c r="K2293" s="271">
        <f t="shared" si="1"/>
        <v>4000</v>
      </c>
      <c r="L2293" s="287">
        <f>3614-L2290</f>
        <v>3401.411765</v>
      </c>
      <c r="M2293" s="287">
        <v>2000.0</v>
      </c>
      <c r="N2293" s="275">
        <v>148.0</v>
      </c>
      <c r="O2293" s="60"/>
      <c r="P2293" s="50">
        <v>148.0</v>
      </c>
      <c r="Q2293" s="287">
        <v>1391.0</v>
      </c>
      <c r="R2293" s="276">
        <v>0.0</v>
      </c>
      <c r="S2293" s="287">
        <v>1391.0</v>
      </c>
      <c r="T2293" s="287">
        <v>2148.0</v>
      </c>
      <c r="U2293" s="62">
        <v>1.0</v>
      </c>
      <c r="V2293" s="277">
        <v>0.19</v>
      </c>
      <c r="W2293" s="277">
        <v>0.0</v>
      </c>
      <c r="X2293" s="287">
        <v>1740.0</v>
      </c>
      <c r="Y2293" s="287">
        <v>408.0</v>
      </c>
      <c r="Z2293" s="50" t="b">
        <v>1</v>
      </c>
      <c r="AA2293" s="50" t="s">
        <v>138</v>
      </c>
      <c r="AB2293" s="50" t="s">
        <v>138</v>
      </c>
    </row>
    <row r="2294">
      <c r="A2294" s="280" t="s">
        <v>362</v>
      </c>
      <c r="B2294" s="271" t="s">
        <v>189</v>
      </c>
      <c r="C2294" s="278">
        <v>44896.0</v>
      </c>
      <c r="D2294" s="278">
        <v>44926.0</v>
      </c>
      <c r="E2294" s="280" t="s">
        <v>268</v>
      </c>
      <c r="F2294" s="138" t="s">
        <v>12</v>
      </c>
      <c r="G2294" s="271" t="s">
        <v>5</v>
      </c>
      <c r="H2294" s="273" t="s">
        <v>85</v>
      </c>
      <c r="I2294" s="274">
        <v>100.0</v>
      </c>
      <c r="J2294" s="271">
        <v>119.0</v>
      </c>
      <c r="K2294" s="271">
        <f t="shared" si="1"/>
        <v>11900</v>
      </c>
      <c r="L2294" s="287">
        <f>6276-L2292</f>
        <v>5880.661417</v>
      </c>
      <c r="M2294" s="287">
        <v>1000.0</v>
      </c>
      <c r="N2294" s="275">
        <v>440.0</v>
      </c>
      <c r="O2294" s="60"/>
      <c r="P2294" s="50">
        <v>440.0</v>
      </c>
      <c r="Q2294" s="287">
        <v>460.0</v>
      </c>
      <c r="R2294" s="276">
        <v>0.0</v>
      </c>
      <c r="S2294" s="287">
        <v>460.0</v>
      </c>
      <c r="T2294" s="287">
        <v>1440.0</v>
      </c>
      <c r="U2294" s="62">
        <v>1.0</v>
      </c>
      <c r="V2294" s="277">
        <v>0.19</v>
      </c>
      <c r="W2294" s="277">
        <v>0.0</v>
      </c>
      <c r="X2294" s="287">
        <v>1166.0</v>
      </c>
      <c r="Y2294" s="287">
        <v>274.0</v>
      </c>
      <c r="Z2294" s="50" t="b">
        <v>1</v>
      </c>
      <c r="AA2294" s="50" t="s">
        <v>138</v>
      </c>
      <c r="AB2294" s="50" t="s">
        <v>138</v>
      </c>
    </row>
    <row r="2295">
      <c r="A2295" s="280" t="s">
        <v>362</v>
      </c>
      <c r="B2295" s="271" t="s">
        <v>189</v>
      </c>
      <c r="C2295" s="278">
        <v>44896.0</v>
      </c>
      <c r="D2295" s="278">
        <v>44926.0</v>
      </c>
      <c r="E2295" s="280" t="s">
        <v>268</v>
      </c>
      <c r="F2295" s="138" t="s">
        <v>12</v>
      </c>
      <c r="G2295" s="271" t="s">
        <v>5</v>
      </c>
      <c r="H2295" s="273" t="s">
        <v>62</v>
      </c>
      <c r="I2295" s="274">
        <v>25.0</v>
      </c>
      <c r="J2295" s="271">
        <v>120.0</v>
      </c>
      <c r="K2295" s="271">
        <f t="shared" si="1"/>
        <v>3000</v>
      </c>
      <c r="L2295" s="287">
        <f>94-L2291</f>
        <v>88.81889764</v>
      </c>
      <c r="M2295" s="287">
        <v>-125.0</v>
      </c>
      <c r="N2295" s="275">
        <v>133.0</v>
      </c>
      <c r="O2295" s="60"/>
      <c r="P2295" s="50">
        <v>133.0</v>
      </c>
      <c r="Q2295" s="287">
        <v>-188.0</v>
      </c>
      <c r="R2295" s="276">
        <v>0.0</v>
      </c>
      <c r="S2295" s="287">
        <v>-188.0</v>
      </c>
      <c r="T2295" s="287">
        <v>8.0</v>
      </c>
      <c r="U2295" s="62">
        <v>1.0</v>
      </c>
      <c r="V2295" s="277">
        <v>0.19</v>
      </c>
      <c r="W2295" s="277">
        <v>0.0</v>
      </c>
      <c r="X2295" s="287">
        <v>6.0</v>
      </c>
      <c r="Y2295" s="287">
        <v>2.0</v>
      </c>
      <c r="Z2295" s="50" t="b">
        <v>1</v>
      </c>
      <c r="AA2295" s="50" t="s">
        <v>138</v>
      </c>
      <c r="AB2295" s="50" t="s">
        <v>138</v>
      </c>
    </row>
    <row r="2296">
      <c r="A2296" s="280" t="s">
        <v>362</v>
      </c>
      <c r="B2296" s="271" t="s">
        <v>189</v>
      </c>
      <c r="C2296" s="278">
        <v>44896.0</v>
      </c>
      <c r="D2296" s="278">
        <v>44926.0</v>
      </c>
      <c r="E2296" s="280" t="s">
        <v>268</v>
      </c>
      <c r="F2296" s="138" t="s">
        <v>12</v>
      </c>
      <c r="G2296" s="271" t="s">
        <v>5</v>
      </c>
      <c r="H2296" s="273" t="s">
        <v>74</v>
      </c>
      <c r="I2296" s="274">
        <v>50.0</v>
      </c>
      <c r="J2296" s="271">
        <v>464.0</v>
      </c>
      <c r="K2296" s="271">
        <f t="shared" si="1"/>
        <v>23200</v>
      </c>
      <c r="L2296" s="287">
        <f>16783-L2289</f>
        <v>16746.90753</v>
      </c>
      <c r="M2296" s="287">
        <v>-750.0</v>
      </c>
      <c r="N2296" s="275">
        <v>1030.0</v>
      </c>
      <c r="O2296" s="60"/>
      <c r="P2296" s="109">
        <v>1030.0</v>
      </c>
      <c r="Q2296" s="287">
        <v>68.0</v>
      </c>
      <c r="R2296" s="276">
        <v>0.0</v>
      </c>
      <c r="S2296" s="287">
        <v>68.0</v>
      </c>
      <c r="T2296" s="287">
        <v>280.0</v>
      </c>
      <c r="U2296" s="62">
        <v>1.0</v>
      </c>
      <c r="V2296" s="277">
        <v>0.19</v>
      </c>
      <c r="W2296" s="277">
        <v>0.0</v>
      </c>
      <c r="X2296" s="287">
        <v>227.0</v>
      </c>
      <c r="Y2296" s="287">
        <v>53.0</v>
      </c>
      <c r="Z2296" s="50" t="b">
        <v>1</v>
      </c>
      <c r="AA2296" s="50" t="s">
        <v>138</v>
      </c>
      <c r="AB2296" s="50" t="s">
        <v>138</v>
      </c>
    </row>
    <row r="2297">
      <c r="A2297" s="101" t="s">
        <v>529</v>
      </c>
      <c r="B2297" s="101" t="s">
        <v>147</v>
      </c>
      <c r="C2297" s="278">
        <v>44896.0</v>
      </c>
      <c r="D2297" s="278">
        <v>44926.0</v>
      </c>
      <c r="E2297" s="271" t="s">
        <v>268</v>
      </c>
      <c r="F2297" s="101" t="s">
        <v>12</v>
      </c>
      <c r="G2297" s="271" t="s">
        <v>13</v>
      </c>
      <c r="H2297" s="273" t="s">
        <v>59</v>
      </c>
      <c r="I2297" s="274">
        <v>20.0</v>
      </c>
      <c r="J2297" s="271">
        <v>0.0</v>
      </c>
      <c r="K2297" s="271">
        <f t="shared" si="1"/>
        <v>0</v>
      </c>
      <c r="L2297" s="271">
        <v>0.0</v>
      </c>
      <c r="M2297" s="271">
        <v>-4000.0</v>
      </c>
      <c r="N2297" s="275"/>
      <c r="O2297" s="60"/>
      <c r="P2297" s="101"/>
      <c r="Q2297" s="271"/>
      <c r="R2297" s="276">
        <v>0.0</v>
      </c>
      <c r="S2297" s="271"/>
      <c r="T2297" s="271">
        <v>-4000.0</v>
      </c>
      <c r="U2297" s="62">
        <v>1.0</v>
      </c>
      <c r="V2297" s="277">
        <v>1.0</v>
      </c>
      <c r="W2297" s="277">
        <v>0.0</v>
      </c>
      <c r="X2297" s="271">
        <v>0.0</v>
      </c>
      <c r="Y2297" s="271">
        <v>-4000.0</v>
      </c>
      <c r="Z2297" s="50" t="b">
        <v>0</v>
      </c>
      <c r="AA2297" s="50" t="s">
        <v>138</v>
      </c>
      <c r="AB2297" s="50" t="s">
        <v>138</v>
      </c>
    </row>
    <row r="2298">
      <c r="A2298" s="101" t="s">
        <v>529</v>
      </c>
      <c r="B2298" s="101" t="s">
        <v>147</v>
      </c>
      <c r="C2298" s="278">
        <v>44896.0</v>
      </c>
      <c r="D2298" s="278">
        <v>44926.0</v>
      </c>
      <c r="E2298" s="271" t="s">
        <v>268</v>
      </c>
      <c r="F2298" s="101" t="s">
        <v>12</v>
      </c>
      <c r="G2298" s="271" t="s">
        <v>13</v>
      </c>
      <c r="H2298" s="273" t="s">
        <v>59</v>
      </c>
      <c r="I2298" s="274">
        <v>20.0</v>
      </c>
      <c r="J2298" s="271">
        <v>4098.0</v>
      </c>
      <c r="K2298" s="271">
        <f t="shared" si="1"/>
        <v>81960</v>
      </c>
      <c r="L2298" s="271">
        <v>68536.0</v>
      </c>
      <c r="M2298" s="271">
        <v>-1220.0</v>
      </c>
      <c r="N2298" s="275">
        <v>3733.91</v>
      </c>
      <c r="O2298" s="60"/>
      <c r="P2298" s="109">
        <v>3734.0</v>
      </c>
      <c r="Q2298" s="271">
        <v>-2067.0</v>
      </c>
      <c r="R2298" s="276">
        <v>0.0</v>
      </c>
      <c r="S2298" s="271">
        <v>-2067.0</v>
      </c>
      <c r="T2298" s="271">
        <v>2514.0</v>
      </c>
      <c r="U2298" s="62">
        <v>1.0</v>
      </c>
      <c r="V2298" s="277">
        <v>0.17</v>
      </c>
      <c r="W2298" s="277">
        <v>0.0</v>
      </c>
      <c r="X2298" s="271">
        <v>2087.0</v>
      </c>
      <c r="Y2298" s="271">
        <v>427.0</v>
      </c>
      <c r="Z2298" s="50" t="b">
        <v>0</v>
      </c>
      <c r="AA2298" s="50" t="s">
        <v>138</v>
      </c>
      <c r="AB2298" s="50" t="s">
        <v>138</v>
      </c>
    </row>
    <row r="2299">
      <c r="A2299" s="101" t="s">
        <v>529</v>
      </c>
      <c r="B2299" s="101" t="s">
        <v>147</v>
      </c>
      <c r="C2299" s="278">
        <v>44896.0</v>
      </c>
      <c r="D2299" s="278">
        <v>44926.0</v>
      </c>
      <c r="E2299" s="271" t="s">
        <v>268</v>
      </c>
      <c r="F2299" s="101" t="s">
        <v>12</v>
      </c>
      <c r="G2299" s="271" t="s">
        <v>13</v>
      </c>
      <c r="H2299" s="273" t="s">
        <v>74</v>
      </c>
      <c r="I2299" s="274">
        <v>50.0</v>
      </c>
      <c r="J2299" s="271">
        <v>2343.0</v>
      </c>
      <c r="K2299" s="271">
        <f t="shared" si="1"/>
        <v>117150</v>
      </c>
      <c r="L2299" s="271">
        <v>30175.0</v>
      </c>
      <c r="M2299" s="271">
        <v>-4750.0</v>
      </c>
      <c r="N2299" s="275">
        <v>5337.09</v>
      </c>
      <c r="O2299" s="60"/>
      <c r="P2299" s="109">
        <v>5337.0</v>
      </c>
      <c r="Q2299" s="271">
        <v>-4251.0</v>
      </c>
      <c r="R2299" s="276">
        <v>0.0</v>
      </c>
      <c r="S2299" s="271">
        <v>-4251.0</v>
      </c>
      <c r="T2299" s="271">
        <v>587.0</v>
      </c>
      <c r="U2299" s="62">
        <v>1.0</v>
      </c>
      <c r="V2299" s="277">
        <v>0.17</v>
      </c>
      <c r="W2299" s="277">
        <v>0.0</v>
      </c>
      <c r="X2299" s="271">
        <v>487.0</v>
      </c>
      <c r="Y2299" s="271">
        <v>100.0</v>
      </c>
      <c r="Z2299" s="50" t="b">
        <v>0</v>
      </c>
      <c r="AA2299" s="50" t="s">
        <v>138</v>
      </c>
      <c r="AB2299" s="50" t="s">
        <v>138</v>
      </c>
    </row>
    <row r="2300">
      <c r="A2300" s="280" t="s">
        <v>638</v>
      </c>
      <c r="B2300" s="280" t="s">
        <v>163</v>
      </c>
      <c r="C2300" s="283">
        <v>44896.0</v>
      </c>
      <c r="D2300" s="283">
        <v>44926.0</v>
      </c>
      <c r="E2300" s="280" t="s">
        <v>268</v>
      </c>
      <c r="F2300" s="101" t="s">
        <v>4</v>
      </c>
      <c r="G2300" s="280" t="s">
        <v>16</v>
      </c>
      <c r="H2300" s="290" t="s">
        <v>59</v>
      </c>
      <c r="I2300" s="281">
        <v>20.0</v>
      </c>
      <c r="J2300" s="280">
        <v>6733.0</v>
      </c>
      <c r="K2300" s="271">
        <f t="shared" si="1"/>
        <v>134660</v>
      </c>
      <c r="L2300" s="280">
        <v>237283.0</v>
      </c>
      <c r="M2300" s="280">
        <v>1460.0</v>
      </c>
      <c r="N2300" s="282">
        <v>6617.0</v>
      </c>
      <c r="O2300" s="60"/>
      <c r="P2300" s="109">
        <v>6617.0</v>
      </c>
      <c r="Q2300" s="280">
        <v>261.0</v>
      </c>
      <c r="R2300" s="276">
        <v>0.001925</v>
      </c>
      <c r="S2300" s="280">
        <v>520.0</v>
      </c>
      <c r="T2300" s="280">
        <v>7137.0</v>
      </c>
      <c r="U2300" s="62">
        <v>1.0</v>
      </c>
      <c r="V2300" s="277">
        <v>0.12</v>
      </c>
      <c r="W2300" s="277">
        <v>0.0</v>
      </c>
      <c r="X2300" s="280">
        <v>6281.0</v>
      </c>
      <c r="Y2300" s="280">
        <v>856.0</v>
      </c>
      <c r="Z2300" s="50" t="b">
        <v>0</v>
      </c>
      <c r="AA2300" s="50" t="s">
        <v>138</v>
      </c>
      <c r="AB2300" s="50" t="s">
        <v>138</v>
      </c>
    </row>
    <row r="2301">
      <c r="A2301" s="280" t="s">
        <v>215</v>
      </c>
      <c r="B2301" s="280" t="s">
        <v>215</v>
      </c>
      <c r="C2301" s="278">
        <v>44896.0</v>
      </c>
      <c r="D2301" s="278">
        <v>44926.0</v>
      </c>
      <c r="E2301" s="280" t="s">
        <v>268</v>
      </c>
      <c r="F2301" s="138" t="s">
        <v>12</v>
      </c>
      <c r="G2301" s="271" t="s">
        <v>5</v>
      </c>
      <c r="H2301" s="273" t="s">
        <v>45</v>
      </c>
      <c r="I2301" s="274">
        <v>10.0</v>
      </c>
      <c r="J2301" s="271">
        <v>1888.0</v>
      </c>
      <c r="K2301" s="271">
        <f t="shared" si="1"/>
        <v>18880</v>
      </c>
      <c r="L2301" s="271">
        <f>30*J2301</f>
        <v>56640</v>
      </c>
      <c r="M2301" s="271">
        <v>570.0</v>
      </c>
      <c r="N2301" s="275">
        <v>419.0</v>
      </c>
      <c r="O2301" s="60"/>
      <c r="P2301" s="50">
        <v>419.0</v>
      </c>
      <c r="Q2301" s="271">
        <v>-358.0</v>
      </c>
      <c r="R2301" s="276">
        <v>0.0</v>
      </c>
      <c r="S2301" s="271">
        <v>-358.0</v>
      </c>
      <c r="T2301" s="271">
        <v>989.0</v>
      </c>
      <c r="U2301" s="62">
        <v>1.0</v>
      </c>
      <c r="V2301" s="277">
        <v>0.3</v>
      </c>
      <c r="W2301" s="277">
        <v>0.0</v>
      </c>
      <c r="X2301" s="271">
        <v>692.0</v>
      </c>
      <c r="Y2301" s="271">
        <v>297.0</v>
      </c>
      <c r="Z2301" s="50" t="b">
        <v>1</v>
      </c>
      <c r="AA2301" s="50" t="s">
        <v>138</v>
      </c>
      <c r="AB2301" s="50" t="s">
        <v>138</v>
      </c>
    </row>
    <row r="2302">
      <c r="A2302" s="280" t="s">
        <v>215</v>
      </c>
      <c r="B2302" s="280" t="s">
        <v>215</v>
      </c>
      <c r="C2302" s="278">
        <v>44896.0</v>
      </c>
      <c r="D2302" s="278">
        <v>44926.0</v>
      </c>
      <c r="E2302" s="280" t="s">
        <v>268</v>
      </c>
      <c r="F2302" s="138" t="s">
        <v>12</v>
      </c>
      <c r="G2302" s="271" t="s">
        <v>5</v>
      </c>
      <c r="H2302" s="273" t="s">
        <v>74</v>
      </c>
      <c r="I2302" s="274">
        <v>50.0</v>
      </c>
      <c r="J2302" s="271">
        <v>1.0</v>
      </c>
      <c r="K2302" s="271">
        <f t="shared" si="1"/>
        <v>50</v>
      </c>
      <c r="L2302" s="271"/>
      <c r="M2302" s="271">
        <v>100.0</v>
      </c>
      <c r="N2302" s="275">
        <v>1.0</v>
      </c>
      <c r="O2302" s="60"/>
      <c r="P2302" s="50">
        <v>1.0</v>
      </c>
      <c r="Q2302" s="271"/>
      <c r="R2302" s="276">
        <v>0.0</v>
      </c>
      <c r="S2302" s="271"/>
      <c r="T2302" s="271">
        <v>101.0</v>
      </c>
      <c r="U2302" s="62">
        <v>1.0</v>
      </c>
      <c r="V2302" s="277">
        <v>0.3</v>
      </c>
      <c r="W2302" s="277">
        <v>0.0</v>
      </c>
      <c r="X2302" s="271">
        <v>71.0</v>
      </c>
      <c r="Y2302" s="271">
        <v>30.0</v>
      </c>
      <c r="Z2302" s="50" t="b">
        <v>1</v>
      </c>
      <c r="AA2302" s="50" t="s">
        <v>138</v>
      </c>
      <c r="AB2302" s="50" t="s">
        <v>138</v>
      </c>
    </row>
    <row r="2303">
      <c r="A2303" s="101" t="s">
        <v>137</v>
      </c>
      <c r="B2303" s="101" t="s">
        <v>137</v>
      </c>
      <c r="C2303" s="278">
        <v>44916.0</v>
      </c>
      <c r="D2303" s="278">
        <v>44946.0</v>
      </c>
      <c r="E2303" s="271" t="s">
        <v>268</v>
      </c>
      <c r="F2303" s="138" t="s">
        <v>4</v>
      </c>
      <c r="G2303" s="271" t="s">
        <v>5</v>
      </c>
      <c r="H2303" s="273" t="s">
        <v>45</v>
      </c>
      <c r="I2303" s="274">
        <v>10.0</v>
      </c>
      <c r="J2303" s="271">
        <v>497.0</v>
      </c>
      <c r="K2303" s="271">
        <f t="shared" si="1"/>
        <v>4970</v>
      </c>
      <c r="L2303" s="271">
        <v>24382.0</v>
      </c>
      <c r="M2303" s="271">
        <v>350.0</v>
      </c>
      <c r="N2303" s="275">
        <v>125.0</v>
      </c>
      <c r="O2303" s="60"/>
      <c r="P2303" s="50">
        <v>125.0</v>
      </c>
      <c r="Q2303" s="271">
        <v>42.0</v>
      </c>
      <c r="R2303" s="276">
        <v>0.001926</v>
      </c>
      <c r="S2303" s="271">
        <v>52.0</v>
      </c>
      <c r="T2303" s="271">
        <v>177.0</v>
      </c>
      <c r="U2303" s="62">
        <v>1.0</v>
      </c>
      <c r="V2303" s="277">
        <v>0.3</v>
      </c>
      <c r="W2303" s="277">
        <v>0.0</v>
      </c>
      <c r="X2303" s="271">
        <v>124.0</v>
      </c>
      <c r="Y2303" s="271">
        <v>53.0</v>
      </c>
      <c r="Z2303" s="50" t="b">
        <v>1</v>
      </c>
      <c r="AA2303" s="50" t="s">
        <v>138</v>
      </c>
      <c r="AB2303" s="50" t="s">
        <v>138</v>
      </c>
    </row>
    <row r="2304">
      <c r="A2304" s="101" t="s">
        <v>148</v>
      </c>
      <c r="B2304" s="101" t="s">
        <v>148</v>
      </c>
      <c r="C2304" s="278">
        <v>44916.0</v>
      </c>
      <c r="D2304" s="278">
        <v>44946.0</v>
      </c>
      <c r="E2304" s="271" t="s">
        <v>331</v>
      </c>
      <c r="F2304" s="138" t="s">
        <v>4</v>
      </c>
      <c r="G2304" s="101" t="s">
        <v>5</v>
      </c>
      <c r="H2304" s="273" t="s">
        <v>85</v>
      </c>
      <c r="I2304" s="274">
        <v>100.0</v>
      </c>
      <c r="J2304" s="271">
        <v>1518.0</v>
      </c>
      <c r="K2304" s="271">
        <f t="shared" si="1"/>
        <v>151800</v>
      </c>
      <c r="L2304" s="271">
        <v>35748.0</v>
      </c>
      <c r="M2304" s="271">
        <v>-700.0</v>
      </c>
      <c r="N2304" s="275">
        <v>2846.0</v>
      </c>
      <c r="O2304" s="60"/>
      <c r="P2304" s="109">
        <v>2846.0</v>
      </c>
      <c r="Q2304" s="271">
        <v>-1497.0</v>
      </c>
      <c r="R2304" s="276">
        <v>0.001926</v>
      </c>
      <c r="S2304" s="271">
        <v>-1205.0</v>
      </c>
      <c r="T2304" s="271">
        <v>1641.0</v>
      </c>
      <c r="U2304" s="62">
        <v>1.0</v>
      </c>
      <c r="V2304" s="277">
        <v>0.15</v>
      </c>
      <c r="W2304" s="277">
        <v>0.05</v>
      </c>
      <c r="X2304" s="271">
        <v>1313.0</v>
      </c>
      <c r="Y2304" s="271">
        <v>328.0</v>
      </c>
      <c r="Z2304" s="50" t="b">
        <v>0</v>
      </c>
      <c r="AA2304" s="50" t="s">
        <v>138</v>
      </c>
      <c r="AB2304" s="50" t="s">
        <v>138</v>
      </c>
    </row>
    <row r="2305">
      <c r="A2305" s="101" t="s">
        <v>148</v>
      </c>
      <c r="B2305" s="101" t="s">
        <v>148</v>
      </c>
      <c r="C2305" s="278">
        <v>44916.0</v>
      </c>
      <c r="D2305" s="278">
        <v>44946.0</v>
      </c>
      <c r="E2305" s="271" t="s">
        <v>331</v>
      </c>
      <c r="F2305" s="138" t="s">
        <v>4</v>
      </c>
      <c r="G2305" s="101" t="s">
        <v>5</v>
      </c>
      <c r="H2305" s="273" t="s">
        <v>86</v>
      </c>
      <c r="I2305" s="274">
        <v>100.0</v>
      </c>
      <c r="J2305" s="271">
        <v>1042.0</v>
      </c>
      <c r="K2305" s="271">
        <f t="shared" si="1"/>
        <v>104200</v>
      </c>
      <c r="L2305" s="271">
        <v>-290.0</v>
      </c>
      <c r="M2305" s="271">
        <v>-6100.0</v>
      </c>
      <c r="N2305" s="275">
        <v>1954.0</v>
      </c>
      <c r="O2305" s="60"/>
      <c r="P2305" s="109">
        <v>1954.0</v>
      </c>
      <c r="Q2305" s="271">
        <v>-5717.0</v>
      </c>
      <c r="R2305" s="276">
        <v>0.001926</v>
      </c>
      <c r="S2305" s="271">
        <v>-5517.0</v>
      </c>
      <c r="T2305" s="271">
        <v>-3563.0</v>
      </c>
      <c r="U2305" s="62">
        <v>1.0</v>
      </c>
      <c r="V2305" s="277">
        <v>0.15</v>
      </c>
      <c r="W2305" s="277">
        <v>0.05</v>
      </c>
      <c r="X2305" s="271">
        <v>-2850.0</v>
      </c>
      <c r="Y2305" s="271">
        <v>-713.0</v>
      </c>
      <c r="Z2305" s="50" t="b">
        <v>0</v>
      </c>
      <c r="AA2305" s="50" t="s">
        <v>138</v>
      </c>
      <c r="AB2305" s="50" t="s">
        <v>138</v>
      </c>
    </row>
    <row r="2306">
      <c r="A2306" s="101" t="s">
        <v>182</v>
      </c>
      <c r="B2306" s="101" t="s">
        <v>182</v>
      </c>
      <c r="C2306" s="278">
        <v>44916.0</v>
      </c>
      <c r="D2306" s="278">
        <v>44946.0</v>
      </c>
      <c r="E2306" s="280" t="s">
        <v>268</v>
      </c>
      <c r="F2306" s="101" t="s">
        <v>4</v>
      </c>
      <c r="G2306" s="271" t="s">
        <v>5</v>
      </c>
      <c r="H2306" s="273" t="s">
        <v>45</v>
      </c>
      <c r="I2306" s="281">
        <v>10.0</v>
      </c>
      <c r="J2306" s="280">
        <v>4462.0</v>
      </c>
      <c r="K2306" s="271">
        <f t="shared" si="1"/>
        <v>44620</v>
      </c>
      <c r="L2306" s="280">
        <v>163703.0</v>
      </c>
      <c r="M2306" s="280">
        <v>-10.0</v>
      </c>
      <c r="N2306" s="275">
        <v>1970.0</v>
      </c>
      <c r="O2306" s="60"/>
      <c r="P2306" s="109">
        <v>1970.0</v>
      </c>
      <c r="Q2306" s="280">
        <v>-299.0</v>
      </c>
      <c r="R2306" s="276">
        <v>0.001926</v>
      </c>
      <c r="S2306" s="280">
        <v>-213.0</v>
      </c>
      <c r="T2306" s="280">
        <v>1757.0</v>
      </c>
      <c r="U2306" s="62">
        <v>1.0</v>
      </c>
      <c r="V2306" s="277">
        <v>0.2</v>
      </c>
      <c r="W2306" s="277">
        <v>0.0</v>
      </c>
      <c r="X2306" s="280">
        <v>1405.0</v>
      </c>
      <c r="Y2306" s="280">
        <v>351.0</v>
      </c>
      <c r="Z2306" s="50" t="b">
        <v>1</v>
      </c>
      <c r="AA2306" s="50" t="s">
        <v>138</v>
      </c>
      <c r="AB2306" s="50" t="s">
        <v>138</v>
      </c>
    </row>
    <row r="2307">
      <c r="A2307" s="101" t="s">
        <v>149</v>
      </c>
      <c r="B2307" s="101" t="s">
        <v>149</v>
      </c>
      <c r="C2307" s="278">
        <v>44916.0</v>
      </c>
      <c r="D2307" s="278">
        <v>44946.0</v>
      </c>
      <c r="E2307" s="271" t="s">
        <v>268</v>
      </c>
      <c r="F2307" s="138" t="s">
        <v>4</v>
      </c>
      <c r="G2307" s="101" t="s">
        <v>5</v>
      </c>
      <c r="H2307" s="273" t="s">
        <v>74</v>
      </c>
      <c r="I2307" s="274">
        <v>50.0</v>
      </c>
      <c r="J2307" s="271">
        <v>2213.0</v>
      </c>
      <c r="K2307" s="271">
        <f t="shared" si="1"/>
        <v>110650</v>
      </c>
      <c r="L2307" s="271">
        <v>30259.0</v>
      </c>
      <c r="M2307" s="271">
        <v>-7000.0</v>
      </c>
      <c r="N2307" s="275">
        <v>1346.0</v>
      </c>
      <c r="O2307" s="60"/>
      <c r="P2307" s="109">
        <v>1346.0</v>
      </c>
      <c r="Q2307" s="271">
        <v>-4276.0</v>
      </c>
      <c r="R2307" s="276">
        <v>0.001926</v>
      </c>
      <c r="S2307" s="271">
        <v>-4063.0</v>
      </c>
      <c r="T2307" s="271">
        <v>-2717.0</v>
      </c>
      <c r="U2307" s="62">
        <v>1.0</v>
      </c>
      <c r="V2307" s="291"/>
      <c r="W2307" s="277">
        <v>0.0</v>
      </c>
      <c r="X2307" s="271">
        <v>-2717.0</v>
      </c>
      <c r="Y2307" s="271">
        <v>0.0</v>
      </c>
      <c r="Z2307" s="50" t="b">
        <v>0</v>
      </c>
      <c r="AA2307" s="50" t="s">
        <v>138</v>
      </c>
      <c r="AB2307" s="50" t="s">
        <v>138</v>
      </c>
    </row>
    <row r="2308">
      <c r="A2308" s="101" t="s">
        <v>149</v>
      </c>
      <c r="B2308" s="101" t="s">
        <v>149</v>
      </c>
      <c r="C2308" s="278">
        <v>44916.0</v>
      </c>
      <c r="D2308" s="278">
        <v>44946.0</v>
      </c>
      <c r="E2308" s="271" t="s">
        <v>268</v>
      </c>
      <c r="F2308" s="138" t="s">
        <v>12</v>
      </c>
      <c r="G2308" s="101" t="s">
        <v>5</v>
      </c>
      <c r="H2308" s="273" t="s">
        <v>35</v>
      </c>
      <c r="I2308" s="274">
        <v>5.0</v>
      </c>
      <c r="J2308" s="271">
        <v>2.0</v>
      </c>
      <c r="K2308" s="271">
        <f t="shared" si="1"/>
        <v>10</v>
      </c>
      <c r="L2308" s="271"/>
      <c r="M2308" s="271">
        <v>0.0</v>
      </c>
      <c r="N2308" s="275"/>
      <c r="O2308" s="60"/>
      <c r="P2308" s="101"/>
      <c r="Q2308" s="271"/>
      <c r="R2308" s="276">
        <v>0.0</v>
      </c>
      <c r="S2308" s="271"/>
      <c r="T2308" s="271">
        <v>0.0</v>
      </c>
      <c r="U2308" s="62">
        <v>1.0</v>
      </c>
      <c r="V2308" s="291"/>
      <c r="W2308" s="277">
        <v>0.0</v>
      </c>
      <c r="X2308" s="271">
        <v>0.0</v>
      </c>
      <c r="Y2308" s="271">
        <v>0.0</v>
      </c>
      <c r="Z2308" s="50" t="b">
        <v>0</v>
      </c>
      <c r="AA2308" s="50" t="s">
        <v>138</v>
      </c>
      <c r="AB2308" s="50" t="s">
        <v>138</v>
      </c>
    </row>
    <row r="2309">
      <c r="A2309" s="101" t="s">
        <v>149</v>
      </c>
      <c r="B2309" s="101" t="s">
        <v>149</v>
      </c>
      <c r="C2309" s="278">
        <v>44916.0</v>
      </c>
      <c r="D2309" s="278">
        <v>44946.0</v>
      </c>
      <c r="E2309" s="271" t="s">
        <v>268</v>
      </c>
      <c r="F2309" s="138" t="s">
        <v>12</v>
      </c>
      <c r="G2309" s="101" t="s">
        <v>5</v>
      </c>
      <c r="H2309" s="273" t="s">
        <v>62</v>
      </c>
      <c r="I2309" s="274">
        <v>25.0</v>
      </c>
      <c r="J2309" s="271">
        <v>12.0</v>
      </c>
      <c r="K2309" s="271">
        <f t="shared" si="1"/>
        <v>300</v>
      </c>
      <c r="L2309" s="271"/>
      <c r="M2309" s="271">
        <v>-175.0</v>
      </c>
      <c r="N2309" s="275">
        <v>4.0</v>
      </c>
      <c r="O2309" s="60"/>
      <c r="P2309" s="50">
        <v>4.0</v>
      </c>
      <c r="Q2309" s="271"/>
      <c r="R2309" s="276">
        <v>0.0</v>
      </c>
      <c r="S2309" s="271"/>
      <c r="T2309" s="271">
        <v>-171.0</v>
      </c>
      <c r="U2309" s="62">
        <v>1.0</v>
      </c>
      <c r="V2309" s="291"/>
      <c r="W2309" s="277">
        <v>0.0</v>
      </c>
      <c r="X2309" s="271">
        <v>-171.0</v>
      </c>
      <c r="Y2309" s="271">
        <v>0.0</v>
      </c>
      <c r="Z2309" s="50" t="b">
        <v>0</v>
      </c>
      <c r="AA2309" s="50" t="s">
        <v>138</v>
      </c>
      <c r="AB2309" s="50" t="s">
        <v>138</v>
      </c>
    </row>
    <row r="2310">
      <c r="A2310" s="101" t="s">
        <v>184</v>
      </c>
      <c r="B2310" s="101" t="s">
        <v>184</v>
      </c>
      <c r="C2310" s="278">
        <v>44916.0</v>
      </c>
      <c r="D2310" s="278">
        <v>44946.0</v>
      </c>
      <c r="E2310" s="271" t="s">
        <v>268</v>
      </c>
      <c r="F2310" s="138" t="s">
        <v>4</v>
      </c>
      <c r="G2310" s="101" t="s">
        <v>5</v>
      </c>
      <c r="H2310" s="273" t="s">
        <v>35</v>
      </c>
      <c r="I2310" s="274">
        <v>5.0</v>
      </c>
      <c r="J2310" s="271">
        <v>1258.0</v>
      </c>
      <c r="K2310" s="271">
        <f t="shared" si="1"/>
        <v>6290</v>
      </c>
      <c r="L2310" s="271">
        <v>64015.0</v>
      </c>
      <c r="M2310" s="271">
        <v>-185.0</v>
      </c>
      <c r="N2310" s="275">
        <v>273.0</v>
      </c>
      <c r="O2310" s="60"/>
      <c r="P2310" s="50">
        <v>273.0</v>
      </c>
      <c r="Q2310" s="271">
        <v>16.0</v>
      </c>
      <c r="R2310" s="276">
        <v>0.001926</v>
      </c>
      <c r="S2310" s="271">
        <v>28.0</v>
      </c>
      <c r="T2310" s="271">
        <v>301.0</v>
      </c>
      <c r="U2310" s="62">
        <v>1.0</v>
      </c>
      <c r="V2310" s="277">
        <v>0.23</v>
      </c>
      <c r="W2310" s="277">
        <v>0.0</v>
      </c>
      <c r="X2310" s="271">
        <v>232.0</v>
      </c>
      <c r="Y2310" s="271">
        <v>69.0</v>
      </c>
      <c r="Z2310" s="50" t="b">
        <v>1</v>
      </c>
      <c r="AA2310" s="50" t="s">
        <v>138</v>
      </c>
      <c r="AB2310" s="50" t="s">
        <v>138</v>
      </c>
    </row>
    <row r="2311">
      <c r="A2311" s="101" t="s">
        <v>184</v>
      </c>
      <c r="B2311" s="101" t="s">
        <v>184</v>
      </c>
      <c r="C2311" s="278">
        <v>44916.0</v>
      </c>
      <c r="D2311" s="278">
        <v>44946.0</v>
      </c>
      <c r="E2311" s="271" t="s">
        <v>268</v>
      </c>
      <c r="F2311" s="138" t="s">
        <v>4</v>
      </c>
      <c r="G2311" s="101" t="s">
        <v>5</v>
      </c>
      <c r="H2311" s="273" t="s">
        <v>45</v>
      </c>
      <c r="I2311" s="274">
        <v>10.0</v>
      </c>
      <c r="J2311" s="271">
        <v>1821.0</v>
      </c>
      <c r="K2311" s="271">
        <f t="shared" si="1"/>
        <v>18210</v>
      </c>
      <c r="L2311" s="271">
        <v>53508.0</v>
      </c>
      <c r="M2311" s="271">
        <v>-550.0</v>
      </c>
      <c r="N2311" s="275">
        <v>690.0</v>
      </c>
      <c r="O2311" s="60"/>
      <c r="P2311" s="50">
        <v>690.0</v>
      </c>
      <c r="Q2311" s="271">
        <v>-391.0</v>
      </c>
      <c r="R2311" s="276">
        <v>0.001926</v>
      </c>
      <c r="S2311" s="271">
        <v>-356.0</v>
      </c>
      <c r="T2311" s="271">
        <v>334.0</v>
      </c>
      <c r="U2311" s="62">
        <v>1.0</v>
      </c>
      <c r="V2311" s="277">
        <v>0.23</v>
      </c>
      <c r="W2311" s="277">
        <v>0.0</v>
      </c>
      <c r="X2311" s="271">
        <v>257.0</v>
      </c>
      <c r="Y2311" s="271">
        <v>77.0</v>
      </c>
      <c r="Z2311" s="50" t="b">
        <v>1</v>
      </c>
      <c r="AA2311" s="50" t="s">
        <v>138</v>
      </c>
      <c r="AB2311" s="50" t="s">
        <v>138</v>
      </c>
    </row>
    <row r="2312">
      <c r="A2312" s="101" t="s">
        <v>184</v>
      </c>
      <c r="B2312" s="101" t="s">
        <v>184</v>
      </c>
      <c r="C2312" s="278">
        <v>44916.0</v>
      </c>
      <c r="D2312" s="278">
        <v>44946.0</v>
      </c>
      <c r="E2312" s="271" t="s">
        <v>268</v>
      </c>
      <c r="F2312" s="101" t="s">
        <v>12</v>
      </c>
      <c r="G2312" s="101" t="s">
        <v>5</v>
      </c>
      <c r="H2312" s="273" t="s">
        <v>28</v>
      </c>
      <c r="I2312" s="274">
        <v>2.0</v>
      </c>
      <c r="J2312" s="271">
        <v>314.0</v>
      </c>
      <c r="K2312" s="271">
        <f t="shared" si="1"/>
        <v>628</v>
      </c>
      <c r="L2312" s="271"/>
      <c r="M2312" s="271">
        <v>52.0</v>
      </c>
      <c r="N2312" s="275">
        <v>27.0</v>
      </c>
      <c r="O2312" s="60"/>
      <c r="P2312" s="50">
        <v>27.0</v>
      </c>
      <c r="Q2312" s="271"/>
      <c r="R2312" s="276">
        <v>0.0</v>
      </c>
      <c r="S2312" s="271"/>
      <c r="T2312" s="271">
        <v>79.0</v>
      </c>
      <c r="U2312" s="62">
        <v>1.0</v>
      </c>
      <c r="V2312" s="277">
        <v>0.23</v>
      </c>
      <c r="W2312" s="277">
        <v>0.0</v>
      </c>
      <c r="X2312" s="271">
        <v>61.0</v>
      </c>
      <c r="Y2312" s="271">
        <v>18.0</v>
      </c>
      <c r="Z2312" s="50" t="b">
        <v>1</v>
      </c>
      <c r="AA2312" s="50" t="s">
        <v>138</v>
      </c>
      <c r="AB2312" s="50" t="s">
        <v>138</v>
      </c>
    </row>
    <row r="2313">
      <c r="A2313" s="101" t="s">
        <v>170</v>
      </c>
      <c r="B2313" s="101" t="s">
        <v>170</v>
      </c>
      <c r="C2313" s="278">
        <v>44916.0</v>
      </c>
      <c r="D2313" s="278">
        <v>44946.0</v>
      </c>
      <c r="E2313" s="271" t="s">
        <v>268</v>
      </c>
      <c r="F2313" s="101" t="s">
        <v>4</v>
      </c>
      <c r="G2313" s="271" t="s">
        <v>5</v>
      </c>
      <c r="H2313" s="273" t="s">
        <v>45</v>
      </c>
      <c r="I2313" s="274">
        <v>10.0</v>
      </c>
      <c r="J2313" s="271">
        <v>326.0</v>
      </c>
      <c r="K2313" s="271">
        <f t="shared" si="1"/>
        <v>3260</v>
      </c>
      <c r="L2313" s="271">
        <v>18843.0</v>
      </c>
      <c r="M2313" s="271">
        <v>440.0</v>
      </c>
      <c r="N2313" s="275">
        <v>75.0</v>
      </c>
      <c r="O2313" s="60"/>
      <c r="P2313" s="50">
        <v>75.0</v>
      </c>
      <c r="Q2313" s="271">
        <v>104.0</v>
      </c>
      <c r="R2313" s="276">
        <v>0.001926</v>
      </c>
      <c r="S2313" s="271">
        <v>111.0</v>
      </c>
      <c r="T2313" s="271">
        <v>186.0</v>
      </c>
      <c r="U2313" s="62">
        <v>1.0</v>
      </c>
      <c r="V2313" s="277">
        <v>0.3</v>
      </c>
      <c r="W2313" s="277">
        <v>0.0</v>
      </c>
      <c r="X2313" s="271">
        <v>130.0</v>
      </c>
      <c r="Y2313" s="271">
        <v>56.0</v>
      </c>
      <c r="Z2313" s="50" t="b">
        <v>0</v>
      </c>
      <c r="AA2313" s="50" t="s">
        <v>138</v>
      </c>
      <c r="AB2313" s="50" t="s">
        <v>138</v>
      </c>
    </row>
    <row r="2314">
      <c r="A2314" s="101" t="s">
        <v>416</v>
      </c>
      <c r="B2314" s="101" t="s">
        <v>190</v>
      </c>
      <c r="C2314" s="278">
        <v>44916.0</v>
      </c>
      <c r="D2314" s="278">
        <v>44946.0</v>
      </c>
      <c r="E2314" s="271" t="s">
        <v>268</v>
      </c>
      <c r="F2314" s="138" t="s">
        <v>4</v>
      </c>
      <c r="G2314" s="271" t="s">
        <v>5</v>
      </c>
      <c r="H2314" s="273" t="s">
        <v>45</v>
      </c>
      <c r="I2314" s="274">
        <v>10.0</v>
      </c>
      <c r="J2314" s="271">
        <v>46.0</v>
      </c>
      <c r="K2314" s="271">
        <f t="shared" si="1"/>
        <v>460</v>
      </c>
      <c r="L2314" s="271">
        <v>192.0</v>
      </c>
      <c r="M2314" s="271">
        <v>-40.0</v>
      </c>
      <c r="N2314" s="275">
        <v>17.0</v>
      </c>
      <c r="O2314" s="60"/>
      <c r="P2314" s="50">
        <v>17.0</v>
      </c>
      <c r="Q2314" s="271">
        <v>-31.0</v>
      </c>
      <c r="R2314" s="276">
        <v>0.001926</v>
      </c>
      <c r="S2314" s="271">
        <v>-30.0</v>
      </c>
      <c r="T2314" s="271">
        <v>-13.0</v>
      </c>
      <c r="U2314" s="62">
        <v>1.0</v>
      </c>
      <c r="V2314" s="277">
        <v>0.25</v>
      </c>
      <c r="W2314" s="277">
        <v>0.0</v>
      </c>
      <c r="X2314" s="271">
        <v>-10.0</v>
      </c>
      <c r="Y2314" s="271">
        <v>-3.0</v>
      </c>
      <c r="Z2314" s="50" t="b">
        <v>1</v>
      </c>
      <c r="AA2314" s="50" t="s">
        <v>138</v>
      </c>
      <c r="AB2314" s="50" t="s">
        <v>138</v>
      </c>
    </row>
    <row r="2315">
      <c r="A2315" s="101" t="s">
        <v>416</v>
      </c>
      <c r="B2315" s="101" t="s">
        <v>190</v>
      </c>
      <c r="C2315" s="278">
        <v>44916.0</v>
      </c>
      <c r="D2315" s="278">
        <v>44946.0</v>
      </c>
      <c r="E2315" s="271" t="s">
        <v>268</v>
      </c>
      <c r="F2315" s="138" t="s">
        <v>4</v>
      </c>
      <c r="G2315" s="271" t="s">
        <v>5</v>
      </c>
      <c r="H2315" s="273" t="s">
        <v>62</v>
      </c>
      <c r="I2315" s="274">
        <v>25.0</v>
      </c>
      <c r="J2315" s="271">
        <v>3257.0</v>
      </c>
      <c r="K2315" s="271">
        <f t="shared" si="1"/>
        <v>81425</v>
      </c>
      <c r="L2315" s="271">
        <v>104822.0</v>
      </c>
      <c r="M2315" s="271">
        <v>-2400.0</v>
      </c>
      <c r="N2315" s="275">
        <v>2553.0</v>
      </c>
      <c r="O2315" s="60"/>
      <c r="P2315" s="109">
        <v>2553.0</v>
      </c>
      <c r="Q2315" s="271">
        <v>-465.0</v>
      </c>
      <c r="R2315" s="276">
        <v>0.001926</v>
      </c>
      <c r="S2315" s="271">
        <v>-308.0</v>
      </c>
      <c r="T2315" s="271">
        <v>2245.0</v>
      </c>
      <c r="U2315" s="62">
        <v>1.0</v>
      </c>
      <c r="V2315" s="277">
        <v>0.25</v>
      </c>
      <c r="W2315" s="277">
        <v>0.0</v>
      </c>
      <c r="X2315" s="271">
        <v>1684.0</v>
      </c>
      <c r="Y2315" s="271">
        <v>561.0</v>
      </c>
      <c r="Z2315" s="50" t="b">
        <v>1</v>
      </c>
      <c r="AA2315" s="50" t="s">
        <v>138</v>
      </c>
      <c r="AB2315" s="50" t="s">
        <v>138</v>
      </c>
    </row>
    <row r="2316">
      <c r="A2316" s="280" t="s">
        <v>192</v>
      </c>
      <c r="B2316" s="280" t="s">
        <v>192</v>
      </c>
      <c r="C2316" s="278">
        <v>44916.0</v>
      </c>
      <c r="D2316" s="278">
        <v>44946.0</v>
      </c>
      <c r="E2316" s="280" t="s">
        <v>268</v>
      </c>
      <c r="F2316" s="138" t="s">
        <v>4</v>
      </c>
      <c r="G2316" s="271" t="s">
        <v>5</v>
      </c>
      <c r="H2316" s="273" t="s">
        <v>35</v>
      </c>
      <c r="I2316" s="281">
        <v>5.0</v>
      </c>
      <c r="J2316" s="280">
        <v>4.0</v>
      </c>
      <c r="K2316" s="271">
        <f t="shared" si="1"/>
        <v>20</v>
      </c>
      <c r="L2316" s="280">
        <v>-521.0</v>
      </c>
      <c r="M2316" s="280">
        <v>-10.0</v>
      </c>
      <c r="N2316" s="275">
        <v>1.0</v>
      </c>
      <c r="O2316" s="60"/>
      <c r="P2316" s="50">
        <v>1.0</v>
      </c>
      <c r="Q2316" s="280">
        <v>-6.0</v>
      </c>
      <c r="R2316" s="276">
        <v>0.001926</v>
      </c>
      <c r="S2316" s="280">
        <v>-6.0</v>
      </c>
      <c r="T2316" s="280">
        <v>-5.0</v>
      </c>
      <c r="U2316" s="62">
        <v>1.0</v>
      </c>
      <c r="V2316" s="277">
        <v>0.3</v>
      </c>
      <c r="W2316" s="277">
        <v>0.0</v>
      </c>
      <c r="X2316" s="280">
        <v>-4.0</v>
      </c>
      <c r="Y2316" s="280">
        <v>-2.0</v>
      </c>
      <c r="Z2316" s="50" t="b">
        <v>1</v>
      </c>
      <c r="AA2316" s="50" t="s">
        <v>138</v>
      </c>
      <c r="AB2316" s="50" t="s">
        <v>138</v>
      </c>
    </row>
    <row r="2317">
      <c r="A2317" s="280" t="s">
        <v>192</v>
      </c>
      <c r="B2317" s="280" t="s">
        <v>192</v>
      </c>
      <c r="C2317" s="278">
        <v>44916.0</v>
      </c>
      <c r="D2317" s="278">
        <v>44946.0</v>
      </c>
      <c r="E2317" s="280" t="s">
        <v>268</v>
      </c>
      <c r="F2317" s="138" t="s">
        <v>4</v>
      </c>
      <c r="G2317" s="271" t="s">
        <v>5</v>
      </c>
      <c r="H2317" s="273" t="s">
        <v>45</v>
      </c>
      <c r="I2317" s="281">
        <v>10.0</v>
      </c>
      <c r="J2317" s="280">
        <v>1421.0</v>
      </c>
      <c r="K2317" s="271">
        <f t="shared" si="1"/>
        <v>14210</v>
      </c>
      <c r="L2317" s="280">
        <v>70804.0</v>
      </c>
      <c r="M2317" s="280">
        <v>40.0</v>
      </c>
      <c r="N2317" s="275">
        <v>653.0</v>
      </c>
      <c r="O2317" s="60"/>
      <c r="P2317" s="50">
        <v>653.0</v>
      </c>
      <c r="Q2317" s="280">
        <v>247.0</v>
      </c>
      <c r="R2317" s="276">
        <v>0.001926</v>
      </c>
      <c r="S2317" s="280">
        <v>275.0</v>
      </c>
      <c r="T2317" s="280">
        <v>928.0</v>
      </c>
      <c r="U2317" s="62">
        <v>1.0</v>
      </c>
      <c r="V2317" s="277">
        <v>0.3</v>
      </c>
      <c r="W2317" s="277">
        <v>0.0</v>
      </c>
      <c r="X2317" s="280">
        <v>649.0</v>
      </c>
      <c r="Y2317" s="280">
        <v>278.0</v>
      </c>
      <c r="Z2317" s="50" t="b">
        <v>1</v>
      </c>
      <c r="AA2317" s="50" t="s">
        <v>138</v>
      </c>
      <c r="AB2317" s="50" t="s">
        <v>138</v>
      </c>
    </row>
    <row r="2318">
      <c r="A2318" s="280" t="s">
        <v>192</v>
      </c>
      <c r="B2318" s="280" t="s">
        <v>192</v>
      </c>
      <c r="C2318" s="278">
        <v>44916.0</v>
      </c>
      <c r="D2318" s="278">
        <v>44946.0</v>
      </c>
      <c r="E2318" s="280" t="s">
        <v>268</v>
      </c>
      <c r="F2318" s="138" t="s">
        <v>4</v>
      </c>
      <c r="G2318" s="271" t="s">
        <v>5</v>
      </c>
      <c r="H2318" s="273" t="s">
        <v>62</v>
      </c>
      <c r="I2318" s="281">
        <v>25.0</v>
      </c>
      <c r="J2318" s="280">
        <v>2900.0</v>
      </c>
      <c r="K2318" s="271">
        <f t="shared" si="1"/>
        <v>72500</v>
      </c>
      <c r="L2318" s="280">
        <v>105017.0</v>
      </c>
      <c r="M2318" s="280">
        <v>-375.0</v>
      </c>
      <c r="N2318" s="275">
        <v>2858.0</v>
      </c>
      <c r="O2318" s="60"/>
      <c r="P2318" s="109">
        <v>2858.0</v>
      </c>
      <c r="Q2318" s="280">
        <v>228.0</v>
      </c>
      <c r="R2318" s="276">
        <v>0.001926</v>
      </c>
      <c r="S2318" s="280">
        <v>368.0</v>
      </c>
      <c r="T2318" s="280">
        <v>3226.0</v>
      </c>
      <c r="U2318" s="62">
        <v>1.0</v>
      </c>
      <c r="V2318" s="277">
        <v>0.3</v>
      </c>
      <c r="W2318" s="277">
        <v>0.0</v>
      </c>
      <c r="X2318" s="280">
        <v>2258.0</v>
      </c>
      <c r="Y2318" s="280">
        <v>968.0</v>
      </c>
      <c r="Z2318" s="50" t="b">
        <v>1</v>
      </c>
      <c r="AA2318" s="50" t="s">
        <v>138</v>
      </c>
      <c r="AB2318" s="50" t="s">
        <v>138</v>
      </c>
    </row>
    <row r="2319">
      <c r="A2319" s="280" t="s">
        <v>192</v>
      </c>
      <c r="B2319" s="280" t="s">
        <v>192</v>
      </c>
      <c r="C2319" s="278">
        <v>44916.0</v>
      </c>
      <c r="D2319" s="278">
        <v>44946.0</v>
      </c>
      <c r="E2319" s="280" t="s">
        <v>268</v>
      </c>
      <c r="F2319" s="138" t="s">
        <v>4</v>
      </c>
      <c r="G2319" s="271" t="s">
        <v>5</v>
      </c>
      <c r="H2319" s="273" t="s">
        <v>74</v>
      </c>
      <c r="I2319" s="281">
        <v>50.0</v>
      </c>
      <c r="J2319" s="280">
        <v>930.0</v>
      </c>
      <c r="K2319" s="271">
        <f t="shared" si="1"/>
        <v>46500</v>
      </c>
      <c r="L2319" s="280">
        <v>-20402.0</v>
      </c>
      <c r="M2319" s="280">
        <v>-7750.0</v>
      </c>
      <c r="N2319" s="275">
        <v>1833.0</v>
      </c>
      <c r="O2319" s="60"/>
      <c r="P2319" s="109">
        <v>1833.0</v>
      </c>
      <c r="Q2319" s="280">
        <v>-4868.0</v>
      </c>
      <c r="R2319" s="276">
        <v>0.001926</v>
      </c>
      <c r="S2319" s="280">
        <v>-4778.0</v>
      </c>
      <c r="T2319" s="280">
        <v>-2945.0</v>
      </c>
      <c r="U2319" s="62">
        <v>1.0</v>
      </c>
      <c r="V2319" s="277">
        <v>0.3</v>
      </c>
      <c r="W2319" s="277">
        <v>0.0</v>
      </c>
      <c r="X2319" s="280">
        <v>-2062.0</v>
      </c>
      <c r="Y2319" s="280">
        <v>-884.0</v>
      </c>
      <c r="Z2319" s="50" t="b">
        <v>1</v>
      </c>
      <c r="AA2319" s="50" t="s">
        <v>138</v>
      </c>
      <c r="AB2319" s="50" t="s">
        <v>138</v>
      </c>
    </row>
    <row r="2320">
      <c r="A2320" s="280" t="s">
        <v>200</v>
      </c>
      <c r="B2320" s="280" t="s">
        <v>200</v>
      </c>
      <c r="C2320" s="283">
        <v>44916.0</v>
      </c>
      <c r="D2320" s="283">
        <v>44946.0</v>
      </c>
      <c r="E2320" s="280" t="s">
        <v>268</v>
      </c>
      <c r="F2320" s="138" t="s">
        <v>4</v>
      </c>
      <c r="G2320" s="280" t="s">
        <v>9</v>
      </c>
      <c r="H2320" s="290" t="s">
        <v>50</v>
      </c>
      <c r="I2320" s="281">
        <v>10.0</v>
      </c>
      <c r="J2320" s="280">
        <v>3726.0</v>
      </c>
      <c r="K2320" s="271">
        <f t="shared" si="1"/>
        <v>37260</v>
      </c>
      <c r="L2320" s="280">
        <v>182574.0</v>
      </c>
      <c r="M2320" s="280">
        <v>-369.0</v>
      </c>
      <c r="N2320" s="282">
        <v>1150.25</v>
      </c>
      <c r="O2320" s="60"/>
      <c r="P2320" s="109">
        <v>1150.0</v>
      </c>
      <c r="Q2320" s="280">
        <v>35.0</v>
      </c>
      <c r="R2320" s="276">
        <v>0.001926</v>
      </c>
      <c r="S2320" s="280">
        <v>107.0</v>
      </c>
      <c r="T2320" s="280">
        <v>1257.0</v>
      </c>
      <c r="U2320" s="62">
        <v>1.0</v>
      </c>
      <c r="V2320" s="291"/>
      <c r="W2320" s="277">
        <v>0.0</v>
      </c>
      <c r="X2320" s="280">
        <v>1257.0</v>
      </c>
      <c r="Y2320" s="280">
        <v>0.0</v>
      </c>
      <c r="Z2320" s="50" t="b">
        <v>0</v>
      </c>
      <c r="AA2320" s="50" t="s">
        <v>140</v>
      </c>
      <c r="AB2320" s="50" t="s">
        <v>140</v>
      </c>
    </row>
    <row r="2321">
      <c r="A2321" s="280" t="s">
        <v>200</v>
      </c>
      <c r="B2321" s="280" t="s">
        <v>200</v>
      </c>
      <c r="C2321" s="283">
        <v>44916.0</v>
      </c>
      <c r="D2321" s="283">
        <v>44946.0</v>
      </c>
      <c r="E2321" s="280" t="s">
        <v>268</v>
      </c>
      <c r="F2321" s="138" t="s">
        <v>4</v>
      </c>
      <c r="G2321" s="280" t="s">
        <v>9</v>
      </c>
      <c r="H2321" s="290" t="s">
        <v>64</v>
      </c>
      <c r="I2321" s="281">
        <v>25.0</v>
      </c>
      <c r="J2321" s="280">
        <v>1666.0</v>
      </c>
      <c r="K2321" s="271">
        <f t="shared" si="1"/>
        <v>41650</v>
      </c>
      <c r="L2321" s="280">
        <v>44982.0</v>
      </c>
      <c r="M2321" s="280">
        <v>-1222.0</v>
      </c>
      <c r="N2321" s="282">
        <v>14.75</v>
      </c>
      <c r="O2321" s="60"/>
      <c r="P2321" s="50">
        <v>15.0</v>
      </c>
      <c r="Q2321" s="280">
        <v>-1615.0</v>
      </c>
      <c r="R2321" s="276">
        <v>0.001926</v>
      </c>
      <c r="S2321" s="280">
        <v>-1535.0</v>
      </c>
      <c r="T2321" s="280">
        <v>-1520.0</v>
      </c>
      <c r="U2321" s="62">
        <v>1.0</v>
      </c>
      <c r="V2321" s="291"/>
      <c r="W2321" s="277">
        <v>0.0</v>
      </c>
      <c r="X2321" s="280">
        <v>-1520.0</v>
      </c>
      <c r="Y2321" s="280">
        <v>0.0</v>
      </c>
      <c r="Z2321" s="50" t="b">
        <v>0</v>
      </c>
      <c r="AA2321" s="50" t="s">
        <v>140</v>
      </c>
      <c r="AB2321" s="50" t="s">
        <v>140</v>
      </c>
    </row>
    <row r="2322">
      <c r="A2322" s="280" t="s">
        <v>193</v>
      </c>
      <c r="B2322" s="280" t="s">
        <v>193</v>
      </c>
      <c r="C2322" s="278">
        <v>44916.0</v>
      </c>
      <c r="D2322" s="278">
        <v>44946.0</v>
      </c>
      <c r="E2322" s="280" t="s">
        <v>268</v>
      </c>
      <c r="F2322" s="138" t="s">
        <v>4</v>
      </c>
      <c r="G2322" s="271" t="s">
        <v>5</v>
      </c>
      <c r="H2322" s="290" t="s">
        <v>45</v>
      </c>
      <c r="I2322" s="281">
        <v>10.0</v>
      </c>
      <c r="J2322" s="280">
        <v>241.0</v>
      </c>
      <c r="K2322" s="271">
        <f t="shared" si="1"/>
        <v>2410</v>
      </c>
      <c r="L2322" s="280">
        <v>9442.0</v>
      </c>
      <c r="M2322" s="280">
        <v>-90.0</v>
      </c>
      <c r="N2322" s="275">
        <v>86.0</v>
      </c>
      <c r="O2322" s="60"/>
      <c r="P2322" s="50">
        <v>86.0</v>
      </c>
      <c r="Q2322" s="280">
        <v>-8.0</v>
      </c>
      <c r="R2322" s="276">
        <v>0.001926</v>
      </c>
      <c r="S2322" s="280">
        <v>-3.0</v>
      </c>
      <c r="T2322" s="280">
        <v>83.0</v>
      </c>
      <c r="U2322" s="62">
        <v>1.0</v>
      </c>
      <c r="V2322" s="277">
        <v>0.23</v>
      </c>
      <c r="W2322" s="277">
        <v>0.0</v>
      </c>
      <c r="X2322" s="280">
        <v>64.0</v>
      </c>
      <c r="Y2322" s="280">
        <v>19.0</v>
      </c>
      <c r="Z2322" s="50" t="b">
        <v>1</v>
      </c>
      <c r="AA2322" s="50" t="s">
        <v>138</v>
      </c>
      <c r="AB2322" s="50" t="s">
        <v>138</v>
      </c>
    </row>
    <row r="2323">
      <c r="A2323" s="280" t="s">
        <v>193</v>
      </c>
      <c r="B2323" s="280" t="s">
        <v>193</v>
      </c>
      <c r="C2323" s="278">
        <v>44916.0</v>
      </c>
      <c r="D2323" s="278">
        <v>44946.0</v>
      </c>
      <c r="E2323" s="280" t="s">
        <v>268</v>
      </c>
      <c r="F2323" s="138" t="s">
        <v>4</v>
      </c>
      <c r="G2323" s="271" t="s">
        <v>5</v>
      </c>
      <c r="H2323" s="290" t="s">
        <v>62</v>
      </c>
      <c r="I2323" s="281">
        <v>25.0</v>
      </c>
      <c r="J2323" s="280">
        <v>539.0</v>
      </c>
      <c r="K2323" s="271">
        <f t="shared" si="1"/>
        <v>13475</v>
      </c>
      <c r="L2323" s="280">
        <v>18652.0</v>
      </c>
      <c r="M2323" s="280">
        <v>-175.0</v>
      </c>
      <c r="N2323" s="275">
        <v>413.0</v>
      </c>
      <c r="O2323" s="60"/>
      <c r="P2323" s="50">
        <v>413.0</v>
      </c>
      <c r="Q2323" s="280">
        <v>-9.0</v>
      </c>
      <c r="R2323" s="276">
        <v>0.001926</v>
      </c>
      <c r="S2323" s="280">
        <v>17.0</v>
      </c>
      <c r="T2323" s="280">
        <v>430.0</v>
      </c>
      <c r="U2323" s="62">
        <v>1.0</v>
      </c>
      <c r="V2323" s="277">
        <v>0.23</v>
      </c>
      <c r="W2323" s="277">
        <v>0.0</v>
      </c>
      <c r="X2323" s="280">
        <v>331.0</v>
      </c>
      <c r="Y2323" s="280">
        <v>99.0</v>
      </c>
      <c r="Z2323" s="50" t="b">
        <v>1</v>
      </c>
      <c r="AA2323" s="50" t="s">
        <v>138</v>
      </c>
      <c r="AB2323" s="50" t="s">
        <v>138</v>
      </c>
    </row>
    <row r="2324">
      <c r="A2324" s="280" t="s">
        <v>193</v>
      </c>
      <c r="B2324" s="280" t="s">
        <v>194</v>
      </c>
      <c r="C2324" s="278">
        <v>44916.0</v>
      </c>
      <c r="D2324" s="278">
        <v>44946.0</v>
      </c>
      <c r="E2324" s="280" t="s">
        <v>268</v>
      </c>
      <c r="F2324" s="138" t="s">
        <v>4</v>
      </c>
      <c r="G2324" s="271" t="s">
        <v>22</v>
      </c>
      <c r="H2324" s="290" t="s">
        <v>51</v>
      </c>
      <c r="I2324" s="281">
        <v>10.0</v>
      </c>
      <c r="J2324" s="280">
        <v>51.0</v>
      </c>
      <c r="K2324" s="271">
        <f t="shared" si="1"/>
        <v>510</v>
      </c>
      <c r="L2324" s="280">
        <v>3693.0</v>
      </c>
      <c r="M2324" s="280">
        <v>40.0</v>
      </c>
      <c r="N2324" s="275"/>
      <c r="O2324" s="60"/>
      <c r="P2324" s="101"/>
      <c r="Q2324" s="280">
        <v>30.0</v>
      </c>
      <c r="R2324" s="276">
        <v>0.001926</v>
      </c>
      <c r="S2324" s="280">
        <v>31.0</v>
      </c>
      <c r="T2324" s="280">
        <v>31.0</v>
      </c>
      <c r="U2324" s="62">
        <v>1.086</v>
      </c>
      <c r="V2324" s="277">
        <v>0.23</v>
      </c>
      <c r="W2324" s="277">
        <v>0.0</v>
      </c>
      <c r="X2324" s="280">
        <v>26.0</v>
      </c>
      <c r="Y2324" s="280">
        <v>8.0</v>
      </c>
      <c r="Z2324" s="50" t="b">
        <v>1</v>
      </c>
      <c r="AA2324" s="50" t="s">
        <v>138</v>
      </c>
      <c r="AB2324" s="50" t="s">
        <v>140</v>
      </c>
    </row>
    <row r="2325">
      <c r="A2325" s="280" t="s">
        <v>193</v>
      </c>
      <c r="B2325" s="280" t="s">
        <v>194</v>
      </c>
      <c r="C2325" s="278">
        <v>44916.0</v>
      </c>
      <c r="D2325" s="278">
        <v>44946.0</v>
      </c>
      <c r="E2325" s="280" t="s">
        <v>268</v>
      </c>
      <c r="F2325" s="138" t="s">
        <v>4</v>
      </c>
      <c r="G2325" s="271" t="s">
        <v>22</v>
      </c>
      <c r="H2325" s="290" t="s">
        <v>64</v>
      </c>
      <c r="I2325" s="281">
        <v>25.0</v>
      </c>
      <c r="J2325" s="280">
        <v>1582.0</v>
      </c>
      <c r="K2325" s="271">
        <f t="shared" si="1"/>
        <v>39550</v>
      </c>
      <c r="L2325" s="280">
        <v>86923.0</v>
      </c>
      <c r="M2325" s="280">
        <v>-25.0</v>
      </c>
      <c r="N2325" s="275"/>
      <c r="O2325" s="60"/>
      <c r="P2325" s="101"/>
      <c r="Q2325" s="280">
        <v>1023.0</v>
      </c>
      <c r="R2325" s="276">
        <v>0.001926</v>
      </c>
      <c r="S2325" s="280">
        <v>1099.0</v>
      </c>
      <c r="T2325" s="280">
        <v>1099.0</v>
      </c>
      <c r="U2325" s="62">
        <v>1.086</v>
      </c>
      <c r="V2325" s="277">
        <v>0.23</v>
      </c>
      <c r="W2325" s="277">
        <v>0.0</v>
      </c>
      <c r="X2325" s="280">
        <v>919.0</v>
      </c>
      <c r="Y2325" s="280">
        <v>275.0</v>
      </c>
      <c r="Z2325" s="50" t="b">
        <v>1</v>
      </c>
      <c r="AA2325" s="50" t="s">
        <v>138</v>
      </c>
      <c r="AB2325" s="50" t="s">
        <v>140</v>
      </c>
    </row>
    <row r="2326">
      <c r="A2326" s="280" t="s">
        <v>150</v>
      </c>
      <c r="B2326" s="280" t="s">
        <v>152</v>
      </c>
      <c r="C2326" s="283">
        <v>44916.0</v>
      </c>
      <c r="D2326" s="278">
        <v>44946.0</v>
      </c>
      <c r="E2326" s="280" t="s">
        <v>268</v>
      </c>
      <c r="F2326" s="138" t="s">
        <v>4</v>
      </c>
      <c r="G2326" s="280" t="s">
        <v>5</v>
      </c>
      <c r="H2326" s="273" t="s">
        <v>62</v>
      </c>
      <c r="I2326" s="274">
        <v>25.0</v>
      </c>
      <c r="J2326" s="271">
        <v>3.0</v>
      </c>
      <c r="K2326" s="271">
        <f t="shared" si="1"/>
        <v>75</v>
      </c>
      <c r="L2326" s="271">
        <v>794.0</v>
      </c>
      <c r="M2326" s="271">
        <v>-75.0</v>
      </c>
      <c r="N2326" s="275">
        <v>2.0</v>
      </c>
      <c r="O2326" s="60"/>
      <c r="P2326" s="50">
        <v>2.0</v>
      </c>
      <c r="Q2326" s="271">
        <v>32.0</v>
      </c>
      <c r="R2326" s="276">
        <v>0.001926</v>
      </c>
      <c r="S2326" s="271">
        <v>32.0</v>
      </c>
      <c r="T2326" s="271">
        <v>34.0</v>
      </c>
      <c r="U2326" s="62">
        <v>1.0</v>
      </c>
      <c r="V2326" s="291"/>
      <c r="W2326" s="277">
        <v>0.0</v>
      </c>
      <c r="X2326" s="271">
        <v>34.0</v>
      </c>
      <c r="Y2326" s="271">
        <v>0.0</v>
      </c>
      <c r="Z2326" s="50" t="b">
        <v>0</v>
      </c>
      <c r="AA2326" s="50" t="s">
        <v>138</v>
      </c>
      <c r="AB2326" s="50" t="s">
        <v>138</v>
      </c>
    </row>
    <row r="2327">
      <c r="A2327" s="280" t="s">
        <v>150</v>
      </c>
      <c r="B2327" s="280" t="s">
        <v>152</v>
      </c>
      <c r="C2327" s="283">
        <v>44916.0</v>
      </c>
      <c r="D2327" s="278">
        <v>44946.0</v>
      </c>
      <c r="E2327" s="280" t="s">
        <v>268</v>
      </c>
      <c r="F2327" s="138" t="s">
        <v>4</v>
      </c>
      <c r="G2327" s="280" t="s">
        <v>5</v>
      </c>
      <c r="H2327" s="273" t="s">
        <v>74</v>
      </c>
      <c r="I2327" s="274">
        <v>50.0</v>
      </c>
      <c r="J2327" s="271">
        <v>210.0</v>
      </c>
      <c r="K2327" s="271">
        <f t="shared" si="1"/>
        <v>10500</v>
      </c>
      <c r="L2327" s="271">
        <v>339.0</v>
      </c>
      <c r="M2327" s="271">
        <v>-1400.0</v>
      </c>
      <c r="N2327" s="275">
        <v>288.0</v>
      </c>
      <c r="O2327" s="60"/>
      <c r="P2327" s="50">
        <v>288.0</v>
      </c>
      <c r="Q2327" s="271">
        <v>-641.0</v>
      </c>
      <c r="R2327" s="276">
        <v>0.001926</v>
      </c>
      <c r="S2327" s="271">
        <v>-620.0</v>
      </c>
      <c r="T2327" s="271">
        <v>-332.0</v>
      </c>
      <c r="U2327" s="62">
        <v>1.0</v>
      </c>
      <c r="V2327" s="291"/>
      <c r="W2327" s="277">
        <v>0.0</v>
      </c>
      <c r="X2327" s="271">
        <v>-332.0</v>
      </c>
      <c r="Y2327" s="271">
        <v>0.0</v>
      </c>
      <c r="Z2327" s="50" t="b">
        <v>0</v>
      </c>
      <c r="AA2327" s="50" t="s">
        <v>138</v>
      </c>
      <c r="AB2327" s="50" t="s">
        <v>138</v>
      </c>
    </row>
    <row r="2328">
      <c r="A2328" s="101" t="s">
        <v>195</v>
      </c>
      <c r="B2328" s="101" t="s">
        <v>195</v>
      </c>
      <c r="C2328" s="278">
        <v>44916.0</v>
      </c>
      <c r="D2328" s="278">
        <v>44946.0</v>
      </c>
      <c r="E2328" s="271" t="s">
        <v>331</v>
      </c>
      <c r="F2328" s="138" t="s">
        <v>4</v>
      </c>
      <c r="G2328" s="101" t="s">
        <v>5</v>
      </c>
      <c r="H2328" s="273" t="s">
        <v>74</v>
      </c>
      <c r="I2328" s="274">
        <v>50.0</v>
      </c>
      <c r="J2328" s="271">
        <v>146.0</v>
      </c>
      <c r="K2328" s="271">
        <f t="shared" si="1"/>
        <v>7300</v>
      </c>
      <c r="L2328" s="271">
        <v>8216.0</v>
      </c>
      <c r="M2328" s="271">
        <v>-450.0</v>
      </c>
      <c r="N2328" s="275">
        <v>201.8</v>
      </c>
      <c r="O2328" s="60"/>
      <c r="P2328" s="50">
        <v>202.0</v>
      </c>
      <c r="Q2328" s="271">
        <v>263.0</v>
      </c>
      <c r="R2328" s="276">
        <v>-0.0015</v>
      </c>
      <c r="S2328" s="271">
        <v>252.0</v>
      </c>
      <c r="T2328" s="271">
        <v>454.0</v>
      </c>
      <c r="U2328" s="62">
        <v>1.0</v>
      </c>
      <c r="V2328" s="277">
        <v>0.1125</v>
      </c>
      <c r="W2328" s="277">
        <v>0.0375</v>
      </c>
      <c r="X2328" s="271">
        <v>386.0</v>
      </c>
      <c r="Y2328" s="271">
        <v>68.0</v>
      </c>
      <c r="Z2328" s="50" t="b">
        <v>1</v>
      </c>
      <c r="AA2328" s="50" t="s">
        <v>138</v>
      </c>
      <c r="AB2328" s="50" t="s">
        <v>138</v>
      </c>
    </row>
    <row r="2329">
      <c r="A2329" s="101" t="s">
        <v>195</v>
      </c>
      <c r="B2329" s="101" t="s">
        <v>195</v>
      </c>
      <c r="C2329" s="278">
        <v>44916.0</v>
      </c>
      <c r="D2329" s="278">
        <v>44946.0</v>
      </c>
      <c r="E2329" s="271" t="s">
        <v>331</v>
      </c>
      <c r="F2329" s="138" t="s">
        <v>4</v>
      </c>
      <c r="G2329" s="101" t="s">
        <v>5</v>
      </c>
      <c r="H2329" s="273" t="s">
        <v>85</v>
      </c>
      <c r="I2329" s="274">
        <v>100.0</v>
      </c>
      <c r="J2329" s="271">
        <v>2214.0</v>
      </c>
      <c r="K2329" s="271">
        <f t="shared" si="1"/>
        <v>221400</v>
      </c>
      <c r="L2329" s="271">
        <v>57772.0</v>
      </c>
      <c r="M2329" s="271">
        <v>6500.0</v>
      </c>
      <c r="N2329" s="275">
        <v>5100.36</v>
      </c>
      <c r="O2329" s="60"/>
      <c r="P2329" s="109">
        <v>5100.0</v>
      </c>
      <c r="Q2329" s="271">
        <v>-1924.0</v>
      </c>
      <c r="R2329" s="276">
        <v>-0.0015</v>
      </c>
      <c r="S2329" s="271">
        <v>-2257.0</v>
      </c>
      <c r="T2329" s="271">
        <v>2844.0</v>
      </c>
      <c r="U2329" s="62">
        <v>1.0</v>
      </c>
      <c r="V2329" s="277">
        <v>0.1125</v>
      </c>
      <c r="W2329" s="277">
        <v>0.0375</v>
      </c>
      <c r="X2329" s="271">
        <v>2417.0</v>
      </c>
      <c r="Y2329" s="271">
        <v>427.0</v>
      </c>
      <c r="Z2329" s="50" t="b">
        <v>1</v>
      </c>
      <c r="AA2329" s="50" t="s">
        <v>138</v>
      </c>
      <c r="AB2329" s="50" t="s">
        <v>138</v>
      </c>
    </row>
    <row r="2330">
      <c r="A2330" s="101" t="s">
        <v>195</v>
      </c>
      <c r="B2330" s="101" t="s">
        <v>195</v>
      </c>
      <c r="C2330" s="278">
        <v>44916.0</v>
      </c>
      <c r="D2330" s="278">
        <v>44946.0</v>
      </c>
      <c r="E2330" s="271" t="s">
        <v>331</v>
      </c>
      <c r="F2330" s="138" t="s">
        <v>4</v>
      </c>
      <c r="G2330" s="101" t="s">
        <v>5</v>
      </c>
      <c r="H2330" s="273" t="s">
        <v>86</v>
      </c>
      <c r="I2330" s="274">
        <v>100.0</v>
      </c>
      <c r="J2330" s="271">
        <v>1.0</v>
      </c>
      <c r="K2330" s="271">
        <f t="shared" si="1"/>
        <v>100</v>
      </c>
      <c r="L2330" s="271">
        <v>243.0</v>
      </c>
      <c r="M2330" s="271">
        <v>100.0</v>
      </c>
      <c r="N2330" s="275">
        <v>2.3</v>
      </c>
      <c r="O2330" s="60"/>
      <c r="P2330" s="50">
        <v>2.0</v>
      </c>
      <c r="Q2330" s="271">
        <v>70.0</v>
      </c>
      <c r="R2330" s="276">
        <v>-0.0015</v>
      </c>
      <c r="S2330" s="271">
        <v>70.0</v>
      </c>
      <c r="T2330" s="271">
        <v>72.0</v>
      </c>
      <c r="U2330" s="62">
        <v>1.0</v>
      </c>
      <c r="V2330" s="277">
        <v>0.1125</v>
      </c>
      <c r="W2330" s="277">
        <v>0.0375</v>
      </c>
      <c r="X2330" s="271">
        <v>61.0</v>
      </c>
      <c r="Y2330" s="271">
        <v>11.0</v>
      </c>
      <c r="Z2330" s="50" t="b">
        <v>1</v>
      </c>
      <c r="AA2330" s="50" t="s">
        <v>138</v>
      </c>
      <c r="AB2330" s="50" t="s">
        <v>138</v>
      </c>
    </row>
    <row r="2331">
      <c r="A2331" s="101" t="s">
        <v>195</v>
      </c>
      <c r="B2331" s="101" t="s">
        <v>195</v>
      </c>
      <c r="C2331" s="278">
        <v>44916.0</v>
      </c>
      <c r="D2331" s="278">
        <v>44946.0</v>
      </c>
      <c r="E2331" s="271" t="s">
        <v>331</v>
      </c>
      <c r="F2331" s="138" t="s">
        <v>4</v>
      </c>
      <c r="G2331" s="101" t="s">
        <v>5</v>
      </c>
      <c r="H2331" s="273" t="s">
        <v>96</v>
      </c>
      <c r="I2331" s="274">
        <v>250.0</v>
      </c>
      <c r="J2331" s="271">
        <v>1421.0</v>
      </c>
      <c r="K2331" s="271">
        <f t="shared" si="1"/>
        <v>355250</v>
      </c>
      <c r="L2331" s="271">
        <v>41567.0</v>
      </c>
      <c r="M2331" s="271">
        <v>-15500.0</v>
      </c>
      <c r="N2331" s="275">
        <v>8183.85</v>
      </c>
      <c r="O2331" s="60"/>
      <c r="P2331" s="109">
        <v>8184.0</v>
      </c>
      <c r="Q2331" s="271">
        <v>-83.0</v>
      </c>
      <c r="R2331" s="276">
        <v>-0.0015</v>
      </c>
      <c r="S2331" s="271">
        <v>-616.0</v>
      </c>
      <c r="T2331" s="271">
        <v>7568.0</v>
      </c>
      <c r="U2331" s="62">
        <v>1.0</v>
      </c>
      <c r="V2331" s="277">
        <v>0.1125</v>
      </c>
      <c r="W2331" s="277">
        <v>0.0375</v>
      </c>
      <c r="X2331" s="271">
        <v>6433.0</v>
      </c>
      <c r="Y2331" s="271">
        <v>1135.0</v>
      </c>
      <c r="Z2331" s="50" t="b">
        <v>1</v>
      </c>
      <c r="AA2331" s="50" t="s">
        <v>138</v>
      </c>
      <c r="AB2331" s="50" t="s">
        <v>138</v>
      </c>
    </row>
    <row r="2332">
      <c r="A2332" s="101" t="s">
        <v>195</v>
      </c>
      <c r="B2332" s="101" t="s">
        <v>195</v>
      </c>
      <c r="C2332" s="278">
        <v>44916.0</v>
      </c>
      <c r="D2332" s="278">
        <v>44946.0</v>
      </c>
      <c r="E2332" s="271" t="s">
        <v>331</v>
      </c>
      <c r="F2332" s="138" t="s">
        <v>12</v>
      </c>
      <c r="G2332" s="101" t="s">
        <v>5</v>
      </c>
      <c r="H2332" s="273" t="s">
        <v>196</v>
      </c>
      <c r="I2332" s="274">
        <v>100.0</v>
      </c>
      <c r="J2332" s="271">
        <v>12.0</v>
      </c>
      <c r="K2332" s="271">
        <f t="shared" si="1"/>
        <v>1200</v>
      </c>
      <c r="L2332" s="271"/>
      <c r="M2332" s="271">
        <v>566.0</v>
      </c>
      <c r="N2332" s="275">
        <v>10.39</v>
      </c>
      <c r="O2332" s="60"/>
      <c r="P2332" s="50">
        <v>10.0</v>
      </c>
      <c r="Q2332" s="271"/>
      <c r="R2332" s="276">
        <v>0.0</v>
      </c>
      <c r="S2332" s="271"/>
      <c r="T2332" s="271">
        <v>576.0</v>
      </c>
      <c r="U2332" s="62">
        <v>1.0</v>
      </c>
      <c r="V2332" s="277">
        <v>0.1125</v>
      </c>
      <c r="W2332" s="277">
        <v>0.0375</v>
      </c>
      <c r="X2332" s="271">
        <v>490.0</v>
      </c>
      <c r="Y2332" s="271">
        <v>86.0</v>
      </c>
      <c r="Z2332" s="50" t="b">
        <v>1</v>
      </c>
      <c r="AA2332" s="50" t="s">
        <v>138</v>
      </c>
      <c r="AB2332" s="50" t="s">
        <v>138</v>
      </c>
    </row>
    <row r="2333">
      <c r="A2333" s="101" t="s">
        <v>195</v>
      </c>
      <c r="B2333" s="101" t="s">
        <v>195</v>
      </c>
      <c r="C2333" s="278">
        <v>44916.0</v>
      </c>
      <c r="D2333" s="278">
        <v>44946.0</v>
      </c>
      <c r="E2333" s="271" t="s">
        <v>331</v>
      </c>
      <c r="F2333" s="138" t="s">
        <v>12</v>
      </c>
      <c r="G2333" s="101" t="s">
        <v>5</v>
      </c>
      <c r="H2333" s="273" t="s">
        <v>35</v>
      </c>
      <c r="I2333" s="274">
        <v>5.0</v>
      </c>
      <c r="J2333" s="271">
        <v>7.0</v>
      </c>
      <c r="K2333" s="271">
        <f t="shared" si="1"/>
        <v>35</v>
      </c>
      <c r="L2333" s="271"/>
      <c r="M2333" s="271">
        <v>25.0</v>
      </c>
      <c r="N2333" s="275">
        <v>1.29</v>
      </c>
      <c r="O2333" s="60"/>
      <c r="P2333" s="50">
        <v>1.0</v>
      </c>
      <c r="Q2333" s="271"/>
      <c r="R2333" s="276">
        <v>0.0</v>
      </c>
      <c r="S2333" s="271"/>
      <c r="T2333" s="271">
        <v>26.0</v>
      </c>
      <c r="U2333" s="62">
        <v>1.0</v>
      </c>
      <c r="V2333" s="277">
        <v>0.1125</v>
      </c>
      <c r="W2333" s="277">
        <v>0.0375</v>
      </c>
      <c r="X2333" s="271">
        <v>22.0</v>
      </c>
      <c r="Y2333" s="271">
        <v>4.0</v>
      </c>
      <c r="Z2333" s="50" t="b">
        <v>1</v>
      </c>
      <c r="AA2333" s="50" t="s">
        <v>138</v>
      </c>
      <c r="AB2333" s="50" t="s">
        <v>138</v>
      </c>
    </row>
    <row r="2334">
      <c r="A2334" s="280" t="s">
        <v>477</v>
      </c>
      <c r="B2334" s="280" t="s">
        <v>164</v>
      </c>
      <c r="C2334" s="278">
        <v>44916.0</v>
      </c>
      <c r="D2334" s="278">
        <v>44946.0</v>
      </c>
      <c r="E2334" s="280" t="s">
        <v>331</v>
      </c>
      <c r="F2334" s="138" t="s">
        <v>4</v>
      </c>
      <c r="G2334" s="271" t="s">
        <v>13</v>
      </c>
      <c r="H2334" s="271" t="s">
        <v>74</v>
      </c>
      <c r="I2334" s="274">
        <v>50.0</v>
      </c>
      <c r="J2334" s="271">
        <v>1.0</v>
      </c>
      <c r="K2334" s="271">
        <f t="shared" si="1"/>
        <v>50</v>
      </c>
      <c r="L2334" s="271">
        <v>257.0</v>
      </c>
      <c r="M2334" s="271">
        <v>100.0</v>
      </c>
      <c r="N2334" s="275"/>
      <c r="O2334" s="60"/>
      <c r="P2334" s="101"/>
      <c r="Q2334" s="271">
        <v>33.0</v>
      </c>
      <c r="R2334" s="276">
        <v>0.001926</v>
      </c>
      <c r="S2334" s="293">
        <v>33.0</v>
      </c>
      <c r="T2334" s="271">
        <v>33.0</v>
      </c>
      <c r="U2334" s="62">
        <v>1.0</v>
      </c>
      <c r="V2334" s="277">
        <v>0.15</v>
      </c>
      <c r="W2334" s="277">
        <v>0.05</v>
      </c>
      <c r="X2334" s="271">
        <v>27.0</v>
      </c>
      <c r="Y2334" s="271">
        <v>7.0</v>
      </c>
      <c r="Z2334" s="50" t="b">
        <v>0</v>
      </c>
      <c r="AA2334" s="50" t="s">
        <v>138</v>
      </c>
      <c r="AB2334" s="50" t="s">
        <v>138</v>
      </c>
    </row>
    <row r="2335">
      <c r="A2335" s="280" t="s">
        <v>477</v>
      </c>
      <c r="B2335" s="280" t="s">
        <v>164</v>
      </c>
      <c r="C2335" s="278">
        <v>44916.0</v>
      </c>
      <c r="D2335" s="278">
        <v>44946.0</v>
      </c>
      <c r="E2335" s="280" t="s">
        <v>331</v>
      </c>
      <c r="F2335" s="138" t="s">
        <v>4</v>
      </c>
      <c r="G2335" s="271" t="s">
        <v>13</v>
      </c>
      <c r="H2335" s="271" t="s">
        <v>85</v>
      </c>
      <c r="I2335" s="274">
        <v>100.0</v>
      </c>
      <c r="J2335" s="271">
        <v>4885.0</v>
      </c>
      <c r="K2335" s="271">
        <f t="shared" si="1"/>
        <v>488500</v>
      </c>
      <c r="L2335" s="271">
        <v>31787.0</v>
      </c>
      <c r="M2335" s="271">
        <v>-15500.0</v>
      </c>
      <c r="N2335" s="275">
        <v>26236.0</v>
      </c>
      <c r="O2335" s="60"/>
      <c r="P2335" s="109">
        <v>26236.0</v>
      </c>
      <c r="Q2335" s="271">
        <v>-26679.0</v>
      </c>
      <c r="R2335" s="276">
        <v>0.001926</v>
      </c>
      <c r="S2335" s="293">
        <v>-25738.0</v>
      </c>
      <c r="T2335" s="293">
        <v>498.0</v>
      </c>
      <c r="U2335" s="62">
        <v>1.0</v>
      </c>
      <c r="V2335" s="277">
        <v>0.15</v>
      </c>
      <c r="W2335" s="277">
        <v>0.05</v>
      </c>
      <c r="X2335" s="271">
        <v>398.0</v>
      </c>
      <c r="Y2335" s="271">
        <v>100.0</v>
      </c>
      <c r="Z2335" s="50" t="b">
        <v>0</v>
      </c>
      <c r="AA2335" s="50" t="s">
        <v>138</v>
      </c>
      <c r="AB2335" s="50" t="s">
        <v>138</v>
      </c>
    </row>
    <row r="2336">
      <c r="A2336" s="101" t="s">
        <v>505</v>
      </c>
      <c r="B2336" s="271" t="s">
        <v>166</v>
      </c>
      <c r="C2336" s="278">
        <v>44916.0</v>
      </c>
      <c r="D2336" s="278">
        <v>44946.0</v>
      </c>
      <c r="E2336" s="271" t="s">
        <v>268</v>
      </c>
      <c r="F2336" s="101" t="s">
        <v>4</v>
      </c>
      <c r="G2336" s="271" t="s">
        <v>5</v>
      </c>
      <c r="H2336" s="273" t="s">
        <v>45</v>
      </c>
      <c r="I2336" s="281">
        <v>10.0</v>
      </c>
      <c r="J2336" s="280">
        <v>1250.0</v>
      </c>
      <c r="K2336" s="271">
        <f t="shared" si="1"/>
        <v>12500</v>
      </c>
      <c r="L2336" s="280">
        <v>81662.0</v>
      </c>
      <c r="M2336" s="280">
        <v>580.0</v>
      </c>
      <c r="N2336" s="275">
        <v>300.0</v>
      </c>
      <c r="O2336" s="60"/>
      <c r="P2336" s="50">
        <v>300.0</v>
      </c>
      <c r="Q2336" s="280">
        <v>573.0</v>
      </c>
      <c r="R2336" s="276">
        <v>0.001926</v>
      </c>
      <c r="S2336" s="280">
        <v>597.0</v>
      </c>
      <c r="T2336" s="280">
        <v>897.0</v>
      </c>
      <c r="U2336" s="62">
        <v>1.0</v>
      </c>
      <c r="V2336" s="277">
        <v>0.25</v>
      </c>
      <c r="W2336" s="277">
        <v>0.0</v>
      </c>
      <c r="X2336" s="280">
        <v>673.0</v>
      </c>
      <c r="Y2336" s="280">
        <v>224.0</v>
      </c>
      <c r="Z2336" s="50" t="b">
        <v>0</v>
      </c>
      <c r="AA2336" s="50" t="s">
        <v>138</v>
      </c>
      <c r="AB2336" s="50" t="s">
        <v>138</v>
      </c>
    </row>
    <row r="2337">
      <c r="A2337" s="280" t="s">
        <v>199</v>
      </c>
      <c r="B2337" s="101" t="s">
        <v>199</v>
      </c>
      <c r="C2337" s="278">
        <v>44916.0</v>
      </c>
      <c r="D2337" s="278">
        <v>44946.0</v>
      </c>
      <c r="E2337" s="271" t="s">
        <v>331</v>
      </c>
      <c r="F2337" s="101" t="s">
        <v>4</v>
      </c>
      <c r="G2337" s="271" t="s">
        <v>5</v>
      </c>
      <c r="H2337" s="273" t="s">
        <v>62</v>
      </c>
      <c r="I2337" s="274">
        <v>25.0</v>
      </c>
      <c r="J2337" s="271">
        <v>998.0</v>
      </c>
      <c r="K2337" s="271">
        <f t="shared" si="1"/>
        <v>24950</v>
      </c>
      <c r="L2337" s="271">
        <v>26001.0</v>
      </c>
      <c r="M2337" s="271">
        <v>225.0</v>
      </c>
      <c r="N2337" s="275">
        <v>525.0</v>
      </c>
      <c r="O2337" s="60"/>
      <c r="P2337" s="50">
        <v>525.0</v>
      </c>
      <c r="Q2337" s="271">
        <v>-359.0</v>
      </c>
      <c r="R2337" s="276">
        <v>0.001926</v>
      </c>
      <c r="S2337" s="271">
        <v>-311.0</v>
      </c>
      <c r="T2337" s="271">
        <v>214.0</v>
      </c>
      <c r="U2337" s="62">
        <v>1.0</v>
      </c>
      <c r="V2337" s="277">
        <v>0.23</v>
      </c>
      <c r="W2337" s="277">
        <v>0.1</v>
      </c>
      <c r="X2337" s="271">
        <v>143.0</v>
      </c>
      <c r="Y2337" s="271">
        <v>70.0</v>
      </c>
      <c r="Z2337" s="50" t="b">
        <v>1</v>
      </c>
      <c r="AA2337" s="50" t="s">
        <v>138</v>
      </c>
      <c r="AB2337" s="50" t="s">
        <v>138</v>
      </c>
    </row>
    <row r="2338">
      <c r="A2338" s="280" t="s">
        <v>156</v>
      </c>
      <c r="B2338" s="280" t="s">
        <v>158</v>
      </c>
      <c r="C2338" s="283">
        <v>44916.0</v>
      </c>
      <c r="D2338" s="283">
        <v>44946.0</v>
      </c>
      <c r="E2338" s="280" t="s">
        <v>268</v>
      </c>
      <c r="F2338" s="138" t="s">
        <v>4</v>
      </c>
      <c r="G2338" s="280" t="s">
        <v>9</v>
      </c>
      <c r="H2338" s="290" t="s">
        <v>69</v>
      </c>
      <c r="I2338" s="281">
        <v>25.0</v>
      </c>
      <c r="J2338" s="280">
        <v>1.0</v>
      </c>
      <c r="K2338" s="271">
        <f t="shared" si="1"/>
        <v>25</v>
      </c>
      <c r="L2338" s="280">
        <v>-88.0</v>
      </c>
      <c r="M2338" s="280">
        <v>-27.0</v>
      </c>
      <c r="N2338" s="282">
        <v>24.78</v>
      </c>
      <c r="O2338" s="60"/>
      <c r="P2338" s="50">
        <v>25.0</v>
      </c>
      <c r="Q2338" s="280">
        <v>-9.0</v>
      </c>
      <c r="R2338" s="276">
        <v>0.001925</v>
      </c>
      <c r="S2338" s="280">
        <v>-9.0</v>
      </c>
      <c r="T2338" s="280">
        <v>16.0</v>
      </c>
      <c r="U2338" s="62">
        <v>1.086</v>
      </c>
      <c r="V2338" s="277">
        <v>0.15</v>
      </c>
      <c r="W2338" s="277">
        <v>0.0</v>
      </c>
      <c r="X2338" s="280">
        <v>15.0</v>
      </c>
      <c r="Y2338" s="280">
        <v>3.0</v>
      </c>
      <c r="Z2338" s="50" t="b">
        <v>1</v>
      </c>
      <c r="AA2338" s="50" t="s">
        <v>138</v>
      </c>
      <c r="AB2338" s="50" t="s">
        <v>140</v>
      </c>
    </row>
    <row r="2339">
      <c r="A2339" s="280" t="s">
        <v>156</v>
      </c>
      <c r="B2339" s="280" t="s">
        <v>158</v>
      </c>
      <c r="C2339" s="283">
        <v>44916.0</v>
      </c>
      <c r="D2339" s="283">
        <v>44946.0</v>
      </c>
      <c r="E2339" s="280" t="s">
        <v>268</v>
      </c>
      <c r="F2339" s="138" t="s">
        <v>4</v>
      </c>
      <c r="G2339" s="280" t="s">
        <v>9</v>
      </c>
      <c r="H2339" s="290" t="s">
        <v>64</v>
      </c>
      <c r="I2339" s="281">
        <v>25.0</v>
      </c>
      <c r="J2339" s="280">
        <v>993.0</v>
      </c>
      <c r="K2339" s="271">
        <f t="shared" si="1"/>
        <v>24825</v>
      </c>
      <c r="L2339" s="280">
        <v>56313.0</v>
      </c>
      <c r="M2339" s="280">
        <v>-380.0</v>
      </c>
      <c r="N2339" s="282">
        <v>705.82</v>
      </c>
      <c r="O2339" s="60"/>
      <c r="P2339" s="50">
        <v>706.0</v>
      </c>
      <c r="Q2339" s="280">
        <v>423.0</v>
      </c>
      <c r="R2339" s="276">
        <v>0.001925</v>
      </c>
      <c r="S2339" s="280">
        <v>471.0</v>
      </c>
      <c r="T2339" s="280">
        <v>1176.0</v>
      </c>
      <c r="U2339" s="62">
        <v>1.086</v>
      </c>
      <c r="V2339" s="277">
        <v>0.15</v>
      </c>
      <c r="W2339" s="277">
        <v>0.0</v>
      </c>
      <c r="X2339" s="280">
        <v>1086.0</v>
      </c>
      <c r="Y2339" s="280">
        <v>192.0</v>
      </c>
      <c r="Z2339" s="50" t="b">
        <v>1</v>
      </c>
      <c r="AA2339" s="50" t="s">
        <v>138</v>
      </c>
      <c r="AB2339" s="50" t="s">
        <v>140</v>
      </c>
    </row>
    <row r="2340">
      <c r="A2340" s="280" t="s">
        <v>156</v>
      </c>
      <c r="B2340" s="280" t="s">
        <v>158</v>
      </c>
      <c r="C2340" s="283">
        <v>44916.0</v>
      </c>
      <c r="D2340" s="283">
        <v>44946.0</v>
      </c>
      <c r="E2340" s="280" t="s">
        <v>268</v>
      </c>
      <c r="F2340" s="138" t="s">
        <v>4</v>
      </c>
      <c r="G2340" s="280" t="s">
        <v>9</v>
      </c>
      <c r="H2340" s="290" t="s">
        <v>81</v>
      </c>
      <c r="I2340" s="281">
        <v>50.0</v>
      </c>
      <c r="J2340" s="280">
        <v>1.0</v>
      </c>
      <c r="K2340" s="271">
        <f t="shared" si="1"/>
        <v>50</v>
      </c>
      <c r="L2340" s="280">
        <v>453.0</v>
      </c>
      <c r="M2340" s="280">
        <v>54.0</v>
      </c>
      <c r="N2340" s="282">
        <v>0.0</v>
      </c>
      <c r="O2340" s="60"/>
      <c r="P2340" s="50">
        <v>0.0</v>
      </c>
      <c r="Q2340" s="280">
        <v>64.0</v>
      </c>
      <c r="R2340" s="276">
        <v>0.001925</v>
      </c>
      <c r="S2340" s="280">
        <v>64.0</v>
      </c>
      <c r="T2340" s="280">
        <v>64.0</v>
      </c>
      <c r="U2340" s="62">
        <v>1.086</v>
      </c>
      <c r="V2340" s="277">
        <v>0.15</v>
      </c>
      <c r="W2340" s="277">
        <v>0.0</v>
      </c>
      <c r="X2340" s="280">
        <v>59.0</v>
      </c>
      <c r="Y2340" s="280">
        <v>10.0</v>
      </c>
      <c r="Z2340" s="50" t="b">
        <v>1</v>
      </c>
      <c r="AA2340" s="50" t="s">
        <v>138</v>
      </c>
      <c r="AB2340" s="50" t="s">
        <v>140</v>
      </c>
    </row>
    <row r="2341">
      <c r="A2341" s="280" t="s">
        <v>156</v>
      </c>
      <c r="B2341" s="280" t="s">
        <v>158</v>
      </c>
      <c r="C2341" s="283">
        <v>44916.0</v>
      </c>
      <c r="D2341" s="283">
        <v>44946.0</v>
      </c>
      <c r="E2341" s="280" t="s">
        <v>268</v>
      </c>
      <c r="F2341" s="138" t="s">
        <v>4</v>
      </c>
      <c r="G2341" s="280" t="s">
        <v>9</v>
      </c>
      <c r="H2341" s="290" t="s">
        <v>77</v>
      </c>
      <c r="I2341" s="281">
        <v>50.0</v>
      </c>
      <c r="J2341" s="280">
        <v>1818.0</v>
      </c>
      <c r="K2341" s="271">
        <f t="shared" si="1"/>
        <v>90900</v>
      </c>
      <c r="L2341" s="280">
        <v>93881.0</v>
      </c>
      <c r="M2341" s="280">
        <v>0.0</v>
      </c>
      <c r="N2341" s="282">
        <v>2149.4</v>
      </c>
      <c r="O2341" s="60"/>
      <c r="P2341" s="109">
        <v>2149.0</v>
      </c>
      <c r="Q2341" s="280">
        <v>712.0</v>
      </c>
      <c r="R2341" s="276">
        <v>0.001925</v>
      </c>
      <c r="S2341" s="280">
        <v>887.0</v>
      </c>
      <c r="T2341" s="280">
        <v>3036.0</v>
      </c>
      <c r="U2341" s="62">
        <v>1.086</v>
      </c>
      <c r="V2341" s="277">
        <v>0.15</v>
      </c>
      <c r="W2341" s="277">
        <v>0.0</v>
      </c>
      <c r="X2341" s="280">
        <v>2803.0</v>
      </c>
      <c r="Y2341" s="280">
        <v>495.0</v>
      </c>
      <c r="Z2341" s="50" t="b">
        <v>1</v>
      </c>
      <c r="AA2341" s="50" t="s">
        <v>138</v>
      </c>
      <c r="AB2341" s="50" t="s">
        <v>140</v>
      </c>
    </row>
    <row r="2342">
      <c r="A2342" s="280" t="s">
        <v>156</v>
      </c>
      <c r="B2342" s="101" t="s">
        <v>156</v>
      </c>
      <c r="C2342" s="283">
        <v>44916.0</v>
      </c>
      <c r="D2342" s="283">
        <v>44946.0</v>
      </c>
      <c r="E2342" s="280" t="s">
        <v>268</v>
      </c>
      <c r="F2342" s="138" t="s">
        <v>4</v>
      </c>
      <c r="G2342" s="271" t="s">
        <v>5</v>
      </c>
      <c r="H2342" s="290" t="s">
        <v>74</v>
      </c>
      <c r="I2342" s="281">
        <v>50.0</v>
      </c>
      <c r="J2342" s="280">
        <v>859.0</v>
      </c>
      <c r="K2342" s="271">
        <f t="shared" si="1"/>
        <v>42950</v>
      </c>
      <c r="L2342" s="280">
        <v>11921.0</v>
      </c>
      <c r="M2342" s="280">
        <v>-150.0</v>
      </c>
      <c r="N2342" s="275">
        <v>1108.0</v>
      </c>
      <c r="O2342" s="60"/>
      <c r="P2342" s="109">
        <v>1108.0</v>
      </c>
      <c r="Q2342" s="280">
        <v>-1644.0</v>
      </c>
      <c r="R2342" s="276">
        <v>0.001925</v>
      </c>
      <c r="S2342" s="280">
        <v>-1561.0</v>
      </c>
      <c r="T2342" s="280">
        <v>-453.0</v>
      </c>
      <c r="U2342" s="62">
        <v>1.0</v>
      </c>
      <c r="V2342" s="277">
        <v>0.15</v>
      </c>
      <c r="W2342" s="277">
        <v>0.0</v>
      </c>
      <c r="X2342" s="280">
        <v>-385.0</v>
      </c>
      <c r="Y2342" s="280">
        <v>-68.0</v>
      </c>
      <c r="Z2342" s="50" t="b">
        <v>1</v>
      </c>
      <c r="AA2342" s="50" t="s">
        <v>138</v>
      </c>
      <c r="AB2342" s="50" t="s">
        <v>138</v>
      </c>
    </row>
    <row r="2343">
      <c r="A2343" s="280" t="s">
        <v>156</v>
      </c>
      <c r="B2343" s="101" t="s">
        <v>156</v>
      </c>
      <c r="C2343" s="283">
        <v>44916.0</v>
      </c>
      <c r="D2343" s="283">
        <v>44946.0</v>
      </c>
      <c r="E2343" s="280" t="s">
        <v>268</v>
      </c>
      <c r="F2343" s="138" t="s">
        <v>4</v>
      </c>
      <c r="G2343" s="271" t="s">
        <v>5</v>
      </c>
      <c r="H2343" s="290" t="s">
        <v>75</v>
      </c>
      <c r="I2343" s="281">
        <v>50.0</v>
      </c>
      <c r="J2343" s="280">
        <v>1.0</v>
      </c>
      <c r="K2343" s="271">
        <f t="shared" si="1"/>
        <v>50</v>
      </c>
      <c r="L2343" s="280">
        <v>-163.0</v>
      </c>
      <c r="M2343" s="280">
        <v>-50.0</v>
      </c>
      <c r="N2343" s="275">
        <v>1.0</v>
      </c>
      <c r="O2343" s="60"/>
      <c r="P2343" s="50">
        <v>1.0</v>
      </c>
      <c r="Q2343" s="280">
        <v>-28.0</v>
      </c>
      <c r="R2343" s="276">
        <v>0.001925</v>
      </c>
      <c r="S2343" s="280">
        <v>-28.0</v>
      </c>
      <c r="T2343" s="280">
        <v>-27.0</v>
      </c>
      <c r="U2343" s="62">
        <v>1.0</v>
      </c>
      <c r="V2343" s="277">
        <v>0.15</v>
      </c>
      <c r="W2343" s="277">
        <v>0.0</v>
      </c>
      <c r="X2343" s="280">
        <v>-23.0</v>
      </c>
      <c r="Y2343" s="280">
        <v>-4.0</v>
      </c>
      <c r="Z2343" s="50" t="b">
        <v>1</v>
      </c>
      <c r="AA2343" s="50" t="s">
        <v>138</v>
      </c>
      <c r="AB2343" s="50" t="s">
        <v>138</v>
      </c>
    </row>
    <row r="2344">
      <c r="A2344" s="280" t="s">
        <v>156</v>
      </c>
      <c r="B2344" s="101" t="s">
        <v>156</v>
      </c>
      <c r="C2344" s="283">
        <v>44916.0</v>
      </c>
      <c r="D2344" s="283">
        <v>44946.0</v>
      </c>
      <c r="E2344" s="280" t="s">
        <v>268</v>
      </c>
      <c r="F2344" s="138" t="s">
        <v>4</v>
      </c>
      <c r="G2344" s="271" t="s">
        <v>5</v>
      </c>
      <c r="H2344" s="290" t="s">
        <v>85</v>
      </c>
      <c r="I2344" s="281">
        <v>100.0</v>
      </c>
      <c r="J2344" s="280">
        <v>19.0</v>
      </c>
      <c r="K2344" s="271">
        <f t="shared" si="1"/>
        <v>1900</v>
      </c>
      <c r="L2344" s="280">
        <v>1734.0</v>
      </c>
      <c r="M2344" s="280">
        <v>400.0</v>
      </c>
      <c r="N2344" s="275">
        <v>41.0</v>
      </c>
      <c r="O2344" s="60"/>
      <c r="P2344" s="50">
        <v>41.0</v>
      </c>
      <c r="Q2344" s="280">
        <v>222.0</v>
      </c>
      <c r="R2344" s="276">
        <v>0.001925</v>
      </c>
      <c r="S2344" s="280">
        <v>226.0</v>
      </c>
      <c r="T2344" s="280">
        <v>267.0</v>
      </c>
      <c r="U2344" s="62">
        <v>1.0</v>
      </c>
      <c r="V2344" s="277">
        <v>0.15</v>
      </c>
      <c r="W2344" s="277">
        <v>0.0</v>
      </c>
      <c r="X2344" s="280">
        <v>227.0</v>
      </c>
      <c r="Y2344" s="280">
        <v>40.0</v>
      </c>
      <c r="Z2344" s="50" t="b">
        <v>1</v>
      </c>
      <c r="AA2344" s="50" t="s">
        <v>138</v>
      </c>
      <c r="AB2344" s="50" t="s">
        <v>138</v>
      </c>
    </row>
    <row r="2345">
      <c r="A2345" s="101" t="s">
        <v>546</v>
      </c>
      <c r="B2345" s="101" t="s">
        <v>204</v>
      </c>
      <c r="C2345" s="278">
        <v>44916.0</v>
      </c>
      <c r="D2345" s="278">
        <v>44946.0</v>
      </c>
      <c r="E2345" s="271" t="s">
        <v>331</v>
      </c>
      <c r="F2345" s="138" t="s">
        <v>4</v>
      </c>
      <c r="G2345" s="271" t="s">
        <v>13</v>
      </c>
      <c r="H2345" s="273" t="s">
        <v>74</v>
      </c>
      <c r="I2345" s="274">
        <v>50.0</v>
      </c>
      <c r="J2345" s="271">
        <v>1124.0</v>
      </c>
      <c r="K2345" s="271">
        <f t="shared" si="1"/>
        <v>56200</v>
      </c>
      <c r="L2345" s="271">
        <v>11452.0</v>
      </c>
      <c r="M2345" s="271">
        <v>-1100.0</v>
      </c>
      <c r="N2345" s="275">
        <v>3671.07</v>
      </c>
      <c r="O2345" s="60"/>
      <c r="P2345" s="109">
        <v>3671.0</v>
      </c>
      <c r="Q2345" s="271">
        <v>-2474.0</v>
      </c>
      <c r="R2345" s="276">
        <v>0.001926</v>
      </c>
      <c r="S2345" s="271">
        <v>-2366.0</v>
      </c>
      <c r="T2345" s="271">
        <v>1305.0</v>
      </c>
      <c r="U2345" s="62">
        <v>1.0</v>
      </c>
      <c r="V2345" s="277">
        <v>0.09</v>
      </c>
      <c r="W2345" s="277">
        <v>0.03</v>
      </c>
      <c r="X2345" s="271">
        <v>1149.0</v>
      </c>
      <c r="Y2345" s="271">
        <v>157.0</v>
      </c>
      <c r="Z2345" s="50" t="b">
        <v>1</v>
      </c>
      <c r="AA2345" s="50" t="s">
        <v>138</v>
      </c>
      <c r="AB2345" s="50" t="s">
        <v>138</v>
      </c>
    </row>
    <row r="2346">
      <c r="A2346" s="101" t="s">
        <v>546</v>
      </c>
      <c r="B2346" s="101" t="s">
        <v>204</v>
      </c>
      <c r="C2346" s="278">
        <v>44916.0</v>
      </c>
      <c r="D2346" s="278">
        <v>44946.0</v>
      </c>
      <c r="E2346" s="271" t="s">
        <v>331</v>
      </c>
      <c r="F2346" s="138" t="s">
        <v>4</v>
      </c>
      <c r="G2346" s="271" t="s">
        <v>13</v>
      </c>
      <c r="H2346" s="273" t="s">
        <v>85</v>
      </c>
      <c r="I2346" s="274">
        <v>100.0</v>
      </c>
      <c r="J2346" s="271">
        <v>9.0</v>
      </c>
      <c r="K2346" s="271">
        <f t="shared" si="1"/>
        <v>900</v>
      </c>
      <c r="L2346" s="271">
        <v>567.0</v>
      </c>
      <c r="M2346" s="271">
        <v>900.0</v>
      </c>
      <c r="N2346" s="275">
        <v>58.79</v>
      </c>
      <c r="O2346" s="60"/>
      <c r="P2346" s="50">
        <v>59.0</v>
      </c>
      <c r="Q2346" s="271">
        <v>97.0</v>
      </c>
      <c r="R2346" s="276">
        <v>0.001926</v>
      </c>
      <c r="S2346" s="271">
        <v>99.0</v>
      </c>
      <c r="T2346" s="271">
        <v>158.0</v>
      </c>
      <c r="U2346" s="62">
        <v>1.0</v>
      </c>
      <c r="V2346" s="277">
        <v>0.09</v>
      </c>
      <c r="W2346" s="277">
        <v>0.03</v>
      </c>
      <c r="X2346" s="271">
        <v>139.0</v>
      </c>
      <c r="Y2346" s="271">
        <v>19.0</v>
      </c>
      <c r="Z2346" s="50" t="b">
        <v>1</v>
      </c>
      <c r="AA2346" s="50" t="s">
        <v>138</v>
      </c>
      <c r="AB2346" s="50" t="s">
        <v>138</v>
      </c>
    </row>
    <row r="2347">
      <c r="A2347" s="101" t="s">
        <v>546</v>
      </c>
      <c r="B2347" s="101" t="s">
        <v>204</v>
      </c>
      <c r="C2347" s="278">
        <v>44916.0</v>
      </c>
      <c r="D2347" s="278">
        <v>44946.0</v>
      </c>
      <c r="E2347" s="271" t="s">
        <v>331</v>
      </c>
      <c r="F2347" s="138" t="s">
        <v>4</v>
      </c>
      <c r="G2347" s="271" t="s">
        <v>13</v>
      </c>
      <c r="H2347" s="273" t="s">
        <v>93</v>
      </c>
      <c r="I2347" s="274">
        <v>200.0</v>
      </c>
      <c r="J2347" s="271">
        <v>7154.0</v>
      </c>
      <c r="K2347" s="271">
        <f t="shared" si="1"/>
        <v>1430800</v>
      </c>
      <c r="L2347" s="271">
        <v>48299.0</v>
      </c>
      <c r="M2347" s="271">
        <v>-88600.0</v>
      </c>
      <c r="N2347" s="275">
        <v>93462.14</v>
      </c>
      <c r="O2347" s="60"/>
      <c r="P2347" s="109">
        <v>93462.0</v>
      </c>
      <c r="Q2347" s="271">
        <v>-77136.0</v>
      </c>
      <c r="R2347" s="276">
        <v>0.001926</v>
      </c>
      <c r="S2347" s="271">
        <v>-74380.0</v>
      </c>
      <c r="T2347" s="271">
        <v>19082.0</v>
      </c>
      <c r="U2347" s="62">
        <v>1.0</v>
      </c>
      <c r="V2347" s="277">
        <v>0.09</v>
      </c>
      <c r="W2347" s="277">
        <v>0.03</v>
      </c>
      <c r="X2347" s="271">
        <v>16792.0</v>
      </c>
      <c r="Y2347" s="271">
        <v>2290.0</v>
      </c>
      <c r="Z2347" s="50" t="b">
        <v>1</v>
      </c>
      <c r="AA2347" s="50" t="s">
        <v>138</v>
      </c>
      <c r="AB2347" s="50" t="s">
        <v>138</v>
      </c>
    </row>
    <row r="2348">
      <c r="A2348" s="101" t="s">
        <v>160</v>
      </c>
      <c r="B2348" s="101" t="s">
        <v>160</v>
      </c>
      <c r="C2348" s="278">
        <v>44916.0</v>
      </c>
      <c r="D2348" s="278">
        <v>44946.0</v>
      </c>
      <c r="E2348" s="271" t="s">
        <v>268</v>
      </c>
      <c r="F2348" s="138" t="s">
        <v>4</v>
      </c>
      <c r="G2348" s="101" t="s">
        <v>5</v>
      </c>
      <c r="H2348" s="273" t="s">
        <v>62</v>
      </c>
      <c r="I2348" s="274">
        <v>25.0</v>
      </c>
      <c r="J2348" s="271">
        <v>0.0</v>
      </c>
      <c r="K2348" s="271">
        <f t="shared" si="1"/>
        <v>0</v>
      </c>
      <c r="L2348" s="271">
        <v>0.0</v>
      </c>
      <c r="M2348" s="271">
        <v>0.0</v>
      </c>
      <c r="N2348" s="275">
        <v>0.0</v>
      </c>
      <c r="O2348" s="60"/>
      <c r="P2348" s="50">
        <v>0.0</v>
      </c>
      <c r="Q2348" s="271"/>
      <c r="R2348" s="276">
        <v>0.0</v>
      </c>
      <c r="S2348" s="271"/>
      <c r="T2348" s="271">
        <v>0.0</v>
      </c>
      <c r="U2348" s="62">
        <v>1.0</v>
      </c>
      <c r="V2348" s="277">
        <v>0.0</v>
      </c>
      <c r="W2348" s="277">
        <v>0.0</v>
      </c>
      <c r="X2348" s="271">
        <v>0.0</v>
      </c>
      <c r="Y2348" s="271">
        <v>0.0</v>
      </c>
      <c r="Z2348" s="50" t="b">
        <v>1</v>
      </c>
      <c r="AA2348" s="50" t="s">
        <v>138</v>
      </c>
      <c r="AB2348" s="50" t="s">
        <v>138</v>
      </c>
    </row>
    <row r="2349">
      <c r="A2349" s="101" t="s">
        <v>205</v>
      </c>
      <c r="B2349" s="101" t="s">
        <v>205</v>
      </c>
      <c r="C2349" s="278">
        <v>44916.0</v>
      </c>
      <c r="D2349" s="278">
        <v>44946.0</v>
      </c>
      <c r="E2349" s="271" t="s">
        <v>268</v>
      </c>
      <c r="F2349" s="138" t="s">
        <v>4</v>
      </c>
      <c r="G2349" s="101" t="s">
        <v>5</v>
      </c>
      <c r="H2349" s="273" t="s">
        <v>62</v>
      </c>
      <c r="I2349" s="274">
        <v>25.0</v>
      </c>
      <c r="J2349" s="271">
        <v>84.0</v>
      </c>
      <c r="K2349" s="271">
        <f t="shared" si="1"/>
        <v>2100</v>
      </c>
      <c r="L2349" s="271">
        <v>-8040.0</v>
      </c>
      <c r="M2349" s="271">
        <v>-275.0</v>
      </c>
      <c r="N2349" s="275">
        <v>91.0</v>
      </c>
      <c r="O2349" s="60"/>
      <c r="P2349" s="50">
        <v>91.0</v>
      </c>
      <c r="Q2349" s="271">
        <v>-502.0</v>
      </c>
      <c r="R2349" s="276">
        <v>0.001926</v>
      </c>
      <c r="S2349" s="271">
        <v>-498.0</v>
      </c>
      <c r="T2349" s="271">
        <v>-407.0</v>
      </c>
      <c r="U2349" s="62">
        <v>1.0</v>
      </c>
      <c r="V2349" s="277">
        <v>0.12</v>
      </c>
      <c r="W2349" s="277">
        <v>0.0</v>
      </c>
      <c r="X2349" s="271">
        <v>-358.0</v>
      </c>
      <c r="Y2349" s="271">
        <v>-49.0</v>
      </c>
      <c r="Z2349" s="50" t="b">
        <v>1</v>
      </c>
      <c r="AA2349" s="50" t="s">
        <v>138</v>
      </c>
      <c r="AB2349" s="50" t="s">
        <v>138</v>
      </c>
    </row>
    <row r="2350">
      <c r="A2350" s="101" t="s">
        <v>205</v>
      </c>
      <c r="B2350" s="101" t="s">
        <v>205</v>
      </c>
      <c r="C2350" s="278">
        <v>44916.0</v>
      </c>
      <c r="D2350" s="278">
        <v>44946.0</v>
      </c>
      <c r="E2350" s="271" t="s">
        <v>268</v>
      </c>
      <c r="F2350" s="138" t="s">
        <v>4</v>
      </c>
      <c r="G2350" s="101" t="s">
        <v>5</v>
      </c>
      <c r="H2350" s="273" t="s">
        <v>63</v>
      </c>
      <c r="I2350" s="274">
        <v>25.0</v>
      </c>
      <c r="J2350" s="271">
        <v>3074.0</v>
      </c>
      <c r="K2350" s="271">
        <f t="shared" si="1"/>
        <v>76850</v>
      </c>
      <c r="L2350" s="271">
        <v>31155.0</v>
      </c>
      <c r="M2350" s="271">
        <v>4525.0</v>
      </c>
      <c r="N2350" s="275">
        <v>3319.0</v>
      </c>
      <c r="O2350" s="60"/>
      <c r="P2350" s="109">
        <v>3319.0</v>
      </c>
      <c r="Q2350" s="271">
        <v>-2506.0</v>
      </c>
      <c r="R2350" s="276">
        <v>0.001926</v>
      </c>
      <c r="S2350" s="271">
        <v>-2358.0</v>
      </c>
      <c r="T2350" s="271">
        <v>961.0</v>
      </c>
      <c r="U2350" s="62">
        <v>1.0</v>
      </c>
      <c r="V2350" s="277">
        <v>0.12</v>
      </c>
      <c r="W2350" s="277">
        <v>0.0</v>
      </c>
      <c r="X2350" s="271">
        <v>845.0</v>
      </c>
      <c r="Y2350" s="271">
        <v>115.0</v>
      </c>
      <c r="Z2350" s="50" t="b">
        <v>1</v>
      </c>
      <c r="AA2350" s="50" t="s">
        <v>138</v>
      </c>
      <c r="AB2350" s="50" t="s">
        <v>138</v>
      </c>
    </row>
    <row r="2351">
      <c r="A2351" s="101" t="s">
        <v>205</v>
      </c>
      <c r="B2351" s="101" t="s">
        <v>205</v>
      </c>
      <c r="C2351" s="278">
        <v>44916.0</v>
      </c>
      <c r="D2351" s="278">
        <v>44946.0</v>
      </c>
      <c r="E2351" s="271" t="s">
        <v>268</v>
      </c>
      <c r="F2351" s="138" t="s">
        <v>4</v>
      </c>
      <c r="G2351" s="101" t="s">
        <v>5</v>
      </c>
      <c r="H2351" s="273" t="s">
        <v>74</v>
      </c>
      <c r="I2351" s="274">
        <v>50.0</v>
      </c>
      <c r="J2351" s="271">
        <v>584.0</v>
      </c>
      <c r="K2351" s="271">
        <f t="shared" si="1"/>
        <v>29200</v>
      </c>
      <c r="L2351" s="271">
        <v>15974.0</v>
      </c>
      <c r="M2351" s="271">
        <v>-1700.0</v>
      </c>
      <c r="N2351" s="275">
        <v>1261.0</v>
      </c>
      <c r="O2351" s="60"/>
      <c r="P2351" s="109">
        <v>1261.0</v>
      </c>
      <c r="Q2351" s="271">
        <v>-383.0</v>
      </c>
      <c r="R2351" s="276">
        <v>0.001926</v>
      </c>
      <c r="S2351" s="271">
        <v>-327.0</v>
      </c>
      <c r="T2351" s="271">
        <v>934.0</v>
      </c>
      <c r="U2351" s="62">
        <v>1.0</v>
      </c>
      <c r="V2351" s="277">
        <v>0.12</v>
      </c>
      <c r="W2351" s="277">
        <v>0.0</v>
      </c>
      <c r="X2351" s="271">
        <v>822.0</v>
      </c>
      <c r="Y2351" s="271">
        <v>112.0</v>
      </c>
      <c r="Z2351" s="50" t="b">
        <v>1</v>
      </c>
      <c r="AA2351" s="50" t="s">
        <v>138</v>
      </c>
      <c r="AB2351" s="50" t="s">
        <v>138</v>
      </c>
    </row>
    <row r="2352">
      <c r="A2352" s="101" t="s">
        <v>205</v>
      </c>
      <c r="B2352" s="101" t="s">
        <v>205</v>
      </c>
      <c r="C2352" s="278">
        <v>44916.0</v>
      </c>
      <c r="D2352" s="278">
        <v>44946.0</v>
      </c>
      <c r="E2352" s="271" t="s">
        <v>268</v>
      </c>
      <c r="F2352" s="138" t="s">
        <v>4</v>
      </c>
      <c r="G2352" s="101" t="s">
        <v>5</v>
      </c>
      <c r="H2352" s="273" t="s">
        <v>75</v>
      </c>
      <c r="I2352" s="274">
        <v>50.0</v>
      </c>
      <c r="J2352" s="271">
        <v>7103.0</v>
      </c>
      <c r="K2352" s="271">
        <f t="shared" si="1"/>
        <v>355150</v>
      </c>
      <c r="L2352" s="271">
        <v>88391.0</v>
      </c>
      <c r="M2352" s="271">
        <v>-16600.0</v>
      </c>
      <c r="N2352" s="275">
        <v>15336.0</v>
      </c>
      <c r="O2352" s="60"/>
      <c r="P2352" s="109">
        <v>15336.0</v>
      </c>
      <c r="Q2352" s="271">
        <v>-9001.0</v>
      </c>
      <c r="R2352" s="276">
        <v>0.001926</v>
      </c>
      <c r="S2352" s="271">
        <v>-8317.0</v>
      </c>
      <c r="T2352" s="271">
        <v>7019.0</v>
      </c>
      <c r="U2352" s="62">
        <v>1.0</v>
      </c>
      <c r="V2352" s="277">
        <v>0.12</v>
      </c>
      <c r="W2352" s="277">
        <v>0.0</v>
      </c>
      <c r="X2352" s="271">
        <v>6177.0</v>
      </c>
      <c r="Y2352" s="271">
        <v>842.0</v>
      </c>
      <c r="Z2352" s="50" t="b">
        <v>1</v>
      </c>
      <c r="AA2352" s="50" t="s">
        <v>138</v>
      </c>
      <c r="AB2352" s="50" t="s">
        <v>138</v>
      </c>
    </row>
    <row r="2353">
      <c r="A2353" s="101" t="s">
        <v>205</v>
      </c>
      <c r="B2353" s="101" t="s">
        <v>205</v>
      </c>
      <c r="C2353" s="278">
        <v>44916.0</v>
      </c>
      <c r="D2353" s="278">
        <v>44946.0</v>
      </c>
      <c r="E2353" s="271" t="s">
        <v>268</v>
      </c>
      <c r="F2353" s="138" t="s">
        <v>12</v>
      </c>
      <c r="G2353" s="101" t="s">
        <v>5</v>
      </c>
      <c r="H2353" s="273" t="s">
        <v>38</v>
      </c>
      <c r="I2353" s="274">
        <v>5.0</v>
      </c>
      <c r="J2353" s="271">
        <v>12.0</v>
      </c>
      <c r="K2353" s="271">
        <f t="shared" si="1"/>
        <v>60</v>
      </c>
      <c r="L2353" s="271"/>
      <c r="M2353" s="271">
        <v>-20.0</v>
      </c>
      <c r="N2353" s="275">
        <v>3.0</v>
      </c>
      <c r="O2353" s="60"/>
      <c r="P2353" s="50">
        <v>3.0</v>
      </c>
      <c r="Q2353" s="271"/>
      <c r="R2353" s="276">
        <v>0.0</v>
      </c>
      <c r="S2353" s="271"/>
      <c r="T2353" s="271">
        <v>-17.0</v>
      </c>
      <c r="U2353" s="62">
        <v>1.0</v>
      </c>
      <c r="V2353" s="277">
        <v>0.12</v>
      </c>
      <c r="W2353" s="277">
        <v>0.0</v>
      </c>
      <c r="X2353" s="271">
        <v>-15.0</v>
      </c>
      <c r="Y2353" s="271">
        <v>-2.0</v>
      </c>
      <c r="Z2353" s="50" t="b">
        <v>1</v>
      </c>
      <c r="AA2353" s="50" t="s">
        <v>138</v>
      </c>
      <c r="AB2353" s="50" t="s">
        <v>138</v>
      </c>
    </row>
    <row r="2354">
      <c r="A2354" s="101" t="s">
        <v>207</v>
      </c>
      <c r="B2354" s="101" t="s">
        <v>209</v>
      </c>
      <c r="C2354" s="278">
        <v>44916.0</v>
      </c>
      <c r="D2354" s="278">
        <v>44946.0</v>
      </c>
      <c r="E2354" s="271" t="s">
        <v>268</v>
      </c>
      <c r="F2354" s="138" t="s">
        <v>4</v>
      </c>
      <c r="G2354" s="101" t="s">
        <v>13</v>
      </c>
      <c r="H2354" s="273" t="s">
        <v>45</v>
      </c>
      <c r="I2354" s="274">
        <v>10.0</v>
      </c>
      <c r="J2354" s="271">
        <v>5906.0</v>
      </c>
      <c r="K2354" s="271">
        <f t="shared" si="1"/>
        <v>59060</v>
      </c>
      <c r="L2354" s="271">
        <v>116716.0</v>
      </c>
      <c r="M2354" s="271">
        <v>-1720.0</v>
      </c>
      <c r="N2354" s="275">
        <v>2660.0</v>
      </c>
      <c r="O2354" s="60"/>
      <c r="P2354" s="109">
        <v>2660.0</v>
      </c>
      <c r="Q2354" s="271">
        <v>-973.0</v>
      </c>
      <c r="R2354" s="276">
        <v>0.001926</v>
      </c>
      <c r="S2354" s="271">
        <v>-860.0</v>
      </c>
      <c r="T2354" s="271">
        <v>1800.0</v>
      </c>
      <c r="U2354" s="62">
        <v>1.0</v>
      </c>
      <c r="V2354" s="277">
        <v>0.22</v>
      </c>
      <c r="W2354" s="277">
        <v>0.0</v>
      </c>
      <c r="X2354" s="271">
        <v>1404.0</v>
      </c>
      <c r="Y2354" s="271">
        <v>396.0</v>
      </c>
      <c r="Z2354" s="50" t="b">
        <v>1</v>
      </c>
      <c r="AA2354" s="50" t="s">
        <v>138</v>
      </c>
      <c r="AB2354" s="50" t="s">
        <v>138</v>
      </c>
    </row>
    <row r="2355">
      <c r="A2355" s="101" t="s">
        <v>207</v>
      </c>
      <c r="B2355" s="101" t="s">
        <v>209</v>
      </c>
      <c r="C2355" s="278">
        <v>44916.0</v>
      </c>
      <c r="D2355" s="278">
        <v>44946.0</v>
      </c>
      <c r="E2355" s="271" t="s">
        <v>268</v>
      </c>
      <c r="F2355" s="138" t="s">
        <v>4</v>
      </c>
      <c r="G2355" s="101" t="s">
        <v>13</v>
      </c>
      <c r="H2355" s="273" t="s">
        <v>59</v>
      </c>
      <c r="I2355" s="274">
        <v>20.0</v>
      </c>
      <c r="J2355" s="271">
        <v>5.0</v>
      </c>
      <c r="K2355" s="271">
        <f t="shared" si="1"/>
        <v>100</v>
      </c>
      <c r="L2355" s="271">
        <v>691.0</v>
      </c>
      <c r="M2355" s="271">
        <v>40.0</v>
      </c>
      <c r="N2355" s="275">
        <v>7.0</v>
      </c>
      <c r="O2355" s="60"/>
      <c r="P2355" s="50">
        <v>7.0</v>
      </c>
      <c r="Q2355" s="271">
        <v>32.0</v>
      </c>
      <c r="R2355" s="276">
        <v>0.001926</v>
      </c>
      <c r="S2355" s="271">
        <v>33.0</v>
      </c>
      <c r="T2355" s="271">
        <v>40.0</v>
      </c>
      <c r="U2355" s="62">
        <v>1.0</v>
      </c>
      <c r="V2355" s="277">
        <v>0.22</v>
      </c>
      <c r="W2355" s="277">
        <v>0.0</v>
      </c>
      <c r="X2355" s="271">
        <v>31.0</v>
      </c>
      <c r="Y2355" s="271">
        <v>9.0</v>
      </c>
      <c r="Z2355" s="50" t="b">
        <v>1</v>
      </c>
      <c r="AA2355" s="50" t="s">
        <v>138</v>
      </c>
      <c r="AB2355" s="50" t="s">
        <v>138</v>
      </c>
    </row>
    <row r="2356">
      <c r="A2356" s="101" t="s">
        <v>210</v>
      </c>
      <c r="B2356" s="101" t="s">
        <v>210</v>
      </c>
      <c r="C2356" s="278">
        <v>44916.0</v>
      </c>
      <c r="D2356" s="278">
        <v>44946.0</v>
      </c>
      <c r="E2356" s="271" t="s">
        <v>268</v>
      </c>
      <c r="F2356" s="101" t="s">
        <v>4</v>
      </c>
      <c r="G2356" s="271" t="s">
        <v>5</v>
      </c>
      <c r="H2356" s="290" t="s">
        <v>35</v>
      </c>
      <c r="I2356" s="281">
        <v>5.0</v>
      </c>
      <c r="J2356" s="280">
        <v>22.0</v>
      </c>
      <c r="K2356" s="271">
        <f t="shared" si="1"/>
        <v>110</v>
      </c>
      <c r="L2356" s="280">
        <v>2006.0</v>
      </c>
      <c r="M2356" s="280">
        <v>10.0</v>
      </c>
      <c r="N2356" s="275">
        <v>7.0</v>
      </c>
      <c r="O2356" s="60"/>
      <c r="P2356" s="50">
        <v>7.0</v>
      </c>
      <c r="Q2356" s="280">
        <v>8.0</v>
      </c>
      <c r="R2356" s="276">
        <v>0.001926</v>
      </c>
      <c r="S2356" s="280">
        <v>9.0</v>
      </c>
      <c r="T2356" s="280">
        <v>16.0</v>
      </c>
      <c r="U2356" s="62">
        <v>1.0</v>
      </c>
      <c r="V2356" s="277">
        <v>0.23</v>
      </c>
      <c r="W2356" s="277">
        <v>0.0</v>
      </c>
      <c r="X2356" s="280">
        <v>12.0</v>
      </c>
      <c r="Y2356" s="280">
        <v>4.0</v>
      </c>
      <c r="Z2356" s="50" t="b">
        <v>1</v>
      </c>
      <c r="AA2356" s="50" t="s">
        <v>138</v>
      </c>
      <c r="AB2356" s="50" t="s">
        <v>138</v>
      </c>
    </row>
    <row r="2357">
      <c r="A2357" s="101" t="s">
        <v>210</v>
      </c>
      <c r="B2357" s="101" t="s">
        <v>210</v>
      </c>
      <c r="C2357" s="278">
        <v>44916.0</v>
      </c>
      <c r="D2357" s="278">
        <v>44946.0</v>
      </c>
      <c r="E2357" s="271" t="s">
        <v>268</v>
      </c>
      <c r="F2357" s="101" t="s">
        <v>4</v>
      </c>
      <c r="G2357" s="271" t="s">
        <v>5</v>
      </c>
      <c r="H2357" s="290" t="s">
        <v>45</v>
      </c>
      <c r="I2357" s="281">
        <v>10.0</v>
      </c>
      <c r="J2357" s="280">
        <v>11.0</v>
      </c>
      <c r="K2357" s="271">
        <f t="shared" si="1"/>
        <v>110</v>
      </c>
      <c r="L2357" s="280">
        <v>1210.0</v>
      </c>
      <c r="M2357" s="280">
        <v>0.0</v>
      </c>
      <c r="N2357" s="275">
        <v>6.0</v>
      </c>
      <c r="O2357" s="60"/>
      <c r="P2357" s="50">
        <v>6.0</v>
      </c>
      <c r="Q2357" s="280">
        <v>14.0</v>
      </c>
      <c r="R2357" s="276">
        <v>0.001926</v>
      </c>
      <c r="S2357" s="280">
        <v>14.0</v>
      </c>
      <c r="T2357" s="280">
        <v>20.0</v>
      </c>
      <c r="U2357" s="62">
        <v>1.0</v>
      </c>
      <c r="V2357" s="277">
        <v>0.23</v>
      </c>
      <c r="W2357" s="277">
        <v>0.0</v>
      </c>
      <c r="X2357" s="280">
        <v>16.0</v>
      </c>
      <c r="Y2357" s="280">
        <v>5.0</v>
      </c>
      <c r="Z2357" s="50" t="b">
        <v>1</v>
      </c>
      <c r="AA2357" s="50" t="s">
        <v>138</v>
      </c>
      <c r="AB2357" s="50" t="s">
        <v>138</v>
      </c>
    </row>
    <row r="2358">
      <c r="A2358" s="101" t="s">
        <v>210</v>
      </c>
      <c r="B2358" s="101" t="s">
        <v>210</v>
      </c>
      <c r="C2358" s="278">
        <v>44916.0</v>
      </c>
      <c r="D2358" s="278">
        <v>44946.0</v>
      </c>
      <c r="E2358" s="271" t="s">
        <v>268</v>
      </c>
      <c r="F2358" s="101" t="s">
        <v>4</v>
      </c>
      <c r="G2358" s="271" t="s">
        <v>5</v>
      </c>
      <c r="H2358" s="290" t="s">
        <v>62</v>
      </c>
      <c r="I2358" s="281">
        <v>25.0</v>
      </c>
      <c r="J2358" s="280">
        <v>2151.0</v>
      </c>
      <c r="K2358" s="271">
        <f t="shared" si="1"/>
        <v>53775</v>
      </c>
      <c r="L2358" s="280">
        <v>37625.0</v>
      </c>
      <c r="M2358" s="280">
        <v>1200.0</v>
      </c>
      <c r="N2358" s="275">
        <v>2582.0</v>
      </c>
      <c r="O2358" s="60"/>
      <c r="P2358" s="109">
        <v>2582.0</v>
      </c>
      <c r="Q2358" s="280">
        <v>-1697.0</v>
      </c>
      <c r="R2358" s="276">
        <v>0.001926</v>
      </c>
      <c r="S2358" s="280">
        <v>-1594.0</v>
      </c>
      <c r="T2358" s="280">
        <v>988.0</v>
      </c>
      <c r="U2358" s="62">
        <v>1.0</v>
      </c>
      <c r="V2358" s="277">
        <v>0.23</v>
      </c>
      <c r="W2358" s="277">
        <v>0.0</v>
      </c>
      <c r="X2358" s="280">
        <v>761.0</v>
      </c>
      <c r="Y2358" s="280">
        <v>227.0</v>
      </c>
      <c r="Z2358" s="50" t="b">
        <v>1</v>
      </c>
      <c r="AA2358" s="50" t="s">
        <v>138</v>
      </c>
      <c r="AB2358" s="50" t="s">
        <v>138</v>
      </c>
    </row>
    <row r="2359">
      <c r="A2359" s="101" t="s">
        <v>210</v>
      </c>
      <c r="B2359" s="101" t="s">
        <v>210</v>
      </c>
      <c r="C2359" s="278">
        <v>44916.0</v>
      </c>
      <c r="D2359" s="278">
        <v>44946.0</v>
      </c>
      <c r="E2359" s="271" t="s">
        <v>268</v>
      </c>
      <c r="F2359" s="101" t="s">
        <v>4</v>
      </c>
      <c r="G2359" s="271" t="s">
        <v>5</v>
      </c>
      <c r="H2359" s="290" t="s">
        <v>74</v>
      </c>
      <c r="I2359" s="281">
        <v>50.0</v>
      </c>
      <c r="J2359" s="280">
        <v>306.0</v>
      </c>
      <c r="K2359" s="271">
        <f t="shared" si="1"/>
        <v>15300</v>
      </c>
      <c r="L2359" s="280">
        <v>10779.0</v>
      </c>
      <c r="M2359" s="280">
        <v>-800.0</v>
      </c>
      <c r="N2359" s="275">
        <v>735.0</v>
      </c>
      <c r="O2359" s="60"/>
      <c r="P2359" s="50">
        <v>735.0</v>
      </c>
      <c r="Q2359" s="280">
        <v>20.0</v>
      </c>
      <c r="R2359" s="276">
        <v>0.001926</v>
      </c>
      <c r="S2359" s="280">
        <v>50.0</v>
      </c>
      <c r="T2359" s="280">
        <v>785.0</v>
      </c>
      <c r="U2359" s="62">
        <v>1.0</v>
      </c>
      <c r="V2359" s="277">
        <v>0.23</v>
      </c>
      <c r="W2359" s="277">
        <v>0.0</v>
      </c>
      <c r="X2359" s="280">
        <v>604.0</v>
      </c>
      <c r="Y2359" s="280">
        <v>180.0</v>
      </c>
      <c r="Z2359" s="50" t="b">
        <v>1</v>
      </c>
      <c r="AA2359" s="50" t="s">
        <v>138</v>
      </c>
      <c r="AB2359" s="50" t="s">
        <v>138</v>
      </c>
    </row>
    <row r="2360">
      <c r="A2360" s="101" t="s">
        <v>169</v>
      </c>
      <c r="B2360" s="101" t="s">
        <v>169</v>
      </c>
      <c r="C2360" s="278">
        <v>44916.0</v>
      </c>
      <c r="D2360" s="278">
        <v>44946.0</v>
      </c>
      <c r="E2360" s="271" t="s">
        <v>268</v>
      </c>
      <c r="F2360" s="101" t="s">
        <v>4</v>
      </c>
      <c r="G2360" s="271" t="s">
        <v>5</v>
      </c>
      <c r="H2360" s="273" t="s">
        <v>38</v>
      </c>
      <c r="I2360" s="274">
        <v>5.0</v>
      </c>
      <c r="J2360" s="271">
        <v>4.0</v>
      </c>
      <c r="K2360" s="271">
        <f t="shared" si="1"/>
        <v>20</v>
      </c>
      <c r="L2360" s="271">
        <v>-100.0</v>
      </c>
      <c r="M2360" s="271">
        <v>-10.0</v>
      </c>
      <c r="N2360" s="275">
        <v>1.0</v>
      </c>
      <c r="O2360" s="60"/>
      <c r="P2360" s="50">
        <v>1.0</v>
      </c>
      <c r="Q2360" s="271">
        <v>-3.0</v>
      </c>
      <c r="R2360" s="276">
        <v>0.001926</v>
      </c>
      <c r="S2360" s="271">
        <v>-3.0</v>
      </c>
      <c r="T2360" s="271">
        <v>-2.0</v>
      </c>
      <c r="U2360" s="62">
        <v>1.0</v>
      </c>
      <c r="V2360" s="277">
        <v>0.23</v>
      </c>
      <c r="W2360" s="277">
        <v>0.0</v>
      </c>
      <c r="X2360" s="271">
        <v>-2.0</v>
      </c>
      <c r="Y2360" s="271">
        <v>-1.0</v>
      </c>
      <c r="Z2360" s="50" t="b">
        <v>0</v>
      </c>
      <c r="AA2360" s="50" t="s">
        <v>138</v>
      </c>
      <c r="AB2360" s="50" t="s">
        <v>138</v>
      </c>
    </row>
    <row r="2361">
      <c r="A2361" s="101" t="s">
        <v>169</v>
      </c>
      <c r="B2361" s="101" t="s">
        <v>169</v>
      </c>
      <c r="C2361" s="278">
        <v>44916.0</v>
      </c>
      <c r="D2361" s="278">
        <v>44946.0</v>
      </c>
      <c r="E2361" s="271" t="s">
        <v>268</v>
      </c>
      <c r="F2361" s="101" t="s">
        <v>4</v>
      </c>
      <c r="G2361" s="271" t="s">
        <v>5</v>
      </c>
      <c r="H2361" s="273" t="s">
        <v>48</v>
      </c>
      <c r="I2361" s="274">
        <v>10.0</v>
      </c>
      <c r="J2361" s="271">
        <v>18713.0</v>
      </c>
      <c r="K2361" s="271">
        <f t="shared" si="1"/>
        <v>187130</v>
      </c>
      <c r="L2361" s="271">
        <v>236421.0</v>
      </c>
      <c r="M2361" s="271">
        <v>-10120.0</v>
      </c>
      <c r="N2361" s="275">
        <v>9547.0</v>
      </c>
      <c r="O2361" s="60"/>
      <c r="P2361" s="109">
        <v>9547.0</v>
      </c>
      <c r="Q2361" s="271">
        <v>-6620.0</v>
      </c>
      <c r="R2361" s="276">
        <v>0.001926</v>
      </c>
      <c r="S2361" s="271">
        <v>-6259.0</v>
      </c>
      <c r="T2361" s="271">
        <v>3288.0</v>
      </c>
      <c r="U2361" s="62">
        <v>1.0</v>
      </c>
      <c r="V2361" s="277">
        <v>0.23</v>
      </c>
      <c r="W2361" s="277">
        <v>0.0</v>
      </c>
      <c r="X2361" s="271">
        <v>2531.0</v>
      </c>
      <c r="Y2361" s="271">
        <v>756.0</v>
      </c>
      <c r="Z2361" s="50" t="b">
        <v>0</v>
      </c>
      <c r="AA2361" s="50" t="s">
        <v>138</v>
      </c>
      <c r="AB2361" s="50" t="s">
        <v>138</v>
      </c>
    </row>
    <row r="2362">
      <c r="A2362" s="101" t="s">
        <v>169</v>
      </c>
      <c r="B2362" s="101" t="s">
        <v>169</v>
      </c>
      <c r="C2362" s="278">
        <v>44916.0</v>
      </c>
      <c r="D2362" s="278">
        <v>44946.0</v>
      </c>
      <c r="E2362" s="271" t="s">
        <v>268</v>
      </c>
      <c r="F2362" s="101" t="s">
        <v>4</v>
      </c>
      <c r="G2362" s="271" t="s">
        <v>5</v>
      </c>
      <c r="H2362" s="273" t="s">
        <v>63</v>
      </c>
      <c r="I2362" s="274">
        <v>25.0</v>
      </c>
      <c r="J2362" s="271">
        <v>5133.0</v>
      </c>
      <c r="K2362" s="271">
        <f t="shared" si="1"/>
        <v>128325</v>
      </c>
      <c r="L2362" s="271">
        <v>42177.0</v>
      </c>
      <c r="M2362" s="271">
        <v>-7125.0</v>
      </c>
      <c r="N2362" s="275">
        <v>5612.0</v>
      </c>
      <c r="O2362" s="60"/>
      <c r="P2362" s="109">
        <v>5612.0</v>
      </c>
      <c r="Q2362" s="271">
        <v>-4954.0</v>
      </c>
      <c r="R2362" s="276">
        <v>0.001926</v>
      </c>
      <c r="S2362" s="271">
        <v>-4707.0</v>
      </c>
      <c r="T2362" s="271">
        <v>905.0</v>
      </c>
      <c r="U2362" s="62">
        <v>1.0</v>
      </c>
      <c r="V2362" s="277">
        <v>0.23</v>
      </c>
      <c r="W2362" s="277">
        <v>0.0</v>
      </c>
      <c r="X2362" s="271">
        <v>697.0</v>
      </c>
      <c r="Y2362" s="271">
        <v>208.0</v>
      </c>
      <c r="Z2362" s="50" t="b">
        <v>0</v>
      </c>
      <c r="AA2362" s="50" t="s">
        <v>138</v>
      </c>
      <c r="AB2362" s="50" t="s">
        <v>138</v>
      </c>
    </row>
    <row r="2363">
      <c r="A2363" s="101" t="s">
        <v>169</v>
      </c>
      <c r="B2363" s="101" t="s">
        <v>169</v>
      </c>
      <c r="C2363" s="278">
        <v>44916.0</v>
      </c>
      <c r="D2363" s="278">
        <v>44946.0</v>
      </c>
      <c r="E2363" s="271" t="s">
        <v>268</v>
      </c>
      <c r="F2363" s="101" t="s">
        <v>12</v>
      </c>
      <c r="G2363" s="271" t="s">
        <v>5</v>
      </c>
      <c r="H2363" s="273" t="s">
        <v>23</v>
      </c>
      <c r="I2363" s="274">
        <v>1.0</v>
      </c>
      <c r="J2363" s="271">
        <v>36.0</v>
      </c>
      <c r="K2363" s="271">
        <f t="shared" si="1"/>
        <v>36</v>
      </c>
      <c r="L2363" s="271"/>
      <c r="M2363" s="271">
        <v>1.0</v>
      </c>
      <c r="N2363" s="275">
        <v>2.0</v>
      </c>
      <c r="O2363" s="60"/>
      <c r="P2363" s="50">
        <v>2.0</v>
      </c>
      <c r="Q2363" s="271"/>
      <c r="R2363" s="276">
        <v>0.0</v>
      </c>
      <c r="S2363" s="271"/>
      <c r="T2363" s="271">
        <v>3.0</v>
      </c>
      <c r="U2363" s="62">
        <v>1.0</v>
      </c>
      <c r="V2363" s="277">
        <v>0.23</v>
      </c>
      <c r="W2363" s="277">
        <v>0.0</v>
      </c>
      <c r="X2363" s="271">
        <v>2.0</v>
      </c>
      <c r="Y2363" s="271">
        <v>1.0</v>
      </c>
      <c r="Z2363" s="50" t="b">
        <v>0</v>
      </c>
      <c r="AA2363" s="50" t="s">
        <v>138</v>
      </c>
      <c r="AB2363" s="50" t="s">
        <v>138</v>
      </c>
    </row>
    <row r="2364">
      <c r="A2364" s="271" t="s">
        <v>161</v>
      </c>
      <c r="B2364" s="271" t="s">
        <v>161</v>
      </c>
      <c r="C2364" s="278">
        <v>44916.0</v>
      </c>
      <c r="D2364" s="278">
        <v>44946.0</v>
      </c>
      <c r="E2364" s="271" t="s">
        <v>268</v>
      </c>
      <c r="F2364" s="101" t="s">
        <v>4</v>
      </c>
      <c r="G2364" s="271" t="s">
        <v>5</v>
      </c>
      <c r="H2364" s="273" t="s">
        <v>38</v>
      </c>
      <c r="I2364" s="274">
        <v>5.0</v>
      </c>
      <c r="J2364" s="271">
        <v>286.0</v>
      </c>
      <c r="K2364" s="271">
        <f t="shared" si="1"/>
        <v>1430</v>
      </c>
      <c r="L2364" s="271">
        <v>2611.0</v>
      </c>
      <c r="M2364" s="271">
        <v>0.0</v>
      </c>
      <c r="N2364" s="275">
        <v>19.0</v>
      </c>
      <c r="O2364" s="60"/>
      <c r="P2364" s="50">
        <v>19.0</v>
      </c>
      <c r="Q2364" s="271">
        <v>-93.0</v>
      </c>
      <c r="R2364" s="276">
        <v>0.001926</v>
      </c>
      <c r="S2364" s="271">
        <v>-90.0</v>
      </c>
      <c r="T2364" s="271">
        <v>-71.0</v>
      </c>
      <c r="U2364" s="62">
        <v>1.0</v>
      </c>
      <c r="V2364" s="277">
        <v>0.3</v>
      </c>
      <c r="W2364" s="277">
        <v>0.0</v>
      </c>
      <c r="X2364" s="271">
        <v>-50.0</v>
      </c>
      <c r="Y2364" s="271">
        <v>-21.0</v>
      </c>
      <c r="Z2364" s="50" t="b">
        <v>0</v>
      </c>
      <c r="AA2364" s="50" t="s">
        <v>138</v>
      </c>
      <c r="AB2364" s="50" t="s">
        <v>138</v>
      </c>
    </row>
    <row r="2365">
      <c r="A2365" s="271" t="s">
        <v>161</v>
      </c>
      <c r="B2365" s="271" t="s">
        <v>161</v>
      </c>
      <c r="C2365" s="278">
        <v>44916.0</v>
      </c>
      <c r="D2365" s="278">
        <v>44946.0</v>
      </c>
      <c r="E2365" s="271" t="s">
        <v>268</v>
      </c>
      <c r="F2365" s="101" t="s">
        <v>4</v>
      </c>
      <c r="G2365" s="271" t="s">
        <v>5</v>
      </c>
      <c r="H2365" s="273" t="s">
        <v>45</v>
      </c>
      <c r="I2365" s="274">
        <v>10.0</v>
      </c>
      <c r="J2365" s="271">
        <v>654.0</v>
      </c>
      <c r="K2365" s="271">
        <f t="shared" si="1"/>
        <v>6540</v>
      </c>
      <c r="L2365" s="271">
        <v>16753.0</v>
      </c>
      <c r="M2365" s="271">
        <v>310.0</v>
      </c>
      <c r="N2365" s="275">
        <v>76.0</v>
      </c>
      <c r="O2365" s="60"/>
      <c r="P2365" s="50">
        <v>76.0</v>
      </c>
      <c r="Q2365" s="271">
        <v>-186.0</v>
      </c>
      <c r="R2365" s="276">
        <v>0.001926</v>
      </c>
      <c r="S2365" s="271">
        <v>-173.0</v>
      </c>
      <c r="T2365" s="271">
        <v>-97.0</v>
      </c>
      <c r="U2365" s="62">
        <v>1.0</v>
      </c>
      <c r="V2365" s="277">
        <v>0.3</v>
      </c>
      <c r="W2365" s="277">
        <v>0.0</v>
      </c>
      <c r="X2365" s="271">
        <v>-68.0</v>
      </c>
      <c r="Y2365" s="271">
        <v>-29.0</v>
      </c>
      <c r="Z2365" s="50" t="b">
        <v>0</v>
      </c>
      <c r="AA2365" s="50" t="s">
        <v>138</v>
      </c>
      <c r="AB2365" s="50" t="s">
        <v>138</v>
      </c>
    </row>
    <row r="2366">
      <c r="A2366" s="271" t="s">
        <v>161</v>
      </c>
      <c r="B2366" s="271" t="s">
        <v>161</v>
      </c>
      <c r="C2366" s="278">
        <v>44916.0</v>
      </c>
      <c r="D2366" s="278">
        <v>44946.0</v>
      </c>
      <c r="E2366" s="271" t="s">
        <v>268</v>
      </c>
      <c r="F2366" s="101" t="s">
        <v>4</v>
      </c>
      <c r="G2366" s="271" t="s">
        <v>5</v>
      </c>
      <c r="H2366" s="273" t="s">
        <v>48</v>
      </c>
      <c r="I2366" s="274">
        <v>10.0</v>
      </c>
      <c r="J2366" s="271">
        <v>1118.0</v>
      </c>
      <c r="K2366" s="271">
        <f t="shared" si="1"/>
        <v>11180</v>
      </c>
      <c r="L2366" s="271">
        <v>15227.0</v>
      </c>
      <c r="M2366" s="271">
        <v>-1120.0</v>
      </c>
      <c r="N2366" s="275">
        <v>130.0</v>
      </c>
      <c r="O2366" s="60"/>
      <c r="P2366" s="50">
        <v>130.0</v>
      </c>
      <c r="Q2366" s="271">
        <v>-371.0</v>
      </c>
      <c r="R2366" s="276">
        <v>0.001926</v>
      </c>
      <c r="S2366" s="271">
        <v>-349.0</v>
      </c>
      <c r="T2366" s="271">
        <v>-219.0</v>
      </c>
      <c r="U2366" s="62">
        <v>1.0</v>
      </c>
      <c r="V2366" s="277">
        <v>0.3</v>
      </c>
      <c r="W2366" s="277">
        <v>0.0</v>
      </c>
      <c r="X2366" s="271">
        <v>-153.0</v>
      </c>
      <c r="Y2366" s="271">
        <v>-66.0</v>
      </c>
      <c r="Z2366" s="50" t="b">
        <v>0</v>
      </c>
      <c r="AA2366" s="50" t="s">
        <v>138</v>
      </c>
      <c r="AB2366" s="50" t="s">
        <v>138</v>
      </c>
    </row>
    <row r="2367">
      <c r="A2367" s="271" t="s">
        <v>161</v>
      </c>
      <c r="B2367" s="271" t="s">
        <v>161</v>
      </c>
      <c r="C2367" s="278">
        <v>44916.0</v>
      </c>
      <c r="D2367" s="278">
        <v>44946.0</v>
      </c>
      <c r="E2367" s="271" t="s">
        <v>268</v>
      </c>
      <c r="F2367" s="101" t="s">
        <v>12</v>
      </c>
      <c r="G2367" s="271" t="s">
        <v>5</v>
      </c>
      <c r="H2367" s="273" t="s">
        <v>6</v>
      </c>
      <c r="I2367" s="274">
        <v>0.25</v>
      </c>
      <c r="J2367" s="271">
        <v>2.0</v>
      </c>
      <c r="K2367" s="271">
        <f t="shared" si="1"/>
        <v>0.5</v>
      </c>
      <c r="L2367" s="271"/>
      <c r="M2367" s="271">
        <v>1.0</v>
      </c>
      <c r="N2367" s="275"/>
      <c r="O2367" s="60"/>
      <c r="P2367" s="101"/>
      <c r="Q2367" s="271"/>
      <c r="R2367" s="276">
        <v>0.0</v>
      </c>
      <c r="S2367" s="271"/>
      <c r="T2367" s="271">
        <v>1.0</v>
      </c>
      <c r="U2367" s="62">
        <v>1.0</v>
      </c>
      <c r="V2367" s="277">
        <v>0.3</v>
      </c>
      <c r="W2367" s="277">
        <v>0.0</v>
      </c>
      <c r="X2367" s="271">
        <v>1.0</v>
      </c>
      <c r="Y2367" s="271">
        <v>0.0</v>
      </c>
      <c r="Z2367" s="50" t="b">
        <v>0</v>
      </c>
      <c r="AA2367" s="50" t="s">
        <v>138</v>
      </c>
      <c r="AB2367" s="50" t="s">
        <v>138</v>
      </c>
    </row>
    <row r="2368">
      <c r="A2368" s="101" t="s">
        <v>216</v>
      </c>
      <c r="B2368" s="101" t="s">
        <v>216</v>
      </c>
      <c r="C2368" s="278">
        <v>44916.0</v>
      </c>
      <c r="D2368" s="278">
        <v>44946.0</v>
      </c>
      <c r="E2368" s="271" t="s">
        <v>268</v>
      </c>
      <c r="F2368" s="138" t="s">
        <v>4</v>
      </c>
      <c r="G2368" s="101" t="s">
        <v>5</v>
      </c>
      <c r="H2368" s="273" t="s">
        <v>85</v>
      </c>
      <c r="I2368" s="274">
        <v>100.0</v>
      </c>
      <c r="J2368" s="271">
        <v>1844.0</v>
      </c>
      <c r="K2368" s="271">
        <f t="shared" si="1"/>
        <v>184400</v>
      </c>
      <c r="L2368" s="271">
        <v>50315.0</v>
      </c>
      <c r="M2368" s="271">
        <v>9500.0</v>
      </c>
      <c r="N2368" s="275">
        <v>7330.5</v>
      </c>
      <c r="O2368" s="60"/>
      <c r="P2368" s="109">
        <v>7331.0</v>
      </c>
      <c r="Q2368" s="271">
        <v>-527.0</v>
      </c>
      <c r="R2368" s="276">
        <v>0.001926</v>
      </c>
      <c r="S2368" s="271">
        <v>-172.0</v>
      </c>
      <c r="T2368" s="271">
        <v>7159.0</v>
      </c>
      <c r="U2368" s="62">
        <v>1.0</v>
      </c>
      <c r="V2368" s="277">
        <v>0.1</v>
      </c>
      <c r="W2368" s="277">
        <v>0.0</v>
      </c>
      <c r="X2368" s="271">
        <v>6443.0</v>
      </c>
      <c r="Y2368" s="271">
        <v>716.0</v>
      </c>
      <c r="Z2368" s="50" t="b">
        <v>1</v>
      </c>
      <c r="AA2368" s="50" t="s">
        <v>138</v>
      </c>
      <c r="AB2368" s="50" t="s">
        <v>138</v>
      </c>
    </row>
    <row r="2369">
      <c r="A2369" s="101" t="s">
        <v>216</v>
      </c>
      <c r="B2369" s="101" t="s">
        <v>216</v>
      </c>
      <c r="C2369" s="278">
        <v>44916.0</v>
      </c>
      <c r="D2369" s="278">
        <v>44946.0</v>
      </c>
      <c r="E2369" s="271" t="s">
        <v>268</v>
      </c>
      <c r="F2369" s="138" t="s">
        <v>4</v>
      </c>
      <c r="G2369" s="101" t="s">
        <v>5</v>
      </c>
      <c r="H2369" s="273" t="s">
        <v>86</v>
      </c>
      <c r="I2369" s="274">
        <v>100.0</v>
      </c>
      <c r="J2369" s="271">
        <v>101.0</v>
      </c>
      <c r="K2369" s="271">
        <f t="shared" si="1"/>
        <v>10100</v>
      </c>
      <c r="L2369" s="271">
        <v>-188.0</v>
      </c>
      <c r="M2369" s="271">
        <v>-1800.0</v>
      </c>
      <c r="N2369" s="275">
        <v>401.51</v>
      </c>
      <c r="O2369" s="60"/>
      <c r="P2369" s="50">
        <v>402.0</v>
      </c>
      <c r="Q2369" s="271">
        <v>-604.0</v>
      </c>
      <c r="R2369" s="276">
        <v>0.001926</v>
      </c>
      <c r="S2369" s="271">
        <v>-585.0</v>
      </c>
      <c r="T2369" s="271">
        <v>-183.0</v>
      </c>
      <c r="U2369" s="62">
        <v>1.0</v>
      </c>
      <c r="V2369" s="277">
        <v>0.1</v>
      </c>
      <c r="W2369" s="277">
        <v>0.0</v>
      </c>
      <c r="X2369" s="271">
        <v>-165.0</v>
      </c>
      <c r="Y2369" s="271">
        <v>-18.0</v>
      </c>
      <c r="Z2369" s="50" t="b">
        <v>1</v>
      </c>
      <c r="AA2369" s="50" t="s">
        <v>138</v>
      </c>
      <c r="AB2369" s="50" t="s">
        <v>138</v>
      </c>
    </row>
    <row r="2370">
      <c r="A2370" s="101" t="s">
        <v>216</v>
      </c>
      <c r="B2370" s="101" t="s">
        <v>216</v>
      </c>
      <c r="C2370" s="278">
        <v>44916.0</v>
      </c>
      <c r="D2370" s="278">
        <v>44946.0</v>
      </c>
      <c r="E2370" s="271" t="s">
        <v>268</v>
      </c>
      <c r="F2370" s="138" t="s">
        <v>4</v>
      </c>
      <c r="G2370" s="101" t="s">
        <v>5</v>
      </c>
      <c r="H2370" s="273" t="s">
        <v>96</v>
      </c>
      <c r="I2370" s="274">
        <v>250.0</v>
      </c>
      <c r="J2370" s="271">
        <v>584.0</v>
      </c>
      <c r="K2370" s="271">
        <f t="shared" si="1"/>
        <v>146000</v>
      </c>
      <c r="L2370" s="271">
        <v>22707.0</v>
      </c>
      <c r="M2370" s="271">
        <v>21000.0</v>
      </c>
      <c r="N2370" s="275">
        <v>5803.98</v>
      </c>
      <c r="O2370" s="60"/>
      <c r="P2370" s="109">
        <v>5804.0</v>
      </c>
      <c r="Q2370" s="271">
        <v>3134.0</v>
      </c>
      <c r="R2370" s="276">
        <v>0.001926</v>
      </c>
      <c r="S2370" s="271">
        <v>3415.0</v>
      </c>
      <c r="T2370" s="271">
        <v>9219.0</v>
      </c>
      <c r="U2370" s="62">
        <v>1.0</v>
      </c>
      <c r="V2370" s="277">
        <v>0.1</v>
      </c>
      <c r="W2370" s="277">
        <v>0.0</v>
      </c>
      <c r="X2370" s="271">
        <v>8297.0</v>
      </c>
      <c r="Y2370" s="271">
        <v>922.0</v>
      </c>
      <c r="Z2370" s="50" t="b">
        <v>1</v>
      </c>
      <c r="AA2370" s="50" t="s">
        <v>138</v>
      </c>
      <c r="AB2370" s="50" t="s">
        <v>138</v>
      </c>
    </row>
    <row r="2371">
      <c r="A2371" s="101" t="s">
        <v>216</v>
      </c>
      <c r="B2371" s="101" t="s">
        <v>216</v>
      </c>
      <c r="C2371" s="278">
        <v>44916.0</v>
      </c>
      <c r="D2371" s="278">
        <v>44946.0</v>
      </c>
      <c r="E2371" s="271" t="s">
        <v>268</v>
      </c>
      <c r="F2371" s="138" t="s">
        <v>4</v>
      </c>
      <c r="G2371" s="101" t="s">
        <v>5</v>
      </c>
      <c r="H2371" s="273" t="s">
        <v>97</v>
      </c>
      <c r="I2371" s="274">
        <v>250.0</v>
      </c>
      <c r="J2371" s="271">
        <v>97.0</v>
      </c>
      <c r="K2371" s="271">
        <f t="shared" si="1"/>
        <v>24250</v>
      </c>
      <c r="L2371" s="271">
        <v>815.0</v>
      </c>
      <c r="M2371" s="271">
        <v>-4250.0</v>
      </c>
      <c r="N2371" s="275">
        <v>964.02</v>
      </c>
      <c r="O2371" s="60"/>
      <c r="P2371" s="50">
        <v>964.0</v>
      </c>
      <c r="Q2371" s="271">
        <v>-613.0</v>
      </c>
      <c r="R2371" s="276">
        <v>0.001926</v>
      </c>
      <c r="S2371" s="271">
        <v>-566.0</v>
      </c>
      <c r="T2371" s="271">
        <v>398.0</v>
      </c>
      <c r="U2371" s="62">
        <v>1.0</v>
      </c>
      <c r="V2371" s="277">
        <v>0.1</v>
      </c>
      <c r="W2371" s="277">
        <v>0.0</v>
      </c>
      <c r="X2371" s="271">
        <v>358.0</v>
      </c>
      <c r="Y2371" s="271">
        <v>40.0</v>
      </c>
      <c r="Z2371" s="50" t="b">
        <v>1</v>
      </c>
      <c r="AA2371" s="50" t="s">
        <v>138</v>
      </c>
      <c r="AB2371" s="50" t="s">
        <v>138</v>
      </c>
    </row>
    <row r="2372">
      <c r="A2372" s="280" t="s">
        <v>144</v>
      </c>
      <c r="B2372" s="280" t="s">
        <v>146</v>
      </c>
      <c r="C2372" s="283">
        <v>44927.0</v>
      </c>
      <c r="D2372" s="283">
        <v>44957.0</v>
      </c>
      <c r="E2372" s="280" t="s">
        <v>268</v>
      </c>
      <c r="F2372" s="138" t="s">
        <v>12</v>
      </c>
      <c r="G2372" s="280" t="s">
        <v>142</v>
      </c>
      <c r="H2372" s="290" t="s">
        <v>50</v>
      </c>
      <c r="I2372" s="281">
        <v>10.0</v>
      </c>
      <c r="J2372" s="280">
        <v>495.0</v>
      </c>
      <c r="K2372" s="271">
        <f t="shared" si="1"/>
        <v>4950</v>
      </c>
      <c r="L2372" s="280">
        <v>20295.0</v>
      </c>
      <c r="M2372" s="280">
        <v>-172.0</v>
      </c>
      <c r="N2372" s="282"/>
      <c r="O2372" s="60">
        <v>0.5</v>
      </c>
      <c r="P2372" s="50">
        <v>173.0</v>
      </c>
      <c r="Q2372" s="280">
        <v>-5.0</v>
      </c>
      <c r="R2372" s="276">
        <v>0.0</v>
      </c>
      <c r="S2372" s="280">
        <v>-5.0</v>
      </c>
      <c r="T2372" s="280">
        <v>1.0</v>
      </c>
      <c r="U2372" s="62">
        <v>1.075</v>
      </c>
      <c r="V2372" s="291"/>
      <c r="W2372" s="277">
        <v>0.0</v>
      </c>
      <c r="X2372" s="280">
        <v>1.0</v>
      </c>
      <c r="Y2372" s="280">
        <v>0.0</v>
      </c>
      <c r="Z2372" s="50" t="b">
        <v>0</v>
      </c>
      <c r="AA2372" s="50" t="s">
        <v>138</v>
      </c>
      <c r="AB2372" s="50" t="s">
        <v>140</v>
      </c>
    </row>
    <row r="2373">
      <c r="A2373" s="101" t="s">
        <v>177</v>
      </c>
      <c r="B2373" s="101" t="s">
        <v>177</v>
      </c>
      <c r="C2373" s="278">
        <v>44916.0</v>
      </c>
      <c r="D2373" s="278">
        <v>44957.0</v>
      </c>
      <c r="E2373" s="271" t="s">
        <v>331</v>
      </c>
      <c r="F2373" s="138" t="s">
        <v>8</v>
      </c>
      <c r="G2373" s="280" t="s">
        <v>5</v>
      </c>
      <c r="H2373" s="273" t="s">
        <v>75</v>
      </c>
      <c r="I2373" s="274">
        <v>50.0</v>
      </c>
      <c r="J2373" s="271">
        <v>803.0</v>
      </c>
      <c r="K2373" s="271">
        <f t="shared" si="1"/>
        <v>40150</v>
      </c>
      <c r="L2373" s="271">
        <v>9926.0</v>
      </c>
      <c r="M2373" s="271">
        <v>850.0</v>
      </c>
      <c r="N2373" s="275">
        <v>2329.09</v>
      </c>
      <c r="O2373" s="60"/>
      <c r="P2373" s="109">
        <v>2329.0</v>
      </c>
      <c r="Q2373" s="271">
        <v>-1036.0</v>
      </c>
      <c r="R2373" s="276">
        <v>0.001788</v>
      </c>
      <c r="S2373" s="271">
        <v>-964.0</v>
      </c>
      <c r="T2373" s="271">
        <v>1365.0</v>
      </c>
      <c r="U2373" s="62">
        <v>1.0</v>
      </c>
      <c r="V2373" s="277">
        <v>0.175</v>
      </c>
      <c r="W2373" s="277">
        <v>0.075</v>
      </c>
      <c r="X2373" s="271">
        <v>1024.0</v>
      </c>
      <c r="Y2373" s="271">
        <v>341.0</v>
      </c>
      <c r="Z2373" s="50" t="b">
        <v>0</v>
      </c>
      <c r="AA2373" s="50" t="s">
        <v>138</v>
      </c>
      <c r="AB2373" s="50" t="s">
        <v>138</v>
      </c>
    </row>
    <row r="2374">
      <c r="A2374" s="101" t="s">
        <v>177</v>
      </c>
      <c r="B2374" s="101" t="s">
        <v>177</v>
      </c>
      <c r="C2374" s="278">
        <v>44916.0</v>
      </c>
      <c r="D2374" s="278">
        <v>44957.0</v>
      </c>
      <c r="E2374" s="271" t="s">
        <v>331</v>
      </c>
      <c r="F2374" s="138" t="s">
        <v>8</v>
      </c>
      <c r="G2374" s="280" t="s">
        <v>5</v>
      </c>
      <c r="H2374" s="273" t="s">
        <v>85</v>
      </c>
      <c r="I2374" s="274">
        <v>100.0</v>
      </c>
      <c r="J2374" s="271">
        <v>7.0</v>
      </c>
      <c r="K2374" s="271">
        <f t="shared" si="1"/>
        <v>700</v>
      </c>
      <c r="L2374" s="271">
        <v>-1229.0</v>
      </c>
      <c r="M2374" s="271">
        <v>0.0</v>
      </c>
      <c r="N2374" s="275">
        <v>33.84</v>
      </c>
      <c r="O2374" s="60"/>
      <c r="P2374" s="50">
        <v>34.0</v>
      </c>
      <c r="Q2374" s="271">
        <v>-268.0</v>
      </c>
      <c r="R2374" s="276">
        <v>0.001645</v>
      </c>
      <c r="S2374" s="271">
        <v>-267.0</v>
      </c>
      <c r="T2374" s="271">
        <v>-233.0</v>
      </c>
      <c r="U2374" s="62">
        <v>1.0</v>
      </c>
      <c r="V2374" s="277">
        <v>0.175</v>
      </c>
      <c r="W2374" s="277">
        <v>0.075</v>
      </c>
      <c r="X2374" s="271">
        <v>-175.0</v>
      </c>
      <c r="Y2374" s="271">
        <v>-58.0</v>
      </c>
      <c r="Z2374" s="50" t="b">
        <v>0</v>
      </c>
      <c r="AA2374" s="50" t="s">
        <v>138</v>
      </c>
      <c r="AB2374" s="50" t="s">
        <v>138</v>
      </c>
    </row>
    <row r="2375">
      <c r="A2375" s="101" t="s">
        <v>177</v>
      </c>
      <c r="B2375" s="101" t="s">
        <v>177</v>
      </c>
      <c r="C2375" s="278">
        <v>44916.0</v>
      </c>
      <c r="D2375" s="278">
        <v>44957.0</v>
      </c>
      <c r="E2375" s="271" t="s">
        <v>331</v>
      </c>
      <c r="F2375" s="138" t="s">
        <v>8</v>
      </c>
      <c r="G2375" s="280" t="s">
        <v>5</v>
      </c>
      <c r="H2375" s="273" t="s">
        <v>86</v>
      </c>
      <c r="I2375" s="274">
        <v>100.0</v>
      </c>
      <c r="J2375" s="271">
        <v>7092.0</v>
      </c>
      <c r="K2375" s="271">
        <f t="shared" si="1"/>
        <v>709200</v>
      </c>
      <c r="L2375" s="271">
        <v>67155.0</v>
      </c>
      <c r="M2375" s="271">
        <v>-18800.0</v>
      </c>
      <c r="N2375" s="275">
        <v>34283.67</v>
      </c>
      <c r="O2375" s="60"/>
      <c r="P2375" s="109">
        <v>34284.0</v>
      </c>
      <c r="Q2375" s="271">
        <v>-17319.0</v>
      </c>
      <c r="R2375" s="276">
        <v>0.00236</v>
      </c>
      <c r="S2375" s="271">
        <v>-15645.0</v>
      </c>
      <c r="T2375" s="271">
        <v>18639.0</v>
      </c>
      <c r="U2375" s="62">
        <v>1.0</v>
      </c>
      <c r="V2375" s="277">
        <v>0.175</v>
      </c>
      <c r="W2375" s="277">
        <v>0.075</v>
      </c>
      <c r="X2375" s="271">
        <v>13979.0</v>
      </c>
      <c r="Y2375" s="271">
        <v>4660.0</v>
      </c>
      <c r="Z2375" s="50" t="b">
        <v>0</v>
      </c>
      <c r="AA2375" s="50" t="s">
        <v>138</v>
      </c>
      <c r="AB2375" s="50" t="s">
        <v>138</v>
      </c>
    </row>
    <row r="2376">
      <c r="A2376" s="101" t="s">
        <v>177</v>
      </c>
      <c r="B2376" s="101" t="s">
        <v>177</v>
      </c>
      <c r="C2376" s="278">
        <v>44916.0</v>
      </c>
      <c r="D2376" s="278">
        <v>44957.0</v>
      </c>
      <c r="E2376" s="271" t="s">
        <v>331</v>
      </c>
      <c r="F2376" s="138" t="s">
        <v>8</v>
      </c>
      <c r="G2376" s="280" t="s">
        <v>5</v>
      </c>
      <c r="H2376" s="273" t="s">
        <v>96</v>
      </c>
      <c r="I2376" s="274">
        <v>250.0</v>
      </c>
      <c r="J2376" s="271">
        <v>1732.0</v>
      </c>
      <c r="K2376" s="271">
        <f t="shared" si="1"/>
        <v>433000</v>
      </c>
      <c r="L2376" s="271">
        <v>56397.0</v>
      </c>
      <c r="M2376" s="271">
        <v>-6500.0</v>
      </c>
      <c r="N2376" s="275">
        <v>20931.79</v>
      </c>
      <c r="O2376" s="60"/>
      <c r="P2376" s="109">
        <v>20932.0</v>
      </c>
      <c r="Q2376" s="271">
        <v>4151.0</v>
      </c>
      <c r="R2376" s="276">
        <v>0.001797</v>
      </c>
      <c r="S2376" s="271">
        <v>4929.0</v>
      </c>
      <c r="T2376" s="271">
        <v>25861.0</v>
      </c>
      <c r="U2376" s="62">
        <v>1.0</v>
      </c>
      <c r="V2376" s="277">
        <v>0.175</v>
      </c>
      <c r="W2376" s="277">
        <v>0.075</v>
      </c>
      <c r="X2376" s="271">
        <v>19396.0</v>
      </c>
      <c r="Y2376" s="271">
        <v>6465.0</v>
      </c>
      <c r="Z2376" s="50" t="b">
        <v>0</v>
      </c>
      <c r="AA2376" s="50" t="s">
        <v>138</v>
      </c>
      <c r="AB2376" s="50" t="s">
        <v>138</v>
      </c>
    </row>
    <row r="2377">
      <c r="A2377" s="101" t="s">
        <v>177</v>
      </c>
      <c r="B2377" s="101" t="s">
        <v>177</v>
      </c>
      <c r="C2377" s="278">
        <v>44916.0</v>
      </c>
      <c r="D2377" s="278">
        <v>44957.0</v>
      </c>
      <c r="E2377" s="271" t="s">
        <v>331</v>
      </c>
      <c r="F2377" s="138" t="s">
        <v>8</v>
      </c>
      <c r="G2377" s="280" t="s">
        <v>5</v>
      </c>
      <c r="H2377" s="273" t="s">
        <v>97</v>
      </c>
      <c r="I2377" s="274">
        <v>250.0</v>
      </c>
      <c r="J2377" s="271">
        <v>1682.0</v>
      </c>
      <c r="K2377" s="271">
        <f t="shared" si="1"/>
        <v>420500</v>
      </c>
      <c r="L2377" s="271">
        <v>16267.0</v>
      </c>
      <c r="M2377" s="271">
        <v>-22750.0</v>
      </c>
      <c r="N2377" s="275">
        <v>20327.53</v>
      </c>
      <c r="O2377" s="60"/>
      <c r="P2377" s="109">
        <v>20328.0</v>
      </c>
      <c r="Q2377" s="271">
        <v>-8961.0</v>
      </c>
      <c r="R2377" s="276">
        <v>0.002565</v>
      </c>
      <c r="S2377" s="271">
        <v>-7883.0</v>
      </c>
      <c r="T2377" s="271">
        <v>12445.0</v>
      </c>
      <c r="U2377" s="62">
        <v>1.0</v>
      </c>
      <c r="V2377" s="277">
        <v>0.175</v>
      </c>
      <c r="W2377" s="277">
        <v>0.075</v>
      </c>
      <c r="X2377" s="271">
        <v>9333.0</v>
      </c>
      <c r="Y2377" s="271">
        <v>3111.0</v>
      </c>
      <c r="Z2377" s="50" t="b">
        <v>0</v>
      </c>
      <c r="AA2377" s="50" t="s">
        <v>138</v>
      </c>
      <c r="AB2377" s="50" t="s">
        <v>138</v>
      </c>
    </row>
    <row r="2378">
      <c r="A2378" s="101" t="s">
        <v>177</v>
      </c>
      <c r="B2378" s="101" t="s">
        <v>177</v>
      </c>
      <c r="C2378" s="278">
        <v>44916.0</v>
      </c>
      <c r="D2378" s="278">
        <v>44957.0</v>
      </c>
      <c r="E2378" s="271" t="s">
        <v>331</v>
      </c>
      <c r="F2378" s="138" t="s">
        <v>8</v>
      </c>
      <c r="G2378" s="280" t="s">
        <v>5</v>
      </c>
      <c r="H2378" s="273" t="s">
        <v>101</v>
      </c>
      <c r="I2378" s="274">
        <v>500.0</v>
      </c>
      <c r="J2378" s="271">
        <v>146.0</v>
      </c>
      <c r="K2378" s="271">
        <f t="shared" si="1"/>
        <v>73000</v>
      </c>
      <c r="L2378" s="271">
        <v>-3811.0</v>
      </c>
      <c r="M2378" s="271">
        <v>36500.0</v>
      </c>
      <c r="N2378" s="275">
        <v>3528.92</v>
      </c>
      <c r="O2378" s="60"/>
      <c r="P2378" s="109">
        <v>3529.0</v>
      </c>
      <c r="Q2378" s="271">
        <v>-7302.0</v>
      </c>
      <c r="R2378" s="276">
        <v>0.001796</v>
      </c>
      <c r="S2378" s="271">
        <v>-7171.0</v>
      </c>
      <c r="T2378" s="271">
        <v>-3642.0</v>
      </c>
      <c r="U2378" s="62">
        <v>1.0</v>
      </c>
      <c r="V2378" s="277">
        <v>0.175</v>
      </c>
      <c r="W2378" s="277">
        <v>0.075</v>
      </c>
      <c r="X2378" s="271">
        <v>-2732.0</v>
      </c>
      <c r="Y2378" s="271">
        <v>-911.0</v>
      </c>
      <c r="Z2378" s="50" t="b">
        <v>0</v>
      </c>
      <c r="AA2378" s="50" t="s">
        <v>138</v>
      </c>
      <c r="AB2378" s="50" t="s">
        <v>138</v>
      </c>
    </row>
    <row r="2379">
      <c r="A2379" s="101" t="s">
        <v>177</v>
      </c>
      <c r="B2379" s="101" t="s">
        <v>177</v>
      </c>
      <c r="C2379" s="278">
        <v>44916.0</v>
      </c>
      <c r="D2379" s="278">
        <v>44957.0</v>
      </c>
      <c r="E2379" s="271" t="s">
        <v>331</v>
      </c>
      <c r="F2379" s="138" t="s">
        <v>8</v>
      </c>
      <c r="G2379" s="280" t="s">
        <v>5</v>
      </c>
      <c r="H2379" s="273" t="s">
        <v>102</v>
      </c>
      <c r="I2379" s="274">
        <v>500.0</v>
      </c>
      <c r="J2379" s="271">
        <v>42.0</v>
      </c>
      <c r="K2379" s="271">
        <f t="shared" si="1"/>
        <v>21000</v>
      </c>
      <c r="L2379" s="271">
        <v>786.0</v>
      </c>
      <c r="M2379" s="271">
        <v>-4500.0</v>
      </c>
      <c r="N2379" s="275">
        <v>1015.17</v>
      </c>
      <c r="O2379" s="60"/>
      <c r="P2379" s="109">
        <v>1015.0</v>
      </c>
      <c r="Q2379" s="271">
        <v>165.0</v>
      </c>
      <c r="R2379" s="276">
        <v>0.001807</v>
      </c>
      <c r="S2379" s="271">
        <v>203.0</v>
      </c>
      <c r="T2379" s="271">
        <v>1218.0</v>
      </c>
      <c r="U2379" s="62">
        <v>1.0</v>
      </c>
      <c r="V2379" s="277">
        <v>0.175</v>
      </c>
      <c r="W2379" s="277">
        <v>0.075</v>
      </c>
      <c r="X2379" s="271">
        <v>914.0</v>
      </c>
      <c r="Y2379" s="271">
        <v>305.0</v>
      </c>
      <c r="Z2379" s="50" t="b">
        <v>0</v>
      </c>
      <c r="AA2379" s="50" t="s">
        <v>138</v>
      </c>
      <c r="AB2379" s="50" t="s">
        <v>138</v>
      </c>
    </row>
    <row r="2380">
      <c r="A2380" s="280" t="s">
        <v>183</v>
      </c>
      <c r="B2380" s="280" t="s">
        <v>183</v>
      </c>
      <c r="C2380" s="278">
        <v>44916.0</v>
      </c>
      <c r="D2380" s="278">
        <v>44957.0</v>
      </c>
      <c r="E2380" s="280" t="s">
        <v>268</v>
      </c>
      <c r="F2380" s="138" t="s">
        <v>12</v>
      </c>
      <c r="G2380" s="271" t="s">
        <v>5</v>
      </c>
      <c r="H2380" s="273" t="s">
        <v>20</v>
      </c>
      <c r="I2380" s="274">
        <v>1.0</v>
      </c>
      <c r="J2380" s="271">
        <v>1.0</v>
      </c>
      <c r="K2380" s="271">
        <f t="shared" si="1"/>
        <v>1</v>
      </c>
      <c r="L2380" s="271"/>
      <c r="M2380" s="271">
        <v>-1.0</v>
      </c>
      <c r="N2380" s="275"/>
      <c r="O2380" s="60"/>
      <c r="P2380" s="101"/>
      <c r="Q2380" s="271"/>
      <c r="R2380" s="276">
        <v>0.0</v>
      </c>
      <c r="S2380" s="271"/>
      <c r="T2380" s="271">
        <v>-1.0</v>
      </c>
      <c r="U2380" s="62">
        <v>1.0</v>
      </c>
      <c r="V2380" s="277">
        <v>0.23</v>
      </c>
      <c r="W2380" s="277">
        <v>0.0</v>
      </c>
      <c r="X2380" s="271">
        <v>-1.0</v>
      </c>
      <c r="Y2380" s="271">
        <v>0.0</v>
      </c>
      <c r="Z2380" s="50" t="b">
        <v>1</v>
      </c>
      <c r="AA2380" s="50" t="s">
        <v>138</v>
      </c>
      <c r="AB2380" s="50" t="s">
        <v>138</v>
      </c>
    </row>
    <row r="2381">
      <c r="A2381" s="280" t="s">
        <v>183</v>
      </c>
      <c r="B2381" s="280" t="s">
        <v>183</v>
      </c>
      <c r="C2381" s="278">
        <v>44916.0</v>
      </c>
      <c r="D2381" s="278">
        <v>44957.0</v>
      </c>
      <c r="E2381" s="280" t="s">
        <v>268</v>
      </c>
      <c r="F2381" s="138" t="s">
        <v>8</v>
      </c>
      <c r="G2381" s="271" t="s">
        <v>5</v>
      </c>
      <c r="H2381" s="273" t="s">
        <v>62</v>
      </c>
      <c r="I2381" s="274">
        <v>25.0</v>
      </c>
      <c r="J2381" s="271">
        <v>2673.0</v>
      </c>
      <c r="K2381" s="271">
        <f t="shared" si="1"/>
        <v>66825</v>
      </c>
      <c r="L2381" s="271">
        <v>46139.0</v>
      </c>
      <c r="M2381" s="271">
        <v>-1800.0</v>
      </c>
      <c r="N2381" s="275">
        <v>3871.0</v>
      </c>
      <c r="O2381" s="60"/>
      <c r="P2381" s="109">
        <v>3871.0</v>
      </c>
      <c r="Q2381" s="271">
        <v>-2138.0</v>
      </c>
      <c r="R2381" s="276">
        <v>0.001794</v>
      </c>
      <c r="S2381" s="271">
        <v>-2018.0</v>
      </c>
      <c r="T2381" s="271">
        <v>1853.0</v>
      </c>
      <c r="U2381" s="62">
        <v>1.0</v>
      </c>
      <c r="V2381" s="277">
        <v>0.23</v>
      </c>
      <c r="W2381" s="277">
        <v>0.0</v>
      </c>
      <c r="X2381" s="271">
        <v>1427.0</v>
      </c>
      <c r="Y2381" s="271">
        <v>426.0</v>
      </c>
      <c r="Z2381" s="50" t="b">
        <v>1</v>
      </c>
      <c r="AA2381" s="50" t="s">
        <v>138</v>
      </c>
      <c r="AB2381" s="50" t="s">
        <v>138</v>
      </c>
    </row>
    <row r="2382">
      <c r="A2382" s="280" t="s">
        <v>183</v>
      </c>
      <c r="B2382" s="280" t="s">
        <v>183</v>
      </c>
      <c r="C2382" s="278">
        <v>44916.0</v>
      </c>
      <c r="D2382" s="278">
        <v>44957.0</v>
      </c>
      <c r="E2382" s="280" t="s">
        <v>268</v>
      </c>
      <c r="F2382" s="138" t="s">
        <v>8</v>
      </c>
      <c r="G2382" s="271" t="s">
        <v>5</v>
      </c>
      <c r="H2382" s="273" t="s">
        <v>74</v>
      </c>
      <c r="I2382" s="274">
        <v>50.0</v>
      </c>
      <c r="J2382" s="271">
        <v>10.0</v>
      </c>
      <c r="K2382" s="271">
        <f t="shared" si="1"/>
        <v>500</v>
      </c>
      <c r="L2382" s="271">
        <v>-46.0</v>
      </c>
      <c r="M2382" s="271">
        <v>-250.0</v>
      </c>
      <c r="N2382" s="275">
        <v>29.0</v>
      </c>
      <c r="O2382" s="60"/>
      <c r="P2382" s="50">
        <v>29.0</v>
      </c>
      <c r="Q2382" s="271">
        <v>-36.0</v>
      </c>
      <c r="R2382" s="276">
        <v>0.00253</v>
      </c>
      <c r="S2382" s="271">
        <v>-35.0</v>
      </c>
      <c r="T2382" s="271">
        <v>-6.0</v>
      </c>
      <c r="U2382" s="62">
        <v>1.0</v>
      </c>
      <c r="V2382" s="277">
        <v>0.23</v>
      </c>
      <c r="W2382" s="277">
        <v>0.0</v>
      </c>
      <c r="X2382" s="271">
        <v>-5.0</v>
      </c>
      <c r="Y2382" s="271">
        <v>-1.0</v>
      </c>
      <c r="Z2382" s="50" t="b">
        <v>1</v>
      </c>
      <c r="AA2382" s="50" t="s">
        <v>138</v>
      </c>
      <c r="AB2382" s="50" t="s">
        <v>138</v>
      </c>
    </row>
    <row r="2383">
      <c r="A2383" s="280" t="s">
        <v>185</v>
      </c>
      <c r="B2383" s="280" t="s">
        <v>185</v>
      </c>
      <c r="C2383" s="283">
        <v>44922.0</v>
      </c>
      <c r="D2383" s="283">
        <v>44957.0</v>
      </c>
      <c r="E2383" s="280" t="s">
        <v>268</v>
      </c>
      <c r="F2383" s="138" t="s">
        <v>12</v>
      </c>
      <c r="G2383" s="280" t="s">
        <v>142</v>
      </c>
      <c r="H2383" s="290" t="s">
        <v>61</v>
      </c>
      <c r="I2383" s="281">
        <v>20.0</v>
      </c>
      <c r="J2383" s="280">
        <v>1664.0</v>
      </c>
      <c r="K2383" s="271">
        <f t="shared" si="1"/>
        <v>33280</v>
      </c>
      <c r="L2383" s="280">
        <v>101504.0</v>
      </c>
      <c r="M2383" s="280">
        <v>484.0</v>
      </c>
      <c r="N2383" s="282"/>
      <c r="O2383" s="60">
        <v>0.5</v>
      </c>
      <c r="P2383" s="109">
        <v>1165.0</v>
      </c>
      <c r="Q2383" s="280">
        <v>1187.0</v>
      </c>
      <c r="R2383" s="276">
        <v>0.0</v>
      </c>
      <c r="S2383" s="280">
        <v>1187.0</v>
      </c>
      <c r="T2383" s="280">
        <v>1649.0</v>
      </c>
      <c r="U2383" s="62">
        <v>1.075</v>
      </c>
      <c r="V2383" s="277">
        <v>0.17</v>
      </c>
      <c r="W2383" s="277">
        <v>0.0</v>
      </c>
      <c r="X2383" s="280">
        <v>1471.0</v>
      </c>
      <c r="Y2383" s="280">
        <v>301.0</v>
      </c>
      <c r="Z2383" s="50" t="b">
        <v>1</v>
      </c>
      <c r="AA2383" s="50" t="s">
        <v>138</v>
      </c>
      <c r="AB2383" s="50" t="s">
        <v>140</v>
      </c>
    </row>
    <row r="2384">
      <c r="A2384" s="280" t="s">
        <v>180</v>
      </c>
      <c r="B2384" s="280" t="s">
        <v>180</v>
      </c>
      <c r="C2384" s="283">
        <v>44923.0</v>
      </c>
      <c r="D2384" s="283">
        <v>44957.0</v>
      </c>
      <c r="E2384" s="280" t="s">
        <v>268</v>
      </c>
      <c r="F2384" s="138" t="s">
        <v>12</v>
      </c>
      <c r="G2384" s="280" t="s">
        <v>142</v>
      </c>
      <c r="H2384" s="290" t="s">
        <v>39</v>
      </c>
      <c r="I2384" s="281">
        <v>5.0</v>
      </c>
      <c r="J2384" s="280">
        <v>231.0</v>
      </c>
      <c r="K2384" s="271">
        <f t="shared" si="1"/>
        <v>1155</v>
      </c>
      <c r="L2384" s="280">
        <v>27489.0</v>
      </c>
      <c r="M2384" s="280">
        <v>-15.6</v>
      </c>
      <c r="N2384" s="282"/>
      <c r="O2384" s="60">
        <v>0.5</v>
      </c>
      <c r="P2384" s="50">
        <v>40.0</v>
      </c>
      <c r="Q2384" s="280">
        <v>165.0</v>
      </c>
      <c r="R2384" s="276">
        <v>0.0</v>
      </c>
      <c r="S2384" s="280">
        <v>165.0</v>
      </c>
      <c r="T2384" s="280">
        <v>25.0</v>
      </c>
      <c r="U2384" s="62">
        <v>1.0</v>
      </c>
      <c r="V2384" s="277">
        <v>0.3</v>
      </c>
      <c r="W2384" s="277">
        <v>0.0</v>
      </c>
      <c r="X2384" s="280">
        <v>17.0</v>
      </c>
      <c r="Y2384" s="280">
        <v>7.0</v>
      </c>
      <c r="Z2384" s="50" t="b">
        <v>0</v>
      </c>
      <c r="AA2384" s="50" t="s">
        <v>138</v>
      </c>
      <c r="AB2384" s="50" t="s">
        <v>138</v>
      </c>
    </row>
    <row r="2385">
      <c r="A2385" s="280" t="s">
        <v>180</v>
      </c>
      <c r="B2385" s="280" t="s">
        <v>180</v>
      </c>
      <c r="C2385" s="283">
        <v>44923.0</v>
      </c>
      <c r="D2385" s="283">
        <v>44957.0</v>
      </c>
      <c r="E2385" s="280" t="s">
        <v>268</v>
      </c>
      <c r="F2385" s="138" t="s">
        <v>12</v>
      </c>
      <c r="G2385" s="280" t="s">
        <v>142</v>
      </c>
      <c r="H2385" s="290" t="s">
        <v>50</v>
      </c>
      <c r="I2385" s="281">
        <v>10.0</v>
      </c>
      <c r="J2385" s="280">
        <v>3376.0</v>
      </c>
      <c r="K2385" s="271">
        <f t="shared" si="1"/>
        <v>33760</v>
      </c>
      <c r="L2385" s="280">
        <v>131664.0</v>
      </c>
      <c r="M2385" s="280">
        <v>-263.4</v>
      </c>
      <c r="N2385" s="282"/>
      <c r="O2385" s="60">
        <v>0.5</v>
      </c>
      <c r="P2385" s="109">
        <v>1182.0</v>
      </c>
      <c r="Q2385" s="280">
        <v>-157.0</v>
      </c>
      <c r="R2385" s="276">
        <v>0.0</v>
      </c>
      <c r="S2385" s="280">
        <v>-157.0</v>
      </c>
      <c r="T2385" s="280">
        <v>918.0</v>
      </c>
      <c r="U2385" s="62">
        <v>1.0</v>
      </c>
      <c r="V2385" s="277">
        <v>0.3</v>
      </c>
      <c r="W2385" s="277">
        <v>0.0</v>
      </c>
      <c r="X2385" s="280">
        <v>643.0</v>
      </c>
      <c r="Y2385" s="280">
        <v>275.0</v>
      </c>
      <c r="Z2385" s="50" t="b">
        <v>0</v>
      </c>
      <c r="AA2385" s="50" t="s">
        <v>138</v>
      </c>
      <c r="AB2385" s="50" t="s">
        <v>138</v>
      </c>
    </row>
    <row r="2386">
      <c r="A2386" s="280" t="s">
        <v>362</v>
      </c>
      <c r="B2386" s="271" t="s">
        <v>189</v>
      </c>
      <c r="C2386" s="278">
        <v>44927.0</v>
      </c>
      <c r="D2386" s="278">
        <v>44957.0</v>
      </c>
      <c r="E2386" s="280" t="s">
        <v>268</v>
      </c>
      <c r="F2386" s="138" t="s">
        <v>12</v>
      </c>
      <c r="G2386" s="271" t="s">
        <v>5</v>
      </c>
      <c r="H2386" s="273" t="s">
        <v>10</v>
      </c>
      <c r="I2386" s="274">
        <v>0.25</v>
      </c>
      <c r="J2386" s="271">
        <v>4.0</v>
      </c>
      <c r="K2386" s="271">
        <f t="shared" si="1"/>
        <v>1</v>
      </c>
      <c r="L2386" s="271">
        <v>-93.0</v>
      </c>
      <c r="M2386" s="271">
        <v>2.0</v>
      </c>
      <c r="N2386" s="275">
        <v>0.06</v>
      </c>
      <c r="O2386" s="60"/>
      <c r="P2386" s="50">
        <v>0.0</v>
      </c>
      <c r="Q2386" s="271">
        <v>0.0</v>
      </c>
      <c r="R2386" s="276">
        <v>0.0</v>
      </c>
      <c r="S2386" s="271">
        <v>0.0</v>
      </c>
      <c r="T2386" s="271">
        <v>2.0</v>
      </c>
      <c r="U2386" s="62">
        <v>1.0</v>
      </c>
      <c r="V2386" s="277">
        <v>0.19</v>
      </c>
      <c r="W2386" s="277">
        <v>0.0</v>
      </c>
      <c r="X2386" s="271">
        <v>2.0</v>
      </c>
      <c r="Y2386" s="271">
        <v>0.0</v>
      </c>
      <c r="Z2386" s="50" t="b">
        <v>1</v>
      </c>
      <c r="AA2386" s="50" t="s">
        <v>138</v>
      </c>
      <c r="AB2386" s="50" t="s">
        <v>138</v>
      </c>
    </row>
    <row r="2387">
      <c r="A2387" s="280" t="s">
        <v>362</v>
      </c>
      <c r="B2387" s="271" t="s">
        <v>189</v>
      </c>
      <c r="C2387" s="278">
        <v>44927.0</v>
      </c>
      <c r="D2387" s="278">
        <v>44957.0</v>
      </c>
      <c r="E2387" s="280" t="s">
        <v>268</v>
      </c>
      <c r="F2387" s="138" t="s">
        <v>12</v>
      </c>
      <c r="G2387" s="271" t="s">
        <v>5</v>
      </c>
      <c r="H2387" s="273" t="s">
        <v>38</v>
      </c>
      <c r="I2387" s="274">
        <v>5.0</v>
      </c>
      <c r="J2387" s="271">
        <v>1.0</v>
      </c>
      <c r="K2387" s="271">
        <f t="shared" si="1"/>
        <v>5</v>
      </c>
      <c r="L2387" s="271">
        <v>271.0</v>
      </c>
      <c r="M2387" s="271">
        <v>5.0</v>
      </c>
      <c r="N2387" s="275">
        <v>0.29</v>
      </c>
      <c r="O2387" s="60"/>
      <c r="P2387" s="50">
        <v>0.0</v>
      </c>
      <c r="Q2387" s="271">
        <v>4.0</v>
      </c>
      <c r="R2387" s="276">
        <v>0.0</v>
      </c>
      <c r="S2387" s="271">
        <v>4.0</v>
      </c>
      <c r="T2387" s="271">
        <v>5.0</v>
      </c>
      <c r="U2387" s="62">
        <v>1.0</v>
      </c>
      <c r="V2387" s="277">
        <v>0.19</v>
      </c>
      <c r="W2387" s="277">
        <v>0.0</v>
      </c>
      <c r="X2387" s="271">
        <v>4.0</v>
      </c>
      <c r="Y2387" s="271">
        <v>1.0</v>
      </c>
      <c r="Z2387" s="50" t="b">
        <v>1</v>
      </c>
      <c r="AA2387" s="50" t="s">
        <v>138</v>
      </c>
      <c r="AB2387" s="50" t="s">
        <v>138</v>
      </c>
    </row>
    <row r="2388">
      <c r="A2388" s="280" t="s">
        <v>362</v>
      </c>
      <c r="B2388" s="271" t="s">
        <v>189</v>
      </c>
      <c r="C2388" s="278">
        <v>44927.0</v>
      </c>
      <c r="D2388" s="278">
        <v>44957.0</v>
      </c>
      <c r="E2388" s="280" t="s">
        <v>268</v>
      </c>
      <c r="F2388" s="138" t="s">
        <v>12</v>
      </c>
      <c r="G2388" s="271" t="s">
        <v>5</v>
      </c>
      <c r="H2388" s="273" t="s">
        <v>101</v>
      </c>
      <c r="I2388" s="274">
        <v>500.0</v>
      </c>
      <c r="J2388" s="271">
        <v>3.0</v>
      </c>
      <c r="K2388" s="271">
        <f t="shared" si="1"/>
        <v>1500</v>
      </c>
      <c r="L2388" s="271">
        <v>-865.0</v>
      </c>
      <c r="M2388" s="271">
        <v>0.0</v>
      </c>
      <c r="N2388" s="275">
        <v>54.55</v>
      </c>
      <c r="O2388" s="60"/>
      <c r="P2388" s="50">
        <v>55.0</v>
      </c>
      <c r="Q2388" s="271">
        <v>-890.0</v>
      </c>
      <c r="R2388" s="276">
        <v>0.0</v>
      </c>
      <c r="S2388" s="271">
        <v>-890.0</v>
      </c>
      <c r="T2388" s="271">
        <v>55.0</v>
      </c>
      <c r="U2388" s="62">
        <v>1.0</v>
      </c>
      <c r="V2388" s="277">
        <v>0.19</v>
      </c>
      <c r="W2388" s="277">
        <v>0.0</v>
      </c>
      <c r="X2388" s="271">
        <v>44.0</v>
      </c>
      <c r="Y2388" s="271">
        <v>10.0</v>
      </c>
      <c r="Z2388" s="50" t="b">
        <v>1</v>
      </c>
      <c r="AA2388" s="50" t="s">
        <v>138</v>
      </c>
      <c r="AB2388" s="50" t="s">
        <v>138</v>
      </c>
    </row>
    <row r="2389">
      <c r="A2389" s="280" t="s">
        <v>362</v>
      </c>
      <c r="B2389" s="271" t="s">
        <v>189</v>
      </c>
      <c r="C2389" s="278">
        <v>44927.0</v>
      </c>
      <c r="D2389" s="278">
        <v>44957.0</v>
      </c>
      <c r="E2389" s="280" t="s">
        <v>268</v>
      </c>
      <c r="F2389" s="138" t="s">
        <v>12</v>
      </c>
      <c r="G2389" s="271" t="s">
        <v>5</v>
      </c>
      <c r="H2389" s="273" t="s">
        <v>86</v>
      </c>
      <c r="I2389" s="274">
        <v>100.0</v>
      </c>
      <c r="J2389" s="271">
        <v>1966.0</v>
      </c>
      <c r="K2389" s="271">
        <f t="shared" si="1"/>
        <v>196600</v>
      </c>
      <c r="L2389" s="287">
        <f>80919/3778*J2389</f>
        <v>42108.7226</v>
      </c>
      <c r="M2389" s="287">
        <v>-14700.0</v>
      </c>
      <c r="N2389" s="275">
        <v>7149.95</v>
      </c>
      <c r="O2389" s="60"/>
      <c r="P2389" s="109">
        <v>7150.0</v>
      </c>
      <c r="Q2389" s="287">
        <v>2538.0</v>
      </c>
      <c r="R2389" s="276">
        <v>0.0</v>
      </c>
      <c r="S2389" s="287">
        <v>2538.0</v>
      </c>
      <c r="T2389" s="287">
        <v>-7550.0</v>
      </c>
      <c r="U2389" s="62">
        <v>1.0</v>
      </c>
      <c r="V2389" s="277">
        <v>0.19</v>
      </c>
      <c r="W2389" s="277">
        <v>0.0</v>
      </c>
      <c r="X2389" s="287">
        <v>-6116.0</v>
      </c>
      <c r="Y2389" s="287">
        <v>-1435.0</v>
      </c>
      <c r="Z2389" s="50" t="b">
        <v>1</v>
      </c>
      <c r="AA2389" s="50" t="s">
        <v>138</v>
      </c>
      <c r="AB2389" s="50" t="s">
        <v>138</v>
      </c>
    </row>
    <row r="2390">
      <c r="A2390" s="280" t="s">
        <v>362</v>
      </c>
      <c r="B2390" s="271" t="s">
        <v>189</v>
      </c>
      <c r="C2390" s="278">
        <v>44927.0</v>
      </c>
      <c r="D2390" s="278">
        <v>44957.0</v>
      </c>
      <c r="E2390" s="280" t="s">
        <v>268</v>
      </c>
      <c r="F2390" s="138" t="s">
        <v>12</v>
      </c>
      <c r="G2390" s="271" t="s">
        <v>5</v>
      </c>
      <c r="H2390" s="273" t="s">
        <v>63</v>
      </c>
      <c r="I2390" s="274">
        <v>25.0</v>
      </c>
      <c r="J2390" s="271">
        <v>2.0</v>
      </c>
      <c r="K2390" s="271">
        <f t="shared" si="1"/>
        <v>50</v>
      </c>
      <c r="L2390" s="287">
        <v>-447.0</v>
      </c>
      <c r="M2390" s="287">
        <v>-50.0</v>
      </c>
      <c r="N2390" s="275">
        <v>2.18</v>
      </c>
      <c r="O2390" s="60"/>
      <c r="P2390" s="50">
        <v>2.0</v>
      </c>
      <c r="Q2390" s="287">
        <v>-38.0</v>
      </c>
      <c r="R2390" s="276">
        <v>0.0</v>
      </c>
      <c r="S2390" s="287">
        <v>-38.0</v>
      </c>
      <c r="T2390" s="287">
        <v>-48.0</v>
      </c>
      <c r="U2390" s="62">
        <v>1.0</v>
      </c>
      <c r="V2390" s="277">
        <v>0.19</v>
      </c>
      <c r="W2390" s="277">
        <v>0.0</v>
      </c>
      <c r="X2390" s="287">
        <v>-39.0</v>
      </c>
      <c r="Y2390" s="287">
        <v>-9.0</v>
      </c>
      <c r="Z2390" s="50" t="b">
        <v>1</v>
      </c>
      <c r="AA2390" s="50" t="s">
        <v>138</v>
      </c>
      <c r="AB2390" s="50" t="s">
        <v>138</v>
      </c>
    </row>
    <row r="2391">
      <c r="A2391" s="280" t="s">
        <v>362</v>
      </c>
      <c r="B2391" s="271" t="s">
        <v>189</v>
      </c>
      <c r="C2391" s="278">
        <v>44927.0</v>
      </c>
      <c r="D2391" s="278">
        <v>44957.0</v>
      </c>
      <c r="E2391" s="280" t="s">
        <v>268</v>
      </c>
      <c r="F2391" s="138" t="s">
        <v>12</v>
      </c>
      <c r="G2391" s="271" t="s">
        <v>5</v>
      </c>
      <c r="H2391" s="273" t="s">
        <v>75</v>
      </c>
      <c r="I2391" s="274">
        <v>50.0</v>
      </c>
      <c r="J2391" s="271">
        <v>1243.0</v>
      </c>
      <c r="K2391" s="271">
        <f t="shared" si="1"/>
        <v>62150</v>
      </c>
      <c r="L2391" s="287">
        <v>26615.0</v>
      </c>
      <c r="M2391" s="287">
        <v>1350.0</v>
      </c>
      <c r="N2391" s="275">
        <v>2712.33</v>
      </c>
      <c r="O2391" s="60"/>
      <c r="P2391" s="109">
        <v>2712.0</v>
      </c>
      <c r="Q2391" s="287">
        <v>135.0</v>
      </c>
      <c r="R2391" s="276">
        <v>0.0</v>
      </c>
      <c r="S2391" s="287">
        <v>135.0</v>
      </c>
      <c r="T2391" s="287">
        <v>4062.0</v>
      </c>
      <c r="U2391" s="62">
        <v>1.0</v>
      </c>
      <c r="V2391" s="277">
        <v>0.19</v>
      </c>
      <c r="W2391" s="277">
        <v>0.0</v>
      </c>
      <c r="X2391" s="287">
        <v>3290.0</v>
      </c>
      <c r="Y2391" s="287">
        <v>772.0</v>
      </c>
      <c r="Z2391" s="50" t="b">
        <v>1</v>
      </c>
      <c r="AA2391" s="50" t="s">
        <v>138</v>
      </c>
      <c r="AB2391" s="50" t="s">
        <v>138</v>
      </c>
    </row>
    <row r="2392">
      <c r="A2392" s="280" t="s">
        <v>362</v>
      </c>
      <c r="B2392" s="271" t="s">
        <v>189</v>
      </c>
      <c r="C2392" s="278">
        <v>44927.0</v>
      </c>
      <c r="D2392" s="278">
        <v>44957.0</v>
      </c>
      <c r="E2392" s="280" t="s">
        <v>268</v>
      </c>
      <c r="F2392" s="138" t="s">
        <v>12</v>
      </c>
      <c r="G2392" s="271" t="s">
        <v>5</v>
      </c>
      <c r="H2392" s="273" t="s">
        <v>96</v>
      </c>
      <c r="I2392" s="274">
        <v>250.0</v>
      </c>
      <c r="J2392" s="271">
        <v>112.0</v>
      </c>
      <c r="K2392" s="271">
        <f t="shared" si="1"/>
        <v>28000</v>
      </c>
      <c r="L2392" s="287">
        <f>2388/269*J2392</f>
        <v>994.260223</v>
      </c>
      <c r="M2392" s="287">
        <v>-250.0</v>
      </c>
      <c r="N2392" s="275">
        <v>1018.3</v>
      </c>
      <c r="O2392" s="60"/>
      <c r="P2392" s="109">
        <v>1018.0</v>
      </c>
      <c r="Q2392" s="287">
        <v>-978.0</v>
      </c>
      <c r="R2392" s="276">
        <v>0.0</v>
      </c>
      <c r="S2392" s="287">
        <v>-978.0</v>
      </c>
      <c r="T2392" s="287">
        <v>768.0</v>
      </c>
      <c r="U2392" s="62">
        <v>1.0</v>
      </c>
      <c r="V2392" s="277">
        <v>0.19</v>
      </c>
      <c r="W2392" s="277">
        <v>0.0</v>
      </c>
      <c r="X2392" s="287">
        <v>622.0</v>
      </c>
      <c r="Y2392" s="287">
        <v>146.0</v>
      </c>
      <c r="Z2392" s="50" t="b">
        <v>1</v>
      </c>
      <c r="AA2392" s="50" t="s">
        <v>138</v>
      </c>
      <c r="AB2392" s="50" t="s">
        <v>138</v>
      </c>
    </row>
    <row r="2393">
      <c r="A2393" s="280" t="s">
        <v>362</v>
      </c>
      <c r="B2393" s="271" t="s">
        <v>189</v>
      </c>
      <c r="C2393" s="278">
        <v>44927.0</v>
      </c>
      <c r="D2393" s="278">
        <v>44957.0</v>
      </c>
      <c r="E2393" s="280" t="s">
        <v>268</v>
      </c>
      <c r="F2393" s="138" t="s">
        <v>12</v>
      </c>
      <c r="G2393" s="271" t="s">
        <v>5</v>
      </c>
      <c r="H2393" s="273" t="s">
        <v>85</v>
      </c>
      <c r="I2393" s="274">
        <v>100.0</v>
      </c>
      <c r="J2393" s="271">
        <v>1812.0</v>
      </c>
      <c r="K2393" s="271">
        <f t="shared" si="1"/>
        <v>181200</v>
      </c>
      <c r="L2393" s="287">
        <f>80919/3778*J2393</f>
        <v>38810.2774</v>
      </c>
      <c r="M2393" s="287">
        <v>7600.0</v>
      </c>
      <c r="N2393" s="275">
        <v>6589.89</v>
      </c>
      <c r="O2393" s="60"/>
      <c r="P2393" s="109">
        <v>6590.0</v>
      </c>
      <c r="Q2393" s="287">
        <v>-2511.0</v>
      </c>
      <c r="R2393" s="276">
        <v>0.0</v>
      </c>
      <c r="S2393" s="287">
        <v>-2511.0</v>
      </c>
      <c r="T2393" s="287">
        <v>14190.0</v>
      </c>
      <c r="U2393" s="62">
        <v>1.0</v>
      </c>
      <c r="V2393" s="277">
        <v>0.19</v>
      </c>
      <c r="W2393" s="277">
        <v>0.0</v>
      </c>
      <c r="X2393" s="287">
        <v>11494.0</v>
      </c>
      <c r="Y2393" s="287">
        <v>2696.0</v>
      </c>
      <c r="Z2393" s="50" t="b">
        <v>1</v>
      </c>
      <c r="AA2393" s="50" t="s">
        <v>138</v>
      </c>
      <c r="AB2393" s="50" t="s">
        <v>138</v>
      </c>
    </row>
    <row r="2394">
      <c r="A2394" s="280" t="s">
        <v>362</v>
      </c>
      <c r="B2394" s="271" t="s">
        <v>189</v>
      </c>
      <c r="C2394" s="278">
        <v>44927.0</v>
      </c>
      <c r="D2394" s="278">
        <v>44957.0</v>
      </c>
      <c r="E2394" s="280" t="s">
        <v>268</v>
      </c>
      <c r="F2394" s="138" t="s">
        <v>12</v>
      </c>
      <c r="G2394" s="271" t="s">
        <v>5</v>
      </c>
      <c r="H2394" s="273" t="s">
        <v>97</v>
      </c>
      <c r="I2394" s="274">
        <v>250.0</v>
      </c>
      <c r="J2394" s="271">
        <v>157.0</v>
      </c>
      <c r="K2394" s="271">
        <f t="shared" si="1"/>
        <v>39250</v>
      </c>
      <c r="L2394" s="287">
        <f>2388/269*J2394</f>
        <v>1393.739777</v>
      </c>
      <c r="M2394" s="287">
        <v>-5250.0</v>
      </c>
      <c r="N2394" s="275">
        <v>1427.44</v>
      </c>
      <c r="O2394" s="60"/>
      <c r="P2394" s="109">
        <v>1427.0</v>
      </c>
      <c r="Q2394" s="287">
        <v>-934.0</v>
      </c>
      <c r="R2394" s="276">
        <v>0.0</v>
      </c>
      <c r="S2394" s="287">
        <v>-934.0</v>
      </c>
      <c r="T2394" s="287">
        <v>-3823.0</v>
      </c>
      <c r="U2394" s="62">
        <v>1.0</v>
      </c>
      <c r="V2394" s="277">
        <v>0.19</v>
      </c>
      <c r="W2394" s="277">
        <v>0.0</v>
      </c>
      <c r="X2394" s="287">
        <v>-3096.0</v>
      </c>
      <c r="Y2394" s="287">
        <v>-726.0</v>
      </c>
      <c r="Z2394" s="50" t="b">
        <v>1</v>
      </c>
      <c r="AA2394" s="50" t="s">
        <v>138</v>
      </c>
      <c r="AB2394" s="50" t="s">
        <v>138</v>
      </c>
    </row>
    <row r="2395">
      <c r="A2395" s="280" t="s">
        <v>459</v>
      </c>
      <c r="B2395" s="280" t="s">
        <v>151</v>
      </c>
      <c r="C2395" s="283">
        <v>44916.0</v>
      </c>
      <c r="D2395" s="283">
        <v>44957.0</v>
      </c>
      <c r="E2395" s="280" t="s">
        <v>331</v>
      </c>
      <c r="F2395" s="138" t="s">
        <v>8</v>
      </c>
      <c r="G2395" s="280" t="s">
        <v>9</v>
      </c>
      <c r="H2395" s="290" t="s">
        <v>98</v>
      </c>
      <c r="I2395" s="281">
        <v>250.0</v>
      </c>
      <c r="J2395" s="280">
        <v>2168.0</v>
      </c>
      <c r="K2395" s="271">
        <f t="shared" si="1"/>
        <v>542000</v>
      </c>
      <c r="L2395" s="280">
        <v>17698.0</v>
      </c>
      <c r="M2395" s="280">
        <v>-750.0</v>
      </c>
      <c r="N2395" s="282">
        <v>26599.03</v>
      </c>
      <c r="O2395" s="60"/>
      <c r="P2395" s="109">
        <v>26599.0</v>
      </c>
      <c r="Q2395" s="280">
        <v>-34081.0</v>
      </c>
      <c r="R2395" s="276">
        <v>0.001797</v>
      </c>
      <c r="S2395" s="280">
        <v>-33107.0</v>
      </c>
      <c r="T2395" s="280">
        <v>-6508.0</v>
      </c>
      <c r="U2395" s="62">
        <v>1.0</v>
      </c>
      <c r="V2395" s="277">
        <v>0.15</v>
      </c>
      <c r="W2395" s="277">
        <v>0.05</v>
      </c>
      <c r="X2395" s="280">
        <v>-5206.0</v>
      </c>
      <c r="Y2395" s="280">
        <v>-1302.0</v>
      </c>
      <c r="Z2395" s="50" t="b">
        <v>0</v>
      </c>
      <c r="AA2395" s="50" t="s">
        <v>140</v>
      </c>
      <c r="AB2395" s="50" t="s">
        <v>140</v>
      </c>
    </row>
    <row r="2396">
      <c r="A2396" s="280" t="s">
        <v>459</v>
      </c>
      <c r="B2396" s="280" t="s">
        <v>151</v>
      </c>
      <c r="C2396" s="283">
        <v>44916.0</v>
      </c>
      <c r="D2396" s="283">
        <v>44957.0</v>
      </c>
      <c r="E2396" s="280" t="s">
        <v>331</v>
      </c>
      <c r="F2396" s="138" t="s">
        <v>8</v>
      </c>
      <c r="G2396" s="280" t="s">
        <v>9</v>
      </c>
      <c r="H2396" s="290" t="s">
        <v>89</v>
      </c>
      <c r="I2396" s="281">
        <v>100.0</v>
      </c>
      <c r="J2396" s="280">
        <v>333.0</v>
      </c>
      <c r="K2396" s="271">
        <f t="shared" si="1"/>
        <v>33300</v>
      </c>
      <c r="L2396" s="280">
        <v>8105.0</v>
      </c>
      <c r="M2396" s="280">
        <v>-2600.0</v>
      </c>
      <c r="N2396" s="282">
        <v>117.19</v>
      </c>
      <c r="O2396" s="60"/>
      <c r="P2396" s="50">
        <v>117.0</v>
      </c>
      <c r="Q2396" s="280">
        <v>-1476.0</v>
      </c>
      <c r="R2396" s="276">
        <v>0.001797</v>
      </c>
      <c r="S2396" s="280">
        <v>-1416.0</v>
      </c>
      <c r="T2396" s="280">
        <v>-1299.0</v>
      </c>
      <c r="U2396" s="62">
        <v>1.0</v>
      </c>
      <c r="V2396" s="277">
        <v>0.15</v>
      </c>
      <c r="W2396" s="277">
        <v>0.05</v>
      </c>
      <c r="X2396" s="280">
        <v>-1039.0</v>
      </c>
      <c r="Y2396" s="280">
        <v>-260.0</v>
      </c>
      <c r="Z2396" s="50" t="b">
        <v>0</v>
      </c>
      <c r="AA2396" s="50" t="s">
        <v>140</v>
      </c>
      <c r="AB2396" s="50" t="s">
        <v>140</v>
      </c>
    </row>
    <row r="2397">
      <c r="A2397" s="280" t="s">
        <v>459</v>
      </c>
      <c r="B2397" s="280" t="s">
        <v>151</v>
      </c>
      <c r="C2397" s="283">
        <v>44916.0</v>
      </c>
      <c r="D2397" s="283">
        <v>44957.0</v>
      </c>
      <c r="E2397" s="280" t="s">
        <v>331</v>
      </c>
      <c r="F2397" s="138" t="s">
        <v>8</v>
      </c>
      <c r="G2397" s="280" t="s">
        <v>9</v>
      </c>
      <c r="H2397" s="290" t="s">
        <v>104</v>
      </c>
      <c r="I2397" s="281">
        <v>500.0</v>
      </c>
      <c r="J2397" s="280">
        <v>259.0</v>
      </c>
      <c r="K2397" s="271">
        <f t="shared" si="1"/>
        <v>129500</v>
      </c>
      <c r="L2397" s="280">
        <v>1817.0</v>
      </c>
      <c r="M2397" s="280">
        <v>-1000.0</v>
      </c>
      <c r="N2397" s="282">
        <v>0.0</v>
      </c>
      <c r="O2397" s="60"/>
      <c r="P2397" s="50">
        <v>0.0</v>
      </c>
      <c r="Q2397" s="280">
        <v>-8415.0</v>
      </c>
      <c r="R2397" s="276">
        <v>0.001801</v>
      </c>
      <c r="S2397" s="280">
        <v>-8182.0</v>
      </c>
      <c r="T2397" s="280">
        <v>-8182.0</v>
      </c>
      <c r="U2397" s="62">
        <v>1.0</v>
      </c>
      <c r="V2397" s="277">
        <v>0.15</v>
      </c>
      <c r="W2397" s="277">
        <v>0.05</v>
      </c>
      <c r="X2397" s="280">
        <v>-6546.0</v>
      </c>
      <c r="Y2397" s="280">
        <v>-1636.0</v>
      </c>
      <c r="Z2397" s="50" t="b">
        <v>0</v>
      </c>
      <c r="AA2397" s="50" t="s">
        <v>140</v>
      </c>
      <c r="AB2397" s="50" t="s">
        <v>140</v>
      </c>
    </row>
    <row r="2398">
      <c r="A2398" s="280" t="s">
        <v>459</v>
      </c>
      <c r="B2398" s="280" t="s">
        <v>151</v>
      </c>
      <c r="C2398" s="283">
        <v>44916.0</v>
      </c>
      <c r="D2398" s="283">
        <v>44957.0</v>
      </c>
      <c r="E2398" s="280" t="s">
        <v>331</v>
      </c>
      <c r="F2398" s="138" t="s">
        <v>8</v>
      </c>
      <c r="G2398" s="280" t="s">
        <v>9</v>
      </c>
      <c r="H2398" s="290" t="s">
        <v>99</v>
      </c>
      <c r="I2398" s="281">
        <v>250.0</v>
      </c>
      <c r="J2398" s="280">
        <v>1.0</v>
      </c>
      <c r="K2398" s="271">
        <f t="shared" si="1"/>
        <v>250</v>
      </c>
      <c r="L2398" s="280">
        <v>51.0</v>
      </c>
      <c r="M2398" s="280">
        <v>250.0</v>
      </c>
      <c r="N2398" s="282">
        <v>2.93</v>
      </c>
      <c r="O2398" s="60"/>
      <c r="P2398" s="50">
        <v>3.0</v>
      </c>
      <c r="Q2398" s="280">
        <v>19.0</v>
      </c>
      <c r="R2398" s="276">
        <v>0.002127</v>
      </c>
      <c r="S2398" s="280">
        <v>20.0</v>
      </c>
      <c r="T2398" s="280">
        <v>23.0</v>
      </c>
      <c r="U2398" s="62">
        <v>1.0</v>
      </c>
      <c r="V2398" s="277">
        <v>0.15</v>
      </c>
      <c r="W2398" s="277">
        <v>0.05</v>
      </c>
      <c r="X2398" s="280">
        <v>18.0</v>
      </c>
      <c r="Y2398" s="280">
        <v>5.0</v>
      </c>
      <c r="Z2398" s="50" t="b">
        <v>0</v>
      </c>
      <c r="AA2398" s="50" t="s">
        <v>140</v>
      </c>
      <c r="AB2398" s="50" t="s">
        <v>140</v>
      </c>
    </row>
    <row r="2399">
      <c r="A2399" s="280" t="s">
        <v>459</v>
      </c>
      <c r="B2399" s="280" t="s">
        <v>151</v>
      </c>
      <c r="C2399" s="283">
        <v>44916.0</v>
      </c>
      <c r="D2399" s="283">
        <v>44957.0</v>
      </c>
      <c r="E2399" s="280" t="s">
        <v>331</v>
      </c>
      <c r="F2399" s="138" t="s">
        <v>8</v>
      </c>
      <c r="G2399" s="280" t="s">
        <v>9</v>
      </c>
      <c r="H2399" s="290" t="s">
        <v>105</v>
      </c>
      <c r="I2399" s="281">
        <v>500.0</v>
      </c>
      <c r="J2399" s="280">
        <v>1.0</v>
      </c>
      <c r="K2399" s="271">
        <f t="shared" si="1"/>
        <v>500</v>
      </c>
      <c r="L2399" s="280">
        <v>-58.0</v>
      </c>
      <c r="M2399" s="280">
        <v>-500.0</v>
      </c>
      <c r="N2399" s="282">
        <v>5.85</v>
      </c>
      <c r="O2399" s="60"/>
      <c r="P2399" s="50">
        <v>6.0</v>
      </c>
      <c r="Q2399" s="280">
        <v>-127.0</v>
      </c>
      <c r="R2399" s="276">
        <v>9.11E-4</v>
      </c>
      <c r="S2399" s="280">
        <v>-127.0</v>
      </c>
      <c r="T2399" s="280">
        <v>-121.0</v>
      </c>
      <c r="U2399" s="62">
        <v>1.0</v>
      </c>
      <c r="V2399" s="277">
        <v>0.15</v>
      </c>
      <c r="W2399" s="277">
        <v>0.05</v>
      </c>
      <c r="X2399" s="280">
        <v>-97.0</v>
      </c>
      <c r="Y2399" s="280">
        <v>-24.0</v>
      </c>
      <c r="Z2399" s="50" t="b">
        <v>0</v>
      </c>
      <c r="AA2399" s="50" t="s">
        <v>140</v>
      </c>
      <c r="AB2399" s="50" t="s">
        <v>140</v>
      </c>
    </row>
    <row r="2400">
      <c r="A2400" s="280" t="s">
        <v>459</v>
      </c>
      <c r="B2400" s="280" t="s">
        <v>145</v>
      </c>
      <c r="C2400" s="283">
        <v>44916.0</v>
      </c>
      <c r="D2400" s="283">
        <v>44957.0</v>
      </c>
      <c r="E2400" s="280" t="s">
        <v>331</v>
      </c>
      <c r="F2400" s="138" t="s">
        <v>8</v>
      </c>
      <c r="G2400" s="280" t="s">
        <v>5</v>
      </c>
      <c r="H2400" s="273" t="s">
        <v>85</v>
      </c>
      <c r="I2400" s="274">
        <v>100.0</v>
      </c>
      <c r="J2400" s="271">
        <v>43.0</v>
      </c>
      <c r="K2400" s="271">
        <f t="shared" si="1"/>
        <v>4300</v>
      </c>
      <c r="L2400" s="271">
        <v>-1703.0</v>
      </c>
      <c r="M2400" s="271">
        <v>0.0</v>
      </c>
      <c r="N2400" s="275">
        <v>50.0</v>
      </c>
      <c r="O2400" s="60"/>
      <c r="P2400" s="50">
        <v>50.0</v>
      </c>
      <c r="Q2400" s="271">
        <v>-547.0</v>
      </c>
      <c r="R2400" s="276">
        <v>0.001719</v>
      </c>
      <c r="S2400" s="271">
        <v>-540.0</v>
      </c>
      <c r="T2400" s="271">
        <v>-490.0</v>
      </c>
      <c r="U2400" s="62">
        <v>1.0</v>
      </c>
      <c r="V2400" s="277">
        <v>0.15</v>
      </c>
      <c r="W2400" s="277">
        <v>0.05</v>
      </c>
      <c r="X2400" s="271">
        <v>-392.0</v>
      </c>
      <c r="Y2400" s="271">
        <v>-98.0</v>
      </c>
      <c r="Z2400" s="50" t="b">
        <v>0</v>
      </c>
      <c r="AA2400" s="50" t="s">
        <v>138</v>
      </c>
      <c r="AB2400" s="50" t="s">
        <v>138</v>
      </c>
    </row>
    <row r="2401">
      <c r="A2401" s="280" t="s">
        <v>459</v>
      </c>
      <c r="B2401" s="280" t="s">
        <v>145</v>
      </c>
      <c r="C2401" s="283">
        <v>44916.0</v>
      </c>
      <c r="D2401" s="283">
        <v>44957.0</v>
      </c>
      <c r="E2401" s="280" t="s">
        <v>331</v>
      </c>
      <c r="F2401" s="138" t="s">
        <v>8</v>
      </c>
      <c r="G2401" s="280" t="s">
        <v>5</v>
      </c>
      <c r="H2401" s="273" t="s">
        <v>101</v>
      </c>
      <c r="I2401" s="274">
        <v>500.0</v>
      </c>
      <c r="J2401" s="271">
        <v>6.0</v>
      </c>
      <c r="K2401" s="271">
        <f t="shared" si="1"/>
        <v>3000</v>
      </c>
      <c r="L2401" s="271">
        <v>215.0</v>
      </c>
      <c r="M2401" s="271">
        <v>500.0</v>
      </c>
      <c r="N2401" s="275">
        <v>35.0</v>
      </c>
      <c r="O2401" s="60"/>
      <c r="P2401" s="50">
        <v>35.0</v>
      </c>
      <c r="Q2401" s="271">
        <v>53.0</v>
      </c>
      <c r="R2401" s="276">
        <v>0.002075</v>
      </c>
      <c r="S2401" s="271">
        <v>59.0</v>
      </c>
      <c r="T2401" s="271">
        <v>94.0</v>
      </c>
      <c r="U2401" s="62">
        <v>1.0</v>
      </c>
      <c r="V2401" s="277">
        <v>0.15</v>
      </c>
      <c r="W2401" s="277">
        <v>0.05</v>
      </c>
      <c r="X2401" s="271">
        <v>75.0</v>
      </c>
      <c r="Y2401" s="271">
        <v>19.0</v>
      </c>
      <c r="Z2401" s="50" t="b">
        <v>0</v>
      </c>
      <c r="AA2401" s="50" t="s">
        <v>138</v>
      </c>
      <c r="AB2401" s="50" t="s">
        <v>138</v>
      </c>
    </row>
    <row r="2402">
      <c r="A2402" s="280" t="s">
        <v>459</v>
      </c>
      <c r="B2402" s="280" t="s">
        <v>145</v>
      </c>
      <c r="C2402" s="283">
        <v>44916.0</v>
      </c>
      <c r="D2402" s="283">
        <v>44957.0</v>
      </c>
      <c r="E2402" s="280" t="s">
        <v>331</v>
      </c>
      <c r="F2402" s="138" t="s">
        <v>8</v>
      </c>
      <c r="G2402" s="280" t="s">
        <v>5</v>
      </c>
      <c r="H2402" s="273" t="s">
        <v>96</v>
      </c>
      <c r="I2402" s="274">
        <v>250.0</v>
      </c>
      <c r="J2402" s="271">
        <v>68.0</v>
      </c>
      <c r="K2402" s="271">
        <f t="shared" si="1"/>
        <v>17000</v>
      </c>
      <c r="L2402" s="271">
        <v>-4822.0</v>
      </c>
      <c r="M2402" s="271">
        <v>-7250.0</v>
      </c>
      <c r="N2402" s="275">
        <v>198.0</v>
      </c>
      <c r="O2402" s="60"/>
      <c r="P2402" s="50">
        <v>198.0</v>
      </c>
      <c r="Q2402" s="271">
        <v>-3125.0</v>
      </c>
      <c r="R2402" s="276">
        <v>0.001791</v>
      </c>
      <c r="S2402" s="271">
        <v>-3095.0</v>
      </c>
      <c r="T2402" s="271">
        <v>-2897.0</v>
      </c>
      <c r="U2402" s="62">
        <v>1.0</v>
      </c>
      <c r="V2402" s="277">
        <v>0.15</v>
      </c>
      <c r="W2402" s="277">
        <v>0.05</v>
      </c>
      <c r="X2402" s="271">
        <v>-2317.0</v>
      </c>
      <c r="Y2402" s="271">
        <v>-579.0</v>
      </c>
      <c r="Z2402" s="50" t="b">
        <v>0</v>
      </c>
      <c r="AA2402" s="50" t="s">
        <v>138</v>
      </c>
      <c r="AB2402" s="50" t="s">
        <v>138</v>
      </c>
    </row>
    <row r="2403">
      <c r="A2403" s="280" t="s">
        <v>459</v>
      </c>
      <c r="B2403" s="280" t="s">
        <v>145</v>
      </c>
      <c r="C2403" s="283">
        <v>44916.0</v>
      </c>
      <c r="D2403" s="283">
        <v>44957.0</v>
      </c>
      <c r="E2403" s="280" t="s">
        <v>331</v>
      </c>
      <c r="F2403" s="138" t="s">
        <v>8</v>
      </c>
      <c r="G2403" s="280" t="s">
        <v>5</v>
      </c>
      <c r="H2403" s="273" t="s">
        <v>106</v>
      </c>
      <c r="I2403" s="274">
        <v>1000.0</v>
      </c>
      <c r="J2403" s="271">
        <v>1.0</v>
      </c>
      <c r="K2403" s="271">
        <f t="shared" si="1"/>
        <v>1000</v>
      </c>
      <c r="L2403" s="271">
        <v>609.0</v>
      </c>
      <c r="M2403" s="271">
        <v>1000.0</v>
      </c>
      <c r="N2403" s="275">
        <v>12.0</v>
      </c>
      <c r="O2403" s="60"/>
      <c r="P2403" s="50">
        <v>12.0</v>
      </c>
      <c r="Q2403" s="271">
        <v>1096.0</v>
      </c>
      <c r="R2403" s="276">
        <v>0.001566</v>
      </c>
      <c r="S2403" s="271">
        <v>1098.0</v>
      </c>
      <c r="T2403" s="271">
        <v>1110.0</v>
      </c>
      <c r="U2403" s="62">
        <v>1.0</v>
      </c>
      <c r="V2403" s="277">
        <v>0.15</v>
      </c>
      <c r="W2403" s="277">
        <v>0.05</v>
      </c>
      <c r="X2403" s="271">
        <v>888.0</v>
      </c>
      <c r="Y2403" s="271">
        <v>222.0</v>
      </c>
      <c r="Z2403" s="50" t="b">
        <v>0</v>
      </c>
      <c r="AA2403" s="50" t="s">
        <v>138</v>
      </c>
      <c r="AB2403" s="50" t="s">
        <v>138</v>
      </c>
    </row>
    <row r="2404">
      <c r="A2404" s="280" t="s">
        <v>459</v>
      </c>
      <c r="B2404" s="280" t="s">
        <v>151</v>
      </c>
      <c r="C2404" s="283">
        <v>44916.0</v>
      </c>
      <c r="D2404" s="283">
        <v>44957.0</v>
      </c>
      <c r="E2404" s="280" t="s">
        <v>331</v>
      </c>
      <c r="F2404" s="138" t="s">
        <v>12</v>
      </c>
      <c r="G2404" s="280" t="s">
        <v>9</v>
      </c>
      <c r="H2404" s="290" t="s">
        <v>99</v>
      </c>
      <c r="I2404" s="274">
        <v>250.0</v>
      </c>
      <c r="J2404" s="271">
        <v>0.0</v>
      </c>
      <c r="K2404" s="271">
        <f t="shared" si="1"/>
        <v>0</v>
      </c>
      <c r="L2404" s="271">
        <v>0.0</v>
      </c>
      <c r="M2404" s="271">
        <v>0.0</v>
      </c>
      <c r="N2404" s="275">
        <v>750.0</v>
      </c>
      <c r="O2404" s="60"/>
      <c r="P2404" s="50">
        <v>750.0</v>
      </c>
      <c r="Q2404" s="271"/>
      <c r="R2404" s="276">
        <v>0.0</v>
      </c>
      <c r="S2404" s="271"/>
      <c r="T2404" s="271">
        <v>750.0</v>
      </c>
      <c r="U2404" s="62">
        <v>1.0</v>
      </c>
      <c r="V2404" s="277">
        <v>0.15</v>
      </c>
      <c r="W2404" s="277">
        <v>0.05</v>
      </c>
      <c r="X2404" s="271">
        <v>600.0</v>
      </c>
      <c r="Y2404" s="271">
        <v>150.0</v>
      </c>
      <c r="Z2404" s="50" t="b">
        <v>0</v>
      </c>
      <c r="AA2404" s="50" t="s">
        <v>140</v>
      </c>
      <c r="AB2404" s="50" t="s">
        <v>140</v>
      </c>
    </row>
    <row r="2405">
      <c r="A2405" s="101" t="s">
        <v>181</v>
      </c>
      <c r="B2405" s="101" t="s">
        <v>181</v>
      </c>
      <c r="C2405" s="278">
        <v>44927.0</v>
      </c>
      <c r="D2405" s="278">
        <v>44957.0</v>
      </c>
      <c r="E2405" s="271" t="s">
        <v>268</v>
      </c>
      <c r="F2405" s="101" t="s">
        <v>8</v>
      </c>
      <c r="G2405" s="271" t="s">
        <v>13</v>
      </c>
      <c r="H2405" s="273" t="s">
        <v>74</v>
      </c>
      <c r="I2405" s="274">
        <v>50.0</v>
      </c>
      <c r="J2405" s="271">
        <v>532.0</v>
      </c>
      <c r="K2405" s="271">
        <f t="shared" si="1"/>
        <v>26600</v>
      </c>
      <c r="L2405" s="271">
        <v>-21.0</v>
      </c>
      <c r="M2405" s="271">
        <v>-850.0</v>
      </c>
      <c r="N2405" s="275">
        <v>1415.74</v>
      </c>
      <c r="O2405" s="60"/>
      <c r="P2405" s="109">
        <v>1416.0</v>
      </c>
      <c r="Q2405" s="271">
        <v>-1954.0</v>
      </c>
      <c r="R2405" s="276">
        <v>-0.004899</v>
      </c>
      <c r="S2405" s="271">
        <v>-2084.0</v>
      </c>
      <c r="T2405" s="271">
        <v>-668.0</v>
      </c>
      <c r="U2405" s="62">
        <v>1.0</v>
      </c>
      <c r="V2405" s="277">
        <v>0.15</v>
      </c>
      <c r="W2405" s="277">
        <v>0.0</v>
      </c>
      <c r="X2405" s="271">
        <v>-568.0</v>
      </c>
      <c r="Y2405" s="271">
        <v>-100.0</v>
      </c>
      <c r="Z2405" s="50" t="b">
        <v>0</v>
      </c>
      <c r="AA2405" s="50" t="s">
        <v>138</v>
      </c>
      <c r="AB2405" s="50" t="s">
        <v>138</v>
      </c>
    </row>
    <row r="2406">
      <c r="A2406" s="101" t="s">
        <v>181</v>
      </c>
      <c r="B2406" s="101" t="s">
        <v>181</v>
      </c>
      <c r="C2406" s="278">
        <v>44927.0</v>
      </c>
      <c r="D2406" s="278">
        <v>44957.0</v>
      </c>
      <c r="E2406" s="271" t="s">
        <v>268</v>
      </c>
      <c r="F2406" s="101" t="s">
        <v>12</v>
      </c>
      <c r="G2406" s="271" t="s">
        <v>13</v>
      </c>
      <c r="H2406" s="114" t="s">
        <v>85</v>
      </c>
      <c r="I2406" s="274">
        <v>100.0</v>
      </c>
      <c r="J2406" s="271">
        <v>4490.0</v>
      </c>
      <c r="K2406" s="271">
        <f t="shared" si="1"/>
        <v>449000</v>
      </c>
      <c r="L2406" s="271">
        <v>41875.0</v>
      </c>
      <c r="M2406" s="271">
        <v>-19300.0</v>
      </c>
      <c r="N2406" s="275">
        <v>23897.26</v>
      </c>
      <c r="O2406" s="60"/>
      <c r="P2406" s="109">
        <v>23897.0</v>
      </c>
      <c r="Q2406" s="271">
        <v>-20880.0</v>
      </c>
      <c r="R2406" s="276">
        <v>0.0</v>
      </c>
      <c r="S2406" s="271">
        <v>-20880.0</v>
      </c>
      <c r="T2406" s="271">
        <v>4597.0</v>
      </c>
      <c r="U2406" s="62">
        <v>1.0</v>
      </c>
      <c r="V2406" s="277">
        <v>0.15</v>
      </c>
      <c r="W2406" s="277">
        <v>0.0</v>
      </c>
      <c r="X2406" s="271">
        <v>3908.0</v>
      </c>
      <c r="Y2406" s="271">
        <v>690.0</v>
      </c>
      <c r="Z2406" s="50" t="b">
        <v>0</v>
      </c>
      <c r="AA2406" s="50" t="s">
        <v>138</v>
      </c>
      <c r="AB2406" s="50" t="s">
        <v>138</v>
      </c>
    </row>
    <row r="2407">
      <c r="A2407" s="280" t="s">
        <v>693</v>
      </c>
      <c r="B2407" s="280" t="s">
        <v>224</v>
      </c>
      <c r="C2407" s="283">
        <v>44922.0</v>
      </c>
      <c r="D2407" s="283">
        <v>44957.0</v>
      </c>
      <c r="E2407" s="280" t="s">
        <v>268</v>
      </c>
      <c r="F2407" s="138" t="s">
        <v>12</v>
      </c>
      <c r="G2407" s="280" t="s">
        <v>9</v>
      </c>
      <c r="H2407" s="290" t="s">
        <v>39</v>
      </c>
      <c r="I2407" s="281">
        <v>5.0</v>
      </c>
      <c r="J2407" s="280">
        <v>1864.0</v>
      </c>
      <c r="K2407" s="271">
        <f t="shared" si="1"/>
        <v>9320</v>
      </c>
      <c r="L2407" s="280">
        <v>118946.0</v>
      </c>
      <c r="M2407" s="280">
        <v>-585.0</v>
      </c>
      <c r="N2407" s="282">
        <v>198.0</v>
      </c>
      <c r="O2407" s="60"/>
      <c r="P2407" s="50">
        <v>198.0</v>
      </c>
      <c r="Q2407" s="280">
        <v>270.0</v>
      </c>
      <c r="R2407" s="276">
        <v>0.0</v>
      </c>
      <c r="S2407" s="280">
        <v>270.0</v>
      </c>
      <c r="T2407" s="280">
        <v>-387.0</v>
      </c>
      <c r="U2407" s="62">
        <v>1.0</v>
      </c>
      <c r="V2407" s="291"/>
      <c r="W2407" s="277">
        <v>0.0</v>
      </c>
      <c r="X2407" s="280">
        <v>-387.0</v>
      </c>
      <c r="Y2407" s="280">
        <v>0.0</v>
      </c>
      <c r="Z2407" s="50" t="b">
        <v>0</v>
      </c>
      <c r="AA2407" s="50" t="s">
        <v>140</v>
      </c>
      <c r="AB2407" s="50" t="s">
        <v>140</v>
      </c>
    </row>
    <row r="2408">
      <c r="A2408" s="101" t="s">
        <v>197</v>
      </c>
      <c r="B2408" s="101" t="s">
        <v>197</v>
      </c>
      <c r="C2408" s="278">
        <v>44916.0</v>
      </c>
      <c r="D2408" s="278">
        <v>44957.0</v>
      </c>
      <c r="E2408" s="280" t="s">
        <v>268</v>
      </c>
      <c r="F2408" s="138" t="s">
        <v>8</v>
      </c>
      <c r="G2408" s="271" t="s">
        <v>5</v>
      </c>
      <c r="H2408" s="273" t="s">
        <v>48</v>
      </c>
      <c r="I2408" s="274">
        <v>10.0</v>
      </c>
      <c r="J2408" s="271">
        <v>25.0</v>
      </c>
      <c r="K2408" s="271">
        <f t="shared" si="1"/>
        <v>250</v>
      </c>
      <c r="L2408" s="271">
        <v>-1587.0</v>
      </c>
      <c r="M2408" s="271">
        <v>-40.0</v>
      </c>
      <c r="N2408" s="275">
        <v>11.0</v>
      </c>
      <c r="O2408" s="60"/>
      <c r="P2408" s="50">
        <v>11.0</v>
      </c>
      <c r="Q2408" s="271">
        <v>-67.0</v>
      </c>
      <c r="R2408" s="276">
        <v>6.9E-5</v>
      </c>
      <c r="S2408" s="271">
        <v>-67.0</v>
      </c>
      <c r="T2408" s="271">
        <v>-56.0</v>
      </c>
      <c r="U2408" s="62">
        <v>1.0</v>
      </c>
      <c r="V2408" s="277">
        <v>0.35</v>
      </c>
      <c r="W2408" s="277">
        <v>0.0</v>
      </c>
      <c r="X2408" s="271">
        <v>-36.0</v>
      </c>
      <c r="Y2408" s="271">
        <v>-20.0</v>
      </c>
      <c r="Z2408" s="50" t="b">
        <v>1</v>
      </c>
      <c r="AA2408" s="50" t="s">
        <v>138</v>
      </c>
      <c r="AB2408" s="50" t="s">
        <v>138</v>
      </c>
    </row>
    <row r="2409">
      <c r="A2409" s="101" t="s">
        <v>197</v>
      </c>
      <c r="B2409" s="101" t="s">
        <v>197</v>
      </c>
      <c r="C2409" s="278">
        <v>44916.0</v>
      </c>
      <c r="D2409" s="278">
        <v>44957.0</v>
      </c>
      <c r="E2409" s="280" t="s">
        <v>268</v>
      </c>
      <c r="F2409" s="138" t="s">
        <v>8</v>
      </c>
      <c r="G2409" s="271" t="s">
        <v>5</v>
      </c>
      <c r="H2409" s="273" t="s">
        <v>45</v>
      </c>
      <c r="I2409" s="274">
        <v>10.0</v>
      </c>
      <c r="J2409" s="271">
        <v>267.0</v>
      </c>
      <c r="K2409" s="271">
        <f t="shared" si="1"/>
        <v>2670</v>
      </c>
      <c r="L2409" s="271">
        <v>13655.0</v>
      </c>
      <c r="M2409" s="271">
        <v>40.0</v>
      </c>
      <c r="N2409" s="275">
        <v>120.0</v>
      </c>
      <c r="O2409" s="60"/>
      <c r="P2409" s="50">
        <v>120.0</v>
      </c>
      <c r="Q2409" s="271">
        <v>53.0</v>
      </c>
      <c r="R2409" s="276">
        <v>0.001912</v>
      </c>
      <c r="S2409" s="271">
        <v>58.0</v>
      </c>
      <c r="T2409" s="271">
        <v>178.0</v>
      </c>
      <c r="U2409" s="62">
        <v>1.0</v>
      </c>
      <c r="V2409" s="277">
        <v>0.35</v>
      </c>
      <c r="W2409" s="277">
        <v>0.0</v>
      </c>
      <c r="X2409" s="271">
        <v>116.0</v>
      </c>
      <c r="Y2409" s="271">
        <v>62.0</v>
      </c>
      <c r="Z2409" s="50" t="b">
        <v>1</v>
      </c>
      <c r="AA2409" s="50" t="s">
        <v>138</v>
      </c>
      <c r="AB2409" s="50" t="s">
        <v>138</v>
      </c>
    </row>
    <row r="2410">
      <c r="A2410" s="101" t="s">
        <v>197</v>
      </c>
      <c r="B2410" s="101" t="s">
        <v>197</v>
      </c>
      <c r="C2410" s="278">
        <v>44916.0</v>
      </c>
      <c r="D2410" s="278">
        <v>44957.0</v>
      </c>
      <c r="E2410" s="280" t="s">
        <v>268</v>
      </c>
      <c r="F2410" s="138" t="s">
        <v>8</v>
      </c>
      <c r="G2410" s="271" t="s">
        <v>5</v>
      </c>
      <c r="H2410" s="273" t="s">
        <v>62</v>
      </c>
      <c r="I2410" s="274">
        <v>25.0</v>
      </c>
      <c r="J2410" s="271">
        <v>1402.0</v>
      </c>
      <c r="K2410" s="271">
        <f t="shared" si="1"/>
        <v>35050</v>
      </c>
      <c r="L2410" s="271">
        <v>52776.0</v>
      </c>
      <c r="M2410" s="271">
        <v>-700.0</v>
      </c>
      <c r="N2410" s="275">
        <v>1354.0</v>
      </c>
      <c r="O2410" s="60"/>
      <c r="P2410" s="109">
        <v>1354.0</v>
      </c>
      <c r="Q2410" s="271">
        <v>203.0</v>
      </c>
      <c r="R2410" s="276">
        <v>0.001787</v>
      </c>
      <c r="S2410" s="271">
        <v>266.0</v>
      </c>
      <c r="T2410" s="271">
        <v>1620.0</v>
      </c>
      <c r="U2410" s="62">
        <v>1.0</v>
      </c>
      <c r="V2410" s="277">
        <v>0.35</v>
      </c>
      <c r="W2410" s="277">
        <v>0.0</v>
      </c>
      <c r="X2410" s="271">
        <v>1053.0</v>
      </c>
      <c r="Y2410" s="271">
        <v>567.0</v>
      </c>
      <c r="Z2410" s="50" t="b">
        <v>1</v>
      </c>
      <c r="AA2410" s="50" t="s">
        <v>138</v>
      </c>
      <c r="AB2410" s="50" t="s">
        <v>138</v>
      </c>
    </row>
    <row r="2411">
      <c r="A2411" s="101" t="s">
        <v>197</v>
      </c>
      <c r="B2411" s="101" t="s">
        <v>197</v>
      </c>
      <c r="C2411" s="278">
        <v>44916.0</v>
      </c>
      <c r="D2411" s="278">
        <v>44957.0</v>
      </c>
      <c r="E2411" s="280" t="s">
        <v>268</v>
      </c>
      <c r="F2411" s="138" t="s">
        <v>8</v>
      </c>
      <c r="G2411" s="271" t="s">
        <v>5</v>
      </c>
      <c r="H2411" s="273" t="s">
        <v>63</v>
      </c>
      <c r="I2411" s="274">
        <v>25.0</v>
      </c>
      <c r="J2411" s="271">
        <v>73.0</v>
      </c>
      <c r="K2411" s="271">
        <f t="shared" si="1"/>
        <v>1825</v>
      </c>
      <c r="L2411" s="271">
        <v>1430.0</v>
      </c>
      <c r="M2411" s="271">
        <v>-150.0</v>
      </c>
      <c r="N2411" s="275">
        <v>70.0</v>
      </c>
      <c r="O2411" s="60"/>
      <c r="P2411" s="50">
        <v>70.0</v>
      </c>
      <c r="Q2411" s="271">
        <v>-6.0</v>
      </c>
      <c r="R2411" s="276">
        <v>0.001816</v>
      </c>
      <c r="S2411" s="271">
        <v>-3.0</v>
      </c>
      <c r="T2411" s="271">
        <v>67.0</v>
      </c>
      <c r="U2411" s="62">
        <v>1.0</v>
      </c>
      <c r="V2411" s="277">
        <v>0.35</v>
      </c>
      <c r="W2411" s="277">
        <v>0.0</v>
      </c>
      <c r="X2411" s="271">
        <v>44.0</v>
      </c>
      <c r="Y2411" s="271">
        <v>23.0</v>
      </c>
      <c r="Z2411" s="50" t="b">
        <v>1</v>
      </c>
      <c r="AA2411" s="50" t="s">
        <v>138</v>
      </c>
      <c r="AB2411" s="50" t="s">
        <v>138</v>
      </c>
    </row>
    <row r="2412">
      <c r="A2412" s="101" t="s">
        <v>197</v>
      </c>
      <c r="B2412" s="101" t="s">
        <v>197</v>
      </c>
      <c r="C2412" s="278">
        <v>44916.0</v>
      </c>
      <c r="D2412" s="278">
        <v>44957.0</v>
      </c>
      <c r="E2412" s="280" t="s">
        <v>268</v>
      </c>
      <c r="F2412" s="138" t="s">
        <v>8</v>
      </c>
      <c r="G2412" s="271" t="s">
        <v>5</v>
      </c>
      <c r="H2412" s="273" t="s">
        <v>75</v>
      </c>
      <c r="I2412" s="274">
        <v>50.0</v>
      </c>
      <c r="J2412" s="271">
        <v>187.0</v>
      </c>
      <c r="K2412" s="271">
        <f t="shared" si="1"/>
        <v>9350</v>
      </c>
      <c r="L2412" s="271">
        <v>-3505.0</v>
      </c>
      <c r="M2412" s="271">
        <v>-2200.0</v>
      </c>
      <c r="N2412" s="275">
        <v>361.0</v>
      </c>
      <c r="O2412" s="60"/>
      <c r="P2412" s="50">
        <v>361.0</v>
      </c>
      <c r="Q2412" s="271">
        <v>-1141.0</v>
      </c>
      <c r="R2412" s="276">
        <v>0.001819</v>
      </c>
      <c r="S2412" s="271">
        <v>-1124.0</v>
      </c>
      <c r="T2412" s="271">
        <v>-763.0</v>
      </c>
      <c r="U2412" s="62">
        <v>1.0</v>
      </c>
      <c r="V2412" s="277">
        <v>0.35</v>
      </c>
      <c r="W2412" s="277">
        <v>0.0</v>
      </c>
      <c r="X2412" s="271">
        <v>-496.0</v>
      </c>
      <c r="Y2412" s="271">
        <v>-267.0</v>
      </c>
      <c r="Z2412" s="50" t="b">
        <v>1</v>
      </c>
      <c r="AA2412" s="50" t="s">
        <v>138</v>
      </c>
      <c r="AB2412" s="50" t="s">
        <v>138</v>
      </c>
    </row>
    <row r="2413">
      <c r="A2413" s="101" t="s">
        <v>197</v>
      </c>
      <c r="B2413" s="101" t="s">
        <v>197</v>
      </c>
      <c r="C2413" s="278">
        <v>44916.0</v>
      </c>
      <c r="D2413" s="278">
        <v>44957.0</v>
      </c>
      <c r="E2413" s="280" t="s">
        <v>268</v>
      </c>
      <c r="F2413" s="138" t="s">
        <v>8</v>
      </c>
      <c r="G2413" s="271" t="s">
        <v>5</v>
      </c>
      <c r="H2413" s="273" t="s">
        <v>74</v>
      </c>
      <c r="I2413" s="274">
        <v>50.0</v>
      </c>
      <c r="J2413" s="271">
        <v>1041.0</v>
      </c>
      <c r="K2413" s="271">
        <f t="shared" si="1"/>
        <v>52050</v>
      </c>
      <c r="L2413" s="271">
        <v>11915.0</v>
      </c>
      <c r="M2413" s="271">
        <v>-1950.0</v>
      </c>
      <c r="N2413" s="275">
        <v>2010.0</v>
      </c>
      <c r="O2413" s="60"/>
      <c r="P2413" s="109">
        <v>2010.0</v>
      </c>
      <c r="Q2413" s="271">
        <v>-2229.0</v>
      </c>
      <c r="R2413" s="276">
        <v>0.001796</v>
      </c>
      <c r="S2413" s="271">
        <v>-2135.0</v>
      </c>
      <c r="T2413" s="271">
        <v>-125.0</v>
      </c>
      <c r="U2413" s="62">
        <v>1.0</v>
      </c>
      <c r="V2413" s="277">
        <v>0.35</v>
      </c>
      <c r="W2413" s="277">
        <v>0.0</v>
      </c>
      <c r="X2413" s="271">
        <v>-81.0</v>
      </c>
      <c r="Y2413" s="271">
        <v>-44.0</v>
      </c>
      <c r="Z2413" s="50" t="b">
        <v>1</v>
      </c>
      <c r="AA2413" s="50" t="s">
        <v>138</v>
      </c>
      <c r="AB2413" s="50" t="s">
        <v>138</v>
      </c>
    </row>
    <row r="2414">
      <c r="A2414" s="101" t="s">
        <v>197</v>
      </c>
      <c r="B2414" s="101" t="s">
        <v>197</v>
      </c>
      <c r="C2414" s="278">
        <v>44916.0</v>
      </c>
      <c r="D2414" s="278">
        <v>44957.0</v>
      </c>
      <c r="E2414" s="280" t="s">
        <v>268</v>
      </c>
      <c r="F2414" s="138" t="s">
        <v>12</v>
      </c>
      <c r="G2414" s="271" t="s">
        <v>5</v>
      </c>
      <c r="H2414" s="273" t="s">
        <v>23</v>
      </c>
      <c r="I2414" s="274">
        <v>1.0</v>
      </c>
      <c r="J2414" s="271">
        <v>40.0</v>
      </c>
      <c r="K2414" s="271">
        <f t="shared" si="1"/>
        <v>40</v>
      </c>
      <c r="L2414" s="271"/>
      <c r="M2414" s="271">
        <v>9.0</v>
      </c>
      <c r="N2414" s="275">
        <v>2.0</v>
      </c>
      <c r="O2414" s="60"/>
      <c r="P2414" s="50">
        <v>2.0</v>
      </c>
      <c r="Q2414" s="271"/>
      <c r="R2414" s="276">
        <v>0.0</v>
      </c>
      <c r="S2414" s="271"/>
      <c r="T2414" s="271">
        <v>11.0</v>
      </c>
      <c r="U2414" s="62">
        <v>1.0</v>
      </c>
      <c r="V2414" s="277">
        <v>0.35</v>
      </c>
      <c r="W2414" s="277">
        <v>0.0</v>
      </c>
      <c r="X2414" s="271">
        <v>7.0</v>
      </c>
      <c r="Y2414" s="271">
        <v>4.0</v>
      </c>
      <c r="Z2414" s="50" t="b">
        <v>1</v>
      </c>
      <c r="AA2414" s="50" t="s">
        <v>138</v>
      </c>
      <c r="AB2414" s="50" t="s">
        <v>138</v>
      </c>
    </row>
    <row r="2415">
      <c r="A2415" s="101" t="s">
        <v>197</v>
      </c>
      <c r="B2415" s="101" t="s">
        <v>197</v>
      </c>
      <c r="C2415" s="278">
        <v>44916.0</v>
      </c>
      <c r="D2415" s="278">
        <v>44957.0</v>
      </c>
      <c r="E2415" s="280" t="s">
        <v>268</v>
      </c>
      <c r="F2415" s="138" t="s">
        <v>12</v>
      </c>
      <c r="G2415" s="271" t="s">
        <v>5</v>
      </c>
      <c r="H2415" s="273" t="s">
        <v>10</v>
      </c>
      <c r="I2415" s="274">
        <v>0.25</v>
      </c>
      <c r="J2415" s="271">
        <v>8.0</v>
      </c>
      <c r="K2415" s="271">
        <f t="shared" si="1"/>
        <v>2</v>
      </c>
      <c r="L2415" s="271"/>
      <c r="M2415" s="271">
        <v>0.0</v>
      </c>
      <c r="N2415" s="275">
        <v>1.0</v>
      </c>
      <c r="O2415" s="60"/>
      <c r="P2415" s="50">
        <v>1.0</v>
      </c>
      <c r="Q2415" s="271"/>
      <c r="R2415" s="276">
        <v>0.0</v>
      </c>
      <c r="S2415" s="271"/>
      <c r="T2415" s="271">
        <v>1.0</v>
      </c>
      <c r="U2415" s="62">
        <v>1.0</v>
      </c>
      <c r="V2415" s="277">
        <v>0.35</v>
      </c>
      <c r="W2415" s="277">
        <v>0.0</v>
      </c>
      <c r="X2415" s="271">
        <v>1.0</v>
      </c>
      <c r="Y2415" s="271">
        <v>0.0</v>
      </c>
      <c r="Z2415" s="50" t="b">
        <v>1</v>
      </c>
      <c r="AA2415" s="50" t="s">
        <v>138</v>
      </c>
      <c r="AB2415" s="50" t="s">
        <v>138</v>
      </c>
    </row>
    <row r="2416">
      <c r="A2416" s="101" t="s">
        <v>197</v>
      </c>
      <c r="B2416" s="101" t="s">
        <v>197</v>
      </c>
      <c r="C2416" s="278">
        <v>44916.0</v>
      </c>
      <c r="D2416" s="278">
        <v>44957.0</v>
      </c>
      <c r="E2416" s="280" t="s">
        <v>268</v>
      </c>
      <c r="F2416" s="138" t="s">
        <v>12</v>
      </c>
      <c r="G2416" s="271" t="s">
        <v>5</v>
      </c>
      <c r="H2416" s="273" t="s">
        <v>35</v>
      </c>
      <c r="I2416" s="274">
        <v>5.0</v>
      </c>
      <c r="J2416" s="271">
        <v>1.0</v>
      </c>
      <c r="K2416" s="271">
        <f t="shared" si="1"/>
        <v>5</v>
      </c>
      <c r="L2416" s="271"/>
      <c r="M2416" s="271">
        <v>10.0</v>
      </c>
      <c r="N2416" s="275">
        <v>1.0</v>
      </c>
      <c r="O2416" s="60"/>
      <c r="P2416" s="50">
        <v>1.0</v>
      </c>
      <c r="Q2416" s="271"/>
      <c r="R2416" s="276">
        <v>0.0</v>
      </c>
      <c r="S2416" s="271"/>
      <c r="T2416" s="271">
        <v>11.0</v>
      </c>
      <c r="U2416" s="62">
        <v>1.0</v>
      </c>
      <c r="V2416" s="277">
        <v>0.35</v>
      </c>
      <c r="W2416" s="277">
        <v>0.0</v>
      </c>
      <c r="X2416" s="271">
        <v>7.0</v>
      </c>
      <c r="Y2416" s="271">
        <v>4.0</v>
      </c>
      <c r="Z2416" s="50" t="b">
        <v>1</v>
      </c>
      <c r="AA2416" s="50" t="s">
        <v>138</v>
      </c>
      <c r="AB2416" s="50" t="s">
        <v>138</v>
      </c>
    </row>
    <row r="2417">
      <c r="A2417" s="101" t="s">
        <v>197</v>
      </c>
      <c r="B2417" s="101" t="s">
        <v>197</v>
      </c>
      <c r="C2417" s="278">
        <v>44916.0</v>
      </c>
      <c r="D2417" s="278">
        <v>44957.0</v>
      </c>
      <c r="E2417" s="280" t="s">
        <v>268</v>
      </c>
      <c r="F2417" s="138" t="s">
        <v>12</v>
      </c>
      <c r="G2417" s="271" t="s">
        <v>5</v>
      </c>
      <c r="H2417" s="273" t="s">
        <v>29</v>
      </c>
      <c r="I2417" s="274">
        <v>2.0</v>
      </c>
      <c r="J2417" s="271">
        <v>1.0</v>
      </c>
      <c r="K2417" s="271">
        <f t="shared" si="1"/>
        <v>2</v>
      </c>
      <c r="L2417" s="271"/>
      <c r="M2417" s="271">
        <v>4.0</v>
      </c>
      <c r="N2417" s="275"/>
      <c r="O2417" s="60"/>
      <c r="P2417" s="101"/>
      <c r="Q2417" s="271"/>
      <c r="R2417" s="276">
        <v>0.0</v>
      </c>
      <c r="S2417" s="271"/>
      <c r="T2417" s="271">
        <v>4.0</v>
      </c>
      <c r="U2417" s="62">
        <v>1.0</v>
      </c>
      <c r="V2417" s="277">
        <v>0.35</v>
      </c>
      <c r="W2417" s="277">
        <v>0.0</v>
      </c>
      <c r="X2417" s="271">
        <v>3.0</v>
      </c>
      <c r="Y2417" s="271">
        <v>1.0</v>
      </c>
      <c r="Z2417" s="50" t="b">
        <v>1</v>
      </c>
      <c r="AA2417" s="50" t="s">
        <v>138</v>
      </c>
      <c r="AB2417" s="50" t="s">
        <v>138</v>
      </c>
    </row>
    <row r="2418">
      <c r="A2418" s="101" t="s">
        <v>197</v>
      </c>
      <c r="B2418" s="101" t="s">
        <v>197</v>
      </c>
      <c r="C2418" s="278">
        <v>44916.0</v>
      </c>
      <c r="D2418" s="278">
        <v>44957.0</v>
      </c>
      <c r="E2418" s="280" t="s">
        <v>268</v>
      </c>
      <c r="F2418" s="138" t="s">
        <v>12</v>
      </c>
      <c r="G2418" s="271" t="s">
        <v>5</v>
      </c>
      <c r="H2418" s="273" t="s">
        <v>38</v>
      </c>
      <c r="I2418" s="274">
        <v>5.0</v>
      </c>
      <c r="J2418" s="271">
        <v>1.0</v>
      </c>
      <c r="K2418" s="271">
        <f t="shared" si="1"/>
        <v>5</v>
      </c>
      <c r="L2418" s="271"/>
      <c r="M2418" s="271">
        <v>-5.0</v>
      </c>
      <c r="N2418" s="275"/>
      <c r="O2418" s="60"/>
      <c r="P2418" s="101"/>
      <c r="Q2418" s="271"/>
      <c r="R2418" s="276">
        <v>0.0</v>
      </c>
      <c r="S2418" s="271"/>
      <c r="T2418" s="271">
        <v>-5.0</v>
      </c>
      <c r="U2418" s="62">
        <v>1.0</v>
      </c>
      <c r="V2418" s="277">
        <v>0.35</v>
      </c>
      <c r="W2418" s="277">
        <v>0.0</v>
      </c>
      <c r="X2418" s="271">
        <v>-3.0</v>
      </c>
      <c r="Y2418" s="271">
        <v>-2.0</v>
      </c>
      <c r="Z2418" s="50" t="b">
        <v>1</v>
      </c>
      <c r="AA2418" s="50" t="s">
        <v>138</v>
      </c>
      <c r="AB2418" s="50" t="s">
        <v>138</v>
      </c>
    </row>
    <row r="2419">
      <c r="A2419" s="280" t="s">
        <v>171</v>
      </c>
      <c r="B2419" s="280" t="s">
        <v>172</v>
      </c>
      <c r="C2419" s="283">
        <v>44916.0</v>
      </c>
      <c r="D2419" s="283">
        <v>44957.0</v>
      </c>
      <c r="E2419" s="280" t="s">
        <v>268</v>
      </c>
      <c r="F2419" s="138" t="s">
        <v>8</v>
      </c>
      <c r="G2419" s="280" t="s">
        <v>9</v>
      </c>
      <c r="H2419" s="290" t="s">
        <v>50</v>
      </c>
      <c r="I2419" s="281">
        <v>10.0</v>
      </c>
      <c r="J2419" s="280">
        <v>9443.0</v>
      </c>
      <c r="K2419" s="271">
        <f t="shared" si="1"/>
        <v>94430</v>
      </c>
      <c r="L2419" s="280">
        <v>562976.0</v>
      </c>
      <c r="M2419" s="280">
        <v>2527.0</v>
      </c>
      <c r="N2419" s="282">
        <v>1118.52</v>
      </c>
      <c r="O2419" s="60"/>
      <c r="P2419" s="109">
        <v>1119.0</v>
      </c>
      <c r="Q2419" s="280">
        <v>2106.0</v>
      </c>
      <c r="R2419" s="276">
        <v>0.001798</v>
      </c>
      <c r="S2419" s="280">
        <v>2276.0</v>
      </c>
      <c r="T2419" s="280">
        <v>3395.0</v>
      </c>
      <c r="U2419" s="62">
        <v>1.0</v>
      </c>
      <c r="V2419" s="277">
        <v>0.17</v>
      </c>
      <c r="W2419" s="277">
        <v>0.0</v>
      </c>
      <c r="X2419" s="280">
        <v>2817.0</v>
      </c>
      <c r="Y2419" s="280">
        <v>577.0</v>
      </c>
      <c r="Z2419" s="50" t="b">
        <v>1</v>
      </c>
      <c r="AA2419" s="50" t="s">
        <v>140</v>
      </c>
      <c r="AB2419" s="50" t="s">
        <v>140</v>
      </c>
    </row>
    <row r="2420">
      <c r="A2420" s="280" t="s">
        <v>171</v>
      </c>
      <c r="B2420" s="280" t="s">
        <v>172</v>
      </c>
      <c r="C2420" s="283">
        <v>44916.0</v>
      </c>
      <c r="D2420" s="283">
        <v>44957.0</v>
      </c>
      <c r="E2420" s="280" t="s">
        <v>268</v>
      </c>
      <c r="F2420" s="138" t="s">
        <v>8</v>
      </c>
      <c r="G2420" s="280" t="s">
        <v>9</v>
      </c>
      <c r="H2420" s="290" t="s">
        <v>64</v>
      </c>
      <c r="I2420" s="281">
        <v>25.0</v>
      </c>
      <c r="J2420" s="280">
        <v>1908.0</v>
      </c>
      <c r="K2420" s="271">
        <f t="shared" si="1"/>
        <v>47700</v>
      </c>
      <c r="L2420" s="280">
        <v>64067.0</v>
      </c>
      <c r="M2420" s="280">
        <v>887.0</v>
      </c>
      <c r="N2420" s="282">
        <v>6.48</v>
      </c>
      <c r="O2420" s="60"/>
      <c r="P2420" s="50">
        <v>6.0</v>
      </c>
      <c r="Q2420" s="280">
        <v>-1189.0</v>
      </c>
      <c r="R2420" s="276">
        <v>0.001805</v>
      </c>
      <c r="S2420" s="280">
        <v>-1103.0</v>
      </c>
      <c r="T2420" s="280">
        <v>-1097.0</v>
      </c>
      <c r="U2420" s="62">
        <v>1.0</v>
      </c>
      <c r="V2420" s="277">
        <v>0.17</v>
      </c>
      <c r="W2420" s="277">
        <v>0.0</v>
      </c>
      <c r="X2420" s="280">
        <v>-910.0</v>
      </c>
      <c r="Y2420" s="280">
        <v>-186.0</v>
      </c>
      <c r="Z2420" s="50" t="b">
        <v>1</v>
      </c>
      <c r="AA2420" s="50" t="s">
        <v>140</v>
      </c>
      <c r="AB2420" s="50" t="s">
        <v>140</v>
      </c>
    </row>
    <row r="2421">
      <c r="A2421" s="280" t="s">
        <v>206</v>
      </c>
      <c r="B2421" s="280" t="s">
        <v>206</v>
      </c>
      <c r="C2421" s="283">
        <v>44922.0</v>
      </c>
      <c r="D2421" s="283">
        <v>44957.0</v>
      </c>
      <c r="E2421" s="280" t="s">
        <v>268</v>
      </c>
      <c r="F2421" s="138" t="s">
        <v>12</v>
      </c>
      <c r="G2421" s="280" t="s">
        <v>142</v>
      </c>
      <c r="H2421" s="290" t="s">
        <v>39</v>
      </c>
      <c r="I2421" s="281">
        <v>5.0</v>
      </c>
      <c r="J2421" s="280">
        <v>18.0</v>
      </c>
      <c r="K2421" s="271">
        <f t="shared" si="1"/>
        <v>90</v>
      </c>
      <c r="L2421" s="280">
        <v>288.0</v>
      </c>
      <c r="M2421" s="280">
        <v>3.95</v>
      </c>
      <c r="N2421" s="282"/>
      <c r="O2421" s="60">
        <v>0.5</v>
      </c>
      <c r="P2421" s="50">
        <v>3.0</v>
      </c>
      <c r="Q2421" s="280">
        <v>-4.0</v>
      </c>
      <c r="R2421" s="276">
        <v>0.0</v>
      </c>
      <c r="S2421" s="280">
        <v>-4.0</v>
      </c>
      <c r="T2421" s="280">
        <v>7.0</v>
      </c>
      <c r="U2421" s="62">
        <v>1.0</v>
      </c>
      <c r="V2421" s="277">
        <v>0.12</v>
      </c>
      <c r="W2421" s="277">
        <v>0.0</v>
      </c>
      <c r="X2421" s="280">
        <v>6.0</v>
      </c>
      <c r="Y2421" s="280">
        <v>1.0</v>
      </c>
      <c r="Z2421" s="50" t="b">
        <v>1</v>
      </c>
      <c r="AA2421" s="50" t="s">
        <v>138</v>
      </c>
      <c r="AB2421" s="50" t="s">
        <v>138</v>
      </c>
    </row>
    <row r="2422">
      <c r="A2422" s="280" t="s">
        <v>206</v>
      </c>
      <c r="B2422" s="280" t="s">
        <v>206</v>
      </c>
      <c r="C2422" s="283">
        <v>44922.0</v>
      </c>
      <c r="D2422" s="283">
        <v>44957.0</v>
      </c>
      <c r="E2422" s="280" t="s">
        <v>268</v>
      </c>
      <c r="F2422" s="138" t="s">
        <v>12</v>
      </c>
      <c r="G2422" s="280" t="s">
        <v>142</v>
      </c>
      <c r="H2422" s="290" t="s">
        <v>50</v>
      </c>
      <c r="I2422" s="281">
        <v>10.0</v>
      </c>
      <c r="J2422" s="280">
        <v>4.0</v>
      </c>
      <c r="K2422" s="271">
        <f t="shared" si="1"/>
        <v>40</v>
      </c>
      <c r="L2422" s="280">
        <v>-336.0</v>
      </c>
      <c r="M2422" s="280">
        <v>1.76</v>
      </c>
      <c r="N2422" s="282"/>
      <c r="O2422" s="60">
        <v>0.5</v>
      </c>
      <c r="P2422" s="50">
        <v>1.0</v>
      </c>
      <c r="Q2422" s="280">
        <v>-9.0</v>
      </c>
      <c r="R2422" s="276">
        <v>0.0</v>
      </c>
      <c r="S2422" s="280">
        <v>-9.0</v>
      </c>
      <c r="T2422" s="280">
        <v>3.0</v>
      </c>
      <c r="U2422" s="62">
        <v>1.0</v>
      </c>
      <c r="V2422" s="277">
        <v>0.12</v>
      </c>
      <c r="W2422" s="277">
        <v>0.0</v>
      </c>
      <c r="X2422" s="280">
        <v>3.0</v>
      </c>
      <c r="Y2422" s="280">
        <v>0.0</v>
      </c>
      <c r="Z2422" s="50" t="b">
        <v>1</v>
      </c>
      <c r="AA2422" s="50" t="s">
        <v>138</v>
      </c>
      <c r="AB2422" s="50" t="s">
        <v>138</v>
      </c>
    </row>
    <row r="2423">
      <c r="A2423" s="280" t="s">
        <v>206</v>
      </c>
      <c r="B2423" s="280" t="s">
        <v>206</v>
      </c>
      <c r="C2423" s="283">
        <v>44922.0</v>
      </c>
      <c r="D2423" s="283">
        <v>44957.0</v>
      </c>
      <c r="E2423" s="280" t="s">
        <v>268</v>
      </c>
      <c r="F2423" s="138" t="s">
        <v>12</v>
      </c>
      <c r="G2423" s="280" t="s">
        <v>142</v>
      </c>
      <c r="H2423" s="290" t="s">
        <v>61</v>
      </c>
      <c r="I2423" s="281">
        <v>20.0</v>
      </c>
      <c r="J2423" s="280">
        <v>19.0</v>
      </c>
      <c r="K2423" s="271">
        <f t="shared" si="1"/>
        <v>380</v>
      </c>
      <c r="L2423" s="280">
        <v>-722.0</v>
      </c>
      <c r="M2423" s="280">
        <v>16.69</v>
      </c>
      <c r="N2423" s="282"/>
      <c r="O2423" s="60">
        <v>0.5</v>
      </c>
      <c r="P2423" s="50">
        <v>13.0</v>
      </c>
      <c r="Q2423" s="280">
        <v>-56.0</v>
      </c>
      <c r="R2423" s="276">
        <v>0.0</v>
      </c>
      <c r="S2423" s="280">
        <v>-56.0</v>
      </c>
      <c r="T2423" s="280">
        <v>30.0</v>
      </c>
      <c r="U2423" s="62">
        <v>1.0</v>
      </c>
      <c r="V2423" s="277">
        <v>0.12</v>
      </c>
      <c r="W2423" s="277">
        <v>0.0</v>
      </c>
      <c r="X2423" s="280">
        <v>26.0</v>
      </c>
      <c r="Y2423" s="280">
        <v>4.0</v>
      </c>
      <c r="Z2423" s="50" t="b">
        <v>1</v>
      </c>
      <c r="AA2423" s="50" t="s">
        <v>138</v>
      </c>
      <c r="AB2423" s="50" t="s">
        <v>138</v>
      </c>
    </row>
    <row r="2424">
      <c r="A2424" s="280" t="s">
        <v>206</v>
      </c>
      <c r="B2424" s="280" t="s">
        <v>206</v>
      </c>
      <c r="C2424" s="283">
        <v>44922.0</v>
      </c>
      <c r="D2424" s="283">
        <v>44957.0</v>
      </c>
      <c r="E2424" s="280" t="s">
        <v>268</v>
      </c>
      <c r="F2424" s="138" t="s">
        <v>12</v>
      </c>
      <c r="G2424" s="280" t="s">
        <v>142</v>
      </c>
      <c r="H2424" s="290" t="s">
        <v>77</v>
      </c>
      <c r="I2424" s="281">
        <v>50.0</v>
      </c>
      <c r="J2424" s="280">
        <v>1636.0</v>
      </c>
      <c r="K2424" s="271">
        <f t="shared" si="1"/>
        <v>81800</v>
      </c>
      <c r="L2424" s="280">
        <v>68712.0</v>
      </c>
      <c r="M2424" s="280">
        <v>3593.43</v>
      </c>
      <c r="N2424" s="282"/>
      <c r="O2424" s="60">
        <v>0.5</v>
      </c>
      <c r="P2424" s="109">
        <v>2863.0</v>
      </c>
      <c r="Q2424" s="280">
        <v>56.0</v>
      </c>
      <c r="R2424" s="276">
        <v>0.0</v>
      </c>
      <c r="S2424" s="280">
        <v>56.0</v>
      </c>
      <c r="T2424" s="280">
        <v>6456.0</v>
      </c>
      <c r="U2424" s="62">
        <v>1.0</v>
      </c>
      <c r="V2424" s="277">
        <v>0.12</v>
      </c>
      <c r="W2424" s="277">
        <v>0.0</v>
      </c>
      <c r="X2424" s="280">
        <v>5682.0</v>
      </c>
      <c r="Y2424" s="280">
        <v>775.0</v>
      </c>
      <c r="Z2424" s="50" t="b">
        <v>1</v>
      </c>
      <c r="AA2424" s="50" t="s">
        <v>138</v>
      </c>
      <c r="AB2424" s="50" t="s">
        <v>138</v>
      </c>
    </row>
    <row r="2425">
      <c r="A2425" s="280" t="s">
        <v>206</v>
      </c>
      <c r="B2425" s="280" t="s">
        <v>206</v>
      </c>
      <c r="C2425" s="283">
        <v>44922.0</v>
      </c>
      <c r="D2425" s="283">
        <v>44957.0</v>
      </c>
      <c r="E2425" s="280" t="s">
        <v>268</v>
      </c>
      <c r="F2425" s="138" t="s">
        <v>12</v>
      </c>
      <c r="G2425" s="280" t="s">
        <v>142</v>
      </c>
      <c r="H2425" s="290" t="s">
        <v>89</v>
      </c>
      <c r="I2425" s="281">
        <v>100.0</v>
      </c>
      <c r="J2425" s="280">
        <v>212.0</v>
      </c>
      <c r="K2425" s="271">
        <f t="shared" si="1"/>
        <v>21200</v>
      </c>
      <c r="L2425" s="280">
        <v>8268.0</v>
      </c>
      <c r="M2425" s="280">
        <v>931.3</v>
      </c>
      <c r="N2425" s="282"/>
      <c r="O2425" s="60">
        <v>0.5</v>
      </c>
      <c r="P2425" s="50">
        <v>742.0</v>
      </c>
      <c r="Q2425" s="280">
        <v>-103.0</v>
      </c>
      <c r="R2425" s="276">
        <v>0.0</v>
      </c>
      <c r="S2425" s="280">
        <v>-103.0</v>
      </c>
      <c r="T2425" s="280">
        <v>1673.0</v>
      </c>
      <c r="U2425" s="62">
        <v>1.0</v>
      </c>
      <c r="V2425" s="277">
        <v>0.12</v>
      </c>
      <c r="W2425" s="277">
        <v>0.0</v>
      </c>
      <c r="X2425" s="280">
        <v>1473.0</v>
      </c>
      <c r="Y2425" s="280">
        <v>201.0</v>
      </c>
      <c r="Z2425" s="50" t="b">
        <v>1</v>
      </c>
      <c r="AA2425" s="50" t="s">
        <v>138</v>
      </c>
      <c r="AB2425" s="50" t="s">
        <v>138</v>
      </c>
    </row>
    <row r="2426">
      <c r="A2426" s="280" t="s">
        <v>206</v>
      </c>
      <c r="B2426" s="280" t="s">
        <v>206</v>
      </c>
      <c r="C2426" s="283">
        <v>44922.0</v>
      </c>
      <c r="D2426" s="283">
        <v>44957.0</v>
      </c>
      <c r="E2426" s="280" t="s">
        <v>268</v>
      </c>
      <c r="F2426" s="138" t="s">
        <v>12</v>
      </c>
      <c r="G2426" s="280" t="s">
        <v>1009</v>
      </c>
      <c r="H2426" s="290" t="s">
        <v>95</v>
      </c>
      <c r="I2426" s="281">
        <v>200.0</v>
      </c>
      <c r="J2426" s="280">
        <v>28.0</v>
      </c>
      <c r="K2426" s="271">
        <f t="shared" si="1"/>
        <v>5600</v>
      </c>
      <c r="L2426" s="280">
        <v>84.0</v>
      </c>
      <c r="M2426" s="280">
        <v>210.86</v>
      </c>
      <c r="N2426" s="282"/>
      <c r="O2426" s="60">
        <v>0.5</v>
      </c>
      <c r="P2426" s="50">
        <v>168.0</v>
      </c>
      <c r="Q2426" s="280">
        <v>-343.0</v>
      </c>
      <c r="R2426" s="276">
        <v>0.0</v>
      </c>
      <c r="S2426" s="280">
        <v>-343.0</v>
      </c>
      <c r="T2426" s="280">
        <v>379.0</v>
      </c>
      <c r="U2426" s="62">
        <v>1.0</v>
      </c>
      <c r="V2426" s="277">
        <v>0.12</v>
      </c>
      <c r="W2426" s="277">
        <v>0.0</v>
      </c>
      <c r="X2426" s="280">
        <v>333.0</v>
      </c>
      <c r="Y2426" s="280">
        <v>45.0</v>
      </c>
      <c r="Z2426" s="50" t="b">
        <v>1</v>
      </c>
      <c r="AA2426" s="50" t="s">
        <v>138</v>
      </c>
      <c r="AB2426" s="50" t="s">
        <v>138</v>
      </c>
    </row>
    <row r="2427">
      <c r="A2427" s="101" t="s">
        <v>529</v>
      </c>
      <c r="B2427" s="101" t="s">
        <v>147</v>
      </c>
      <c r="C2427" s="278">
        <v>44927.0</v>
      </c>
      <c r="D2427" s="278">
        <v>44957.0</v>
      </c>
      <c r="E2427" s="271" t="s">
        <v>268</v>
      </c>
      <c r="F2427" s="101" t="s">
        <v>12</v>
      </c>
      <c r="G2427" s="271" t="s">
        <v>13</v>
      </c>
      <c r="H2427" s="273" t="s">
        <v>59</v>
      </c>
      <c r="I2427" s="274">
        <v>20.0</v>
      </c>
      <c r="J2427" s="271">
        <v>3075.0</v>
      </c>
      <c r="K2427" s="271">
        <f t="shared" si="1"/>
        <v>61500</v>
      </c>
      <c r="L2427" s="271">
        <v>39802.0</v>
      </c>
      <c r="M2427" s="271">
        <v>-120.0</v>
      </c>
      <c r="N2427" s="275">
        <v>3115.19</v>
      </c>
      <c r="O2427" s="60"/>
      <c r="P2427" s="109">
        <v>3115.0</v>
      </c>
      <c r="Q2427" s="271">
        <v>-2220.0</v>
      </c>
      <c r="R2427" s="276">
        <v>0.0</v>
      </c>
      <c r="S2427" s="271">
        <v>-2220.0</v>
      </c>
      <c r="T2427" s="271">
        <v>2995.0</v>
      </c>
      <c r="U2427" s="62">
        <v>1.0</v>
      </c>
      <c r="V2427" s="277">
        <v>0.23</v>
      </c>
      <c r="W2427" s="277">
        <v>0.0</v>
      </c>
      <c r="X2427" s="271">
        <v>2306.0</v>
      </c>
      <c r="Y2427" s="271">
        <v>689.0</v>
      </c>
      <c r="Z2427" s="50" t="b">
        <v>0</v>
      </c>
      <c r="AA2427" s="50" t="s">
        <v>138</v>
      </c>
      <c r="AB2427" s="50" t="s">
        <v>138</v>
      </c>
    </row>
    <row r="2428">
      <c r="A2428" s="101" t="s">
        <v>529</v>
      </c>
      <c r="B2428" s="101" t="s">
        <v>147</v>
      </c>
      <c r="C2428" s="278">
        <v>44927.0</v>
      </c>
      <c r="D2428" s="278">
        <v>44957.0</v>
      </c>
      <c r="E2428" s="271" t="s">
        <v>268</v>
      </c>
      <c r="F2428" s="101" t="s">
        <v>12</v>
      </c>
      <c r="G2428" s="271" t="s">
        <v>13</v>
      </c>
      <c r="H2428" s="273" t="s">
        <v>74</v>
      </c>
      <c r="I2428" s="274">
        <v>50.0</v>
      </c>
      <c r="J2428" s="271">
        <v>1004.0</v>
      </c>
      <c r="K2428" s="271">
        <f t="shared" si="1"/>
        <v>50200</v>
      </c>
      <c r="L2428" s="271">
        <v>13604.0</v>
      </c>
      <c r="M2428" s="271">
        <v>-2900.0</v>
      </c>
      <c r="N2428" s="275">
        <v>2542.81</v>
      </c>
      <c r="O2428" s="60"/>
      <c r="P2428" s="109">
        <v>2543.0</v>
      </c>
      <c r="Q2428" s="271">
        <v>-1725.0</v>
      </c>
      <c r="R2428" s="276">
        <v>0.0</v>
      </c>
      <c r="S2428" s="271">
        <v>-1725.0</v>
      </c>
      <c r="T2428" s="271">
        <v>-357.0</v>
      </c>
      <c r="U2428" s="62">
        <v>1.0</v>
      </c>
      <c r="V2428" s="277">
        <v>0.23</v>
      </c>
      <c r="W2428" s="277">
        <v>0.0</v>
      </c>
      <c r="X2428" s="271">
        <v>-275.0</v>
      </c>
      <c r="Y2428" s="271">
        <v>-82.0</v>
      </c>
      <c r="Z2428" s="50" t="b">
        <v>0</v>
      </c>
      <c r="AA2428" s="50" t="s">
        <v>138</v>
      </c>
      <c r="AB2428" s="50" t="s">
        <v>138</v>
      </c>
    </row>
    <row r="2429">
      <c r="A2429" s="280" t="s">
        <v>233</v>
      </c>
      <c r="B2429" s="280" t="s">
        <v>212</v>
      </c>
      <c r="C2429" s="283">
        <v>44922.0</v>
      </c>
      <c r="D2429" s="283">
        <v>44957.0</v>
      </c>
      <c r="E2429" s="280" t="s">
        <v>268</v>
      </c>
      <c r="F2429" s="138" t="s">
        <v>12</v>
      </c>
      <c r="G2429" s="280" t="s">
        <v>142</v>
      </c>
      <c r="H2429" s="290" t="s">
        <v>39</v>
      </c>
      <c r="I2429" s="281">
        <v>5.0</v>
      </c>
      <c r="J2429" s="280">
        <v>4.0</v>
      </c>
      <c r="K2429" s="271">
        <f t="shared" si="1"/>
        <v>20</v>
      </c>
      <c r="L2429" s="280"/>
      <c r="M2429" s="280">
        <v>1.1</v>
      </c>
      <c r="N2429" s="282"/>
      <c r="O2429" s="60">
        <v>0.5</v>
      </c>
      <c r="P2429" s="50">
        <v>1.0</v>
      </c>
      <c r="Q2429" s="280"/>
      <c r="R2429" s="276">
        <v>0.0</v>
      </c>
      <c r="S2429" s="280"/>
      <c r="T2429" s="280">
        <v>2.0</v>
      </c>
      <c r="U2429" s="62">
        <v>1.0</v>
      </c>
      <c r="V2429" s="277">
        <v>0.17</v>
      </c>
      <c r="W2429" s="277">
        <v>0.0</v>
      </c>
      <c r="X2429" s="280">
        <v>1.0</v>
      </c>
      <c r="Y2429" s="280">
        <v>0.0</v>
      </c>
      <c r="Z2429" s="50" t="b">
        <v>1</v>
      </c>
      <c r="AA2429" s="50" t="s">
        <v>138</v>
      </c>
      <c r="AB2429" s="50" t="s">
        <v>138</v>
      </c>
    </row>
    <row r="2430">
      <c r="A2430" s="280" t="s">
        <v>233</v>
      </c>
      <c r="B2430" s="280" t="s">
        <v>212</v>
      </c>
      <c r="C2430" s="283">
        <v>44922.0</v>
      </c>
      <c r="D2430" s="283">
        <v>44957.0</v>
      </c>
      <c r="E2430" s="280" t="s">
        <v>268</v>
      </c>
      <c r="F2430" s="138" t="s">
        <v>12</v>
      </c>
      <c r="G2430" s="280" t="s">
        <v>142</v>
      </c>
      <c r="H2430" s="290" t="s">
        <v>50</v>
      </c>
      <c r="I2430" s="281">
        <v>10.0</v>
      </c>
      <c r="J2430" s="280">
        <v>15.0</v>
      </c>
      <c r="K2430" s="271">
        <f t="shared" si="1"/>
        <v>150</v>
      </c>
      <c r="L2430" s="280"/>
      <c r="M2430" s="280">
        <v>8.23</v>
      </c>
      <c r="N2430" s="282"/>
      <c r="O2430" s="60">
        <v>0.5</v>
      </c>
      <c r="P2430" s="50">
        <v>5.0</v>
      </c>
      <c r="Q2430" s="280"/>
      <c r="R2430" s="276">
        <v>0.0</v>
      </c>
      <c r="S2430" s="280"/>
      <c r="T2430" s="280">
        <v>13.0</v>
      </c>
      <c r="U2430" s="62">
        <v>1.0</v>
      </c>
      <c r="V2430" s="277">
        <v>0.17</v>
      </c>
      <c r="W2430" s="277">
        <v>0.0</v>
      </c>
      <c r="X2430" s="280">
        <v>11.0</v>
      </c>
      <c r="Y2430" s="280">
        <v>2.0</v>
      </c>
      <c r="Z2430" s="50" t="b">
        <v>1</v>
      </c>
      <c r="AA2430" s="50" t="s">
        <v>138</v>
      </c>
      <c r="AB2430" s="50" t="s">
        <v>138</v>
      </c>
    </row>
    <row r="2431">
      <c r="A2431" s="280" t="s">
        <v>233</v>
      </c>
      <c r="B2431" s="280" t="s">
        <v>212</v>
      </c>
      <c r="C2431" s="283">
        <v>44922.0</v>
      </c>
      <c r="D2431" s="283">
        <v>44957.0</v>
      </c>
      <c r="E2431" s="280" t="s">
        <v>268</v>
      </c>
      <c r="F2431" s="138" t="s">
        <v>12</v>
      </c>
      <c r="G2431" s="280" t="s">
        <v>142</v>
      </c>
      <c r="H2431" s="290" t="s">
        <v>61</v>
      </c>
      <c r="I2431" s="281">
        <v>20.0</v>
      </c>
      <c r="J2431" s="280">
        <v>1616.0</v>
      </c>
      <c r="K2431" s="271">
        <f t="shared" si="1"/>
        <v>32320</v>
      </c>
      <c r="L2431" s="280"/>
      <c r="M2431" s="280">
        <v>1772.26</v>
      </c>
      <c r="N2431" s="282"/>
      <c r="O2431" s="60">
        <v>0.5</v>
      </c>
      <c r="P2431" s="109">
        <v>1131.0</v>
      </c>
      <c r="Q2431" s="280"/>
      <c r="R2431" s="276">
        <v>0.0</v>
      </c>
      <c r="S2431" s="280"/>
      <c r="T2431" s="280">
        <v>2903.0</v>
      </c>
      <c r="U2431" s="62">
        <v>1.0</v>
      </c>
      <c r="V2431" s="277">
        <v>0.17</v>
      </c>
      <c r="W2431" s="277">
        <v>0.0</v>
      </c>
      <c r="X2431" s="280">
        <v>2410.0</v>
      </c>
      <c r="Y2431" s="280">
        <v>494.0</v>
      </c>
      <c r="Z2431" s="50" t="b">
        <v>1</v>
      </c>
      <c r="AA2431" s="50" t="s">
        <v>138</v>
      </c>
      <c r="AB2431" s="50" t="s">
        <v>138</v>
      </c>
    </row>
    <row r="2432">
      <c r="A2432" s="280" t="s">
        <v>233</v>
      </c>
      <c r="B2432" s="280" t="s">
        <v>212</v>
      </c>
      <c r="C2432" s="283">
        <v>44922.0</v>
      </c>
      <c r="D2432" s="283">
        <v>44957.0</v>
      </c>
      <c r="E2432" s="280" t="s">
        <v>268</v>
      </c>
      <c r="F2432" s="138" t="s">
        <v>12</v>
      </c>
      <c r="G2432" s="280" t="s">
        <v>142</v>
      </c>
      <c r="H2432" s="290" t="s">
        <v>77</v>
      </c>
      <c r="I2432" s="281">
        <v>50.0</v>
      </c>
      <c r="J2432" s="280">
        <v>161.0</v>
      </c>
      <c r="K2432" s="271">
        <f t="shared" si="1"/>
        <v>8050</v>
      </c>
      <c r="L2432" s="280"/>
      <c r="M2432" s="280">
        <v>441.42</v>
      </c>
      <c r="N2432" s="282"/>
      <c r="O2432" s="60">
        <v>0.5</v>
      </c>
      <c r="P2432" s="50">
        <v>282.0</v>
      </c>
      <c r="Q2432" s="280"/>
      <c r="R2432" s="276">
        <v>0.0</v>
      </c>
      <c r="S2432" s="280"/>
      <c r="T2432" s="280">
        <v>723.0</v>
      </c>
      <c r="U2432" s="62">
        <v>1.0</v>
      </c>
      <c r="V2432" s="277">
        <v>0.17</v>
      </c>
      <c r="W2432" s="277">
        <v>0.0</v>
      </c>
      <c r="X2432" s="280">
        <v>600.0</v>
      </c>
      <c r="Y2432" s="280">
        <v>123.0</v>
      </c>
      <c r="Z2432" s="50" t="b">
        <v>1</v>
      </c>
      <c r="AA2432" s="50" t="s">
        <v>138</v>
      </c>
      <c r="AB2432" s="50" t="s">
        <v>138</v>
      </c>
    </row>
    <row r="2433">
      <c r="A2433" s="280" t="s">
        <v>233</v>
      </c>
      <c r="B2433" s="280" t="s">
        <v>212</v>
      </c>
      <c r="C2433" s="278">
        <v>44916.0</v>
      </c>
      <c r="D2433" s="278">
        <v>44957.0</v>
      </c>
      <c r="E2433" s="280" t="s">
        <v>268</v>
      </c>
      <c r="F2433" s="101" t="s">
        <v>8</v>
      </c>
      <c r="G2433" s="271" t="s">
        <v>5</v>
      </c>
      <c r="H2433" s="273" t="s">
        <v>62</v>
      </c>
      <c r="I2433" s="274">
        <v>25.0</v>
      </c>
      <c r="J2433" s="271">
        <v>1040.0</v>
      </c>
      <c r="K2433" s="271">
        <f t="shared" si="1"/>
        <v>26000</v>
      </c>
      <c r="L2433" s="271">
        <v>67010.0</v>
      </c>
      <c r="M2433" s="271">
        <v>-500.0</v>
      </c>
      <c r="N2433" s="275">
        <v>527.0</v>
      </c>
      <c r="O2433" s="60"/>
      <c r="P2433" s="50">
        <v>527.0</v>
      </c>
      <c r="Q2433" s="271">
        <v>1442.0</v>
      </c>
      <c r="R2433" s="276">
        <v>0.001792</v>
      </c>
      <c r="S2433" s="271">
        <v>1489.0</v>
      </c>
      <c r="T2433" s="271">
        <v>2016.0</v>
      </c>
      <c r="U2433" s="62">
        <v>1.0</v>
      </c>
      <c r="V2433" s="277">
        <v>0.17</v>
      </c>
      <c r="W2433" s="277">
        <v>0.0</v>
      </c>
      <c r="X2433" s="271">
        <v>1673.0</v>
      </c>
      <c r="Y2433" s="271">
        <v>343.0</v>
      </c>
      <c r="Z2433" s="50" t="b">
        <v>1</v>
      </c>
      <c r="AA2433" s="50" t="s">
        <v>138</v>
      </c>
      <c r="AB2433" s="50" t="s">
        <v>138</v>
      </c>
    </row>
    <row r="2434">
      <c r="A2434" s="280" t="s">
        <v>233</v>
      </c>
      <c r="B2434" s="280" t="s">
        <v>212</v>
      </c>
      <c r="C2434" s="278">
        <v>44916.0</v>
      </c>
      <c r="D2434" s="278">
        <v>44957.0</v>
      </c>
      <c r="E2434" s="280" t="s">
        <v>268</v>
      </c>
      <c r="F2434" s="101" t="s">
        <v>8</v>
      </c>
      <c r="G2434" s="271" t="s">
        <v>5</v>
      </c>
      <c r="H2434" s="273" t="s">
        <v>45</v>
      </c>
      <c r="I2434" s="274">
        <v>10.0</v>
      </c>
      <c r="J2434" s="271">
        <v>630.0</v>
      </c>
      <c r="K2434" s="271">
        <f t="shared" si="1"/>
        <v>6300</v>
      </c>
      <c r="L2434" s="271">
        <v>47150.0</v>
      </c>
      <c r="M2434" s="271">
        <v>960.0</v>
      </c>
      <c r="N2434" s="275">
        <v>149.0</v>
      </c>
      <c r="O2434" s="60"/>
      <c r="P2434" s="50">
        <v>149.0</v>
      </c>
      <c r="Q2434" s="271">
        <v>399.0</v>
      </c>
      <c r="R2434" s="276">
        <v>0.001798</v>
      </c>
      <c r="S2434" s="271">
        <v>410.0</v>
      </c>
      <c r="T2434" s="271">
        <v>559.0</v>
      </c>
      <c r="U2434" s="62">
        <v>1.0</v>
      </c>
      <c r="V2434" s="277">
        <v>0.17</v>
      </c>
      <c r="W2434" s="277">
        <v>0.0</v>
      </c>
      <c r="X2434" s="271">
        <v>464.0</v>
      </c>
      <c r="Y2434" s="271">
        <v>95.0</v>
      </c>
      <c r="Z2434" s="50" t="b">
        <v>1</v>
      </c>
      <c r="AA2434" s="50" t="s">
        <v>138</v>
      </c>
      <c r="AB2434" s="50" t="s">
        <v>138</v>
      </c>
    </row>
    <row r="2435">
      <c r="A2435" s="280" t="s">
        <v>233</v>
      </c>
      <c r="B2435" s="280" t="s">
        <v>212</v>
      </c>
      <c r="C2435" s="278">
        <v>44916.0</v>
      </c>
      <c r="D2435" s="278">
        <v>44957.0</v>
      </c>
      <c r="E2435" s="280" t="s">
        <v>268</v>
      </c>
      <c r="F2435" s="138" t="s">
        <v>12</v>
      </c>
      <c r="G2435" s="271" t="s">
        <v>5</v>
      </c>
      <c r="H2435" s="273" t="s">
        <v>63</v>
      </c>
      <c r="I2435" s="274">
        <v>25.0</v>
      </c>
      <c r="J2435" s="271">
        <v>4.0</v>
      </c>
      <c r="K2435" s="271">
        <f t="shared" si="1"/>
        <v>100</v>
      </c>
      <c r="L2435" s="271"/>
      <c r="M2435" s="271">
        <v>-50.0</v>
      </c>
      <c r="N2435" s="275">
        <v>2.0</v>
      </c>
      <c r="O2435" s="60"/>
      <c r="P2435" s="50">
        <v>2.0</v>
      </c>
      <c r="Q2435" s="271"/>
      <c r="R2435" s="276">
        <v>0.0</v>
      </c>
      <c r="S2435" s="271"/>
      <c r="T2435" s="271">
        <v>-48.0</v>
      </c>
      <c r="U2435" s="62">
        <v>1.0</v>
      </c>
      <c r="V2435" s="277">
        <v>0.17</v>
      </c>
      <c r="W2435" s="277">
        <v>0.0</v>
      </c>
      <c r="X2435" s="271">
        <v>-40.0</v>
      </c>
      <c r="Y2435" s="271">
        <v>-8.0</v>
      </c>
      <c r="Z2435" s="50" t="b">
        <v>1</v>
      </c>
      <c r="AA2435" s="50" t="s">
        <v>138</v>
      </c>
      <c r="AB2435" s="50" t="s">
        <v>138</v>
      </c>
    </row>
    <row r="2436">
      <c r="A2436" s="280" t="s">
        <v>233</v>
      </c>
      <c r="B2436" s="280" t="s">
        <v>212</v>
      </c>
      <c r="C2436" s="278">
        <v>44916.0</v>
      </c>
      <c r="D2436" s="278">
        <v>44957.0</v>
      </c>
      <c r="E2436" s="280" t="s">
        <v>268</v>
      </c>
      <c r="F2436" s="138" t="s">
        <v>12</v>
      </c>
      <c r="G2436" s="271" t="s">
        <v>5</v>
      </c>
      <c r="H2436" s="273" t="s">
        <v>74</v>
      </c>
      <c r="I2436" s="274">
        <v>50.0</v>
      </c>
      <c r="J2436" s="271">
        <v>2.0</v>
      </c>
      <c r="K2436" s="271">
        <f t="shared" si="1"/>
        <v>100</v>
      </c>
      <c r="L2436" s="271"/>
      <c r="M2436" s="271">
        <v>-100.0</v>
      </c>
      <c r="N2436" s="275">
        <v>2.0</v>
      </c>
      <c r="O2436" s="60"/>
      <c r="P2436" s="50">
        <v>2.0</v>
      </c>
      <c r="Q2436" s="271"/>
      <c r="R2436" s="276">
        <v>0.0</v>
      </c>
      <c r="S2436" s="271"/>
      <c r="T2436" s="271">
        <v>-98.0</v>
      </c>
      <c r="U2436" s="62">
        <v>1.0</v>
      </c>
      <c r="V2436" s="277">
        <v>0.17</v>
      </c>
      <c r="W2436" s="277">
        <v>0.0</v>
      </c>
      <c r="X2436" s="271">
        <v>-81.0</v>
      </c>
      <c r="Y2436" s="271">
        <v>-17.0</v>
      </c>
      <c r="Z2436" s="50" t="b">
        <v>1</v>
      </c>
      <c r="AA2436" s="50" t="s">
        <v>138</v>
      </c>
      <c r="AB2436" s="50" t="s">
        <v>138</v>
      </c>
    </row>
    <row r="2437">
      <c r="A2437" s="280" t="s">
        <v>233</v>
      </c>
      <c r="B2437" s="280" t="s">
        <v>212</v>
      </c>
      <c r="C2437" s="278">
        <v>44916.0</v>
      </c>
      <c r="D2437" s="278">
        <v>44957.0</v>
      </c>
      <c r="E2437" s="280" t="s">
        <v>268</v>
      </c>
      <c r="F2437" s="138" t="s">
        <v>12</v>
      </c>
      <c r="G2437" s="271" t="s">
        <v>5</v>
      </c>
      <c r="H2437" s="273" t="s">
        <v>35</v>
      </c>
      <c r="I2437" s="274">
        <v>5.0</v>
      </c>
      <c r="J2437" s="271">
        <v>1.0</v>
      </c>
      <c r="K2437" s="271">
        <f t="shared" si="1"/>
        <v>5</v>
      </c>
      <c r="L2437" s="271"/>
      <c r="M2437" s="271">
        <v>20.0</v>
      </c>
      <c r="N2437" s="275"/>
      <c r="O2437" s="60"/>
      <c r="P2437" s="101"/>
      <c r="Q2437" s="271"/>
      <c r="R2437" s="276">
        <v>0.0</v>
      </c>
      <c r="S2437" s="271"/>
      <c r="T2437" s="271">
        <v>20.0</v>
      </c>
      <c r="U2437" s="62">
        <v>1.0</v>
      </c>
      <c r="V2437" s="277">
        <v>0.17</v>
      </c>
      <c r="W2437" s="277">
        <v>0.0</v>
      </c>
      <c r="X2437" s="271">
        <v>17.0</v>
      </c>
      <c r="Y2437" s="271">
        <v>3.0</v>
      </c>
      <c r="Z2437" s="50" t="b">
        <v>1</v>
      </c>
      <c r="AA2437" s="50" t="s">
        <v>138</v>
      </c>
      <c r="AB2437" s="50" t="s">
        <v>138</v>
      </c>
    </row>
    <row r="2438">
      <c r="A2438" s="280" t="s">
        <v>154</v>
      </c>
      <c r="B2438" s="280" t="s">
        <v>154</v>
      </c>
      <c r="C2438" s="278">
        <v>44916.0</v>
      </c>
      <c r="D2438" s="278">
        <v>44957.0</v>
      </c>
      <c r="E2438" s="280" t="s">
        <v>268</v>
      </c>
      <c r="F2438" s="138" t="s">
        <v>8</v>
      </c>
      <c r="G2438" s="271" t="s">
        <v>5</v>
      </c>
      <c r="H2438" s="273" t="s">
        <v>75</v>
      </c>
      <c r="I2438" s="274">
        <v>50.0</v>
      </c>
      <c r="J2438" s="271">
        <v>4854.0</v>
      </c>
      <c r="K2438" s="271">
        <f t="shared" si="1"/>
        <v>242700</v>
      </c>
      <c r="L2438" s="271">
        <v>49779.0</v>
      </c>
      <c r="M2438" s="271">
        <v>-20650.0</v>
      </c>
      <c r="N2438" s="275">
        <v>15252.0</v>
      </c>
      <c r="O2438" s="60"/>
      <c r="P2438" s="109">
        <v>15252.0</v>
      </c>
      <c r="Q2438" s="271">
        <v>-7841.0</v>
      </c>
      <c r="R2438" s="276">
        <v>0.001795</v>
      </c>
      <c r="S2438" s="271">
        <v>-7405.0</v>
      </c>
      <c r="T2438" s="271">
        <v>7847.0</v>
      </c>
      <c r="U2438" s="62">
        <v>1.0</v>
      </c>
      <c r="V2438" s="277">
        <v>0.25</v>
      </c>
      <c r="W2438" s="277">
        <v>0.0</v>
      </c>
      <c r="X2438" s="271">
        <v>5885.0</v>
      </c>
      <c r="Y2438" s="271">
        <v>1962.0</v>
      </c>
      <c r="Z2438" s="50" t="b">
        <v>1</v>
      </c>
      <c r="AA2438" s="50" t="s">
        <v>138</v>
      </c>
      <c r="AB2438" s="50" t="s">
        <v>138</v>
      </c>
    </row>
    <row r="2439">
      <c r="A2439" s="280" t="s">
        <v>154</v>
      </c>
      <c r="B2439" s="280" t="s">
        <v>154</v>
      </c>
      <c r="C2439" s="278">
        <v>44916.0</v>
      </c>
      <c r="D2439" s="278">
        <v>44957.0</v>
      </c>
      <c r="E2439" s="280" t="s">
        <v>268</v>
      </c>
      <c r="F2439" s="138" t="s">
        <v>8</v>
      </c>
      <c r="G2439" s="271" t="s">
        <v>5</v>
      </c>
      <c r="H2439" s="273" t="s">
        <v>63</v>
      </c>
      <c r="I2439" s="274">
        <v>25.0</v>
      </c>
      <c r="J2439" s="271">
        <v>1095.0</v>
      </c>
      <c r="K2439" s="271">
        <f t="shared" si="1"/>
        <v>27375</v>
      </c>
      <c r="L2439" s="271">
        <v>7349.0</v>
      </c>
      <c r="M2439" s="271">
        <v>-1300.0</v>
      </c>
      <c r="N2439" s="275">
        <v>1720.0</v>
      </c>
      <c r="O2439" s="60"/>
      <c r="P2439" s="109">
        <v>1720.0</v>
      </c>
      <c r="Q2439" s="271">
        <v>-1184.0</v>
      </c>
      <c r="R2439" s="276">
        <v>0.001797</v>
      </c>
      <c r="S2439" s="271">
        <v>-1135.0</v>
      </c>
      <c r="T2439" s="271">
        <v>585.0</v>
      </c>
      <c r="U2439" s="62">
        <v>1.0</v>
      </c>
      <c r="V2439" s="277">
        <v>0.25</v>
      </c>
      <c r="W2439" s="277">
        <v>0.0</v>
      </c>
      <c r="X2439" s="271">
        <v>439.0</v>
      </c>
      <c r="Y2439" s="271">
        <v>146.0</v>
      </c>
      <c r="Z2439" s="50" t="b">
        <v>1</v>
      </c>
      <c r="AA2439" s="50" t="s">
        <v>138</v>
      </c>
      <c r="AB2439" s="50" t="s">
        <v>138</v>
      </c>
    </row>
    <row r="2440">
      <c r="A2440" s="280" t="s">
        <v>154</v>
      </c>
      <c r="B2440" s="280" t="s">
        <v>154</v>
      </c>
      <c r="C2440" s="278">
        <v>44916.0</v>
      </c>
      <c r="D2440" s="278">
        <v>44957.0</v>
      </c>
      <c r="E2440" s="280" t="s">
        <v>268</v>
      </c>
      <c r="F2440" s="138" t="s">
        <v>8</v>
      </c>
      <c r="G2440" s="271" t="s">
        <v>5</v>
      </c>
      <c r="H2440" s="273" t="s">
        <v>74</v>
      </c>
      <c r="I2440" s="274">
        <v>50.0</v>
      </c>
      <c r="J2440" s="271">
        <v>1.0</v>
      </c>
      <c r="K2440" s="271">
        <f t="shared" si="1"/>
        <v>50</v>
      </c>
      <c r="L2440" s="271">
        <v>156.0</v>
      </c>
      <c r="M2440" s="271">
        <v>50.0</v>
      </c>
      <c r="N2440" s="275">
        <v>3.0</v>
      </c>
      <c r="O2440" s="60"/>
      <c r="P2440" s="50">
        <v>3.0</v>
      </c>
      <c r="Q2440" s="271">
        <v>11.0</v>
      </c>
      <c r="R2440" s="276">
        <v>-0.005271</v>
      </c>
      <c r="S2440" s="271">
        <v>11.0</v>
      </c>
      <c r="T2440" s="271">
        <v>14.0</v>
      </c>
      <c r="U2440" s="62">
        <v>1.0</v>
      </c>
      <c r="V2440" s="277">
        <v>0.25</v>
      </c>
      <c r="W2440" s="277">
        <v>0.0</v>
      </c>
      <c r="X2440" s="271">
        <v>11.0</v>
      </c>
      <c r="Y2440" s="271">
        <v>4.0</v>
      </c>
      <c r="Z2440" s="50" t="b">
        <v>1</v>
      </c>
      <c r="AA2440" s="50" t="s">
        <v>138</v>
      </c>
      <c r="AB2440" s="50" t="s">
        <v>138</v>
      </c>
    </row>
    <row r="2441">
      <c r="A2441" s="280" t="s">
        <v>154</v>
      </c>
      <c r="B2441" s="280" t="s">
        <v>154</v>
      </c>
      <c r="C2441" s="278">
        <v>44927.0</v>
      </c>
      <c r="D2441" s="278">
        <v>44957.0</v>
      </c>
      <c r="E2441" s="280" t="s">
        <v>268</v>
      </c>
      <c r="F2441" s="138" t="s">
        <v>12</v>
      </c>
      <c r="G2441" s="271" t="s">
        <v>9</v>
      </c>
      <c r="H2441" s="273" t="s">
        <v>69</v>
      </c>
      <c r="I2441" s="274">
        <v>25.0</v>
      </c>
      <c r="J2441" s="271">
        <v>290.0</v>
      </c>
      <c r="K2441" s="271">
        <f t="shared" si="1"/>
        <v>7250</v>
      </c>
      <c r="L2441" s="271">
        <f>J2441*42</f>
        <v>12180</v>
      </c>
      <c r="M2441" s="271">
        <v>-975.0</v>
      </c>
      <c r="N2441" s="275"/>
      <c r="O2441" s="60"/>
      <c r="P2441" s="101"/>
      <c r="Q2441" s="271">
        <v>292.0</v>
      </c>
      <c r="R2441" s="276">
        <v>0.0</v>
      </c>
      <c r="S2441" s="271">
        <v>292.0</v>
      </c>
      <c r="T2441" s="271">
        <v>-975.0</v>
      </c>
      <c r="U2441" s="62">
        <v>1.08</v>
      </c>
      <c r="V2441" s="277">
        <v>0.25</v>
      </c>
      <c r="W2441" s="277">
        <v>0.0</v>
      </c>
      <c r="X2441" s="271">
        <v>-790.0</v>
      </c>
      <c r="Y2441" s="271">
        <v>-263.0</v>
      </c>
      <c r="Z2441" s="50" t="b">
        <v>1</v>
      </c>
      <c r="AA2441" s="50" t="s">
        <v>138</v>
      </c>
      <c r="AB2441" s="50" t="s">
        <v>140</v>
      </c>
    </row>
    <row r="2442">
      <c r="A2442" s="280" t="s">
        <v>154</v>
      </c>
      <c r="B2442" s="280" t="s">
        <v>154</v>
      </c>
      <c r="C2442" s="278">
        <v>44927.0</v>
      </c>
      <c r="D2442" s="278">
        <v>44957.0</v>
      </c>
      <c r="E2442" s="280" t="s">
        <v>268</v>
      </c>
      <c r="F2442" s="138" t="s">
        <v>12</v>
      </c>
      <c r="G2442" s="271" t="s">
        <v>9</v>
      </c>
      <c r="H2442" s="273" t="s">
        <v>64</v>
      </c>
      <c r="I2442" s="274">
        <v>25.0</v>
      </c>
      <c r="J2442" s="271">
        <v>6.0</v>
      </c>
      <c r="K2442" s="271">
        <f t="shared" si="1"/>
        <v>150</v>
      </c>
      <c r="L2442" s="271">
        <f>120*J2442</f>
        <v>720</v>
      </c>
      <c r="M2442" s="271">
        <v>75.0</v>
      </c>
      <c r="N2442" s="275"/>
      <c r="O2442" s="60"/>
      <c r="P2442" s="101"/>
      <c r="Q2442" s="271">
        <v>20.0</v>
      </c>
      <c r="R2442" s="276">
        <v>0.0</v>
      </c>
      <c r="S2442" s="271">
        <v>20.0</v>
      </c>
      <c r="T2442" s="271">
        <v>75.0</v>
      </c>
      <c r="U2442" s="62">
        <v>1.08</v>
      </c>
      <c r="V2442" s="277">
        <v>0.25</v>
      </c>
      <c r="W2442" s="277">
        <v>0.0</v>
      </c>
      <c r="X2442" s="271">
        <v>61.0</v>
      </c>
      <c r="Y2442" s="271">
        <v>20.0</v>
      </c>
      <c r="Z2442" s="50" t="b">
        <v>1</v>
      </c>
      <c r="AA2442" s="50" t="s">
        <v>138</v>
      </c>
      <c r="AB2442" s="50" t="s">
        <v>140</v>
      </c>
    </row>
    <row r="2443">
      <c r="A2443" s="280" t="s">
        <v>652</v>
      </c>
      <c r="B2443" s="280" t="s">
        <v>201</v>
      </c>
      <c r="C2443" s="283">
        <v>44916.0</v>
      </c>
      <c r="D2443" s="283">
        <v>44957.0</v>
      </c>
      <c r="E2443" s="280" t="s">
        <v>268</v>
      </c>
      <c r="F2443" s="138" t="s">
        <v>8</v>
      </c>
      <c r="G2443" s="280" t="s">
        <v>9</v>
      </c>
      <c r="H2443" s="290" t="s">
        <v>50</v>
      </c>
      <c r="I2443" s="281">
        <v>10.0</v>
      </c>
      <c r="J2443" s="280">
        <v>12000.0</v>
      </c>
      <c r="K2443" s="271">
        <f t="shared" si="1"/>
        <v>120000</v>
      </c>
      <c r="L2443" s="280">
        <v>732199.0</v>
      </c>
      <c r="M2443" s="280">
        <v>865.0</v>
      </c>
      <c r="N2443" s="282">
        <v>2190.0</v>
      </c>
      <c r="O2443" s="60"/>
      <c r="P2443" s="109">
        <v>2190.0</v>
      </c>
      <c r="Q2443" s="280">
        <v>2981.0</v>
      </c>
      <c r="R2443" s="276">
        <v>0.001843</v>
      </c>
      <c r="S2443" s="280">
        <v>3202.0</v>
      </c>
      <c r="T2443" s="280">
        <v>5392.0</v>
      </c>
      <c r="U2443" s="62">
        <v>1.0</v>
      </c>
      <c r="V2443" s="277">
        <v>0.17</v>
      </c>
      <c r="W2443" s="277">
        <v>0.0</v>
      </c>
      <c r="X2443" s="280">
        <v>4475.0</v>
      </c>
      <c r="Y2443" s="280">
        <v>917.0</v>
      </c>
      <c r="Z2443" s="50" t="b">
        <v>1</v>
      </c>
      <c r="AA2443" s="50" t="s">
        <v>140</v>
      </c>
      <c r="AB2443" s="50" t="s">
        <v>140</v>
      </c>
    </row>
    <row r="2444">
      <c r="A2444" s="280" t="s">
        <v>227</v>
      </c>
      <c r="B2444" s="280" t="s">
        <v>214</v>
      </c>
      <c r="C2444" s="278">
        <v>44916.0</v>
      </c>
      <c r="D2444" s="278">
        <v>44957.0</v>
      </c>
      <c r="E2444" s="271" t="s">
        <v>331</v>
      </c>
      <c r="F2444" s="138" t="s">
        <v>8</v>
      </c>
      <c r="G2444" s="271" t="s">
        <v>5</v>
      </c>
      <c r="H2444" s="273" t="s">
        <v>62</v>
      </c>
      <c r="I2444" s="274">
        <v>25.0</v>
      </c>
      <c r="J2444" s="271">
        <v>4085.0</v>
      </c>
      <c r="K2444" s="271">
        <f t="shared" si="1"/>
        <v>102125</v>
      </c>
      <c r="L2444" s="271">
        <v>164997.0</v>
      </c>
      <c r="M2444" s="271">
        <v>200.0</v>
      </c>
      <c r="N2444" s="275">
        <v>4343.0</v>
      </c>
      <c r="O2444" s="60"/>
      <c r="P2444" s="109">
        <v>4343.0</v>
      </c>
      <c r="Q2444" s="271">
        <v>1114.0</v>
      </c>
      <c r="R2444" s="276">
        <v>0.001793</v>
      </c>
      <c r="S2444" s="271">
        <v>1297.0</v>
      </c>
      <c r="T2444" s="271">
        <v>5640.0</v>
      </c>
      <c r="U2444" s="62">
        <v>1.0</v>
      </c>
      <c r="V2444" s="277">
        <v>0.17</v>
      </c>
      <c r="W2444" s="277">
        <v>0.1</v>
      </c>
      <c r="X2444" s="271">
        <v>4117.0</v>
      </c>
      <c r="Y2444" s="271">
        <v>1523.0</v>
      </c>
      <c r="Z2444" s="50" t="b">
        <v>1</v>
      </c>
      <c r="AA2444" s="50" t="s">
        <v>138</v>
      </c>
      <c r="AB2444" s="50" t="s">
        <v>138</v>
      </c>
    </row>
    <row r="2445">
      <c r="A2445" s="280" t="s">
        <v>227</v>
      </c>
      <c r="B2445" s="280" t="s">
        <v>214</v>
      </c>
      <c r="C2445" s="278">
        <v>44916.0</v>
      </c>
      <c r="D2445" s="278">
        <v>44957.0</v>
      </c>
      <c r="E2445" s="271" t="s">
        <v>331</v>
      </c>
      <c r="F2445" s="138" t="s">
        <v>8</v>
      </c>
      <c r="G2445" s="271" t="s">
        <v>5</v>
      </c>
      <c r="H2445" s="273" t="s">
        <v>74</v>
      </c>
      <c r="I2445" s="274">
        <v>50.0</v>
      </c>
      <c r="J2445" s="271">
        <v>8.0</v>
      </c>
      <c r="K2445" s="271">
        <f t="shared" si="1"/>
        <v>400</v>
      </c>
      <c r="L2445" s="271"/>
      <c r="M2445" s="271">
        <v>-200.0</v>
      </c>
      <c r="N2445" s="275">
        <v>17.0</v>
      </c>
      <c r="O2445" s="60"/>
      <c r="P2445" s="50">
        <v>17.0</v>
      </c>
      <c r="Q2445" s="271"/>
      <c r="R2445" s="276">
        <v>0.0</v>
      </c>
      <c r="S2445" s="271"/>
      <c r="T2445" s="271">
        <v>17.0</v>
      </c>
      <c r="U2445" s="62">
        <v>1.0</v>
      </c>
      <c r="V2445" s="277">
        <v>0.17</v>
      </c>
      <c r="W2445" s="277">
        <v>0.1</v>
      </c>
      <c r="X2445" s="271">
        <v>12.0</v>
      </c>
      <c r="Y2445" s="271">
        <v>5.0</v>
      </c>
      <c r="Z2445" s="50" t="b">
        <v>1</v>
      </c>
      <c r="AA2445" s="50" t="s">
        <v>138</v>
      </c>
      <c r="AB2445" s="50" t="s">
        <v>138</v>
      </c>
    </row>
    <row r="2446">
      <c r="A2446" s="280" t="s">
        <v>215</v>
      </c>
      <c r="B2446" s="280" t="s">
        <v>215</v>
      </c>
      <c r="C2446" s="278">
        <v>44927.0</v>
      </c>
      <c r="D2446" s="278">
        <v>44957.0</v>
      </c>
      <c r="E2446" s="280" t="s">
        <v>268</v>
      </c>
      <c r="F2446" s="138" t="s">
        <v>12</v>
      </c>
      <c r="G2446" s="271" t="s">
        <v>5</v>
      </c>
      <c r="H2446" s="273" t="s">
        <v>62</v>
      </c>
      <c r="I2446" s="274">
        <v>25.0</v>
      </c>
      <c r="J2446" s="271">
        <v>12.0</v>
      </c>
      <c r="K2446" s="271">
        <f t="shared" si="1"/>
        <v>300</v>
      </c>
      <c r="L2446" s="271"/>
      <c r="M2446" s="271">
        <v>0.0</v>
      </c>
      <c r="N2446" s="275">
        <v>6.0</v>
      </c>
      <c r="O2446" s="60"/>
      <c r="P2446" s="50">
        <v>6.0</v>
      </c>
      <c r="Q2446" s="271"/>
      <c r="R2446" s="276">
        <v>0.0</v>
      </c>
      <c r="S2446" s="271"/>
      <c r="T2446" s="271">
        <v>6.0</v>
      </c>
      <c r="U2446" s="62">
        <v>1.0</v>
      </c>
      <c r="V2446" s="277">
        <v>0.3</v>
      </c>
      <c r="W2446" s="277">
        <v>0.0</v>
      </c>
      <c r="X2446" s="271">
        <v>4.0</v>
      </c>
      <c r="Y2446" s="271">
        <v>2.0</v>
      </c>
      <c r="Z2446" s="50" t="b">
        <v>1</v>
      </c>
      <c r="AA2446" s="50" t="s">
        <v>138</v>
      </c>
      <c r="AB2446" s="50" t="s">
        <v>138</v>
      </c>
    </row>
    <row r="2447">
      <c r="A2447" s="280" t="s">
        <v>215</v>
      </c>
      <c r="B2447" s="280" t="s">
        <v>215</v>
      </c>
      <c r="C2447" s="278">
        <v>44927.0</v>
      </c>
      <c r="D2447" s="278">
        <v>44957.0</v>
      </c>
      <c r="E2447" s="280" t="s">
        <v>268</v>
      </c>
      <c r="F2447" s="138" t="s">
        <v>12</v>
      </c>
      <c r="G2447" s="271" t="s">
        <v>5</v>
      </c>
      <c r="H2447" s="273" t="s">
        <v>45</v>
      </c>
      <c r="I2447" s="274">
        <v>10.0</v>
      </c>
      <c r="J2447" s="271">
        <v>2152.0</v>
      </c>
      <c r="K2447" s="271">
        <f t="shared" si="1"/>
        <v>21520</v>
      </c>
      <c r="L2447" s="271">
        <f>J2447*36</f>
        <v>77472</v>
      </c>
      <c r="M2447" s="271">
        <v>-50.0</v>
      </c>
      <c r="N2447" s="275">
        <v>533.0</v>
      </c>
      <c r="O2447" s="60"/>
      <c r="P2447" s="50">
        <v>533.0</v>
      </c>
      <c r="Q2447" s="271">
        <v>-171.0</v>
      </c>
      <c r="R2447" s="276">
        <v>0.0</v>
      </c>
      <c r="S2447" s="271">
        <v>-171.0</v>
      </c>
      <c r="T2447" s="271">
        <v>483.0</v>
      </c>
      <c r="U2447" s="62">
        <v>1.0</v>
      </c>
      <c r="V2447" s="277">
        <v>0.3</v>
      </c>
      <c r="W2447" s="277">
        <v>0.0</v>
      </c>
      <c r="X2447" s="271">
        <v>338.0</v>
      </c>
      <c r="Y2447" s="271">
        <v>145.0</v>
      </c>
      <c r="Z2447" s="50" t="b">
        <v>1</v>
      </c>
      <c r="AA2447" s="50" t="s">
        <v>138</v>
      </c>
      <c r="AB2447" s="50" t="s">
        <v>138</v>
      </c>
    </row>
    <row r="2448">
      <c r="A2448" s="280" t="s">
        <v>215</v>
      </c>
      <c r="B2448" s="280" t="s">
        <v>215</v>
      </c>
      <c r="C2448" s="278">
        <v>44927.0</v>
      </c>
      <c r="D2448" s="278">
        <v>44957.0</v>
      </c>
      <c r="E2448" s="280" t="s">
        <v>268</v>
      </c>
      <c r="F2448" s="138" t="s">
        <v>12</v>
      </c>
      <c r="G2448" s="271" t="s">
        <v>5</v>
      </c>
      <c r="H2448" s="273" t="s">
        <v>48</v>
      </c>
      <c r="I2448" s="274">
        <v>10.0</v>
      </c>
      <c r="J2448" s="271">
        <v>3.0</v>
      </c>
      <c r="K2448" s="271">
        <f t="shared" si="1"/>
        <v>30</v>
      </c>
      <c r="L2448" s="271"/>
      <c r="M2448" s="271">
        <v>0.0</v>
      </c>
      <c r="N2448" s="275">
        <v>1.0</v>
      </c>
      <c r="O2448" s="60"/>
      <c r="P2448" s="50">
        <v>1.0</v>
      </c>
      <c r="Q2448" s="271"/>
      <c r="R2448" s="276">
        <v>0.0</v>
      </c>
      <c r="S2448" s="271"/>
      <c r="T2448" s="271">
        <v>1.0</v>
      </c>
      <c r="U2448" s="62">
        <v>1.0</v>
      </c>
      <c r="V2448" s="277">
        <v>0.3</v>
      </c>
      <c r="W2448" s="277">
        <v>0.0</v>
      </c>
      <c r="X2448" s="271">
        <v>1.0</v>
      </c>
      <c r="Y2448" s="271">
        <v>0.0</v>
      </c>
      <c r="Z2448" s="50" t="b">
        <v>1</v>
      </c>
      <c r="AA2448" s="50" t="s">
        <v>138</v>
      </c>
      <c r="AB2448" s="50" t="s">
        <v>138</v>
      </c>
    </row>
    <row r="2449">
      <c r="A2449" s="280" t="s">
        <v>174</v>
      </c>
      <c r="B2449" s="280" t="s">
        <v>174</v>
      </c>
      <c r="C2449" s="278">
        <v>44896.0</v>
      </c>
      <c r="D2449" s="278">
        <v>44957.0</v>
      </c>
      <c r="E2449" s="280" t="s">
        <v>268</v>
      </c>
      <c r="F2449" s="138" t="s">
        <v>12</v>
      </c>
      <c r="G2449" s="280" t="s">
        <v>9</v>
      </c>
      <c r="H2449" s="290" t="s">
        <v>30</v>
      </c>
      <c r="I2449" s="274">
        <v>2.0</v>
      </c>
      <c r="J2449" s="271">
        <v>0.0</v>
      </c>
      <c r="K2449" s="271">
        <f t="shared" si="1"/>
        <v>0</v>
      </c>
      <c r="L2449" s="271">
        <v>0.0</v>
      </c>
      <c r="M2449" s="271">
        <v>0.0</v>
      </c>
      <c r="N2449" s="275"/>
      <c r="O2449" s="60"/>
      <c r="P2449" s="101"/>
      <c r="Q2449" s="271"/>
      <c r="R2449" s="294"/>
      <c r="S2449" s="271"/>
      <c r="T2449" s="271">
        <v>0.0</v>
      </c>
      <c r="U2449" s="118"/>
      <c r="V2449" s="291"/>
      <c r="W2449" s="291"/>
      <c r="X2449" s="271">
        <v>0.0</v>
      </c>
      <c r="Y2449" s="271">
        <v>0.0</v>
      </c>
      <c r="Z2449" s="50" t="b">
        <v>0</v>
      </c>
      <c r="AA2449" s="101"/>
      <c r="AB2449" s="101"/>
    </row>
  </sheetData>
  <customSheetViews>
    <customSheetView guid="{CE7D0615-8868-46DE-AFB7-63D9999A6F12}" filter="1" showAutoFilter="1">
      <autoFilter ref="$A$1:$AB$2449"/>
    </customSheetView>
  </customSheetView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75" outlineLevelRow="1"/>
  <sheetData>
    <row r="1">
      <c r="C1" s="295">
        <v>44958.0</v>
      </c>
      <c r="F1" s="295">
        <v>44986.0</v>
      </c>
    </row>
    <row r="2">
      <c r="B2" s="6" t="s">
        <v>108</v>
      </c>
      <c r="C2" s="296" t="s">
        <v>114</v>
      </c>
      <c r="D2" s="297" t="s">
        <v>1010</v>
      </c>
      <c r="F2" s="296" t="s">
        <v>114</v>
      </c>
      <c r="G2" s="297" t="s">
        <v>1010</v>
      </c>
    </row>
    <row r="3">
      <c r="A3" s="229" t="s">
        <v>898</v>
      </c>
      <c r="C3" s="298"/>
      <c r="D3" s="299"/>
      <c r="F3" s="298"/>
      <c r="G3" s="299"/>
    </row>
    <row r="4" outlineLevel="1">
      <c r="A4" s="300" t="s">
        <v>1011</v>
      </c>
      <c r="B4" s="5" t="s">
        <v>137</v>
      </c>
      <c r="C4" s="301" t="b">
        <v>1</v>
      </c>
      <c r="D4" s="302" t="b">
        <v>1</v>
      </c>
      <c r="F4" s="301" t="b">
        <v>1</v>
      </c>
      <c r="G4" s="303" t="b">
        <v>1</v>
      </c>
    </row>
    <row r="5" outlineLevel="1">
      <c r="A5" s="300" t="s">
        <v>1011</v>
      </c>
      <c r="B5" s="5" t="s">
        <v>148</v>
      </c>
      <c r="C5" s="301" t="b">
        <v>1</v>
      </c>
      <c r="D5" s="302" t="b">
        <v>1</v>
      </c>
      <c r="F5" s="301" t="b">
        <v>1</v>
      </c>
      <c r="G5" s="303" t="b">
        <v>1</v>
      </c>
    </row>
    <row r="6" outlineLevel="1">
      <c r="A6" s="300" t="s">
        <v>1011</v>
      </c>
      <c r="B6" s="5" t="s">
        <v>182</v>
      </c>
      <c r="C6" s="301" t="b">
        <v>1</v>
      </c>
      <c r="D6" s="302" t="b">
        <v>1</v>
      </c>
      <c r="F6" s="301" t="b">
        <v>1</v>
      </c>
      <c r="G6" s="303" t="b">
        <v>1</v>
      </c>
    </row>
    <row r="7" outlineLevel="1">
      <c r="A7" s="300" t="s">
        <v>1012</v>
      </c>
      <c r="B7" s="5" t="s">
        <v>149</v>
      </c>
      <c r="C7" s="301" t="b">
        <v>1</v>
      </c>
      <c r="D7" s="302" t="b">
        <v>1</v>
      </c>
      <c r="F7" s="301" t="b">
        <v>1</v>
      </c>
      <c r="G7" s="303" t="b">
        <v>1</v>
      </c>
    </row>
    <row r="8" outlineLevel="1">
      <c r="A8" s="300" t="s">
        <v>1011</v>
      </c>
      <c r="B8" s="5" t="s">
        <v>184</v>
      </c>
      <c r="C8" s="301" t="b">
        <v>1</v>
      </c>
      <c r="D8" s="302" t="b">
        <v>1</v>
      </c>
      <c r="F8" s="301" t="b">
        <v>1</v>
      </c>
      <c r="G8" s="303" t="b">
        <v>1</v>
      </c>
    </row>
    <row r="9" outlineLevel="1">
      <c r="A9" s="300" t="s">
        <v>1011</v>
      </c>
      <c r="B9" s="5" t="s">
        <v>170</v>
      </c>
      <c r="C9" s="301" t="b">
        <v>1</v>
      </c>
      <c r="D9" s="302" t="b">
        <v>1</v>
      </c>
      <c r="F9" s="301" t="b">
        <v>1</v>
      </c>
      <c r="G9" s="303" t="b">
        <v>1</v>
      </c>
    </row>
    <row r="10" outlineLevel="1">
      <c r="A10" s="300" t="s">
        <v>18</v>
      </c>
      <c r="B10" s="5" t="s">
        <v>379</v>
      </c>
      <c r="C10" s="301" t="b">
        <v>1</v>
      </c>
      <c r="D10" s="302" t="b">
        <v>1</v>
      </c>
      <c r="F10" s="301" t="b">
        <v>1</v>
      </c>
      <c r="G10" s="303" t="b">
        <v>1</v>
      </c>
    </row>
    <row r="11" outlineLevel="1">
      <c r="A11" s="300" t="s">
        <v>1011</v>
      </c>
      <c r="B11" s="5" t="s">
        <v>416</v>
      </c>
      <c r="C11" s="301" t="b">
        <v>1</v>
      </c>
      <c r="D11" s="302" t="b">
        <v>1</v>
      </c>
      <c r="F11" s="301" t="b">
        <v>1</v>
      </c>
      <c r="G11" s="303" t="b">
        <v>1</v>
      </c>
    </row>
    <row r="12" outlineLevel="1">
      <c r="A12" s="300" t="s">
        <v>1011</v>
      </c>
      <c r="B12" s="5" t="s">
        <v>192</v>
      </c>
      <c r="C12" s="301" t="b">
        <v>1</v>
      </c>
      <c r="D12" s="302" t="b">
        <v>1</v>
      </c>
      <c r="F12" s="301" t="b">
        <v>1</v>
      </c>
      <c r="G12" s="303" t="b">
        <v>1</v>
      </c>
    </row>
    <row r="13" outlineLevel="1">
      <c r="A13" s="304" t="s">
        <v>9</v>
      </c>
      <c r="B13" s="5" t="s">
        <v>200</v>
      </c>
      <c r="C13" s="301" t="b">
        <v>1</v>
      </c>
      <c r="D13" s="302" t="b">
        <v>1</v>
      </c>
      <c r="F13" s="301" t="b">
        <v>1</v>
      </c>
      <c r="G13" s="303" t="b">
        <v>1</v>
      </c>
    </row>
    <row r="14" outlineLevel="1">
      <c r="A14" s="300" t="s">
        <v>1011</v>
      </c>
      <c r="B14" s="5" t="s">
        <v>193</v>
      </c>
      <c r="C14" s="301" t="b">
        <v>1</v>
      </c>
      <c r="D14" s="302" t="b">
        <v>1</v>
      </c>
      <c r="F14" s="301" t="b">
        <v>1</v>
      </c>
      <c r="G14" s="303" t="b">
        <v>1</v>
      </c>
    </row>
    <row r="15" outlineLevel="1">
      <c r="A15" s="300" t="s">
        <v>1011</v>
      </c>
      <c r="B15" s="5" t="s">
        <v>150</v>
      </c>
      <c r="C15" s="301" t="b">
        <v>1</v>
      </c>
      <c r="D15" s="302" t="b">
        <v>1</v>
      </c>
      <c r="F15" s="301" t="b">
        <v>1</v>
      </c>
      <c r="G15" s="303" t="b">
        <v>1</v>
      </c>
    </row>
    <row r="16" outlineLevel="1">
      <c r="A16" s="300" t="s">
        <v>1011</v>
      </c>
      <c r="B16" s="5" t="s">
        <v>195</v>
      </c>
      <c r="C16" s="301" t="b">
        <v>1</v>
      </c>
      <c r="D16" s="302" t="b">
        <v>1</v>
      </c>
      <c r="F16" s="301" t="b">
        <v>1</v>
      </c>
      <c r="G16" s="303" t="b">
        <v>1</v>
      </c>
    </row>
    <row r="17" outlineLevel="1">
      <c r="A17" s="300" t="s">
        <v>18</v>
      </c>
      <c r="B17" s="5" t="s">
        <v>477</v>
      </c>
      <c r="C17" s="301" t="b">
        <v>1</v>
      </c>
      <c r="D17" s="302" t="b">
        <v>1</v>
      </c>
      <c r="F17" s="301" t="b">
        <v>1</v>
      </c>
      <c r="G17" s="303" t="b">
        <v>1</v>
      </c>
    </row>
    <row r="18" outlineLevel="1">
      <c r="A18" s="300" t="s">
        <v>1011</v>
      </c>
      <c r="B18" s="5" t="s">
        <v>505</v>
      </c>
      <c r="C18" s="301" t="b">
        <v>1</v>
      </c>
      <c r="D18" s="302" t="b">
        <v>1</v>
      </c>
      <c r="F18" s="301" t="b">
        <v>1</v>
      </c>
      <c r="G18" s="303" t="b">
        <v>1</v>
      </c>
    </row>
    <row r="19" outlineLevel="1">
      <c r="A19" s="300" t="s">
        <v>1011</v>
      </c>
      <c r="B19" s="5" t="s">
        <v>199</v>
      </c>
      <c r="C19" s="301" t="b">
        <v>1</v>
      </c>
      <c r="D19" s="302" t="b">
        <v>1</v>
      </c>
      <c r="F19" s="301" t="b">
        <v>1</v>
      </c>
      <c r="G19" s="303" t="b">
        <v>1</v>
      </c>
    </row>
    <row r="20" outlineLevel="1">
      <c r="A20" s="304" t="s">
        <v>9</v>
      </c>
      <c r="B20" s="5" t="s">
        <v>156</v>
      </c>
      <c r="C20" s="301" t="b">
        <v>1</v>
      </c>
      <c r="D20" s="302" t="b">
        <v>1</v>
      </c>
      <c r="F20" s="301" t="b">
        <v>1</v>
      </c>
      <c r="G20" s="303" t="b">
        <v>1</v>
      </c>
    </row>
    <row r="21" outlineLevel="1">
      <c r="A21" s="300" t="s">
        <v>1011</v>
      </c>
      <c r="B21" s="5" t="s">
        <v>156</v>
      </c>
      <c r="C21" s="301" t="b">
        <v>1</v>
      </c>
      <c r="D21" s="303" t="b">
        <v>1</v>
      </c>
      <c r="F21" s="301" t="b">
        <v>0</v>
      </c>
      <c r="G21" s="303" t="b">
        <v>0</v>
      </c>
      <c r="H21" s="6" t="s">
        <v>1013</v>
      </c>
    </row>
    <row r="22" outlineLevel="1">
      <c r="A22" s="300" t="s">
        <v>18</v>
      </c>
      <c r="B22" s="5" t="s">
        <v>546</v>
      </c>
      <c r="C22" s="301" t="b">
        <v>1</v>
      </c>
      <c r="D22" s="302" t="b">
        <v>1</v>
      </c>
      <c r="F22" s="301" t="b">
        <v>1</v>
      </c>
      <c r="G22" s="303" t="b">
        <v>1</v>
      </c>
      <c r="H22" s="6" t="s">
        <v>1014</v>
      </c>
    </row>
    <row r="23" outlineLevel="1">
      <c r="A23" s="300" t="s">
        <v>1011</v>
      </c>
      <c r="B23" s="5" t="s">
        <v>160</v>
      </c>
      <c r="C23" s="301" t="b">
        <v>1</v>
      </c>
      <c r="D23" s="302" t="b">
        <v>1</v>
      </c>
      <c r="F23" s="301" t="b">
        <v>1</v>
      </c>
      <c r="G23" s="303" t="b">
        <v>0</v>
      </c>
      <c r="H23" s="6" t="s">
        <v>1015</v>
      </c>
    </row>
    <row r="24" outlineLevel="1">
      <c r="A24" s="300" t="s">
        <v>1011</v>
      </c>
      <c r="B24" s="5" t="s">
        <v>205</v>
      </c>
      <c r="C24" s="301" t="b">
        <v>1</v>
      </c>
      <c r="D24" s="302" t="b">
        <v>1</v>
      </c>
      <c r="F24" s="301" t="b">
        <v>1</v>
      </c>
      <c r="G24" s="303" t="b">
        <v>1</v>
      </c>
    </row>
    <row r="25" hidden="1" outlineLevel="1">
      <c r="A25" s="300" t="s">
        <v>18</v>
      </c>
      <c r="B25" s="5" t="s">
        <v>207</v>
      </c>
      <c r="C25" s="301" t="b">
        <v>1</v>
      </c>
      <c r="D25" s="302" t="b">
        <v>1</v>
      </c>
      <c r="F25" s="301"/>
      <c r="G25" s="303"/>
    </row>
    <row r="26" outlineLevel="1">
      <c r="A26" s="300" t="s">
        <v>1011</v>
      </c>
      <c r="B26" s="5" t="s">
        <v>210</v>
      </c>
      <c r="C26" s="301" t="b">
        <v>1</v>
      </c>
      <c r="D26" s="302" t="b">
        <v>1</v>
      </c>
      <c r="F26" s="301" t="b">
        <v>1</v>
      </c>
      <c r="G26" s="303" t="b">
        <v>1</v>
      </c>
    </row>
    <row r="27" outlineLevel="1">
      <c r="A27" s="300" t="s">
        <v>1011</v>
      </c>
      <c r="B27" s="5" t="s">
        <v>169</v>
      </c>
      <c r="C27" s="301" t="b">
        <v>1</v>
      </c>
      <c r="D27" s="302" t="b">
        <v>1</v>
      </c>
      <c r="F27" s="301" t="b">
        <v>1</v>
      </c>
      <c r="G27" s="303" t="b">
        <v>1</v>
      </c>
    </row>
    <row r="28" outlineLevel="1">
      <c r="A28" s="300" t="s">
        <v>1011</v>
      </c>
      <c r="B28" s="5" t="s">
        <v>161</v>
      </c>
      <c r="C28" s="301" t="b">
        <v>1</v>
      </c>
      <c r="D28" s="302" t="b">
        <v>1</v>
      </c>
      <c r="F28" s="301" t="b">
        <v>1</v>
      </c>
      <c r="G28" s="303" t="b">
        <v>1</v>
      </c>
    </row>
    <row r="29" outlineLevel="1">
      <c r="A29" s="300" t="s">
        <v>1011</v>
      </c>
      <c r="B29" s="5" t="s">
        <v>638</v>
      </c>
      <c r="C29" s="301" t="b">
        <v>1</v>
      </c>
      <c r="D29" s="302" t="b">
        <v>1</v>
      </c>
      <c r="F29" s="301" t="b">
        <v>0</v>
      </c>
      <c r="G29" s="303" t="b">
        <v>0</v>
      </c>
      <c r="H29" s="6" t="s">
        <v>1016</v>
      </c>
    </row>
    <row r="30" outlineLevel="1">
      <c r="A30" s="300" t="s">
        <v>1011</v>
      </c>
      <c r="B30" s="5" t="s">
        <v>216</v>
      </c>
      <c r="C30" s="301" t="b">
        <v>1</v>
      </c>
      <c r="D30" s="302" t="b">
        <v>1</v>
      </c>
      <c r="F30" s="301" t="b">
        <v>1</v>
      </c>
      <c r="G30" s="303" t="b">
        <v>1</v>
      </c>
    </row>
    <row r="31" outlineLevel="1">
      <c r="A31" s="300" t="s">
        <v>1017</v>
      </c>
      <c r="B31" s="305" t="s">
        <v>399</v>
      </c>
      <c r="C31" s="296" t="s">
        <v>1018</v>
      </c>
      <c r="D31" s="297" t="s">
        <v>1018</v>
      </c>
      <c r="F31" s="301" t="b">
        <v>1</v>
      </c>
      <c r="G31" s="303" t="b">
        <v>1</v>
      </c>
    </row>
    <row r="32" outlineLevel="1">
      <c r="A32" s="304" t="s">
        <v>9</v>
      </c>
      <c r="B32" s="6" t="s">
        <v>496</v>
      </c>
      <c r="C32" s="296" t="s">
        <v>1018</v>
      </c>
      <c r="D32" s="297" t="s">
        <v>1018</v>
      </c>
      <c r="F32" s="301" t="b">
        <v>1</v>
      </c>
      <c r="G32" s="303" t="b">
        <v>1</v>
      </c>
    </row>
    <row r="33" outlineLevel="1">
      <c r="A33" s="304" t="s">
        <v>9</v>
      </c>
      <c r="B33" s="6" t="s">
        <v>440</v>
      </c>
      <c r="C33" s="296" t="s">
        <v>1018</v>
      </c>
      <c r="D33" s="297" t="s">
        <v>1018</v>
      </c>
      <c r="F33" s="296" t="s">
        <v>1018</v>
      </c>
      <c r="G33" s="297" t="s">
        <v>1018</v>
      </c>
      <c r="H33" s="6"/>
    </row>
    <row r="34" outlineLevel="1">
      <c r="A34" s="300" t="s">
        <v>1011</v>
      </c>
      <c r="B34" s="306" t="s">
        <v>362</v>
      </c>
      <c r="C34" s="296" t="s">
        <v>1018</v>
      </c>
      <c r="D34" s="297" t="s">
        <v>1018</v>
      </c>
      <c r="F34" s="301" t="b">
        <v>0</v>
      </c>
      <c r="G34" s="303" t="b">
        <v>0</v>
      </c>
      <c r="H34" s="6" t="s">
        <v>1019</v>
      </c>
    </row>
    <row r="35">
      <c r="C35" s="298"/>
      <c r="D35" s="299"/>
      <c r="F35" s="298"/>
      <c r="G35" s="299"/>
    </row>
    <row r="36">
      <c r="A36" s="232" t="s">
        <v>899</v>
      </c>
      <c r="C36" s="298"/>
      <c r="D36" s="299"/>
      <c r="F36" s="298"/>
      <c r="G36" s="299"/>
    </row>
    <row r="37" outlineLevel="1">
      <c r="C37" s="298"/>
      <c r="D37" s="299"/>
      <c r="F37" s="298"/>
      <c r="G37" s="299"/>
    </row>
    <row r="38" outlineLevel="1">
      <c r="A38" s="6" t="s">
        <v>1020</v>
      </c>
      <c r="B38" s="5" t="s">
        <v>177</v>
      </c>
      <c r="C38" s="301" t="b">
        <v>1</v>
      </c>
      <c r="D38" s="303" t="b">
        <v>1</v>
      </c>
      <c r="E38" s="307" t="s">
        <v>1021</v>
      </c>
      <c r="F38" s="301" t="b">
        <v>0</v>
      </c>
      <c r="G38" s="299" t="b">
        <v>0</v>
      </c>
    </row>
    <row r="39" outlineLevel="1">
      <c r="A39" s="6" t="s">
        <v>1022</v>
      </c>
      <c r="B39" s="5" t="s">
        <v>183</v>
      </c>
      <c r="C39" s="301" t="b">
        <v>1</v>
      </c>
      <c r="D39" s="303" t="b">
        <v>1</v>
      </c>
      <c r="F39" s="301" t="b">
        <v>0</v>
      </c>
      <c r="G39" s="299" t="b">
        <v>0</v>
      </c>
    </row>
    <row r="40" outlineLevel="1">
      <c r="B40" s="5" t="s">
        <v>181</v>
      </c>
      <c r="C40" s="301" t="b">
        <v>1</v>
      </c>
      <c r="D40" s="303" t="b">
        <v>1</v>
      </c>
      <c r="E40" s="307" t="s">
        <v>1023</v>
      </c>
      <c r="F40" s="301" t="b">
        <v>0</v>
      </c>
      <c r="G40" s="299" t="b">
        <v>0</v>
      </c>
    </row>
    <row r="41" outlineLevel="1">
      <c r="B41" s="5" t="s">
        <v>197</v>
      </c>
      <c r="C41" s="301" t="b">
        <v>1</v>
      </c>
      <c r="D41" s="303" t="b">
        <v>1</v>
      </c>
      <c r="F41" s="301" t="b">
        <v>0</v>
      </c>
      <c r="G41" s="299" t="b">
        <v>0</v>
      </c>
    </row>
    <row r="42" outlineLevel="1">
      <c r="B42" s="5" t="s">
        <v>176</v>
      </c>
      <c r="C42" s="298" t="b">
        <v>0</v>
      </c>
      <c r="D42" s="299" t="b">
        <v>0</v>
      </c>
      <c r="E42" s="6" t="s">
        <v>1024</v>
      </c>
      <c r="F42" s="301" t="b">
        <v>0</v>
      </c>
      <c r="G42" s="299" t="b">
        <v>0</v>
      </c>
    </row>
    <row r="43" outlineLevel="1">
      <c r="B43" s="5" t="s">
        <v>154</v>
      </c>
      <c r="C43" s="301" t="b">
        <v>1</v>
      </c>
      <c r="D43" s="303" t="b">
        <v>1</v>
      </c>
      <c r="F43" s="301" t="b">
        <v>0</v>
      </c>
      <c r="G43" s="299" t="b">
        <v>0</v>
      </c>
    </row>
    <row r="44" outlineLevel="1">
      <c r="B44" s="5" t="s">
        <v>227</v>
      </c>
      <c r="C44" s="301" t="b">
        <v>1</v>
      </c>
      <c r="D44" s="303" t="b">
        <v>1</v>
      </c>
      <c r="F44" s="301" t="b">
        <v>0</v>
      </c>
      <c r="G44" s="299" t="b">
        <v>0</v>
      </c>
    </row>
    <row r="45" outlineLevel="1">
      <c r="B45" s="5" t="s">
        <v>290</v>
      </c>
      <c r="C45" s="301" t="b">
        <v>1</v>
      </c>
      <c r="D45" s="303" t="b">
        <v>1</v>
      </c>
      <c r="F45" s="301" t="b">
        <v>1</v>
      </c>
      <c r="G45" s="303" t="b">
        <v>1</v>
      </c>
      <c r="H45" s="308" t="s">
        <v>1025</v>
      </c>
    </row>
    <row r="46" outlineLevel="1">
      <c r="B46" s="5" t="s">
        <v>459</v>
      </c>
      <c r="C46" s="301" t="b">
        <v>1</v>
      </c>
      <c r="D46" s="303" t="b">
        <v>1</v>
      </c>
      <c r="E46" s="307" t="s">
        <v>1026</v>
      </c>
      <c r="F46" s="301" t="b">
        <v>0</v>
      </c>
      <c r="G46" s="299" t="b">
        <v>0</v>
      </c>
    </row>
    <row r="47" outlineLevel="1">
      <c r="A47" s="6" t="s">
        <v>1027</v>
      </c>
      <c r="B47" s="5" t="s">
        <v>171</v>
      </c>
      <c r="C47" s="301" t="b">
        <v>1</v>
      </c>
      <c r="D47" s="303" t="b">
        <v>1</v>
      </c>
      <c r="E47" s="307" t="s">
        <v>1028</v>
      </c>
      <c r="F47" s="301" t="b">
        <v>0</v>
      </c>
      <c r="G47" s="303" t="b">
        <v>1</v>
      </c>
      <c r="H47" s="307" t="s">
        <v>1029</v>
      </c>
    </row>
    <row r="48" outlineLevel="1">
      <c r="A48" s="6" t="s">
        <v>1030</v>
      </c>
      <c r="B48" s="5" t="s">
        <v>232</v>
      </c>
      <c r="C48" s="301" t="b">
        <v>1</v>
      </c>
      <c r="D48" s="303" t="b">
        <v>1</v>
      </c>
      <c r="E48" s="307" t="s">
        <v>1031</v>
      </c>
      <c r="F48" s="301" t="b">
        <v>1</v>
      </c>
      <c r="G48" s="303" t="b">
        <v>1</v>
      </c>
      <c r="H48" s="307" t="s">
        <v>1032</v>
      </c>
    </row>
    <row r="49" outlineLevel="1">
      <c r="B49" s="5" t="s">
        <v>652</v>
      </c>
      <c r="C49" s="301" t="b">
        <v>1</v>
      </c>
      <c r="D49" s="303" t="b">
        <v>1</v>
      </c>
      <c r="F49" s="301" t="b">
        <v>1</v>
      </c>
      <c r="G49" s="303" t="b">
        <v>1</v>
      </c>
      <c r="H49" s="308" t="s">
        <v>1033</v>
      </c>
    </row>
    <row r="50" outlineLevel="1">
      <c r="B50" s="305" t="s">
        <v>228</v>
      </c>
      <c r="C50" s="301" t="b">
        <v>1</v>
      </c>
      <c r="D50" s="303" t="b">
        <v>1</v>
      </c>
      <c r="F50" s="301" t="b">
        <v>0</v>
      </c>
      <c r="G50" s="299" t="b">
        <v>0</v>
      </c>
    </row>
    <row r="51" outlineLevel="1">
      <c r="B51" s="305" t="s">
        <v>583</v>
      </c>
      <c r="C51" s="301" t="b">
        <v>1</v>
      </c>
      <c r="D51" s="303" t="b">
        <v>1</v>
      </c>
      <c r="E51" s="6" t="s">
        <v>1034</v>
      </c>
      <c r="F51" s="301" t="b">
        <v>0</v>
      </c>
      <c r="G51" s="299" t="b">
        <v>0</v>
      </c>
    </row>
    <row r="52">
      <c r="C52" s="298"/>
      <c r="D52" s="299"/>
      <c r="F52" s="298"/>
      <c r="G52" s="299"/>
    </row>
    <row r="53">
      <c r="A53" s="240" t="s">
        <v>900</v>
      </c>
      <c r="C53" s="298"/>
      <c r="D53" s="299"/>
      <c r="F53" s="298"/>
      <c r="G53" s="299"/>
    </row>
    <row r="54" outlineLevel="1">
      <c r="A54" s="6" t="s">
        <v>1035</v>
      </c>
      <c r="B54" s="5" t="s">
        <v>206</v>
      </c>
      <c r="C54" s="301" t="b">
        <v>1</v>
      </c>
      <c r="D54" s="303" t="b">
        <v>1</v>
      </c>
      <c r="E54" s="307" t="s">
        <v>1036</v>
      </c>
      <c r="F54" s="301" t="b">
        <v>1</v>
      </c>
      <c r="G54" s="303" t="b">
        <v>1</v>
      </c>
      <c r="H54" s="307" t="s">
        <v>1037</v>
      </c>
      <c r="I54" s="6" t="s">
        <v>1038</v>
      </c>
    </row>
    <row r="55">
      <c r="A55" s="6" t="s">
        <v>1039</v>
      </c>
      <c r="B55" s="5" t="s">
        <v>283</v>
      </c>
      <c r="C55" s="301" t="b">
        <v>1</v>
      </c>
      <c r="D55" s="303" t="b">
        <v>1</v>
      </c>
      <c r="E55" s="6" t="s">
        <v>1040</v>
      </c>
      <c r="F55" s="301" t="b">
        <v>1</v>
      </c>
      <c r="G55" s="303" t="b">
        <v>1</v>
      </c>
    </row>
    <row r="56">
      <c r="A56" s="6" t="s">
        <v>1011</v>
      </c>
      <c r="B56" s="5" t="s">
        <v>362</v>
      </c>
      <c r="C56" s="301" t="b">
        <v>1</v>
      </c>
      <c r="D56" s="303" t="b">
        <v>1</v>
      </c>
      <c r="F56" s="301" t="b">
        <v>0</v>
      </c>
      <c r="G56" s="299" t="b">
        <v>0</v>
      </c>
    </row>
    <row r="57">
      <c r="A57" s="6" t="s">
        <v>1041</v>
      </c>
      <c r="B57" s="5" t="s">
        <v>693</v>
      </c>
      <c r="C57" s="301" t="b">
        <v>1</v>
      </c>
      <c r="D57" s="303" t="b">
        <v>1</v>
      </c>
      <c r="E57" s="307" t="s">
        <v>1042</v>
      </c>
      <c r="F57" s="301" t="b">
        <v>1</v>
      </c>
      <c r="G57" s="303" t="b">
        <v>1</v>
      </c>
      <c r="H57" s="307" t="s">
        <v>1043</v>
      </c>
    </row>
    <row r="58">
      <c r="A58" s="6" t="s">
        <v>1041</v>
      </c>
      <c r="B58" s="5" t="s">
        <v>174</v>
      </c>
      <c r="C58" s="301" t="b">
        <v>1</v>
      </c>
      <c r="D58" s="303" t="b">
        <v>1</v>
      </c>
      <c r="E58" s="6" t="s">
        <v>1044</v>
      </c>
      <c r="F58" s="301" t="b">
        <v>1</v>
      </c>
      <c r="G58" s="303" t="b">
        <v>1</v>
      </c>
      <c r="H58" s="6" t="s">
        <v>1045</v>
      </c>
    </row>
    <row r="59">
      <c r="A59" s="6" t="s">
        <v>18</v>
      </c>
      <c r="B59" s="5" t="s">
        <v>529</v>
      </c>
      <c r="C59" s="301" t="b">
        <v>1</v>
      </c>
      <c r="D59" s="303" t="b">
        <v>1</v>
      </c>
      <c r="E59" s="307" t="s">
        <v>1046</v>
      </c>
      <c r="F59" s="301" t="b">
        <v>1</v>
      </c>
      <c r="G59" s="303" t="b">
        <v>1</v>
      </c>
      <c r="H59" s="308" t="s">
        <v>1047</v>
      </c>
    </row>
    <row r="60">
      <c r="A60" s="6" t="s">
        <v>1011</v>
      </c>
      <c r="B60" s="5" t="s">
        <v>215</v>
      </c>
      <c r="C60" s="301" t="b">
        <v>1</v>
      </c>
      <c r="D60" s="303" t="b">
        <v>1</v>
      </c>
      <c r="F60" s="301" t="b">
        <v>0</v>
      </c>
      <c r="G60" s="299" t="b">
        <v>0</v>
      </c>
    </row>
    <row r="61">
      <c r="A61" s="6" t="s">
        <v>1022</v>
      </c>
      <c r="B61" s="5" t="s">
        <v>144</v>
      </c>
      <c r="C61" s="301" t="b">
        <v>1</v>
      </c>
      <c r="D61" s="303" t="b">
        <v>1</v>
      </c>
      <c r="E61" s="307" t="s">
        <v>1048</v>
      </c>
      <c r="F61" s="301" t="b">
        <v>1</v>
      </c>
      <c r="G61" s="303" t="b">
        <v>1</v>
      </c>
      <c r="H61" s="307" t="s">
        <v>1049</v>
      </c>
    </row>
    <row r="62">
      <c r="A62" s="6" t="s">
        <v>1022</v>
      </c>
      <c r="B62" s="5" t="s">
        <v>185</v>
      </c>
      <c r="C62" s="301" t="b">
        <v>1</v>
      </c>
      <c r="D62" s="303" t="b">
        <v>1</v>
      </c>
      <c r="E62" s="308" t="s">
        <v>1050</v>
      </c>
      <c r="F62" s="301" t="b">
        <v>1</v>
      </c>
      <c r="G62" s="303" t="b">
        <v>1</v>
      </c>
      <c r="H62" s="307" t="s">
        <v>1051</v>
      </c>
    </row>
    <row r="63">
      <c r="A63" s="6" t="s">
        <v>1022</v>
      </c>
      <c r="B63" s="5" t="s">
        <v>180</v>
      </c>
      <c r="C63" s="301" t="b">
        <v>1</v>
      </c>
      <c r="D63" s="303" t="b">
        <v>1</v>
      </c>
      <c r="E63" s="307" t="s">
        <v>1052</v>
      </c>
      <c r="F63" s="301" t="b">
        <v>1</v>
      </c>
      <c r="G63" s="303" t="b">
        <v>1</v>
      </c>
      <c r="H63" s="307" t="s">
        <v>1053</v>
      </c>
    </row>
    <row r="64">
      <c r="A64" s="6" t="s">
        <v>1022</v>
      </c>
      <c r="B64" s="5" t="s">
        <v>233</v>
      </c>
      <c r="C64" s="301" t="b">
        <v>1</v>
      </c>
      <c r="D64" s="303" t="b">
        <v>1</v>
      </c>
      <c r="E64" s="307" t="s">
        <v>1054</v>
      </c>
      <c r="F64" s="301" t="b">
        <v>1</v>
      </c>
      <c r="G64" s="303" t="b">
        <v>1</v>
      </c>
      <c r="H64" s="307" t="s">
        <v>1055</v>
      </c>
      <c r="I64" s="6" t="s">
        <v>1056</v>
      </c>
    </row>
    <row r="65">
      <c r="A65" s="6" t="s">
        <v>1057</v>
      </c>
      <c r="B65" s="6" t="s">
        <v>484</v>
      </c>
      <c r="C65" s="301" t="b">
        <v>1</v>
      </c>
      <c r="D65" s="303" t="b">
        <v>1</v>
      </c>
      <c r="E65" s="6" t="s">
        <v>1058</v>
      </c>
      <c r="F65" s="301" t="b">
        <v>1</v>
      </c>
      <c r="G65" s="303" t="b">
        <v>1</v>
      </c>
      <c r="H65" s="308" t="s">
        <v>1059</v>
      </c>
      <c r="I65" s="6" t="s">
        <v>1060</v>
      </c>
    </row>
    <row r="66">
      <c r="C66" s="298"/>
      <c r="D66" s="299"/>
      <c r="F66" s="298"/>
      <c r="G66" s="299"/>
    </row>
    <row r="67">
      <c r="C67" s="298"/>
      <c r="D67" s="299"/>
      <c r="F67" s="298"/>
      <c r="G67" s="299"/>
    </row>
    <row r="68">
      <c r="C68" s="298"/>
      <c r="D68" s="299"/>
      <c r="F68" s="298"/>
      <c r="G68" s="299"/>
    </row>
    <row r="69">
      <c r="C69" s="298"/>
      <c r="D69" s="299"/>
      <c r="F69" s="298"/>
      <c r="G69" s="299"/>
    </row>
    <row r="70">
      <c r="C70" s="298"/>
      <c r="D70" s="299"/>
      <c r="F70" s="298"/>
      <c r="G70" s="299"/>
    </row>
    <row r="71">
      <c r="C71" s="298"/>
      <c r="D71" s="299"/>
      <c r="F71" s="298"/>
      <c r="G71" s="299"/>
    </row>
    <row r="72">
      <c r="C72" s="298"/>
      <c r="D72" s="299"/>
      <c r="F72" s="298"/>
      <c r="G72" s="299"/>
    </row>
    <row r="73">
      <c r="C73" s="298"/>
      <c r="D73" s="299"/>
      <c r="F73" s="298"/>
      <c r="G73" s="299"/>
    </row>
    <row r="74">
      <c r="C74" s="298"/>
      <c r="D74" s="299"/>
      <c r="F74" s="298"/>
      <c r="G74" s="299"/>
    </row>
    <row r="75">
      <c r="C75" s="298"/>
      <c r="D75" s="299"/>
      <c r="F75" s="298"/>
      <c r="G75" s="299"/>
    </row>
    <row r="76">
      <c r="C76" s="298"/>
      <c r="D76" s="299"/>
      <c r="F76" s="298"/>
      <c r="G76" s="299"/>
    </row>
    <row r="77">
      <c r="C77" s="298"/>
      <c r="D77" s="299"/>
      <c r="F77" s="298"/>
      <c r="G77" s="299"/>
    </row>
    <row r="78">
      <c r="C78" s="298"/>
      <c r="D78" s="299"/>
      <c r="F78" s="298"/>
      <c r="G78" s="299"/>
    </row>
    <row r="79">
      <c r="C79" s="298"/>
      <c r="D79" s="299"/>
      <c r="F79" s="298"/>
      <c r="G79" s="299"/>
    </row>
    <row r="80">
      <c r="C80" s="298"/>
      <c r="D80" s="299"/>
      <c r="F80" s="298"/>
      <c r="G80" s="299"/>
    </row>
    <row r="81">
      <c r="C81" s="298"/>
      <c r="D81" s="299"/>
      <c r="F81" s="298"/>
      <c r="G81" s="299"/>
    </row>
    <row r="82">
      <c r="C82" s="298"/>
      <c r="D82" s="299"/>
      <c r="F82" s="298"/>
      <c r="G82" s="299"/>
    </row>
    <row r="83">
      <c r="C83" s="298"/>
      <c r="D83" s="299"/>
      <c r="F83" s="298"/>
      <c r="G83" s="299"/>
    </row>
    <row r="84">
      <c r="C84" s="298"/>
      <c r="D84" s="299"/>
      <c r="F84" s="298"/>
      <c r="G84" s="299"/>
    </row>
    <row r="85">
      <c r="C85" s="298"/>
      <c r="D85" s="299"/>
      <c r="F85" s="298"/>
      <c r="G85" s="299"/>
    </row>
    <row r="86">
      <c r="C86" s="298"/>
      <c r="D86" s="299"/>
      <c r="F86" s="298"/>
      <c r="G86" s="299"/>
    </row>
    <row r="87">
      <c r="C87" s="298"/>
      <c r="D87" s="299"/>
      <c r="F87" s="298"/>
      <c r="G87" s="299"/>
    </row>
    <row r="88">
      <c r="C88" s="298"/>
      <c r="D88" s="299"/>
      <c r="F88" s="298"/>
      <c r="G88" s="299"/>
    </row>
    <row r="89">
      <c r="C89" s="298"/>
      <c r="D89" s="299"/>
      <c r="F89" s="298"/>
      <c r="G89" s="299"/>
    </row>
    <row r="90">
      <c r="C90" s="298"/>
      <c r="D90" s="299"/>
      <c r="F90" s="298"/>
      <c r="G90" s="299"/>
    </row>
    <row r="91">
      <c r="C91" s="298"/>
      <c r="D91" s="299"/>
      <c r="F91" s="298"/>
      <c r="G91" s="299"/>
    </row>
    <row r="92">
      <c r="C92" s="298"/>
      <c r="D92" s="299"/>
      <c r="F92" s="298"/>
      <c r="G92" s="299"/>
    </row>
    <row r="93">
      <c r="C93" s="298"/>
      <c r="D93" s="299"/>
      <c r="F93" s="298"/>
      <c r="G93" s="299"/>
    </row>
    <row r="94">
      <c r="C94" s="298"/>
      <c r="D94" s="299"/>
      <c r="F94" s="298"/>
      <c r="G94" s="299"/>
    </row>
    <row r="95">
      <c r="C95" s="298"/>
      <c r="D95" s="299"/>
      <c r="F95" s="298"/>
      <c r="G95" s="299"/>
    </row>
    <row r="96">
      <c r="C96" s="298"/>
      <c r="D96" s="299"/>
      <c r="F96" s="298"/>
      <c r="G96" s="299"/>
    </row>
    <row r="97">
      <c r="C97" s="298"/>
      <c r="D97" s="299"/>
      <c r="F97" s="298"/>
      <c r="G97" s="299"/>
    </row>
    <row r="98">
      <c r="C98" s="298"/>
      <c r="D98" s="299"/>
      <c r="F98" s="298"/>
      <c r="G98" s="299"/>
    </row>
    <row r="99">
      <c r="C99" s="298"/>
      <c r="D99" s="299"/>
      <c r="F99" s="298"/>
      <c r="G99" s="299"/>
    </row>
    <row r="100">
      <c r="C100" s="298"/>
      <c r="D100" s="299"/>
      <c r="F100" s="298"/>
      <c r="G100" s="299"/>
    </row>
    <row r="101">
      <c r="C101" s="298"/>
      <c r="D101" s="299"/>
      <c r="F101" s="298"/>
      <c r="G101" s="299"/>
    </row>
    <row r="102">
      <c r="C102" s="298"/>
      <c r="D102" s="299"/>
      <c r="F102" s="298"/>
      <c r="G102" s="299"/>
    </row>
    <row r="103">
      <c r="C103" s="298"/>
      <c r="D103" s="299"/>
      <c r="F103" s="298"/>
      <c r="G103" s="299"/>
    </row>
    <row r="104">
      <c r="C104" s="298"/>
      <c r="D104" s="299"/>
      <c r="F104" s="298"/>
      <c r="G104" s="299"/>
    </row>
    <row r="105">
      <c r="C105" s="298"/>
      <c r="D105" s="299"/>
      <c r="F105" s="298"/>
      <c r="G105" s="299"/>
    </row>
    <row r="106">
      <c r="C106" s="298"/>
      <c r="D106" s="299"/>
      <c r="F106" s="298"/>
      <c r="G106" s="299"/>
    </row>
    <row r="107">
      <c r="C107" s="298"/>
      <c r="D107" s="299"/>
      <c r="F107" s="298"/>
      <c r="G107" s="299"/>
    </row>
    <row r="108">
      <c r="C108" s="298"/>
      <c r="D108" s="299"/>
      <c r="F108" s="298"/>
      <c r="G108" s="299"/>
    </row>
    <row r="109">
      <c r="C109" s="298"/>
      <c r="D109" s="299"/>
      <c r="F109" s="298"/>
      <c r="G109" s="299"/>
    </row>
    <row r="110">
      <c r="C110" s="298"/>
      <c r="D110" s="299"/>
      <c r="F110" s="298"/>
      <c r="G110" s="299"/>
    </row>
    <row r="111">
      <c r="C111" s="298"/>
      <c r="D111" s="299"/>
      <c r="F111" s="298"/>
      <c r="G111" s="299"/>
    </row>
    <row r="112">
      <c r="C112" s="298"/>
      <c r="D112" s="299"/>
      <c r="F112" s="298"/>
      <c r="G112" s="299"/>
    </row>
    <row r="113">
      <c r="C113" s="298"/>
      <c r="D113" s="299"/>
      <c r="F113" s="298"/>
      <c r="G113" s="299"/>
    </row>
    <row r="114">
      <c r="C114" s="298"/>
      <c r="D114" s="299"/>
      <c r="F114" s="298"/>
      <c r="G114" s="299"/>
    </row>
    <row r="115">
      <c r="C115" s="298"/>
      <c r="D115" s="299"/>
      <c r="F115" s="298"/>
      <c r="G115" s="299"/>
    </row>
    <row r="116">
      <c r="C116" s="298"/>
      <c r="D116" s="299"/>
      <c r="F116" s="298"/>
      <c r="G116" s="299"/>
    </row>
    <row r="117">
      <c r="C117" s="298"/>
      <c r="D117" s="299"/>
      <c r="F117" s="298"/>
      <c r="G117" s="299"/>
    </row>
    <row r="118">
      <c r="C118" s="298"/>
      <c r="D118" s="299"/>
      <c r="F118" s="298"/>
      <c r="G118" s="299"/>
    </row>
    <row r="119">
      <c r="C119" s="298"/>
      <c r="D119" s="299"/>
      <c r="F119" s="298"/>
      <c r="G119" s="299"/>
    </row>
    <row r="120">
      <c r="C120" s="298"/>
      <c r="D120" s="299"/>
      <c r="F120" s="298"/>
      <c r="G120" s="299"/>
    </row>
    <row r="121">
      <c r="C121" s="298"/>
      <c r="D121" s="299"/>
      <c r="F121" s="298"/>
      <c r="G121" s="299"/>
    </row>
    <row r="122">
      <c r="C122" s="298"/>
      <c r="D122" s="299"/>
      <c r="F122" s="298"/>
      <c r="G122" s="299"/>
    </row>
    <row r="123">
      <c r="C123" s="298"/>
      <c r="D123" s="299"/>
      <c r="F123" s="298"/>
      <c r="G123" s="299"/>
    </row>
    <row r="124">
      <c r="C124" s="298"/>
      <c r="D124" s="299"/>
      <c r="F124" s="298"/>
      <c r="G124" s="299"/>
    </row>
    <row r="125">
      <c r="C125" s="298"/>
      <c r="D125" s="299"/>
      <c r="F125" s="298"/>
      <c r="G125" s="299"/>
    </row>
    <row r="126">
      <c r="C126" s="298"/>
      <c r="D126" s="299"/>
      <c r="F126" s="298"/>
      <c r="G126" s="299"/>
    </row>
    <row r="127">
      <c r="C127" s="298"/>
      <c r="D127" s="299"/>
      <c r="F127" s="298"/>
      <c r="G127" s="299"/>
    </row>
    <row r="128">
      <c r="C128" s="298"/>
      <c r="D128" s="299"/>
      <c r="F128" s="298"/>
      <c r="G128" s="299"/>
    </row>
    <row r="129">
      <c r="C129" s="298"/>
      <c r="D129" s="299"/>
      <c r="F129" s="298"/>
      <c r="G129" s="299"/>
    </row>
    <row r="130">
      <c r="C130" s="298"/>
      <c r="D130" s="299"/>
      <c r="F130" s="298"/>
      <c r="G130" s="299"/>
    </row>
    <row r="131">
      <c r="C131" s="298"/>
      <c r="D131" s="299"/>
      <c r="F131" s="298"/>
      <c r="G131" s="299"/>
    </row>
    <row r="132">
      <c r="C132" s="298"/>
      <c r="D132" s="299"/>
      <c r="F132" s="298"/>
      <c r="G132" s="299"/>
    </row>
    <row r="133">
      <c r="C133" s="298"/>
      <c r="D133" s="299"/>
      <c r="F133" s="298"/>
      <c r="G133" s="299"/>
    </row>
    <row r="134">
      <c r="C134" s="298"/>
      <c r="D134" s="299"/>
      <c r="F134" s="298"/>
      <c r="G134" s="299"/>
    </row>
    <row r="135">
      <c r="C135" s="298"/>
      <c r="D135" s="299"/>
      <c r="F135" s="298"/>
      <c r="G135" s="299"/>
    </row>
    <row r="136">
      <c r="C136" s="298"/>
      <c r="D136" s="299"/>
      <c r="F136" s="298"/>
      <c r="G136" s="299"/>
    </row>
    <row r="137">
      <c r="C137" s="298"/>
      <c r="D137" s="299"/>
      <c r="F137" s="298"/>
      <c r="G137" s="299"/>
    </row>
    <row r="138">
      <c r="C138" s="298"/>
      <c r="D138" s="299"/>
      <c r="F138" s="298"/>
      <c r="G138" s="299"/>
    </row>
    <row r="139">
      <c r="C139" s="298"/>
      <c r="D139" s="299"/>
      <c r="F139" s="298"/>
      <c r="G139" s="299"/>
    </row>
    <row r="140">
      <c r="C140" s="298"/>
      <c r="D140" s="299"/>
      <c r="F140" s="298"/>
      <c r="G140" s="299"/>
    </row>
    <row r="141">
      <c r="C141" s="298"/>
      <c r="D141" s="299"/>
      <c r="F141" s="298"/>
      <c r="G141" s="299"/>
    </row>
    <row r="142">
      <c r="C142" s="298"/>
      <c r="D142" s="299"/>
      <c r="F142" s="298"/>
      <c r="G142" s="299"/>
    </row>
    <row r="143">
      <c r="C143" s="298"/>
      <c r="D143" s="299"/>
      <c r="F143" s="298"/>
      <c r="G143" s="299"/>
    </row>
    <row r="144">
      <c r="C144" s="298"/>
      <c r="D144" s="299"/>
      <c r="F144" s="298"/>
      <c r="G144" s="299"/>
    </row>
    <row r="145">
      <c r="C145" s="298"/>
      <c r="D145" s="299"/>
      <c r="F145" s="298"/>
      <c r="G145" s="299"/>
    </row>
    <row r="146">
      <c r="C146" s="298"/>
      <c r="D146" s="299"/>
      <c r="F146" s="298"/>
      <c r="G146" s="299"/>
    </row>
    <row r="147">
      <c r="C147" s="298"/>
      <c r="D147" s="299"/>
      <c r="F147" s="298"/>
      <c r="G147" s="299"/>
    </row>
    <row r="148">
      <c r="C148" s="298"/>
      <c r="D148" s="299"/>
      <c r="F148" s="298"/>
      <c r="G148" s="299"/>
    </row>
    <row r="149">
      <c r="C149" s="298"/>
      <c r="D149" s="299"/>
      <c r="F149" s="298"/>
      <c r="G149" s="299"/>
    </row>
    <row r="150">
      <c r="C150" s="298"/>
      <c r="D150" s="299"/>
      <c r="F150" s="298"/>
      <c r="G150" s="299"/>
    </row>
    <row r="151">
      <c r="C151" s="298"/>
      <c r="D151" s="299"/>
      <c r="F151" s="298"/>
      <c r="G151" s="299"/>
    </row>
    <row r="152">
      <c r="C152" s="298"/>
      <c r="D152" s="299"/>
      <c r="F152" s="298"/>
      <c r="G152" s="299"/>
    </row>
    <row r="153">
      <c r="C153" s="298"/>
      <c r="D153" s="299"/>
      <c r="F153" s="298"/>
      <c r="G153" s="299"/>
    </row>
    <row r="154">
      <c r="C154" s="298"/>
      <c r="D154" s="299"/>
      <c r="F154" s="298"/>
      <c r="G154" s="299"/>
    </row>
    <row r="155">
      <c r="C155" s="298"/>
      <c r="D155" s="299"/>
      <c r="F155" s="298"/>
      <c r="G155" s="299"/>
    </row>
    <row r="156">
      <c r="C156" s="298"/>
      <c r="D156" s="299"/>
      <c r="F156" s="298"/>
      <c r="G156" s="299"/>
    </row>
    <row r="157">
      <c r="C157" s="298"/>
      <c r="D157" s="299"/>
      <c r="F157" s="298"/>
      <c r="G157" s="299"/>
    </row>
    <row r="158">
      <c r="C158" s="298"/>
      <c r="D158" s="299"/>
      <c r="F158" s="298"/>
      <c r="G158" s="299"/>
    </row>
    <row r="159">
      <c r="C159" s="298"/>
      <c r="D159" s="299"/>
      <c r="F159" s="298"/>
      <c r="G159" s="299"/>
    </row>
    <row r="160">
      <c r="C160" s="298"/>
      <c r="D160" s="299"/>
      <c r="F160" s="298"/>
      <c r="G160" s="299"/>
    </row>
    <row r="161">
      <c r="C161" s="298"/>
      <c r="D161" s="299"/>
      <c r="F161" s="298"/>
      <c r="G161" s="299"/>
    </row>
    <row r="162">
      <c r="C162" s="298"/>
      <c r="D162" s="299"/>
      <c r="F162" s="298"/>
      <c r="G162" s="299"/>
    </row>
    <row r="163">
      <c r="C163" s="298"/>
      <c r="D163" s="299"/>
      <c r="F163" s="298"/>
      <c r="G163" s="299"/>
    </row>
    <row r="164">
      <c r="C164" s="298"/>
      <c r="D164" s="299"/>
      <c r="F164" s="298"/>
      <c r="G164" s="299"/>
    </row>
    <row r="165">
      <c r="C165" s="298"/>
      <c r="D165" s="299"/>
      <c r="F165" s="298"/>
      <c r="G165" s="299"/>
    </row>
    <row r="166">
      <c r="C166" s="298"/>
      <c r="D166" s="299"/>
      <c r="F166" s="298"/>
      <c r="G166" s="299"/>
    </row>
    <row r="167">
      <c r="C167" s="298"/>
      <c r="D167" s="299"/>
      <c r="F167" s="298"/>
      <c r="G167" s="299"/>
    </row>
    <row r="168">
      <c r="C168" s="298"/>
      <c r="D168" s="299"/>
      <c r="F168" s="298"/>
      <c r="G168" s="299"/>
    </row>
    <row r="169">
      <c r="C169" s="298"/>
      <c r="D169" s="299"/>
      <c r="F169" s="298"/>
      <c r="G169" s="299"/>
    </row>
    <row r="170">
      <c r="C170" s="298"/>
      <c r="D170" s="299"/>
      <c r="F170" s="298"/>
      <c r="G170" s="299"/>
    </row>
    <row r="171">
      <c r="C171" s="298"/>
      <c r="D171" s="299"/>
      <c r="F171" s="298"/>
      <c r="G171" s="299"/>
    </row>
    <row r="172">
      <c r="C172" s="298"/>
      <c r="D172" s="299"/>
      <c r="F172" s="298"/>
      <c r="G172" s="299"/>
    </row>
    <row r="173">
      <c r="C173" s="298"/>
      <c r="D173" s="299"/>
      <c r="F173" s="298"/>
      <c r="G173" s="299"/>
    </row>
    <row r="174">
      <c r="C174" s="298"/>
      <c r="D174" s="299"/>
      <c r="F174" s="298"/>
      <c r="G174" s="299"/>
    </row>
    <row r="175">
      <c r="C175" s="298"/>
      <c r="D175" s="299"/>
      <c r="F175" s="298"/>
      <c r="G175" s="299"/>
    </row>
    <row r="176">
      <c r="C176" s="298"/>
      <c r="D176" s="299"/>
      <c r="F176" s="298"/>
      <c r="G176" s="299"/>
    </row>
    <row r="177">
      <c r="C177" s="298"/>
      <c r="D177" s="299"/>
      <c r="F177" s="298"/>
      <c r="G177" s="299"/>
    </row>
    <row r="178">
      <c r="C178" s="298"/>
      <c r="D178" s="299"/>
      <c r="F178" s="298"/>
      <c r="G178" s="299"/>
    </row>
    <row r="179">
      <c r="C179" s="298"/>
      <c r="D179" s="299"/>
      <c r="F179" s="298"/>
      <c r="G179" s="299"/>
    </row>
    <row r="180">
      <c r="C180" s="298"/>
      <c r="D180" s="299"/>
      <c r="F180" s="298"/>
      <c r="G180" s="299"/>
    </row>
    <row r="181">
      <c r="C181" s="298"/>
      <c r="D181" s="299"/>
      <c r="F181" s="298"/>
      <c r="G181" s="299"/>
    </row>
    <row r="182">
      <c r="C182" s="298"/>
      <c r="D182" s="299"/>
      <c r="F182" s="298"/>
      <c r="G182" s="299"/>
    </row>
    <row r="183">
      <c r="C183" s="298"/>
      <c r="D183" s="299"/>
      <c r="F183" s="298"/>
      <c r="G183" s="299"/>
    </row>
    <row r="184">
      <c r="C184" s="298"/>
      <c r="D184" s="299"/>
      <c r="F184" s="298"/>
      <c r="G184" s="299"/>
    </row>
    <row r="185">
      <c r="C185" s="298"/>
      <c r="D185" s="299"/>
      <c r="F185" s="298"/>
      <c r="G185" s="299"/>
    </row>
    <row r="186">
      <c r="C186" s="298"/>
      <c r="D186" s="299"/>
      <c r="F186" s="298"/>
      <c r="G186" s="299"/>
    </row>
    <row r="187">
      <c r="C187" s="298"/>
      <c r="D187" s="299"/>
      <c r="F187" s="298"/>
      <c r="G187" s="299"/>
    </row>
    <row r="188">
      <c r="C188" s="298"/>
      <c r="D188" s="299"/>
      <c r="F188" s="298"/>
      <c r="G188" s="299"/>
    </row>
    <row r="189">
      <c r="C189" s="298"/>
      <c r="D189" s="299"/>
      <c r="F189" s="298"/>
      <c r="G189" s="299"/>
    </row>
    <row r="190">
      <c r="C190" s="298"/>
      <c r="D190" s="299"/>
      <c r="F190" s="298"/>
      <c r="G190" s="299"/>
    </row>
    <row r="191">
      <c r="C191" s="298"/>
      <c r="D191" s="299"/>
      <c r="F191" s="298"/>
      <c r="G191" s="299"/>
    </row>
    <row r="192">
      <c r="C192" s="298"/>
      <c r="D192" s="299"/>
      <c r="F192" s="298"/>
      <c r="G192" s="299"/>
    </row>
    <row r="193">
      <c r="C193" s="298"/>
      <c r="D193" s="299"/>
      <c r="F193" s="298"/>
      <c r="G193" s="299"/>
    </row>
    <row r="194">
      <c r="C194" s="298"/>
      <c r="D194" s="299"/>
      <c r="F194" s="298"/>
      <c r="G194" s="299"/>
    </row>
    <row r="195">
      <c r="C195" s="298"/>
      <c r="D195" s="299"/>
      <c r="F195" s="298"/>
      <c r="G195" s="299"/>
    </row>
    <row r="196">
      <c r="C196" s="298"/>
      <c r="D196" s="299"/>
      <c r="F196" s="298"/>
      <c r="G196" s="299"/>
    </row>
    <row r="197">
      <c r="C197" s="298"/>
      <c r="D197" s="299"/>
      <c r="F197" s="298"/>
      <c r="G197" s="299"/>
    </row>
    <row r="198">
      <c r="C198" s="298"/>
      <c r="D198" s="299"/>
      <c r="F198" s="298"/>
      <c r="G198" s="299"/>
    </row>
    <row r="199">
      <c r="C199" s="298"/>
      <c r="D199" s="299"/>
      <c r="F199" s="298"/>
      <c r="G199" s="299"/>
    </row>
    <row r="200">
      <c r="C200" s="298"/>
      <c r="D200" s="299"/>
      <c r="F200" s="298"/>
      <c r="G200" s="299"/>
    </row>
    <row r="201">
      <c r="C201" s="298"/>
      <c r="D201" s="299"/>
      <c r="F201" s="298"/>
      <c r="G201" s="299"/>
    </row>
    <row r="202">
      <c r="C202" s="298"/>
      <c r="D202" s="299"/>
      <c r="F202" s="298"/>
      <c r="G202" s="299"/>
    </row>
    <row r="203">
      <c r="C203" s="298"/>
      <c r="D203" s="299"/>
      <c r="F203" s="298"/>
      <c r="G203" s="299"/>
    </row>
    <row r="204">
      <c r="C204" s="298"/>
      <c r="D204" s="299"/>
      <c r="F204" s="298"/>
      <c r="G204" s="299"/>
    </row>
    <row r="205">
      <c r="C205" s="298"/>
      <c r="D205" s="299"/>
      <c r="F205" s="298"/>
      <c r="G205" s="299"/>
    </row>
    <row r="206">
      <c r="C206" s="298"/>
      <c r="D206" s="299"/>
      <c r="F206" s="298"/>
      <c r="G206" s="299"/>
    </row>
    <row r="207">
      <c r="C207" s="298"/>
      <c r="D207" s="299"/>
      <c r="F207" s="298"/>
      <c r="G207" s="299"/>
    </row>
    <row r="208">
      <c r="C208" s="298"/>
      <c r="D208" s="299"/>
      <c r="F208" s="298"/>
      <c r="G208" s="299"/>
    </row>
    <row r="209">
      <c r="C209" s="298"/>
      <c r="D209" s="299"/>
      <c r="F209" s="298"/>
      <c r="G209" s="299"/>
    </row>
    <row r="210">
      <c r="C210" s="298"/>
      <c r="D210" s="299"/>
      <c r="F210" s="298"/>
      <c r="G210" s="299"/>
    </row>
    <row r="211">
      <c r="C211" s="298"/>
      <c r="D211" s="299"/>
      <c r="F211" s="298"/>
      <c r="G211" s="299"/>
    </row>
    <row r="212">
      <c r="C212" s="298"/>
      <c r="D212" s="299"/>
      <c r="F212" s="298"/>
      <c r="G212" s="299"/>
    </row>
    <row r="213">
      <c r="C213" s="298"/>
      <c r="D213" s="299"/>
      <c r="F213" s="298"/>
      <c r="G213" s="299"/>
    </row>
    <row r="214">
      <c r="C214" s="298"/>
      <c r="D214" s="299"/>
      <c r="F214" s="298"/>
      <c r="G214" s="299"/>
    </row>
    <row r="215">
      <c r="C215" s="298"/>
      <c r="D215" s="299"/>
      <c r="F215" s="298"/>
      <c r="G215" s="299"/>
    </row>
    <row r="216">
      <c r="C216" s="298"/>
      <c r="D216" s="299"/>
      <c r="F216" s="298"/>
      <c r="G216" s="299"/>
    </row>
    <row r="217">
      <c r="C217" s="298"/>
      <c r="D217" s="299"/>
      <c r="F217" s="298"/>
      <c r="G217" s="299"/>
    </row>
    <row r="218">
      <c r="C218" s="298"/>
      <c r="D218" s="299"/>
      <c r="F218" s="298"/>
      <c r="G218" s="299"/>
    </row>
    <row r="219">
      <c r="C219" s="298"/>
      <c r="D219" s="299"/>
      <c r="F219" s="298"/>
      <c r="G219" s="299"/>
    </row>
    <row r="220">
      <c r="C220" s="298"/>
      <c r="D220" s="299"/>
      <c r="F220" s="298"/>
      <c r="G220" s="299"/>
    </row>
    <row r="221">
      <c r="C221" s="298"/>
      <c r="D221" s="299"/>
      <c r="F221" s="298"/>
      <c r="G221" s="299"/>
    </row>
    <row r="222">
      <c r="C222" s="298"/>
      <c r="D222" s="299"/>
      <c r="F222" s="298"/>
      <c r="G222" s="299"/>
    </row>
    <row r="223">
      <c r="C223" s="298"/>
      <c r="D223" s="299"/>
      <c r="F223" s="298"/>
      <c r="G223" s="299"/>
    </row>
    <row r="224">
      <c r="C224" s="298"/>
      <c r="D224" s="299"/>
      <c r="F224" s="298"/>
      <c r="G224" s="299"/>
    </row>
    <row r="225">
      <c r="C225" s="298"/>
      <c r="D225" s="299"/>
      <c r="F225" s="298"/>
      <c r="G225" s="299"/>
    </row>
    <row r="226">
      <c r="C226" s="298"/>
      <c r="D226" s="299"/>
      <c r="F226" s="298"/>
      <c r="G226" s="299"/>
    </row>
    <row r="227">
      <c r="C227" s="298"/>
      <c r="D227" s="299"/>
      <c r="F227" s="298"/>
      <c r="G227" s="299"/>
    </row>
    <row r="228">
      <c r="C228" s="298"/>
      <c r="D228" s="299"/>
      <c r="F228" s="298"/>
      <c r="G228" s="299"/>
    </row>
    <row r="229">
      <c r="C229" s="298"/>
      <c r="D229" s="299"/>
      <c r="F229" s="298"/>
      <c r="G229" s="299"/>
    </row>
    <row r="230">
      <c r="C230" s="298"/>
      <c r="D230" s="299"/>
      <c r="F230" s="298"/>
      <c r="G230" s="299"/>
    </row>
    <row r="231">
      <c r="C231" s="298"/>
      <c r="D231" s="299"/>
      <c r="F231" s="298"/>
      <c r="G231" s="299"/>
    </row>
    <row r="232">
      <c r="C232" s="298"/>
      <c r="D232" s="299"/>
      <c r="F232" s="298"/>
      <c r="G232" s="299"/>
    </row>
    <row r="233">
      <c r="C233" s="298"/>
      <c r="D233" s="299"/>
      <c r="F233" s="298"/>
      <c r="G233" s="299"/>
    </row>
    <row r="234">
      <c r="C234" s="298"/>
      <c r="D234" s="299"/>
      <c r="F234" s="298"/>
      <c r="G234" s="299"/>
    </row>
    <row r="235">
      <c r="C235" s="298"/>
      <c r="D235" s="299"/>
      <c r="F235" s="298"/>
      <c r="G235" s="299"/>
    </row>
    <row r="236">
      <c r="C236" s="298"/>
      <c r="D236" s="299"/>
      <c r="F236" s="298"/>
      <c r="G236" s="299"/>
    </row>
    <row r="237">
      <c r="C237" s="298"/>
      <c r="D237" s="299"/>
      <c r="F237" s="298"/>
      <c r="G237" s="299"/>
    </row>
    <row r="238">
      <c r="C238" s="298"/>
      <c r="D238" s="299"/>
      <c r="F238" s="298"/>
      <c r="G238" s="299"/>
    </row>
    <row r="239">
      <c r="C239" s="298"/>
      <c r="D239" s="299"/>
      <c r="F239" s="298"/>
      <c r="G239" s="299"/>
    </row>
    <row r="240">
      <c r="C240" s="298"/>
      <c r="D240" s="299"/>
      <c r="F240" s="298"/>
      <c r="G240" s="299"/>
    </row>
    <row r="241">
      <c r="C241" s="298"/>
      <c r="D241" s="299"/>
      <c r="F241" s="298"/>
      <c r="G241" s="299"/>
    </row>
    <row r="242">
      <c r="C242" s="298"/>
      <c r="D242" s="299"/>
      <c r="F242" s="298"/>
      <c r="G242" s="299"/>
    </row>
    <row r="243">
      <c r="C243" s="298"/>
      <c r="D243" s="299"/>
      <c r="F243" s="298"/>
      <c r="G243" s="299"/>
    </row>
    <row r="244">
      <c r="C244" s="298"/>
      <c r="D244" s="299"/>
      <c r="F244" s="298"/>
      <c r="G244" s="299"/>
    </row>
    <row r="245">
      <c r="C245" s="298"/>
      <c r="D245" s="299"/>
      <c r="F245" s="298"/>
      <c r="G245" s="299"/>
    </row>
    <row r="246">
      <c r="C246" s="298"/>
      <c r="D246" s="299"/>
      <c r="F246" s="298"/>
      <c r="G246" s="299"/>
    </row>
    <row r="247">
      <c r="C247" s="298"/>
      <c r="D247" s="299"/>
      <c r="F247" s="298"/>
      <c r="G247" s="299"/>
    </row>
    <row r="248">
      <c r="C248" s="298"/>
      <c r="D248" s="299"/>
      <c r="F248" s="298"/>
      <c r="G248" s="299"/>
    </row>
    <row r="249">
      <c r="C249" s="298"/>
      <c r="D249" s="299"/>
      <c r="F249" s="298"/>
      <c r="G249" s="299"/>
    </row>
    <row r="250">
      <c r="C250" s="298"/>
      <c r="D250" s="299"/>
      <c r="F250" s="298"/>
      <c r="G250" s="299"/>
    </row>
    <row r="251">
      <c r="C251" s="298"/>
      <c r="D251" s="299"/>
      <c r="F251" s="298"/>
      <c r="G251" s="299"/>
    </row>
    <row r="252">
      <c r="C252" s="298"/>
      <c r="D252" s="299"/>
      <c r="F252" s="298"/>
      <c r="G252" s="299"/>
    </row>
    <row r="253">
      <c r="C253" s="298"/>
      <c r="D253" s="299"/>
      <c r="F253" s="298"/>
      <c r="G253" s="299"/>
    </row>
    <row r="254">
      <c r="C254" s="298"/>
      <c r="D254" s="299"/>
      <c r="F254" s="298"/>
      <c r="G254" s="299"/>
    </row>
    <row r="255">
      <c r="C255" s="298"/>
      <c r="D255" s="299"/>
      <c r="F255" s="298"/>
      <c r="G255" s="299"/>
    </row>
    <row r="256">
      <c r="C256" s="298"/>
      <c r="D256" s="299"/>
      <c r="F256" s="298"/>
      <c r="G256" s="299"/>
    </row>
    <row r="257">
      <c r="C257" s="298"/>
      <c r="D257" s="299"/>
      <c r="F257" s="298"/>
      <c r="G257" s="299"/>
    </row>
    <row r="258">
      <c r="C258" s="298"/>
      <c r="D258" s="299"/>
      <c r="F258" s="298"/>
      <c r="G258" s="299"/>
    </row>
    <row r="259">
      <c r="C259" s="298"/>
      <c r="D259" s="299"/>
      <c r="F259" s="298"/>
      <c r="G259" s="299"/>
    </row>
    <row r="260">
      <c r="C260" s="298"/>
      <c r="D260" s="299"/>
      <c r="F260" s="298"/>
      <c r="G260" s="299"/>
    </row>
    <row r="261">
      <c r="C261" s="298"/>
      <c r="D261" s="299"/>
      <c r="F261" s="298"/>
      <c r="G261" s="299"/>
    </row>
    <row r="262">
      <c r="C262" s="298"/>
      <c r="D262" s="299"/>
      <c r="F262" s="298"/>
      <c r="G262" s="299"/>
    </row>
    <row r="263">
      <c r="C263" s="298"/>
      <c r="D263" s="299"/>
      <c r="F263" s="298"/>
      <c r="G263" s="299"/>
    </row>
    <row r="264">
      <c r="C264" s="298"/>
      <c r="D264" s="299"/>
      <c r="F264" s="298"/>
      <c r="G264" s="299"/>
    </row>
    <row r="265">
      <c r="C265" s="298"/>
      <c r="D265" s="299"/>
      <c r="F265" s="298"/>
      <c r="G265" s="299"/>
    </row>
    <row r="266">
      <c r="C266" s="298"/>
      <c r="D266" s="299"/>
      <c r="F266" s="298"/>
      <c r="G266" s="299"/>
    </row>
    <row r="267">
      <c r="C267" s="298"/>
      <c r="D267" s="299"/>
      <c r="F267" s="298"/>
      <c r="G267" s="299"/>
    </row>
    <row r="268">
      <c r="C268" s="298"/>
      <c r="D268" s="299"/>
      <c r="F268" s="298"/>
      <c r="G268" s="299"/>
    </row>
    <row r="269">
      <c r="C269" s="298"/>
      <c r="D269" s="299"/>
      <c r="F269" s="298"/>
      <c r="G269" s="299"/>
    </row>
    <row r="270">
      <c r="C270" s="298"/>
      <c r="D270" s="299"/>
      <c r="F270" s="298"/>
      <c r="G270" s="299"/>
    </row>
    <row r="271">
      <c r="C271" s="298"/>
      <c r="D271" s="299"/>
      <c r="F271" s="298"/>
      <c r="G271" s="299"/>
    </row>
    <row r="272">
      <c r="C272" s="298"/>
      <c r="D272" s="299"/>
      <c r="F272" s="298"/>
      <c r="G272" s="299"/>
    </row>
    <row r="273">
      <c r="C273" s="298"/>
      <c r="D273" s="299"/>
      <c r="F273" s="298"/>
      <c r="G273" s="299"/>
    </row>
    <row r="274">
      <c r="C274" s="298"/>
      <c r="D274" s="299"/>
      <c r="F274" s="298"/>
      <c r="G274" s="299"/>
    </row>
    <row r="275">
      <c r="C275" s="298"/>
      <c r="D275" s="299"/>
      <c r="F275" s="298"/>
      <c r="G275" s="299"/>
    </row>
    <row r="276">
      <c r="C276" s="298"/>
      <c r="D276" s="299"/>
      <c r="F276" s="298"/>
      <c r="G276" s="299"/>
    </row>
    <row r="277">
      <c r="C277" s="298"/>
      <c r="D277" s="299"/>
      <c r="F277" s="298"/>
      <c r="G277" s="299"/>
    </row>
    <row r="278">
      <c r="C278" s="298"/>
      <c r="D278" s="299"/>
      <c r="F278" s="298"/>
      <c r="G278" s="299"/>
    </row>
    <row r="279">
      <c r="C279" s="298"/>
      <c r="D279" s="299"/>
      <c r="F279" s="298"/>
      <c r="G279" s="299"/>
    </row>
    <row r="280">
      <c r="C280" s="298"/>
      <c r="D280" s="299"/>
      <c r="F280" s="298"/>
      <c r="G280" s="299"/>
    </row>
    <row r="281">
      <c r="C281" s="298"/>
      <c r="D281" s="299"/>
      <c r="F281" s="298"/>
      <c r="G281" s="299"/>
    </row>
    <row r="282">
      <c r="C282" s="298"/>
      <c r="D282" s="299"/>
      <c r="F282" s="298"/>
      <c r="G282" s="299"/>
    </row>
    <row r="283">
      <c r="C283" s="298"/>
      <c r="D283" s="299"/>
      <c r="F283" s="298"/>
      <c r="G283" s="299"/>
    </row>
    <row r="284">
      <c r="C284" s="298"/>
      <c r="D284" s="299"/>
      <c r="F284" s="298"/>
      <c r="G284" s="299"/>
    </row>
    <row r="285">
      <c r="C285" s="298"/>
      <c r="D285" s="299"/>
      <c r="F285" s="298"/>
      <c r="G285" s="299"/>
    </row>
    <row r="286">
      <c r="C286" s="298"/>
      <c r="D286" s="299"/>
      <c r="F286" s="298"/>
      <c r="G286" s="299"/>
    </row>
    <row r="287">
      <c r="C287" s="298"/>
      <c r="D287" s="299"/>
      <c r="F287" s="298"/>
      <c r="G287" s="299"/>
    </row>
    <row r="288">
      <c r="C288" s="298"/>
      <c r="D288" s="299"/>
      <c r="F288" s="298"/>
      <c r="G288" s="299"/>
    </row>
    <row r="289">
      <c r="C289" s="298"/>
      <c r="D289" s="299"/>
      <c r="F289" s="298"/>
      <c r="G289" s="299"/>
    </row>
    <row r="290">
      <c r="C290" s="298"/>
      <c r="D290" s="299"/>
      <c r="F290" s="298"/>
      <c r="G290" s="299"/>
    </row>
    <row r="291">
      <c r="C291" s="298"/>
      <c r="D291" s="299"/>
      <c r="F291" s="298"/>
      <c r="G291" s="299"/>
    </row>
    <row r="292">
      <c r="C292" s="298"/>
      <c r="D292" s="299"/>
      <c r="F292" s="298"/>
      <c r="G292" s="299"/>
    </row>
    <row r="293">
      <c r="C293" s="298"/>
      <c r="D293" s="299"/>
      <c r="F293" s="298"/>
      <c r="G293" s="299"/>
    </row>
    <row r="294">
      <c r="C294" s="298"/>
      <c r="D294" s="299"/>
      <c r="F294" s="298"/>
      <c r="G294" s="299"/>
    </row>
    <row r="295">
      <c r="C295" s="298"/>
      <c r="D295" s="299"/>
      <c r="F295" s="298"/>
      <c r="G295" s="299"/>
    </row>
    <row r="296">
      <c r="C296" s="298"/>
      <c r="D296" s="299"/>
      <c r="F296" s="298"/>
      <c r="G296" s="299"/>
    </row>
    <row r="297">
      <c r="C297" s="298"/>
      <c r="D297" s="299"/>
      <c r="F297" s="298"/>
      <c r="G297" s="299"/>
    </row>
    <row r="298">
      <c r="C298" s="298"/>
      <c r="D298" s="299"/>
      <c r="F298" s="298"/>
      <c r="G298" s="299"/>
    </row>
    <row r="299">
      <c r="C299" s="298"/>
      <c r="D299" s="299"/>
      <c r="F299" s="298"/>
      <c r="G299" s="299"/>
    </row>
    <row r="300">
      <c r="C300" s="298"/>
      <c r="D300" s="299"/>
      <c r="F300" s="298"/>
      <c r="G300" s="299"/>
    </row>
    <row r="301">
      <c r="C301" s="298"/>
      <c r="D301" s="299"/>
      <c r="F301" s="298"/>
      <c r="G301" s="299"/>
    </row>
    <row r="302">
      <c r="C302" s="298"/>
      <c r="D302" s="299"/>
      <c r="F302" s="298"/>
      <c r="G302" s="299"/>
    </row>
    <row r="303">
      <c r="C303" s="298"/>
      <c r="D303" s="299"/>
      <c r="F303" s="298"/>
      <c r="G303" s="299"/>
    </row>
    <row r="304">
      <c r="C304" s="298"/>
      <c r="D304" s="299"/>
      <c r="F304" s="298"/>
      <c r="G304" s="299"/>
    </row>
    <row r="305">
      <c r="C305" s="298"/>
      <c r="D305" s="299"/>
      <c r="F305" s="298"/>
      <c r="G305" s="299"/>
    </row>
    <row r="306">
      <c r="C306" s="298"/>
      <c r="D306" s="299"/>
      <c r="F306" s="298"/>
      <c r="G306" s="299"/>
    </row>
    <row r="307">
      <c r="C307" s="298"/>
      <c r="D307" s="299"/>
      <c r="F307" s="298"/>
      <c r="G307" s="299"/>
    </row>
    <row r="308">
      <c r="C308" s="298"/>
      <c r="D308" s="299"/>
      <c r="F308" s="298"/>
      <c r="G308" s="299"/>
    </row>
    <row r="309">
      <c r="C309" s="298"/>
      <c r="D309" s="299"/>
      <c r="F309" s="298"/>
      <c r="G309" s="299"/>
    </row>
    <row r="310">
      <c r="C310" s="298"/>
      <c r="D310" s="299"/>
      <c r="F310" s="298"/>
      <c r="G310" s="299"/>
    </row>
    <row r="311">
      <c r="C311" s="298"/>
      <c r="D311" s="299"/>
      <c r="F311" s="298"/>
      <c r="G311" s="299"/>
    </row>
    <row r="312">
      <c r="C312" s="298"/>
      <c r="D312" s="299"/>
      <c r="F312" s="298"/>
      <c r="G312" s="299"/>
    </row>
    <row r="313">
      <c r="C313" s="298"/>
      <c r="D313" s="299"/>
      <c r="F313" s="298"/>
      <c r="G313" s="299"/>
    </row>
    <row r="314">
      <c r="C314" s="298"/>
      <c r="D314" s="299"/>
      <c r="F314" s="298"/>
      <c r="G314" s="299"/>
    </row>
    <row r="315">
      <c r="C315" s="298"/>
      <c r="D315" s="299"/>
      <c r="F315" s="298"/>
      <c r="G315" s="299"/>
    </row>
    <row r="316">
      <c r="C316" s="298"/>
      <c r="D316" s="299"/>
      <c r="F316" s="298"/>
      <c r="G316" s="299"/>
    </row>
    <row r="317">
      <c r="C317" s="298"/>
      <c r="D317" s="299"/>
      <c r="F317" s="298"/>
      <c r="G317" s="299"/>
    </row>
    <row r="318">
      <c r="C318" s="298"/>
      <c r="D318" s="299"/>
      <c r="F318" s="298"/>
      <c r="G318" s="299"/>
    </row>
    <row r="319">
      <c r="C319" s="298"/>
      <c r="D319" s="299"/>
      <c r="F319" s="298"/>
      <c r="G319" s="299"/>
    </row>
    <row r="320">
      <c r="C320" s="298"/>
      <c r="D320" s="299"/>
      <c r="F320" s="298"/>
      <c r="G320" s="299"/>
    </row>
    <row r="321">
      <c r="C321" s="298"/>
      <c r="D321" s="299"/>
      <c r="F321" s="298"/>
      <c r="G321" s="299"/>
    </row>
    <row r="322">
      <c r="C322" s="298"/>
      <c r="D322" s="299"/>
      <c r="F322" s="298"/>
      <c r="G322" s="299"/>
    </row>
    <row r="323">
      <c r="C323" s="298"/>
      <c r="D323" s="299"/>
      <c r="F323" s="298"/>
      <c r="G323" s="299"/>
    </row>
    <row r="324">
      <c r="C324" s="298"/>
      <c r="D324" s="299"/>
      <c r="F324" s="298"/>
      <c r="G324" s="299"/>
    </row>
    <row r="325">
      <c r="C325" s="298"/>
      <c r="D325" s="299"/>
      <c r="F325" s="298"/>
      <c r="G325" s="299"/>
    </row>
    <row r="326">
      <c r="C326" s="298"/>
      <c r="D326" s="299"/>
      <c r="F326" s="298"/>
      <c r="G326" s="299"/>
    </row>
    <row r="327">
      <c r="C327" s="298"/>
      <c r="D327" s="299"/>
      <c r="F327" s="298"/>
      <c r="G327" s="299"/>
    </row>
    <row r="328">
      <c r="C328" s="298"/>
      <c r="D328" s="299"/>
      <c r="F328" s="298"/>
      <c r="G328" s="299"/>
    </row>
    <row r="329">
      <c r="C329" s="298"/>
      <c r="D329" s="299"/>
      <c r="F329" s="298"/>
      <c r="G329" s="299"/>
    </row>
    <row r="330">
      <c r="C330" s="298"/>
      <c r="D330" s="299"/>
      <c r="F330" s="298"/>
      <c r="G330" s="299"/>
    </row>
    <row r="331">
      <c r="C331" s="298"/>
      <c r="D331" s="299"/>
      <c r="F331" s="298"/>
      <c r="G331" s="299"/>
    </row>
    <row r="332">
      <c r="C332" s="298"/>
      <c r="D332" s="299"/>
      <c r="F332" s="298"/>
      <c r="G332" s="299"/>
    </row>
    <row r="333">
      <c r="C333" s="298"/>
      <c r="D333" s="299"/>
      <c r="F333" s="298"/>
      <c r="G333" s="299"/>
    </row>
    <row r="334">
      <c r="C334" s="298"/>
      <c r="D334" s="299"/>
      <c r="F334" s="298"/>
      <c r="G334" s="299"/>
    </row>
    <row r="335">
      <c r="C335" s="298"/>
      <c r="D335" s="299"/>
      <c r="F335" s="298"/>
      <c r="G335" s="299"/>
    </row>
    <row r="336">
      <c r="C336" s="298"/>
      <c r="D336" s="299"/>
      <c r="F336" s="298"/>
      <c r="G336" s="299"/>
    </row>
    <row r="337">
      <c r="C337" s="298"/>
      <c r="D337" s="299"/>
      <c r="F337" s="298"/>
      <c r="G337" s="299"/>
    </row>
    <row r="338">
      <c r="C338" s="298"/>
      <c r="D338" s="299"/>
      <c r="F338" s="298"/>
      <c r="G338" s="299"/>
    </row>
    <row r="339">
      <c r="C339" s="298"/>
      <c r="D339" s="299"/>
      <c r="F339" s="298"/>
      <c r="G339" s="299"/>
    </row>
    <row r="340">
      <c r="C340" s="298"/>
      <c r="D340" s="299"/>
      <c r="F340" s="298"/>
      <c r="G340" s="299"/>
    </row>
    <row r="341">
      <c r="C341" s="298"/>
      <c r="D341" s="299"/>
      <c r="F341" s="298"/>
      <c r="G341" s="299"/>
    </row>
    <row r="342">
      <c r="C342" s="298"/>
      <c r="D342" s="299"/>
      <c r="F342" s="298"/>
      <c r="G342" s="299"/>
    </row>
    <row r="343">
      <c r="C343" s="298"/>
      <c r="D343" s="299"/>
      <c r="F343" s="298"/>
      <c r="G343" s="299"/>
    </row>
    <row r="344">
      <c r="C344" s="298"/>
      <c r="D344" s="299"/>
      <c r="F344" s="298"/>
      <c r="G344" s="299"/>
    </row>
    <row r="345">
      <c r="C345" s="298"/>
      <c r="D345" s="299"/>
      <c r="F345" s="298"/>
      <c r="G345" s="299"/>
    </row>
    <row r="346">
      <c r="C346" s="298"/>
      <c r="D346" s="299"/>
      <c r="F346" s="298"/>
      <c r="G346" s="299"/>
    </row>
    <row r="347">
      <c r="C347" s="298"/>
      <c r="D347" s="299"/>
      <c r="F347" s="298"/>
      <c r="G347" s="299"/>
    </row>
    <row r="348">
      <c r="C348" s="298"/>
      <c r="D348" s="299"/>
      <c r="F348" s="298"/>
      <c r="G348" s="299"/>
    </row>
    <row r="349">
      <c r="C349" s="298"/>
      <c r="D349" s="299"/>
      <c r="F349" s="298"/>
      <c r="G349" s="299"/>
    </row>
    <row r="350">
      <c r="C350" s="298"/>
      <c r="D350" s="299"/>
      <c r="F350" s="298"/>
      <c r="G350" s="299"/>
    </row>
    <row r="351">
      <c r="C351" s="298"/>
      <c r="D351" s="299"/>
      <c r="F351" s="298"/>
      <c r="G351" s="299"/>
    </row>
    <row r="352">
      <c r="C352" s="298"/>
      <c r="D352" s="299"/>
      <c r="F352" s="298"/>
      <c r="G352" s="299"/>
    </row>
    <row r="353">
      <c r="C353" s="298"/>
      <c r="D353" s="299"/>
      <c r="F353" s="298"/>
      <c r="G353" s="299"/>
    </row>
    <row r="354">
      <c r="C354" s="298"/>
      <c r="D354" s="299"/>
      <c r="F354" s="298"/>
      <c r="G354" s="299"/>
    </row>
    <row r="355">
      <c r="C355" s="298"/>
      <c r="D355" s="299"/>
      <c r="F355" s="298"/>
      <c r="G355" s="299"/>
    </row>
    <row r="356">
      <c r="C356" s="298"/>
      <c r="D356" s="299"/>
      <c r="F356" s="298"/>
      <c r="G356" s="299"/>
    </row>
    <row r="357">
      <c r="C357" s="298"/>
      <c r="D357" s="299"/>
      <c r="F357" s="298"/>
      <c r="G357" s="299"/>
    </row>
    <row r="358">
      <c r="C358" s="298"/>
      <c r="D358" s="299"/>
      <c r="F358" s="298"/>
      <c r="G358" s="299"/>
    </row>
    <row r="359">
      <c r="C359" s="298"/>
      <c r="D359" s="299"/>
      <c r="F359" s="298"/>
      <c r="G359" s="299"/>
    </row>
    <row r="360">
      <c r="C360" s="298"/>
      <c r="D360" s="299"/>
      <c r="F360" s="298"/>
      <c r="G360" s="299"/>
    </row>
    <row r="361">
      <c r="C361" s="298"/>
      <c r="D361" s="299"/>
      <c r="F361" s="298"/>
      <c r="G361" s="299"/>
    </row>
    <row r="362">
      <c r="C362" s="298"/>
      <c r="D362" s="299"/>
      <c r="F362" s="298"/>
      <c r="G362" s="299"/>
    </row>
    <row r="363">
      <c r="C363" s="298"/>
      <c r="D363" s="299"/>
      <c r="F363" s="298"/>
      <c r="G363" s="299"/>
    </row>
    <row r="364">
      <c r="C364" s="298"/>
      <c r="D364" s="299"/>
      <c r="F364" s="298"/>
      <c r="G364" s="299"/>
    </row>
    <row r="365">
      <c r="C365" s="298"/>
      <c r="D365" s="299"/>
      <c r="F365" s="298"/>
      <c r="G365" s="299"/>
    </row>
    <row r="366">
      <c r="C366" s="298"/>
      <c r="D366" s="299"/>
      <c r="F366" s="298"/>
      <c r="G366" s="299"/>
    </row>
    <row r="367">
      <c r="C367" s="298"/>
      <c r="D367" s="299"/>
      <c r="F367" s="298"/>
      <c r="G367" s="299"/>
    </row>
    <row r="368">
      <c r="C368" s="298"/>
      <c r="D368" s="299"/>
      <c r="F368" s="298"/>
      <c r="G368" s="299"/>
    </row>
    <row r="369">
      <c r="C369" s="298"/>
      <c r="D369" s="299"/>
      <c r="F369" s="298"/>
      <c r="G369" s="299"/>
    </row>
    <row r="370">
      <c r="C370" s="298"/>
      <c r="D370" s="299"/>
      <c r="F370" s="298"/>
      <c r="G370" s="299"/>
    </row>
    <row r="371">
      <c r="C371" s="298"/>
      <c r="D371" s="299"/>
      <c r="F371" s="298"/>
      <c r="G371" s="299"/>
    </row>
    <row r="372">
      <c r="C372" s="298"/>
      <c r="D372" s="299"/>
      <c r="F372" s="298"/>
      <c r="G372" s="299"/>
    </row>
    <row r="373">
      <c r="C373" s="298"/>
      <c r="D373" s="299"/>
      <c r="F373" s="298"/>
      <c r="G373" s="299"/>
    </row>
    <row r="374">
      <c r="C374" s="298"/>
      <c r="D374" s="299"/>
      <c r="F374" s="298"/>
      <c r="G374" s="299"/>
    </row>
    <row r="375">
      <c r="C375" s="298"/>
      <c r="D375" s="299"/>
      <c r="F375" s="298"/>
      <c r="G375" s="299"/>
    </row>
    <row r="376">
      <c r="C376" s="298"/>
      <c r="D376" s="299"/>
      <c r="F376" s="298"/>
      <c r="G376" s="299"/>
    </row>
    <row r="377">
      <c r="C377" s="298"/>
      <c r="D377" s="299"/>
      <c r="F377" s="298"/>
      <c r="G377" s="299"/>
    </row>
    <row r="378">
      <c r="C378" s="298"/>
      <c r="D378" s="299"/>
      <c r="F378" s="298"/>
      <c r="G378" s="299"/>
    </row>
    <row r="379">
      <c r="C379" s="298"/>
      <c r="D379" s="299"/>
      <c r="F379" s="298"/>
      <c r="G379" s="299"/>
    </row>
    <row r="380">
      <c r="C380" s="298"/>
      <c r="D380" s="299"/>
      <c r="F380" s="298"/>
      <c r="G380" s="299"/>
    </row>
    <row r="381">
      <c r="C381" s="298"/>
      <c r="D381" s="299"/>
      <c r="F381" s="298"/>
      <c r="G381" s="299"/>
    </row>
    <row r="382">
      <c r="C382" s="298"/>
      <c r="D382" s="299"/>
      <c r="F382" s="298"/>
      <c r="G382" s="299"/>
    </row>
    <row r="383">
      <c r="C383" s="298"/>
      <c r="D383" s="299"/>
      <c r="F383" s="298"/>
      <c r="G383" s="299"/>
    </row>
    <row r="384">
      <c r="C384" s="298"/>
      <c r="D384" s="299"/>
      <c r="F384" s="298"/>
      <c r="G384" s="299"/>
    </row>
    <row r="385">
      <c r="C385" s="298"/>
      <c r="D385" s="299"/>
      <c r="F385" s="298"/>
      <c r="G385" s="299"/>
    </row>
    <row r="386">
      <c r="C386" s="298"/>
      <c r="D386" s="299"/>
      <c r="F386" s="298"/>
      <c r="G386" s="299"/>
    </row>
    <row r="387">
      <c r="C387" s="298"/>
      <c r="D387" s="299"/>
      <c r="F387" s="298"/>
      <c r="G387" s="299"/>
    </row>
    <row r="388">
      <c r="C388" s="298"/>
      <c r="D388" s="299"/>
      <c r="F388" s="298"/>
      <c r="G388" s="299"/>
    </row>
    <row r="389">
      <c r="C389" s="298"/>
      <c r="D389" s="299"/>
      <c r="F389" s="298"/>
      <c r="G389" s="299"/>
    </row>
    <row r="390">
      <c r="C390" s="298"/>
      <c r="D390" s="299"/>
      <c r="F390" s="298"/>
      <c r="G390" s="299"/>
    </row>
    <row r="391">
      <c r="C391" s="298"/>
      <c r="D391" s="299"/>
      <c r="F391" s="298"/>
      <c r="G391" s="299"/>
    </row>
    <row r="392">
      <c r="C392" s="298"/>
      <c r="D392" s="299"/>
      <c r="F392" s="298"/>
      <c r="G392" s="299"/>
    </row>
    <row r="393">
      <c r="C393" s="298"/>
      <c r="D393" s="299"/>
      <c r="F393" s="298"/>
      <c r="G393" s="299"/>
    </row>
    <row r="394">
      <c r="C394" s="298"/>
      <c r="D394" s="299"/>
      <c r="F394" s="298"/>
      <c r="G394" s="299"/>
    </row>
    <row r="395">
      <c r="C395" s="298"/>
      <c r="D395" s="299"/>
      <c r="F395" s="298"/>
      <c r="G395" s="299"/>
    </row>
    <row r="396">
      <c r="C396" s="298"/>
      <c r="D396" s="299"/>
      <c r="F396" s="298"/>
      <c r="G396" s="299"/>
    </row>
    <row r="397">
      <c r="C397" s="298"/>
      <c r="D397" s="299"/>
      <c r="F397" s="298"/>
      <c r="G397" s="299"/>
    </row>
    <row r="398">
      <c r="C398" s="298"/>
      <c r="D398" s="299"/>
      <c r="F398" s="298"/>
      <c r="G398" s="299"/>
    </row>
    <row r="399">
      <c r="C399" s="298"/>
      <c r="D399" s="299"/>
      <c r="F399" s="298"/>
      <c r="G399" s="299"/>
    </row>
    <row r="400">
      <c r="C400" s="298"/>
      <c r="D400" s="299"/>
      <c r="F400" s="298"/>
      <c r="G400" s="299"/>
    </row>
    <row r="401">
      <c r="C401" s="298"/>
      <c r="D401" s="299"/>
      <c r="F401" s="298"/>
      <c r="G401" s="299"/>
    </row>
    <row r="402">
      <c r="C402" s="298"/>
      <c r="D402" s="299"/>
      <c r="F402" s="298"/>
      <c r="G402" s="299"/>
    </row>
    <row r="403">
      <c r="C403" s="298"/>
      <c r="D403" s="299"/>
      <c r="F403" s="298"/>
      <c r="G403" s="299"/>
    </row>
    <row r="404">
      <c r="C404" s="298"/>
      <c r="D404" s="299"/>
      <c r="F404" s="298"/>
      <c r="G404" s="299"/>
    </row>
    <row r="405">
      <c r="C405" s="298"/>
      <c r="D405" s="299"/>
      <c r="F405" s="298"/>
      <c r="G405" s="299"/>
    </row>
    <row r="406">
      <c r="C406" s="298"/>
      <c r="D406" s="299"/>
      <c r="F406" s="298"/>
      <c r="G406" s="299"/>
    </row>
    <row r="407">
      <c r="C407" s="298"/>
      <c r="D407" s="299"/>
      <c r="F407" s="298"/>
      <c r="G407" s="299"/>
    </row>
    <row r="408">
      <c r="C408" s="298"/>
      <c r="D408" s="299"/>
      <c r="F408" s="298"/>
      <c r="G408" s="299"/>
    </row>
    <row r="409">
      <c r="C409" s="298"/>
      <c r="D409" s="299"/>
      <c r="F409" s="298"/>
      <c r="G409" s="299"/>
    </row>
    <row r="410">
      <c r="C410" s="298"/>
      <c r="D410" s="299"/>
      <c r="F410" s="298"/>
      <c r="G410" s="299"/>
    </row>
    <row r="411">
      <c r="C411" s="298"/>
      <c r="D411" s="299"/>
      <c r="F411" s="298"/>
      <c r="G411" s="299"/>
    </row>
    <row r="412">
      <c r="C412" s="298"/>
      <c r="D412" s="299"/>
      <c r="F412" s="298"/>
      <c r="G412" s="299"/>
    </row>
    <row r="413">
      <c r="C413" s="298"/>
      <c r="D413" s="299"/>
      <c r="F413" s="298"/>
      <c r="G413" s="299"/>
    </row>
    <row r="414">
      <c r="C414" s="298"/>
      <c r="D414" s="299"/>
      <c r="F414" s="298"/>
      <c r="G414" s="299"/>
    </row>
    <row r="415">
      <c r="C415" s="298"/>
      <c r="D415" s="299"/>
      <c r="F415" s="298"/>
      <c r="G415" s="299"/>
    </row>
    <row r="416">
      <c r="C416" s="298"/>
      <c r="D416" s="299"/>
      <c r="F416" s="298"/>
      <c r="G416" s="299"/>
    </row>
    <row r="417">
      <c r="C417" s="298"/>
      <c r="D417" s="299"/>
      <c r="F417" s="298"/>
      <c r="G417" s="299"/>
    </row>
    <row r="418">
      <c r="C418" s="298"/>
      <c r="D418" s="299"/>
      <c r="F418" s="298"/>
      <c r="G418" s="299"/>
    </row>
    <row r="419">
      <c r="C419" s="298"/>
      <c r="D419" s="299"/>
      <c r="F419" s="298"/>
      <c r="G419" s="299"/>
    </row>
    <row r="420">
      <c r="C420" s="298"/>
      <c r="D420" s="299"/>
      <c r="F420" s="298"/>
      <c r="G420" s="299"/>
    </row>
    <row r="421">
      <c r="C421" s="298"/>
      <c r="D421" s="299"/>
      <c r="F421" s="298"/>
      <c r="G421" s="299"/>
    </row>
    <row r="422">
      <c r="C422" s="298"/>
      <c r="D422" s="299"/>
      <c r="F422" s="298"/>
      <c r="G422" s="299"/>
    </row>
    <row r="423">
      <c r="C423" s="298"/>
      <c r="D423" s="299"/>
      <c r="F423" s="298"/>
      <c r="G423" s="299"/>
    </row>
    <row r="424">
      <c r="C424" s="298"/>
      <c r="D424" s="299"/>
      <c r="F424" s="298"/>
      <c r="G424" s="299"/>
    </row>
    <row r="425">
      <c r="C425" s="298"/>
      <c r="D425" s="299"/>
      <c r="F425" s="298"/>
      <c r="G425" s="299"/>
    </row>
    <row r="426">
      <c r="C426" s="298"/>
      <c r="D426" s="299"/>
      <c r="F426" s="298"/>
      <c r="G426" s="299"/>
    </row>
    <row r="427">
      <c r="C427" s="298"/>
      <c r="D427" s="299"/>
      <c r="F427" s="298"/>
      <c r="G427" s="299"/>
    </row>
    <row r="428">
      <c r="C428" s="298"/>
      <c r="D428" s="299"/>
      <c r="F428" s="298"/>
      <c r="G428" s="299"/>
    </row>
    <row r="429">
      <c r="C429" s="298"/>
      <c r="D429" s="299"/>
      <c r="F429" s="298"/>
      <c r="G429" s="299"/>
    </row>
    <row r="430">
      <c r="C430" s="298"/>
      <c r="D430" s="299"/>
      <c r="F430" s="298"/>
      <c r="G430" s="299"/>
    </row>
    <row r="431">
      <c r="C431" s="298"/>
      <c r="D431" s="299"/>
      <c r="F431" s="298"/>
      <c r="G431" s="299"/>
    </row>
    <row r="432">
      <c r="C432" s="298"/>
      <c r="D432" s="299"/>
      <c r="F432" s="298"/>
      <c r="G432" s="299"/>
    </row>
    <row r="433">
      <c r="C433" s="298"/>
      <c r="D433" s="299"/>
      <c r="F433" s="298"/>
      <c r="G433" s="299"/>
    </row>
    <row r="434">
      <c r="C434" s="298"/>
      <c r="D434" s="299"/>
      <c r="F434" s="298"/>
      <c r="G434" s="299"/>
    </row>
    <row r="435">
      <c r="C435" s="298"/>
      <c r="D435" s="299"/>
      <c r="F435" s="298"/>
      <c r="G435" s="299"/>
    </row>
    <row r="436">
      <c r="C436" s="298"/>
      <c r="D436" s="299"/>
      <c r="F436" s="298"/>
      <c r="G436" s="299"/>
    </row>
    <row r="437">
      <c r="C437" s="298"/>
      <c r="D437" s="299"/>
      <c r="F437" s="298"/>
      <c r="G437" s="299"/>
    </row>
    <row r="438">
      <c r="C438" s="298"/>
      <c r="D438" s="299"/>
      <c r="F438" s="298"/>
      <c r="G438" s="299"/>
    </row>
    <row r="439">
      <c r="C439" s="298"/>
      <c r="D439" s="299"/>
      <c r="F439" s="298"/>
      <c r="G439" s="299"/>
    </row>
    <row r="440">
      <c r="C440" s="298"/>
      <c r="D440" s="299"/>
      <c r="F440" s="298"/>
      <c r="G440" s="299"/>
    </row>
    <row r="441">
      <c r="C441" s="298"/>
      <c r="D441" s="299"/>
      <c r="F441" s="298"/>
      <c r="G441" s="299"/>
    </row>
    <row r="442">
      <c r="C442" s="298"/>
      <c r="D442" s="299"/>
      <c r="F442" s="298"/>
      <c r="G442" s="299"/>
    </row>
    <row r="443">
      <c r="C443" s="298"/>
      <c r="D443" s="299"/>
      <c r="F443" s="298"/>
      <c r="G443" s="299"/>
    </row>
    <row r="444">
      <c r="C444" s="298"/>
      <c r="D444" s="299"/>
      <c r="F444" s="298"/>
      <c r="G444" s="299"/>
    </row>
    <row r="445">
      <c r="C445" s="298"/>
      <c r="D445" s="299"/>
      <c r="F445" s="298"/>
      <c r="G445" s="299"/>
    </row>
    <row r="446">
      <c r="C446" s="298"/>
      <c r="D446" s="299"/>
      <c r="F446" s="298"/>
      <c r="G446" s="299"/>
    </row>
    <row r="447">
      <c r="C447" s="298"/>
      <c r="D447" s="299"/>
      <c r="F447" s="298"/>
      <c r="G447" s="299"/>
    </row>
    <row r="448">
      <c r="C448" s="298"/>
      <c r="D448" s="299"/>
      <c r="F448" s="298"/>
      <c r="G448" s="299"/>
    </row>
    <row r="449">
      <c r="C449" s="298"/>
      <c r="D449" s="299"/>
      <c r="F449" s="298"/>
      <c r="G449" s="299"/>
    </row>
    <row r="450">
      <c r="C450" s="298"/>
      <c r="D450" s="299"/>
      <c r="F450" s="298"/>
      <c r="G450" s="299"/>
    </row>
    <row r="451">
      <c r="C451" s="298"/>
      <c r="D451" s="299"/>
      <c r="F451" s="298"/>
      <c r="G451" s="299"/>
    </row>
    <row r="452">
      <c r="C452" s="298"/>
      <c r="D452" s="299"/>
      <c r="F452" s="298"/>
      <c r="G452" s="299"/>
    </row>
    <row r="453">
      <c r="C453" s="298"/>
      <c r="D453" s="299"/>
      <c r="F453" s="298"/>
      <c r="G453" s="299"/>
    </row>
    <row r="454">
      <c r="C454" s="298"/>
      <c r="D454" s="299"/>
      <c r="F454" s="298"/>
      <c r="G454" s="299"/>
    </row>
    <row r="455">
      <c r="C455" s="298"/>
      <c r="D455" s="299"/>
      <c r="F455" s="298"/>
      <c r="G455" s="299"/>
    </row>
    <row r="456">
      <c r="C456" s="298"/>
      <c r="D456" s="299"/>
      <c r="F456" s="298"/>
      <c r="G456" s="299"/>
    </row>
    <row r="457">
      <c r="C457" s="298"/>
      <c r="D457" s="299"/>
      <c r="F457" s="298"/>
      <c r="G457" s="299"/>
    </row>
    <row r="458">
      <c r="C458" s="298"/>
      <c r="D458" s="299"/>
      <c r="F458" s="298"/>
      <c r="G458" s="299"/>
    </row>
    <row r="459">
      <c r="C459" s="298"/>
      <c r="D459" s="299"/>
      <c r="F459" s="298"/>
      <c r="G459" s="299"/>
    </row>
    <row r="460">
      <c r="C460" s="298"/>
      <c r="D460" s="299"/>
      <c r="F460" s="298"/>
      <c r="G460" s="299"/>
    </row>
    <row r="461">
      <c r="C461" s="298"/>
      <c r="D461" s="299"/>
      <c r="F461" s="298"/>
      <c r="G461" s="299"/>
    </row>
    <row r="462">
      <c r="C462" s="298"/>
      <c r="D462" s="299"/>
      <c r="F462" s="298"/>
      <c r="G462" s="299"/>
    </row>
    <row r="463">
      <c r="C463" s="298"/>
      <c r="D463" s="299"/>
      <c r="F463" s="298"/>
      <c r="G463" s="299"/>
    </row>
    <row r="464">
      <c r="C464" s="298"/>
      <c r="D464" s="299"/>
      <c r="F464" s="298"/>
      <c r="G464" s="299"/>
    </row>
    <row r="465">
      <c r="C465" s="298"/>
      <c r="D465" s="299"/>
      <c r="F465" s="298"/>
      <c r="G465" s="299"/>
    </row>
    <row r="466">
      <c r="C466" s="298"/>
      <c r="D466" s="299"/>
      <c r="F466" s="298"/>
      <c r="G466" s="299"/>
    </row>
    <row r="467">
      <c r="C467" s="298"/>
      <c r="D467" s="299"/>
      <c r="F467" s="298"/>
      <c r="G467" s="299"/>
    </row>
    <row r="468">
      <c r="C468" s="298"/>
      <c r="D468" s="299"/>
      <c r="F468" s="298"/>
      <c r="G468" s="299"/>
    </row>
    <row r="469">
      <c r="C469" s="298"/>
      <c r="D469" s="299"/>
      <c r="F469" s="298"/>
      <c r="G469" s="299"/>
    </row>
    <row r="470">
      <c r="C470" s="298"/>
      <c r="D470" s="299"/>
      <c r="F470" s="298"/>
      <c r="G470" s="299"/>
    </row>
    <row r="471">
      <c r="C471" s="298"/>
      <c r="D471" s="299"/>
      <c r="F471" s="298"/>
      <c r="G471" s="299"/>
    </row>
    <row r="472">
      <c r="C472" s="298"/>
      <c r="D472" s="299"/>
      <c r="F472" s="298"/>
      <c r="G472" s="299"/>
    </row>
    <row r="473">
      <c r="C473" s="298"/>
      <c r="D473" s="299"/>
      <c r="F473" s="298"/>
      <c r="G473" s="299"/>
    </row>
    <row r="474">
      <c r="C474" s="298"/>
      <c r="D474" s="299"/>
      <c r="F474" s="298"/>
      <c r="G474" s="299"/>
    </row>
    <row r="475">
      <c r="C475" s="298"/>
      <c r="D475" s="299"/>
      <c r="F475" s="298"/>
      <c r="G475" s="299"/>
    </row>
    <row r="476">
      <c r="C476" s="298"/>
      <c r="D476" s="299"/>
      <c r="F476" s="298"/>
      <c r="G476" s="299"/>
    </row>
    <row r="477">
      <c r="C477" s="298"/>
      <c r="D477" s="299"/>
      <c r="F477" s="298"/>
      <c r="G477" s="299"/>
    </row>
    <row r="478">
      <c r="C478" s="298"/>
      <c r="D478" s="299"/>
      <c r="F478" s="298"/>
      <c r="G478" s="299"/>
    </row>
    <row r="479">
      <c r="C479" s="298"/>
      <c r="D479" s="299"/>
      <c r="F479" s="298"/>
      <c r="G479" s="299"/>
    </row>
    <row r="480">
      <c r="C480" s="298"/>
      <c r="D480" s="299"/>
      <c r="F480" s="298"/>
      <c r="G480" s="299"/>
    </row>
    <row r="481">
      <c r="C481" s="298"/>
      <c r="D481" s="299"/>
      <c r="F481" s="298"/>
      <c r="G481" s="299"/>
    </row>
    <row r="482">
      <c r="C482" s="298"/>
      <c r="D482" s="299"/>
      <c r="F482" s="298"/>
      <c r="G482" s="299"/>
    </row>
    <row r="483">
      <c r="C483" s="298"/>
      <c r="D483" s="299"/>
      <c r="F483" s="298"/>
      <c r="G483" s="299"/>
    </row>
    <row r="484">
      <c r="C484" s="298"/>
      <c r="D484" s="299"/>
      <c r="F484" s="298"/>
      <c r="G484" s="299"/>
    </row>
    <row r="485">
      <c r="C485" s="298"/>
      <c r="D485" s="299"/>
      <c r="F485" s="298"/>
      <c r="G485" s="299"/>
    </row>
    <row r="486">
      <c r="C486" s="298"/>
      <c r="D486" s="299"/>
      <c r="F486" s="298"/>
      <c r="G486" s="299"/>
    </row>
    <row r="487">
      <c r="C487" s="298"/>
      <c r="D487" s="299"/>
      <c r="F487" s="298"/>
      <c r="G487" s="299"/>
    </row>
    <row r="488">
      <c r="C488" s="298"/>
      <c r="D488" s="299"/>
      <c r="F488" s="298"/>
      <c r="G488" s="299"/>
    </row>
    <row r="489">
      <c r="C489" s="298"/>
      <c r="D489" s="299"/>
      <c r="F489" s="298"/>
      <c r="G489" s="299"/>
    </row>
    <row r="490">
      <c r="C490" s="298"/>
      <c r="D490" s="299"/>
      <c r="F490" s="298"/>
      <c r="G490" s="299"/>
    </row>
    <row r="491">
      <c r="C491" s="298"/>
      <c r="D491" s="299"/>
      <c r="F491" s="298"/>
      <c r="G491" s="299"/>
    </row>
    <row r="492">
      <c r="C492" s="298"/>
      <c r="D492" s="299"/>
      <c r="F492" s="298"/>
      <c r="G492" s="299"/>
    </row>
    <row r="493">
      <c r="C493" s="298"/>
      <c r="D493" s="299"/>
      <c r="F493" s="298"/>
      <c r="G493" s="299"/>
    </row>
    <row r="494">
      <c r="C494" s="298"/>
      <c r="D494" s="299"/>
      <c r="F494" s="298"/>
      <c r="G494" s="299"/>
    </row>
    <row r="495">
      <c r="C495" s="298"/>
      <c r="D495" s="299"/>
      <c r="F495" s="298"/>
      <c r="G495" s="299"/>
    </row>
    <row r="496">
      <c r="C496" s="298"/>
      <c r="D496" s="299"/>
      <c r="F496" s="298"/>
      <c r="G496" s="299"/>
    </row>
    <row r="497">
      <c r="C497" s="298"/>
      <c r="D497" s="299"/>
      <c r="F497" s="298"/>
      <c r="G497" s="299"/>
    </row>
    <row r="498">
      <c r="C498" s="298"/>
      <c r="D498" s="299"/>
      <c r="F498" s="298"/>
      <c r="G498" s="299"/>
    </row>
    <row r="499">
      <c r="C499" s="298"/>
      <c r="D499" s="299"/>
      <c r="F499" s="298"/>
      <c r="G499" s="299"/>
    </row>
    <row r="500">
      <c r="C500" s="298"/>
      <c r="D500" s="299"/>
      <c r="F500" s="298"/>
      <c r="G500" s="299"/>
    </row>
    <row r="501">
      <c r="C501" s="298"/>
      <c r="D501" s="299"/>
      <c r="F501" s="298"/>
      <c r="G501" s="299"/>
    </row>
    <row r="502">
      <c r="C502" s="298"/>
      <c r="D502" s="299"/>
      <c r="F502" s="298"/>
      <c r="G502" s="299"/>
    </row>
    <row r="503">
      <c r="C503" s="298"/>
      <c r="D503" s="299"/>
      <c r="F503" s="298"/>
      <c r="G503" s="299"/>
    </row>
    <row r="504">
      <c r="C504" s="298"/>
      <c r="D504" s="299"/>
      <c r="F504" s="298"/>
      <c r="G504" s="299"/>
    </row>
    <row r="505">
      <c r="C505" s="298"/>
      <c r="D505" s="299"/>
      <c r="F505" s="298"/>
      <c r="G505" s="299"/>
    </row>
    <row r="506">
      <c r="C506" s="298"/>
      <c r="D506" s="299"/>
      <c r="F506" s="298"/>
      <c r="G506" s="299"/>
    </row>
    <row r="507">
      <c r="C507" s="298"/>
      <c r="D507" s="299"/>
      <c r="F507" s="298"/>
      <c r="G507" s="299"/>
    </row>
    <row r="508">
      <c r="C508" s="298"/>
      <c r="D508" s="299"/>
      <c r="F508" s="298"/>
      <c r="G508" s="299"/>
    </row>
    <row r="509">
      <c r="C509" s="298"/>
      <c r="D509" s="299"/>
      <c r="F509" s="298"/>
      <c r="G509" s="299"/>
    </row>
    <row r="510">
      <c r="C510" s="298"/>
      <c r="D510" s="299"/>
      <c r="F510" s="298"/>
      <c r="G510" s="299"/>
    </row>
    <row r="511">
      <c r="C511" s="298"/>
      <c r="D511" s="299"/>
      <c r="F511" s="298"/>
      <c r="G511" s="299"/>
    </row>
    <row r="512">
      <c r="C512" s="298"/>
      <c r="D512" s="299"/>
      <c r="F512" s="298"/>
      <c r="G512" s="299"/>
    </row>
    <row r="513">
      <c r="C513" s="298"/>
      <c r="D513" s="299"/>
      <c r="F513" s="298"/>
      <c r="G513" s="299"/>
    </row>
    <row r="514">
      <c r="C514" s="298"/>
      <c r="D514" s="299"/>
      <c r="F514" s="298"/>
      <c r="G514" s="299"/>
    </row>
    <row r="515">
      <c r="C515" s="298"/>
      <c r="D515" s="299"/>
      <c r="F515" s="298"/>
      <c r="G515" s="299"/>
    </row>
    <row r="516">
      <c r="C516" s="298"/>
      <c r="D516" s="299"/>
      <c r="F516" s="298"/>
      <c r="G516" s="299"/>
    </row>
    <row r="517">
      <c r="C517" s="298"/>
      <c r="D517" s="299"/>
      <c r="F517" s="298"/>
      <c r="G517" s="299"/>
    </row>
    <row r="518">
      <c r="C518" s="298"/>
      <c r="D518" s="299"/>
      <c r="F518" s="298"/>
      <c r="G518" s="299"/>
    </row>
    <row r="519">
      <c r="C519" s="298"/>
      <c r="D519" s="299"/>
      <c r="F519" s="298"/>
      <c r="G519" s="299"/>
    </row>
    <row r="520">
      <c r="C520" s="298"/>
      <c r="D520" s="299"/>
      <c r="F520" s="298"/>
      <c r="G520" s="299"/>
    </row>
    <row r="521">
      <c r="C521" s="298"/>
      <c r="D521" s="299"/>
      <c r="F521" s="298"/>
      <c r="G521" s="299"/>
    </row>
    <row r="522">
      <c r="C522" s="298"/>
      <c r="D522" s="299"/>
      <c r="F522" s="298"/>
      <c r="G522" s="299"/>
    </row>
    <row r="523">
      <c r="C523" s="298"/>
      <c r="D523" s="299"/>
      <c r="F523" s="298"/>
      <c r="G523" s="299"/>
    </row>
    <row r="524">
      <c r="C524" s="298"/>
      <c r="D524" s="299"/>
      <c r="F524" s="298"/>
      <c r="G524" s="299"/>
    </row>
    <row r="525">
      <c r="C525" s="298"/>
      <c r="D525" s="299"/>
      <c r="F525" s="298"/>
      <c r="G525" s="299"/>
    </row>
    <row r="526">
      <c r="C526" s="298"/>
      <c r="D526" s="299"/>
      <c r="F526" s="298"/>
      <c r="G526" s="299"/>
    </row>
    <row r="527">
      <c r="C527" s="298"/>
      <c r="D527" s="299"/>
      <c r="F527" s="298"/>
      <c r="G527" s="299"/>
    </row>
    <row r="528">
      <c r="C528" s="298"/>
      <c r="D528" s="299"/>
      <c r="F528" s="298"/>
      <c r="G528" s="299"/>
    </row>
    <row r="529">
      <c r="C529" s="298"/>
      <c r="D529" s="299"/>
      <c r="F529" s="298"/>
      <c r="G529" s="299"/>
    </row>
    <row r="530">
      <c r="C530" s="298"/>
      <c r="D530" s="299"/>
      <c r="F530" s="298"/>
      <c r="G530" s="299"/>
    </row>
    <row r="531">
      <c r="C531" s="298"/>
      <c r="D531" s="299"/>
      <c r="F531" s="298"/>
      <c r="G531" s="299"/>
    </row>
    <row r="532">
      <c r="C532" s="298"/>
      <c r="D532" s="299"/>
      <c r="F532" s="298"/>
      <c r="G532" s="299"/>
    </row>
    <row r="533">
      <c r="C533" s="298"/>
      <c r="D533" s="299"/>
      <c r="F533" s="298"/>
      <c r="G533" s="299"/>
    </row>
    <row r="534">
      <c r="C534" s="298"/>
      <c r="D534" s="299"/>
      <c r="F534" s="298"/>
      <c r="G534" s="299"/>
    </row>
    <row r="535">
      <c r="C535" s="298"/>
      <c r="D535" s="299"/>
      <c r="F535" s="298"/>
      <c r="G535" s="299"/>
    </row>
    <row r="536">
      <c r="C536" s="298"/>
      <c r="D536" s="299"/>
      <c r="F536" s="298"/>
      <c r="G536" s="299"/>
    </row>
    <row r="537">
      <c r="C537" s="298"/>
      <c r="D537" s="299"/>
      <c r="F537" s="298"/>
      <c r="G537" s="299"/>
    </row>
    <row r="538">
      <c r="C538" s="298"/>
      <c r="D538" s="299"/>
      <c r="F538" s="298"/>
      <c r="G538" s="299"/>
    </row>
    <row r="539">
      <c r="C539" s="298"/>
      <c r="D539" s="299"/>
      <c r="F539" s="298"/>
      <c r="G539" s="299"/>
    </row>
    <row r="540">
      <c r="C540" s="298"/>
      <c r="D540" s="299"/>
      <c r="F540" s="298"/>
      <c r="G540" s="299"/>
    </row>
    <row r="541">
      <c r="C541" s="298"/>
      <c r="D541" s="299"/>
      <c r="F541" s="298"/>
      <c r="G541" s="299"/>
    </row>
    <row r="542">
      <c r="C542" s="298"/>
      <c r="D542" s="299"/>
      <c r="F542" s="298"/>
      <c r="G542" s="299"/>
    </row>
    <row r="543">
      <c r="C543" s="298"/>
      <c r="D543" s="299"/>
      <c r="F543" s="298"/>
      <c r="G543" s="299"/>
    </row>
    <row r="544">
      <c r="C544" s="298"/>
      <c r="D544" s="299"/>
      <c r="F544" s="298"/>
      <c r="G544" s="299"/>
    </row>
    <row r="545">
      <c r="C545" s="298"/>
      <c r="D545" s="299"/>
      <c r="F545" s="298"/>
      <c r="G545" s="299"/>
    </row>
    <row r="546">
      <c r="C546" s="298"/>
      <c r="D546" s="299"/>
      <c r="F546" s="298"/>
      <c r="G546" s="299"/>
    </row>
    <row r="547">
      <c r="C547" s="298"/>
      <c r="D547" s="299"/>
      <c r="F547" s="298"/>
      <c r="G547" s="299"/>
    </row>
    <row r="548">
      <c r="C548" s="298"/>
      <c r="D548" s="299"/>
      <c r="F548" s="298"/>
      <c r="G548" s="299"/>
    </row>
    <row r="549">
      <c r="C549" s="298"/>
      <c r="D549" s="299"/>
      <c r="F549" s="298"/>
      <c r="G549" s="299"/>
    </row>
    <row r="550">
      <c r="C550" s="298"/>
      <c r="D550" s="299"/>
      <c r="F550" s="298"/>
      <c r="G550" s="299"/>
    </row>
    <row r="551">
      <c r="C551" s="298"/>
      <c r="D551" s="299"/>
      <c r="F551" s="298"/>
      <c r="G551" s="299"/>
    </row>
    <row r="552">
      <c r="C552" s="298"/>
      <c r="D552" s="299"/>
      <c r="F552" s="298"/>
      <c r="G552" s="299"/>
    </row>
    <row r="553">
      <c r="C553" s="298"/>
      <c r="D553" s="299"/>
      <c r="F553" s="298"/>
      <c r="G553" s="299"/>
    </row>
    <row r="554">
      <c r="C554" s="298"/>
      <c r="D554" s="299"/>
      <c r="F554" s="298"/>
      <c r="G554" s="299"/>
    </row>
    <row r="555">
      <c r="C555" s="298"/>
      <c r="D555" s="299"/>
      <c r="F555" s="298"/>
      <c r="G555" s="299"/>
    </row>
    <row r="556">
      <c r="C556" s="298"/>
      <c r="D556" s="299"/>
      <c r="F556" s="298"/>
      <c r="G556" s="299"/>
    </row>
    <row r="557">
      <c r="C557" s="298"/>
      <c r="D557" s="299"/>
      <c r="F557" s="298"/>
      <c r="G557" s="299"/>
    </row>
    <row r="558">
      <c r="C558" s="298"/>
      <c r="D558" s="299"/>
      <c r="F558" s="298"/>
      <c r="G558" s="299"/>
    </row>
    <row r="559">
      <c r="C559" s="298"/>
      <c r="D559" s="299"/>
      <c r="F559" s="298"/>
      <c r="G559" s="299"/>
    </row>
    <row r="560">
      <c r="C560" s="298"/>
      <c r="D560" s="299"/>
      <c r="F560" s="298"/>
      <c r="G560" s="299"/>
    </row>
    <row r="561">
      <c r="C561" s="298"/>
      <c r="D561" s="299"/>
      <c r="F561" s="298"/>
      <c r="G561" s="299"/>
    </row>
    <row r="562">
      <c r="C562" s="298"/>
      <c r="D562" s="299"/>
      <c r="F562" s="298"/>
      <c r="G562" s="299"/>
    </row>
    <row r="563">
      <c r="C563" s="298"/>
      <c r="D563" s="299"/>
      <c r="F563" s="298"/>
      <c r="G563" s="299"/>
    </row>
    <row r="564">
      <c r="C564" s="298"/>
      <c r="D564" s="299"/>
      <c r="F564" s="298"/>
      <c r="G564" s="299"/>
    </row>
    <row r="565">
      <c r="C565" s="298"/>
      <c r="D565" s="299"/>
      <c r="F565" s="298"/>
      <c r="G565" s="299"/>
    </row>
    <row r="566">
      <c r="C566" s="298"/>
      <c r="D566" s="299"/>
      <c r="F566" s="298"/>
      <c r="G566" s="299"/>
    </row>
    <row r="567">
      <c r="C567" s="298"/>
      <c r="D567" s="299"/>
      <c r="F567" s="298"/>
      <c r="G567" s="299"/>
    </row>
    <row r="568">
      <c r="C568" s="298"/>
      <c r="D568" s="299"/>
      <c r="F568" s="298"/>
      <c r="G568" s="299"/>
    </row>
    <row r="569">
      <c r="C569" s="298"/>
      <c r="D569" s="299"/>
      <c r="F569" s="298"/>
      <c r="G569" s="299"/>
    </row>
    <row r="570">
      <c r="C570" s="298"/>
      <c r="D570" s="299"/>
      <c r="F570" s="298"/>
      <c r="G570" s="299"/>
    </row>
    <row r="571">
      <c r="C571" s="298"/>
      <c r="D571" s="299"/>
      <c r="F571" s="298"/>
      <c r="G571" s="299"/>
    </row>
    <row r="572">
      <c r="C572" s="298"/>
      <c r="D572" s="299"/>
      <c r="F572" s="298"/>
      <c r="G572" s="299"/>
    </row>
    <row r="573">
      <c r="C573" s="298"/>
      <c r="D573" s="299"/>
      <c r="F573" s="298"/>
      <c r="G573" s="299"/>
    </row>
    <row r="574">
      <c r="C574" s="298"/>
      <c r="D574" s="299"/>
      <c r="F574" s="298"/>
      <c r="G574" s="299"/>
    </row>
    <row r="575">
      <c r="C575" s="298"/>
      <c r="D575" s="299"/>
      <c r="F575" s="298"/>
      <c r="G575" s="299"/>
    </row>
    <row r="576">
      <c r="C576" s="298"/>
      <c r="D576" s="299"/>
      <c r="F576" s="298"/>
      <c r="G576" s="299"/>
    </row>
    <row r="577">
      <c r="C577" s="298"/>
      <c r="D577" s="299"/>
      <c r="F577" s="298"/>
      <c r="G577" s="299"/>
    </row>
    <row r="578">
      <c r="C578" s="298"/>
      <c r="D578" s="299"/>
      <c r="F578" s="298"/>
      <c r="G578" s="299"/>
    </row>
    <row r="579">
      <c r="C579" s="298"/>
      <c r="D579" s="299"/>
      <c r="F579" s="298"/>
      <c r="G579" s="299"/>
    </row>
    <row r="580">
      <c r="C580" s="298"/>
      <c r="D580" s="299"/>
      <c r="F580" s="298"/>
      <c r="G580" s="299"/>
    </row>
    <row r="581">
      <c r="C581" s="298"/>
      <c r="D581" s="299"/>
      <c r="F581" s="298"/>
      <c r="G581" s="299"/>
    </row>
    <row r="582">
      <c r="C582" s="298"/>
      <c r="D582" s="299"/>
      <c r="F582" s="298"/>
      <c r="G582" s="299"/>
    </row>
    <row r="583">
      <c r="C583" s="298"/>
      <c r="D583" s="299"/>
      <c r="F583" s="298"/>
      <c r="G583" s="299"/>
    </row>
    <row r="584">
      <c r="C584" s="298"/>
      <c r="D584" s="299"/>
      <c r="F584" s="298"/>
      <c r="G584" s="299"/>
    </row>
    <row r="585">
      <c r="C585" s="298"/>
      <c r="D585" s="299"/>
      <c r="F585" s="298"/>
      <c r="G585" s="299"/>
    </row>
    <row r="586">
      <c r="C586" s="298"/>
      <c r="D586" s="299"/>
      <c r="F586" s="298"/>
      <c r="G586" s="299"/>
    </row>
    <row r="587">
      <c r="C587" s="298"/>
      <c r="D587" s="299"/>
      <c r="F587" s="298"/>
      <c r="G587" s="299"/>
    </row>
    <row r="588">
      <c r="C588" s="298"/>
      <c r="D588" s="299"/>
      <c r="F588" s="298"/>
      <c r="G588" s="299"/>
    </row>
    <row r="589">
      <c r="C589" s="298"/>
      <c r="D589" s="299"/>
      <c r="F589" s="298"/>
      <c r="G589" s="299"/>
    </row>
    <row r="590">
      <c r="C590" s="298"/>
      <c r="D590" s="299"/>
      <c r="F590" s="298"/>
      <c r="G590" s="299"/>
    </row>
    <row r="591">
      <c r="C591" s="298"/>
      <c r="D591" s="299"/>
      <c r="F591" s="298"/>
      <c r="G591" s="299"/>
    </row>
    <row r="592">
      <c r="C592" s="298"/>
      <c r="D592" s="299"/>
      <c r="F592" s="298"/>
      <c r="G592" s="299"/>
    </row>
    <row r="593">
      <c r="C593" s="298"/>
      <c r="D593" s="299"/>
      <c r="F593" s="298"/>
      <c r="G593" s="299"/>
    </row>
    <row r="594">
      <c r="C594" s="298"/>
      <c r="D594" s="299"/>
      <c r="F594" s="298"/>
      <c r="G594" s="299"/>
    </row>
    <row r="595">
      <c r="C595" s="298"/>
      <c r="D595" s="299"/>
      <c r="F595" s="298"/>
      <c r="G595" s="299"/>
    </row>
    <row r="596">
      <c r="C596" s="298"/>
      <c r="D596" s="299"/>
      <c r="F596" s="298"/>
      <c r="G596" s="299"/>
    </row>
    <row r="597">
      <c r="C597" s="298"/>
      <c r="D597" s="299"/>
      <c r="F597" s="298"/>
      <c r="G597" s="299"/>
    </row>
    <row r="598">
      <c r="C598" s="298"/>
      <c r="D598" s="299"/>
      <c r="F598" s="298"/>
      <c r="G598" s="299"/>
    </row>
    <row r="599">
      <c r="C599" s="298"/>
      <c r="D599" s="299"/>
      <c r="F599" s="298"/>
      <c r="G599" s="299"/>
    </row>
    <row r="600">
      <c r="C600" s="298"/>
      <c r="D600" s="299"/>
      <c r="F600" s="298"/>
      <c r="G600" s="299"/>
    </row>
    <row r="601">
      <c r="C601" s="298"/>
      <c r="D601" s="299"/>
      <c r="F601" s="298"/>
      <c r="G601" s="299"/>
    </row>
    <row r="602">
      <c r="C602" s="298"/>
      <c r="D602" s="299"/>
      <c r="F602" s="298"/>
      <c r="G602" s="299"/>
    </row>
    <row r="603">
      <c r="C603" s="298"/>
      <c r="D603" s="299"/>
      <c r="F603" s="298"/>
      <c r="G603" s="299"/>
    </row>
    <row r="604">
      <c r="C604" s="298"/>
      <c r="D604" s="299"/>
      <c r="F604" s="298"/>
      <c r="G604" s="299"/>
    </row>
    <row r="605">
      <c r="C605" s="298"/>
      <c r="D605" s="299"/>
      <c r="F605" s="298"/>
      <c r="G605" s="299"/>
    </row>
    <row r="606">
      <c r="C606" s="298"/>
      <c r="D606" s="299"/>
      <c r="F606" s="298"/>
      <c r="G606" s="299"/>
    </row>
    <row r="607">
      <c r="C607" s="298"/>
      <c r="D607" s="299"/>
      <c r="F607" s="298"/>
      <c r="G607" s="299"/>
    </row>
    <row r="608">
      <c r="C608" s="298"/>
      <c r="D608" s="299"/>
      <c r="F608" s="298"/>
      <c r="G608" s="299"/>
    </row>
    <row r="609">
      <c r="C609" s="298"/>
      <c r="D609" s="299"/>
      <c r="F609" s="298"/>
      <c r="G609" s="299"/>
    </row>
    <row r="610">
      <c r="C610" s="298"/>
      <c r="D610" s="299"/>
      <c r="F610" s="298"/>
      <c r="G610" s="299"/>
    </row>
    <row r="611">
      <c r="C611" s="298"/>
      <c r="D611" s="299"/>
      <c r="F611" s="298"/>
      <c r="G611" s="299"/>
    </row>
    <row r="612">
      <c r="C612" s="298"/>
      <c r="D612" s="299"/>
      <c r="F612" s="298"/>
      <c r="G612" s="299"/>
    </row>
    <row r="613">
      <c r="C613" s="298"/>
      <c r="D613" s="299"/>
      <c r="F613" s="298"/>
      <c r="G613" s="299"/>
    </row>
    <row r="614">
      <c r="C614" s="298"/>
      <c r="D614" s="299"/>
      <c r="F614" s="298"/>
      <c r="G614" s="299"/>
    </row>
    <row r="615">
      <c r="C615" s="298"/>
      <c r="D615" s="299"/>
      <c r="F615" s="298"/>
      <c r="G615" s="299"/>
    </row>
    <row r="616">
      <c r="C616" s="298"/>
      <c r="D616" s="299"/>
      <c r="F616" s="298"/>
      <c r="G616" s="299"/>
    </row>
    <row r="617">
      <c r="C617" s="298"/>
      <c r="D617" s="299"/>
      <c r="F617" s="298"/>
      <c r="G617" s="299"/>
    </row>
    <row r="618">
      <c r="C618" s="298"/>
      <c r="D618" s="299"/>
      <c r="F618" s="298"/>
      <c r="G618" s="299"/>
    </row>
    <row r="619">
      <c r="C619" s="298"/>
      <c r="D619" s="299"/>
      <c r="F619" s="298"/>
      <c r="G619" s="299"/>
    </row>
    <row r="620">
      <c r="C620" s="298"/>
      <c r="D620" s="299"/>
      <c r="F620" s="298"/>
      <c r="G620" s="299"/>
    </row>
    <row r="621">
      <c r="C621" s="298"/>
      <c r="D621" s="299"/>
      <c r="F621" s="298"/>
      <c r="G621" s="299"/>
    </row>
    <row r="622">
      <c r="C622" s="298"/>
      <c r="D622" s="299"/>
      <c r="F622" s="298"/>
      <c r="G622" s="299"/>
    </row>
    <row r="623">
      <c r="C623" s="298"/>
      <c r="D623" s="299"/>
      <c r="F623" s="298"/>
      <c r="G623" s="299"/>
    </row>
    <row r="624">
      <c r="C624" s="298"/>
      <c r="D624" s="299"/>
      <c r="F624" s="298"/>
      <c r="G624" s="299"/>
    </row>
    <row r="625">
      <c r="C625" s="298"/>
      <c r="D625" s="299"/>
      <c r="F625" s="298"/>
      <c r="G625" s="299"/>
    </row>
    <row r="626">
      <c r="C626" s="298"/>
      <c r="D626" s="299"/>
      <c r="F626" s="298"/>
      <c r="G626" s="299"/>
    </row>
    <row r="627">
      <c r="C627" s="298"/>
      <c r="D627" s="299"/>
      <c r="F627" s="298"/>
      <c r="G627" s="299"/>
    </row>
    <row r="628">
      <c r="C628" s="298"/>
      <c r="D628" s="299"/>
      <c r="F628" s="298"/>
      <c r="G628" s="299"/>
    </row>
    <row r="629">
      <c r="C629" s="298"/>
      <c r="D629" s="299"/>
      <c r="F629" s="298"/>
      <c r="G629" s="299"/>
    </row>
    <row r="630">
      <c r="C630" s="298"/>
      <c r="D630" s="299"/>
      <c r="F630" s="298"/>
      <c r="G630" s="299"/>
    </row>
    <row r="631">
      <c r="C631" s="298"/>
      <c r="D631" s="299"/>
      <c r="F631" s="298"/>
      <c r="G631" s="299"/>
    </row>
    <row r="632">
      <c r="C632" s="298"/>
      <c r="D632" s="299"/>
      <c r="F632" s="298"/>
      <c r="G632" s="299"/>
    </row>
    <row r="633">
      <c r="C633" s="298"/>
      <c r="D633" s="299"/>
      <c r="F633" s="298"/>
      <c r="G633" s="299"/>
    </row>
    <row r="634">
      <c r="C634" s="298"/>
      <c r="D634" s="299"/>
      <c r="F634" s="298"/>
      <c r="G634" s="299"/>
    </row>
    <row r="635">
      <c r="C635" s="298"/>
      <c r="D635" s="299"/>
      <c r="F635" s="298"/>
      <c r="G635" s="299"/>
    </row>
    <row r="636">
      <c r="C636" s="298"/>
      <c r="D636" s="299"/>
      <c r="F636" s="298"/>
      <c r="G636" s="299"/>
    </row>
    <row r="637">
      <c r="C637" s="298"/>
      <c r="D637" s="299"/>
      <c r="F637" s="298"/>
      <c r="G637" s="299"/>
    </row>
    <row r="638">
      <c r="C638" s="298"/>
      <c r="D638" s="299"/>
      <c r="F638" s="298"/>
      <c r="G638" s="299"/>
    </row>
    <row r="639">
      <c r="C639" s="298"/>
      <c r="D639" s="299"/>
      <c r="F639" s="298"/>
      <c r="G639" s="299"/>
    </row>
    <row r="640">
      <c r="C640" s="298"/>
      <c r="D640" s="299"/>
      <c r="F640" s="298"/>
      <c r="G640" s="299"/>
    </row>
    <row r="641">
      <c r="C641" s="298"/>
      <c r="D641" s="299"/>
      <c r="F641" s="298"/>
      <c r="G641" s="299"/>
    </row>
    <row r="642">
      <c r="C642" s="298"/>
      <c r="D642" s="299"/>
      <c r="F642" s="298"/>
      <c r="G642" s="299"/>
    </row>
    <row r="643">
      <c r="C643" s="298"/>
      <c r="D643" s="299"/>
      <c r="F643" s="298"/>
      <c r="G643" s="299"/>
    </row>
    <row r="644">
      <c r="C644" s="298"/>
      <c r="D644" s="299"/>
      <c r="F644" s="298"/>
      <c r="G644" s="299"/>
    </row>
    <row r="645">
      <c r="C645" s="298"/>
      <c r="D645" s="299"/>
      <c r="F645" s="298"/>
      <c r="G645" s="299"/>
    </row>
    <row r="646">
      <c r="C646" s="298"/>
      <c r="D646" s="299"/>
      <c r="F646" s="298"/>
      <c r="G646" s="299"/>
    </row>
    <row r="647">
      <c r="C647" s="298"/>
      <c r="D647" s="299"/>
      <c r="F647" s="298"/>
      <c r="G647" s="299"/>
    </row>
    <row r="648">
      <c r="C648" s="298"/>
      <c r="D648" s="299"/>
      <c r="F648" s="298"/>
      <c r="G648" s="299"/>
    </row>
    <row r="649">
      <c r="C649" s="298"/>
      <c r="D649" s="299"/>
      <c r="F649" s="298"/>
      <c r="G649" s="299"/>
    </row>
    <row r="650">
      <c r="C650" s="298"/>
      <c r="D650" s="299"/>
      <c r="F650" s="298"/>
      <c r="G650" s="299"/>
    </row>
    <row r="651">
      <c r="C651" s="298"/>
      <c r="D651" s="299"/>
      <c r="F651" s="298"/>
      <c r="G651" s="299"/>
    </row>
    <row r="652">
      <c r="C652" s="298"/>
      <c r="D652" s="299"/>
      <c r="F652" s="298"/>
      <c r="G652" s="299"/>
    </row>
    <row r="653">
      <c r="C653" s="298"/>
      <c r="D653" s="299"/>
      <c r="F653" s="298"/>
      <c r="G653" s="299"/>
    </row>
    <row r="654">
      <c r="C654" s="298"/>
      <c r="D654" s="299"/>
      <c r="F654" s="298"/>
      <c r="G654" s="299"/>
    </row>
    <row r="655">
      <c r="C655" s="298"/>
      <c r="D655" s="299"/>
      <c r="F655" s="298"/>
      <c r="G655" s="299"/>
    </row>
    <row r="656">
      <c r="C656" s="298"/>
      <c r="D656" s="299"/>
      <c r="F656" s="298"/>
      <c r="G656" s="299"/>
    </row>
    <row r="657">
      <c r="C657" s="298"/>
      <c r="D657" s="299"/>
      <c r="F657" s="298"/>
      <c r="G657" s="299"/>
    </row>
    <row r="658">
      <c r="C658" s="298"/>
      <c r="D658" s="299"/>
      <c r="F658" s="298"/>
      <c r="G658" s="299"/>
    </row>
    <row r="659">
      <c r="C659" s="298"/>
      <c r="D659" s="299"/>
      <c r="F659" s="298"/>
      <c r="G659" s="299"/>
    </row>
    <row r="660">
      <c r="C660" s="298"/>
      <c r="D660" s="299"/>
      <c r="F660" s="298"/>
      <c r="G660" s="299"/>
    </row>
    <row r="661">
      <c r="C661" s="298"/>
      <c r="D661" s="299"/>
      <c r="F661" s="298"/>
      <c r="G661" s="299"/>
    </row>
    <row r="662">
      <c r="C662" s="298"/>
      <c r="D662" s="299"/>
      <c r="F662" s="298"/>
      <c r="G662" s="299"/>
    </row>
    <row r="663">
      <c r="C663" s="298"/>
      <c r="D663" s="299"/>
      <c r="F663" s="298"/>
      <c r="G663" s="299"/>
    </row>
    <row r="664">
      <c r="C664" s="298"/>
      <c r="D664" s="299"/>
      <c r="F664" s="298"/>
      <c r="G664" s="299"/>
    </row>
    <row r="665">
      <c r="C665" s="298"/>
      <c r="D665" s="299"/>
      <c r="F665" s="298"/>
      <c r="G665" s="299"/>
    </row>
    <row r="666">
      <c r="C666" s="298"/>
      <c r="D666" s="299"/>
      <c r="F666" s="298"/>
      <c r="G666" s="299"/>
    </row>
    <row r="667">
      <c r="C667" s="298"/>
      <c r="D667" s="299"/>
      <c r="F667" s="298"/>
      <c r="G667" s="299"/>
    </row>
    <row r="668">
      <c r="C668" s="298"/>
      <c r="D668" s="299"/>
      <c r="F668" s="298"/>
      <c r="G668" s="299"/>
    </row>
    <row r="669">
      <c r="C669" s="298"/>
      <c r="D669" s="299"/>
      <c r="F669" s="298"/>
      <c r="G669" s="299"/>
    </row>
    <row r="670">
      <c r="C670" s="298"/>
      <c r="D670" s="299"/>
      <c r="F670" s="298"/>
      <c r="G670" s="299"/>
    </row>
    <row r="671">
      <c r="C671" s="298"/>
      <c r="D671" s="299"/>
      <c r="F671" s="298"/>
      <c r="G671" s="299"/>
    </row>
    <row r="672">
      <c r="C672" s="298"/>
      <c r="D672" s="299"/>
      <c r="F672" s="298"/>
      <c r="G672" s="299"/>
    </row>
    <row r="673">
      <c r="C673" s="298"/>
      <c r="D673" s="299"/>
      <c r="F673" s="298"/>
      <c r="G673" s="299"/>
    </row>
    <row r="674">
      <c r="C674" s="298"/>
      <c r="D674" s="299"/>
      <c r="F674" s="298"/>
      <c r="G674" s="299"/>
    </row>
    <row r="675">
      <c r="C675" s="298"/>
      <c r="D675" s="299"/>
      <c r="F675" s="298"/>
      <c r="G675" s="299"/>
    </row>
    <row r="676">
      <c r="C676" s="298"/>
      <c r="D676" s="299"/>
      <c r="F676" s="298"/>
      <c r="G676" s="299"/>
    </row>
    <row r="677">
      <c r="C677" s="298"/>
      <c r="D677" s="299"/>
      <c r="F677" s="298"/>
      <c r="G677" s="299"/>
    </row>
    <row r="678">
      <c r="C678" s="298"/>
      <c r="D678" s="299"/>
      <c r="F678" s="298"/>
      <c r="G678" s="299"/>
    </row>
    <row r="679">
      <c r="C679" s="298"/>
      <c r="D679" s="299"/>
      <c r="F679" s="298"/>
      <c r="G679" s="299"/>
    </row>
    <row r="680">
      <c r="C680" s="298"/>
      <c r="D680" s="299"/>
      <c r="F680" s="298"/>
      <c r="G680" s="299"/>
    </row>
    <row r="681">
      <c r="C681" s="298"/>
      <c r="D681" s="299"/>
      <c r="F681" s="298"/>
      <c r="G681" s="299"/>
    </row>
    <row r="682">
      <c r="C682" s="298"/>
      <c r="D682" s="299"/>
      <c r="F682" s="298"/>
      <c r="G682" s="299"/>
    </row>
    <row r="683">
      <c r="C683" s="298"/>
      <c r="D683" s="299"/>
      <c r="F683" s="298"/>
      <c r="G683" s="299"/>
    </row>
    <row r="684">
      <c r="C684" s="298"/>
      <c r="D684" s="299"/>
      <c r="F684" s="298"/>
      <c r="G684" s="299"/>
    </row>
    <row r="685">
      <c r="C685" s="298"/>
      <c r="D685" s="299"/>
      <c r="F685" s="298"/>
      <c r="G685" s="299"/>
    </row>
    <row r="686">
      <c r="C686" s="298"/>
      <c r="D686" s="299"/>
      <c r="F686" s="298"/>
      <c r="G686" s="299"/>
    </row>
    <row r="687">
      <c r="C687" s="298"/>
      <c r="D687" s="299"/>
      <c r="F687" s="298"/>
      <c r="G687" s="299"/>
    </row>
    <row r="688">
      <c r="C688" s="298"/>
      <c r="D688" s="299"/>
      <c r="F688" s="298"/>
      <c r="G688" s="299"/>
    </row>
    <row r="689">
      <c r="C689" s="298"/>
      <c r="D689" s="299"/>
      <c r="F689" s="298"/>
      <c r="G689" s="299"/>
    </row>
    <row r="690">
      <c r="C690" s="298"/>
      <c r="D690" s="299"/>
      <c r="F690" s="298"/>
      <c r="G690" s="299"/>
    </row>
    <row r="691">
      <c r="C691" s="298"/>
      <c r="D691" s="299"/>
      <c r="F691" s="298"/>
      <c r="G691" s="299"/>
    </row>
    <row r="692">
      <c r="C692" s="298"/>
      <c r="D692" s="299"/>
      <c r="F692" s="298"/>
      <c r="G692" s="299"/>
    </row>
    <row r="693">
      <c r="C693" s="298"/>
      <c r="D693" s="299"/>
      <c r="F693" s="298"/>
      <c r="G693" s="299"/>
    </row>
    <row r="694">
      <c r="C694" s="298"/>
      <c r="D694" s="299"/>
      <c r="F694" s="298"/>
      <c r="G694" s="299"/>
    </row>
    <row r="695">
      <c r="C695" s="298"/>
      <c r="D695" s="299"/>
      <c r="F695" s="298"/>
      <c r="G695" s="299"/>
    </row>
    <row r="696">
      <c r="C696" s="298"/>
      <c r="D696" s="299"/>
      <c r="F696" s="298"/>
      <c r="G696" s="299"/>
    </row>
    <row r="697">
      <c r="C697" s="298"/>
      <c r="D697" s="299"/>
      <c r="F697" s="298"/>
      <c r="G697" s="299"/>
    </row>
    <row r="698">
      <c r="C698" s="298"/>
      <c r="D698" s="299"/>
      <c r="F698" s="298"/>
      <c r="G698" s="299"/>
    </row>
    <row r="699">
      <c r="C699" s="298"/>
      <c r="D699" s="299"/>
      <c r="F699" s="298"/>
      <c r="G699" s="299"/>
    </row>
    <row r="700">
      <c r="C700" s="298"/>
      <c r="D700" s="299"/>
      <c r="F700" s="298"/>
      <c r="G700" s="299"/>
    </row>
    <row r="701">
      <c r="C701" s="298"/>
      <c r="D701" s="299"/>
      <c r="F701" s="298"/>
      <c r="G701" s="299"/>
    </row>
    <row r="702">
      <c r="C702" s="298"/>
      <c r="D702" s="299"/>
      <c r="F702" s="298"/>
      <c r="G702" s="299"/>
    </row>
    <row r="703">
      <c r="C703" s="298"/>
      <c r="D703" s="299"/>
      <c r="F703" s="298"/>
      <c r="G703" s="299"/>
    </row>
    <row r="704">
      <c r="C704" s="298"/>
      <c r="D704" s="299"/>
      <c r="F704" s="298"/>
      <c r="G704" s="299"/>
    </row>
    <row r="705">
      <c r="C705" s="298"/>
      <c r="D705" s="299"/>
      <c r="F705" s="298"/>
      <c r="G705" s="299"/>
    </row>
    <row r="706">
      <c r="C706" s="298"/>
      <c r="D706" s="299"/>
      <c r="F706" s="298"/>
      <c r="G706" s="299"/>
    </row>
    <row r="707">
      <c r="C707" s="298"/>
      <c r="D707" s="299"/>
      <c r="F707" s="298"/>
      <c r="G707" s="299"/>
    </row>
    <row r="708">
      <c r="C708" s="298"/>
      <c r="D708" s="299"/>
      <c r="F708" s="298"/>
      <c r="G708" s="299"/>
    </row>
    <row r="709">
      <c r="C709" s="298"/>
      <c r="D709" s="299"/>
      <c r="F709" s="298"/>
      <c r="G709" s="299"/>
    </row>
    <row r="710">
      <c r="C710" s="298"/>
      <c r="D710" s="299"/>
      <c r="F710" s="298"/>
      <c r="G710" s="299"/>
    </row>
    <row r="711">
      <c r="C711" s="298"/>
      <c r="D711" s="299"/>
      <c r="F711" s="298"/>
      <c r="G711" s="299"/>
    </row>
    <row r="712">
      <c r="C712" s="298"/>
      <c r="D712" s="299"/>
      <c r="F712" s="298"/>
      <c r="G712" s="299"/>
    </row>
    <row r="713">
      <c r="C713" s="298"/>
      <c r="D713" s="299"/>
      <c r="F713" s="298"/>
      <c r="G713" s="299"/>
    </row>
    <row r="714">
      <c r="C714" s="298"/>
      <c r="D714" s="299"/>
      <c r="F714" s="298"/>
      <c r="G714" s="299"/>
    </row>
    <row r="715">
      <c r="C715" s="298"/>
      <c r="D715" s="299"/>
      <c r="F715" s="298"/>
      <c r="G715" s="299"/>
    </row>
    <row r="716">
      <c r="C716" s="298"/>
      <c r="D716" s="299"/>
      <c r="F716" s="298"/>
      <c r="G716" s="299"/>
    </row>
    <row r="717">
      <c r="C717" s="298"/>
      <c r="D717" s="299"/>
      <c r="F717" s="298"/>
      <c r="G717" s="299"/>
    </row>
    <row r="718">
      <c r="C718" s="298"/>
      <c r="D718" s="299"/>
      <c r="F718" s="298"/>
      <c r="G718" s="299"/>
    </row>
    <row r="719">
      <c r="C719" s="298"/>
      <c r="D719" s="299"/>
      <c r="F719" s="298"/>
      <c r="G719" s="299"/>
    </row>
    <row r="720">
      <c r="C720" s="298"/>
      <c r="D720" s="299"/>
      <c r="F720" s="298"/>
      <c r="G720" s="299"/>
    </row>
    <row r="721">
      <c r="C721" s="298"/>
      <c r="D721" s="299"/>
      <c r="F721" s="298"/>
      <c r="G721" s="299"/>
    </row>
    <row r="722">
      <c r="C722" s="298"/>
      <c r="D722" s="299"/>
      <c r="F722" s="298"/>
      <c r="G722" s="299"/>
    </row>
    <row r="723">
      <c r="C723" s="298"/>
      <c r="D723" s="299"/>
      <c r="F723" s="298"/>
      <c r="G723" s="299"/>
    </row>
    <row r="724">
      <c r="C724" s="298"/>
      <c r="D724" s="299"/>
      <c r="F724" s="298"/>
      <c r="G724" s="299"/>
    </row>
    <row r="725">
      <c r="C725" s="298"/>
      <c r="D725" s="299"/>
      <c r="F725" s="298"/>
      <c r="G725" s="299"/>
    </row>
    <row r="726">
      <c r="C726" s="298"/>
      <c r="D726" s="299"/>
      <c r="F726" s="298"/>
      <c r="G726" s="299"/>
    </row>
    <row r="727">
      <c r="C727" s="298"/>
      <c r="D727" s="299"/>
      <c r="F727" s="298"/>
      <c r="G727" s="299"/>
    </row>
    <row r="728">
      <c r="C728" s="298"/>
      <c r="D728" s="299"/>
      <c r="F728" s="298"/>
      <c r="G728" s="299"/>
    </row>
    <row r="729">
      <c r="C729" s="298"/>
      <c r="D729" s="299"/>
      <c r="F729" s="298"/>
      <c r="G729" s="299"/>
    </row>
    <row r="730">
      <c r="C730" s="298"/>
      <c r="D730" s="299"/>
      <c r="F730" s="298"/>
      <c r="G730" s="299"/>
    </row>
    <row r="731">
      <c r="C731" s="298"/>
      <c r="D731" s="299"/>
      <c r="F731" s="298"/>
      <c r="G731" s="299"/>
    </row>
    <row r="732">
      <c r="C732" s="298"/>
      <c r="D732" s="299"/>
      <c r="F732" s="298"/>
      <c r="G732" s="299"/>
    </row>
    <row r="733">
      <c r="C733" s="298"/>
      <c r="D733" s="299"/>
      <c r="F733" s="298"/>
      <c r="G733" s="299"/>
    </row>
    <row r="734">
      <c r="C734" s="298"/>
      <c r="D734" s="299"/>
      <c r="F734" s="298"/>
      <c r="G734" s="299"/>
    </row>
    <row r="735">
      <c r="C735" s="298"/>
      <c r="D735" s="299"/>
      <c r="F735" s="298"/>
      <c r="G735" s="299"/>
    </row>
    <row r="736">
      <c r="C736" s="298"/>
      <c r="D736" s="299"/>
      <c r="F736" s="298"/>
      <c r="G736" s="299"/>
    </row>
    <row r="737">
      <c r="C737" s="298"/>
      <c r="D737" s="299"/>
      <c r="F737" s="298"/>
      <c r="G737" s="299"/>
    </row>
    <row r="738">
      <c r="C738" s="298"/>
      <c r="D738" s="299"/>
      <c r="F738" s="298"/>
      <c r="G738" s="299"/>
    </row>
    <row r="739">
      <c r="C739" s="298"/>
      <c r="D739" s="299"/>
      <c r="F739" s="298"/>
      <c r="G739" s="299"/>
    </row>
    <row r="740">
      <c r="C740" s="298"/>
      <c r="D740" s="299"/>
      <c r="F740" s="298"/>
      <c r="G740" s="299"/>
    </row>
    <row r="741">
      <c r="C741" s="298"/>
      <c r="D741" s="299"/>
      <c r="F741" s="298"/>
      <c r="G741" s="299"/>
    </row>
    <row r="742">
      <c r="C742" s="298"/>
      <c r="D742" s="299"/>
      <c r="F742" s="298"/>
      <c r="G742" s="299"/>
    </row>
    <row r="743">
      <c r="C743" s="298"/>
      <c r="D743" s="299"/>
      <c r="F743" s="298"/>
      <c r="G743" s="299"/>
    </row>
    <row r="744">
      <c r="C744" s="298"/>
      <c r="D744" s="299"/>
      <c r="F744" s="298"/>
      <c r="G744" s="299"/>
    </row>
    <row r="745">
      <c r="C745" s="298"/>
      <c r="D745" s="299"/>
      <c r="F745" s="298"/>
      <c r="G745" s="299"/>
    </row>
    <row r="746">
      <c r="C746" s="298"/>
      <c r="D746" s="299"/>
      <c r="F746" s="298"/>
      <c r="G746" s="299"/>
    </row>
    <row r="747">
      <c r="C747" s="298"/>
      <c r="D747" s="299"/>
      <c r="F747" s="298"/>
      <c r="G747" s="299"/>
    </row>
    <row r="748">
      <c r="C748" s="298"/>
      <c r="D748" s="299"/>
      <c r="F748" s="298"/>
      <c r="G748" s="299"/>
    </row>
    <row r="749">
      <c r="C749" s="298"/>
      <c r="D749" s="299"/>
      <c r="F749" s="298"/>
      <c r="G749" s="299"/>
    </row>
    <row r="750">
      <c r="C750" s="298"/>
      <c r="D750" s="299"/>
      <c r="F750" s="298"/>
      <c r="G750" s="299"/>
    </row>
    <row r="751">
      <c r="C751" s="298"/>
      <c r="D751" s="299"/>
      <c r="F751" s="298"/>
      <c r="G751" s="299"/>
    </row>
    <row r="752">
      <c r="C752" s="298"/>
      <c r="D752" s="299"/>
      <c r="F752" s="298"/>
      <c r="G752" s="299"/>
    </row>
    <row r="753">
      <c r="C753" s="298"/>
      <c r="D753" s="299"/>
      <c r="F753" s="298"/>
      <c r="G753" s="299"/>
    </row>
    <row r="754">
      <c r="C754" s="298"/>
      <c r="D754" s="299"/>
      <c r="F754" s="298"/>
      <c r="G754" s="299"/>
    </row>
    <row r="755">
      <c r="C755" s="298"/>
      <c r="D755" s="299"/>
      <c r="F755" s="298"/>
      <c r="G755" s="299"/>
    </row>
    <row r="756">
      <c r="C756" s="298"/>
      <c r="D756" s="299"/>
      <c r="F756" s="298"/>
      <c r="G756" s="299"/>
    </row>
    <row r="757">
      <c r="C757" s="298"/>
      <c r="D757" s="299"/>
      <c r="F757" s="298"/>
      <c r="G757" s="299"/>
    </row>
    <row r="758">
      <c r="C758" s="298"/>
      <c r="D758" s="299"/>
      <c r="F758" s="298"/>
      <c r="G758" s="299"/>
    </row>
    <row r="759">
      <c r="C759" s="298"/>
      <c r="D759" s="299"/>
      <c r="F759" s="298"/>
      <c r="G759" s="299"/>
    </row>
    <row r="760">
      <c r="C760" s="298"/>
      <c r="D760" s="299"/>
      <c r="F760" s="298"/>
      <c r="G760" s="299"/>
    </row>
    <row r="761">
      <c r="C761" s="298"/>
      <c r="D761" s="299"/>
      <c r="F761" s="298"/>
      <c r="G761" s="299"/>
    </row>
    <row r="762">
      <c r="C762" s="298"/>
      <c r="D762" s="299"/>
      <c r="F762" s="298"/>
      <c r="G762" s="299"/>
    </row>
    <row r="763">
      <c r="C763" s="298"/>
      <c r="D763" s="299"/>
      <c r="F763" s="298"/>
      <c r="G763" s="299"/>
    </row>
    <row r="764">
      <c r="C764" s="298"/>
      <c r="D764" s="299"/>
      <c r="F764" s="298"/>
      <c r="G764" s="299"/>
    </row>
    <row r="765">
      <c r="C765" s="298"/>
      <c r="D765" s="299"/>
      <c r="F765" s="298"/>
      <c r="G765" s="299"/>
    </row>
    <row r="766">
      <c r="C766" s="298"/>
      <c r="D766" s="299"/>
      <c r="F766" s="298"/>
      <c r="G766" s="299"/>
    </row>
    <row r="767">
      <c r="C767" s="298"/>
      <c r="D767" s="299"/>
      <c r="F767" s="298"/>
      <c r="G767" s="299"/>
    </row>
    <row r="768">
      <c r="C768" s="298"/>
      <c r="D768" s="299"/>
      <c r="F768" s="298"/>
      <c r="G768" s="299"/>
    </row>
    <row r="769">
      <c r="C769" s="298"/>
      <c r="D769" s="299"/>
      <c r="F769" s="298"/>
      <c r="G769" s="299"/>
    </row>
    <row r="770">
      <c r="C770" s="298"/>
      <c r="D770" s="299"/>
      <c r="F770" s="298"/>
      <c r="G770" s="299"/>
    </row>
    <row r="771">
      <c r="C771" s="298"/>
      <c r="D771" s="299"/>
      <c r="F771" s="298"/>
      <c r="G771" s="299"/>
    </row>
    <row r="772">
      <c r="C772" s="298"/>
      <c r="D772" s="299"/>
      <c r="F772" s="298"/>
      <c r="G772" s="299"/>
    </row>
    <row r="773">
      <c r="C773" s="298"/>
      <c r="D773" s="299"/>
      <c r="F773" s="298"/>
      <c r="G773" s="299"/>
    </row>
    <row r="774">
      <c r="C774" s="298"/>
      <c r="D774" s="299"/>
      <c r="F774" s="298"/>
      <c r="G774" s="299"/>
    </row>
    <row r="775">
      <c r="C775" s="298"/>
      <c r="D775" s="299"/>
      <c r="F775" s="298"/>
      <c r="G775" s="299"/>
    </row>
    <row r="776">
      <c r="C776" s="298"/>
      <c r="D776" s="299"/>
      <c r="F776" s="298"/>
      <c r="G776" s="299"/>
    </row>
    <row r="777">
      <c r="C777" s="298"/>
      <c r="D777" s="299"/>
      <c r="F777" s="298"/>
      <c r="G777" s="299"/>
    </row>
    <row r="778">
      <c r="C778" s="298"/>
      <c r="D778" s="299"/>
      <c r="F778" s="298"/>
      <c r="G778" s="299"/>
    </row>
    <row r="779">
      <c r="C779" s="298"/>
      <c r="D779" s="299"/>
      <c r="F779" s="298"/>
      <c r="G779" s="299"/>
    </row>
    <row r="780">
      <c r="C780" s="298"/>
      <c r="D780" s="299"/>
      <c r="F780" s="298"/>
      <c r="G780" s="299"/>
    </row>
    <row r="781">
      <c r="C781" s="298"/>
      <c r="D781" s="299"/>
      <c r="F781" s="298"/>
      <c r="G781" s="299"/>
    </row>
    <row r="782">
      <c r="C782" s="298"/>
      <c r="D782" s="299"/>
      <c r="F782" s="298"/>
      <c r="G782" s="299"/>
    </row>
    <row r="783">
      <c r="C783" s="298"/>
      <c r="D783" s="299"/>
      <c r="F783" s="298"/>
      <c r="G783" s="299"/>
    </row>
    <row r="784">
      <c r="C784" s="298"/>
      <c r="D784" s="299"/>
      <c r="F784" s="298"/>
      <c r="G784" s="299"/>
    </row>
    <row r="785">
      <c r="C785" s="298"/>
      <c r="D785" s="299"/>
      <c r="F785" s="298"/>
      <c r="G785" s="299"/>
    </row>
    <row r="786">
      <c r="C786" s="298"/>
      <c r="D786" s="299"/>
      <c r="F786" s="298"/>
      <c r="G786" s="299"/>
    </row>
    <row r="787">
      <c r="C787" s="298"/>
      <c r="D787" s="299"/>
      <c r="F787" s="298"/>
      <c r="G787" s="299"/>
    </row>
    <row r="788">
      <c r="C788" s="298"/>
      <c r="D788" s="299"/>
      <c r="F788" s="298"/>
      <c r="G788" s="299"/>
    </row>
    <row r="789">
      <c r="C789" s="298"/>
      <c r="D789" s="299"/>
      <c r="F789" s="298"/>
      <c r="G789" s="299"/>
    </row>
    <row r="790">
      <c r="C790" s="298"/>
      <c r="D790" s="299"/>
      <c r="F790" s="298"/>
      <c r="G790" s="299"/>
    </row>
    <row r="791">
      <c r="C791" s="298"/>
      <c r="D791" s="299"/>
      <c r="F791" s="298"/>
      <c r="G791" s="299"/>
    </row>
    <row r="792">
      <c r="C792" s="298"/>
      <c r="D792" s="299"/>
      <c r="F792" s="298"/>
      <c r="G792" s="299"/>
    </row>
    <row r="793">
      <c r="C793" s="298"/>
      <c r="D793" s="299"/>
      <c r="F793" s="298"/>
      <c r="G793" s="299"/>
    </row>
    <row r="794">
      <c r="C794" s="298"/>
      <c r="D794" s="299"/>
      <c r="F794" s="298"/>
      <c r="G794" s="299"/>
    </row>
    <row r="795">
      <c r="C795" s="298"/>
      <c r="D795" s="299"/>
      <c r="F795" s="298"/>
      <c r="G795" s="299"/>
    </row>
    <row r="796">
      <c r="C796" s="298"/>
      <c r="D796" s="299"/>
      <c r="F796" s="298"/>
      <c r="G796" s="299"/>
    </row>
    <row r="797">
      <c r="C797" s="298"/>
      <c r="D797" s="299"/>
      <c r="F797" s="298"/>
      <c r="G797" s="299"/>
    </row>
    <row r="798">
      <c r="C798" s="298"/>
      <c r="D798" s="299"/>
      <c r="F798" s="298"/>
      <c r="G798" s="299"/>
    </row>
    <row r="799">
      <c r="C799" s="298"/>
      <c r="D799" s="299"/>
      <c r="F799" s="298"/>
      <c r="G799" s="299"/>
    </row>
    <row r="800">
      <c r="C800" s="298"/>
      <c r="D800" s="299"/>
      <c r="F800" s="298"/>
      <c r="G800" s="299"/>
    </row>
    <row r="801">
      <c r="C801" s="298"/>
      <c r="D801" s="299"/>
      <c r="F801" s="298"/>
      <c r="G801" s="299"/>
    </row>
    <row r="802">
      <c r="C802" s="298"/>
      <c r="D802" s="299"/>
      <c r="F802" s="298"/>
      <c r="G802" s="299"/>
    </row>
    <row r="803">
      <c r="C803" s="298"/>
      <c r="D803" s="299"/>
      <c r="F803" s="298"/>
      <c r="G803" s="299"/>
    </row>
    <row r="804">
      <c r="C804" s="298"/>
      <c r="D804" s="299"/>
      <c r="F804" s="298"/>
      <c r="G804" s="299"/>
    </row>
    <row r="805">
      <c r="C805" s="298"/>
      <c r="D805" s="299"/>
      <c r="F805" s="298"/>
      <c r="G805" s="299"/>
    </row>
    <row r="806">
      <c r="C806" s="298"/>
      <c r="D806" s="299"/>
      <c r="F806" s="298"/>
      <c r="G806" s="299"/>
    </row>
    <row r="807">
      <c r="C807" s="298"/>
      <c r="D807" s="299"/>
      <c r="F807" s="298"/>
      <c r="G807" s="299"/>
    </row>
    <row r="808">
      <c r="C808" s="298"/>
      <c r="D808" s="299"/>
      <c r="F808" s="298"/>
      <c r="G808" s="299"/>
    </row>
    <row r="809">
      <c r="C809" s="298"/>
      <c r="D809" s="299"/>
      <c r="F809" s="298"/>
      <c r="G809" s="299"/>
    </row>
    <row r="810">
      <c r="C810" s="298"/>
      <c r="D810" s="299"/>
      <c r="F810" s="298"/>
      <c r="G810" s="299"/>
    </row>
    <row r="811">
      <c r="C811" s="298"/>
      <c r="D811" s="299"/>
      <c r="F811" s="298"/>
      <c r="G811" s="299"/>
    </row>
    <row r="812">
      <c r="C812" s="298"/>
      <c r="D812" s="299"/>
      <c r="F812" s="298"/>
      <c r="G812" s="299"/>
    </row>
    <row r="813">
      <c r="C813" s="298"/>
      <c r="D813" s="299"/>
      <c r="F813" s="298"/>
      <c r="G813" s="299"/>
    </row>
    <row r="814">
      <c r="C814" s="298"/>
      <c r="D814" s="299"/>
      <c r="F814" s="298"/>
      <c r="G814" s="299"/>
    </row>
    <row r="815">
      <c r="C815" s="298"/>
      <c r="D815" s="299"/>
      <c r="F815" s="298"/>
      <c r="G815" s="299"/>
    </row>
    <row r="816">
      <c r="C816" s="298"/>
      <c r="D816" s="299"/>
      <c r="F816" s="298"/>
      <c r="G816" s="299"/>
    </row>
    <row r="817">
      <c r="C817" s="298"/>
      <c r="D817" s="299"/>
      <c r="F817" s="298"/>
      <c r="G817" s="299"/>
    </row>
    <row r="818">
      <c r="C818" s="298"/>
      <c r="D818" s="299"/>
      <c r="F818" s="298"/>
      <c r="G818" s="299"/>
    </row>
    <row r="819">
      <c r="C819" s="298"/>
      <c r="D819" s="299"/>
      <c r="F819" s="298"/>
      <c r="G819" s="299"/>
    </row>
    <row r="820">
      <c r="C820" s="298"/>
      <c r="D820" s="299"/>
      <c r="F820" s="298"/>
      <c r="G820" s="299"/>
    </row>
    <row r="821">
      <c r="C821" s="298"/>
      <c r="D821" s="299"/>
      <c r="F821" s="298"/>
      <c r="G821" s="299"/>
    </row>
    <row r="822">
      <c r="C822" s="298"/>
      <c r="D822" s="299"/>
      <c r="F822" s="298"/>
      <c r="G822" s="299"/>
    </row>
    <row r="823">
      <c r="C823" s="298"/>
      <c r="D823" s="299"/>
      <c r="F823" s="298"/>
      <c r="G823" s="299"/>
    </row>
    <row r="824">
      <c r="C824" s="298"/>
      <c r="D824" s="299"/>
      <c r="F824" s="298"/>
      <c r="G824" s="299"/>
    </row>
    <row r="825">
      <c r="C825" s="298"/>
      <c r="D825" s="299"/>
      <c r="F825" s="298"/>
      <c r="G825" s="299"/>
    </row>
    <row r="826">
      <c r="C826" s="298"/>
      <c r="D826" s="299"/>
      <c r="F826" s="298"/>
      <c r="G826" s="299"/>
    </row>
    <row r="827">
      <c r="C827" s="298"/>
      <c r="D827" s="299"/>
      <c r="F827" s="298"/>
      <c r="G827" s="299"/>
    </row>
    <row r="828">
      <c r="C828" s="298"/>
      <c r="D828" s="299"/>
      <c r="F828" s="298"/>
      <c r="G828" s="299"/>
    </row>
    <row r="829">
      <c r="C829" s="298"/>
      <c r="D829" s="299"/>
      <c r="F829" s="298"/>
      <c r="G829" s="299"/>
    </row>
    <row r="830">
      <c r="C830" s="298"/>
      <c r="D830" s="299"/>
      <c r="F830" s="298"/>
      <c r="G830" s="299"/>
    </row>
    <row r="831">
      <c r="C831" s="298"/>
      <c r="D831" s="299"/>
      <c r="F831" s="298"/>
      <c r="G831" s="299"/>
    </row>
    <row r="832">
      <c r="C832" s="298"/>
      <c r="D832" s="299"/>
      <c r="F832" s="298"/>
      <c r="G832" s="299"/>
    </row>
    <row r="833">
      <c r="C833" s="298"/>
      <c r="D833" s="299"/>
      <c r="F833" s="298"/>
      <c r="G833" s="299"/>
    </row>
    <row r="834">
      <c r="C834" s="298"/>
      <c r="D834" s="299"/>
      <c r="F834" s="298"/>
      <c r="G834" s="299"/>
    </row>
    <row r="835">
      <c r="C835" s="298"/>
      <c r="D835" s="299"/>
      <c r="F835" s="298"/>
      <c r="G835" s="299"/>
    </row>
    <row r="836">
      <c r="C836" s="298"/>
      <c r="D836" s="299"/>
      <c r="F836" s="298"/>
      <c r="G836" s="299"/>
    </row>
    <row r="837">
      <c r="C837" s="298"/>
      <c r="D837" s="299"/>
      <c r="F837" s="298"/>
      <c r="G837" s="299"/>
    </row>
    <row r="838">
      <c r="C838" s="298"/>
      <c r="D838" s="299"/>
      <c r="F838" s="298"/>
      <c r="G838" s="299"/>
    </row>
    <row r="839">
      <c r="C839" s="298"/>
      <c r="D839" s="299"/>
      <c r="F839" s="298"/>
      <c r="G839" s="299"/>
    </row>
    <row r="840">
      <c r="C840" s="298"/>
      <c r="D840" s="299"/>
      <c r="F840" s="298"/>
      <c r="G840" s="299"/>
    </row>
    <row r="841">
      <c r="C841" s="298"/>
      <c r="D841" s="299"/>
      <c r="F841" s="298"/>
      <c r="G841" s="299"/>
    </row>
    <row r="842">
      <c r="C842" s="298"/>
      <c r="D842" s="299"/>
      <c r="F842" s="298"/>
      <c r="G842" s="299"/>
    </row>
    <row r="843">
      <c r="C843" s="298"/>
      <c r="D843" s="299"/>
      <c r="F843" s="298"/>
      <c r="G843" s="299"/>
    </row>
    <row r="844">
      <c r="C844" s="298"/>
      <c r="D844" s="299"/>
      <c r="F844" s="298"/>
      <c r="G844" s="299"/>
    </row>
    <row r="845">
      <c r="C845" s="298"/>
      <c r="D845" s="299"/>
      <c r="F845" s="298"/>
      <c r="G845" s="299"/>
    </row>
    <row r="846">
      <c r="C846" s="298"/>
      <c r="D846" s="299"/>
      <c r="F846" s="298"/>
      <c r="G846" s="299"/>
    </row>
    <row r="847">
      <c r="C847" s="298"/>
      <c r="D847" s="299"/>
      <c r="F847" s="298"/>
      <c r="G847" s="299"/>
    </row>
    <row r="848">
      <c r="C848" s="298"/>
      <c r="D848" s="299"/>
      <c r="F848" s="298"/>
      <c r="G848" s="299"/>
    </row>
    <row r="849">
      <c r="C849" s="298"/>
      <c r="D849" s="299"/>
      <c r="F849" s="298"/>
      <c r="G849" s="299"/>
    </row>
    <row r="850">
      <c r="C850" s="298"/>
      <c r="D850" s="299"/>
      <c r="F850" s="298"/>
      <c r="G850" s="299"/>
    </row>
    <row r="851">
      <c r="C851" s="298"/>
      <c r="D851" s="299"/>
      <c r="F851" s="298"/>
      <c r="G851" s="299"/>
    </row>
    <row r="852">
      <c r="C852" s="298"/>
      <c r="D852" s="299"/>
      <c r="F852" s="298"/>
      <c r="G852" s="299"/>
    </row>
    <row r="853">
      <c r="C853" s="298"/>
      <c r="D853" s="299"/>
      <c r="F853" s="298"/>
      <c r="G853" s="299"/>
    </row>
    <row r="854">
      <c r="C854" s="298"/>
      <c r="D854" s="299"/>
      <c r="F854" s="298"/>
      <c r="G854" s="299"/>
    </row>
    <row r="855">
      <c r="C855" s="298"/>
      <c r="D855" s="299"/>
      <c r="F855" s="298"/>
      <c r="G855" s="299"/>
    </row>
    <row r="856">
      <c r="C856" s="298"/>
      <c r="D856" s="299"/>
      <c r="F856" s="298"/>
      <c r="G856" s="299"/>
    </row>
    <row r="857">
      <c r="C857" s="298"/>
      <c r="D857" s="299"/>
      <c r="F857" s="298"/>
      <c r="G857" s="299"/>
    </row>
    <row r="858">
      <c r="C858" s="298"/>
      <c r="D858" s="299"/>
      <c r="F858" s="298"/>
      <c r="G858" s="299"/>
    </row>
    <row r="859">
      <c r="C859" s="298"/>
      <c r="D859" s="299"/>
      <c r="F859" s="298"/>
      <c r="G859" s="299"/>
    </row>
    <row r="860">
      <c r="C860" s="298"/>
      <c r="D860" s="299"/>
      <c r="F860" s="298"/>
      <c r="G860" s="299"/>
    </row>
    <row r="861">
      <c r="C861" s="298"/>
      <c r="D861" s="299"/>
      <c r="F861" s="298"/>
      <c r="G861" s="299"/>
    </row>
    <row r="862">
      <c r="C862" s="298"/>
      <c r="D862" s="299"/>
      <c r="F862" s="298"/>
      <c r="G862" s="299"/>
    </row>
    <row r="863">
      <c r="C863" s="298"/>
      <c r="D863" s="299"/>
      <c r="F863" s="298"/>
      <c r="G863" s="299"/>
    </row>
    <row r="864">
      <c r="C864" s="298"/>
      <c r="D864" s="299"/>
      <c r="F864" s="298"/>
      <c r="G864" s="299"/>
    </row>
    <row r="865">
      <c r="C865" s="298"/>
      <c r="D865" s="299"/>
      <c r="F865" s="298"/>
      <c r="G865" s="299"/>
    </row>
    <row r="866">
      <c r="C866" s="298"/>
      <c r="D866" s="299"/>
      <c r="F866" s="298"/>
      <c r="G866" s="299"/>
    </row>
    <row r="867">
      <c r="C867" s="298"/>
      <c r="D867" s="299"/>
      <c r="F867" s="298"/>
      <c r="G867" s="299"/>
    </row>
    <row r="868">
      <c r="C868" s="298"/>
      <c r="D868" s="299"/>
      <c r="F868" s="298"/>
      <c r="G868" s="299"/>
    </row>
    <row r="869">
      <c r="C869" s="298"/>
      <c r="D869" s="299"/>
      <c r="F869" s="298"/>
      <c r="G869" s="299"/>
    </row>
    <row r="870">
      <c r="C870" s="298"/>
      <c r="D870" s="299"/>
      <c r="F870" s="298"/>
      <c r="G870" s="299"/>
    </row>
    <row r="871">
      <c r="C871" s="298"/>
      <c r="D871" s="299"/>
      <c r="F871" s="298"/>
      <c r="G871" s="299"/>
    </row>
    <row r="872">
      <c r="C872" s="298"/>
      <c r="D872" s="299"/>
      <c r="F872" s="298"/>
      <c r="G872" s="299"/>
    </row>
    <row r="873">
      <c r="C873" s="298"/>
      <c r="D873" s="299"/>
      <c r="F873" s="298"/>
      <c r="G873" s="299"/>
    </row>
    <row r="874">
      <c r="C874" s="298"/>
      <c r="D874" s="299"/>
      <c r="F874" s="298"/>
      <c r="G874" s="299"/>
    </row>
    <row r="875">
      <c r="C875" s="298"/>
      <c r="D875" s="299"/>
      <c r="F875" s="298"/>
      <c r="G875" s="299"/>
    </row>
    <row r="876">
      <c r="C876" s="298"/>
      <c r="D876" s="299"/>
      <c r="F876" s="298"/>
      <c r="G876" s="299"/>
    </row>
    <row r="877">
      <c r="C877" s="298"/>
      <c r="D877" s="299"/>
      <c r="F877" s="298"/>
      <c r="G877" s="299"/>
    </row>
    <row r="878">
      <c r="C878" s="298"/>
      <c r="D878" s="299"/>
      <c r="F878" s="298"/>
      <c r="G878" s="299"/>
    </row>
    <row r="879">
      <c r="C879" s="298"/>
      <c r="D879" s="299"/>
      <c r="F879" s="298"/>
      <c r="G879" s="299"/>
    </row>
    <row r="880">
      <c r="C880" s="298"/>
      <c r="D880" s="299"/>
      <c r="F880" s="298"/>
      <c r="G880" s="299"/>
    </row>
    <row r="881">
      <c r="C881" s="298"/>
      <c r="D881" s="299"/>
      <c r="F881" s="298"/>
      <c r="G881" s="299"/>
    </row>
    <row r="882">
      <c r="C882" s="298"/>
      <c r="D882" s="299"/>
      <c r="F882" s="298"/>
      <c r="G882" s="299"/>
    </row>
    <row r="883">
      <c r="C883" s="298"/>
      <c r="D883" s="299"/>
      <c r="F883" s="298"/>
      <c r="G883" s="299"/>
    </row>
    <row r="884">
      <c r="C884" s="298"/>
      <c r="D884" s="299"/>
      <c r="F884" s="298"/>
      <c r="G884" s="299"/>
    </row>
    <row r="885">
      <c r="C885" s="298"/>
      <c r="D885" s="299"/>
      <c r="F885" s="298"/>
      <c r="G885" s="299"/>
    </row>
    <row r="886">
      <c r="C886" s="298"/>
      <c r="D886" s="299"/>
      <c r="F886" s="298"/>
      <c r="G886" s="299"/>
    </row>
    <row r="887">
      <c r="C887" s="298"/>
      <c r="D887" s="299"/>
      <c r="F887" s="298"/>
      <c r="G887" s="299"/>
    </row>
    <row r="888">
      <c r="C888" s="298"/>
      <c r="D888" s="299"/>
      <c r="F888" s="298"/>
      <c r="G888" s="299"/>
    </row>
    <row r="889">
      <c r="C889" s="298"/>
      <c r="D889" s="299"/>
      <c r="F889" s="298"/>
      <c r="G889" s="299"/>
    </row>
    <row r="890">
      <c r="C890" s="298"/>
      <c r="D890" s="299"/>
      <c r="F890" s="298"/>
      <c r="G890" s="299"/>
    </row>
    <row r="891">
      <c r="C891" s="298"/>
      <c r="D891" s="299"/>
      <c r="F891" s="298"/>
      <c r="G891" s="299"/>
    </row>
    <row r="892">
      <c r="C892" s="298"/>
      <c r="D892" s="299"/>
      <c r="F892" s="298"/>
      <c r="G892" s="299"/>
    </row>
    <row r="893">
      <c r="C893" s="298"/>
      <c r="D893" s="299"/>
      <c r="F893" s="298"/>
      <c r="G893" s="299"/>
    </row>
    <row r="894">
      <c r="C894" s="298"/>
      <c r="D894" s="299"/>
      <c r="F894" s="298"/>
      <c r="G894" s="299"/>
    </row>
    <row r="895">
      <c r="C895" s="298"/>
      <c r="D895" s="299"/>
      <c r="F895" s="298"/>
      <c r="G895" s="299"/>
    </row>
    <row r="896">
      <c r="C896" s="298"/>
      <c r="D896" s="299"/>
      <c r="F896" s="298"/>
      <c r="G896" s="299"/>
    </row>
    <row r="897">
      <c r="C897" s="298"/>
      <c r="D897" s="299"/>
      <c r="F897" s="298"/>
      <c r="G897" s="299"/>
    </row>
    <row r="898">
      <c r="C898" s="298"/>
      <c r="D898" s="299"/>
      <c r="F898" s="298"/>
      <c r="G898" s="299"/>
    </row>
    <row r="899">
      <c r="C899" s="298"/>
      <c r="D899" s="299"/>
      <c r="F899" s="298"/>
      <c r="G899" s="299"/>
    </row>
    <row r="900">
      <c r="C900" s="298"/>
      <c r="D900" s="299"/>
      <c r="F900" s="298"/>
      <c r="G900" s="299"/>
    </row>
    <row r="901">
      <c r="C901" s="298"/>
      <c r="D901" s="299"/>
      <c r="F901" s="298"/>
      <c r="G901" s="299"/>
    </row>
    <row r="902">
      <c r="C902" s="298"/>
      <c r="D902" s="299"/>
      <c r="F902" s="298"/>
      <c r="G902" s="299"/>
    </row>
    <row r="903">
      <c r="C903" s="298"/>
      <c r="D903" s="299"/>
      <c r="F903" s="298"/>
      <c r="G903" s="299"/>
    </row>
    <row r="904">
      <c r="C904" s="298"/>
      <c r="D904" s="299"/>
      <c r="F904" s="298"/>
      <c r="G904" s="299"/>
    </row>
    <row r="905">
      <c r="C905" s="298"/>
      <c r="D905" s="299"/>
      <c r="F905" s="298"/>
      <c r="G905" s="299"/>
    </row>
    <row r="906">
      <c r="C906" s="298"/>
      <c r="D906" s="299"/>
      <c r="F906" s="298"/>
      <c r="G906" s="299"/>
    </row>
    <row r="907">
      <c r="C907" s="298"/>
      <c r="D907" s="299"/>
      <c r="F907" s="298"/>
      <c r="G907" s="299"/>
    </row>
    <row r="908">
      <c r="C908" s="298"/>
      <c r="D908" s="299"/>
      <c r="F908" s="298"/>
      <c r="G908" s="299"/>
    </row>
    <row r="909">
      <c r="C909" s="298"/>
      <c r="D909" s="299"/>
      <c r="F909" s="298"/>
      <c r="G909" s="299"/>
    </row>
    <row r="910">
      <c r="C910" s="298"/>
      <c r="D910" s="299"/>
      <c r="F910" s="298"/>
      <c r="G910" s="299"/>
    </row>
    <row r="911">
      <c r="C911" s="298"/>
      <c r="D911" s="299"/>
      <c r="F911" s="298"/>
      <c r="G911" s="299"/>
    </row>
    <row r="912">
      <c r="C912" s="298"/>
      <c r="D912" s="299"/>
      <c r="F912" s="298"/>
      <c r="G912" s="299"/>
    </row>
    <row r="913">
      <c r="C913" s="298"/>
      <c r="D913" s="299"/>
      <c r="F913" s="298"/>
      <c r="G913" s="299"/>
    </row>
    <row r="914">
      <c r="C914" s="298"/>
      <c r="D914" s="299"/>
      <c r="F914" s="298"/>
      <c r="G914" s="299"/>
    </row>
    <row r="915">
      <c r="C915" s="298"/>
      <c r="D915" s="299"/>
      <c r="F915" s="298"/>
      <c r="G915" s="299"/>
    </row>
    <row r="916">
      <c r="C916" s="298"/>
      <c r="D916" s="299"/>
      <c r="F916" s="298"/>
      <c r="G916" s="299"/>
    </row>
    <row r="917">
      <c r="C917" s="298"/>
      <c r="D917" s="299"/>
      <c r="F917" s="298"/>
      <c r="G917" s="299"/>
    </row>
    <row r="918">
      <c r="C918" s="298"/>
      <c r="D918" s="299"/>
      <c r="F918" s="298"/>
      <c r="G918" s="299"/>
    </row>
    <row r="919">
      <c r="C919" s="298"/>
      <c r="D919" s="299"/>
      <c r="F919" s="298"/>
      <c r="G919" s="299"/>
    </row>
    <row r="920">
      <c r="C920" s="298"/>
      <c r="D920" s="299"/>
      <c r="F920" s="298"/>
      <c r="G920" s="299"/>
    </row>
    <row r="921">
      <c r="C921" s="298"/>
      <c r="D921" s="299"/>
      <c r="F921" s="298"/>
      <c r="G921" s="299"/>
    </row>
    <row r="922">
      <c r="C922" s="298"/>
      <c r="D922" s="299"/>
      <c r="F922" s="298"/>
      <c r="G922" s="299"/>
    </row>
    <row r="923">
      <c r="C923" s="298"/>
      <c r="D923" s="299"/>
      <c r="F923" s="298"/>
      <c r="G923" s="299"/>
    </row>
    <row r="924">
      <c r="C924" s="298"/>
      <c r="D924" s="299"/>
      <c r="F924" s="298"/>
      <c r="G924" s="299"/>
    </row>
    <row r="925">
      <c r="C925" s="298"/>
      <c r="D925" s="299"/>
      <c r="F925" s="298"/>
      <c r="G925" s="299"/>
    </row>
    <row r="926">
      <c r="C926" s="298"/>
      <c r="D926" s="299"/>
      <c r="F926" s="298"/>
      <c r="G926" s="299"/>
    </row>
    <row r="927">
      <c r="C927" s="298"/>
      <c r="D927" s="299"/>
      <c r="F927" s="298"/>
      <c r="G927" s="299"/>
    </row>
    <row r="928">
      <c r="C928" s="298"/>
      <c r="D928" s="299"/>
      <c r="F928" s="298"/>
      <c r="G928" s="299"/>
    </row>
    <row r="929">
      <c r="C929" s="298"/>
      <c r="D929" s="299"/>
      <c r="F929" s="298"/>
      <c r="G929" s="299"/>
    </row>
    <row r="930">
      <c r="C930" s="298"/>
      <c r="D930" s="299"/>
      <c r="F930" s="298"/>
      <c r="G930" s="299"/>
    </row>
    <row r="931">
      <c r="C931" s="298"/>
      <c r="D931" s="299"/>
      <c r="F931" s="298"/>
      <c r="G931" s="299"/>
    </row>
    <row r="932">
      <c r="C932" s="298"/>
      <c r="D932" s="299"/>
      <c r="F932" s="298"/>
      <c r="G932" s="299"/>
    </row>
    <row r="933">
      <c r="C933" s="298"/>
      <c r="D933" s="299"/>
      <c r="F933" s="298"/>
      <c r="G933" s="299"/>
    </row>
    <row r="934">
      <c r="C934" s="298"/>
      <c r="D934" s="299"/>
      <c r="F934" s="298"/>
      <c r="G934" s="299"/>
    </row>
    <row r="935">
      <c r="C935" s="298"/>
      <c r="D935" s="299"/>
      <c r="F935" s="298"/>
      <c r="G935" s="299"/>
    </row>
    <row r="936">
      <c r="C936" s="298"/>
      <c r="D936" s="299"/>
      <c r="F936" s="298"/>
      <c r="G936" s="299"/>
    </row>
    <row r="937">
      <c r="C937" s="298"/>
      <c r="D937" s="299"/>
      <c r="F937" s="298"/>
      <c r="G937" s="299"/>
    </row>
    <row r="938">
      <c r="C938" s="298"/>
      <c r="D938" s="299"/>
      <c r="F938" s="298"/>
      <c r="G938" s="299"/>
    </row>
    <row r="939">
      <c r="C939" s="298"/>
      <c r="D939" s="299"/>
      <c r="F939" s="298"/>
      <c r="G939" s="299"/>
    </row>
    <row r="940">
      <c r="C940" s="298"/>
      <c r="D940" s="299"/>
      <c r="F940" s="298"/>
      <c r="G940" s="299"/>
    </row>
    <row r="941">
      <c r="C941" s="298"/>
      <c r="D941" s="299"/>
      <c r="F941" s="298"/>
      <c r="G941" s="299"/>
    </row>
    <row r="942">
      <c r="C942" s="298"/>
      <c r="D942" s="299"/>
      <c r="F942" s="298"/>
      <c r="G942" s="299"/>
    </row>
    <row r="943">
      <c r="C943" s="298"/>
      <c r="D943" s="299"/>
      <c r="F943" s="298"/>
      <c r="G943" s="299"/>
    </row>
    <row r="944">
      <c r="C944" s="298"/>
      <c r="D944" s="299"/>
      <c r="F944" s="298"/>
      <c r="G944" s="299"/>
    </row>
    <row r="945">
      <c r="C945" s="298"/>
      <c r="D945" s="299"/>
      <c r="F945" s="298"/>
      <c r="G945" s="299"/>
    </row>
    <row r="946">
      <c r="C946" s="298"/>
      <c r="D946" s="299"/>
      <c r="F946" s="298"/>
      <c r="G946" s="299"/>
    </row>
    <row r="947">
      <c r="C947" s="298"/>
      <c r="D947" s="299"/>
      <c r="F947" s="298"/>
      <c r="G947" s="299"/>
    </row>
    <row r="948">
      <c r="C948" s="298"/>
      <c r="D948" s="299"/>
      <c r="F948" s="298"/>
      <c r="G948" s="299"/>
    </row>
    <row r="949">
      <c r="C949" s="298"/>
      <c r="D949" s="299"/>
      <c r="F949" s="298"/>
      <c r="G949" s="299"/>
    </row>
    <row r="950">
      <c r="C950" s="298"/>
      <c r="D950" s="299"/>
      <c r="F950" s="298"/>
      <c r="G950" s="299"/>
    </row>
    <row r="951">
      <c r="C951" s="298"/>
      <c r="D951" s="299"/>
      <c r="F951" s="298"/>
      <c r="G951" s="299"/>
    </row>
    <row r="952">
      <c r="C952" s="298"/>
      <c r="D952" s="299"/>
      <c r="F952" s="298"/>
      <c r="G952" s="299"/>
    </row>
    <row r="953">
      <c r="C953" s="298"/>
      <c r="D953" s="299"/>
      <c r="F953" s="298"/>
      <c r="G953" s="299"/>
    </row>
    <row r="954">
      <c r="C954" s="298"/>
      <c r="D954" s="299"/>
      <c r="F954" s="298"/>
      <c r="G954" s="299"/>
    </row>
    <row r="955">
      <c r="C955" s="298"/>
      <c r="D955" s="299"/>
      <c r="F955" s="298"/>
      <c r="G955" s="299"/>
    </row>
    <row r="956">
      <c r="C956" s="298"/>
      <c r="D956" s="299"/>
      <c r="F956" s="298"/>
      <c r="G956" s="299"/>
    </row>
    <row r="957">
      <c r="C957" s="298"/>
      <c r="D957" s="299"/>
      <c r="F957" s="298"/>
      <c r="G957" s="299"/>
    </row>
    <row r="958">
      <c r="C958" s="298"/>
      <c r="D958" s="299"/>
      <c r="F958" s="298"/>
      <c r="G958" s="299"/>
    </row>
    <row r="959">
      <c r="C959" s="298"/>
      <c r="D959" s="299"/>
      <c r="F959" s="298"/>
      <c r="G959" s="299"/>
    </row>
    <row r="960">
      <c r="C960" s="298"/>
      <c r="D960" s="299"/>
      <c r="F960" s="298"/>
      <c r="G960" s="299"/>
    </row>
    <row r="961">
      <c r="C961" s="298"/>
      <c r="D961" s="299"/>
      <c r="F961" s="298"/>
      <c r="G961" s="299"/>
    </row>
    <row r="962">
      <c r="C962" s="298"/>
      <c r="D962" s="299"/>
      <c r="F962" s="298"/>
      <c r="G962" s="299"/>
    </row>
    <row r="963">
      <c r="C963" s="298"/>
      <c r="D963" s="299"/>
      <c r="F963" s="298"/>
      <c r="G963" s="299"/>
    </row>
    <row r="964">
      <c r="C964" s="298"/>
      <c r="D964" s="299"/>
      <c r="F964" s="298"/>
      <c r="G964" s="299"/>
    </row>
    <row r="965">
      <c r="C965" s="298"/>
      <c r="D965" s="299"/>
      <c r="F965" s="298"/>
      <c r="G965" s="299"/>
    </row>
    <row r="966">
      <c r="C966" s="298"/>
      <c r="D966" s="299"/>
      <c r="F966" s="298"/>
      <c r="G966" s="299"/>
    </row>
    <row r="967">
      <c r="C967" s="298"/>
      <c r="D967" s="299"/>
      <c r="F967" s="298"/>
      <c r="G967" s="299"/>
    </row>
    <row r="968">
      <c r="C968" s="298"/>
      <c r="D968" s="299"/>
      <c r="F968" s="298"/>
      <c r="G968" s="299"/>
    </row>
    <row r="969">
      <c r="C969" s="298"/>
      <c r="D969" s="299"/>
      <c r="F969" s="298"/>
      <c r="G969" s="299"/>
    </row>
    <row r="970">
      <c r="C970" s="298"/>
      <c r="D970" s="299"/>
      <c r="F970" s="298"/>
      <c r="G970" s="299"/>
    </row>
    <row r="971">
      <c r="C971" s="298"/>
      <c r="D971" s="299"/>
      <c r="F971" s="298"/>
      <c r="G971" s="299"/>
    </row>
    <row r="972">
      <c r="C972" s="298"/>
      <c r="D972" s="299"/>
      <c r="F972" s="298"/>
      <c r="G972" s="299"/>
    </row>
    <row r="973">
      <c r="C973" s="298"/>
      <c r="D973" s="299"/>
      <c r="F973" s="298"/>
      <c r="G973" s="299"/>
    </row>
    <row r="974">
      <c r="C974" s="298"/>
      <c r="D974" s="299"/>
      <c r="F974" s="298"/>
      <c r="G974" s="299"/>
    </row>
    <row r="975">
      <c r="C975" s="298"/>
      <c r="D975" s="299"/>
      <c r="F975" s="298"/>
      <c r="G975" s="299"/>
    </row>
    <row r="976">
      <c r="C976" s="298"/>
      <c r="D976" s="299"/>
      <c r="F976" s="298"/>
      <c r="G976" s="299"/>
    </row>
    <row r="977">
      <c r="C977" s="298"/>
      <c r="D977" s="299"/>
      <c r="F977" s="298"/>
      <c r="G977" s="299"/>
    </row>
    <row r="978">
      <c r="C978" s="298"/>
      <c r="D978" s="299"/>
      <c r="F978" s="298"/>
      <c r="G978" s="299"/>
    </row>
    <row r="979">
      <c r="C979" s="298"/>
      <c r="D979" s="299"/>
      <c r="F979" s="298"/>
      <c r="G979" s="299"/>
    </row>
    <row r="980">
      <c r="C980" s="298"/>
      <c r="D980" s="299"/>
      <c r="F980" s="298"/>
      <c r="G980" s="299"/>
    </row>
    <row r="981">
      <c r="C981" s="298"/>
      <c r="D981" s="299"/>
      <c r="F981" s="298"/>
      <c r="G981" s="299"/>
    </row>
    <row r="982">
      <c r="C982" s="298"/>
      <c r="D982" s="299"/>
      <c r="F982" s="298"/>
      <c r="G982" s="299"/>
    </row>
    <row r="983">
      <c r="C983" s="298"/>
      <c r="D983" s="299"/>
      <c r="F983" s="298"/>
      <c r="G983" s="299"/>
    </row>
    <row r="984">
      <c r="C984" s="298"/>
      <c r="D984" s="299"/>
      <c r="F984" s="298"/>
      <c r="G984" s="299"/>
    </row>
    <row r="985">
      <c r="C985" s="298"/>
      <c r="D985" s="299"/>
      <c r="F985" s="298"/>
      <c r="G985" s="299"/>
    </row>
    <row r="986">
      <c r="C986" s="298"/>
      <c r="D986" s="299"/>
      <c r="F986" s="298"/>
      <c r="G986" s="299"/>
    </row>
    <row r="987">
      <c r="C987" s="298"/>
      <c r="D987" s="299"/>
      <c r="F987" s="298"/>
      <c r="G987" s="299"/>
    </row>
    <row r="988">
      <c r="C988" s="298"/>
      <c r="D988" s="299"/>
      <c r="F988" s="298"/>
      <c r="G988" s="299"/>
    </row>
    <row r="989">
      <c r="C989" s="298"/>
      <c r="D989" s="299"/>
      <c r="F989" s="298"/>
      <c r="G989" s="299"/>
    </row>
    <row r="990">
      <c r="C990" s="298"/>
      <c r="D990" s="299"/>
      <c r="F990" s="298"/>
      <c r="G990" s="299"/>
    </row>
    <row r="991">
      <c r="C991" s="298"/>
      <c r="D991" s="299"/>
      <c r="F991" s="298"/>
      <c r="G991" s="299"/>
    </row>
    <row r="992">
      <c r="C992" s="298"/>
      <c r="D992" s="299"/>
      <c r="F992" s="298"/>
      <c r="G992" s="299"/>
    </row>
    <row r="993">
      <c r="C993" s="298"/>
      <c r="D993" s="299"/>
      <c r="F993" s="298"/>
      <c r="G993" s="299"/>
    </row>
    <row r="994">
      <c r="C994" s="298"/>
      <c r="D994" s="299"/>
      <c r="F994" s="298"/>
      <c r="G994" s="299"/>
    </row>
    <row r="995">
      <c r="C995" s="298"/>
      <c r="D995" s="299"/>
      <c r="F995" s="298"/>
      <c r="G995" s="299"/>
    </row>
    <row r="996">
      <c r="C996" s="298"/>
      <c r="D996" s="299"/>
      <c r="F996" s="298"/>
      <c r="G996" s="299"/>
    </row>
    <row r="997">
      <c r="C997" s="298"/>
      <c r="D997" s="299"/>
      <c r="F997" s="298"/>
      <c r="G997" s="299"/>
    </row>
    <row r="998">
      <c r="C998" s="298"/>
      <c r="D998" s="299"/>
      <c r="F998" s="298"/>
      <c r="G998" s="299"/>
    </row>
    <row r="999">
      <c r="C999" s="298"/>
      <c r="D999" s="299"/>
      <c r="F999" s="298"/>
      <c r="G999" s="299"/>
    </row>
    <row r="1000">
      <c r="C1000" s="298"/>
      <c r="D1000" s="299"/>
      <c r="F1000" s="298"/>
      <c r="G1000" s="299"/>
    </row>
    <row r="1001">
      <c r="C1001" s="298"/>
      <c r="D1001" s="299"/>
      <c r="F1001" s="298"/>
      <c r="G1001" s="299"/>
    </row>
    <row r="1002">
      <c r="C1002" s="298"/>
      <c r="D1002" s="299"/>
      <c r="F1002" s="298"/>
      <c r="G1002" s="299"/>
    </row>
    <row r="1003">
      <c r="C1003" s="298"/>
      <c r="D1003" s="299"/>
      <c r="F1003" s="298"/>
      <c r="G1003" s="299"/>
    </row>
    <row r="1004">
      <c r="C1004" s="298"/>
      <c r="D1004" s="299"/>
      <c r="F1004" s="298"/>
      <c r="G1004" s="299"/>
    </row>
    <row r="1005">
      <c r="C1005" s="298"/>
      <c r="D1005" s="299"/>
      <c r="F1005" s="298"/>
      <c r="G1005" s="299"/>
    </row>
    <row r="1006">
      <c r="C1006" s="298"/>
      <c r="D1006" s="299"/>
      <c r="F1006" s="298"/>
      <c r="G1006" s="299"/>
    </row>
  </sheetData>
  <mergeCells count="2">
    <mergeCell ref="C1:D1"/>
    <mergeCell ref="F1:G1"/>
  </mergeCells>
  <hyperlinks>
    <hyperlink r:id="rId2" ref="E38"/>
    <hyperlink r:id="rId3" ref="E40"/>
    <hyperlink r:id="rId4" ref="H45"/>
    <hyperlink r:id="rId5" ref="E46"/>
    <hyperlink r:id="rId6" ref="E47"/>
    <hyperlink r:id="rId7" ref="H47"/>
    <hyperlink r:id="rId8" ref="E48"/>
    <hyperlink r:id="rId9" ref="H48"/>
    <hyperlink r:id="rId10" ref="H49"/>
    <hyperlink r:id="rId11" ref="E54"/>
    <hyperlink r:id="rId12" ref="H54"/>
    <hyperlink r:id="rId13" ref="E57"/>
    <hyperlink r:id="rId14" ref="H57"/>
    <hyperlink r:id="rId15" ref="E59"/>
    <hyperlink r:id="rId16" ref="H59"/>
    <hyperlink r:id="rId17" ref="E61"/>
    <hyperlink r:id="rId18" ref="H61"/>
    <hyperlink r:id="rId19" ref="E62"/>
    <hyperlink r:id="rId20" ref="H62"/>
    <hyperlink r:id="rId21" ref="E63"/>
    <hyperlink r:id="rId22" ref="H63"/>
    <hyperlink r:id="rId23" ref="E64"/>
    <hyperlink r:id="rId24" ref="H64"/>
    <hyperlink r:id="rId25" ref="H65"/>
  </hyperlinks>
  <drawing r:id="rId26"/>
  <legacyDrawing r:id="rId2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09" t="s">
        <v>1061</v>
      </c>
      <c r="B1" s="309" t="s">
        <v>1062</v>
      </c>
      <c r="C1" s="309" t="s">
        <v>1063</v>
      </c>
      <c r="D1" s="309" t="s">
        <v>1064</v>
      </c>
      <c r="E1" s="310"/>
      <c r="F1" s="311" t="s">
        <v>1065</v>
      </c>
      <c r="G1" s="311" t="s">
        <v>1066</v>
      </c>
      <c r="H1" s="312" t="s">
        <v>1067</v>
      </c>
      <c r="I1" s="310"/>
      <c r="J1" s="310"/>
      <c r="K1" s="310"/>
      <c r="L1" s="310"/>
      <c r="M1" s="310"/>
      <c r="N1" s="310"/>
      <c r="O1" s="310"/>
      <c r="P1" s="310"/>
      <c r="Q1" s="310"/>
      <c r="R1" s="310"/>
      <c r="S1" s="310"/>
      <c r="T1" s="310"/>
      <c r="U1" s="310"/>
      <c r="V1" s="310"/>
      <c r="W1" s="310"/>
      <c r="X1" s="310"/>
      <c r="Y1" s="310"/>
      <c r="Z1" s="310"/>
      <c r="AA1" s="310"/>
    </row>
    <row r="2">
      <c r="A2" s="6" t="s">
        <v>185</v>
      </c>
      <c r="B2" s="6" t="s">
        <v>1068</v>
      </c>
      <c r="C2" s="6" t="s">
        <v>1069</v>
      </c>
      <c r="D2" s="313">
        <v>0.05</v>
      </c>
      <c r="F2" s="314">
        <v>2854.25</v>
      </c>
      <c r="G2" s="314">
        <v>200.0</v>
      </c>
      <c r="H2" s="315">
        <f>F2*40%+G2</f>
        <v>1341.7</v>
      </c>
    </row>
    <row r="3">
      <c r="A3" s="6" t="s">
        <v>583</v>
      </c>
      <c r="B3" s="6" t="s">
        <v>234</v>
      </c>
      <c r="C3" s="6" t="s">
        <v>899</v>
      </c>
      <c r="D3" s="313">
        <v>0.1</v>
      </c>
      <c r="F3" s="314">
        <v>7660.1</v>
      </c>
      <c r="G3" s="314">
        <v>280.0</v>
      </c>
      <c r="H3" s="315">
        <f>F3*45%+G3</f>
        <v>3727.045</v>
      </c>
    </row>
    <row r="4">
      <c r="A4" s="6" t="s">
        <v>206</v>
      </c>
      <c r="B4" s="6" t="s">
        <v>206</v>
      </c>
      <c r="C4" s="6" t="s">
        <v>1069</v>
      </c>
      <c r="D4" s="6" t="s">
        <v>1070</v>
      </c>
      <c r="F4" s="314">
        <v>4056.85</v>
      </c>
      <c r="G4" s="314">
        <v>260.0</v>
      </c>
      <c r="H4" s="315">
        <f>F4*35%+G4</f>
        <v>1679.8975</v>
      </c>
    </row>
    <row r="5">
      <c r="A5" s="6" t="s">
        <v>144</v>
      </c>
      <c r="B5" s="6" t="s">
        <v>226</v>
      </c>
      <c r="C5" s="6" t="s">
        <v>1071</v>
      </c>
      <c r="D5" s="313">
        <v>0.05</v>
      </c>
      <c r="F5" s="314" t="s">
        <v>1072</v>
      </c>
      <c r="G5" s="163"/>
      <c r="H5" s="315"/>
    </row>
    <row r="6">
      <c r="A6" s="224" t="s">
        <v>233</v>
      </c>
      <c r="B6" s="260" t="s">
        <v>212</v>
      </c>
      <c r="C6" s="6" t="s">
        <v>1071</v>
      </c>
      <c r="F6" s="314">
        <v>6833.23</v>
      </c>
      <c r="G6" s="314">
        <v>260.0</v>
      </c>
      <c r="H6" s="315"/>
      <c r="I6" s="6" t="s">
        <v>1073</v>
      </c>
    </row>
    <row r="7">
      <c r="A7" s="260" t="s">
        <v>399</v>
      </c>
      <c r="B7" s="260"/>
      <c r="C7" s="6" t="s">
        <v>898</v>
      </c>
      <c r="D7" s="313">
        <v>0.05</v>
      </c>
      <c r="F7" s="314" t="s">
        <v>1072</v>
      </c>
      <c r="G7" s="163"/>
      <c r="H7" s="315"/>
    </row>
    <row r="8">
      <c r="A8" s="224" t="s">
        <v>232</v>
      </c>
      <c r="B8" s="316" t="s">
        <v>925</v>
      </c>
      <c r="C8" s="6" t="s">
        <v>899</v>
      </c>
      <c r="D8" s="313">
        <v>0.07</v>
      </c>
      <c r="F8" s="163"/>
      <c r="G8" s="163"/>
      <c r="H8" s="315"/>
    </row>
    <row r="9">
      <c r="A9" s="224" t="s">
        <v>180</v>
      </c>
      <c r="B9" s="260" t="s">
        <v>180</v>
      </c>
      <c r="C9" s="6" t="s">
        <v>1073</v>
      </c>
      <c r="F9" s="163"/>
      <c r="G9" s="314">
        <v>190.0</v>
      </c>
      <c r="H9" s="315"/>
    </row>
    <row r="10">
      <c r="A10" s="5" t="s">
        <v>183</v>
      </c>
      <c r="B10" s="224" t="s">
        <v>230</v>
      </c>
      <c r="C10" s="6" t="s">
        <v>1074</v>
      </c>
      <c r="D10" s="313">
        <v>0.05</v>
      </c>
      <c r="F10" s="163"/>
      <c r="G10" s="163"/>
      <c r="H10" s="315"/>
    </row>
    <row r="11">
      <c r="A11" s="6" t="s">
        <v>232</v>
      </c>
      <c r="B11" s="6" t="s">
        <v>925</v>
      </c>
      <c r="C11" s="6" t="s">
        <v>899</v>
      </c>
      <c r="D11" s="6" t="s">
        <v>1075</v>
      </c>
      <c r="F11" s="314">
        <v>2620.17</v>
      </c>
      <c r="G11" s="314">
        <v>0.0</v>
      </c>
      <c r="H11" s="315"/>
    </row>
    <row r="12">
      <c r="A12" s="6" t="s">
        <v>171</v>
      </c>
      <c r="B12" s="6" t="s">
        <v>1076</v>
      </c>
      <c r="C12" s="6" t="s">
        <v>1077</v>
      </c>
      <c r="D12" s="313">
        <v>0.05</v>
      </c>
      <c r="F12" s="314">
        <v>420.7</v>
      </c>
      <c r="G12" s="314">
        <v>50.0</v>
      </c>
      <c r="H12" s="315">
        <f>F12*40%+G12</f>
        <v>218.28</v>
      </c>
    </row>
    <row r="13">
      <c r="F13" s="163"/>
      <c r="G13" s="163"/>
      <c r="H13" s="315"/>
    </row>
    <row r="14">
      <c r="F14" s="163"/>
      <c r="G14" s="163"/>
      <c r="H14" s="315"/>
    </row>
    <row r="15">
      <c r="A15" s="224"/>
      <c r="B15" s="224"/>
      <c r="F15" s="163"/>
      <c r="G15" s="163"/>
      <c r="H15" s="315"/>
    </row>
    <row r="16">
      <c r="A16" s="224"/>
      <c r="B16" s="224"/>
      <c r="F16" s="163"/>
      <c r="G16" s="163"/>
      <c r="H16" s="315"/>
    </row>
    <row r="17">
      <c r="F17" s="163"/>
      <c r="G17" s="163"/>
      <c r="H17" s="315"/>
    </row>
    <row r="18">
      <c r="F18" s="163"/>
      <c r="G18" s="163"/>
      <c r="H18" s="315"/>
    </row>
    <row r="19">
      <c r="F19" s="163"/>
      <c r="G19" s="163"/>
      <c r="H19" s="315"/>
    </row>
    <row r="20">
      <c r="F20" s="163"/>
      <c r="G20" s="163"/>
      <c r="H20" s="315"/>
    </row>
    <row r="21">
      <c r="F21" s="163"/>
      <c r="G21" s="163"/>
      <c r="H21" s="315"/>
    </row>
    <row r="22">
      <c r="F22" s="163"/>
      <c r="G22" s="163"/>
      <c r="H22" s="315"/>
    </row>
    <row r="23">
      <c r="F23" s="163"/>
      <c r="G23" s="163"/>
      <c r="H23" s="315"/>
    </row>
    <row r="24">
      <c r="F24" s="163"/>
      <c r="G24" s="163"/>
      <c r="H24" s="315"/>
    </row>
    <row r="25">
      <c r="F25" s="163"/>
      <c r="G25" s="163"/>
      <c r="H25" s="315"/>
    </row>
    <row r="26">
      <c r="C26" s="6" t="s">
        <v>1078</v>
      </c>
      <c r="F26" s="163"/>
      <c r="G26" s="163"/>
      <c r="H26" s="315"/>
    </row>
    <row r="27">
      <c r="C27" s="6" t="s">
        <v>1079</v>
      </c>
      <c r="D27" s="6" t="s">
        <v>1080</v>
      </c>
      <c r="E27" s="6" t="s">
        <v>1078</v>
      </c>
      <c r="F27" s="163"/>
      <c r="G27" s="163"/>
      <c r="H27" s="315"/>
    </row>
    <row r="28">
      <c r="C28" s="6">
        <v>10.0</v>
      </c>
      <c r="D28" s="6">
        <v>4.0</v>
      </c>
      <c r="E28" s="5">
        <f t="shared" ref="E28:E32" si="1">D28*C28*0.07</f>
        <v>2.8</v>
      </c>
      <c r="F28" s="163"/>
      <c r="G28" s="163"/>
      <c r="H28" s="315"/>
    </row>
    <row r="29">
      <c r="C29" s="6">
        <v>20.0</v>
      </c>
      <c r="D29" s="6">
        <v>16.0</v>
      </c>
      <c r="E29" s="5">
        <f t="shared" si="1"/>
        <v>22.4</v>
      </c>
      <c r="F29" s="163"/>
      <c r="G29" s="163"/>
      <c r="H29" s="315"/>
    </row>
    <row r="30">
      <c r="C30" s="6">
        <v>50.0</v>
      </c>
      <c r="D30" s="6">
        <v>113.0</v>
      </c>
      <c r="E30" s="5">
        <f t="shared" si="1"/>
        <v>395.5</v>
      </c>
      <c r="F30" s="163"/>
      <c r="G30" s="163"/>
      <c r="H30" s="315"/>
    </row>
    <row r="31">
      <c r="E31" s="5">
        <f t="shared" si="1"/>
        <v>0</v>
      </c>
      <c r="F31" s="163"/>
      <c r="G31" s="163"/>
      <c r="H31" s="315"/>
    </row>
    <row r="32">
      <c r="E32" s="5">
        <f t="shared" si="1"/>
        <v>0</v>
      </c>
      <c r="F32" s="163"/>
      <c r="G32" s="163"/>
      <c r="H32" s="315"/>
    </row>
    <row r="33">
      <c r="E33" s="5">
        <f>SUM(E28:E32)</f>
        <v>420.7</v>
      </c>
      <c r="F33" s="163"/>
      <c r="G33" s="163"/>
      <c r="H33" s="315"/>
    </row>
    <row r="34">
      <c r="F34" s="163"/>
      <c r="G34" s="163"/>
      <c r="H34" s="315"/>
    </row>
    <row r="35">
      <c r="F35" s="163"/>
      <c r="G35" s="163"/>
      <c r="H35" s="315"/>
    </row>
    <row r="36">
      <c r="F36" s="163"/>
      <c r="G36" s="163"/>
      <c r="H36" s="315"/>
    </row>
    <row r="37">
      <c r="F37" s="163"/>
      <c r="G37" s="163"/>
      <c r="H37" s="315"/>
    </row>
    <row r="38">
      <c r="F38" s="163"/>
      <c r="G38" s="163"/>
      <c r="H38" s="315"/>
    </row>
    <row r="39">
      <c r="F39" s="163"/>
      <c r="G39" s="163"/>
      <c r="H39" s="315"/>
    </row>
    <row r="40">
      <c r="F40" s="163"/>
      <c r="G40" s="163"/>
      <c r="H40" s="315"/>
    </row>
    <row r="41">
      <c r="F41" s="163"/>
      <c r="G41" s="163"/>
      <c r="H41" s="315"/>
    </row>
    <row r="42">
      <c r="F42" s="163"/>
      <c r="G42" s="163"/>
      <c r="H42" s="315"/>
    </row>
    <row r="43">
      <c r="F43" s="163"/>
      <c r="G43" s="163"/>
      <c r="H43" s="315"/>
    </row>
    <row r="44">
      <c r="F44" s="163"/>
      <c r="G44" s="163"/>
      <c r="H44" s="315"/>
    </row>
    <row r="45">
      <c r="F45" s="163"/>
      <c r="G45" s="163"/>
      <c r="H45" s="315"/>
    </row>
    <row r="46">
      <c r="F46" s="163"/>
      <c r="G46" s="163"/>
      <c r="H46" s="315"/>
    </row>
    <row r="47">
      <c r="F47" s="163"/>
      <c r="G47" s="163"/>
      <c r="H47" s="315"/>
    </row>
    <row r="48">
      <c r="F48" s="163"/>
      <c r="G48" s="163"/>
      <c r="H48" s="315"/>
    </row>
    <row r="49">
      <c r="F49" s="163"/>
      <c r="G49" s="163"/>
      <c r="H49" s="315"/>
    </row>
    <row r="50">
      <c r="F50" s="163"/>
      <c r="G50" s="163"/>
      <c r="H50" s="315"/>
    </row>
    <row r="51">
      <c r="F51" s="163"/>
      <c r="G51" s="163"/>
      <c r="H51" s="315"/>
    </row>
    <row r="52">
      <c r="F52" s="163"/>
      <c r="G52" s="163"/>
      <c r="H52" s="315"/>
    </row>
    <row r="53">
      <c r="F53" s="163"/>
      <c r="G53" s="163"/>
      <c r="H53" s="315"/>
    </row>
    <row r="54">
      <c r="F54" s="163"/>
      <c r="G54" s="163"/>
      <c r="H54" s="315"/>
    </row>
    <row r="55">
      <c r="F55" s="163"/>
      <c r="G55" s="163"/>
      <c r="H55" s="315"/>
    </row>
    <row r="56">
      <c r="F56" s="163"/>
      <c r="G56" s="163"/>
      <c r="H56" s="315"/>
    </row>
    <row r="57">
      <c r="F57" s="163"/>
      <c r="G57" s="163"/>
      <c r="H57" s="315"/>
    </row>
    <row r="58">
      <c r="F58" s="163"/>
      <c r="G58" s="163"/>
      <c r="H58" s="315"/>
    </row>
    <row r="59">
      <c r="F59" s="163"/>
      <c r="G59" s="163"/>
      <c r="H59" s="315"/>
    </row>
    <row r="60">
      <c r="F60" s="163"/>
      <c r="G60" s="163"/>
      <c r="H60" s="315"/>
    </row>
    <row r="61">
      <c r="F61" s="163"/>
      <c r="G61" s="163"/>
      <c r="H61" s="315"/>
    </row>
    <row r="62">
      <c r="F62" s="163"/>
      <c r="G62" s="163"/>
      <c r="H62" s="315"/>
    </row>
    <row r="63">
      <c r="F63" s="163"/>
      <c r="G63" s="163"/>
      <c r="H63" s="315"/>
    </row>
    <row r="64">
      <c r="F64" s="163"/>
      <c r="G64" s="163"/>
      <c r="H64" s="315"/>
    </row>
    <row r="65">
      <c r="F65" s="163"/>
      <c r="G65" s="163"/>
      <c r="H65" s="315"/>
    </row>
    <row r="66">
      <c r="F66" s="163"/>
      <c r="G66" s="163"/>
      <c r="H66" s="315"/>
    </row>
    <row r="67">
      <c r="F67" s="163"/>
      <c r="G67" s="163"/>
      <c r="H67" s="315"/>
    </row>
    <row r="68">
      <c r="F68" s="163"/>
      <c r="G68" s="163"/>
      <c r="H68" s="315"/>
    </row>
    <row r="69">
      <c r="F69" s="163"/>
      <c r="G69" s="163"/>
      <c r="H69" s="315"/>
    </row>
    <row r="70">
      <c r="F70" s="163"/>
      <c r="G70" s="163"/>
      <c r="H70" s="315"/>
    </row>
    <row r="71">
      <c r="F71" s="163"/>
      <c r="G71" s="163"/>
      <c r="H71" s="315"/>
    </row>
    <row r="72">
      <c r="F72" s="163"/>
      <c r="G72" s="163"/>
      <c r="H72" s="315"/>
    </row>
    <row r="73">
      <c r="F73" s="163"/>
      <c r="G73" s="163"/>
      <c r="H73" s="315"/>
    </row>
    <row r="74">
      <c r="F74" s="163"/>
      <c r="G74" s="163"/>
      <c r="H74" s="315"/>
    </row>
    <row r="75">
      <c r="F75" s="163"/>
      <c r="G75" s="163"/>
      <c r="H75" s="315"/>
    </row>
    <row r="76">
      <c r="F76" s="163"/>
      <c r="G76" s="163"/>
      <c r="H76" s="315"/>
    </row>
    <row r="77">
      <c r="F77" s="163"/>
      <c r="G77" s="163"/>
      <c r="H77" s="315"/>
    </row>
    <row r="78">
      <c r="F78" s="163"/>
      <c r="G78" s="163"/>
      <c r="H78" s="315"/>
    </row>
    <row r="79">
      <c r="F79" s="163"/>
      <c r="G79" s="163"/>
      <c r="H79" s="315"/>
    </row>
    <row r="80">
      <c r="F80" s="163"/>
      <c r="G80" s="163"/>
      <c r="H80" s="315"/>
    </row>
    <row r="81">
      <c r="F81" s="163"/>
      <c r="G81" s="163"/>
      <c r="H81" s="315"/>
    </row>
    <row r="82">
      <c r="F82" s="163"/>
      <c r="G82" s="163"/>
      <c r="H82" s="315"/>
    </row>
    <row r="83">
      <c r="F83" s="163"/>
      <c r="G83" s="163"/>
      <c r="H83" s="315"/>
    </row>
    <row r="84">
      <c r="F84" s="163"/>
      <c r="G84" s="163"/>
      <c r="H84" s="315"/>
    </row>
    <row r="85">
      <c r="F85" s="163"/>
      <c r="G85" s="163"/>
      <c r="H85" s="315"/>
    </row>
    <row r="86">
      <c r="F86" s="163"/>
      <c r="G86" s="163"/>
      <c r="H86" s="315"/>
    </row>
    <row r="87">
      <c r="F87" s="163"/>
      <c r="G87" s="163"/>
      <c r="H87" s="315"/>
    </row>
    <row r="88">
      <c r="F88" s="163"/>
      <c r="G88" s="163"/>
      <c r="H88" s="315"/>
    </row>
    <row r="89">
      <c r="F89" s="163"/>
      <c r="G89" s="163"/>
      <c r="H89" s="315"/>
    </row>
    <row r="90">
      <c r="F90" s="163"/>
      <c r="G90" s="163"/>
      <c r="H90" s="315"/>
    </row>
    <row r="91">
      <c r="F91" s="163"/>
      <c r="G91" s="163"/>
      <c r="H91" s="315"/>
    </row>
    <row r="92">
      <c r="F92" s="163"/>
      <c r="G92" s="163"/>
      <c r="H92" s="315"/>
    </row>
    <row r="93">
      <c r="F93" s="163"/>
      <c r="G93" s="163"/>
      <c r="H93" s="315"/>
    </row>
    <row r="94">
      <c r="F94" s="163"/>
      <c r="G94" s="163"/>
      <c r="H94" s="315"/>
    </row>
    <row r="95">
      <c r="F95" s="163"/>
      <c r="G95" s="163"/>
      <c r="H95" s="315"/>
    </row>
    <row r="96">
      <c r="F96" s="163"/>
      <c r="G96" s="163"/>
      <c r="H96" s="315"/>
    </row>
    <row r="97">
      <c r="F97" s="163"/>
      <c r="G97" s="163"/>
      <c r="H97" s="315"/>
    </row>
    <row r="98">
      <c r="F98" s="163"/>
      <c r="G98" s="163"/>
      <c r="H98" s="315"/>
    </row>
    <row r="99">
      <c r="F99" s="163"/>
      <c r="G99" s="163"/>
      <c r="H99" s="315"/>
    </row>
    <row r="100">
      <c r="F100" s="163"/>
      <c r="G100" s="163"/>
      <c r="H100" s="315"/>
    </row>
    <row r="101">
      <c r="F101" s="163"/>
      <c r="G101" s="163"/>
      <c r="H101" s="315"/>
    </row>
    <row r="102">
      <c r="F102" s="163"/>
      <c r="G102" s="163"/>
      <c r="H102" s="315"/>
    </row>
    <row r="103">
      <c r="F103" s="163"/>
      <c r="G103" s="163"/>
      <c r="H103" s="315"/>
    </row>
    <row r="104">
      <c r="F104" s="163"/>
      <c r="G104" s="163"/>
      <c r="H104" s="315"/>
    </row>
    <row r="105">
      <c r="F105" s="163"/>
      <c r="G105" s="163"/>
      <c r="H105" s="315"/>
    </row>
    <row r="106">
      <c r="F106" s="163"/>
      <c r="G106" s="163"/>
      <c r="H106" s="315"/>
    </row>
    <row r="107">
      <c r="F107" s="163"/>
      <c r="G107" s="163"/>
      <c r="H107" s="315"/>
    </row>
    <row r="108">
      <c r="F108" s="163"/>
      <c r="G108" s="163"/>
      <c r="H108" s="315"/>
    </row>
    <row r="109">
      <c r="F109" s="163"/>
      <c r="G109" s="163"/>
      <c r="H109" s="315"/>
    </row>
    <row r="110">
      <c r="F110" s="163"/>
      <c r="G110" s="163"/>
      <c r="H110" s="315"/>
    </row>
    <row r="111">
      <c r="F111" s="163"/>
      <c r="G111" s="163"/>
      <c r="H111" s="315"/>
    </row>
    <row r="112">
      <c r="F112" s="163"/>
      <c r="G112" s="163"/>
      <c r="H112" s="315"/>
    </row>
    <row r="113">
      <c r="F113" s="163"/>
      <c r="G113" s="163"/>
      <c r="H113" s="315"/>
    </row>
    <row r="114">
      <c r="F114" s="163"/>
      <c r="G114" s="163"/>
      <c r="H114" s="315"/>
    </row>
    <row r="115">
      <c r="F115" s="163"/>
      <c r="G115" s="163"/>
      <c r="H115" s="315"/>
    </row>
    <row r="116">
      <c r="F116" s="163"/>
      <c r="G116" s="163"/>
      <c r="H116" s="315"/>
    </row>
    <row r="117">
      <c r="F117" s="163"/>
      <c r="G117" s="163"/>
      <c r="H117" s="315"/>
    </row>
    <row r="118">
      <c r="F118" s="163"/>
      <c r="G118" s="163"/>
      <c r="H118" s="315"/>
    </row>
    <row r="119">
      <c r="F119" s="163"/>
      <c r="G119" s="163"/>
      <c r="H119" s="315"/>
    </row>
    <row r="120">
      <c r="F120" s="163"/>
      <c r="G120" s="163"/>
      <c r="H120" s="315"/>
    </row>
    <row r="121">
      <c r="F121" s="163"/>
      <c r="G121" s="163"/>
      <c r="H121" s="315"/>
    </row>
    <row r="122">
      <c r="F122" s="163"/>
      <c r="G122" s="163"/>
      <c r="H122" s="315"/>
    </row>
    <row r="123">
      <c r="F123" s="163"/>
      <c r="G123" s="163"/>
      <c r="H123" s="315"/>
    </row>
    <row r="124">
      <c r="F124" s="163"/>
      <c r="G124" s="163"/>
      <c r="H124" s="315"/>
    </row>
    <row r="125">
      <c r="F125" s="163"/>
      <c r="G125" s="163"/>
      <c r="H125" s="315"/>
    </row>
    <row r="126">
      <c r="F126" s="163"/>
      <c r="G126" s="163"/>
      <c r="H126" s="315"/>
    </row>
    <row r="127">
      <c r="F127" s="163"/>
      <c r="G127" s="163"/>
      <c r="H127" s="315"/>
    </row>
    <row r="128">
      <c r="F128" s="163"/>
      <c r="G128" s="163"/>
      <c r="H128" s="315"/>
    </row>
    <row r="129">
      <c r="F129" s="163"/>
      <c r="G129" s="163"/>
      <c r="H129" s="315"/>
    </row>
    <row r="130">
      <c r="F130" s="163"/>
      <c r="G130" s="163"/>
      <c r="H130" s="315"/>
    </row>
    <row r="131">
      <c r="F131" s="163"/>
      <c r="G131" s="163"/>
      <c r="H131" s="315"/>
    </row>
    <row r="132">
      <c r="F132" s="163"/>
      <c r="G132" s="163"/>
      <c r="H132" s="315"/>
    </row>
    <row r="133">
      <c r="F133" s="163"/>
      <c r="G133" s="163"/>
      <c r="H133" s="315"/>
    </row>
    <row r="134">
      <c r="F134" s="163"/>
      <c r="G134" s="163"/>
      <c r="H134" s="315"/>
    </row>
    <row r="135">
      <c r="F135" s="163"/>
      <c r="G135" s="163"/>
      <c r="H135" s="315"/>
    </row>
    <row r="136">
      <c r="F136" s="163"/>
      <c r="G136" s="163"/>
      <c r="H136" s="315"/>
    </row>
    <row r="137">
      <c r="F137" s="163"/>
      <c r="G137" s="163"/>
      <c r="H137" s="315"/>
    </row>
    <row r="138">
      <c r="F138" s="163"/>
      <c r="G138" s="163"/>
      <c r="H138" s="315"/>
    </row>
    <row r="139">
      <c r="F139" s="163"/>
      <c r="G139" s="163"/>
      <c r="H139" s="315"/>
    </row>
    <row r="140">
      <c r="F140" s="163"/>
      <c r="G140" s="163"/>
      <c r="H140" s="315"/>
    </row>
    <row r="141">
      <c r="F141" s="163"/>
      <c r="G141" s="163"/>
      <c r="H141" s="315"/>
    </row>
    <row r="142">
      <c r="F142" s="163"/>
      <c r="G142" s="163"/>
      <c r="H142" s="315"/>
    </row>
    <row r="143">
      <c r="F143" s="163"/>
      <c r="G143" s="163"/>
      <c r="H143" s="315"/>
    </row>
    <row r="144">
      <c r="F144" s="163"/>
      <c r="G144" s="163"/>
      <c r="H144" s="315"/>
    </row>
    <row r="145">
      <c r="F145" s="163"/>
      <c r="G145" s="163"/>
      <c r="H145" s="315"/>
    </row>
    <row r="146">
      <c r="F146" s="163"/>
      <c r="G146" s="163"/>
      <c r="H146" s="315"/>
    </row>
    <row r="147">
      <c r="F147" s="163"/>
      <c r="G147" s="163"/>
      <c r="H147" s="315"/>
    </row>
    <row r="148">
      <c r="F148" s="163"/>
      <c r="G148" s="163"/>
      <c r="H148" s="315"/>
    </row>
    <row r="149">
      <c r="F149" s="163"/>
      <c r="G149" s="163"/>
      <c r="H149" s="315"/>
    </row>
    <row r="150">
      <c r="F150" s="163"/>
      <c r="G150" s="163"/>
      <c r="H150" s="315"/>
    </row>
    <row r="151">
      <c r="F151" s="163"/>
      <c r="G151" s="163"/>
      <c r="H151" s="315"/>
    </row>
    <row r="152">
      <c r="F152" s="163"/>
      <c r="G152" s="163"/>
      <c r="H152" s="315"/>
    </row>
    <row r="153">
      <c r="F153" s="163"/>
      <c r="G153" s="163"/>
      <c r="H153" s="315"/>
    </row>
    <row r="154">
      <c r="F154" s="163"/>
      <c r="G154" s="163"/>
      <c r="H154" s="315"/>
    </row>
    <row r="155">
      <c r="F155" s="163"/>
      <c r="G155" s="163"/>
      <c r="H155" s="315"/>
    </row>
    <row r="156">
      <c r="F156" s="163"/>
      <c r="G156" s="163"/>
      <c r="H156" s="315"/>
    </row>
    <row r="157">
      <c r="F157" s="163"/>
      <c r="G157" s="163"/>
      <c r="H157" s="315"/>
    </row>
    <row r="158">
      <c r="F158" s="163"/>
      <c r="G158" s="163"/>
      <c r="H158" s="315"/>
    </row>
    <row r="159">
      <c r="F159" s="163"/>
      <c r="G159" s="163"/>
      <c r="H159" s="315"/>
    </row>
    <row r="160">
      <c r="F160" s="163"/>
      <c r="G160" s="163"/>
      <c r="H160" s="315"/>
    </row>
    <row r="161">
      <c r="F161" s="163"/>
      <c r="G161" s="163"/>
      <c r="H161" s="315"/>
    </row>
    <row r="162">
      <c r="F162" s="163"/>
      <c r="G162" s="163"/>
      <c r="H162" s="315"/>
    </row>
    <row r="163">
      <c r="F163" s="163"/>
      <c r="G163" s="163"/>
      <c r="H163" s="315"/>
    </row>
    <row r="164">
      <c r="F164" s="163"/>
      <c r="G164" s="163"/>
      <c r="H164" s="315"/>
    </row>
    <row r="165">
      <c r="F165" s="163"/>
      <c r="G165" s="163"/>
      <c r="H165" s="315"/>
    </row>
    <row r="166">
      <c r="F166" s="163"/>
      <c r="G166" s="163"/>
      <c r="H166" s="315"/>
    </row>
    <row r="167">
      <c r="F167" s="163"/>
      <c r="G167" s="163"/>
      <c r="H167" s="315"/>
    </row>
    <row r="168">
      <c r="F168" s="163"/>
      <c r="G168" s="163"/>
      <c r="H168" s="315"/>
    </row>
    <row r="169">
      <c r="F169" s="163"/>
      <c r="G169" s="163"/>
      <c r="H169" s="315"/>
    </row>
    <row r="170">
      <c r="F170" s="163"/>
      <c r="G170" s="163"/>
      <c r="H170" s="315"/>
    </row>
    <row r="171">
      <c r="F171" s="163"/>
      <c r="G171" s="163"/>
      <c r="H171" s="315"/>
    </row>
    <row r="172">
      <c r="F172" s="163"/>
      <c r="G172" s="163"/>
      <c r="H172" s="315"/>
    </row>
    <row r="173">
      <c r="F173" s="163"/>
      <c r="G173" s="163"/>
      <c r="H173" s="315"/>
    </row>
    <row r="174">
      <c r="F174" s="163"/>
      <c r="G174" s="163"/>
      <c r="H174" s="315"/>
    </row>
    <row r="175">
      <c r="F175" s="163"/>
      <c r="G175" s="163"/>
      <c r="H175" s="315"/>
    </row>
    <row r="176">
      <c r="F176" s="163"/>
      <c r="G176" s="163"/>
      <c r="H176" s="315"/>
    </row>
    <row r="177">
      <c r="F177" s="163"/>
      <c r="G177" s="163"/>
      <c r="H177" s="315"/>
    </row>
    <row r="178">
      <c r="F178" s="163"/>
      <c r="G178" s="163"/>
      <c r="H178" s="315"/>
    </row>
    <row r="179">
      <c r="F179" s="163"/>
      <c r="G179" s="163"/>
      <c r="H179" s="315"/>
    </row>
    <row r="180">
      <c r="F180" s="163"/>
      <c r="G180" s="163"/>
      <c r="H180" s="315"/>
    </row>
    <row r="181">
      <c r="F181" s="163"/>
      <c r="G181" s="163"/>
      <c r="H181" s="315"/>
    </row>
    <row r="182">
      <c r="F182" s="163"/>
      <c r="G182" s="163"/>
      <c r="H182" s="315"/>
    </row>
    <row r="183">
      <c r="F183" s="163"/>
      <c r="G183" s="163"/>
      <c r="H183" s="315"/>
    </row>
    <row r="184">
      <c r="F184" s="163"/>
      <c r="G184" s="163"/>
      <c r="H184" s="315"/>
    </row>
    <row r="185">
      <c r="F185" s="163"/>
      <c r="G185" s="163"/>
      <c r="H185" s="315"/>
    </row>
    <row r="186">
      <c r="F186" s="163"/>
      <c r="G186" s="163"/>
      <c r="H186" s="315"/>
    </row>
    <row r="187">
      <c r="F187" s="163"/>
      <c r="G187" s="163"/>
      <c r="H187" s="315"/>
    </row>
    <row r="188">
      <c r="F188" s="163"/>
      <c r="G188" s="163"/>
      <c r="H188" s="315"/>
    </row>
    <row r="189">
      <c r="F189" s="163"/>
      <c r="G189" s="163"/>
      <c r="H189" s="315"/>
    </row>
    <row r="190">
      <c r="F190" s="163"/>
      <c r="G190" s="163"/>
      <c r="H190" s="315"/>
    </row>
    <row r="191">
      <c r="F191" s="163"/>
      <c r="G191" s="163"/>
      <c r="H191" s="315"/>
    </row>
    <row r="192">
      <c r="F192" s="163"/>
      <c r="G192" s="163"/>
      <c r="H192" s="315"/>
    </row>
    <row r="193">
      <c r="F193" s="163"/>
      <c r="G193" s="163"/>
      <c r="H193" s="315"/>
    </row>
    <row r="194">
      <c r="F194" s="163"/>
      <c r="G194" s="163"/>
      <c r="H194" s="315"/>
    </row>
    <row r="195">
      <c r="F195" s="163"/>
      <c r="G195" s="163"/>
      <c r="H195" s="315"/>
    </row>
    <row r="196">
      <c r="F196" s="163"/>
      <c r="G196" s="163"/>
      <c r="H196" s="315"/>
    </row>
    <row r="197">
      <c r="F197" s="163"/>
      <c r="G197" s="163"/>
      <c r="H197" s="315"/>
    </row>
    <row r="198">
      <c r="F198" s="163"/>
      <c r="G198" s="163"/>
      <c r="H198" s="315"/>
    </row>
    <row r="199">
      <c r="F199" s="163"/>
      <c r="G199" s="163"/>
      <c r="H199" s="315"/>
    </row>
    <row r="200">
      <c r="F200" s="163"/>
      <c r="G200" s="163"/>
      <c r="H200" s="315"/>
    </row>
    <row r="201">
      <c r="F201" s="163"/>
      <c r="G201" s="163"/>
      <c r="H201" s="315"/>
    </row>
    <row r="202">
      <c r="F202" s="163"/>
      <c r="G202" s="163"/>
      <c r="H202" s="315"/>
    </row>
    <row r="203">
      <c r="F203" s="163"/>
      <c r="G203" s="163"/>
      <c r="H203" s="315"/>
    </row>
    <row r="204">
      <c r="F204" s="163"/>
      <c r="G204" s="163"/>
      <c r="H204" s="315"/>
    </row>
    <row r="205">
      <c r="F205" s="163"/>
      <c r="G205" s="163"/>
      <c r="H205" s="315"/>
    </row>
    <row r="206">
      <c r="F206" s="163"/>
      <c r="G206" s="163"/>
      <c r="H206" s="315"/>
    </row>
    <row r="207">
      <c r="F207" s="163"/>
      <c r="G207" s="163"/>
      <c r="H207" s="315"/>
    </row>
    <row r="208">
      <c r="F208" s="163"/>
      <c r="G208" s="163"/>
      <c r="H208" s="315"/>
    </row>
    <row r="209">
      <c r="F209" s="163"/>
      <c r="G209" s="163"/>
      <c r="H209" s="315"/>
    </row>
    <row r="210">
      <c r="F210" s="163"/>
      <c r="G210" s="163"/>
      <c r="H210" s="315"/>
    </row>
    <row r="211">
      <c r="F211" s="163"/>
      <c r="G211" s="163"/>
      <c r="H211" s="315"/>
    </row>
    <row r="212">
      <c r="F212" s="163"/>
      <c r="G212" s="163"/>
      <c r="H212" s="315"/>
    </row>
    <row r="213">
      <c r="F213" s="163"/>
      <c r="G213" s="163"/>
      <c r="H213" s="315"/>
    </row>
    <row r="214">
      <c r="F214" s="163"/>
      <c r="G214" s="163"/>
      <c r="H214" s="315"/>
    </row>
    <row r="215">
      <c r="F215" s="163"/>
      <c r="G215" s="163"/>
      <c r="H215" s="315"/>
    </row>
    <row r="216">
      <c r="F216" s="163"/>
      <c r="G216" s="163"/>
      <c r="H216" s="315"/>
    </row>
    <row r="217">
      <c r="F217" s="163"/>
      <c r="G217" s="163"/>
      <c r="H217" s="315"/>
    </row>
    <row r="218">
      <c r="F218" s="163"/>
      <c r="G218" s="163"/>
      <c r="H218" s="315"/>
    </row>
    <row r="219">
      <c r="F219" s="163"/>
      <c r="G219" s="163"/>
      <c r="H219" s="315"/>
    </row>
    <row r="220">
      <c r="F220" s="163"/>
      <c r="G220" s="163"/>
      <c r="H220" s="315"/>
    </row>
    <row r="221">
      <c r="F221" s="163"/>
      <c r="G221" s="163"/>
      <c r="H221" s="315"/>
    </row>
    <row r="222">
      <c r="F222" s="163"/>
      <c r="G222" s="163"/>
      <c r="H222" s="315"/>
    </row>
    <row r="223">
      <c r="F223" s="163"/>
      <c r="G223" s="163"/>
      <c r="H223" s="315"/>
    </row>
    <row r="224">
      <c r="F224" s="163"/>
      <c r="G224" s="163"/>
      <c r="H224" s="315"/>
    </row>
    <row r="225">
      <c r="F225" s="163"/>
      <c r="G225" s="163"/>
      <c r="H225" s="315"/>
    </row>
    <row r="226">
      <c r="F226" s="163"/>
      <c r="G226" s="163"/>
      <c r="H226" s="315"/>
    </row>
    <row r="227">
      <c r="F227" s="163"/>
      <c r="G227" s="163"/>
      <c r="H227" s="315"/>
    </row>
    <row r="228">
      <c r="F228" s="163"/>
      <c r="G228" s="163"/>
      <c r="H228" s="315"/>
    </row>
    <row r="229">
      <c r="F229" s="163"/>
      <c r="G229" s="163"/>
      <c r="H229" s="315"/>
    </row>
    <row r="230">
      <c r="F230" s="163"/>
      <c r="G230" s="163"/>
      <c r="H230" s="315"/>
    </row>
    <row r="231">
      <c r="F231" s="163"/>
      <c r="G231" s="163"/>
      <c r="H231" s="315"/>
    </row>
    <row r="232">
      <c r="F232" s="163"/>
      <c r="G232" s="163"/>
      <c r="H232" s="315"/>
    </row>
    <row r="233">
      <c r="F233" s="163"/>
      <c r="G233" s="163"/>
      <c r="H233" s="315"/>
    </row>
    <row r="234">
      <c r="F234" s="163"/>
      <c r="G234" s="163"/>
      <c r="H234" s="315"/>
    </row>
    <row r="235">
      <c r="F235" s="163"/>
      <c r="G235" s="163"/>
      <c r="H235" s="315"/>
    </row>
    <row r="236">
      <c r="F236" s="163"/>
      <c r="G236" s="163"/>
      <c r="H236" s="315"/>
    </row>
    <row r="237">
      <c r="F237" s="163"/>
      <c r="G237" s="163"/>
      <c r="H237" s="315"/>
    </row>
    <row r="238">
      <c r="F238" s="163"/>
      <c r="G238" s="163"/>
      <c r="H238" s="315"/>
    </row>
    <row r="239">
      <c r="F239" s="163"/>
      <c r="G239" s="163"/>
      <c r="H239" s="315"/>
    </row>
    <row r="240">
      <c r="F240" s="163"/>
      <c r="G240" s="163"/>
      <c r="H240" s="315"/>
    </row>
    <row r="241">
      <c r="F241" s="163"/>
      <c r="G241" s="163"/>
      <c r="H241" s="315"/>
    </row>
    <row r="242">
      <c r="F242" s="163"/>
      <c r="G242" s="163"/>
      <c r="H242" s="315"/>
    </row>
    <row r="243">
      <c r="F243" s="163"/>
      <c r="G243" s="163"/>
      <c r="H243" s="315"/>
    </row>
    <row r="244">
      <c r="F244" s="163"/>
      <c r="G244" s="163"/>
      <c r="H244" s="315"/>
    </row>
    <row r="245">
      <c r="F245" s="163"/>
      <c r="G245" s="163"/>
      <c r="H245" s="315"/>
    </row>
    <row r="246">
      <c r="F246" s="163"/>
      <c r="G246" s="163"/>
      <c r="H246" s="315"/>
    </row>
    <row r="247">
      <c r="F247" s="163"/>
      <c r="G247" s="163"/>
      <c r="H247" s="315"/>
    </row>
    <row r="248">
      <c r="F248" s="163"/>
      <c r="G248" s="163"/>
      <c r="H248" s="315"/>
    </row>
    <row r="249">
      <c r="F249" s="163"/>
      <c r="G249" s="163"/>
      <c r="H249" s="315"/>
    </row>
    <row r="250">
      <c r="F250" s="163"/>
      <c r="G250" s="163"/>
      <c r="H250" s="315"/>
    </row>
    <row r="251">
      <c r="F251" s="163"/>
      <c r="G251" s="163"/>
      <c r="H251" s="315"/>
    </row>
    <row r="252">
      <c r="F252" s="163"/>
      <c r="G252" s="163"/>
      <c r="H252" s="315"/>
    </row>
    <row r="253">
      <c r="F253" s="163"/>
      <c r="G253" s="163"/>
      <c r="H253" s="315"/>
    </row>
    <row r="254">
      <c r="F254" s="163"/>
      <c r="G254" s="163"/>
      <c r="H254" s="315"/>
    </row>
    <row r="255">
      <c r="F255" s="163"/>
      <c r="G255" s="163"/>
      <c r="H255" s="315"/>
    </row>
    <row r="256">
      <c r="F256" s="163"/>
      <c r="G256" s="163"/>
      <c r="H256" s="315"/>
    </row>
    <row r="257">
      <c r="F257" s="163"/>
      <c r="G257" s="163"/>
      <c r="H257" s="315"/>
    </row>
    <row r="258">
      <c r="F258" s="163"/>
      <c r="G258" s="163"/>
      <c r="H258" s="315"/>
    </row>
    <row r="259">
      <c r="F259" s="163"/>
      <c r="G259" s="163"/>
      <c r="H259" s="315"/>
    </row>
    <row r="260">
      <c r="F260" s="163"/>
      <c r="G260" s="163"/>
      <c r="H260" s="315"/>
    </row>
    <row r="261">
      <c r="F261" s="163"/>
      <c r="G261" s="163"/>
      <c r="H261" s="315"/>
    </row>
    <row r="262">
      <c r="F262" s="163"/>
      <c r="G262" s="163"/>
      <c r="H262" s="315"/>
    </row>
    <row r="263">
      <c r="F263" s="163"/>
      <c r="G263" s="163"/>
      <c r="H263" s="315"/>
    </row>
    <row r="264">
      <c r="F264" s="163"/>
      <c r="G264" s="163"/>
      <c r="H264" s="315"/>
    </row>
    <row r="265">
      <c r="F265" s="163"/>
      <c r="G265" s="163"/>
      <c r="H265" s="315"/>
    </row>
    <row r="266">
      <c r="F266" s="163"/>
      <c r="G266" s="163"/>
      <c r="H266" s="315"/>
    </row>
    <row r="267">
      <c r="F267" s="163"/>
      <c r="G267" s="163"/>
      <c r="H267" s="315"/>
    </row>
    <row r="268">
      <c r="F268" s="163"/>
      <c r="G268" s="163"/>
      <c r="H268" s="315"/>
    </row>
    <row r="269">
      <c r="F269" s="163"/>
      <c r="G269" s="163"/>
      <c r="H269" s="315"/>
    </row>
    <row r="270">
      <c r="F270" s="163"/>
      <c r="G270" s="163"/>
      <c r="H270" s="315"/>
    </row>
    <row r="271">
      <c r="F271" s="163"/>
      <c r="G271" s="163"/>
      <c r="H271" s="315"/>
    </row>
    <row r="272">
      <c r="F272" s="163"/>
      <c r="G272" s="163"/>
      <c r="H272" s="315"/>
    </row>
    <row r="273">
      <c r="F273" s="163"/>
      <c r="G273" s="163"/>
      <c r="H273" s="315"/>
    </row>
    <row r="274">
      <c r="F274" s="163"/>
      <c r="G274" s="163"/>
      <c r="H274" s="315"/>
    </row>
    <row r="275">
      <c r="F275" s="163"/>
      <c r="G275" s="163"/>
      <c r="H275" s="315"/>
    </row>
    <row r="276">
      <c r="F276" s="163"/>
      <c r="G276" s="163"/>
      <c r="H276" s="315"/>
    </row>
    <row r="277">
      <c r="F277" s="163"/>
      <c r="G277" s="163"/>
      <c r="H277" s="315"/>
    </row>
    <row r="278">
      <c r="F278" s="163"/>
      <c r="G278" s="163"/>
      <c r="H278" s="315"/>
    </row>
    <row r="279">
      <c r="F279" s="163"/>
      <c r="G279" s="163"/>
      <c r="H279" s="315"/>
    </row>
    <row r="280">
      <c r="F280" s="163"/>
      <c r="G280" s="163"/>
      <c r="H280" s="315"/>
    </row>
    <row r="281">
      <c r="F281" s="163"/>
      <c r="G281" s="163"/>
      <c r="H281" s="315"/>
    </row>
    <row r="282">
      <c r="F282" s="163"/>
      <c r="G282" s="163"/>
      <c r="H282" s="315"/>
    </row>
    <row r="283">
      <c r="F283" s="163"/>
      <c r="G283" s="163"/>
      <c r="H283" s="315"/>
    </row>
    <row r="284">
      <c r="F284" s="163"/>
      <c r="G284" s="163"/>
      <c r="H284" s="315"/>
    </row>
    <row r="285">
      <c r="F285" s="163"/>
      <c r="G285" s="163"/>
      <c r="H285" s="315"/>
    </row>
    <row r="286">
      <c r="F286" s="163"/>
      <c r="G286" s="163"/>
      <c r="H286" s="315"/>
    </row>
    <row r="287">
      <c r="F287" s="163"/>
      <c r="G287" s="163"/>
      <c r="H287" s="315"/>
    </row>
    <row r="288">
      <c r="F288" s="163"/>
      <c r="G288" s="163"/>
      <c r="H288" s="315"/>
    </row>
    <row r="289">
      <c r="F289" s="163"/>
      <c r="G289" s="163"/>
      <c r="H289" s="315"/>
    </row>
    <row r="290">
      <c r="F290" s="163"/>
      <c r="G290" s="163"/>
      <c r="H290" s="315"/>
    </row>
    <row r="291">
      <c r="F291" s="163"/>
      <c r="G291" s="163"/>
      <c r="H291" s="315"/>
    </row>
    <row r="292">
      <c r="F292" s="163"/>
      <c r="G292" s="163"/>
      <c r="H292" s="315"/>
    </row>
    <row r="293">
      <c r="F293" s="163"/>
      <c r="G293" s="163"/>
      <c r="H293" s="315"/>
    </row>
    <row r="294">
      <c r="F294" s="163"/>
      <c r="G294" s="163"/>
      <c r="H294" s="315"/>
    </row>
    <row r="295">
      <c r="F295" s="163"/>
      <c r="G295" s="163"/>
      <c r="H295" s="315"/>
    </row>
    <row r="296">
      <c r="F296" s="163"/>
      <c r="G296" s="163"/>
      <c r="H296" s="315"/>
    </row>
    <row r="297">
      <c r="F297" s="163"/>
      <c r="G297" s="163"/>
      <c r="H297" s="315"/>
    </row>
    <row r="298">
      <c r="F298" s="163"/>
      <c r="G298" s="163"/>
      <c r="H298" s="315"/>
    </row>
    <row r="299">
      <c r="F299" s="163"/>
      <c r="G299" s="163"/>
      <c r="H299" s="315"/>
    </row>
    <row r="300">
      <c r="F300" s="163"/>
      <c r="G300" s="163"/>
      <c r="H300" s="315"/>
    </row>
    <row r="301">
      <c r="F301" s="163"/>
      <c r="G301" s="163"/>
      <c r="H301" s="315"/>
    </row>
    <row r="302">
      <c r="F302" s="163"/>
      <c r="G302" s="163"/>
      <c r="H302" s="315"/>
    </row>
    <row r="303">
      <c r="F303" s="163"/>
      <c r="G303" s="163"/>
      <c r="H303" s="315"/>
    </row>
    <row r="304">
      <c r="F304" s="163"/>
      <c r="G304" s="163"/>
      <c r="H304" s="315"/>
    </row>
    <row r="305">
      <c r="F305" s="163"/>
      <c r="G305" s="163"/>
      <c r="H305" s="315"/>
    </row>
    <row r="306">
      <c r="F306" s="163"/>
      <c r="G306" s="163"/>
      <c r="H306" s="315"/>
    </row>
    <row r="307">
      <c r="F307" s="163"/>
      <c r="G307" s="163"/>
      <c r="H307" s="315"/>
    </row>
    <row r="308">
      <c r="F308" s="163"/>
      <c r="G308" s="163"/>
      <c r="H308" s="315"/>
    </row>
    <row r="309">
      <c r="F309" s="163"/>
      <c r="G309" s="163"/>
      <c r="H309" s="315"/>
    </row>
    <row r="310">
      <c r="F310" s="163"/>
      <c r="G310" s="163"/>
      <c r="H310" s="315"/>
    </row>
    <row r="311">
      <c r="F311" s="163"/>
      <c r="G311" s="163"/>
      <c r="H311" s="315"/>
    </row>
    <row r="312">
      <c r="F312" s="163"/>
      <c r="G312" s="163"/>
      <c r="H312" s="315"/>
    </row>
    <row r="313">
      <c r="F313" s="163"/>
      <c r="G313" s="163"/>
      <c r="H313" s="315"/>
    </row>
    <row r="314">
      <c r="F314" s="163"/>
      <c r="G314" s="163"/>
      <c r="H314" s="315"/>
    </row>
    <row r="315">
      <c r="F315" s="163"/>
      <c r="G315" s="163"/>
      <c r="H315" s="315"/>
    </row>
    <row r="316">
      <c r="F316" s="163"/>
      <c r="G316" s="163"/>
      <c r="H316" s="315"/>
    </row>
    <row r="317">
      <c r="F317" s="163"/>
      <c r="G317" s="163"/>
      <c r="H317" s="315"/>
    </row>
    <row r="318">
      <c r="F318" s="163"/>
      <c r="G318" s="163"/>
      <c r="H318" s="315"/>
    </row>
    <row r="319">
      <c r="F319" s="163"/>
      <c r="G319" s="163"/>
      <c r="H319" s="315"/>
    </row>
    <row r="320">
      <c r="F320" s="163"/>
      <c r="G320" s="163"/>
      <c r="H320" s="315"/>
    </row>
    <row r="321">
      <c r="F321" s="163"/>
      <c r="G321" s="163"/>
      <c r="H321" s="315"/>
    </row>
    <row r="322">
      <c r="F322" s="163"/>
      <c r="G322" s="163"/>
      <c r="H322" s="315"/>
    </row>
    <row r="323">
      <c r="F323" s="163"/>
      <c r="G323" s="163"/>
      <c r="H323" s="315"/>
    </row>
    <row r="324">
      <c r="F324" s="163"/>
      <c r="G324" s="163"/>
      <c r="H324" s="315"/>
    </row>
    <row r="325">
      <c r="F325" s="163"/>
      <c r="G325" s="163"/>
      <c r="H325" s="315"/>
    </row>
    <row r="326">
      <c r="F326" s="163"/>
      <c r="G326" s="163"/>
      <c r="H326" s="315"/>
    </row>
    <row r="327">
      <c r="F327" s="163"/>
      <c r="G327" s="163"/>
      <c r="H327" s="315"/>
    </row>
    <row r="328">
      <c r="F328" s="163"/>
      <c r="G328" s="163"/>
      <c r="H328" s="315"/>
    </row>
    <row r="329">
      <c r="F329" s="163"/>
      <c r="G329" s="163"/>
      <c r="H329" s="315"/>
    </row>
    <row r="330">
      <c r="F330" s="163"/>
      <c r="G330" s="163"/>
      <c r="H330" s="315"/>
    </row>
    <row r="331">
      <c r="F331" s="163"/>
      <c r="G331" s="163"/>
      <c r="H331" s="315"/>
    </row>
    <row r="332">
      <c r="F332" s="163"/>
      <c r="G332" s="163"/>
      <c r="H332" s="315"/>
    </row>
    <row r="333">
      <c r="F333" s="163"/>
      <c r="G333" s="163"/>
      <c r="H333" s="315"/>
    </row>
    <row r="334">
      <c r="F334" s="163"/>
      <c r="G334" s="163"/>
      <c r="H334" s="315"/>
    </row>
    <row r="335">
      <c r="F335" s="163"/>
      <c r="G335" s="163"/>
      <c r="H335" s="315"/>
    </row>
    <row r="336">
      <c r="F336" s="163"/>
      <c r="G336" s="163"/>
      <c r="H336" s="315"/>
    </row>
    <row r="337">
      <c r="F337" s="163"/>
      <c r="G337" s="163"/>
      <c r="H337" s="315"/>
    </row>
    <row r="338">
      <c r="F338" s="163"/>
      <c r="G338" s="163"/>
      <c r="H338" s="315"/>
    </row>
    <row r="339">
      <c r="F339" s="163"/>
      <c r="G339" s="163"/>
      <c r="H339" s="315"/>
    </row>
    <row r="340">
      <c r="F340" s="163"/>
      <c r="G340" s="163"/>
      <c r="H340" s="315"/>
    </row>
    <row r="341">
      <c r="F341" s="163"/>
      <c r="G341" s="163"/>
      <c r="H341" s="315"/>
    </row>
    <row r="342">
      <c r="F342" s="163"/>
      <c r="G342" s="163"/>
      <c r="H342" s="315"/>
    </row>
    <row r="343">
      <c r="F343" s="163"/>
      <c r="G343" s="163"/>
      <c r="H343" s="315"/>
    </row>
    <row r="344">
      <c r="F344" s="163"/>
      <c r="G344" s="163"/>
      <c r="H344" s="315"/>
    </row>
    <row r="345">
      <c r="F345" s="163"/>
      <c r="G345" s="163"/>
      <c r="H345" s="315"/>
    </row>
    <row r="346">
      <c r="F346" s="163"/>
      <c r="G346" s="163"/>
      <c r="H346" s="315"/>
    </row>
    <row r="347">
      <c r="F347" s="163"/>
      <c r="G347" s="163"/>
      <c r="H347" s="315"/>
    </row>
    <row r="348">
      <c r="F348" s="163"/>
      <c r="G348" s="163"/>
      <c r="H348" s="315"/>
    </row>
    <row r="349">
      <c r="F349" s="163"/>
      <c r="G349" s="163"/>
      <c r="H349" s="315"/>
    </row>
    <row r="350">
      <c r="F350" s="163"/>
      <c r="G350" s="163"/>
      <c r="H350" s="315"/>
    </row>
    <row r="351">
      <c r="F351" s="163"/>
      <c r="G351" s="163"/>
      <c r="H351" s="315"/>
    </row>
    <row r="352">
      <c r="F352" s="163"/>
      <c r="G352" s="163"/>
      <c r="H352" s="315"/>
    </row>
    <row r="353">
      <c r="F353" s="163"/>
      <c r="G353" s="163"/>
      <c r="H353" s="315"/>
    </row>
    <row r="354">
      <c r="F354" s="163"/>
      <c r="G354" s="163"/>
      <c r="H354" s="315"/>
    </row>
    <row r="355">
      <c r="F355" s="163"/>
      <c r="G355" s="163"/>
      <c r="H355" s="315"/>
    </row>
    <row r="356">
      <c r="F356" s="163"/>
      <c r="G356" s="163"/>
      <c r="H356" s="315"/>
    </row>
    <row r="357">
      <c r="F357" s="163"/>
      <c r="G357" s="163"/>
      <c r="H357" s="315"/>
    </row>
    <row r="358">
      <c r="F358" s="163"/>
      <c r="G358" s="163"/>
      <c r="H358" s="315"/>
    </row>
    <row r="359">
      <c r="F359" s="163"/>
      <c r="G359" s="163"/>
      <c r="H359" s="315"/>
    </row>
    <row r="360">
      <c r="F360" s="163"/>
      <c r="G360" s="163"/>
      <c r="H360" s="315"/>
    </row>
    <row r="361">
      <c r="F361" s="163"/>
      <c r="G361" s="163"/>
      <c r="H361" s="315"/>
    </row>
    <row r="362">
      <c r="F362" s="163"/>
      <c r="G362" s="163"/>
      <c r="H362" s="315"/>
    </row>
    <row r="363">
      <c r="F363" s="163"/>
      <c r="G363" s="163"/>
      <c r="H363" s="315"/>
    </row>
    <row r="364">
      <c r="F364" s="163"/>
      <c r="G364" s="163"/>
      <c r="H364" s="315"/>
    </row>
    <row r="365">
      <c r="F365" s="163"/>
      <c r="G365" s="163"/>
      <c r="H365" s="315"/>
    </row>
    <row r="366">
      <c r="F366" s="163"/>
      <c r="G366" s="163"/>
      <c r="H366" s="315"/>
    </row>
    <row r="367">
      <c r="F367" s="163"/>
      <c r="G367" s="163"/>
      <c r="H367" s="315"/>
    </row>
    <row r="368">
      <c r="F368" s="163"/>
      <c r="G368" s="163"/>
      <c r="H368" s="315"/>
    </row>
    <row r="369">
      <c r="F369" s="163"/>
      <c r="G369" s="163"/>
      <c r="H369" s="315"/>
    </row>
    <row r="370">
      <c r="F370" s="163"/>
      <c r="G370" s="163"/>
      <c r="H370" s="315"/>
    </row>
    <row r="371">
      <c r="F371" s="163"/>
      <c r="G371" s="163"/>
      <c r="H371" s="315"/>
    </row>
    <row r="372">
      <c r="F372" s="163"/>
      <c r="G372" s="163"/>
      <c r="H372" s="315"/>
    </row>
    <row r="373">
      <c r="F373" s="163"/>
      <c r="G373" s="163"/>
      <c r="H373" s="315"/>
    </row>
    <row r="374">
      <c r="F374" s="163"/>
      <c r="G374" s="163"/>
      <c r="H374" s="315"/>
    </row>
    <row r="375">
      <c r="F375" s="163"/>
      <c r="G375" s="163"/>
      <c r="H375" s="315"/>
    </row>
    <row r="376">
      <c r="F376" s="163"/>
      <c r="G376" s="163"/>
      <c r="H376" s="315"/>
    </row>
    <row r="377">
      <c r="F377" s="163"/>
      <c r="G377" s="163"/>
      <c r="H377" s="315"/>
    </row>
    <row r="378">
      <c r="F378" s="163"/>
      <c r="G378" s="163"/>
      <c r="H378" s="315"/>
    </row>
    <row r="379">
      <c r="F379" s="163"/>
      <c r="G379" s="163"/>
      <c r="H379" s="315"/>
    </row>
    <row r="380">
      <c r="F380" s="163"/>
      <c r="G380" s="163"/>
      <c r="H380" s="315"/>
    </row>
    <row r="381">
      <c r="F381" s="163"/>
      <c r="G381" s="163"/>
      <c r="H381" s="315"/>
    </row>
    <row r="382">
      <c r="F382" s="163"/>
      <c r="G382" s="163"/>
      <c r="H382" s="315"/>
    </row>
    <row r="383">
      <c r="F383" s="163"/>
      <c r="G383" s="163"/>
      <c r="H383" s="315"/>
    </row>
    <row r="384">
      <c r="F384" s="163"/>
      <c r="G384" s="163"/>
      <c r="H384" s="315"/>
    </row>
    <row r="385">
      <c r="F385" s="163"/>
      <c r="G385" s="163"/>
      <c r="H385" s="315"/>
    </row>
    <row r="386">
      <c r="F386" s="163"/>
      <c r="G386" s="163"/>
      <c r="H386" s="315"/>
    </row>
    <row r="387">
      <c r="F387" s="163"/>
      <c r="G387" s="163"/>
      <c r="H387" s="315"/>
    </row>
    <row r="388">
      <c r="F388" s="163"/>
      <c r="G388" s="163"/>
      <c r="H388" s="315"/>
    </row>
    <row r="389">
      <c r="F389" s="163"/>
      <c r="G389" s="163"/>
      <c r="H389" s="315"/>
    </row>
    <row r="390">
      <c r="F390" s="163"/>
      <c r="G390" s="163"/>
      <c r="H390" s="315"/>
    </row>
    <row r="391">
      <c r="F391" s="163"/>
      <c r="G391" s="163"/>
      <c r="H391" s="315"/>
    </row>
    <row r="392">
      <c r="F392" s="163"/>
      <c r="G392" s="163"/>
      <c r="H392" s="315"/>
    </row>
    <row r="393">
      <c r="F393" s="163"/>
      <c r="G393" s="163"/>
      <c r="H393" s="315"/>
    </row>
    <row r="394">
      <c r="F394" s="163"/>
      <c r="G394" s="163"/>
      <c r="H394" s="315"/>
    </row>
    <row r="395">
      <c r="F395" s="163"/>
      <c r="G395" s="163"/>
      <c r="H395" s="315"/>
    </row>
    <row r="396">
      <c r="F396" s="163"/>
      <c r="G396" s="163"/>
      <c r="H396" s="315"/>
    </row>
    <row r="397">
      <c r="F397" s="163"/>
      <c r="G397" s="163"/>
      <c r="H397" s="315"/>
    </row>
    <row r="398">
      <c r="F398" s="163"/>
      <c r="G398" s="163"/>
      <c r="H398" s="315"/>
    </row>
    <row r="399">
      <c r="F399" s="163"/>
      <c r="G399" s="163"/>
      <c r="H399" s="315"/>
    </row>
    <row r="400">
      <c r="F400" s="163"/>
      <c r="G400" s="163"/>
      <c r="H400" s="315"/>
    </row>
    <row r="401">
      <c r="F401" s="163"/>
      <c r="G401" s="163"/>
      <c r="H401" s="315"/>
    </row>
    <row r="402">
      <c r="F402" s="163"/>
      <c r="G402" s="163"/>
      <c r="H402" s="315"/>
    </row>
    <row r="403">
      <c r="F403" s="163"/>
      <c r="G403" s="163"/>
      <c r="H403" s="315"/>
    </row>
    <row r="404">
      <c r="F404" s="163"/>
      <c r="G404" s="163"/>
      <c r="H404" s="315"/>
    </row>
    <row r="405">
      <c r="F405" s="163"/>
      <c r="G405" s="163"/>
      <c r="H405" s="315"/>
    </row>
    <row r="406">
      <c r="F406" s="163"/>
      <c r="G406" s="163"/>
      <c r="H406" s="315"/>
    </row>
    <row r="407">
      <c r="F407" s="163"/>
      <c r="G407" s="163"/>
      <c r="H407" s="315"/>
    </row>
    <row r="408">
      <c r="F408" s="163"/>
      <c r="G408" s="163"/>
      <c r="H408" s="315"/>
    </row>
    <row r="409">
      <c r="F409" s="163"/>
      <c r="G409" s="163"/>
      <c r="H409" s="315"/>
    </row>
    <row r="410">
      <c r="F410" s="163"/>
      <c r="G410" s="163"/>
      <c r="H410" s="315"/>
    </row>
    <row r="411">
      <c r="F411" s="163"/>
      <c r="G411" s="163"/>
      <c r="H411" s="315"/>
    </row>
    <row r="412">
      <c r="F412" s="163"/>
      <c r="G412" s="163"/>
      <c r="H412" s="315"/>
    </row>
    <row r="413">
      <c r="F413" s="163"/>
      <c r="G413" s="163"/>
      <c r="H413" s="315"/>
    </row>
    <row r="414">
      <c r="F414" s="163"/>
      <c r="G414" s="163"/>
      <c r="H414" s="315"/>
    </row>
    <row r="415">
      <c r="F415" s="163"/>
      <c r="G415" s="163"/>
      <c r="H415" s="315"/>
    </row>
    <row r="416">
      <c r="F416" s="163"/>
      <c r="G416" s="163"/>
      <c r="H416" s="315"/>
    </row>
    <row r="417">
      <c r="F417" s="163"/>
      <c r="G417" s="163"/>
      <c r="H417" s="315"/>
    </row>
    <row r="418">
      <c r="F418" s="163"/>
      <c r="G418" s="163"/>
      <c r="H418" s="315"/>
    </row>
    <row r="419">
      <c r="F419" s="163"/>
      <c r="G419" s="163"/>
      <c r="H419" s="315"/>
    </row>
    <row r="420">
      <c r="F420" s="163"/>
      <c r="G420" s="163"/>
      <c r="H420" s="315"/>
    </row>
    <row r="421">
      <c r="F421" s="163"/>
      <c r="G421" s="163"/>
      <c r="H421" s="315"/>
    </row>
    <row r="422">
      <c r="F422" s="163"/>
      <c r="G422" s="163"/>
      <c r="H422" s="315"/>
    </row>
    <row r="423">
      <c r="F423" s="163"/>
      <c r="G423" s="163"/>
      <c r="H423" s="315"/>
    </row>
    <row r="424">
      <c r="F424" s="163"/>
      <c r="G424" s="163"/>
      <c r="H424" s="315"/>
    </row>
    <row r="425">
      <c r="F425" s="163"/>
      <c r="G425" s="163"/>
      <c r="H425" s="315"/>
    </row>
    <row r="426">
      <c r="F426" s="163"/>
      <c r="G426" s="163"/>
      <c r="H426" s="315"/>
    </row>
    <row r="427">
      <c r="F427" s="163"/>
      <c r="G427" s="163"/>
      <c r="H427" s="315"/>
    </row>
    <row r="428">
      <c r="F428" s="163"/>
      <c r="G428" s="163"/>
      <c r="H428" s="315"/>
    </row>
    <row r="429">
      <c r="F429" s="163"/>
      <c r="G429" s="163"/>
      <c r="H429" s="315"/>
    </row>
    <row r="430">
      <c r="F430" s="163"/>
      <c r="G430" s="163"/>
      <c r="H430" s="315"/>
    </row>
    <row r="431">
      <c r="F431" s="163"/>
      <c r="G431" s="163"/>
      <c r="H431" s="315"/>
    </row>
    <row r="432">
      <c r="F432" s="163"/>
      <c r="G432" s="163"/>
      <c r="H432" s="315"/>
    </row>
    <row r="433">
      <c r="F433" s="163"/>
      <c r="G433" s="163"/>
      <c r="H433" s="315"/>
    </row>
    <row r="434">
      <c r="F434" s="163"/>
      <c r="G434" s="163"/>
      <c r="H434" s="315"/>
    </row>
    <row r="435">
      <c r="F435" s="163"/>
      <c r="G435" s="163"/>
      <c r="H435" s="315"/>
    </row>
    <row r="436">
      <c r="F436" s="163"/>
      <c r="G436" s="163"/>
      <c r="H436" s="315"/>
    </row>
    <row r="437">
      <c r="F437" s="163"/>
      <c r="G437" s="163"/>
      <c r="H437" s="315"/>
    </row>
    <row r="438">
      <c r="F438" s="163"/>
      <c r="G438" s="163"/>
      <c r="H438" s="315"/>
    </row>
    <row r="439">
      <c r="F439" s="163"/>
      <c r="G439" s="163"/>
      <c r="H439" s="315"/>
    </row>
    <row r="440">
      <c r="F440" s="163"/>
      <c r="G440" s="163"/>
      <c r="H440" s="315"/>
    </row>
    <row r="441">
      <c r="F441" s="163"/>
      <c r="G441" s="163"/>
      <c r="H441" s="315"/>
    </row>
    <row r="442">
      <c r="F442" s="163"/>
      <c r="G442" s="163"/>
      <c r="H442" s="315"/>
    </row>
    <row r="443">
      <c r="F443" s="163"/>
      <c r="G443" s="163"/>
      <c r="H443" s="315"/>
    </row>
    <row r="444">
      <c r="F444" s="163"/>
      <c r="G444" s="163"/>
      <c r="H444" s="315"/>
    </row>
    <row r="445">
      <c r="F445" s="163"/>
      <c r="G445" s="163"/>
      <c r="H445" s="315"/>
    </row>
    <row r="446">
      <c r="F446" s="163"/>
      <c r="G446" s="163"/>
      <c r="H446" s="315"/>
    </row>
    <row r="447">
      <c r="F447" s="163"/>
      <c r="G447" s="163"/>
      <c r="H447" s="315"/>
    </row>
    <row r="448">
      <c r="F448" s="163"/>
      <c r="G448" s="163"/>
      <c r="H448" s="315"/>
    </row>
    <row r="449">
      <c r="F449" s="163"/>
      <c r="G449" s="163"/>
      <c r="H449" s="315"/>
    </row>
    <row r="450">
      <c r="F450" s="163"/>
      <c r="G450" s="163"/>
      <c r="H450" s="315"/>
    </row>
    <row r="451">
      <c r="F451" s="163"/>
      <c r="G451" s="163"/>
      <c r="H451" s="315"/>
    </row>
    <row r="452">
      <c r="F452" s="163"/>
      <c r="G452" s="163"/>
      <c r="H452" s="315"/>
    </row>
    <row r="453">
      <c r="F453" s="163"/>
      <c r="G453" s="163"/>
      <c r="H453" s="315"/>
    </row>
    <row r="454">
      <c r="F454" s="163"/>
      <c r="G454" s="163"/>
      <c r="H454" s="315"/>
    </row>
    <row r="455">
      <c r="F455" s="163"/>
      <c r="G455" s="163"/>
      <c r="H455" s="315"/>
    </row>
    <row r="456">
      <c r="F456" s="163"/>
      <c r="G456" s="163"/>
      <c r="H456" s="315"/>
    </row>
    <row r="457">
      <c r="F457" s="163"/>
      <c r="G457" s="163"/>
      <c r="H457" s="315"/>
    </row>
    <row r="458">
      <c r="F458" s="163"/>
      <c r="G458" s="163"/>
      <c r="H458" s="315"/>
    </row>
    <row r="459">
      <c r="F459" s="163"/>
      <c r="G459" s="163"/>
      <c r="H459" s="315"/>
    </row>
    <row r="460">
      <c r="F460" s="163"/>
      <c r="G460" s="163"/>
      <c r="H460" s="315"/>
    </row>
    <row r="461">
      <c r="F461" s="163"/>
      <c r="G461" s="163"/>
      <c r="H461" s="315"/>
    </row>
    <row r="462">
      <c r="F462" s="163"/>
      <c r="G462" s="163"/>
      <c r="H462" s="315"/>
    </row>
    <row r="463">
      <c r="F463" s="163"/>
      <c r="G463" s="163"/>
      <c r="H463" s="315"/>
    </row>
    <row r="464">
      <c r="F464" s="163"/>
      <c r="G464" s="163"/>
      <c r="H464" s="315"/>
    </row>
    <row r="465">
      <c r="F465" s="163"/>
      <c r="G465" s="163"/>
      <c r="H465" s="315"/>
    </row>
    <row r="466">
      <c r="F466" s="163"/>
      <c r="G466" s="163"/>
      <c r="H466" s="315"/>
    </row>
    <row r="467">
      <c r="F467" s="163"/>
      <c r="G467" s="163"/>
      <c r="H467" s="315"/>
    </row>
    <row r="468">
      <c r="F468" s="163"/>
      <c r="G468" s="163"/>
      <c r="H468" s="315"/>
    </row>
    <row r="469">
      <c r="F469" s="163"/>
      <c r="G469" s="163"/>
      <c r="H469" s="315"/>
    </row>
    <row r="470">
      <c r="F470" s="163"/>
      <c r="G470" s="163"/>
      <c r="H470" s="315"/>
    </row>
    <row r="471">
      <c r="F471" s="163"/>
      <c r="G471" s="163"/>
      <c r="H471" s="315"/>
    </row>
    <row r="472">
      <c r="F472" s="163"/>
      <c r="G472" s="163"/>
      <c r="H472" s="315"/>
    </row>
    <row r="473">
      <c r="F473" s="163"/>
      <c r="G473" s="163"/>
      <c r="H473" s="315"/>
    </row>
    <row r="474">
      <c r="F474" s="163"/>
      <c r="G474" s="163"/>
      <c r="H474" s="315"/>
    </row>
    <row r="475">
      <c r="F475" s="163"/>
      <c r="G475" s="163"/>
      <c r="H475" s="315"/>
    </row>
    <row r="476">
      <c r="F476" s="163"/>
      <c r="G476" s="163"/>
      <c r="H476" s="315"/>
    </row>
    <row r="477">
      <c r="F477" s="163"/>
      <c r="G477" s="163"/>
      <c r="H477" s="315"/>
    </row>
    <row r="478">
      <c r="F478" s="163"/>
      <c r="G478" s="163"/>
      <c r="H478" s="315"/>
    </row>
    <row r="479">
      <c r="F479" s="163"/>
      <c r="G479" s="163"/>
      <c r="H479" s="315"/>
    </row>
    <row r="480">
      <c r="F480" s="163"/>
      <c r="G480" s="163"/>
      <c r="H480" s="315"/>
    </row>
    <row r="481">
      <c r="F481" s="163"/>
      <c r="G481" s="163"/>
      <c r="H481" s="315"/>
    </row>
    <row r="482">
      <c r="F482" s="163"/>
      <c r="G482" s="163"/>
      <c r="H482" s="315"/>
    </row>
    <row r="483">
      <c r="F483" s="163"/>
      <c r="G483" s="163"/>
      <c r="H483" s="315"/>
    </row>
    <row r="484">
      <c r="F484" s="163"/>
      <c r="G484" s="163"/>
      <c r="H484" s="315"/>
    </row>
    <row r="485">
      <c r="F485" s="163"/>
      <c r="G485" s="163"/>
      <c r="H485" s="315"/>
    </row>
    <row r="486">
      <c r="F486" s="163"/>
      <c r="G486" s="163"/>
      <c r="H486" s="315"/>
    </row>
    <row r="487">
      <c r="F487" s="163"/>
      <c r="G487" s="163"/>
      <c r="H487" s="315"/>
    </row>
    <row r="488">
      <c r="F488" s="163"/>
      <c r="G488" s="163"/>
      <c r="H488" s="315"/>
    </row>
    <row r="489">
      <c r="F489" s="163"/>
      <c r="G489" s="163"/>
      <c r="H489" s="315"/>
    </row>
    <row r="490">
      <c r="F490" s="163"/>
      <c r="G490" s="163"/>
      <c r="H490" s="315"/>
    </row>
    <row r="491">
      <c r="F491" s="163"/>
      <c r="G491" s="163"/>
      <c r="H491" s="315"/>
    </row>
    <row r="492">
      <c r="F492" s="163"/>
      <c r="G492" s="163"/>
      <c r="H492" s="315"/>
    </row>
    <row r="493">
      <c r="F493" s="163"/>
      <c r="G493" s="163"/>
      <c r="H493" s="315"/>
    </row>
    <row r="494">
      <c r="F494" s="163"/>
      <c r="G494" s="163"/>
      <c r="H494" s="315"/>
    </row>
    <row r="495">
      <c r="F495" s="163"/>
      <c r="G495" s="163"/>
      <c r="H495" s="315"/>
    </row>
    <row r="496">
      <c r="F496" s="163"/>
      <c r="G496" s="163"/>
      <c r="H496" s="315"/>
    </row>
    <row r="497">
      <c r="F497" s="163"/>
      <c r="G497" s="163"/>
      <c r="H497" s="315"/>
    </row>
    <row r="498">
      <c r="F498" s="163"/>
      <c r="G498" s="163"/>
      <c r="H498" s="315"/>
    </row>
    <row r="499">
      <c r="F499" s="163"/>
      <c r="G499" s="163"/>
      <c r="H499" s="315"/>
    </row>
    <row r="500">
      <c r="F500" s="163"/>
      <c r="G500" s="163"/>
      <c r="H500" s="315"/>
    </row>
    <row r="501">
      <c r="F501" s="163"/>
      <c r="G501" s="163"/>
      <c r="H501" s="315"/>
    </row>
    <row r="502">
      <c r="F502" s="163"/>
      <c r="G502" s="163"/>
      <c r="H502" s="315"/>
    </row>
    <row r="503">
      <c r="F503" s="163"/>
      <c r="G503" s="163"/>
      <c r="H503" s="315"/>
    </row>
    <row r="504">
      <c r="F504" s="163"/>
      <c r="G504" s="163"/>
      <c r="H504" s="315"/>
    </row>
    <row r="505">
      <c r="F505" s="163"/>
      <c r="G505" s="163"/>
      <c r="H505" s="315"/>
    </row>
    <row r="506">
      <c r="F506" s="163"/>
      <c r="G506" s="163"/>
      <c r="H506" s="315"/>
    </row>
    <row r="507">
      <c r="F507" s="163"/>
      <c r="G507" s="163"/>
      <c r="H507" s="315"/>
    </row>
    <row r="508">
      <c r="F508" s="163"/>
      <c r="G508" s="163"/>
      <c r="H508" s="315"/>
    </row>
    <row r="509">
      <c r="F509" s="163"/>
      <c r="G509" s="163"/>
      <c r="H509" s="315"/>
    </row>
    <row r="510">
      <c r="F510" s="163"/>
      <c r="G510" s="163"/>
      <c r="H510" s="315"/>
    </row>
    <row r="511">
      <c r="F511" s="163"/>
      <c r="G511" s="163"/>
      <c r="H511" s="315"/>
    </row>
    <row r="512">
      <c r="F512" s="163"/>
      <c r="G512" s="163"/>
      <c r="H512" s="315"/>
    </row>
    <row r="513">
      <c r="F513" s="163"/>
      <c r="G513" s="163"/>
      <c r="H513" s="315"/>
    </row>
    <row r="514">
      <c r="F514" s="163"/>
      <c r="G514" s="163"/>
      <c r="H514" s="315"/>
    </row>
    <row r="515">
      <c r="F515" s="163"/>
      <c r="G515" s="163"/>
      <c r="H515" s="315"/>
    </row>
    <row r="516">
      <c r="F516" s="163"/>
      <c r="G516" s="163"/>
      <c r="H516" s="315"/>
    </row>
    <row r="517">
      <c r="F517" s="163"/>
      <c r="G517" s="163"/>
      <c r="H517" s="315"/>
    </row>
    <row r="518">
      <c r="F518" s="163"/>
      <c r="G518" s="163"/>
      <c r="H518" s="315"/>
    </row>
    <row r="519">
      <c r="F519" s="163"/>
      <c r="G519" s="163"/>
      <c r="H519" s="315"/>
    </row>
    <row r="520">
      <c r="F520" s="163"/>
      <c r="G520" s="163"/>
      <c r="H520" s="315"/>
    </row>
    <row r="521">
      <c r="F521" s="163"/>
      <c r="G521" s="163"/>
      <c r="H521" s="315"/>
    </row>
    <row r="522">
      <c r="F522" s="163"/>
      <c r="G522" s="163"/>
      <c r="H522" s="315"/>
    </row>
    <row r="523">
      <c r="F523" s="163"/>
      <c r="G523" s="163"/>
      <c r="H523" s="315"/>
    </row>
    <row r="524">
      <c r="F524" s="163"/>
      <c r="G524" s="163"/>
      <c r="H524" s="315"/>
    </row>
    <row r="525">
      <c r="F525" s="163"/>
      <c r="G525" s="163"/>
      <c r="H525" s="315"/>
    </row>
    <row r="526">
      <c r="F526" s="163"/>
      <c r="G526" s="163"/>
      <c r="H526" s="315"/>
    </row>
    <row r="527">
      <c r="F527" s="163"/>
      <c r="G527" s="163"/>
      <c r="H527" s="315"/>
    </row>
    <row r="528">
      <c r="F528" s="163"/>
      <c r="G528" s="163"/>
      <c r="H528" s="315"/>
    </row>
    <row r="529">
      <c r="F529" s="163"/>
      <c r="G529" s="163"/>
      <c r="H529" s="315"/>
    </row>
    <row r="530">
      <c r="F530" s="163"/>
      <c r="G530" s="163"/>
      <c r="H530" s="315"/>
    </row>
    <row r="531">
      <c r="F531" s="163"/>
      <c r="G531" s="163"/>
      <c r="H531" s="315"/>
    </row>
    <row r="532">
      <c r="F532" s="163"/>
      <c r="G532" s="163"/>
      <c r="H532" s="315"/>
    </row>
    <row r="533">
      <c r="F533" s="163"/>
      <c r="G533" s="163"/>
      <c r="H533" s="315"/>
    </row>
    <row r="534">
      <c r="F534" s="163"/>
      <c r="G534" s="163"/>
      <c r="H534" s="315"/>
    </row>
    <row r="535">
      <c r="F535" s="163"/>
      <c r="G535" s="163"/>
      <c r="H535" s="315"/>
    </row>
    <row r="536">
      <c r="F536" s="163"/>
      <c r="G536" s="163"/>
      <c r="H536" s="315"/>
    </row>
    <row r="537">
      <c r="F537" s="163"/>
      <c r="G537" s="163"/>
      <c r="H537" s="315"/>
    </row>
    <row r="538">
      <c r="F538" s="163"/>
      <c r="G538" s="163"/>
      <c r="H538" s="315"/>
    </row>
    <row r="539">
      <c r="F539" s="163"/>
      <c r="G539" s="163"/>
      <c r="H539" s="315"/>
    </row>
    <row r="540">
      <c r="F540" s="163"/>
      <c r="G540" s="163"/>
      <c r="H540" s="315"/>
    </row>
    <row r="541">
      <c r="F541" s="163"/>
      <c r="G541" s="163"/>
      <c r="H541" s="315"/>
    </row>
    <row r="542">
      <c r="F542" s="163"/>
      <c r="G542" s="163"/>
      <c r="H542" s="315"/>
    </row>
    <row r="543">
      <c r="F543" s="163"/>
      <c r="G543" s="163"/>
      <c r="H543" s="315"/>
    </row>
    <row r="544">
      <c r="F544" s="163"/>
      <c r="G544" s="163"/>
      <c r="H544" s="315"/>
    </row>
    <row r="545">
      <c r="F545" s="163"/>
      <c r="G545" s="163"/>
      <c r="H545" s="315"/>
    </row>
    <row r="546">
      <c r="F546" s="163"/>
      <c r="G546" s="163"/>
      <c r="H546" s="315"/>
    </row>
    <row r="547">
      <c r="F547" s="163"/>
      <c r="G547" s="163"/>
      <c r="H547" s="315"/>
    </row>
    <row r="548">
      <c r="F548" s="163"/>
      <c r="G548" s="163"/>
      <c r="H548" s="315"/>
    </row>
    <row r="549">
      <c r="F549" s="163"/>
      <c r="G549" s="163"/>
      <c r="H549" s="315"/>
    </row>
    <row r="550">
      <c r="F550" s="163"/>
      <c r="G550" s="163"/>
      <c r="H550" s="315"/>
    </row>
    <row r="551">
      <c r="F551" s="163"/>
      <c r="G551" s="163"/>
      <c r="H551" s="315"/>
    </row>
    <row r="552">
      <c r="F552" s="163"/>
      <c r="G552" s="163"/>
      <c r="H552" s="315"/>
    </row>
    <row r="553">
      <c r="F553" s="163"/>
      <c r="G553" s="163"/>
      <c r="H553" s="315"/>
    </row>
    <row r="554">
      <c r="F554" s="163"/>
      <c r="G554" s="163"/>
      <c r="H554" s="315"/>
    </row>
    <row r="555">
      <c r="F555" s="163"/>
      <c r="G555" s="163"/>
      <c r="H555" s="315"/>
    </row>
    <row r="556">
      <c r="F556" s="163"/>
      <c r="G556" s="163"/>
      <c r="H556" s="315"/>
    </row>
    <row r="557">
      <c r="F557" s="163"/>
      <c r="G557" s="163"/>
      <c r="H557" s="315"/>
    </row>
    <row r="558">
      <c r="F558" s="163"/>
      <c r="G558" s="163"/>
      <c r="H558" s="315"/>
    </row>
    <row r="559">
      <c r="F559" s="163"/>
      <c r="G559" s="163"/>
      <c r="H559" s="315"/>
    </row>
    <row r="560">
      <c r="F560" s="163"/>
      <c r="G560" s="163"/>
      <c r="H560" s="315"/>
    </row>
    <row r="561">
      <c r="F561" s="163"/>
      <c r="G561" s="163"/>
      <c r="H561" s="315"/>
    </row>
    <row r="562">
      <c r="F562" s="163"/>
      <c r="G562" s="163"/>
      <c r="H562" s="315"/>
    </row>
    <row r="563">
      <c r="F563" s="163"/>
      <c r="G563" s="163"/>
      <c r="H563" s="315"/>
    </row>
    <row r="564">
      <c r="F564" s="163"/>
      <c r="G564" s="163"/>
      <c r="H564" s="315"/>
    </row>
    <row r="565">
      <c r="F565" s="163"/>
      <c r="G565" s="163"/>
      <c r="H565" s="315"/>
    </row>
    <row r="566">
      <c r="F566" s="163"/>
      <c r="G566" s="163"/>
      <c r="H566" s="315"/>
    </row>
    <row r="567">
      <c r="F567" s="163"/>
      <c r="G567" s="163"/>
      <c r="H567" s="315"/>
    </row>
    <row r="568">
      <c r="F568" s="163"/>
      <c r="G568" s="163"/>
      <c r="H568" s="315"/>
    </row>
    <row r="569">
      <c r="F569" s="163"/>
      <c r="G569" s="163"/>
      <c r="H569" s="315"/>
    </row>
    <row r="570">
      <c r="F570" s="163"/>
      <c r="G570" s="163"/>
      <c r="H570" s="315"/>
    </row>
    <row r="571">
      <c r="F571" s="163"/>
      <c r="G571" s="163"/>
      <c r="H571" s="315"/>
    </row>
    <row r="572">
      <c r="F572" s="163"/>
      <c r="G572" s="163"/>
      <c r="H572" s="315"/>
    </row>
    <row r="573">
      <c r="F573" s="163"/>
      <c r="G573" s="163"/>
      <c r="H573" s="315"/>
    </row>
    <row r="574">
      <c r="F574" s="163"/>
      <c r="G574" s="163"/>
      <c r="H574" s="315"/>
    </row>
    <row r="575">
      <c r="F575" s="163"/>
      <c r="G575" s="163"/>
      <c r="H575" s="315"/>
    </row>
    <row r="576">
      <c r="F576" s="163"/>
      <c r="G576" s="163"/>
      <c r="H576" s="315"/>
    </row>
    <row r="577">
      <c r="F577" s="163"/>
      <c r="G577" s="163"/>
      <c r="H577" s="315"/>
    </row>
    <row r="578">
      <c r="F578" s="163"/>
      <c r="G578" s="163"/>
      <c r="H578" s="315"/>
    </row>
    <row r="579">
      <c r="F579" s="163"/>
      <c r="G579" s="163"/>
      <c r="H579" s="315"/>
    </row>
    <row r="580">
      <c r="F580" s="163"/>
      <c r="G580" s="163"/>
      <c r="H580" s="315"/>
    </row>
    <row r="581">
      <c r="F581" s="163"/>
      <c r="G581" s="163"/>
      <c r="H581" s="315"/>
    </row>
    <row r="582">
      <c r="F582" s="163"/>
      <c r="G582" s="163"/>
      <c r="H582" s="315"/>
    </row>
    <row r="583">
      <c r="F583" s="163"/>
      <c r="G583" s="163"/>
      <c r="H583" s="315"/>
    </row>
    <row r="584">
      <c r="F584" s="163"/>
      <c r="G584" s="163"/>
      <c r="H584" s="315"/>
    </row>
    <row r="585">
      <c r="F585" s="163"/>
      <c r="G585" s="163"/>
      <c r="H585" s="315"/>
    </row>
    <row r="586">
      <c r="F586" s="163"/>
      <c r="G586" s="163"/>
      <c r="H586" s="315"/>
    </row>
    <row r="587">
      <c r="F587" s="163"/>
      <c r="G587" s="163"/>
      <c r="H587" s="315"/>
    </row>
    <row r="588">
      <c r="F588" s="163"/>
      <c r="G588" s="163"/>
      <c r="H588" s="315"/>
    </row>
    <row r="589">
      <c r="F589" s="163"/>
      <c r="G589" s="163"/>
      <c r="H589" s="315"/>
    </row>
    <row r="590">
      <c r="F590" s="163"/>
      <c r="G590" s="163"/>
      <c r="H590" s="315"/>
    </row>
    <row r="591">
      <c r="F591" s="163"/>
      <c r="G591" s="163"/>
      <c r="H591" s="315"/>
    </row>
    <row r="592">
      <c r="F592" s="163"/>
      <c r="G592" s="163"/>
      <c r="H592" s="315"/>
    </row>
    <row r="593">
      <c r="F593" s="163"/>
      <c r="G593" s="163"/>
      <c r="H593" s="315"/>
    </row>
    <row r="594">
      <c r="F594" s="163"/>
      <c r="G594" s="163"/>
      <c r="H594" s="315"/>
    </row>
    <row r="595">
      <c r="F595" s="163"/>
      <c r="G595" s="163"/>
      <c r="H595" s="315"/>
    </row>
    <row r="596">
      <c r="F596" s="163"/>
      <c r="G596" s="163"/>
      <c r="H596" s="315"/>
    </row>
    <row r="597">
      <c r="F597" s="163"/>
      <c r="G597" s="163"/>
      <c r="H597" s="315"/>
    </row>
    <row r="598">
      <c r="F598" s="163"/>
      <c r="G598" s="163"/>
      <c r="H598" s="315"/>
    </row>
    <row r="599">
      <c r="F599" s="163"/>
      <c r="G599" s="163"/>
      <c r="H599" s="315"/>
    </row>
    <row r="600">
      <c r="F600" s="163"/>
      <c r="G600" s="163"/>
      <c r="H600" s="315"/>
    </row>
    <row r="601">
      <c r="F601" s="163"/>
      <c r="G601" s="163"/>
      <c r="H601" s="315"/>
    </row>
    <row r="602">
      <c r="F602" s="163"/>
      <c r="G602" s="163"/>
      <c r="H602" s="315"/>
    </row>
    <row r="603">
      <c r="F603" s="163"/>
      <c r="G603" s="163"/>
      <c r="H603" s="315"/>
    </row>
    <row r="604">
      <c r="F604" s="163"/>
      <c r="G604" s="163"/>
      <c r="H604" s="315"/>
    </row>
    <row r="605">
      <c r="F605" s="163"/>
      <c r="G605" s="163"/>
      <c r="H605" s="315"/>
    </row>
    <row r="606">
      <c r="F606" s="163"/>
      <c r="G606" s="163"/>
      <c r="H606" s="315"/>
    </row>
    <row r="607">
      <c r="F607" s="163"/>
      <c r="G607" s="163"/>
      <c r="H607" s="315"/>
    </row>
    <row r="608">
      <c r="F608" s="163"/>
      <c r="G608" s="163"/>
      <c r="H608" s="315"/>
    </row>
    <row r="609">
      <c r="F609" s="163"/>
      <c r="G609" s="163"/>
      <c r="H609" s="315"/>
    </row>
    <row r="610">
      <c r="F610" s="163"/>
      <c r="G610" s="163"/>
      <c r="H610" s="315"/>
    </row>
    <row r="611">
      <c r="F611" s="163"/>
      <c r="G611" s="163"/>
      <c r="H611" s="315"/>
    </row>
    <row r="612">
      <c r="F612" s="163"/>
      <c r="G612" s="163"/>
      <c r="H612" s="315"/>
    </row>
    <row r="613">
      <c r="F613" s="163"/>
      <c r="G613" s="163"/>
      <c r="H613" s="315"/>
    </row>
    <row r="614">
      <c r="F614" s="163"/>
      <c r="G614" s="163"/>
      <c r="H614" s="315"/>
    </row>
    <row r="615">
      <c r="F615" s="163"/>
      <c r="G615" s="163"/>
      <c r="H615" s="315"/>
    </row>
    <row r="616">
      <c r="F616" s="163"/>
      <c r="G616" s="163"/>
      <c r="H616" s="315"/>
    </row>
    <row r="617">
      <c r="F617" s="163"/>
      <c r="G617" s="163"/>
      <c r="H617" s="315"/>
    </row>
    <row r="618">
      <c r="F618" s="163"/>
      <c r="G618" s="163"/>
      <c r="H618" s="315"/>
    </row>
    <row r="619">
      <c r="F619" s="163"/>
      <c r="G619" s="163"/>
      <c r="H619" s="315"/>
    </row>
    <row r="620">
      <c r="F620" s="163"/>
      <c r="G620" s="163"/>
      <c r="H620" s="315"/>
    </row>
    <row r="621">
      <c r="F621" s="163"/>
      <c r="G621" s="163"/>
      <c r="H621" s="315"/>
    </row>
    <row r="622">
      <c r="F622" s="163"/>
      <c r="G622" s="163"/>
      <c r="H622" s="315"/>
    </row>
    <row r="623">
      <c r="F623" s="163"/>
      <c r="G623" s="163"/>
      <c r="H623" s="315"/>
    </row>
    <row r="624">
      <c r="F624" s="163"/>
      <c r="G624" s="163"/>
      <c r="H624" s="315"/>
    </row>
    <row r="625">
      <c r="F625" s="163"/>
      <c r="G625" s="163"/>
      <c r="H625" s="315"/>
    </row>
    <row r="626">
      <c r="F626" s="163"/>
      <c r="G626" s="163"/>
      <c r="H626" s="315"/>
    </row>
    <row r="627">
      <c r="F627" s="163"/>
      <c r="G627" s="163"/>
      <c r="H627" s="315"/>
    </row>
    <row r="628">
      <c r="F628" s="163"/>
      <c r="G628" s="163"/>
      <c r="H628" s="315"/>
    </row>
    <row r="629">
      <c r="F629" s="163"/>
      <c r="G629" s="163"/>
      <c r="H629" s="315"/>
    </row>
    <row r="630">
      <c r="F630" s="163"/>
      <c r="G630" s="163"/>
      <c r="H630" s="315"/>
    </row>
    <row r="631">
      <c r="F631" s="163"/>
      <c r="G631" s="163"/>
      <c r="H631" s="315"/>
    </row>
    <row r="632">
      <c r="F632" s="163"/>
      <c r="G632" s="163"/>
      <c r="H632" s="315"/>
    </row>
    <row r="633">
      <c r="F633" s="163"/>
      <c r="G633" s="163"/>
      <c r="H633" s="315"/>
    </row>
    <row r="634">
      <c r="F634" s="163"/>
      <c r="G634" s="163"/>
      <c r="H634" s="315"/>
    </row>
    <row r="635">
      <c r="F635" s="163"/>
      <c r="G635" s="163"/>
      <c r="H635" s="315"/>
    </row>
    <row r="636">
      <c r="F636" s="163"/>
      <c r="G636" s="163"/>
      <c r="H636" s="315"/>
    </row>
    <row r="637">
      <c r="F637" s="163"/>
      <c r="G637" s="163"/>
      <c r="H637" s="315"/>
    </row>
    <row r="638">
      <c r="F638" s="163"/>
      <c r="G638" s="163"/>
      <c r="H638" s="315"/>
    </row>
    <row r="639">
      <c r="F639" s="163"/>
      <c r="G639" s="163"/>
      <c r="H639" s="315"/>
    </row>
    <row r="640">
      <c r="F640" s="163"/>
      <c r="G640" s="163"/>
      <c r="H640" s="315"/>
    </row>
    <row r="641">
      <c r="F641" s="163"/>
      <c r="G641" s="163"/>
      <c r="H641" s="315"/>
    </row>
    <row r="642">
      <c r="F642" s="163"/>
      <c r="G642" s="163"/>
      <c r="H642" s="315"/>
    </row>
    <row r="643">
      <c r="F643" s="163"/>
      <c r="G643" s="163"/>
      <c r="H643" s="315"/>
    </row>
    <row r="644">
      <c r="F644" s="163"/>
      <c r="G644" s="163"/>
      <c r="H644" s="315"/>
    </row>
    <row r="645">
      <c r="F645" s="163"/>
      <c r="G645" s="163"/>
      <c r="H645" s="315"/>
    </row>
    <row r="646">
      <c r="F646" s="163"/>
      <c r="G646" s="163"/>
      <c r="H646" s="315"/>
    </row>
    <row r="647">
      <c r="F647" s="163"/>
      <c r="G647" s="163"/>
      <c r="H647" s="315"/>
    </row>
    <row r="648">
      <c r="F648" s="163"/>
      <c r="G648" s="163"/>
      <c r="H648" s="315"/>
    </row>
    <row r="649">
      <c r="F649" s="163"/>
      <c r="G649" s="163"/>
      <c r="H649" s="315"/>
    </row>
    <row r="650">
      <c r="F650" s="163"/>
      <c r="G650" s="163"/>
      <c r="H650" s="315"/>
    </row>
    <row r="651">
      <c r="F651" s="163"/>
      <c r="G651" s="163"/>
      <c r="H651" s="315"/>
    </row>
    <row r="652">
      <c r="F652" s="163"/>
      <c r="G652" s="163"/>
      <c r="H652" s="315"/>
    </row>
    <row r="653">
      <c r="F653" s="163"/>
      <c r="G653" s="163"/>
      <c r="H653" s="315"/>
    </row>
    <row r="654">
      <c r="F654" s="163"/>
      <c r="G654" s="163"/>
      <c r="H654" s="315"/>
    </row>
    <row r="655">
      <c r="F655" s="163"/>
      <c r="G655" s="163"/>
      <c r="H655" s="315"/>
    </row>
    <row r="656">
      <c r="F656" s="163"/>
      <c r="G656" s="163"/>
      <c r="H656" s="315"/>
    </row>
    <row r="657">
      <c r="F657" s="163"/>
      <c r="G657" s="163"/>
      <c r="H657" s="315"/>
    </row>
    <row r="658">
      <c r="F658" s="163"/>
      <c r="G658" s="163"/>
      <c r="H658" s="315"/>
    </row>
    <row r="659">
      <c r="F659" s="163"/>
      <c r="G659" s="163"/>
      <c r="H659" s="315"/>
    </row>
    <row r="660">
      <c r="F660" s="163"/>
      <c r="G660" s="163"/>
      <c r="H660" s="315"/>
    </row>
    <row r="661">
      <c r="F661" s="163"/>
      <c r="G661" s="163"/>
      <c r="H661" s="315"/>
    </row>
    <row r="662">
      <c r="F662" s="163"/>
      <c r="G662" s="163"/>
      <c r="H662" s="315"/>
    </row>
    <row r="663">
      <c r="F663" s="163"/>
      <c r="G663" s="163"/>
      <c r="H663" s="315"/>
    </row>
    <row r="664">
      <c r="F664" s="163"/>
      <c r="G664" s="163"/>
      <c r="H664" s="315"/>
    </row>
    <row r="665">
      <c r="F665" s="163"/>
      <c r="G665" s="163"/>
      <c r="H665" s="315"/>
    </row>
    <row r="666">
      <c r="F666" s="163"/>
      <c r="G666" s="163"/>
      <c r="H666" s="315"/>
    </row>
    <row r="667">
      <c r="F667" s="163"/>
      <c r="G667" s="163"/>
      <c r="H667" s="315"/>
    </row>
    <row r="668">
      <c r="F668" s="163"/>
      <c r="G668" s="163"/>
      <c r="H668" s="315"/>
    </row>
    <row r="669">
      <c r="F669" s="163"/>
      <c r="G669" s="163"/>
      <c r="H669" s="315"/>
    </row>
    <row r="670">
      <c r="F670" s="163"/>
      <c r="G670" s="163"/>
      <c r="H670" s="315"/>
    </row>
    <row r="671">
      <c r="F671" s="163"/>
      <c r="G671" s="163"/>
      <c r="H671" s="315"/>
    </row>
    <row r="672">
      <c r="F672" s="163"/>
      <c r="G672" s="163"/>
      <c r="H672" s="315"/>
    </row>
    <row r="673">
      <c r="F673" s="163"/>
      <c r="G673" s="163"/>
      <c r="H673" s="315"/>
    </row>
    <row r="674">
      <c r="F674" s="163"/>
      <c r="G674" s="163"/>
      <c r="H674" s="315"/>
    </row>
    <row r="675">
      <c r="F675" s="163"/>
      <c r="G675" s="163"/>
      <c r="H675" s="315"/>
    </row>
    <row r="676">
      <c r="F676" s="163"/>
      <c r="G676" s="163"/>
      <c r="H676" s="315"/>
    </row>
    <row r="677">
      <c r="F677" s="163"/>
      <c r="G677" s="163"/>
      <c r="H677" s="315"/>
    </row>
    <row r="678">
      <c r="F678" s="163"/>
      <c r="G678" s="163"/>
      <c r="H678" s="315"/>
    </row>
    <row r="679">
      <c r="F679" s="163"/>
      <c r="G679" s="163"/>
      <c r="H679" s="315"/>
    </row>
    <row r="680">
      <c r="F680" s="163"/>
      <c r="G680" s="163"/>
      <c r="H680" s="315"/>
    </row>
    <row r="681">
      <c r="F681" s="163"/>
      <c r="G681" s="163"/>
      <c r="H681" s="315"/>
    </row>
    <row r="682">
      <c r="F682" s="163"/>
      <c r="G682" s="163"/>
      <c r="H682" s="315"/>
    </row>
    <row r="683">
      <c r="F683" s="163"/>
      <c r="G683" s="163"/>
      <c r="H683" s="315"/>
    </row>
    <row r="684">
      <c r="F684" s="163"/>
      <c r="G684" s="163"/>
      <c r="H684" s="315"/>
    </row>
    <row r="685">
      <c r="F685" s="163"/>
      <c r="G685" s="163"/>
      <c r="H685" s="315"/>
    </row>
    <row r="686">
      <c r="F686" s="163"/>
      <c r="G686" s="163"/>
      <c r="H686" s="315"/>
    </row>
    <row r="687">
      <c r="F687" s="163"/>
      <c r="G687" s="163"/>
      <c r="H687" s="315"/>
    </row>
    <row r="688">
      <c r="F688" s="163"/>
      <c r="G688" s="163"/>
      <c r="H688" s="315"/>
    </row>
    <row r="689">
      <c r="F689" s="163"/>
      <c r="G689" s="163"/>
      <c r="H689" s="315"/>
    </row>
    <row r="690">
      <c r="F690" s="163"/>
      <c r="G690" s="163"/>
      <c r="H690" s="315"/>
    </row>
    <row r="691">
      <c r="F691" s="163"/>
      <c r="G691" s="163"/>
      <c r="H691" s="315"/>
    </row>
    <row r="692">
      <c r="F692" s="163"/>
      <c r="G692" s="163"/>
      <c r="H692" s="315"/>
    </row>
    <row r="693">
      <c r="F693" s="163"/>
      <c r="G693" s="163"/>
      <c r="H693" s="315"/>
    </row>
    <row r="694">
      <c r="F694" s="163"/>
      <c r="G694" s="163"/>
      <c r="H694" s="315"/>
    </row>
    <row r="695">
      <c r="F695" s="163"/>
      <c r="G695" s="163"/>
      <c r="H695" s="315"/>
    </row>
    <row r="696">
      <c r="F696" s="163"/>
      <c r="G696" s="163"/>
      <c r="H696" s="315"/>
    </row>
    <row r="697">
      <c r="F697" s="163"/>
      <c r="G697" s="163"/>
      <c r="H697" s="315"/>
    </row>
    <row r="698">
      <c r="F698" s="163"/>
      <c r="G698" s="163"/>
      <c r="H698" s="315"/>
    </row>
    <row r="699">
      <c r="F699" s="163"/>
      <c r="G699" s="163"/>
      <c r="H699" s="315"/>
    </row>
    <row r="700">
      <c r="F700" s="163"/>
      <c r="G700" s="163"/>
      <c r="H700" s="315"/>
    </row>
    <row r="701">
      <c r="F701" s="163"/>
      <c r="G701" s="163"/>
      <c r="H701" s="315"/>
    </row>
    <row r="702">
      <c r="F702" s="163"/>
      <c r="G702" s="163"/>
      <c r="H702" s="315"/>
    </row>
    <row r="703">
      <c r="F703" s="163"/>
      <c r="G703" s="163"/>
      <c r="H703" s="315"/>
    </row>
    <row r="704">
      <c r="F704" s="163"/>
      <c r="G704" s="163"/>
      <c r="H704" s="315"/>
    </row>
    <row r="705">
      <c r="F705" s="163"/>
      <c r="G705" s="163"/>
      <c r="H705" s="315"/>
    </row>
    <row r="706">
      <c r="F706" s="163"/>
      <c r="G706" s="163"/>
      <c r="H706" s="315"/>
    </row>
    <row r="707">
      <c r="F707" s="163"/>
      <c r="G707" s="163"/>
      <c r="H707" s="315"/>
    </row>
    <row r="708">
      <c r="F708" s="163"/>
      <c r="G708" s="163"/>
      <c r="H708" s="315"/>
    </row>
    <row r="709">
      <c r="F709" s="163"/>
      <c r="G709" s="163"/>
      <c r="H709" s="315"/>
    </row>
    <row r="710">
      <c r="F710" s="163"/>
      <c r="G710" s="163"/>
      <c r="H710" s="315"/>
    </row>
    <row r="711">
      <c r="F711" s="163"/>
      <c r="G711" s="163"/>
      <c r="H711" s="315"/>
    </row>
    <row r="712">
      <c r="F712" s="163"/>
      <c r="G712" s="163"/>
      <c r="H712" s="315"/>
    </row>
    <row r="713">
      <c r="F713" s="163"/>
      <c r="G713" s="163"/>
      <c r="H713" s="315"/>
    </row>
    <row r="714">
      <c r="F714" s="163"/>
      <c r="G714" s="163"/>
      <c r="H714" s="315"/>
    </row>
    <row r="715">
      <c r="F715" s="163"/>
      <c r="G715" s="163"/>
      <c r="H715" s="315"/>
    </row>
    <row r="716">
      <c r="F716" s="163"/>
      <c r="G716" s="163"/>
      <c r="H716" s="315"/>
    </row>
    <row r="717">
      <c r="F717" s="163"/>
      <c r="G717" s="163"/>
      <c r="H717" s="315"/>
    </row>
    <row r="718">
      <c r="F718" s="163"/>
      <c r="G718" s="163"/>
      <c r="H718" s="315"/>
    </row>
    <row r="719">
      <c r="F719" s="163"/>
      <c r="G719" s="163"/>
      <c r="H719" s="315"/>
    </row>
    <row r="720">
      <c r="F720" s="163"/>
      <c r="G720" s="163"/>
      <c r="H720" s="315"/>
    </row>
    <row r="721">
      <c r="F721" s="163"/>
      <c r="G721" s="163"/>
      <c r="H721" s="315"/>
    </row>
    <row r="722">
      <c r="F722" s="163"/>
      <c r="G722" s="163"/>
      <c r="H722" s="315"/>
    </row>
    <row r="723">
      <c r="F723" s="163"/>
      <c r="G723" s="163"/>
      <c r="H723" s="315"/>
    </row>
    <row r="724">
      <c r="F724" s="163"/>
      <c r="G724" s="163"/>
      <c r="H724" s="315"/>
    </row>
    <row r="725">
      <c r="F725" s="163"/>
      <c r="G725" s="163"/>
      <c r="H725" s="315"/>
    </row>
    <row r="726">
      <c r="F726" s="163"/>
      <c r="G726" s="163"/>
      <c r="H726" s="315"/>
    </row>
    <row r="727">
      <c r="F727" s="163"/>
      <c r="G727" s="163"/>
      <c r="H727" s="315"/>
    </row>
    <row r="728">
      <c r="F728" s="163"/>
      <c r="G728" s="163"/>
      <c r="H728" s="315"/>
    </row>
    <row r="729">
      <c r="F729" s="163"/>
      <c r="G729" s="163"/>
      <c r="H729" s="315"/>
    </row>
    <row r="730">
      <c r="F730" s="163"/>
      <c r="G730" s="163"/>
      <c r="H730" s="315"/>
    </row>
    <row r="731">
      <c r="F731" s="163"/>
      <c r="G731" s="163"/>
      <c r="H731" s="315"/>
    </row>
    <row r="732">
      <c r="F732" s="163"/>
      <c r="G732" s="163"/>
      <c r="H732" s="315"/>
    </row>
    <row r="733">
      <c r="F733" s="163"/>
      <c r="G733" s="163"/>
      <c r="H733" s="315"/>
    </row>
    <row r="734">
      <c r="F734" s="163"/>
      <c r="G734" s="163"/>
      <c r="H734" s="315"/>
    </row>
    <row r="735">
      <c r="F735" s="163"/>
      <c r="G735" s="163"/>
      <c r="H735" s="315"/>
    </row>
    <row r="736">
      <c r="F736" s="163"/>
      <c r="G736" s="163"/>
      <c r="H736" s="315"/>
    </row>
    <row r="737">
      <c r="F737" s="163"/>
      <c r="G737" s="163"/>
      <c r="H737" s="315"/>
    </row>
    <row r="738">
      <c r="F738" s="163"/>
      <c r="G738" s="163"/>
      <c r="H738" s="315"/>
    </row>
    <row r="739">
      <c r="F739" s="163"/>
      <c r="G739" s="163"/>
      <c r="H739" s="315"/>
    </row>
    <row r="740">
      <c r="F740" s="163"/>
      <c r="G740" s="163"/>
      <c r="H740" s="315"/>
    </row>
    <row r="741">
      <c r="F741" s="163"/>
      <c r="G741" s="163"/>
      <c r="H741" s="315"/>
    </row>
    <row r="742">
      <c r="F742" s="163"/>
      <c r="G742" s="163"/>
      <c r="H742" s="315"/>
    </row>
    <row r="743">
      <c r="F743" s="163"/>
      <c r="G743" s="163"/>
      <c r="H743" s="315"/>
    </row>
    <row r="744">
      <c r="F744" s="163"/>
      <c r="G744" s="163"/>
      <c r="H744" s="315"/>
    </row>
    <row r="745">
      <c r="F745" s="163"/>
      <c r="G745" s="163"/>
      <c r="H745" s="315"/>
    </row>
    <row r="746">
      <c r="F746" s="163"/>
      <c r="G746" s="163"/>
      <c r="H746" s="315"/>
    </row>
    <row r="747">
      <c r="F747" s="163"/>
      <c r="G747" s="163"/>
      <c r="H747" s="315"/>
    </row>
    <row r="748">
      <c r="F748" s="163"/>
      <c r="G748" s="163"/>
      <c r="H748" s="315"/>
    </row>
    <row r="749">
      <c r="F749" s="163"/>
      <c r="G749" s="163"/>
      <c r="H749" s="315"/>
    </row>
    <row r="750">
      <c r="F750" s="163"/>
      <c r="G750" s="163"/>
      <c r="H750" s="315"/>
    </row>
    <row r="751">
      <c r="F751" s="163"/>
      <c r="G751" s="163"/>
      <c r="H751" s="315"/>
    </row>
    <row r="752">
      <c r="F752" s="163"/>
      <c r="G752" s="163"/>
      <c r="H752" s="315"/>
    </row>
    <row r="753">
      <c r="F753" s="163"/>
      <c r="G753" s="163"/>
      <c r="H753" s="315"/>
    </row>
    <row r="754">
      <c r="F754" s="163"/>
      <c r="G754" s="163"/>
      <c r="H754" s="315"/>
    </row>
    <row r="755">
      <c r="F755" s="163"/>
      <c r="G755" s="163"/>
      <c r="H755" s="315"/>
    </row>
    <row r="756">
      <c r="F756" s="163"/>
      <c r="G756" s="163"/>
      <c r="H756" s="315"/>
    </row>
    <row r="757">
      <c r="F757" s="163"/>
      <c r="G757" s="163"/>
      <c r="H757" s="315"/>
    </row>
    <row r="758">
      <c r="F758" s="163"/>
      <c r="G758" s="163"/>
      <c r="H758" s="315"/>
    </row>
    <row r="759">
      <c r="F759" s="163"/>
      <c r="G759" s="163"/>
      <c r="H759" s="315"/>
    </row>
    <row r="760">
      <c r="F760" s="163"/>
      <c r="G760" s="163"/>
      <c r="H760" s="315"/>
    </row>
    <row r="761">
      <c r="F761" s="163"/>
      <c r="G761" s="163"/>
      <c r="H761" s="315"/>
    </row>
    <row r="762">
      <c r="F762" s="163"/>
      <c r="G762" s="163"/>
      <c r="H762" s="315"/>
    </row>
    <row r="763">
      <c r="F763" s="163"/>
      <c r="G763" s="163"/>
      <c r="H763" s="315"/>
    </row>
    <row r="764">
      <c r="F764" s="163"/>
      <c r="G764" s="163"/>
      <c r="H764" s="315"/>
    </row>
    <row r="765">
      <c r="F765" s="163"/>
      <c r="G765" s="163"/>
      <c r="H765" s="315"/>
    </row>
    <row r="766">
      <c r="F766" s="163"/>
      <c r="G766" s="163"/>
      <c r="H766" s="315"/>
    </row>
    <row r="767">
      <c r="F767" s="163"/>
      <c r="G767" s="163"/>
      <c r="H767" s="315"/>
    </row>
    <row r="768">
      <c r="F768" s="163"/>
      <c r="G768" s="163"/>
      <c r="H768" s="315"/>
    </row>
    <row r="769">
      <c r="F769" s="163"/>
      <c r="G769" s="163"/>
      <c r="H769" s="315"/>
    </row>
    <row r="770">
      <c r="F770" s="163"/>
      <c r="G770" s="163"/>
      <c r="H770" s="315"/>
    </row>
    <row r="771">
      <c r="F771" s="163"/>
      <c r="G771" s="163"/>
      <c r="H771" s="315"/>
    </row>
    <row r="772">
      <c r="F772" s="163"/>
      <c r="G772" s="163"/>
      <c r="H772" s="315"/>
    </row>
    <row r="773">
      <c r="F773" s="163"/>
      <c r="G773" s="163"/>
      <c r="H773" s="315"/>
    </row>
    <row r="774">
      <c r="F774" s="163"/>
      <c r="G774" s="163"/>
      <c r="H774" s="315"/>
    </row>
    <row r="775">
      <c r="F775" s="163"/>
      <c r="G775" s="163"/>
      <c r="H775" s="315"/>
    </row>
    <row r="776">
      <c r="F776" s="163"/>
      <c r="G776" s="163"/>
      <c r="H776" s="315"/>
    </row>
    <row r="777">
      <c r="F777" s="163"/>
      <c r="G777" s="163"/>
      <c r="H777" s="315"/>
    </row>
    <row r="778">
      <c r="F778" s="163"/>
      <c r="G778" s="163"/>
      <c r="H778" s="315"/>
    </row>
    <row r="779">
      <c r="F779" s="163"/>
      <c r="G779" s="163"/>
      <c r="H779" s="315"/>
    </row>
    <row r="780">
      <c r="F780" s="163"/>
      <c r="G780" s="163"/>
      <c r="H780" s="315"/>
    </row>
    <row r="781">
      <c r="F781" s="163"/>
      <c r="G781" s="163"/>
      <c r="H781" s="315"/>
    </row>
    <row r="782">
      <c r="F782" s="163"/>
      <c r="G782" s="163"/>
      <c r="H782" s="315"/>
    </row>
    <row r="783">
      <c r="F783" s="163"/>
      <c r="G783" s="163"/>
      <c r="H783" s="315"/>
    </row>
    <row r="784">
      <c r="F784" s="163"/>
      <c r="G784" s="163"/>
      <c r="H784" s="315"/>
    </row>
    <row r="785">
      <c r="F785" s="163"/>
      <c r="G785" s="163"/>
      <c r="H785" s="315"/>
    </row>
    <row r="786">
      <c r="F786" s="163"/>
      <c r="G786" s="163"/>
      <c r="H786" s="315"/>
    </row>
    <row r="787">
      <c r="F787" s="163"/>
      <c r="G787" s="163"/>
      <c r="H787" s="315"/>
    </row>
    <row r="788">
      <c r="F788" s="163"/>
      <c r="G788" s="163"/>
      <c r="H788" s="315"/>
    </row>
    <row r="789">
      <c r="F789" s="163"/>
      <c r="G789" s="163"/>
      <c r="H789" s="315"/>
    </row>
    <row r="790">
      <c r="F790" s="163"/>
      <c r="G790" s="163"/>
      <c r="H790" s="315"/>
    </row>
    <row r="791">
      <c r="F791" s="163"/>
      <c r="G791" s="163"/>
      <c r="H791" s="315"/>
    </row>
    <row r="792">
      <c r="F792" s="163"/>
      <c r="G792" s="163"/>
      <c r="H792" s="315"/>
    </row>
    <row r="793">
      <c r="F793" s="163"/>
      <c r="G793" s="163"/>
      <c r="H793" s="315"/>
    </row>
    <row r="794">
      <c r="F794" s="163"/>
      <c r="G794" s="163"/>
      <c r="H794" s="315"/>
    </row>
    <row r="795">
      <c r="F795" s="163"/>
      <c r="G795" s="163"/>
      <c r="H795" s="315"/>
    </row>
    <row r="796">
      <c r="F796" s="163"/>
      <c r="G796" s="163"/>
      <c r="H796" s="315"/>
    </row>
    <row r="797">
      <c r="F797" s="163"/>
      <c r="G797" s="163"/>
      <c r="H797" s="315"/>
    </row>
    <row r="798">
      <c r="F798" s="163"/>
      <c r="G798" s="163"/>
      <c r="H798" s="315"/>
    </row>
    <row r="799">
      <c r="F799" s="163"/>
      <c r="G799" s="163"/>
      <c r="H799" s="315"/>
    </row>
    <row r="800">
      <c r="F800" s="163"/>
      <c r="G800" s="163"/>
      <c r="H800" s="315"/>
    </row>
    <row r="801">
      <c r="F801" s="163"/>
      <c r="G801" s="163"/>
      <c r="H801" s="315"/>
    </row>
    <row r="802">
      <c r="F802" s="163"/>
      <c r="G802" s="163"/>
      <c r="H802" s="315"/>
    </row>
    <row r="803">
      <c r="F803" s="163"/>
      <c r="G803" s="163"/>
      <c r="H803" s="315"/>
    </row>
    <row r="804">
      <c r="F804" s="163"/>
      <c r="G804" s="163"/>
      <c r="H804" s="315"/>
    </row>
    <row r="805">
      <c r="F805" s="163"/>
      <c r="G805" s="163"/>
      <c r="H805" s="315"/>
    </row>
    <row r="806">
      <c r="F806" s="163"/>
      <c r="G806" s="163"/>
      <c r="H806" s="315"/>
    </row>
    <row r="807">
      <c r="F807" s="163"/>
      <c r="G807" s="163"/>
      <c r="H807" s="315"/>
    </row>
    <row r="808">
      <c r="F808" s="163"/>
      <c r="G808" s="163"/>
      <c r="H808" s="315"/>
    </row>
    <row r="809">
      <c r="F809" s="163"/>
      <c r="G809" s="163"/>
      <c r="H809" s="315"/>
    </row>
    <row r="810">
      <c r="F810" s="163"/>
      <c r="G810" s="163"/>
      <c r="H810" s="315"/>
    </row>
    <row r="811">
      <c r="F811" s="163"/>
      <c r="G811" s="163"/>
      <c r="H811" s="315"/>
    </row>
    <row r="812">
      <c r="F812" s="163"/>
      <c r="G812" s="163"/>
      <c r="H812" s="315"/>
    </row>
    <row r="813">
      <c r="F813" s="163"/>
      <c r="G813" s="163"/>
      <c r="H813" s="315"/>
    </row>
    <row r="814">
      <c r="F814" s="163"/>
      <c r="G814" s="163"/>
      <c r="H814" s="315"/>
    </row>
    <row r="815">
      <c r="F815" s="163"/>
      <c r="G815" s="163"/>
      <c r="H815" s="315"/>
    </row>
    <row r="816">
      <c r="F816" s="163"/>
      <c r="G816" s="163"/>
      <c r="H816" s="315"/>
    </row>
    <row r="817">
      <c r="F817" s="163"/>
      <c r="G817" s="163"/>
      <c r="H817" s="315"/>
    </row>
    <row r="818">
      <c r="F818" s="163"/>
      <c r="G818" s="163"/>
      <c r="H818" s="315"/>
    </row>
    <row r="819">
      <c r="F819" s="163"/>
      <c r="G819" s="163"/>
      <c r="H819" s="315"/>
    </row>
    <row r="820">
      <c r="F820" s="163"/>
      <c r="G820" s="163"/>
      <c r="H820" s="315"/>
    </row>
    <row r="821">
      <c r="F821" s="163"/>
      <c r="G821" s="163"/>
      <c r="H821" s="315"/>
    </row>
    <row r="822">
      <c r="F822" s="163"/>
      <c r="G822" s="163"/>
      <c r="H822" s="315"/>
    </row>
    <row r="823">
      <c r="F823" s="163"/>
      <c r="G823" s="163"/>
      <c r="H823" s="315"/>
    </row>
    <row r="824">
      <c r="F824" s="163"/>
      <c r="G824" s="163"/>
      <c r="H824" s="315"/>
    </row>
    <row r="825">
      <c r="F825" s="163"/>
      <c r="G825" s="163"/>
      <c r="H825" s="315"/>
    </row>
    <row r="826">
      <c r="F826" s="163"/>
      <c r="G826" s="163"/>
      <c r="H826" s="315"/>
    </row>
    <row r="827">
      <c r="F827" s="163"/>
      <c r="G827" s="163"/>
      <c r="H827" s="315"/>
    </row>
    <row r="828">
      <c r="F828" s="163"/>
      <c r="G828" s="163"/>
      <c r="H828" s="315"/>
    </row>
    <row r="829">
      <c r="F829" s="163"/>
      <c r="G829" s="163"/>
      <c r="H829" s="315"/>
    </row>
    <row r="830">
      <c r="F830" s="163"/>
      <c r="G830" s="163"/>
      <c r="H830" s="315"/>
    </row>
    <row r="831">
      <c r="F831" s="163"/>
      <c r="G831" s="163"/>
      <c r="H831" s="315"/>
    </row>
    <row r="832">
      <c r="F832" s="163"/>
      <c r="G832" s="163"/>
      <c r="H832" s="315"/>
    </row>
    <row r="833">
      <c r="F833" s="163"/>
      <c r="G833" s="163"/>
      <c r="H833" s="315"/>
    </row>
    <row r="834">
      <c r="F834" s="163"/>
      <c r="G834" s="163"/>
      <c r="H834" s="315"/>
    </row>
    <row r="835">
      <c r="F835" s="163"/>
      <c r="G835" s="163"/>
      <c r="H835" s="315"/>
    </row>
    <row r="836">
      <c r="F836" s="163"/>
      <c r="G836" s="163"/>
      <c r="H836" s="315"/>
    </row>
    <row r="837">
      <c r="F837" s="163"/>
      <c r="G837" s="163"/>
      <c r="H837" s="315"/>
    </row>
    <row r="838">
      <c r="F838" s="163"/>
      <c r="G838" s="163"/>
      <c r="H838" s="315"/>
    </row>
    <row r="839">
      <c r="F839" s="163"/>
      <c r="G839" s="163"/>
      <c r="H839" s="315"/>
    </row>
    <row r="840">
      <c r="F840" s="163"/>
      <c r="G840" s="163"/>
      <c r="H840" s="315"/>
    </row>
    <row r="841">
      <c r="F841" s="163"/>
      <c r="G841" s="163"/>
      <c r="H841" s="315"/>
    </row>
    <row r="842">
      <c r="F842" s="163"/>
      <c r="G842" s="163"/>
      <c r="H842" s="315"/>
    </row>
    <row r="843">
      <c r="F843" s="163"/>
      <c r="G843" s="163"/>
      <c r="H843" s="315"/>
    </row>
    <row r="844">
      <c r="F844" s="163"/>
      <c r="G844" s="163"/>
      <c r="H844" s="315"/>
    </row>
    <row r="845">
      <c r="F845" s="163"/>
      <c r="G845" s="163"/>
      <c r="H845" s="315"/>
    </row>
    <row r="846">
      <c r="F846" s="163"/>
      <c r="G846" s="163"/>
      <c r="H846" s="315"/>
    </row>
    <row r="847">
      <c r="F847" s="163"/>
      <c r="G847" s="163"/>
      <c r="H847" s="315"/>
    </row>
    <row r="848">
      <c r="F848" s="163"/>
      <c r="G848" s="163"/>
      <c r="H848" s="315"/>
    </row>
    <row r="849">
      <c r="F849" s="163"/>
      <c r="G849" s="163"/>
      <c r="H849" s="315"/>
    </row>
    <row r="850">
      <c r="F850" s="163"/>
      <c r="G850" s="163"/>
      <c r="H850" s="315"/>
    </row>
    <row r="851">
      <c r="F851" s="163"/>
      <c r="G851" s="163"/>
      <c r="H851" s="315"/>
    </row>
    <row r="852">
      <c r="F852" s="163"/>
      <c r="G852" s="163"/>
      <c r="H852" s="315"/>
    </row>
    <row r="853">
      <c r="F853" s="163"/>
      <c r="G853" s="163"/>
      <c r="H853" s="315"/>
    </row>
    <row r="854">
      <c r="F854" s="163"/>
      <c r="G854" s="163"/>
      <c r="H854" s="315"/>
    </row>
    <row r="855">
      <c r="F855" s="163"/>
      <c r="G855" s="163"/>
      <c r="H855" s="315"/>
    </row>
    <row r="856">
      <c r="F856" s="163"/>
      <c r="G856" s="163"/>
      <c r="H856" s="315"/>
    </row>
    <row r="857">
      <c r="F857" s="163"/>
      <c r="G857" s="163"/>
      <c r="H857" s="315"/>
    </row>
    <row r="858">
      <c r="F858" s="163"/>
      <c r="G858" s="163"/>
      <c r="H858" s="315"/>
    </row>
    <row r="859">
      <c r="F859" s="163"/>
      <c r="G859" s="163"/>
      <c r="H859" s="315"/>
    </row>
    <row r="860">
      <c r="F860" s="163"/>
      <c r="G860" s="163"/>
      <c r="H860" s="315"/>
    </row>
    <row r="861">
      <c r="F861" s="163"/>
      <c r="G861" s="163"/>
      <c r="H861" s="315"/>
    </row>
    <row r="862">
      <c r="F862" s="163"/>
      <c r="G862" s="163"/>
      <c r="H862" s="315"/>
    </row>
    <row r="863">
      <c r="F863" s="163"/>
      <c r="G863" s="163"/>
      <c r="H863" s="315"/>
    </row>
    <row r="864">
      <c r="F864" s="163"/>
      <c r="G864" s="163"/>
      <c r="H864" s="315"/>
    </row>
    <row r="865">
      <c r="F865" s="163"/>
      <c r="G865" s="163"/>
      <c r="H865" s="315"/>
    </row>
    <row r="866">
      <c r="F866" s="163"/>
      <c r="G866" s="163"/>
      <c r="H866" s="315"/>
    </row>
    <row r="867">
      <c r="F867" s="163"/>
      <c r="G867" s="163"/>
      <c r="H867" s="315"/>
    </row>
    <row r="868">
      <c r="F868" s="163"/>
      <c r="G868" s="163"/>
      <c r="H868" s="315"/>
    </row>
    <row r="869">
      <c r="F869" s="163"/>
      <c r="G869" s="163"/>
      <c r="H869" s="315"/>
    </row>
    <row r="870">
      <c r="F870" s="163"/>
      <c r="G870" s="163"/>
      <c r="H870" s="315"/>
    </row>
    <row r="871">
      <c r="F871" s="163"/>
      <c r="G871" s="163"/>
      <c r="H871" s="315"/>
    </row>
    <row r="872">
      <c r="F872" s="163"/>
      <c r="G872" s="163"/>
      <c r="H872" s="315"/>
    </row>
    <row r="873">
      <c r="F873" s="163"/>
      <c r="G873" s="163"/>
      <c r="H873" s="315"/>
    </row>
    <row r="874">
      <c r="F874" s="163"/>
      <c r="G874" s="163"/>
      <c r="H874" s="315"/>
    </row>
    <row r="875">
      <c r="F875" s="163"/>
      <c r="G875" s="163"/>
      <c r="H875" s="315"/>
    </row>
    <row r="876">
      <c r="F876" s="163"/>
      <c r="G876" s="163"/>
      <c r="H876" s="315"/>
    </row>
    <row r="877">
      <c r="F877" s="163"/>
      <c r="G877" s="163"/>
      <c r="H877" s="315"/>
    </row>
    <row r="878">
      <c r="F878" s="163"/>
      <c r="G878" s="163"/>
      <c r="H878" s="315"/>
    </row>
    <row r="879">
      <c r="F879" s="163"/>
      <c r="G879" s="163"/>
      <c r="H879" s="315"/>
    </row>
    <row r="880">
      <c r="F880" s="163"/>
      <c r="G880" s="163"/>
      <c r="H880" s="315"/>
    </row>
    <row r="881">
      <c r="F881" s="163"/>
      <c r="G881" s="163"/>
      <c r="H881" s="315"/>
    </row>
    <row r="882">
      <c r="F882" s="163"/>
      <c r="G882" s="163"/>
      <c r="H882" s="315"/>
    </row>
    <row r="883">
      <c r="F883" s="163"/>
      <c r="G883" s="163"/>
      <c r="H883" s="315"/>
    </row>
    <row r="884">
      <c r="F884" s="163"/>
      <c r="G884" s="163"/>
      <c r="H884" s="315"/>
    </row>
    <row r="885">
      <c r="F885" s="163"/>
      <c r="G885" s="163"/>
      <c r="H885" s="315"/>
    </row>
    <row r="886">
      <c r="F886" s="163"/>
      <c r="G886" s="163"/>
      <c r="H886" s="315"/>
    </row>
    <row r="887">
      <c r="F887" s="163"/>
      <c r="G887" s="163"/>
      <c r="H887" s="315"/>
    </row>
    <row r="888">
      <c r="F888" s="163"/>
      <c r="G888" s="163"/>
      <c r="H888" s="315"/>
    </row>
    <row r="889">
      <c r="F889" s="163"/>
      <c r="G889" s="163"/>
      <c r="H889" s="315"/>
    </row>
    <row r="890">
      <c r="F890" s="163"/>
      <c r="G890" s="163"/>
      <c r="H890" s="315"/>
    </row>
    <row r="891">
      <c r="F891" s="163"/>
      <c r="G891" s="163"/>
      <c r="H891" s="315"/>
    </row>
    <row r="892">
      <c r="F892" s="163"/>
      <c r="G892" s="163"/>
      <c r="H892" s="315"/>
    </row>
    <row r="893">
      <c r="F893" s="163"/>
      <c r="G893" s="163"/>
      <c r="H893" s="315"/>
    </row>
    <row r="894">
      <c r="F894" s="163"/>
      <c r="G894" s="163"/>
      <c r="H894" s="315"/>
    </row>
    <row r="895">
      <c r="F895" s="163"/>
      <c r="G895" s="163"/>
      <c r="H895" s="315"/>
    </row>
    <row r="896">
      <c r="F896" s="163"/>
      <c r="G896" s="163"/>
      <c r="H896" s="315"/>
    </row>
    <row r="897">
      <c r="F897" s="163"/>
      <c r="G897" s="163"/>
      <c r="H897" s="315"/>
    </row>
    <row r="898">
      <c r="F898" s="163"/>
      <c r="G898" s="163"/>
      <c r="H898" s="315"/>
    </row>
    <row r="899">
      <c r="F899" s="163"/>
      <c r="G899" s="163"/>
      <c r="H899" s="315"/>
    </row>
    <row r="900">
      <c r="F900" s="163"/>
      <c r="G900" s="163"/>
      <c r="H900" s="315"/>
    </row>
    <row r="901">
      <c r="F901" s="163"/>
      <c r="G901" s="163"/>
      <c r="H901" s="315"/>
    </row>
    <row r="902">
      <c r="F902" s="163"/>
      <c r="G902" s="163"/>
      <c r="H902" s="315"/>
    </row>
    <row r="903">
      <c r="F903" s="163"/>
      <c r="G903" s="163"/>
      <c r="H903" s="315"/>
    </row>
    <row r="904">
      <c r="F904" s="163"/>
      <c r="G904" s="163"/>
      <c r="H904" s="315"/>
    </row>
    <row r="905">
      <c r="F905" s="163"/>
      <c r="G905" s="163"/>
      <c r="H905" s="315"/>
    </row>
    <row r="906">
      <c r="F906" s="163"/>
      <c r="G906" s="163"/>
      <c r="H906" s="315"/>
    </row>
    <row r="907">
      <c r="F907" s="163"/>
      <c r="G907" s="163"/>
      <c r="H907" s="315"/>
    </row>
    <row r="908">
      <c r="F908" s="163"/>
      <c r="G908" s="163"/>
      <c r="H908" s="315"/>
    </row>
    <row r="909">
      <c r="F909" s="163"/>
      <c r="G909" s="163"/>
      <c r="H909" s="315"/>
    </row>
    <row r="910">
      <c r="F910" s="163"/>
      <c r="G910" s="163"/>
      <c r="H910" s="315"/>
    </row>
    <row r="911">
      <c r="F911" s="163"/>
      <c r="G911" s="163"/>
      <c r="H911" s="315"/>
    </row>
    <row r="912">
      <c r="F912" s="163"/>
      <c r="G912" s="163"/>
      <c r="H912" s="315"/>
    </row>
    <row r="913">
      <c r="F913" s="163"/>
      <c r="G913" s="163"/>
      <c r="H913" s="315"/>
    </row>
    <row r="914">
      <c r="F914" s="163"/>
      <c r="G914" s="163"/>
      <c r="H914" s="315"/>
    </row>
    <row r="915">
      <c r="F915" s="163"/>
      <c r="G915" s="163"/>
      <c r="H915" s="315"/>
    </row>
    <row r="916">
      <c r="F916" s="163"/>
      <c r="G916" s="163"/>
      <c r="H916" s="315"/>
    </row>
    <row r="917">
      <c r="F917" s="163"/>
      <c r="G917" s="163"/>
      <c r="H917" s="315"/>
    </row>
    <row r="918">
      <c r="F918" s="163"/>
      <c r="G918" s="163"/>
      <c r="H918" s="315"/>
    </row>
    <row r="919">
      <c r="F919" s="163"/>
      <c r="G919" s="163"/>
      <c r="H919" s="315"/>
    </row>
    <row r="920">
      <c r="F920" s="163"/>
      <c r="G920" s="163"/>
      <c r="H920" s="315"/>
    </row>
    <row r="921">
      <c r="F921" s="163"/>
      <c r="G921" s="163"/>
      <c r="H921" s="315"/>
    </row>
    <row r="922">
      <c r="F922" s="163"/>
      <c r="G922" s="163"/>
      <c r="H922" s="315"/>
    </row>
    <row r="923">
      <c r="F923" s="163"/>
      <c r="G923" s="163"/>
      <c r="H923" s="315"/>
    </row>
    <row r="924">
      <c r="F924" s="163"/>
      <c r="G924" s="163"/>
      <c r="H924" s="315"/>
    </row>
    <row r="925">
      <c r="F925" s="163"/>
      <c r="G925" s="163"/>
      <c r="H925" s="315"/>
    </row>
    <row r="926">
      <c r="F926" s="163"/>
      <c r="G926" s="163"/>
      <c r="H926" s="315"/>
    </row>
    <row r="927">
      <c r="F927" s="163"/>
      <c r="G927" s="163"/>
      <c r="H927" s="315"/>
    </row>
    <row r="928">
      <c r="F928" s="163"/>
      <c r="G928" s="163"/>
      <c r="H928" s="315"/>
    </row>
    <row r="929">
      <c r="F929" s="163"/>
      <c r="G929" s="163"/>
      <c r="H929" s="315"/>
    </row>
    <row r="930">
      <c r="F930" s="163"/>
      <c r="G930" s="163"/>
      <c r="H930" s="315"/>
    </row>
    <row r="931">
      <c r="F931" s="163"/>
      <c r="G931" s="163"/>
      <c r="H931" s="315"/>
    </row>
    <row r="932">
      <c r="F932" s="163"/>
      <c r="G932" s="163"/>
      <c r="H932" s="315"/>
    </row>
    <row r="933">
      <c r="F933" s="163"/>
      <c r="G933" s="163"/>
      <c r="H933" s="315"/>
    </row>
    <row r="934">
      <c r="F934" s="163"/>
      <c r="G934" s="163"/>
      <c r="H934" s="315"/>
    </row>
    <row r="935">
      <c r="F935" s="163"/>
      <c r="G935" s="163"/>
      <c r="H935" s="315"/>
    </row>
    <row r="936">
      <c r="F936" s="163"/>
      <c r="G936" s="163"/>
      <c r="H936" s="315"/>
    </row>
    <row r="937">
      <c r="F937" s="163"/>
      <c r="G937" s="163"/>
      <c r="H937" s="315"/>
    </row>
    <row r="938">
      <c r="F938" s="163"/>
      <c r="G938" s="163"/>
      <c r="H938" s="315"/>
    </row>
    <row r="939">
      <c r="F939" s="163"/>
      <c r="G939" s="163"/>
      <c r="H939" s="315"/>
    </row>
    <row r="940">
      <c r="F940" s="163"/>
      <c r="G940" s="163"/>
      <c r="H940" s="315"/>
    </row>
    <row r="941">
      <c r="F941" s="163"/>
      <c r="G941" s="163"/>
      <c r="H941" s="315"/>
    </row>
    <row r="942">
      <c r="F942" s="163"/>
      <c r="G942" s="163"/>
      <c r="H942" s="315"/>
    </row>
    <row r="943">
      <c r="F943" s="163"/>
      <c r="G943" s="163"/>
      <c r="H943" s="315"/>
    </row>
    <row r="944">
      <c r="F944" s="163"/>
      <c r="G944" s="163"/>
      <c r="H944" s="315"/>
    </row>
    <row r="945">
      <c r="F945" s="163"/>
      <c r="G945" s="163"/>
      <c r="H945" s="315"/>
    </row>
    <row r="946">
      <c r="F946" s="163"/>
      <c r="G946" s="163"/>
      <c r="H946" s="315"/>
    </row>
    <row r="947">
      <c r="F947" s="163"/>
      <c r="G947" s="163"/>
      <c r="H947" s="315"/>
    </row>
    <row r="948">
      <c r="F948" s="163"/>
      <c r="G948" s="163"/>
      <c r="H948" s="315"/>
    </row>
    <row r="949">
      <c r="F949" s="163"/>
      <c r="G949" s="163"/>
      <c r="H949" s="315"/>
    </row>
    <row r="950">
      <c r="F950" s="163"/>
      <c r="G950" s="163"/>
      <c r="H950" s="315"/>
    </row>
    <row r="951">
      <c r="F951" s="163"/>
      <c r="G951" s="163"/>
      <c r="H951" s="315"/>
    </row>
    <row r="952">
      <c r="F952" s="163"/>
      <c r="G952" s="163"/>
      <c r="H952" s="315"/>
    </row>
    <row r="953">
      <c r="F953" s="163"/>
      <c r="G953" s="163"/>
      <c r="H953" s="315"/>
    </row>
    <row r="954">
      <c r="F954" s="163"/>
      <c r="G954" s="163"/>
      <c r="H954" s="315"/>
    </row>
    <row r="955">
      <c r="F955" s="163"/>
      <c r="G955" s="163"/>
      <c r="H955" s="315"/>
    </row>
    <row r="956">
      <c r="F956" s="163"/>
      <c r="G956" s="163"/>
      <c r="H956" s="315"/>
    </row>
    <row r="957">
      <c r="F957" s="163"/>
      <c r="G957" s="163"/>
      <c r="H957" s="315"/>
    </row>
    <row r="958">
      <c r="F958" s="163"/>
      <c r="G958" s="163"/>
      <c r="H958" s="315"/>
    </row>
    <row r="959">
      <c r="F959" s="163"/>
      <c r="G959" s="163"/>
      <c r="H959" s="315"/>
    </row>
    <row r="960">
      <c r="F960" s="163"/>
      <c r="G960" s="163"/>
      <c r="H960" s="315"/>
    </row>
    <row r="961">
      <c r="F961" s="163"/>
      <c r="G961" s="163"/>
      <c r="H961" s="315"/>
    </row>
    <row r="962">
      <c r="F962" s="163"/>
      <c r="G962" s="163"/>
      <c r="H962" s="315"/>
    </row>
    <row r="963">
      <c r="F963" s="163"/>
      <c r="G963" s="163"/>
      <c r="H963" s="315"/>
    </row>
    <row r="964">
      <c r="F964" s="163"/>
      <c r="G964" s="163"/>
      <c r="H964" s="315"/>
    </row>
    <row r="965">
      <c r="F965" s="163"/>
      <c r="G965" s="163"/>
      <c r="H965" s="315"/>
    </row>
    <row r="966">
      <c r="F966" s="163"/>
      <c r="G966" s="163"/>
      <c r="H966" s="315"/>
    </row>
    <row r="967">
      <c r="F967" s="163"/>
      <c r="G967" s="163"/>
      <c r="H967" s="315"/>
    </row>
    <row r="968">
      <c r="F968" s="163"/>
      <c r="G968" s="163"/>
      <c r="H968" s="315"/>
    </row>
    <row r="969">
      <c r="F969" s="163"/>
      <c r="G969" s="163"/>
      <c r="H969" s="315"/>
    </row>
    <row r="970">
      <c r="F970" s="163"/>
      <c r="G970" s="163"/>
      <c r="H970" s="315"/>
    </row>
    <row r="971">
      <c r="F971" s="163"/>
      <c r="G971" s="163"/>
      <c r="H971" s="315"/>
    </row>
    <row r="972">
      <c r="F972" s="163"/>
      <c r="G972" s="163"/>
      <c r="H972" s="315"/>
    </row>
    <row r="973">
      <c r="F973" s="163"/>
      <c r="G973" s="163"/>
      <c r="H973" s="315"/>
    </row>
    <row r="974">
      <c r="F974" s="163"/>
      <c r="G974" s="163"/>
      <c r="H974" s="315"/>
    </row>
    <row r="975">
      <c r="F975" s="163"/>
      <c r="G975" s="163"/>
      <c r="H975" s="315"/>
    </row>
    <row r="976">
      <c r="F976" s="163"/>
      <c r="G976" s="163"/>
      <c r="H976" s="315"/>
    </row>
    <row r="977">
      <c r="F977" s="163"/>
      <c r="G977" s="163"/>
      <c r="H977" s="315"/>
    </row>
    <row r="978">
      <c r="F978" s="163"/>
      <c r="G978" s="163"/>
      <c r="H978" s="315"/>
    </row>
    <row r="979">
      <c r="F979" s="163"/>
      <c r="G979" s="163"/>
      <c r="H979" s="315"/>
    </row>
    <row r="980">
      <c r="F980" s="163"/>
      <c r="G980" s="163"/>
      <c r="H980" s="315"/>
    </row>
    <row r="981">
      <c r="F981" s="163"/>
      <c r="G981" s="163"/>
      <c r="H981" s="315"/>
    </row>
    <row r="982">
      <c r="F982" s="163"/>
      <c r="G982" s="163"/>
      <c r="H982" s="315"/>
    </row>
    <row r="983">
      <c r="F983" s="163"/>
      <c r="G983" s="163"/>
      <c r="H983" s="315"/>
    </row>
    <row r="984">
      <c r="F984" s="163"/>
      <c r="G984" s="163"/>
      <c r="H984" s="315"/>
    </row>
    <row r="985">
      <c r="F985" s="163"/>
      <c r="G985" s="163"/>
      <c r="H985" s="315"/>
    </row>
    <row r="986">
      <c r="F986" s="163"/>
      <c r="G986" s="163"/>
      <c r="H986" s="315"/>
    </row>
    <row r="987">
      <c r="F987" s="163"/>
      <c r="G987" s="163"/>
      <c r="H987" s="315"/>
    </row>
    <row r="988">
      <c r="F988" s="163"/>
      <c r="G988" s="163"/>
      <c r="H988" s="315"/>
    </row>
    <row r="989">
      <c r="F989" s="163"/>
      <c r="G989" s="163"/>
      <c r="H989" s="315"/>
    </row>
    <row r="990">
      <c r="F990" s="163"/>
      <c r="G990" s="163"/>
      <c r="H990" s="315"/>
    </row>
    <row r="991">
      <c r="F991" s="163"/>
      <c r="G991" s="163"/>
      <c r="H991" s="315"/>
    </row>
    <row r="992">
      <c r="F992" s="163"/>
      <c r="G992" s="163"/>
      <c r="H992" s="315"/>
    </row>
    <row r="993">
      <c r="F993" s="163"/>
      <c r="G993" s="163"/>
      <c r="H993" s="315"/>
    </row>
    <row r="994">
      <c r="F994" s="163"/>
      <c r="G994" s="163"/>
      <c r="H994" s="315"/>
    </row>
    <row r="995">
      <c r="F995" s="163"/>
      <c r="G995" s="163"/>
      <c r="H995" s="315"/>
    </row>
    <row r="996">
      <c r="F996" s="163"/>
      <c r="G996" s="163"/>
      <c r="H996" s="315"/>
    </row>
    <row r="997">
      <c r="F997" s="163"/>
      <c r="G997" s="163"/>
      <c r="H997" s="315"/>
    </row>
    <row r="998">
      <c r="F998" s="163"/>
      <c r="G998" s="163"/>
      <c r="H998" s="315"/>
    </row>
    <row r="999">
      <c r="F999" s="163"/>
      <c r="G999" s="163"/>
      <c r="H999" s="315"/>
    </row>
    <row r="1000">
      <c r="F1000" s="163"/>
      <c r="G1000" s="163"/>
      <c r="H1000" s="315"/>
    </row>
  </sheetData>
  <autoFilter ref="$A$1:$AA$12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6.5"/>
    <col customWidth="1" min="7" max="7" width="17.13"/>
    <col customWidth="1" min="8" max="8" width="10.88"/>
  </cols>
  <sheetData>
    <row r="1">
      <c r="G1" s="163"/>
    </row>
    <row r="2">
      <c r="G2" s="321"/>
    </row>
    <row r="3">
      <c r="G3" s="321"/>
    </row>
    <row r="4">
      <c r="G4" s="321"/>
    </row>
    <row r="5">
      <c r="G5" s="321"/>
    </row>
    <row r="6">
      <c r="G6" s="321"/>
    </row>
    <row r="7">
      <c r="G7" s="321"/>
    </row>
    <row r="8">
      <c r="G8" s="321"/>
    </row>
    <row r="9">
      <c r="G9" s="321"/>
    </row>
    <row r="10">
      <c r="G10" s="321"/>
    </row>
    <row r="11">
      <c r="G11" s="321"/>
    </row>
    <row r="12">
      <c r="G12" s="321"/>
    </row>
    <row r="13">
      <c r="G13" s="321"/>
    </row>
    <row r="14">
      <c r="G14" s="321"/>
    </row>
    <row r="15">
      <c r="G15" s="321"/>
    </row>
    <row r="16">
      <c r="G16" s="321"/>
    </row>
    <row r="17">
      <c r="G17" s="321"/>
    </row>
    <row r="18">
      <c r="G18" s="321"/>
    </row>
    <row r="19">
      <c r="G19" s="321"/>
    </row>
    <row r="20">
      <c r="G20" s="321"/>
    </row>
    <row r="21">
      <c r="G21" s="321"/>
    </row>
    <row r="22">
      <c r="G22" s="321"/>
    </row>
    <row r="23">
      <c r="G23" s="321"/>
    </row>
    <row r="24">
      <c r="G24" s="321"/>
    </row>
    <row r="25">
      <c r="G25" s="321"/>
    </row>
    <row r="26">
      <c r="G26" s="321"/>
    </row>
    <row r="27">
      <c r="G27" s="321"/>
    </row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>
      <c r="B78" s="318"/>
      <c r="C78" s="320"/>
      <c r="E78" s="320"/>
      <c r="F78" s="320"/>
    </row>
    <row r="79">
      <c r="B79" s="318"/>
      <c r="C79" s="320"/>
      <c r="E79" s="320"/>
      <c r="F79" s="320"/>
    </row>
    <row r="80">
      <c r="B80" s="318"/>
      <c r="C80" s="320"/>
      <c r="E80" s="320"/>
      <c r="F80" s="320"/>
    </row>
    <row r="81">
      <c r="B81" s="318"/>
      <c r="C81" s="320"/>
      <c r="E81" s="320"/>
      <c r="F81" s="320"/>
    </row>
    <row r="82">
      <c r="B82" s="318"/>
      <c r="C82" s="320"/>
      <c r="E82" s="320"/>
      <c r="F82" s="320"/>
    </row>
    <row r="83">
      <c r="B83" s="318"/>
      <c r="C83" s="320"/>
      <c r="E83" s="320"/>
      <c r="F83" s="320"/>
    </row>
    <row r="84">
      <c r="B84" s="318"/>
      <c r="C84" s="320"/>
      <c r="E84" s="320"/>
      <c r="F84" s="320"/>
    </row>
    <row r="85">
      <c r="B85" s="318"/>
      <c r="C85" s="320"/>
      <c r="E85" s="320"/>
      <c r="F85" s="320"/>
    </row>
    <row r="86">
      <c r="B86" s="318"/>
      <c r="C86" s="320"/>
      <c r="E86" s="320"/>
      <c r="F86" s="320"/>
    </row>
    <row r="87">
      <c r="B87" s="318"/>
      <c r="C87" s="320"/>
      <c r="E87" s="320"/>
      <c r="F87" s="320"/>
    </row>
    <row r="88">
      <c r="B88" s="318"/>
      <c r="C88" s="320"/>
      <c r="E88" s="320"/>
      <c r="F88" s="320"/>
    </row>
    <row r="89">
      <c r="B89" s="318"/>
      <c r="C89" s="320"/>
      <c r="E89" s="320"/>
      <c r="F89" s="320"/>
    </row>
    <row r="90">
      <c r="B90" s="318"/>
      <c r="C90" s="320"/>
      <c r="E90" s="320"/>
      <c r="F90" s="320"/>
    </row>
    <row r="91">
      <c r="B91" s="318"/>
      <c r="C91" s="320"/>
      <c r="E91" s="320"/>
      <c r="F91" s="320"/>
    </row>
    <row r="92">
      <c r="B92" s="318"/>
      <c r="C92" s="320"/>
      <c r="E92" s="320"/>
      <c r="F92" s="320"/>
    </row>
    <row r="93">
      <c r="B93" s="318"/>
      <c r="C93" s="320"/>
      <c r="E93" s="320"/>
      <c r="F93" s="320"/>
    </row>
    <row r="94">
      <c r="B94" s="318"/>
      <c r="C94" s="320"/>
      <c r="E94" s="320"/>
      <c r="F94" s="320"/>
    </row>
    <row r="95">
      <c r="B95" s="318"/>
      <c r="C95" s="320"/>
      <c r="E95" s="320"/>
      <c r="F95" s="320"/>
    </row>
    <row r="96">
      <c r="B96" s="318"/>
      <c r="C96" s="320"/>
      <c r="E96" s="320"/>
      <c r="F96" s="320"/>
    </row>
    <row r="97">
      <c r="B97" s="318"/>
      <c r="C97" s="320"/>
      <c r="E97" s="320"/>
      <c r="F97" s="320"/>
    </row>
    <row r="98">
      <c r="B98" s="318"/>
      <c r="C98" s="320"/>
      <c r="E98" s="320"/>
      <c r="F98" s="320"/>
    </row>
    <row r="99">
      <c r="B99" s="318"/>
      <c r="C99" s="320"/>
      <c r="E99" s="320"/>
      <c r="F99" s="320"/>
    </row>
    <row r="100">
      <c r="B100" s="318"/>
      <c r="C100" s="320"/>
      <c r="E100" s="320"/>
      <c r="F100" s="320"/>
    </row>
    <row r="101">
      <c r="B101" s="318"/>
      <c r="C101" s="320"/>
      <c r="E101" s="320"/>
      <c r="F101" s="320"/>
    </row>
    <row r="102">
      <c r="B102" s="318"/>
      <c r="C102" s="320"/>
      <c r="E102" s="320"/>
      <c r="F102" s="320"/>
    </row>
    <row r="103">
      <c r="B103" s="318"/>
      <c r="C103" s="320"/>
      <c r="E103" s="320"/>
      <c r="F103" s="320"/>
    </row>
    <row r="104">
      <c r="B104" s="318"/>
      <c r="C104" s="320"/>
      <c r="E104" s="320"/>
      <c r="F104" s="320"/>
    </row>
    <row r="105">
      <c r="B105" s="318"/>
      <c r="C105" s="320"/>
      <c r="E105" s="320"/>
      <c r="F105" s="320"/>
    </row>
    <row r="106">
      <c r="B106" s="318"/>
      <c r="C106" s="320"/>
      <c r="E106" s="320"/>
      <c r="F106" s="320"/>
    </row>
    <row r="107">
      <c r="B107" s="318"/>
      <c r="C107" s="320"/>
      <c r="E107" s="320"/>
      <c r="F107" s="320"/>
    </row>
    <row r="108">
      <c r="B108" s="318"/>
      <c r="C108" s="320"/>
      <c r="E108" s="320"/>
      <c r="F108" s="320"/>
    </row>
    <row r="109">
      <c r="B109" s="318"/>
      <c r="C109" s="320"/>
      <c r="E109" s="320"/>
      <c r="F109" s="320"/>
    </row>
    <row r="110">
      <c r="B110" s="318"/>
      <c r="C110" s="320"/>
      <c r="E110" s="320"/>
      <c r="F110" s="320"/>
    </row>
    <row r="111">
      <c r="B111" s="318"/>
      <c r="C111" s="320"/>
      <c r="E111" s="320"/>
      <c r="F111" s="320"/>
    </row>
    <row r="112">
      <c r="B112" s="318"/>
      <c r="C112" s="320"/>
      <c r="E112" s="320"/>
      <c r="F112" s="320"/>
    </row>
    <row r="113">
      <c r="B113" s="318"/>
      <c r="C113" s="320"/>
      <c r="E113" s="320"/>
      <c r="F113" s="320"/>
    </row>
    <row r="114">
      <c r="B114" s="318"/>
      <c r="C114" s="320"/>
      <c r="E114" s="320"/>
      <c r="F114" s="320"/>
    </row>
    <row r="115">
      <c r="B115" s="318"/>
      <c r="C115" s="320"/>
      <c r="E115" s="320"/>
      <c r="F115" s="320"/>
    </row>
    <row r="116">
      <c r="B116" s="318"/>
      <c r="C116" s="320"/>
      <c r="E116" s="320"/>
      <c r="F116" s="320"/>
    </row>
    <row r="117">
      <c r="B117" s="318"/>
      <c r="C117" s="320"/>
      <c r="E117" s="320"/>
      <c r="F117" s="320"/>
    </row>
    <row r="118">
      <c r="B118" s="318"/>
      <c r="C118" s="320"/>
      <c r="E118" s="320"/>
      <c r="F118" s="320"/>
    </row>
    <row r="119">
      <c r="B119" s="318"/>
      <c r="C119" s="320"/>
      <c r="E119" s="320"/>
      <c r="F119" s="320"/>
    </row>
    <row r="120">
      <c r="B120" s="318"/>
      <c r="C120" s="320"/>
      <c r="E120" s="320"/>
      <c r="F120" s="320"/>
    </row>
    <row r="121">
      <c r="B121" s="318"/>
      <c r="C121" s="320"/>
      <c r="E121" s="320"/>
      <c r="F121" s="320"/>
    </row>
    <row r="122">
      <c r="B122" s="318"/>
      <c r="C122" s="320"/>
      <c r="E122" s="320"/>
      <c r="F122" s="320"/>
    </row>
    <row r="123">
      <c r="B123" s="318"/>
      <c r="C123" s="320"/>
      <c r="E123" s="320"/>
      <c r="F123" s="320"/>
    </row>
    <row r="124">
      <c r="B124" s="318"/>
      <c r="C124" s="320"/>
      <c r="E124" s="320"/>
      <c r="F124" s="320"/>
    </row>
    <row r="125">
      <c r="B125" s="318"/>
      <c r="C125" s="320"/>
      <c r="E125" s="320"/>
      <c r="F125" s="320"/>
    </row>
    <row r="126">
      <c r="B126" s="318"/>
      <c r="C126" s="320"/>
      <c r="E126" s="320"/>
      <c r="F126" s="320"/>
    </row>
    <row r="127">
      <c r="B127" s="318"/>
      <c r="C127" s="320"/>
      <c r="E127" s="320"/>
      <c r="F127" s="320"/>
    </row>
    <row r="128">
      <c r="B128" s="318"/>
      <c r="C128" s="320"/>
      <c r="E128" s="320"/>
      <c r="F128" s="320"/>
    </row>
    <row r="129">
      <c r="B129" s="318"/>
      <c r="C129" s="320"/>
      <c r="E129" s="320"/>
      <c r="F129" s="320"/>
    </row>
    <row r="130">
      <c r="B130" s="318"/>
      <c r="C130" s="320"/>
      <c r="E130" s="320"/>
      <c r="F130" s="320"/>
    </row>
    <row r="131">
      <c r="B131" s="318"/>
      <c r="C131" s="320"/>
      <c r="E131" s="320"/>
      <c r="F131" s="320"/>
    </row>
    <row r="132">
      <c r="B132" s="318"/>
      <c r="C132" s="320"/>
      <c r="E132" s="320"/>
      <c r="F132" s="320"/>
    </row>
    <row r="133">
      <c r="B133" s="318"/>
      <c r="C133" s="320"/>
      <c r="E133" s="320"/>
      <c r="F133" s="320"/>
    </row>
    <row r="134">
      <c r="B134" s="318"/>
      <c r="C134" s="320"/>
      <c r="E134" s="320"/>
      <c r="F134" s="320"/>
    </row>
    <row r="135">
      <c r="B135" s="318"/>
      <c r="C135" s="320"/>
      <c r="E135" s="320"/>
      <c r="F135" s="320"/>
    </row>
    <row r="136">
      <c r="B136" s="318"/>
      <c r="C136" s="320"/>
      <c r="E136" s="320"/>
      <c r="F136" s="320"/>
    </row>
    <row r="137">
      <c r="B137" s="318"/>
      <c r="C137" s="320"/>
      <c r="E137" s="320"/>
      <c r="F137" s="320"/>
    </row>
    <row r="138">
      <c r="B138" s="318"/>
      <c r="C138" s="320"/>
      <c r="E138" s="320"/>
      <c r="F138" s="320"/>
    </row>
    <row r="139">
      <c r="B139" s="318"/>
      <c r="C139" s="320"/>
      <c r="E139" s="320"/>
      <c r="F139" s="320"/>
    </row>
    <row r="140">
      <c r="B140" s="318"/>
      <c r="C140" s="320"/>
      <c r="E140" s="320"/>
      <c r="F140" s="320"/>
    </row>
    <row r="141">
      <c r="B141" s="318"/>
      <c r="C141" s="320"/>
      <c r="E141" s="320"/>
      <c r="F141" s="320"/>
    </row>
    <row r="142">
      <c r="B142" s="318"/>
      <c r="C142" s="320"/>
      <c r="E142" s="320"/>
      <c r="F142" s="320"/>
    </row>
    <row r="143">
      <c r="B143" s="318"/>
      <c r="C143" s="320"/>
      <c r="E143" s="320"/>
      <c r="F143" s="320"/>
    </row>
    <row r="144">
      <c r="B144" s="318"/>
      <c r="C144" s="320"/>
      <c r="E144" s="320"/>
      <c r="F144" s="320"/>
    </row>
    <row r="145">
      <c r="B145" s="318"/>
      <c r="C145" s="320"/>
      <c r="E145" s="320"/>
      <c r="F145" s="320"/>
    </row>
    <row r="146">
      <c r="B146" s="318"/>
      <c r="C146" s="320"/>
      <c r="E146" s="320"/>
      <c r="F146" s="320"/>
    </row>
    <row r="147">
      <c r="B147" s="318"/>
      <c r="C147" s="320"/>
      <c r="E147" s="320"/>
      <c r="F147" s="320"/>
    </row>
    <row r="148">
      <c r="B148" s="318"/>
      <c r="C148" s="320"/>
      <c r="E148" s="320"/>
      <c r="F148" s="320"/>
    </row>
    <row r="149">
      <c r="B149" s="318"/>
      <c r="C149" s="320"/>
      <c r="E149" s="320"/>
      <c r="F149" s="320"/>
    </row>
    <row r="150">
      <c r="B150" s="318"/>
      <c r="C150" s="320"/>
      <c r="E150" s="320"/>
      <c r="F150" s="320"/>
    </row>
    <row r="151">
      <c r="B151" s="318"/>
      <c r="C151" s="320"/>
      <c r="E151" s="320"/>
      <c r="F151" s="320"/>
    </row>
    <row r="152">
      <c r="B152" s="318"/>
      <c r="C152" s="320"/>
      <c r="E152" s="320"/>
      <c r="F152" s="320"/>
    </row>
    <row r="153">
      <c r="B153" s="318"/>
      <c r="C153" s="320"/>
      <c r="E153" s="320"/>
      <c r="F153" s="320"/>
    </row>
    <row r="154">
      <c r="B154" s="318"/>
      <c r="C154" s="320"/>
      <c r="E154" s="320"/>
      <c r="F154" s="320"/>
    </row>
    <row r="155">
      <c r="B155" s="318"/>
      <c r="C155" s="320"/>
      <c r="E155" s="320"/>
      <c r="F155" s="320"/>
    </row>
    <row r="156">
      <c r="B156" s="318"/>
      <c r="C156" s="320"/>
      <c r="E156" s="320"/>
      <c r="F156" s="320"/>
    </row>
    <row r="157">
      <c r="B157" s="318"/>
      <c r="C157" s="320"/>
      <c r="E157" s="320"/>
      <c r="F157" s="320"/>
    </row>
    <row r="158">
      <c r="B158" s="318"/>
      <c r="C158" s="320"/>
      <c r="E158" s="320"/>
      <c r="F158" s="320"/>
    </row>
    <row r="159">
      <c r="B159" s="318"/>
      <c r="C159" s="320"/>
      <c r="E159" s="320"/>
      <c r="F159" s="320"/>
    </row>
    <row r="160">
      <c r="B160" s="318"/>
      <c r="C160" s="320"/>
      <c r="E160" s="320"/>
      <c r="F160" s="320"/>
    </row>
    <row r="161">
      <c r="B161" s="318"/>
      <c r="C161" s="320"/>
      <c r="E161" s="320"/>
      <c r="F161" s="320"/>
    </row>
    <row r="162">
      <c r="B162" s="318"/>
      <c r="C162" s="320"/>
      <c r="E162" s="320"/>
      <c r="F162" s="320"/>
    </row>
    <row r="163">
      <c r="B163" s="318"/>
      <c r="C163" s="320"/>
      <c r="E163" s="320"/>
      <c r="F163" s="320"/>
    </row>
    <row r="164">
      <c r="B164" s="318"/>
      <c r="C164" s="320"/>
      <c r="E164" s="320"/>
      <c r="F164" s="320"/>
    </row>
    <row r="165">
      <c r="B165" s="318"/>
      <c r="C165" s="320"/>
      <c r="E165" s="320"/>
      <c r="F165" s="320"/>
    </row>
    <row r="166">
      <c r="B166" s="318"/>
      <c r="C166" s="320"/>
      <c r="E166" s="320"/>
      <c r="F166" s="320"/>
    </row>
    <row r="167">
      <c r="B167" s="318"/>
      <c r="C167" s="320"/>
      <c r="E167" s="320"/>
      <c r="F167" s="320"/>
    </row>
    <row r="168">
      <c r="B168" s="318"/>
      <c r="C168" s="320"/>
      <c r="E168" s="320"/>
      <c r="F168" s="320"/>
    </row>
    <row r="169">
      <c r="B169" s="318"/>
      <c r="C169" s="320"/>
      <c r="E169" s="320"/>
      <c r="F169" s="320"/>
    </row>
    <row r="170">
      <c r="B170" s="318"/>
      <c r="C170" s="320"/>
      <c r="E170" s="320"/>
      <c r="F170" s="320"/>
    </row>
    <row r="171">
      <c r="B171" s="318"/>
      <c r="C171" s="320"/>
      <c r="E171" s="320"/>
      <c r="F171" s="320"/>
    </row>
    <row r="172">
      <c r="B172" s="318"/>
      <c r="C172" s="320"/>
      <c r="E172" s="320"/>
      <c r="F172" s="320"/>
    </row>
    <row r="173">
      <c r="B173" s="318"/>
      <c r="C173" s="320"/>
      <c r="E173" s="320"/>
      <c r="F173" s="320"/>
    </row>
    <row r="174">
      <c r="B174" s="318"/>
      <c r="C174" s="320"/>
      <c r="E174" s="320"/>
      <c r="F174" s="320"/>
    </row>
    <row r="175">
      <c r="B175" s="318"/>
      <c r="C175" s="320"/>
      <c r="E175" s="320"/>
      <c r="F175" s="320"/>
    </row>
    <row r="176">
      <c r="B176" s="318"/>
      <c r="C176" s="320"/>
      <c r="E176" s="320"/>
      <c r="F176" s="320"/>
    </row>
    <row r="177">
      <c r="B177" s="318"/>
      <c r="C177" s="320"/>
      <c r="E177" s="320"/>
      <c r="F177" s="320"/>
    </row>
    <row r="178">
      <c r="B178" s="318"/>
      <c r="C178" s="320"/>
      <c r="E178" s="320"/>
      <c r="F178" s="320"/>
    </row>
    <row r="179">
      <c r="B179" s="318"/>
      <c r="C179" s="320"/>
      <c r="E179" s="320"/>
      <c r="F179" s="320"/>
    </row>
    <row r="180">
      <c r="B180" s="318"/>
      <c r="C180" s="320"/>
      <c r="E180" s="320"/>
      <c r="F180" s="320"/>
    </row>
    <row r="181">
      <c r="B181" s="318"/>
      <c r="C181" s="320"/>
      <c r="E181" s="320"/>
      <c r="F181" s="320"/>
    </row>
    <row r="182">
      <c r="B182" s="318"/>
      <c r="C182" s="320"/>
      <c r="E182" s="320"/>
      <c r="F182" s="320"/>
    </row>
    <row r="183">
      <c r="B183" s="318"/>
      <c r="C183" s="320"/>
      <c r="E183" s="320"/>
      <c r="F183" s="320"/>
    </row>
    <row r="184">
      <c r="B184" s="318"/>
      <c r="C184" s="320"/>
      <c r="E184" s="320"/>
      <c r="F184" s="320"/>
    </row>
    <row r="185">
      <c r="B185" s="318"/>
      <c r="C185" s="320"/>
      <c r="E185" s="320"/>
      <c r="F185" s="320"/>
    </row>
    <row r="186">
      <c r="B186" s="318"/>
      <c r="C186" s="320"/>
      <c r="E186" s="320"/>
      <c r="F186" s="320"/>
    </row>
    <row r="187">
      <c r="B187" s="318"/>
      <c r="C187" s="320"/>
      <c r="E187" s="320"/>
      <c r="F187" s="320"/>
    </row>
    <row r="188">
      <c r="B188" s="318"/>
      <c r="C188" s="320"/>
      <c r="E188" s="320"/>
      <c r="F188" s="320"/>
    </row>
    <row r="189">
      <c r="B189" s="318"/>
      <c r="C189" s="320"/>
      <c r="E189" s="320"/>
      <c r="F189" s="320"/>
    </row>
    <row r="190">
      <c r="B190" s="318"/>
      <c r="C190" s="320"/>
      <c r="E190" s="320"/>
      <c r="F190" s="320"/>
    </row>
    <row r="191">
      <c r="B191" s="318"/>
      <c r="C191" s="320"/>
      <c r="E191" s="320"/>
      <c r="F191" s="320"/>
    </row>
    <row r="192">
      <c r="B192" s="318"/>
      <c r="C192" s="320"/>
      <c r="E192" s="320"/>
      <c r="F192" s="320"/>
    </row>
    <row r="193">
      <c r="B193" s="318"/>
      <c r="C193" s="320"/>
      <c r="E193" s="320"/>
      <c r="F193" s="320"/>
    </row>
    <row r="194">
      <c r="B194" s="318"/>
      <c r="C194" s="320"/>
      <c r="E194" s="320"/>
      <c r="F194" s="320"/>
    </row>
    <row r="195">
      <c r="B195" s="318"/>
      <c r="C195" s="320"/>
      <c r="E195" s="320"/>
      <c r="F195" s="320"/>
    </row>
    <row r="196">
      <c r="B196" s="318"/>
      <c r="C196" s="320"/>
      <c r="E196" s="320"/>
      <c r="F196" s="320"/>
    </row>
    <row r="197">
      <c r="B197" s="318"/>
      <c r="C197" s="320"/>
      <c r="E197" s="320"/>
      <c r="F197" s="320"/>
    </row>
    <row r="198">
      <c r="B198" s="318"/>
      <c r="C198" s="320"/>
      <c r="E198" s="320"/>
      <c r="F198" s="320"/>
    </row>
    <row r="199">
      <c r="B199" s="318"/>
      <c r="C199" s="320"/>
      <c r="E199" s="320"/>
      <c r="F199" s="320"/>
    </row>
    <row r="200">
      <c r="B200" s="318"/>
      <c r="C200" s="320"/>
      <c r="E200" s="320"/>
      <c r="F200" s="320"/>
    </row>
    <row r="201">
      <c r="B201" s="318"/>
      <c r="C201" s="320"/>
      <c r="E201" s="320"/>
      <c r="F201" s="320"/>
    </row>
    <row r="202">
      <c r="B202" s="318"/>
      <c r="C202" s="320"/>
      <c r="E202" s="320"/>
      <c r="F202" s="320"/>
    </row>
    <row r="203">
      <c r="B203" s="318"/>
      <c r="C203" s="320"/>
      <c r="E203" s="320"/>
      <c r="F203" s="320"/>
    </row>
    <row r="204">
      <c r="B204" s="318"/>
      <c r="C204" s="320"/>
      <c r="E204" s="320"/>
      <c r="F204" s="320"/>
    </row>
    <row r="205">
      <c r="B205" s="318"/>
      <c r="C205" s="320"/>
      <c r="E205" s="320"/>
      <c r="F205" s="320"/>
    </row>
    <row r="206">
      <c r="B206" s="318"/>
      <c r="C206" s="320"/>
      <c r="E206" s="320"/>
      <c r="F206" s="320"/>
    </row>
    <row r="207">
      <c r="B207" s="318"/>
      <c r="C207" s="320"/>
      <c r="E207" s="320"/>
      <c r="F207" s="320"/>
    </row>
    <row r="208">
      <c r="B208" s="318"/>
      <c r="C208" s="320"/>
      <c r="E208" s="320"/>
      <c r="F208" s="320"/>
    </row>
    <row r="209">
      <c r="B209" s="318"/>
      <c r="C209" s="320"/>
      <c r="E209" s="320"/>
      <c r="F209" s="320"/>
    </row>
    <row r="210">
      <c r="B210" s="318"/>
      <c r="C210" s="320"/>
      <c r="E210" s="320"/>
      <c r="F210" s="320"/>
    </row>
    <row r="211">
      <c r="B211" s="318"/>
      <c r="C211" s="320"/>
      <c r="E211" s="320"/>
      <c r="F211" s="320"/>
    </row>
    <row r="212">
      <c r="B212" s="318"/>
      <c r="C212" s="320"/>
      <c r="E212" s="320"/>
      <c r="F212" s="320"/>
    </row>
    <row r="213">
      <c r="B213" s="318"/>
      <c r="C213" s="320"/>
      <c r="E213" s="320"/>
      <c r="F213" s="320"/>
    </row>
    <row r="214">
      <c r="B214" s="318"/>
      <c r="C214" s="320"/>
      <c r="E214" s="320"/>
      <c r="F214" s="320"/>
    </row>
    <row r="215">
      <c r="B215" s="318"/>
      <c r="C215" s="320"/>
      <c r="E215" s="320"/>
      <c r="F215" s="320"/>
    </row>
    <row r="216">
      <c r="B216" s="318"/>
      <c r="C216" s="320"/>
      <c r="E216" s="320"/>
      <c r="F216" s="320"/>
    </row>
    <row r="217">
      <c r="B217" s="318"/>
      <c r="C217" s="320"/>
      <c r="E217" s="320"/>
      <c r="F217" s="320"/>
    </row>
    <row r="218">
      <c r="B218" s="318"/>
      <c r="C218" s="320"/>
      <c r="E218" s="320"/>
      <c r="F218" s="320"/>
    </row>
    <row r="219">
      <c r="B219" s="318"/>
      <c r="C219" s="320"/>
      <c r="E219" s="320"/>
      <c r="F219" s="320"/>
    </row>
    <row r="220">
      <c r="B220" s="318"/>
      <c r="C220" s="320"/>
      <c r="E220" s="320"/>
      <c r="F220" s="320"/>
    </row>
    <row r="221">
      <c r="B221" s="318"/>
      <c r="C221" s="320"/>
      <c r="E221" s="320"/>
      <c r="F221" s="320"/>
    </row>
    <row r="222">
      <c r="B222" s="318"/>
      <c r="C222" s="320"/>
      <c r="E222" s="320"/>
      <c r="F222" s="320"/>
    </row>
    <row r="223">
      <c r="B223" s="318"/>
      <c r="C223" s="320"/>
      <c r="E223" s="320"/>
      <c r="F223" s="320"/>
    </row>
    <row r="224">
      <c r="B224" s="318"/>
      <c r="C224" s="320"/>
      <c r="E224" s="320"/>
      <c r="F224" s="320"/>
    </row>
    <row r="225">
      <c r="B225" s="318"/>
      <c r="C225" s="320"/>
      <c r="E225" s="320"/>
      <c r="F225" s="320"/>
    </row>
    <row r="226">
      <c r="B226" s="318"/>
      <c r="C226" s="320"/>
      <c r="E226" s="320"/>
      <c r="F226" s="320"/>
    </row>
    <row r="227">
      <c r="B227" s="318"/>
      <c r="C227" s="320"/>
      <c r="E227" s="320"/>
      <c r="F227" s="320"/>
    </row>
    <row r="228">
      <c r="B228" s="318"/>
      <c r="C228" s="320"/>
      <c r="E228" s="320"/>
      <c r="F228" s="320"/>
    </row>
    <row r="229">
      <c r="B229" s="318"/>
      <c r="C229" s="320"/>
      <c r="E229" s="320"/>
      <c r="F229" s="320"/>
    </row>
    <row r="230">
      <c r="B230" s="318"/>
      <c r="C230" s="320"/>
      <c r="E230" s="320"/>
      <c r="F230" s="320"/>
    </row>
    <row r="231">
      <c r="B231" s="318"/>
      <c r="C231" s="320"/>
      <c r="E231" s="320"/>
      <c r="F231" s="320"/>
    </row>
    <row r="232">
      <c r="B232" s="318"/>
      <c r="C232" s="320"/>
      <c r="E232" s="320"/>
      <c r="F232" s="320"/>
    </row>
    <row r="233">
      <c r="B233" s="318"/>
      <c r="C233" s="320"/>
      <c r="E233" s="320"/>
      <c r="F233" s="320"/>
    </row>
    <row r="234">
      <c r="B234" s="318"/>
      <c r="C234" s="320"/>
      <c r="E234" s="320"/>
      <c r="F234" s="320"/>
    </row>
    <row r="235">
      <c r="B235" s="318"/>
      <c r="C235" s="320"/>
      <c r="E235" s="320"/>
      <c r="F235" s="320"/>
    </row>
    <row r="236">
      <c r="B236" s="318"/>
      <c r="C236" s="320"/>
      <c r="E236" s="320"/>
      <c r="F236" s="320"/>
    </row>
    <row r="237">
      <c r="B237" s="318"/>
      <c r="C237" s="320"/>
      <c r="E237" s="320"/>
      <c r="F237" s="320"/>
    </row>
    <row r="238">
      <c r="B238" s="318"/>
      <c r="C238" s="320"/>
      <c r="E238" s="320"/>
      <c r="F238" s="320"/>
    </row>
    <row r="239">
      <c r="B239" s="318"/>
      <c r="C239" s="320"/>
      <c r="E239" s="320"/>
      <c r="F239" s="320"/>
    </row>
    <row r="240">
      <c r="B240" s="318"/>
      <c r="C240" s="320"/>
      <c r="E240" s="320"/>
      <c r="F240" s="320"/>
    </row>
    <row r="241">
      <c r="B241" s="318"/>
      <c r="C241" s="320"/>
      <c r="E241" s="320"/>
      <c r="F241" s="320"/>
    </row>
    <row r="242">
      <c r="B242" s="318"/>
      <c r="C242" s="320"/>
      <c r="E242" s="320"/>
      <c r="F242" s="320"/>
    </row>
    <row r="243">
      <c r="B243" s="318"/>
      <c r="C243" s="320"/>
      <c r="E243" s="320"/>
      <c r="F243" s="320"/>
    </row>
    <row r="244">
      <c r="B244" s="318"/>
      <c r="C244" s="320"/>
      <c r="E244" s="320"/>
      <c r="F244" s="320"/>
    </row>
    <row r="245">
      <c r="B245" s="318"/>
      <c r="C245" s="320"/>
      <c r="E245" s="320"/>
      <c r="F245" s="320"/>
    </row>
    <row r="246">
      <c r="B246" s="318"/>
      <c r="C246" s="320"/>
      <c r="E246" s="320"/>
      <c r="F246" s="320"/>
    </row>
    <row r="247">
      <c r="B247" s="318"/>
      <c r="C247" s="320"/>
      <c r="E247" s="320"/>
      <c r="F247" s="320"/>
    </row>
    <row r="248">
      <c r="B248" s="318"/>
      <c r="C248" s="320"/>
      <c r="E248" s="320"/>
      <c r="F248" s="320"/>
    </row>
    <row r="249">
      <c r="B249" s="318"/>
      <c r="C249" s="320"/>
      <c r="E249" s="320"/>
      <c r="F249" s="320"/>
    </row>
    <row r="250">
      <c r="B250" s="318"/>
      <c r="C250" s="320"/>
      <c r="E250" s="320"/>
      <c r="F250" s="320"/>
    </row>
    <row r="251">
      <c r="B251" s="318"/>
      <c r="C251" s="320"/>
      <c r="E251" s="320"/>
      <c r="F251" s="320"/>
    </row>
    <row r="252">
      <c r="B252" s="318"/>
      <c r="C252" s="320"/>
      <c r="E252" s="320"/>
      <c r="F252" s="320"/>
    </row>
    <row r="253">
      <c r="B253" s="318"/>
      <c r="C253" s="320"/>
      <c r="E253" s="320"/>
      <c r="F253" s="320"/>
    </row>
    <row r="254">
      <c r="B254" s="318"/>
      <c r="C254" s="320"/>
      <c r="E254" s="320"/>
      <c r="F254" s="320"/>
    </row>
    <row r="255">
      <c r="B255" s="318"/>
      <c r="C255" s="320"/>
      <c r="E255" s="320"/>
      <c r="F255" s="320"/>
    </row>
    <row r="256">
      <c r="B256" s="318"/>
      <c r="C256" s="320"/>
      <c r="E256" s="320"/>
      <c r="F256" s="320"/>
    </row>
    <row r="257">
      <c r="B257" s="318"/>
      <c r="C257" s="320"/>
      <c r="E257" s="320"/>
      <c r="F257" s="320"/>
    </row>
    <row r="258">
      <c r="B258" s="318"/>
      <c r="C258" s="320"/>
      <c r="E258" s="320"/>
      <c r="F258" s="320"/>
    </row>
    <row r="259">
      <c r="B259" s="318"/>
      <c r="C259" s="320"/>
      <c r="E259" s="320"/>
      <c r="F259" s="320"/>
    </row>
    <row r="260">
      <c r="B260" s="318"/>
      <c r="C260" s="320"/>
      <c r="E260" s="320"/>
      <c r="F260" s="320"/>
    </row>
    <row r="261">
      <c r="B261" s="318"/>
      <c r="C261" s="320"/>
      <c r="E261" s="320"/>
      <c r="F261" s="320"/>
    </row>
    <row r="262">
      <c r="B262" s="318"/>
      <c r="C262" s="320"/>
      <c r="E262" s="320"/>
      <c r="F262" s="320"/>
    </row>
    <row r="263">
      <c r="B263" s="318"/>
      <c r="C263" s="320"/>
      <c r="E263" s="320"/>
      <c r="F263" s="320"/>
    </row>
    <row r="264">
      <c r="B264" s="318"/>
      <c r="C264" s="320"/>
      <c r="E264" s="320"/>
      <c r="F264" s="320"/>
    </row>
    <row r="265">
      <c r="B265" s="318"/>
      <c r="C265" s="320"/>
      <c r="E265" s="320"/>
      <c r="F265" s="320"/>
    </row>
    <row r="266">
      <c r="B266" s="318"/>
      <c r="C266" s="320"/>
      <c r="E266" s="320"/>
      <c r="F266" s="320"/>
    </row>
    <row r="267">
      <c r="B267" s="318"/>
      <c r="C267" s="320"/>
      <c r="E267" s="320"/>
      <c r="F267" s="320"/>
    </row>
    <row r="268">
      <c r="B268" s="318"/>
      <c r="C268" s="320"/>
      <c r="E268" s="320"/>
      <c r="F268" s="320"/>
    </row>
    <row r="269">
      <c r="B269" s="318"/>
      <c r="C269" s="320"/>
      <c r="E269" s="320"/>
      <c r="F269" s="320"/>
    </row>
    <row r="270">
      <c r="B270" s="318"/>
      <c r="C270" s="320"/>
      <c r="E270" s="320"/>
      <c r="F270" s="320"/>
    </row>
    <row r="271">
      <c r="B271" s="318"/>
      <c r="C271" s="320"/>
      <c r="E271" s="320"/>
      <c r="F271" s="320"/>
    </row>
    <row r="272">
      <c r="B272" s="318"/>
      <c r="C272" s="320"/>
      <c r="E272" s="320"/>
      <c r="F272" s="320"/>
    </row>
    <row r="273">
      <c r="B273" s="318"/>
      <c r="C273" s="320"/>
      <c r="E273" s="320"/>
      <c r="F273" s="320"/>
    </row>
    <row r="274">
      <c r="B274" s="318"/>
      <c r="C274" s="320"/>
      <c r="E274" s="320"/>
      <c r="F274" s="320"/>
    </row>
    <row r="275">
      <c r="B275" s="318"/>
      <c r="C275" s="320"/>
      <c r="E275" s="320"/>
      <c r="F275" s="320"/>
    </row>
    <row r="276">
      <c r="B276" s="318"/>
      <c r="C276" s="320"/>
      <c r="E276" s="320"/>
      <c r="F276" s="320"/>
    </row>
    <row r="277">
      <c r="B277" s="318"/>
      <c r="C277" s="320"/>
      <c r="E277" s="320"/>
      <c r="F277" s="320"/>
    </row>
    <row r="278">
      <c r="B278" s="318"/>
      <c r="C278" s="320"/>
      <c r="E278" s="320"/>
      <c r="F278" s="320"/>
    </row>
    <row r="279">
      <c r="B279" s="318"/>
      <c r="C279" s="320"/>
      <c r="E279" s="320"/>
      <c r="F279" s="320"/>
    </row>
    <row r="280">
      <c r="B280" s="318"/>
      <c r="C280" s="320"/>
      <c r="E280" s="320"/>
      <c r="F280" s="320"/>
    </row>
    <row r="281">
      <c r="B281" s="318"/>
      <c r="C281" s="320"/>
      <c r="E281" s="320"/>
      <c r="F281" s="320"/>
    </row>
    <row r="282">
      <c r="B282" s="318"/>
      <c r="C282" s="320"/>
      <c r="E282" s="320"/>
      <c r="F282" s="320"/>
    </row>
    <row r="283">
      <c r="B283" s="318"/>
      <c r="C283" s="320"/>
      <c r="E283" s="320"/>
      <c r="F283" s="320"/>
    </row>
    <row r="284">
      <c r="B284" s="318"/>
      <c r="C284" s="320"/>
      <c r="E284" s="320"/>
      <c r="F284" s="320"/>
    </row>
    <row r="285">
      <c r="B285" s="318"/>
      <c r="C285" s="320"/>
      <c r="E285" s="320"/>
      <c r="F285" s="320"/>
    </row>
    <row r="286">
      <c r="B286" s="318"/>
      <c r="C286" s="320"/>
      <c r="E286" s="320"/>
      <c r="F286" s="320"/>
    </row>
    <row r="287">
      <c r="B287" s="318"/>
      <c r="C287" s="320"/>
      <c r="E287" s="320"/>
      <c r="F287" s="320"/>
    </row>
    <row r="288">
      <c r="B288" s="318"/>
      <c r="C288" s="320"/>
      <c r="E288" s="320"/>
      <c r="F288" s="320"/>
    </row>
    <row r="289">
      <c r="B289" s="318"/>
      <c r="C289" s="320"/>
      <c r="E289" s="320"/>
      <c r="F289" s="320"/>
    </row>
    <row r="290">
      <c r="B290" s="318"/>
      <c r="C290" s="320"/>
      <c r="E290" s="320"/>
      <c r="F290" s="320"/>
    </row>
    <row r="291">
      <c r="B291" s="318"/>
      <c r="C291" s="320"/>
      <c r="E291" s="320"/>
      <c r="F291" s="320"/>
    </row>
    <row r="292">
      <c r="B292" s="318"/>
      <c r="C292" s="320"/>
      <c r="E292" s="320"/>
      <c r="F292" s="320"/>
    </row>
    <row r="293">
      <c r="B293" s="318"/>
      <c r="C293" s="320"/>
      <c r="E293" s="320"/>
      <c r="F293" s="320"/>
    </row>
    <row r="294">
      <c r="B294" s="318"/>
      <c r="C294" s="320"/>
      <c r="E294" s="320"/>
      <c r="F294" s="320"/>
    </row>
    <row r="295">
      <c r="B295" s="318"/>
      <c r="C295" s="320"/>
      <c r="E295" s="320"/>
      <c r="F295" s="320"/>
    </row>
    <row r="296">
      <c r="B296" s="318"/>
      <c r="C296" s="320"/>
      <c r="E296" s="320"/>
      <c r="F296" s="320"/>
    </row>
    <row r="297">
      <c r="B297" s="318"/>
      <c r="C297" s="320"/>
      <c r="E297" s="320"/>
      <c r="F297" s="320"/>
    </row>
    <row r="298">
      <c r="B298" s="318"/>
      <c r="C298" s="320"/>
      <c r="E298" s="320"/>
      <c r="F298" s="320"/>
    </row>
    <row r="299">
      <c r="B299" s="318"/>
      <c r="C299" s="320"/>
      <c r="E299" s="320"/>
      <c r="F299" s="320"/>
    </row>
    <row r="300">
      <c r="B300" s="318"/>
      <c r="C300" s="320"/>
      <c r="E300" s="320"/>
      <c r="F300" s="320"/>
    </row>
    <row r="301">
      <c r="B301" s="318"/>
      <c r="C301" s="320"/>
      <c r="E301" s="320"/>
      <c r="F301" s="320"/>
    </row>
    <row r="302">
      <c r="B302" s="318"/>
      <c r="C302" s="320"/>
      <c r="E302" s="320"/>
      <c r="F302" s="320"/>
    </row>
    <row r="303">
      <c r="B303" s="318"/>
      <c r="C303" s="320"/>
      <c r="E303" s="320"/>
      <c r="F303" s="320"/>
    </row>
    <row r="304">
      <c r="B304" s="318"/>
      <c r="C304" s="320"/>
      <c r="E304" s="320"/>
      <c r="F304" s="320"/>
    </row>
    <row r="305">
      <c r="B305" s="318"/>
      <c r="C305" s="320"/>
      <c r="E305" s="320"/>
      <c r="F305" s="320"/>
    </row>
    <row r="306">
      <c r="B306" s="318"/>
      <c r="C306" s="320"/>
      <c r="E306" s="320"/>
      <c r="F306" s="320"/>
    </row>
    <row r="307">
      <c r="B307" s="318"/>
      <c r="C307" s="320"/>
      <c r="E307" s="320"/>
      <c r="F307" s="320"/>
    </row>
    <row r="308">
      <c r="B308" s="318"/>
      <c r="C308" s="320"/>
      <c r="E308" s="320"/>
      <c r="F308" s="320"/>
    </row>
    <row r="309">
      <c r="B309" s="318"/>
      <c r="C309" s="320"/>
      <c r="E309" s="320"/>
      <c r="F309" s="320"/>
    </row>
    <row r="310">
      <c r="B310" s="318"/>
      <c r="C310" s="320"/>
      <c r="E310" s="320"/>
      <c r="F310" s="320"/>
    </row>
    <row r="311">
      <c r="B311" s="318"/>
      <c r="C311" s="320"/>
      <c r="E311" s="320"/>
      <c r="F311" s="320"/>
    </row>
    <row r="312">
      <c r="B312" s="318"/>
      <c r="C312" s="320"/>
      <c r="E312" s="320"/>
      <c r="F312" s="320"/>
    </row>
    <row r="313">
      <c r="B313" s="318"/>
      <c r="C313" s="320"/>
      <c r="E313" s="320"/>
      <c r="F313" s="320"/>
    </row>
    <row r="314">
      <c r="B314" s="318"/>
      <c r="C314" s="320"/>
      <c r="E314" s="320"/>
      <c r="F314" s="320"/>
    </row>
    <row r="315">
      <c r="B315" s="318"/>
      <c r="C315" s="320"/>
      <c r="E315" s="320"/>
      <c r="F315" s="320"/>
    </row>
    <row r="316">
      <c r="B316" s="318"/>
      <c r="C316" s="320"/>
      <c r="E316" s="320"/>
      <c r="F316" s="320"/>
    </row>
    <row r="317">
      <c r="B317" s="318"/>
      <c r="C317" s="320"/>
      <c r="E317" s="320"/>
      <c r="F317" s="320"/>
    </row>
    <row r="318">
      <c r="B318" s="318"/>
      <c r="C318" s="320"/>
      <c r="E318" s="320"/>
      <c r="F318" s="320"/>
    </row>
    <row r="319">
      <c r="B319" s="318"/>
      <c r="C319" s="320"/>
      <c r="E319" s="320"/>
      <c r="F319" s="320"/>
    </row>
    <row r="320">
      <c r="B320" s="318"/>
      <c r="C320" s="320"/>
      <c r="E320" s="320"/>
      <c r="F320" s="320"/>
    </row>
    <row r="321">
      <c r="B321" s="318"/>
      <c r="C321" s="320"/>
      <c r="E321" s="320"/>
      <c r="F321" s="320"/>
    </row>
    <row r="322">
      <c r="B322" s="318"/>
      <c r="C322" s="320"/>
      <c r="E322" s="320"/>
      <c r="F322" s="320"/>
    </row>
    <row r="323">
      <c r="B323" s="318"/>
      <c r="C323" s="320"/>
      <c r="E323" s="320"/>
      <c r="F323" s="320"/>
    </row>
    <row r="324">
      <c r="B324" s="318"/>
      <c r="C324" s="320"/>
      <c r="E324" s="320"/>
      <c r="F324" s="320"/>
    </row>
    <row r="325">
      <c r="B325" s="318"/>
      <c r="C325" s="320"/>
      <c r="E325" s="320"/>
      <c r="F325" s="320"/>
    </row>
    <row r="326">
      <c r="B326" s="318"/>
      <c r="C326" s="320"/>
      <c r="E326" s="320"/>
      <c r="F326" s="320"/>
    </row>
    <row r="327">
      <c r="B327" s="318"/>
      <c r="C327" s="320"/>
      <c r="E327" s="320"/>
      <c r="F327" s="320"/>
    </row>
    <row r="328">
      <c r="B328" s="318"/>
      <c r="C328" s="320"/>
      <c r="E328" s="320"/>
      <c r="F328" s="320"/>
    </row>
    <row r="329">
      <c r="B329" s="318"/>
      <c r="C329" s="320"/>
      <c r="E329" s="320"/>
      <c r="F329" s="320"/>
    </row>
    <row r="330">
      <c r="B330" s="318"/>
      <c r="C330" s="320"/>
      <c r="E330" s="320"/>
      <c r="F330" s="320"/>
    </row>
    <row r="331">
      <c r="B331" s="318"/>
      <c r="C331" s="320"/>
      <c r="E331" s="320"/>
      <c r="F331" s="320"/>
    </row>
    <row r="332">
      <c r="B332" s="318"/>
      <c r="C332" s="320"/>
      <c r="E332" s="320"/>
      <c r="F332" s="320"/>
    </row>
    <row r="333">
      <c r="B333" s="318"/>
      <c r="C333" s="320"/>
      <c r="E333" s="320"/>
      <c r="F333" s="320"/>
    </row>
    <row r="334">
      <c r="B334" s="318"/>
      <c r="C334" s="320"/>
      <c r="E334" s="320"/>
      <c r="F334" s="320"/>
    </row>
    <row r="335">
      <c r="B335" s="318"/>
      <c r="C335" s="320"/>
      <c r="E335" s="320"/>
      <c r="F335" s="320"/>
    </row>
    <row r="336">
      <c r="B336" s="318"/>
      <c r="C336" s="320"/>
      <c r="E336" s="320"/>
      <c r="F336" s="320"/>
    </row>
    <row r="337">
      <c r="B337" s="318"/>
      <c r="C337" s="320"/>
      <c r="E337" s="320"/>
      <c r="F337" s="320"/>
    </row>
    <row r="338">
      <c r="B338" s="318"/>
      <c r="C338" s="320"/>
      <c r="E338" s="320"/>
      <c r="F338" s="320"/>
    </row>
    <row r="339">
      <c r="B339" s="318"/>
      <c r="C339" s="320"/>
      <c r="E339" s="320"/>
      <c r="F339" s="320"/>
    </row>
    <row r="340">
      <c r="B340" s="318"/>
      <c r="C340" s="320"/>
      <c r="E340" s="320"/>
      <c r="F340" s="320"/>
    </row>
    <row r="341">
      <c r="B341" s="318"/>
      <c r="C341" s="320"/>
      <c r="E341" s="320"/>
      <c r="F341" s="320"/>
    </row>
    <row r="342">
      <c r="B342" s="318"/>
      <c r="C342" s="320"/>
      <c r="E342" s="320"/>
      <c r="F342" s="320"/>
    </row>
    <row r="343">
      <c r="B343" s="318"/>
      <c r="C343" s="320"/>
      <c r="E343" s="320"/>
      <c r="F343" s="320"/>
    </row>
    <row r="344">
      <c r="B344" s="318"/>
      <c r="C344" s="320"/>
      <c r="E344" s="320"/>
      <c r="F344" s="320"/>
    </row>
    <row r="345">
      <c r="B345" s="318"/>
      <c r="C345" s="320"/>
      <c r="E345" s="320"/>
      <c r="F345" s="320"/>
    </row>
    <row r="346">
      <c r="B346" s="318"/>
      <c r="C346" s="320"/>
      <c r="E346" s="320"/>
      <c r="F346" s="320"/>
    </row>
    <row r="347">
      <c r="B347" s="318"/>
      <c r="C347" s="320"/>
      <c r="E347" s="320"/>
      <c r="F347" s="320"/>
    </row>
    <row r="348">
      <c r="B348" s="318"/>
      <c r="C348" s="320"/>
      <c r="E348" s="320"/>
      <c r="F348" s="320"/>
    </row>
    <row r="349">
      <c r="B349" s="318"/>
      <c r="C349" s="320"/>
      <c r="E349" s="320"/>
      <c r="F349" s="320"/>
    </row>
    <row r="350">
      <c r="B350" s="318"/>
      <c r="C350" s="320"/>
      <c r="E350" s="320"/>
      <c r="F350" s="320"/>
    </row>
    <row r="351">
      <c r="B351" s="318"/>
      <c r="C351" s="320"/>
      <c r="E351" s="320"/>
      <c r="F351" s="320"/>
    </row>
    <row r="352">
      <c r="B352" s="318"/>
      <c r="C352" s="320"/>
      <c r="E352" s="320"/>
      <c r="F352" s="320"/>
    </row>
    <row r="353">
      <c r="B353" s="318"/>
      <c r="C353" s="320"/>
      <c r="E353" s="320"/>
      <c r="F353" s="320"/>
    </row>
    <row r="354">
      <c r="B354" s="318"/>
      <c r="C354" s="320"/>
      <c r="E354" s="320"/>
      <c r="F354" s="320"/>
    </row>
    <row r="355">
      <c r="B355" s="318"/>
      <c r="C355" s="320"/>
      <c r="E355" s="320"/>
      <c r="F355" s="320"/>
    </row>
    <row r="356">
      <c r="B356" s="318"/>
      <c r="C356" s="320"/>
      <c r="E356" s="320"/>
      <c r="F356" s="320"/>
    </row>
    <row r="357">
      <c r="B357" s="318"/>
      <c r="C357" s="320"/>
      <c r="E357" s="320"/>
      <c r="F357" s="320"/>
    </row>
    <row r="358">
      <c r="B358" s="318"/>
      <c r="C358" s="320"/>
      <c r="E358" s="320"/>
      <c r="F358" s="320"/>
    </row>
    <row r="359">
      <c r="B359" s="318"/>
      <c r="C359" s="320"/>
      <c r="E359" s="320"/>
      <c r="F359" s="320"/>
    </row>
    <row r="360">
      <c r="B360" s="318"/>
      <c r="C360" s="320"/>
      <c r="E360" s="320"/>
      <c r="F360" s="320"/>
    </row>
    <row r="361">
      <c r="B361" s="318"/>
      <c r="C361" s="320"/>
      <c r="E361" s="320"/>
      <c r="F361" s="320"/>
    </row>
    <row r="362">
      <c r="B362" s="318"/>
      <c r="C362" s="320"/>
      <c r="E362" s="320"/>
      <c r="F362" s="320"/>
    </row>
    <row r="363">
      <c r="B363" s="318"/>
      <c r="C363" s="320"/>
      <c r="E363" s="320"/>
      <c r="F363" s="320"/>
    </row>
    <row r="364">
      <c r="B364" s="318"/>
      <c r="C364" s="320"/>
      <c r="E364" s="320"/>
      <c r="F364" s="320"/>
    </row>
    <row r="365">
      <c r="B365" s="318"/>
      <c r="C365" s="320"/>
      <c r="E365" s="320"/>
      <c r="F365" s="320"/>
    </row>
    <row r="366">
      <c r="B366" s="318"/>
      <c r="C366" s="320"/>
      <c r="E366" s="320"/>
      <c r="F366" s="320"/>
    </row>
    <row r="367">
      <c r="B367" s="318"/>
      <c r="C367" s="320"/>
      <c r="E367" s="320"/>
      <c r="F367" s="320"/>
    </row>
    <row r="368">
      <c r="B368" s="318"/>
      <c r="C368" s="320"/>
      <c r="E368" s="320"/>
      <c r="F368" s="320"/>
    </row>
    <row r="369">
      <c r="B369" s="318"/>
      <c r="C369" s="320"/>
      <c r="E369" s="320"/>
      <c r="F369" s="320"/>
    </row>
    <row r="370">
      <c r="B370" s="318"/>
      <c r="C370" s="320"/>
      <c r="E370" s="320"/>
      <c r="F370" s="320"/>
    </row>
    <row r="371">
      <c r="B371" s="318"/>
      <c r="C371" s="320"/>
      <c r="E371" s="320"/>
      <c r="F371" s="320"/>
    </row>
    <row r="372">
      <c r="B372" s="318"/>
      <c r="C372" s="320"/>
      <c r="E372" s="320"/>
      <c r="F372" s="320"/>
    </row>
    <row r="373">
      <c r="B373" s="318"/>
      <c r="C373" s="320"/>
      <c r="E373" s="320"/>
      <c r="F373" s="320"/>
    </row>
    <row r="374">
      <c r="B374" s="318"/>
      <c r="C374" s="320"/>
      <c r="E374" s="320"/>
      <c r="F374" s="320"/>
    </row>
    <row r="375">
      <c r="B375" s="318"/>
      <c r="C375" s="320"/>
      <c r="E375" s="320"/>
      <c r="F375" s="320"/>
    </row>
    <row r="376">
      <c r="B376" s="318"/>
      <c r="C376" s="320"/>
      <c r="E376" s="320"/>
      <c r="F376" s="320"/>
    </row>
    <row r="377">
      <c r="B377" s="318"/>
      <c r="C377" s="320"/>
      <c r="E377" s="320"/>
      <c r="F377" s="320"/>
    </row>
    <row r="378">
      <c r="B378" s="318"/>
      <c r="C378" s="320"/>
      <c r="E378" s="320"/>
      <c r="F378" s="320"/>
    </row>
    <row r="379">
      <c r="B379" s="318"/>
      <c r="C379" s="320"/>
      <c r="E379" s="320"/>
      <c r="F379" s="320"/>
    </row>
    <row r="380">
      <c r="B380" s="318"/>
      <c r="C380" s="320"/>
      <c r="E380" s="320"/>
      <c r="F380" s="320"/>
    </row>
    <row r="381">
      <c r="B381" s="318"/>
      <c r="C381" s="320"/>
      <c r="E381" s="320"/>
      <c r="F381" s="320"/>
    </row>
    <row r="382">
      <c r="B382" s="318"/>
      <c r="C382" s="320"/>
      <c r="E382" s="320"/>
      <c r="F382" s="320"/>
    </row>
    <row r="383">
      <c r="B383" s="318"/>
      <c r="C383" s="320"/>
      <c r="E383" s="320"/>
      <c r="F383" s="320"/>
    </row>
    <row r="384">
      <c r="B384" s="318"/>
      <c r="C384" s="320"/>
      <c r="E384" s="320"/>
      <c r="F384" s="320"/>
    </row>
    <row r="385">
      <c r="B385" s="318"/>
      <c r="C385" s="320"/>
      <c r="E385" s="320"/>
      <c r="F385" s="320"/>
    </row>
    <row r="386">
      <c r="B386" s="318"/>
      <c r="C386" s="320"/>
      <c r="E386" s="320"/>
      <c r="F386" s="320"/>
    </row>
    <row r="387">
      <c r="B387" s="318"/>
      <c r="C387" s="320"/>
      <c r="E387" s="320"/>
      <c r="F387" s="320"/>
    </row>
    <row r="388">
      <c r="B388" s="318"/>
      <c r="C388" s="320"/>
      <c r="E388" s="320"/>
      <c r="F388" s="320"/>
    </row>
    <row r="389">
      <c r="B389" s="318"/>
      <c r="C389" s="320"/>
      <c r="E389" s="320"/>
      <c r="F389" s="320"/>
    </row>
    <row r="390">
      <c r="B390" s="318"/>
      <c r="C390" s="320"/>
      <c r="E390" s="320"/>
      <c r="F390" s="320"/>
    </row>
    <row r="391">
      <c r="B391" s="318"/>
      <c r="C391" s="320"/>
      <c r="E391" s="320"/>
      <c r="F391" s="320"/>
    </row>
    <row r="392">
      <c r="B392" s="318"/>
      <c r="C392" s="320"/>
      <c r="E392" s="320"/>
      <c r="F392" s="320"/>
    </row>
    <row r="393">
      <c r="B393" s="318"/>
      <c r="C393" s="320"/>
      <c r="E393" s="320"/>
      <c r="F393" s="320"/>
    </row>
    <row r="394">
      <c r="B394" s="318"/>
      <c r="C394" s="320"/>
      <c r="E394" s="320"/>
      <c r="F394" s="320"/>
    </row>
    <row r="395">
      <c r="B395" s="318"/>
      <c r="C395" s="320"/>
      <c r="E395" s="320"/>
      <c r="F395" s="320"/>
    </row>
    <row r="396">
      <c r="B396" s="318"/>
      <c r="C396" s="320"/>
      <c r="E396" s="320"/>
      <c r="F396" s="320"/>
    </row>
    <row r="397">
      <c r="B397" s="318"/>
      <c r="C397" s="320"/>
      <c r="E397" s="320"/>
      <c r="F397" s="320"/>
    </row>
    <row r="398">
      <c r="B398" s="318"/>
      <c r="C398" s="320"/>
      <c r="E398" s="320"/>
      <c r="F398" s="320"/>
    </row>
    <row r="399">
      <c r="B399" s="318"/>
      <c r="C399" s="320"/>
      <c r="E399" s="320"/>
      <c r="F399" s="320"/>
    </row>
    <row r="400">
      <c r="B400" s="318"/>
      <c r="C400" s="320"/>
      <c r="E400" s="320"/>
      <c r="F400" s="320"/>
    </row>
    <row r="401">
      <c r="B401" s="318"/>
      <c r="C401" s="320"/>
      <c r="E401" s="320"/>
      <c r="F401" s="320"/>
    </row>
    <row r="402">
      <c r="B402" s="318"/>
      <c r="C402" s="320"/>
      <c r="E402" s="320"/>
      <c r="F402" s="320"/>
    </row>
    <row r="403">
      <c r="B403" s="318"/>
      <c r="C403" s="320"/>
      <c r="E403" s="320"/>
      <c r="F403" s="320"/>
    </row>
    <row r="404">
      <c r="B404" s="318"/>
      <c r="C404" s="320"/>
      <c r="E404" s="320"/>
      <c r="F404" s="320"/>
    </row>
    <row r="405">
      <c r="B405" s="318"/>
      <c r="C405" s="320"/>
      <c r="E405" s="320"/>
      <c r="F405" s="320"/>
    </row>
    <row r="406">
      <c r="B406" s="318"/>
      <c r="C406" s="320"/>
      <c r="E406" s="320"/>
      <c r="F406" s="320"/>
    </row>
    <row r="407">
      <c r="B407" s="318"/>
      <c r="C407" s="320"/>
      <c r="E407" s="320"/>
      <c r="F407" s="320"/>
    </row>
    <row r="408">
      <c r="B408" s="318"/>
      <c r="C408" s="320"/>
      <c r="E408" s="320"/>
      <c r="F408" s="320"/>
    </row>
    <row r="409">
      <c r="B409" s="318"/>
      <c r="C409" s="320"/>
      <c r="E409" s="320"/>
      <c r="F409" s="320"/>
    </row>
    <row r="410">
      <c r="B410" s="318"/>
      <c r="C410" s="320"/>
      <c r="E410" s="320"/>
      <c r="F410" s="320"/>
    </row>
    <row r="411">
      <c r="B411" s="318"/>
      <c r="C411" s="320"/>
      <c r="E411" s="320"/>
      <c r="F411" s="320"/>
    </row>
    <row r="412">
      <c r="B412" s="318"/>
      <c r="C412" s="320"/>
      <c r="E412" s="320"/>
      <c r="F412" s="320"/>
    </row>
    <row r="413">
      <c r="B413" s="318"/>
      <c r="C413" s="320"/>
      <c r="E413" s="320"/>
      <c r="F413" s="320"/>
    </row>
    <row r="414">
      <c r="B414" s="318"/>
      <c r="C414" s="320"/>
      <c r="E414" s="320"/>
      <c r="F414" s="320"/>
    </row>
    <row r="415">
      <c r="B415" s="318"/>
      <c r="C415" s="320"/>
      <c r="E415" s="320"/>
      <c r="F415" s="320"/>
    </row>
    <row r="416">
      <c r="B416" s="318"/>
      <c r="C416" s="320"/>
      <c r="E416" s="320"/>
      <c r="F416" s="320"/>
    </row>
    <row r="417">
      <c r="B417" s="318"/>
      <c r="C417" s="320"/>
      <c r="E417" s="320"/>
      <c r="F417" s="320"/>
    </row>
    <row r="418">
      <c r="B418" s="318"/>
      <c r="C418" s="320"/>
      <c r="E418" s="320"/>
      <c r="F418" s="320"/>
    </row>
    <row r="419">
      <c r="B419" s="318"/>
      <c r="C419" s="320"/>
      <c r="E419" s="320"/>
      <c r="F419" s="320"/>
    </row>
    <row r="420">
      <c r="B420" s="318"/>
      <c r="C420" s="320"/>
      <c r="E420" s="320"/>
      <c r="F420" s="320"/>
    </row>
    <row r="421">
      <c r="B421" s="318"/>
      <c r="C421" s="320"/>
      <c r="E421" s="320"/>
      <c r="F421" s="320"/>
    </row>
    <row r="422">
      <c r="B422" s="318"/>
      <c r="C422" s="320"/>
      <c r="E422" s="320"/>
      <c r="F422" s="320"/>
    </row>
    <row r="423">
      <c r="B423" s="318"/>
      <c r="C423" s="320"/>
      <c r="E423" s="320"/>
      <c r="F423" s="320"/>
    </row>
    <row r="424">
      <c r="B424" s="318"/>
      <c r="C424" s="320"/>
      <c r="E424" s="320"/>
      <c r="F424" s="320"/>
    </row>
    <row r="425">
      <c r="B425" s="318"/>
      <c r="C425" s="320"/>
      <c r="E425" s="320"/>
      <c r="F425" s="320"/>
    </row>
    <row r="426">
      <c r="B426" s="318"/>
      <c r="C426" s="320"/>
      <c r="E426" s="320"/>
      <c r="F426" s="320"/>
    </row>
    <row r="427">
      <c r="B427" s="318"/>
      <c r="C427" s="320"/>
      <c r="E427" s="320"/>
      <c r="F427" s="320"/>
    </row>
    <row r="428">
      <c r="B428" s="318"/>
      <c r="C428" s="320"/>
      <c r="E428" s="320"/>
      <c r="F428" s="320"/>
    </row>
    <row r="429">
      <c r="B429" s="318"/>
      <c r="C429" s="320"/>
      <c r="E429" s="320"/>
      <c r="F429" s="320"/>
    </row>
    <row r="430">
      <c r="B430" s="318"/>
      <c r="C430" s="320"/>
      <c r="E430" s="320"/>
      <c r="F430" s="320"/>
    </row>
    <row r="431">
      <c r="B431" s="318"/>
      <c r="C431" s="320"/>
      <c r="E431" s="320"/>
      <c r="F431" s="320"/>
    </row>
    <row r="432">
      <c r="B432" s="318"/>
      <c r="C432" s="320"/>
      <c r="E432" s="320"/>
      <c r="F432" s="320"/>
    </row>
    <row r="433">
      <c r="B433" s="318"/>
      <c r="C433" s="320"/>
      <c r="E433" s="320"/>
      <c r="F433" s="320"/>
    </row>
    <row r="434">
      <c r="B434" s="318"/>
      <c r="C434" s="320"/>
      <c r="E434" s="320"/>
      <c r="F434" s="320"/>
    </row>
    <row r="435">
      <c r="B435" s="318"/>
      <c r="C435" s="320"/>
      <c r="E435" s="320"/>
      <c r="F435" s="320"/>
    </row>
    <row r="436">
      <c r="B436" s="318"/>
      <c r="C436" s="320"/>
      <c r="E436" s="320"/>
      <c r="F436" s="320"/>
    </row>
    <row r="437">
      <c r="B437" s="318"/>
      <c r="C437" s="320"/>
      <c r="E437" s="320"/>
      <c r="F437" s="320"/>
    </row>
    <row r="438">
      <c r="B438" s="318"/>
      <c r="C438" s="320"/>
      <c r="E438" s="320"/>
      <c r="F438" s="320"/>
    </row>
    <row r="439">
      <c r="B439" s="318"/>
      <c r="C439" s="320"/>
      <c r="E439" s="320"/>
      <c r="F439" s="320"/>
    </row>
    <row r="440">
      <c r="B440" s="318"/>
      <c r="C440" s="320"/>
      <c r="E440" s="320"/>
      <c r="F440" s="320"/>
    </row>
    <row r="441">
      <c r="B441" s="318"/>
      <c r="C441" s="320"/>
      <c r="E441" s="320"/>
      <c r="F441" s="320"/>
    </row>
    <row r="442">
      <c r="B442" s="318"/>
      <c r="C442" s="320"/>
      <c r="E442" s="320"/>
      <c r="F442" s="320"/>
    </row>
    <row r="443">
      <c r="B443" s="318"/>
      <c r="C443" s="320"/>
      <c r="E443" s="320"/>
      <c r="F443" s="320"/>
    </row>
    <row r="444">
      <c r="B444" s="318"/>
      <c r="C444" s="320"/>
      <c r="E444" s="320"/>
      <c r="F444" s="320"/>
    </row>
    <row r="445">
      <c r="B445" s="318"/>
      <c r="C445" s="320"/>
      <c r="E445" s="320"/>
      <c r="F445" s="320"/>
    </row>
    <row r="446">
      <c r="B446" s="318"/>
      <c r="C446" s="320"/>
      <c r="E446" s="320"/>
      <c r="F446" s="320"/>
    </row>
    <row r="447">
      <c r="B447" s="318"/>
      <c r="C447" s="320"/>
      <c r="E447" s="320"/>
      <c r="F447" s="320"/>
    </row>
    <row r="448">
      <c r="B448" s="318"/>
      <c r="C448" s="320"/>
      <c r="E448" s="320"/>
      <c r="F448" s="320"/>
    </row>
    <row r="449">
      <c r="B449" s="318"/>
      <c r="C449" s="320"/>
      <c r="E449" s="320"/>
      <c r="F449" s="320"/>
    </row>
    <row r="450">
      <c r="B450" s="318"/>
      <c r="C450" s="320"/>
      <c r="E450" s="320"/>
      <c r="F450" s="320"/>
    </row>
    <row r="451">
      <c r="B451" s="318"/>
      <c r="C451" s="320"/>
      <c r="E451" s="320"/>
      <c r="F451" s="320"/>
    </row>
    <row r="452">
      <c r="B452" s="318"/>
      <c r="C452" s="320"/>
      <c r="E452" s="320"/>
      <c r="F452" s="320"/>
    </row>
    <row r="453">
      <c r="B453" s="318"/>
      <c r="C453" s="320"/>
      <c r="E453" s="320"/>
      <c r="F453" s="320"/>
    </row>
    <row r="454">
      <c r="B454" s="318"/>
      <c r="C454" s="320"/>
      <c r="E454" s="320"/>
      <c r="F454" s="320"/>
    </row>
    <row r="455">
      <c r="B455" s="318"/>
      <c r="C455" s="320"/>
      <c r="E455" s="320"/>
      <c r="F455" s="320"/>
    </row>
    <row r="456">
      <c r="B456" s="318"/>
      <c r="C456" s="320"/>
      <c r="E456" s="320"/>
      <c r="F456" s="320"/>
    </row>
    <row r="457">
      <c r="B457" s="318"/>
      <c r="C457" s="320"/>
      <c r="E457" s="320"/>
      <c r="F457" s="320"/>
    </row>
    <row r="458">
      <c r="B458" s="318"/>
      <c r="C458" s="320"/>
      <c r="E458" s="320"/>
      <c r="F458" s="320"/>
    </row>
    <row r="459">
      <c r="B459" s="318"/>
      <c r="C459" s="320"/>
      <c r="E459" s="320"/>
      <c r="F459" s="320"/>
    </row>
    <row r="460">
      <c r="B460" s="318"/>
      <c r="C460" s="320"/>
      <c r="E460" s="320"/>
      <c r="F460" s="320"/>
    </row>
    <row r="461">
      <c r="B461" s="318"/>
      <c r="C461" s="320"/>
      <c r="E461" s="320"/>
      <c r="F461" s="320"/>
    </row>
    <row r="462">
      <c r="B462" s="318"/>
      <c r="C462" s="320"/>
      <c r="E462" s="320"/>
      <c r="F462" s="320"/>
    </row>
    <row r="463">
      <c r="B463" s="318"/>
      <c r="C463" s="320"/>
      <c r="E463" s="320"/>
      <c r="F463" s="320"/>
    </row>
    <row r="464">
      <c r="B464" s="318"/>
      <c r="C464" s="320"/>
      <c r="E464" s="320"/>
      <c r="F464" s="320"/>
    </row>
    <row r="465">
      <c r="B465" s="318"/>
      <c r="C465" s="320"/>
      <c r="E465" s="320"/>
      <c r="F465" s="320"/>
    </row>
    <row r="466">
      <c r="B466" s="318"/>
      <c r="C466" s="320"/>
      <c r="E466" s="320"/>
      <c r="F466" s="320"/>
    </row>
    <row r="467">
      <c r="B467" s="318"/>
      <c r="C467" s="320"/>
      <c r="E467" s="320"/>
      <c r="F467" s="320"/>
    </row>
    <row r="468">
      <c r="B468" s="318"/>
      <c r="C468" s="320"/>
      <c r="E468" s="320"/>
      <c r="F468" s="320"/>
    </row>
    <row r="469">
      <c r="B469" s="318"/>
      <c r="C469" s="320"/>
      <c r="E469" s="320"/>
      <c r="F469" s="320"/>
    </row>
    <row r="470">
      <c r="B470" s="318"/>
      <c r="C470" s="320"/>
      <c r="E470" s="320"/>
      <c r="F470" s="320"/>
    </row>
    <row r="471">
      <c r="B471" s="318"/>
      <c r="C471" s="320"/>
      <c r="E471" s="320"/>
      <c r="F471" s="320"/>
    </row>
    <row r="472">
      <c r="B472" s="318"/>
      <c r="C472" s="320"/>
      <c r="E472" s="320"/>
      <c r="F472" s="320"/>
    </row>
    <row r="473">
      <c r="B473" s="318"/>
      <c r="C473" s="320"/>
      <c r="E473" s="320"/>
      <c r="F473" s="320"/>
    </row>
    <row r="474">
      <c r="B474" s="318"/>
      <c r="C474" s="320"/>
      <c r="E474" s="320"/>
      <c r="F474" s="320"/>
    </row>
    <row r="475">
      <c r="B475" s="318"/>
      <c r="C475" s="320"/>
      <c r="E475" s="320"/>
      <c r="F475" s="320"/>
    </row>
    <row r="476">
      <c r="B476" s="318"/>
      <c r="C476" s="320"/>
      <c r="E476" s="320"/>
      <c r="F476" s="320"/>
    </row>
    <row r="477">
      <c r="B477" s="318"/>
      <c r="C477" s="320"/>
      <c r="E477" s="320"/>
      <c r="F477" s="320"/>
    </row>
    <row r="478">
      <c r="B478" s="318"/>
      <c r="C478" s="320"/>
      <c r="E478" s="320"/>
      <c r="F478" s="320"/>
    </row>
    <row r="479">
      <c r="B479" s="318"/>
      <c r="C479" s="320"/>
      <c r="E479" s="320"/>
      <c r="F479" s="320"/>
    </row>
    <row r="480">
      <c r="B480" s="318"/>
      <c r="C480" s="320"/>
      <c r="E480" s="320"/>
      <c r="F480" s="320"/>
    </row>
    <row r="481">
      <c r="B481" s="318"/>
      <c r="C481" s="320"/>
      <c r="E481" s="320"/>
      <c r="F481" s="320"/>
    </row>
    <row r="482">
      <c r="B482" s="318"/>
      <c r="C482" s="320"/>
      <c r="E482" s="320"/>
      <c r="F482" s="320"/>
    </row>
    <row r="483">
      <c r="B483" s="318"/>
      <c r="C483" s="320"/>
      <c r="E483" s="320"/>
      <c r="F483" s="320"/>
    </row>
    <row r="484">
      <c r="B484" s="318"/>
      <c r="C484" s="320"/>
      <c r="E484" s="320"/>
      <c r="F484" s="320"/>
    </row>
    <row r="485">
      <c r="B485" s="318"/>
      <c r="C485" s="320"/>
      <c r="E485" s="320"/>
      <c r="F485" s="320"/>
    </row>
    <row r="486">
      <c r="B486" s="318"/>
      <c r="C486" s="320"/>
      <c r="E486" s="320"/>
      <c r="F486" s="320"/>
    </row>
    <row r="487">
      <c r="B487" s="318"/>
      <c r="C487" s="320"/>
      <c r="E487" s="320"/>
      <c r="F487" s="320"/>
    </row>
    <row r="488">
      <c r="B488" s="318"/>
      <c r="C488" s="320"/>
      <c r="E488" s="320"/>
      <c r="F488" s="320"/>
    </row>
    <row r="489">
      <c r="B489" s="318"/>
      <c r="C489" s="320"/>
      <c r="E489" s="320"/>
      <c r="F489" s="320"/>
    </row>
    <row r="490">
      <c r="B490" s="318"/>
      <c r="C490" s="320"/>
      <c r="E490" s="320"/>
      <c r="F490" s="320"/>
    </row>
    <row r="491">
      <c r="B491" s="318"/>
      <c r="C491" s="320"/>
      <c r="E491" s="320"/>
      <c r="F491" s="320"/>
    </row>
    <row r="492">
      <c r="B492" s="318"/>
      <c r="C492" s="320"/>
      <c r="E492" s="320"/>
      <c r="F492" s="320"/>
    </row>
    <row r="493">
      <c r="B493" s="318"/>
      <c r="C493" s="320"/>
      <c r="E493" s="320"/>
      <c r="F493" s="320"/>
    </row>
    <row r="494">
      <c r="B494" s="318"/>
      <c r="C494" s="320"/>
      <c r="E494" s="320"/>
      <c r="F494" s="320"/>
    </row>
    <row r="495">
      <c r="B495" s="318"/>
      <c r="C495" s="320"/>
      <c r="E495" s="320"/>
      <c r="F495" s="320"/>
    </row>
    <row r="496">
      <c r="B496" s="318"/>
      <c r="C496" s="320"/>
      <c r="E496" s="320"/>
      <c r="F496" s="320"/>
    </row>
    <row r="497">
      <c r="B497" s="318"/>
      <c r="C497" s="320"/>
      <c r="E497" s="320"/>
      <c r="F497" s="320"/>
    </row>
    <row r="498">
      <c r="B498" s="318"/>
      <c r="C498" s="320"/>
      <c r="E498" s="320"/>
      <c r="F498" s="320"/>
    </row>
    <row r="499">
      <c r="B499" s="318"/>
      <c r="C499" s="320"/>
      <c r="E499" s="320"/>
      <c r="F499" s="320"/>
    </row>
    <row r="500">
      <c r="B500" s="318"/>
      <c r="C500" s="320"/>
      <c r="E500" s="320"/>
      <c r="F500" s="320"/>
    </row>
    <row r="501">
      <c r="B501" s="318"/>
      <c r="C501" s="320"/>
      <c r="E501" s="320"/>
      <c r="F501" s="320"/>
    </row>
    <row r="502">
      <c r="B502" s="318"/>
      <c r="C502" s="320"/>
      <c r="E502" s="320"/>
      <c r="F502" s="320"/>
    </row>
    <row r="503">
      <c r="B503" s="318"/>
      <c r="C503" s="320"/>
      <c r="E503" s="320"/>
      <c r="F503" s="320"/>
    </row>
    <row r="504">
      <c r="B504" s="318"/>
      <c r="C504" s="320"/>
      <c r="E504" s="320"/>
      <c r="F504" s="320"/>
    </row>
    <row r="505">
      <c r="B505" s="318"/>
      <c r="C505" s="320"/>
      <c r="E505" s="320"/>
      <c r="F505" s="320"/>
    </row>
    <row r="506">
      <c r="B506" s="318"/>
      <c r="C506" s="320"/>
      <c r="E506" s="320"/>
      <c r="F506" s="320"/>
    </row>
    <row r="507">
      <c r="B507" s="318"/>
      <c r="C507" s="320"/>
      <c r="E507" s="320"/>
      <c r="F507" s="320"/>
    </row>
    <row r="508">
      <c r="B508" s="318"/>
      <c r="C508" s="320"/>
      <c r="E508" s="320"/>
      <c r="F508" s="320"/>
    </row>
    <row r="509">
      <c r="B509" s="318"/>
      <c r="C509" s="320"/>
      <c r="E509" s="320"/>
      <c r="F509" s="320"/>
    </row>
    <row r="510">
      <c r="B510" s="318"/>
      <c r="C510" s="320"/>
      <c r="E510" s="320"/>
      <c r="F510" s="320"/>
    </row>
    <row r="511">
      <c r="B511" s="318"/>
      <c r="C511" s="320"/>
      <c r="E511" s="320"/>
      <c r="F511" s="320"/>
    </row>
    <row r="512">
      <c r="B512" s="318"/>
      <c r="C512" s="320"/>
      <c r="E512" s="320"/>
      <c r="F512" s="320"/>
    </row>
    <row r="513">
      <c r="B513" s="318"/>
      <c r="C513" s="320"/>
      <c r="E513" s="320"/>
      <c r="F513" s="320"/>
    </row>
    <row r="514">
      <c r="B514" s="318"/>
      <c r="C514" s="320"/>
      <c r="E514" s="320"/>
      <c r="F514" s="320"/>
    </row>
    <row r="515">
      <c r="B515" s="318"/>
      <c r="C515" s="320"/>
      <c r="E515" s="320"/>
      <c r="F515" s="320"/>
    </row>
    <row r="516">
      <c r="B516" s="318"/>
      <c r="C516" s="320"/>
      <c r="E516" s="320"/>
      <c r="F516" s="320"/>
    </row>
    <row r="517">
      <c r="B517" s="318"/>
      <c r="C517" s="320"/>
      <c r="E517" s="320"/>
      <c r="F517" s="320"/>
    </row>
    <row r="518">
      <c r="B518" s="318"/>
      <c r="C518" s="320"/>
      <c r="E518" s="320"/>
      <c r="F518" s="320"/>
    </row>
    <row r="519">
      <c r="B519" s="318"/>
      <c r="C519" s="320"/>
      <c r="E519" s="320"/>
      <c r="F519" s="320"/>
    </row>
    <row r="520">
      <c r="B520" s="318"/>
      <c r="C520" s="320"/>
      <c r="E520" s="320"/>
      <c r="F520" s="320"/>
    </row>
    <row r="521">
      <c r="B521" s="318"/>
      <c r="C521" s="320"/>
      <c r="E521" s="320"/>
      <c r="F521" s="320"/>
    </row>
    <row r="522">
      <c r="B522" s="318"/>
      <c r="C522" s="320"/>
      <c r="E522" s="320"/>
      <c r="F522" s="320"/>
    </row>
    <row r="523">
      <c r="B523" s="318"/>
      <c r="C523" s="320"/>
      <c r="E523" s="320"/>
      <c r="F523" s="320"/>
    </row>
    <row r="524">
      <c r="B524" s="318"/>
      <c r="C524" s="320"/>
      <c r="E524" s="320"/>
      <c r="F524" s="320"/>
    </row>
    <row r="525">
      <c r="B525" s="318"/>
      <c r="C525" s="320"/>
      <c r="E525" s="320"/>
      <c r="F525" s="320"/>
    </row>
    <row r="526">
      <c r="B526" s="318"/>
      <c r="C526" s="320"/>
      <c r="E526" s="320"/>
      <c r="F526" s="320"/>
    </row>
    <row r="527">
      <c r="B527" s="318"/>
      <c r="C527" s="320"/>
      <c r="E527" s="320"/>
      <c r="F527" s="320"/>
    </row>
    <row r="528">
      <c r="B528" s="318"/>
      <c r="C528" s="320"/>
      <c r="E528" s="320"/>
      <c r="F528" s="320"/>
    </row>
    <row r="529">
      <c r="B529" s="318"/>
      <c r="C529" s="320"/>
      <c r="E529" s="320"/>
      <c r="F529" s="320"/>
    </row>
    <row r="530">
      <c r="B530" s="318"/>
      <c r="C530" s="320"/>
      <c r="E530" s="320"/>
      <c r="F530" s="320"/>
    </row>
    <row r="531">
      <c r="B531" s="318"/>
      <c r="C531" s="320"/>
      <c r="E531" s="320"/>
      <c r="F531" s="320"/>
    </row>
    <row r="532">
      <c r="B532" s="318"/>
      <c r="C532" s="320"/>
      <c r="E532" s="320"/>
      <c r="F532" s="320"/>
    </row>
    <row r="533">
      <c r="B533" s="318"/>
      <c r="C533" s="320"/>
      <c r="E533" s="320"/>
      <c r="F533" s="320"/>
    </row>
    <row r="534">
      <c r="B534" s="318"/>
      <c r="C534" s="320"/>
      <c r="E534" s="320"/>
      <c r="F534" s="320"/>
    </row>
    <row r="535">
      <c r="B535" s="318"/>
      <c r="C535" s="320"/>
      <c r="E535" s="320"/>
      <c r="F535" s="320"/>
    </row>
    <row r="536">
      <c r="B536" s="318"/>
      <c r="C536" s="320"/>
      <c r="E536" s="320"/>
      <c r="F536" s="320"/>
    </row>
    <row r="537">
      <c r="B537" s="318"/>
      <c r="C537" s="320"/>
      <c r="E537" s="320"/>
      <c r="F537" s="320"/>
    </row>
    <row r="538">
      <c r="B538" s="318"/>
      <c r="C538" s="320"/>
      <c r="E538" s="320"/>
      <c r="F538" s="320"/>
    </row>
    <row r="539">
      <c r="B539" s="318"/>
      <c r="C539" s="320"/>
      <c r="E539" s="320"/>
      <c r="F539" s="320"/>
    </row>
    <row r="540">
      <c r="B540" s="318"/>
      <c r="C540" s="320"/>
      <c r="E540" s="320"/>
      <c r="F540" s="320"/>
    </row>
    <row r="541">
      <c r="B541" s="318"/>
      <c r="C541" s="320"/>
      <c r="E541" s="320"/>
      <c r="F541" s="320"/>
    </row>
    <row r="542">
      <c r="B542" s="318"/>
      <c r="C542" s="320"/>
      <c r="E542" s="320"/>
      <c r="F542" s="320"/>
    </row>
    <row r="543">
      <c r="B543" s="318"/>
      <c r="C543" s="320"/>
      <c r="E543" s="320"/>
      <c r="F543" s="320"/>
    </row>
    <row r="544">
      <c r="B544" s="318"/>
      <c r="C544" s="320"/>
      <c r="E544" s="320"/>
      <c r="F544" s="320"/>
    </row>
    <row r="545">
      <c r="B545" s="318"/>
      <c r="C545" s="320"/>
      <c r="E545" s="320"/>
      <c r="F545" s="320"/>
    </row>
    <row r="546">
      <c r="B546" s="318"/>
      <c r="C546" s="320"/>
      <c r="E546" s="320"/>
      <c r="F546" s="320"/>
    </row>
    <row r="547">
      <c r="B547" s="318"/>
      <c r="C547" s="320"/>
      <c r="E547" s="320"/>
      <c r="F547" s="320"/>
    </row>
    <row r="548">
      <c r="B548" s="318"/>
      <c r="C548" s="320"/>
      <c r="E548" s="320"/>
      <c r="F548" s="320"/>
    </row>
    <row r="549">
      <c r="B549" s="318"/>
      <c r="C549" s="320"/>
      <c r="E549" s="320"/>
      <c r="F549" s="320"/>
    </row>
    <row r="550">
      <c r="B550" s="318"/>
      <c r="C550" s="320"/>
      <c r="E550" s="320"/>
      <c r="F550" s="320"/>
    </row>
    <row r="551">
      <c r="B551" s="318"/>
      <c r="C551" s="320"/>
      <c r="E551" s="320"/>
      <c r="F551" s="320"/>
    </row>
    <row r="552">
      <c r="B552" s="318"/>
      <c r="C552" s="320"/>
      <c r="E552" s="320"/>
      <c r="F552" s="320"/>
    </row>
    <row r="553">
      <c r="B553" s="318"/>
      <c r="C553" s="320"/>
      <c r="E553" s="320"/>
      <c r="F553" s="320"/>
    </row>
    <row r="554">
      <c r="B554" s="318"/>
      <c r="C554" s="320"/>
      <c r="E554" s="320"/>
      <c r="F554" s="320"/>
    </row>
    <row r="555">
      <c r="B555" s="318"/>
      <c r="C555" s="320"/>
      <c r="E555" s="320"/>
      <c r="F555" s="320"/>
    </row>
    <row r="556">
      <c r="B556" s="318"/>
      <c r="C556" s="320"/>
      <c r="E556" s="320"/>
      <c r="F556" s="320"/>
    </row>
    <row r="557">
      <c r="B557" s="318"/>
      <c r="C557" s="320"/>
      <c r="E557" s="320"/>
      <c r="F557" s="320"/>
    </row>
    <row r="558">
      <c r="B558" s="318"/>
      <c r="C558" s="320"/>
      <c r="E558" s="320"/>
      <c r="F558" s="320"/>
    </row>
    <row r="559">
      <c r="B559" s="318"/>
      <c r="C559" s="320"/>
      <c r="E559" s="320"/>
      <c r="F559" s="320"/>
    </row>
    <row r="560">
      <c r="B560" s="318"/>
      <c r="C560" s="320"/>
      <c r="E560" s="320"/>
      <c r="F560" s="320"/>
    </row>
    <row r="561">
      <c r="B561" s="318"/>
      <c r="C561" s="320"/>
      <c r="E561" s="320"/>
      <c r="F561" s="320"/>
    </row>
    <row r="562">
      <c r="B562" s="318"/>
      <c r="C562" s="320"/>
      <c r="E562" s="320"/>
      <c r="F562" s="320"/>
    </row>
    <row r="563">
      <c r="B563" s="318"/>
      <c r="C563" s="320"/>
      <c r="E563" s="320"/>
      <c r="F563" s="320"/>
    </row>
    <row r="564">
      <c r="B564" s="318"/>
      <c r="C564" s="320"/>
      <c r="E564" s="320"/>
      <c r="F564" s="320"/>
    </row>
    <row r="565">
      <c r="B565" s="318"/>
      <c r="C565" s="320"/>
      <c r="E565" s="320"/>
      <c r="F565" s="320"/>
    </row>
    <row r="566">
      <c r="B566" s="318"/>
      <c r="C566" s="320"/>
      <c r="E566" s="320"/>
      <c r="F566" s="320"/>
    </row>
    <row r="567">
      <c r="B567" s="318"/>
      <c r="C567" s="320"/>
      <c r="E567" s="320"/>
      <c r="F567" s="320"/>
    </row>
    <row r="568">
      <c r="B568" s="318"/>
      <c r="C568" s="320"/>
      <c r="E568" s="320"/>
      <c r="F568" s="320"/>
    </row>
    <row r="569">
      <c r="B569" s="318"/>
      <c r="C569" s="320"/>
      <c r="E569" s="320"/>
      <c r="F569" s="320"/>
    </row>
    <row r="570">
      <c r="B570" s="318"/>
      <c r="C570" s="320"/>
      <c r="E570" s="320"/>
      <c r="F570" s="320"/>
    </row>
    <row r="571">
      <c r="B571" s="318"/>
      <c r="C571" s="320"/>
      <c r="E571" s="320"/>
      <c r="F571" s="320"/>
    </row>
    <row r="572">
      <c r="B572" s="318"/>
      <c r="C572" s="320"/>
      <c r="E572" s="320"/>
      <c r="F572" s="320"/>
    </row>
    <row r="573">
      <c r="B573" s="318"/>
      <c r="C573" s="320"/>
      <c r="E573" s="320"/>
      <c r="F573" s="320"/>
    </row>
    <row r="574">
      <c r="B574" s="318"/>
      <c r="C574" s="320"/>
      <c r="E574" s="320"/>
      <c r="F574" s="320"/>
    </row>
    <row r="575">
      <c r="B575" s="318"/>
      <c r="C575" s="320"/>
      <c r="E575" s="320"/>
      <c r="F575" s="320"/>
    </row>
    <row r="576">
      <c r="B576" s="318"/>
      <c r="C576" s="320"/>
      <c r="E576" s="320"/>
      <c r="F576" s="320"/>
    </row>
    <row r="577">
      <c r="B577" s="318"/>
      <c r="C577" s="320"/>
      <c r="E577" s="320"/>
      <c r="F577" s="320"/>
    </row>
    <row r="578">
      <c r="B578" s="318"/>
      <c r="C578" s="320"/>
      <c r="E578" s="320"/>
      <c r="F578" s="320"/>
    </row>
    <row r="579">
      <c r="B579" s="318"/>
      <c r="C579" s="320"/>
      <c r="E579" s="320"/>
      <c r="F579" s="320"/>
    </row>
    <row r="580">
      <c r="B580" s="318"/>
      <c r="C580" s="320"/>
      <c r="E580" s="320"/>
      <c r="F580" s="320"/>
    </row>
    <row r="581">
      <c r="B581" s="318"/>
      <c r="C581" s="320"/>
      <c r="E581" s="320"/>
      <c r="F581" s="320"/>
    </row>
    <row r="582">
      <c r="B582" s="318"/>
      <c r="C582" s="320"/>
      <c r="E582" s="320"/>
      <c r="F582" s="320"/>
    </row>
    <row r="583">
      <c r="B583" s="318"/>
      <c r="C583" s="320"/>
      <c r="E583" s="320"/>
      <c r="F583" s="320"/>
    </row>
    <row r="584">
      <c r="B584" s="318"/>
      <c r="C584" s="320"/>
      <c r="E584" s="320"/>
      <c r="F584" s="320"/>
    </row>
    <row r="585">
      <c r="B585" s="318"/>
      <c r="C585" s="320"/>
      <c r="E585" s="320"/>
      <c r="F585" s="320"/>
    </row>
    <row r="586">
      <c r="B586" s="318"/>
      <c r="C586" s="320"/>
      <c r="E586" s="320"/>
      <c r="F586" s="320"/>
    </row>
    <row r="587">
      <c r="B587" s="318"/>
      <c r="C587" s="320"/>
      <c r="E587" s="320"/>
      <c r="F587" s="320"/>
    </row>
    <row r="588">
      <c r="B588" s="318"/>
      <c r="C588" s="320"/>
      <c r="E588" s="320"/>
      <c r="F588" s="320"/>
    </row>
    <row r="589">
      <c r="B589" s="318"/>
      <c r="C589" s="320"/>
      <c r="E589" s="320"/>
      <c r="F589" s="320"/>
    </row>
    <row r="590">
      <c r="B590" s="318"/>
      <c r="C590" s="320"/>
      <c r="E590" s="320"/>
      <c r="F590" s="320"/>
    </row>
    <row r="591">
      <c r="B591" s="318"/>
      <c r="C591" s="320"/>
      <c r="E591" s="320"/>
      <c r="F591" s="320"/>
    </row>
    <row r="592">
      <c r="B592" s="318"/>
      <c r="C592" s="320"/>
      <c r="E592" s="320"/>
      <c r="F592" s="320"/>
    </row>
    <row r="593">
      <c r="B593" s="318"/>
      <c r="C593" s="320"/>
      <c r="E593" s="320"/>
      <c r="F593" s="320"/>
    </row>
    <row r="594">
      <c r="B594" s="318"/>
      <c r="C594" s="320"/>
      <c r="E594" s="320"/>
      <c r="F594" s="320"/>
    </row>
    <row r="595">
      <c r="B595" s="318"/>
      <c r="C595" s="320"/>
      <c r="E595" s="320"/>
      <c r="F595" s="320"/>
    </row>
    <row r="596">
      <c r="B596" s="318"/>
      <c r="C596" s="320"/>
      <c r="E596" s="320"/>
      <c r="F596" s="320"/>
    </row>
    <row r="597">
      <c r="B597" s="318"/>
      <c r="C597" s="320"/>
      <c r="E597" s="320"/>
      <c r="F597" s="320"/>
    </row>
    <row r="598">
      <c r="B598" s="318"/>
      <c r="C598" s="320"/>
      <c r="E598" s="320"/>
      <c r="F598" s="320"/>
    </row>
    <row r="599">
      <c r="B599" s="318"/>
      <c r="C599" s="320"/>
      <c r="E599" s="320"/>
      <c r="F599" s="320"/>
    </row>
    <row r="600">
      <c r="B600" s="318"/>
      <c r="C600" s="320"/>
      <c r="E600" s="320"/>
      <c r="F600" s="320"/>
    </row>
    <row r="601">
      <c r="B601" s="318"/>
      <c r="C601" s="320"/>
      <c r="E601" s="320"/>
      <c r="F601" s="320"/>
    </row>
    <row r="602">
      <c r="B602" s="318"/>
      <c r="C602" s="320"/>
      <c r="E602" s="320"/>
      <c r="F602" s="320"/>
    </row>
    <row r="603">
      <c r="B603" s="318"/>
      <c r="C603" s="320"/>
      <c r="E603" s="320"/>
      <c r="F603" s="320"/>
    </row>
    <row r="604">
      <c r="B604" s="318"/>
      <c r="C604" s="320"/>
      <c r="E604" s="320"/>
      <c r="F604" s="320"/>
    </row>
    <row r="605">
      <c r="B605" s="318"/>
      <c r="C605" s="320"/>
      <c r="E605" s="320"/>
      <c r="F605" s="320"/>
    </row>
    <row r="606">
      <c r="B606" s="318"/>
      <c r="C606" s="320"/>
      <c r="E606" s="320"/>
      <c r="F606" s="320"/>
    </row>
    <row r="607">
      <c r="B607" s="318"/>
      <c r="C607" s="320"/>
      <c r="E607" s="320"/>
      <c r="F607" s="320"/>
    </row>
    <row r="608">
      <c r="B608" s="318"/>
      <c r="C608" s="320"/>
      <c r="E608" s="320"/>
      <c r="F608" s="320"/>
    </row>
    <row r="609">
      <c r="B609" s="318"/>
      <c r="C609" s="320"/>
      <c r="E609" s="320"/>
      <c r="F609" s="320"/>
    </row>
    <row r="610">
      <c r="B610" s="318"/>
      <c r="C610" s="320"/>
      <c r="E610" s="320"/>
      <c r="F610" s="320"/>
    </row>
    <row r="611">
      <c r="B611" s="318"/>
      <c r="C611" s="320"/>
      <c r="E611" s="320"/>
      <c r="F611" s="320"/>
    </row>
    <row r="612">
      <c r="B612" s="318"/>
      <c r="C612" s="320"/>
      <c r="E612" s="320"/>
      <c r="F612" s="320"/>
    </row>
    <row r="613">
      <c r="B613" s="318"/>
      <c r="C613" s="320"/>
      <c r="E613" s="320"/>
      <c r="F613" s="320"/>
    </row>
    <row r="614">
      <c r="B614" s="318"/>
      <c r="C614" s="320"/>
      <c r="E614" s="320"/>
      <c r="F614" s="320"/>
    </row>
    <row r="615">
      <c r="B615" s="318"/>
      <c r="C615" s="320"/>
      <c r="E615" s="320"/>
      <c r="F615" s="320"/>
    </row>
    <row r="616">
      <c r="B616" s="318"/>
      <c r="C616" s="320"/>
      <c r="E616" s="320"/>
      <c r="F616" s="320"/>
    </row>
    <row r="617">
      <c r="B617" s="318"/>
      <c r="C617" s="320"/>
      <c r="E617" s="320"/>
      <c r="F617" s="320"/>
    </row>
    <row r="618">
      <c r="B618" s="318"/>
      <c r="C618" s="320"/>
      <c r="E618" s="320"/>
      <c r="F618" s="320"/>
    </row>
    <row r="619">
      <c r="B619" s="318"/>
      <c r="C619" s="320"/>
      <c r="E619" s="320"/>
      <c r="F619" s="320"/>
    </row>
    <row r="620">
      <c r="B620" s="318"/>
      <c r="C620" s="320"/>
      <c r="E620" s="320"/>
      <c r="F620" s="320"/>
    </row>
    <row r="621">
      <c r="B621" s="318"/>
      <c r="C621" s="320"/>
      <c r="E621" s="320"/>
      <c r="F621" s="320"/>
    </row>
    <row r="622">
      <c r="B622" s="318"/>
      <c r="C622" s="320"/>
      <c r="E622" s="320"/>
      <c r="F622" s="320"/>
    </row>
    <row r="623">
      <c r="B623" s="318"/>
      <c r="C623" s="320"/>
      <c r="E623" s="320"/>
      <c r="F623" s="320"/>
    </row>
    <row r="624">
      <c r="B624" s="318"/>
      <c r="C624" s="320"/>
      <c r="E624" s="320"/>
      <c r="F624" s="320"/>
    </row>
    <row r="625">
      <c r="B625" s="318"/>
      <c r="C625" s="320"/>
      <c r="E625" s="320"/>
      <c r="F625" s="320"/>
    </row>
    <row r="626">
      <c r="B626" s="318"/>
      <c r="C626" s="320"/>
      <c r="E626" s="320"/>
      <c r="F626" s="320"/>
    </row>
    <row r="627">
      <c r="B627" s="318"/>
      <c r="C627" s="320"/>
      <c r="E627" s="320"/>
      <c r="F627" s="320"/>
    </row>
    <row r="628">
      <c r="B628" s="318"/>
      <c r="C628" s="320"/>
      <c r="E628" s="320"/>
      <c r="F628" s="320"/>
    </row>
    <row r="629">
      <c r="B629" s="318"/>
      <c r="C629" s="320"/>
      <c r="E629" s="320"/>
      <c r="F629" s="320"/>
    </row>
    <row r="630">
      <c r="B630" s="318"/>
      <c r="C630" s="320"/>
      <c r="E630" s="320"/>
      <c r="F630" s="320"/>
    </row>
    <row r="631">
      <c r="B631" s="318"/>
      <c r="C631" s="320"/>
      <c r="E631" s="320"/>
      <c r="F631" s="320"/>
    </row>
    <row r="632">
      <c r="B632" s="318"/>
      <c r="C632" s="320"/>
      <c r="E632" s="320"/>
      <c r="F632" s="320"/>
    </row>
    <row r="633">
      <c r="B633" s="318"/>
      <c r="C633" s="320"/>
      <c r="E633" s="320"/>
      <c r="F633" s="320"/>
    </row>
    <row r="634">
      <c r="B634" s="318"/>
      <c r="C634" s="320"/>
      <c r="E634" s="320"/>
      <c r="F634" s="320"/>
    </row>
    <row r="635">
      <c r="B635" s="318"/>
      <c r="C635" s="320"/>
      <c r="E635" s="320"/>
      <c r="F635" s="320"/>
    </row>
    <row r="636">
      <c r="B636" s="318"/>
      <c r="C636" s="320"/>
      <c r="E636" s="320"/>
      <c r="F636" s="320"/>
    </row>
    <row r="637">
      <c r="B637" s="318"/>
      <c r="C637" s="320"/>
      <c r="E637" s="320"/>
      <c r="F637" s="320"/>
    </row>
    <row r="638">
      <c r="B638" s="318"/>
      <c r="C638" s="320"/>
      <c r="E638" s="320"/>
      <c r="F638" s="320"/>
    </row>
    <row r="639">
      <c r="B639" s="318"/>
      <c r="C639" s="320"/>
      <c r="E639" s="320"/>
      <c r="F639" s="320"/>
    </row>
    <row r="640">
      <c r="B640" s="318"/>
      <c r="C640" s="320"/>
      <c r="E640" s="320"/>
      <c r="F640" s="320"/>
    </row>
    <row r="641">
      <c r="B641" s="318"/>
      <c r="C641" s="320"/>
      <c r="E641" s="320"/>
      <c r="F641" s="320"/>
    </row>
    <row r="642">
      <c r="B642" s="318"/>
      <c r="C642" s="320"/>
      <c r="E642" s="320"/>
      <c r="F642" s="320"/>
    </row>
    <row r="643">
      <c r="B643" s="318"/>
      <c r="C643" s="320"/>
      <c r="E643" s="320"/>
      <c r="F643" s="320"/>
    </row>
    <row r="644">
      <c r="B644" s="318"/>
      <c r="C644" s="320"/>
      <c r="E644" s="320"/>
      <c r="F644" s="320"/>
    </row>
    <row r="645">
      <c r="B645" s="318"/>
      <c r="C645" s="320"/>
      <c r="E645" s="320"/>
      <c r="F645" s="320"/>
    </row>
    <row r="646">
      <c r="B646" s="318"/>
      <c r="C646" s="320"/>
      <c r="E646" s="320"/>
      <c r="F646" s="320"/>
    </row>
    <row r="647">
      <c r="B647" s="318"/>
      <c r="C647" s="320"/>
      <c r="E647" s="320"/>
      <c r="F647" s="320"/>
    </row>
    <row r="648">
      <c r="B648" s="318"/>
      <c r="C648" s="320"/>
      <c r="E648" s="320"/>
      <c r="F648" s="320"/>
    </row>
    <row r="649">
      <c r="B649" s="318"/>
      <c r="C649" s="320"/>
      <c r="E649" s="320"/>
      <c r="F649" s="320"/>
    </row>
    <row r="650">
      <c r="B650" s="318"/>
      <c r="C650" s="320"/>
      <c r="E650" s="320"/>
      <c r="F650" s="320"/>
    </row>
    <row r="651">
      <c r="B651" s="318"/>
      <c r="C651" s="320"/>
      <c r="E651" s="320"/>
      <c r="F651" s="320"/>
    </row>
    <row r="652">
      <c r="B652" s="318"/>
      <c r="C652" s="320"/>
      <c r="E652" s="320"/>
      <c r="F652" s="320"/>
    </row>
    <row r="653">
      <c r="B653" s="318"/>
      <c r="C653" s="320"/>
      <c r="E653" s="320"/>
      <c r="F653" s="320"/>
    </row>
    <row r="654">
      <c r="B654" s="318"/>
      <c r="C654" s="320"/>
      <c r="E654" s="320"/>
      <c r="F654" s="320"/>
    </row>
    <row r="655">
      <c r="B655" s="318"/>
      <c r="C655" s="320"/>
      <c r="E655" s="320"/>
      <c r="F655" s="320"/>
    </row>
    <row r="656">
      <c r="B656" s="318"/>
      <c r="C656" s="320"/>
      <c r="E656" s="320"/>
      <c r="F656" s="320"/>
    </row>
    <row r="657">
      <c r="B657" s="318"/>
      <c r="C657" s="320"/>
      <c r="E657" s="320"/>
      <c r="F657" s="320"/>
    </row>
    <row r="658">
      <c r="B658" s="318"/>
      <c r="C658" s="320"/>
      <c r="E658" s="320"/>
      <c r="F658" s="320"/>
    </row>
    <row r="659">
      <c r="B659" s="318"/>
      <c r="C659" s="320"/>
      <c r="E659" s="320"/>
      <c r="F659" s="320"/>
    </row>
    <row r="660">
      <c r="B660" s="318"/>
      <c r="C660" s="320"/>
      <c r="E660" s="320"/>
      <c r="F660" s="320"/>
    </row>
    <row r="661">
      <c r="B661" s="318"/>
      <c r="C661" s="320"/>
      <c r="E661" s="320"/>
      <c r="F661" s="320"/>
    </row>
    <row r="662">
      <c r="B662" s="318"/>
      <c r="C662" s="320"/>
      <c r="E662" s="320"/>
      <c r="F662" s="320"/>
    </row>
    <row r="663">
      <c r="B663" s="318"/>
      <c r="C663" s="320"/>
      <c r="E663" s="320"/>
      <c r="F663" s="320"/>
    </row>
    <row r="664">
      <c r="B664" s="318"/>
      <c r="C664" s="320"/>
      <c r="E664" s="320"/>
      <c r="F664" s="320"/>
    </row>
    <row r="665">
      <c r="B665" s="318"/>
      <c r="C665" s="320"/>
      <c r="E665" s="320"/>
      <c r="F665" s="320"/>
    </row>
    <row r="666">
      <c r="B666" s="318"/>
      <c r="C666" s="320"/>
      <c r="E666" s="320"/>
      <c r="F666" s="320"/>
    </row>
    <row r="667">
      <c r="B667" s="318"/>
      <c r="C667" s="320"/>
      <c r="E667" s="320"/>
      <c r="F667" s="320"/>
    </row>
    <row r="668">
      <c r="B668" s="318"/>
      <c r="C668" s="320"/>
      <c r="E668" s="320"/>
      <c r="F668" s="320"/>
    </row>
    <row r="669">
      <c r="B669" s="318"/>
      <c r="C669" s="320"/>
      <c r="E669" s="320"/>
      <c r="F669" s="320"/>
    </row>
    <row r="670">
      <c r="B670" s="318"/>
      <c r="C670" s="320"/>
      <c r="E670" s="320"/>
      <c r="F670" s="320"/>
    </row>
    <row r="671">
      <c r="B671" s="318"/>
      <c r="C671" s="320"/>
      <c r="E671" s="320"/>
      <c r="F671" s="320"/>
    </row>
    <row r="672">
      <c r="B672" s="318"/>
      <c r="C672" s="320"/>
      <c r="E672" s="320"/>
      <c r="F672" s="320"/>
    </row>
    <row r="673">
      <c r="B673" s="318"/>
      <c r="C673" s="320"/>
      <c r="E673" s="320"/>
      <c r="F673" s="320"/>
    </row>
    <row r="674">
      <c r="B674" s="318"/>
      <c r="C674" s="320"/>
      <c r="E674" s="320"/>
      <c r="F674" s="320"/>
    </row>
    <row r="675">
      <c r="B675" s="318"/>
      <c r="C675" s="320"/>
      <c r="E675" s="320"/>
      <c r="F675" s="320"/>
    </row>
    <row r="676">
      <c r="B676" s="318"/>
      <c r="C676" s="320"/>
      <c r="E676" s="320"/>
      <c r="F676" s="320"/>
    </row>
    <row r="677">
      <c r="B677" s="318"/>
      <c r="C677" s="320"/>
      <c r="E677" s="320"/>
      <c r="F677" s="320"/>
    </row>
    <row r="678">
      <c r="B678" s="318"/>
      <c r="C678" s="320"/>
      <c r="E678" s="320"/>
      <c r="F678" s="320"/>
    </row>
    <row r="679">
      <c r="B679" s="318"/>
      <c r="C679" s="320"/>
      <c r="E679" s="320"/>
      <c r="F679" s="320"/>
    </row>
    <row r="680">
      <c r="B680" s="318"/>
      <c r="C680" s="320"/>
      <c r="E680" s="320"/>
      <c r="F680" s="320"/>
    </row>
    <row r="681">
      <c r="B681" s="318"/>
      <c r="C681" s="320"/>
      <c r="E681" s="320"/>
      <c r="F681" s="320"/>
    </row>
    <row r="682">
      <c r="B682" s="318"/>
      <c r="C682" s="320"/>
      <c r="E682" s="320"/>
      <c r="F682" s="320"/>
    </row>
    <row r="683">
      <c r="B683" s="318"/>
      <c r="C683" s="320"/>
      <c r="E683" s="320"/>
      <c r="F683" s="320"/>
    </row>
    <row r="684">
      <c r="B684" s="318"/>
      <c r="C684" s="320"/>
      <c r="E684" s="320"/>
      <c r="F684" s="320"/>
    </row>
    <row r="685">
      <c r="B685" s="318"/>
      <c r="C685" s="320"/>
      <c r="E685" s="320"/>
      <c r="F685" s="320"/>
    </row>
    <row r="686">
      <c r="B686" s="318"/>
      <c r="C686" s="320"/>
      <c r="E686" s="320"/>
      <c r="F686" s="320"/>
    </row>
    <row r="687">
      <c r="B687" s="318"/>
      <c r="C687" s="320"/>
      <c r="E687" s="320"/>
      <c r="F687" s="320"/>
    </row>
    <row r="688">
      <c r="B688" s="318"/>
      <c r="C688" s="320"/>
      <c r="E688" s="320"/>
      <c r="F688" s="320"/>
    </row>
    <row r="689">
      <c r="B689" s="318"/>
      <c r="C689" s="320"/>
      <c r="E689" s="320"/>
      <c r="F689" s="320"/>
    </row>
    <row r="690">
      <c r="B690" s="318"/>
      <c r="C690" s="320"/>
      <c r="E690" s="320"/>
      <c r="F690" s="320"/>
    </row>
    <row r="691">
      <c r="B691" s="318"/>
      <c r="C691" s="320"/>
      <c r="E691" s="320"/>
      <c r="F691" s="320"/>
    </row>
    <row r="692">
      <c r="B692" s="318"/>
      <c r="C692" s="320"/>
      <c r="E692" s="320"/>
      <c r="F692" s="320"/>
    </row>
    <row r="693">
      <c r="B693" s="318"/>
      <c r="C693" s="320"/>
      <c r="E693" s="320"/>
      <c r="F693" s="320"/>
    </row>
    <row r="694">
      <c r="B694" s="318"/>
      <c r="C694" s="320"/>
      <c r="E694" s="320"/>
      <c r="F694" s="320"/>
    </row>
    <row r="695">
      <c r="B695" s="318"/>
      <c r="C695" s="320"/>
      <c r="E695" s="320"/>
      <c r="F695" s="320"/>
    </row>
    <row r="696">
      <c r="B696" s="318"/>
      <c r="C696" s="320"/>
      <c r="E696" s="320"/>
      <c r="F696" s="320"/>
    </row>
    <row r="697">
      <c r="B697" s="318"/>
      <c r="C697" s="320"/>
      <c r="E697" s="320"/>
      <c r="F697" s="320"/>
    </row>
    <row r="698">
      <c r="B698" s="318"/>
      <c r="C698" s="320"/>
      <c r="E698" s="320"/>
      <c r="F698" s="320"/>
    </row>
    <row r="699">
      <c r="B699" s="318"/>
      <c r="C699" s="320"/>
      <c r="E699" s="320"/>
      <c r="F699" s="320"/>
    </row>
    <row r="700">
      <c r="B700" s="318"/>
      <c r="C700" s="320"/>
      <c r="E700" s="320"/>
      <c r="F700" s="320"/>
    </row>
    <row r="701">
      <c r="B701" s="318"/>
      <c r="C701" s="320"/>
      <c r="E701" s="320"/>
      <c r="F701" s="320"/>
    </row>
    <row r="702">
      <c r="B702" s="318"/>
      <c r="C702" s="320"/>
      <c r="E702" s="320"/>
      <c r="F702" s="320"/>
    </row>
    <row r="703">
      <c r="B703" s="318"/>
      <c r="C703" s="320"/>
      <c r="E703" s="320"/>
      <c r="F703" s="320"/>
    </row>
    <row r="704">
      <c r="B704" s="318"/>
      <c r="C704" s="320"/>
      <c r="E704" s="320"/>
      <c r="F704" s="320"/>
    </row>
    <row r="705">
      <c r="B705" s="318"/>
      <c r="C705" s="320"/>
      <c r="E705" s="320"/>
      <c r="F705" s="320"/>
    </row>
    <row r="706">
      <c r="B706" s="318"/>
      <c r="C706" s="320"/>
      <c r="E706" s="320"/>
      <c r="F706" s="320"/>
    </row>
    <row r="707">
      <c r="B707" s="318"/>
      <c r="C707" s="320"/>
      <c r="E707" s="320"/>
      <c r="F707" s="320"/>
    </row>
    <row r="708">
      <c r="B708" s="318"/>
      <c r="C708" s="320"/>
      <c r="E708" s="320"/>
      <c r="F708" s="320"/>
    </row>
    <row r="709">
      <c r="B709" s="318"/>
      <c r="C709" s="320"/>
      <c r="E709" s="320"/>
      <c r="F709" s="320"/>
    </row>
    <row r="710">
      <c r="B710" s="318"/>
      <c r="C710" s="320"/>
      <c r="E710" s="320"/>
      <c r="F710" s="320"/>
    </row>
    <row r="711">
      <c r="B711" s="318"/>
      <c r="C711" s="320"/>
      <c r="E711" s="320"/>
      <c r="F711" s="320"/>
    </row>
    <row r="712">
      <c r="B712" s="318"/>
      <c r="C712" s="320"/>
      <c r="E712" s="320"/>
      <c r="F712" s="320"/>
    </row>
    <row r="713">
      <c r="B713" s="318"/>
      <c r="C713" s="320"/>
      <c r="E713" s="320"/>
      <c r="F713" s="320"/>
    </row>
    <row r="714">
      <c r="B714" s="318"/>
      <c r="C714" s="320"/>
      <c r="E714" s="320"/>
      <c r="F714" s="320"/>
    </row>
    <row r="715">
      <c r="B715" s="318"/>
      <c r="C715" s="320"/>
      <c r="E715" s="320"/>
      <c r="F715" s="320"/>
    </row>
    <row r="716">
      <c r="B716" s="318"/>
      <c r="C716" s="320"/>
      <c r="E716" s="320"/>
      <c r="F716" s="320"/>
    </row>
    <row r="717">
      <c r="B717" s="318"/>
      <c r="C717" s="320"/>
      <c r="E717" s="320"/>
      <c r="F717" s="320"/>
    </row>
    <row r="718">
      <c r="B718" s="318"/>
      <c r="C718" s="320"/>
      <c r="E718" s="320"/>
      <c r="F718" s="320"/>
    </row>
    <row r="719">
      <c r="B719" s="318"/>
      <c r="C719" s="320"/>
      <c r="E719" s="320"/>
      <c r="F719" s="320"/>
    </row>
    <row r="720">
      <c r="B720" s="318"/>
      <c r="C720" s="320"/>
      <c r="E720" s="320"/>
      <c r="F720" s="320"/>
    </row>
    <row r="721">
      <c r="B721" s="318"/>
      <c r="C721" s="320"/>
      <c r="E721" s="320"/>
      <c r="F721" s="320"/>
    </row>
    <row r="722">
      <c r="B722" s="318"/>
      <c r="C722" s="320"/>
      <c r="E722" s="320"/>
      <c r="F722" s="320"/>
    </row>
    <row r="723">
      <c r="B723" s="318"/>
      <c r="C723" s="320"/>
      <c r="E723" s="320"/>
      <c r="F723" s="320"/>
    </row>
    <row r="724">
      <c r="B724" s="318"/>
      <c r="C724" s="320"/>
      <c r="E724" s="320"/>
      <c r="F724" s="320"/>
    </row>
    <row r="725">
      <c r="B725" s="318"/>
      <c r="C725" s="320"/>
      <c r="E725" s="320"/>
      <c r="F725" s="320"/>
    </row>
    <row r="726">
      <c r="B726" s="318"/>
      <c r="C726" s="320"/>
      <c r="E726" s="320"/>
      <c r="F726" s="320"/>
    </row>
    <row r="727">
      <c r="B727" s="318"/>
      <c r="C727" s="320"/>
      <c r="E727" s="320"/>
      <c r="F727" s="320"/>
    </row>
    <row r="728">
      <c r="B728" s="318"/>
      <c r="C728" s="320"/>
      <c r="E728" s="320"/>
      <c r="F728" s="320"/>
    </row>
    <row r="729">
      <c r="B729" s="318"/>
      <c r="C729" s="320"/>
      <c r="E729" s="320"/>
      <c r="F729" s="320"/>
    </row>
    <row r="730">
      <c r="B730" s="318"/>
      <c r="C730" s="320"/>
      <c r="E730" s="320"/>
      <c r="F730" s="320"/>
    </row>
    <row r="731">
      <c r="B731" s="318"/>
      <c r="C731" s="320"/>
      <c r="E731" s="320"/>
      <c r="F731" s="320"/>
    </row>
    <row r="732">
      <c r="B732" s="318"/>
      <c r="C732" s="320"/>
      <c r="E732" s="320"/>
      <c r="F732" s="320"/>
    </row>
    <row r="733">
      <c r="B733" s="318"/>
      <c r="C733" s="320"/>
      <c r="E733" s="320"/>
      <c r="F733" s="320"/>
    </row>
    <row r="734">
      <c r="B734" s="318"/>
      <c r="C734" s="320"/>
      <c r="E734" s="320"/>
      <c r="F734" s="320"/>
    </row>
    <row r="735">
      <c r="B735" s="318"/>
      <c r="C735" s="320"/>
      <c r="E735" s="320"/>
      <c r="F735" s="320"/>
    </row>
    <row r="736">
      <c r="B736" s="318"/>
      <c r="C736" s="320"/>
      <c r="E736" s="320"/>
      <c r="F736" s="320"/>
    </row>
    <row r="737">
      <c r="B737" s="318"/>
      <c r="C737" s="320"/>
      <c r="E737" s="320"/>
      <c r="F737" s="320"/>
    </row>
    <row r="738">
      <c r="B738" s="318"/>
      <c r="C738" s="320"/>
      <c r="E738" s="320"/>
      <c r="F738" s="320"/>
    </row>
    <row r="739">
      <c r="B739" s="318"/>
      <c r="C739" s="320"/>
      <c r="E739" s="320"/>
      <c r="F739" s="320"/>
    </row>
    <row r="740">
      <c r="B740" s="318"/>
      <c r="C740" s="320"/>
      <c r="E740" s="320"/>
      <c r="F740" s="320"/>
    </row>
    <row r="741">
      <c r="B741" s="318"/>
      <c r="C741" s="320"/>
      <c r="E741" s="320"/>
      <c r="F741" s="320"/>
    </row>
    <row r="742">
      <c r="B742" s="318"/>
      <c r="C742" s="320"/>
      <c r="E742" s="320"/>
      <c r="F742" s="320"/>
    </row>
    <row r="743">
      <c r="B743" s="318"/>
      <c r="C743" s="320"/>
      <c r="E743" s="320"/>
      <c r="F743" s="320"/>
    </row>
    <row r="744">
      <c r="B744" s="318"/>
      <c r="C744" s="320"/>
      <c r="E744" s="320"/>
      <c r="F744" s="320"/>
    </row>
    <row r="745">
      <c r="B745" s="318"/>
      <c r="C745" s="320"/>
      <c r="E745" s="320"/>
      <c r="F745" s="320"/>
    </row>
    <row r="746">
      <c r="B746" s="318"/>
      <c r="C746" s="320"/>
      <c r="E746" s="320"/>
      <c r="F746" s="320"/>
    </row>
    <row r="747">
      <c r="B747" s="318"/>
      <c r="C747" s="320"/>
      <c r="E747" s="320"/>
      <c r="F747" s="320"/>
    </row>
    <row r="748">
      <c r="B748" s="318"/>
      <c r="C748" s="320"/>
      <c r="E748" s="320"/>
      <c r="F748" s="320"/>
    </row>
    <row r="749">
      <c r="B749" s="318"/>
      <c r="C749" s="320"/>
      <c r="E749" s="320"/>
      <c r="F749" s="320"/>
    </row>
    <row r="750">
      <c r="B750" s="318"/>
      <c r="C750" s="320"/>
      <c r="E750" s="320"/>
      <c r="F750" s="320"/>
    </row>
    <row r="751">
      <c r="B751" s="318"/>
      <c r="C751" s="320"/>
      <c r="E751" s="320"/>
      <c r="F751" s="320"/>
    </row>
    <row r="752">
      <c r="B752" s="318"/>
      <c r="C752" s="320"/>
      <c r="E752" s="320"/>
      <c r="F752" s="320"/>
    </row>
    <row r="753">
      <c r="B753" s="318"/>
      <c r="C753" s="320"/>
      <c r="E753" s="320"/>
      <c r="F753" s="320"/>
    </row>
    <row r="754">
      <c r="B754" s="318"/>
      <c r="C754" s="320"/>
      <c r="E754" s="320"/>
      <c r="F754" s="320"/>
    </row>
    <row r="755">
      <c r="B755" s="318"/>
      <c r="C755" s="320"/>
      <c r="E755" s="320"/>
      <c r="F755" s="320"/>
    </row>
    <row r="756">
      <c r="B756" s="318"/>
      <c r="C756" s="320"/>
      <c r="E756" s="320"/>
      <c r="F756" s="320"/>
    </row>
    <row r="757">
      <c r="B757" s="318"/>
      <c r="C757" s="320"/>
      <c r="E757" s="320"/>
      <c r="F757" s="320"/>
    </row>
    <row r="758">
      <c r="B758" s="318"/>
      <c r="C758" s="320"/>
      <c r="E758" s="320"/>
      <c r="F758" s="320"/>
    </row>
    <row r="759">
      <c r="B759" s="318"/>
      <c r="C759" s="320"/>
      <c r="E759" s="320"/>
      <c r="F759" s="320"/>
    </row>
    <row r="760">
      <c r="B760" s="318"/>
      <c r="C760" s="320"/>
      <c r="E760" s="320"/>
      <c r="F760" s="320"/>
    </row>
    <row r="761">
      <c r="B761" s="318"/>
      <c r="C761" s="320"/>
      <c r="E761" s="320"/>
      <c r="F761" s="320"/>
    </row>
    <row r="762">
      <c r="B762" s="318"/>
      <c r="C762" s="320"/>
      <c r="E762" s="320"/>
      <c r="F762" s="320"/>
    </row>
    <row r="763">
      <c r="B763" s="318"/>
      <c r="C763" s="320"/>
      <c r="E763" s="320"/>
      <c r="F763" s="320"/>
    </row>
    <row r="764">
      <c r="B764" s="318"/>
      <c r="C764" s="320"/>
      <c r="E764" s="320"/>
      <c r="F764" s="320"/>
    </row>
    <row r="765">
      <c r="B765" s="318"/>
      <c r="C765" s="320"/>
      <c r="E765" s="320"/>
      <c r="F765" s="320"/>
    </row>
    <row r="766">
      <c r="B766" s="318"/>
      <c r="C766" s="320"/>
      <c r="E766" s="320"/>
      <c r="F766" s="320"/>
    </row>
    <row r="767">
      <c r="B767" s="318"/>
      <c r="C767" s="320"/>
      <c r="E767" s="320"/>
      <c r="F767" s="320"/>
    </row>
    <row r="768">
      <c r="B768" s="318"/>
      <c r="C768" s="320"/>
      <c r="E768" s="320"/>
      <c r="F768" s="320"/>
    </row>
    <row r="769">
      <c r="B769" s="318"/>
      <c r="C769" s="320"/>
      <c r="E769" s="320"/>
      <c r="F769" s="320"/>
    </row>
    <row r="770">
      <c r="B770" s="318"/>
      <c r="C770" s="320"/>
      <c r="E770" s="320"/>
      <c r="F770" s="320"/>
    </row>
    <row r="771">
      <c r="B771" s="318"/>
      <c r="C771" s="320"/>
      <c r="E771" s="320"/>
      <c r="F771" s="320"/>
    </row>
    <row r="772">
      <c r="B772" s="318"/>
      <c r="C772" s="320"/>
      <c r="E772" s="320"/>
      <c r="F772" s="320"/>
    </row>
    <row r="773">
      <c r="B773" s="318"/>
      <c r="C773" s="320"/>
      <c r="E773" s="320"/>
      <c r="F773" s="320"/>
    </row>
    <row r="774">
      <c r="B774" s="318"/>
      <c r="C774" s="320"/>
      <c r="E774" s="320"/>
      <c r="F774" s="320"/>
    </row>
    <row r="775">
      <c r="B775" s="318"/>
      <c r="C775" s="320"/>
      <c r="E775" s="320"/>
      <c r="F775" s="320"/>
    </row>
    <row r="776">
      <c r="B776" s="318"/>
      <c r="C776" s="320"/>
      <c r="E776" s="320"/>
      <c r="F776" s="320"/>
    </row>
    <row r="777">
      <c r="B777" s="318"/>
      <c r="C777" s="320"/>
      <c r="E777" s="320"/>
      <c r="F777" s="320"/>
    </row>
    <row r="778">
      <c r="B778" s="318"/>
      <c r="C778" s="320"/>
      <c r="E778" s="320"/>
      <c r="F778" s="320"/>
    </row>
    <row r="779">
      <c r="B779" s="318"/>
      <c r="C779" s="320"/>
      <c r="E779" s="320"/>
      <c r="F779" s="320"/>
    </row>
    <row r="780">
      <c r="B780" s="318"/>
      <c r="C780" s="320"/>
      <c r="E780" s="320"/>
      <c r="F780" s="320"/>
    </row>
    <row r="781">
      <c r="B781" s="318"/>
      <c r="C781" s="320"/>
      <c r="E781" s="320"/>
      <c r="F781" s="320"/>
    </row>
    <row r="782">
      <c r="B782" s="318"/>
      <c r="C782" s="320"/>
      <c r="E782" s="320"/>
      <c r="F782" s="320"/>
    </row>
    <row r="783">
      <c r="B783" s="318"/>
      <c r="C783" s="320"/>
      <c r="E783" s="320"/>
      <c r="F783" s="320"/>
    </row>
    <row r="784">
      <c r="B784" s="318"/>
      <c r="C784" s="320"/>
      <c r="E784" s="320"/>
      <c r="F784" s="320"/>
    </row>
    <row r="785">
      <c r="B785" s="318"/>
      <c r="C785" s="320"/>
      <c r="E785" s="320"/>
      <c r="F785" s="320"/>
    </row>
    <row r="786">
      <c r="B786" s="318"/>
      <c r="C786" s="320"/>
      <c r="E786" s="320"/>
      <c r="F786" s="320"/>
    </row>
    <row r="787">
      <c r="B787" s="318"/>
      <c r="C787" s="320"/>
      <c r="E787" s="320"/>
      <c r="F787" s="320"/>
    </row>
    <row r="788">
      <c r="B788" s="318"/>
      <c r="C788" s="320"/>
      <c r="E788" s="320"/>
      <c r="F788" s="320"/>
    </row>
    <row r="789">
      <c r="B789" s="318"/>
      <c r="C789" s="320"/>
      <c r="E789" s="320"/>
      <c r="F789" s="320"/>
    </row>
    <row r="790">
      <c r="B790" s="318"/>
      <c r="C790" s="320"/>
      <c r="E790" s="320"/>
      <c r="F790" s="320"/>
    </row>
    <row r="791">
      <c r="B791" s="318"/>
      <c r="C791" s="320"/>
      <c r="E791" s="320"/>
      <c r="F791" s="320"/>
    </row>
    <row r="792">
      <c r="B792" s="318"/>
      <c r="C792" s="320"/>
      <c r="E792" s="320"/>
      <c r="F792" s="320"/>
    </row>
    <row r="793">
      <c r="B793" s="318"/>
      <c r="C793" s="320"/>
      <c r="E793" s="320"/>
      <c r="F793" s="320"/>
    </row>
    <row r="794">
      <c r="B794" s="318"/>
      <c r="C794" s="320"/>
      <c r="E794" s="320"/>
      <c r="F794" s="320"/>
    </row>
    <row r="795">
      <c r="B795" s="318"/>
      <c r="C795" s="320"/>
      <c r="E795" s="320"/>
      <c r="F795" s="320"/>
    </row>
    <row r="796">
      <c r="B796" s="318"/>
      <c r="C796" s="320"/>
      <c r="E796" s="320"/>
      <c r="F796" s="320"/>
    </row>
    <row r="797">
      <c r="B797" s="318"/>
      <c r="C797" s="320"/>
      <c r="E797" s="320"/>
      <c r="F797" s="320"/>
    </row>
    <row r="798">
      <c r="B798" s="318"/>
      <c r="C798" s="320"/>
      <c r="E798" s="320"/>
      <c r="F798" s="320"/>
    </row>
    <row r="799">
      <c r="B799" s="318"/>
      <c r="C799" s="320"/>
      <c r="E799" s="320"/>
      <c r="F799" s="320"/>
    </row>
    <row r="800">
      <c r="B800" s="318"/>
      <c r="C800" s="320"/>
      <c r="E800" s="320"/>
      <c r="F800" s="320"/>
    </row>
    <row r="801">
      <c r="B801" s="318"/>
      <c r="C801" s="320"/>
      <c r="E801" s="320"/>
      <c r="F801" s="320"/>
    </row>
    <row r="802">
      <c r="B802" s="318"/>
      <c r="C802" s="320"/>
      <c r="E802" s="320"/>
      <c r="F802" s="320"/>
    </row>
    <row r="803">
      <c r="B803" s="318"/>
      <c r="C803" s="320"/>
      <c r="E803" s="320"/>
      <c r="F803" s="320"/>
    </row>
    <row r="804">
      <c r="B804" s="318"/>
      <c r="C804" s="320"/>
      <c r="E804" s="320"/>
      <c r="F804" s="320"/>
    </row>
    <row r="805">
      <c r="B805" s="318"/>
      <c r="C805" s="320"/>
      <c r="E805" s="320"/>
      <c r="F805" s="320"/>
    </row>
    <row r="806">
      <c r="B806" s="318"/>
      <c r="C806" s="320"/>
      <c r="E806" s="320"/>
      <c r="F806" s="320"/>
    </row>
    <row r="807">
      <c r="B807" s="318"/>
      <c r="C807" s="320"/>
      <c r="E807" s="320"/>
      <c r="F807" s="320"/>
    </row>
    <row r="808">
      <c r="B808" s="318"/>
      <c r="C808" s="320"/>
      <c r="E808" s="320"/>
      <c r="F808" s="320"/>
    </row>
    <row r="809">
      <c r="B809" s="318"/>
      <c r="C809" s="320"/>
      <c r="E809" s="320"/>
      <c r="F809" s="320"/>
    </row>
    <row r="810">
      <c r="B810" s="318"/>
      <c r="C810" s="320"/>
      <c r="E810" s="320"/>
      <c r="F810" s="320"/>
    </row>
    <row r="811">
      <c r="B811" s="318"/>
      <c r="C811" s="320"/>
      <c r="E811" s="320"/>
      <c r="F811" s="320"/>
    </row>
    <row r="812">
      <c r="B812" s="318"/>
      <c r="C812" s="320"/>
      <c r="E812" s="320"/>
      <c r="F812" s="320"/>
    </row>
    <row r="813">
      <c r="B813" s="318"/>
      <c r="C813" s="320"/>
      <c r="E813" s="320"/>
      <c r="F813" s="320"/>
    </row>
    <row r="814">
      <c r="B814" s="318"/>
      <c r="C814" s="320"/>
      <c r="E814" s="320"/>
      <c r="F814" s="320"/>
    </row>
    <row r="815">
      <c r="B815" s="318"/>
      <c r="C815" s="320"/>
      <c r="E815" s="320"/>
      <c r="F815" s="320"/>
    </row>
    <row r="816">
      <c r="B816" s="318"/>
      <c r="C816" s="320"/>
      <c r="E816" s="320"/>
      <c r="F816" s="320"/>
    </row>
    <row r="817">
      <c r="B817" s="318"/>
      <c r="C817" s="320"/>
      <c r="E817" s="320"/>
      <c r="F817" s="320"/>
    </row>
    <row r="818">
      <c r="B818" s="318"/>
      <c r="C818" s="320"/>
      <c r="E818" s="320"/>
      <c r="F818" s="320"/>
    </row>
    <row r="819">
      <c r="B819" s="318"/>
      <c r="C819" s="320"/>
      <c r="E819" s="320"/>
      <c r="F819" s="320"/>
    </row>
    <row r="820">
      <c r="B820" s="318"/>
      <c r="C820" s="320"/>
      <c r="E820" s="320"/>
      <c r="F820" s="320"/>
    </row>
    <row r="821">
      <c r="B821" s="318"/>
      <c r="C821" s="320"/>
      <c r="E821" s="320"/>
      <c r="F821" s="320"/>
    </row>
    <row r="822">
      <c r="B822" s="318"/>
      <c r="C822" s="320"/>
      <c r="E822" s="320"/>
      <c r="F822" s="320"/>
    </row>
    <row r="823">
      <c r="B823" s="318"/>
      <c r="C823" s="320"/>
      <c r="E823" s="320"/>
      <c r="F823" s="320"/>
    </row>
    <row r="824">
      <c r="B824" s="318"/>
      <c r="C824" s="320"/>
      <c r="E824" s="320"/>
      <c r="F824" s="320"/>
    </row>
    <row r="825">
      <c r="B825" s="318"/>
      <c r="C825" s="320"/>
      <c r="E825" s="320"/>
      <c r="F825" s="320"/>
    </row>
    <row r="826">
      <c r="B826" s="318"/>
      <c r="C826" s="320"/>
      <c r="E826" s="320"/>
      <c r="F826" s="320"/>
    </row>
    <row r="827">
      <c r="B827" s="318"/>
      <c r="C827" s="320"/>
      <c r="E827" s="320"/>
      <c r="F827" s="320"/>
    </row>
    <row r="828">
      <c r="B828" s="318"/>
      <c r="C828" s="320"/>
      <c r="E828" s="320"/>
      <c r="F828" s="320"/>
    </row>
    <row r="829">
      <c r="B829" s="318"/>
      <c r="C829" s="320"/>
      <c r="E829" s="320"/>
      <c r="F829" s="320"/>
    </row>
    <row r="830">
      <c r="B830" s="318"/>
      <c r="C830" s="320"/>
      <c r="E830" s="320"/>
      <c r="F830" s="320"/>
    </row>
    <row r="831">
      <c r="B831" s="318"/>
      <c r="C831" s="320"/>
      <c r="E831" s="320"/>
      <c r="F831" s="320"/>
    </row>
    <row r="832">
      <c r="B832" s="318"/>
      <c r="C832" s="320"/>
      <c r="E832" s="320"/>
      <c r="F832" s="320"/>
    </row>
    <row r="833">
      <c r="B833" s="318"/>
      <c r="C833" s="320"/>
      <c r="E833" s="320"/>
      <c r="F833" s="320"/>
    </row>
    <row r="834">
      <c r="B834" s="318"/>
      <c r="C834" s="320"/>
      <c r="E834" s="320"/>
      <c r="F834" s="320"/>
    </row>
    <row r="835">
      <c r="B835" s="318"/>
      <c r="C835" s="320"/>
      <c r="E835" s="320"/>
      <c r="F835" s="320"/>
    </row>
    <row r="836">
      <c r="B836" s="318"/>
      <c r="C836" s="320"/>
      <c r="E836" s="320"/>
      <c r="F836" s="320"/>
    </row>
    <row r="837">
      <c r="B837" s="318"/>
      <c r="C837" s="320"/>
      <c r="E837" s="320"/>
      <c r="F837" s="320"/>
    </row>
    <row r="838">
      <c r="B838" s="318"/>
      <c r="C838" s="320"/>
      <c r="E838" s="320"/>
      <c r="F838" s="320"/>
    </row>
    <row r="839">
      <c r="B839" s="318"/>
      <c r="C839" s="320"/>
      <c r="E839" s="320"/>
      <c r="F839" s="320"/>
    </row>
    <row r="840">
      <c r="B840" s="318"/>
      <c r="C840" s="320"/>
      <c r="E840" s="320"/>
      <c r="F840" s="320"/>
    </row>
    <row r="841">
      <c r="B841" s="318"/>
      <c r="C841" s="320"/>
      <c r="E841" s="320"/>
      <c r="F841" s="320"/>
    </row>
    <row r="842">
      <c r="B842" s="318"/>
      <c r="C842" s="320"/>
      <c r="E842" s="320"/>
      <c r="F842" s="320"/>
    </row>
    <row r="843">
      <c r="B843" s="318"/>
      <c r="C843" s="320"/>
      <c r="E843" s="320"/>
      <c r="F843" s="320"/>
    </row>
    <row r="844">
      <c r="B844" s="318"/>
      <c r="C844" s="320"/>
      <c r="E844" s="320"/>
      <c r="F844" s="320"/>
    </row>
    <row r="845">
      <c r="B845" s="318"/>
      <c r="C845" s="320"/>
      <c r="E845" s="320"/>
      <c r="F845" s="320"/>
    </row>
    <row r="846">
      <c r="B846" s="318"/>
      <c r="C846" s="320"/>
      <c r="E846" s="320"/>
      <c r="F846" s="320"/>
    </row>
    <row r="847">
      <c r="B847" s="318"/>
      <c r="C847" s="320"/>
      <c r="E847" s="320"/>
      <c r="F847" s="320"/>
    </row>
    <row r="848">
      <c r="B848" s="318"/>
      <c r="C848" s="320"/>
      <c r="E848" s="320"/>
      <c r="F848" s="320"/>
    </row>
    <row r="849">
      <c r="B849" s="318"/>
      <c r="C849" s="320"/>
      <c r="E849" s="320"/>
      <c r="F849" s="320"/>
    </row>
    <row r="850">
      <c r="B850" s="318"/>
      <c r="C850" s="320"/>
      <c r="E850" s="320"/>
      <c r="F850" s="320"/>
    </row>
    <row r="851">
      <c r="B851" s="318"/>
      <c r="C851" s="320"/>
      <c r="E851" s="320"/>
      <c r="F851" s="320"/>
    </row>
    <row r="852">
      <c r="B852" s="318"/>
      <c r="C852" s="320"/>
      <c r="E852" s="320"/>
      <c r="F852" s="320"/>
    </row>
    <row r="853">
      <c r="B853" s="318"/>
      <c r="C853" s="320"/>
      <c r="E853" s="320"/>
      <c r="F853" s="320"/>
    </row>
    <row r="854">
      <c r="B854" s="318"/>
      <c r="C854" s="320"/>
      <c r="E854" s="320"/>
      <c r="F854" s="320"/>
    </row>
    <row r="855">
      <c r="B855" s="318"/>
      <c r="C855" s="320"/>
      <c r="E855" s="320"/>
      <c r="F855" s="320"/>
    </row>
    <row r="856">
      <c r="B856" s="318"/>
      <c r="C856" s="320"/>
      <c r="E856" s="320"/>
      <c r="F856" s="320"/>
    </row>
    <row r="857">
      <c r="B857" s="318"/>
      <c r="C857" s="320"/>
      <c r="E857" s="320"/>
      <c r="F857" s="320"/>
    </row>
    <row r="858">
      <c r="B858" s="318"/>
      <c r="C858" s="320"/>
      <c r="E858" s="320"/>
      <c r="F858" s="320"/>
    </row>
    <row r="859">
      <c r="B859" s="318"/>
      <c r="C859" s="320"/>
      <c r="E859" s="320"/>
      <c r="F859" s="320"/>
    </row>
    <row r="860">
      <c r="B860" s="318"/>
      <c r="C860" s="320"/>
      <c r="E860" s="320"/>
      <c r="F860" s="320"/>
    </row>
    <row r="861">
      <c r="B861" s="318"/>
      <c r="C861" s="320"/>
      <c r="E861" s="320"/>
      <c r="F861" s="320"/>
    </row>
    <row r="862">
      <c r="B862" s="318"/>
      <c r="C862" s="320"/>
      <c r="E862" s="320"/>
      <c r="F862" s="320"/>
    </row>
    <row r="863">
      <c r="B863" s="318"/>
      <c r="C863" s="320"/>
      <c r="E863" s="320"/>
      <c r="F863" s="320"/>
    </row>
    <row r="864">
      <c r="B864" s="318"/>
      <c r="C864" s="320"/>
      <c r="E864" s="320"/>
      <c r="F864" s="320"/>
    </row>
    <row r="865">
      <c r="B865" s="318"/>
      <c r="C865" s="320"/>
      <c r="E865" s="320"/>
      <c r="F865" s="320"/>
    </row>
    <row r="866">
      <c r="B866" s="318"/>
      <c r="C866" s="320"/>
      <c r="E866" s="320"/>
      <c r="F866" s="320"/>
    </row>
    <row r="867">
      <c r="B867" s="318"/>
      <c r="C867" s="320"/>
      <c r="E867" s="320"/>
      <c r="F867" s="320"/>
    </row>
    <row r="868">
      <c r="B868" s="318"/>
      <c r="C868" s="320"/>
      <c r="E868" s="320"/>
      <c r="F868" s="320"/>
    </row>
    <row r="869">
      <c r="B869" s="318"/>
      <c r="C869" s="320"/>
      <c r="E869" s="320"/>
      <c r="F869" s="320"/>
    </row>
    <row r="870">
      <c r="B870" s="318"/>
      <c r="C870" s="320"/>
      <c r="E870" s="320"/>
      <c r="F870" s="320"/>
    </row>
    <row r="871">
      <c r="B871" s="318"/>
      <c r="C871" s="320"/>
      <c r="E871" s="320"/>
      <c r="F871" s="320"/>
    </row>
    <row r="872">
      <c r="B872" s="318"/>
      <c r="C872" s="320"/>
      <c r="E872" s="320"/>
      <c r="F872" s="320"/>
    </row>
    <row r="873">
      <c r="B873" s="318"/>
      <c r="C873" s="320"/>
      <c r="E873" s="320"/>
      <c r="F873" s="320"/>
    </row>
    <row r="874">
      <c r="B874" s="318"/>
      <c r="C874" s="320"/>
      <c r="E874" s="320"/>
      <c r="F874" s="320"/>
    </row>
    <row r="875">
      <c r="B875" s="318"/>
      <c r="C875" s="320"/>
      <c r="E875" s="320"/>
      <c r="F875" s="320"/>
    </row>
    <row r="876">
      <c r="B876" s="318"/>
      <c r="C876" s="320"/>
      <c r="E876" s="320"/>
      <c r="F876" s="320"/>
    </row>
    <row r="877">
      <c r="B877" s="318"/>
      <c r="C877" s="320"/>
      <c r="E877" s="320"/>
      <c r="F877" s="320"/>
    </row>
    <row r="878">
      <c r="B878" s="318"/>
      <c r="C878" s="320"/>
      <c r="E878" s="320"/>
      <c r="F878" s="320"/>
    </row>
    <row r="879">
      <c r="B879" s="318"/>
      <c r="C879" s="320"/>
      <c r="E879" s="320"/>
      <c r="F879" s="320"/>
    </row>
    <row r="880">
      <c r="B880" s="318"/>
      <c r="C880" s="320"/>
      <c r="E880" s="320"/>
      <c r="F880" s="320"/>
    </row>
    <row r="881">
      <c r="B881" s="318"/>
      <c r="C881" s="320"/>
      <c r="E881" s="320"/>
      <c r="F881" s="320"/>
    </row>
    <row r="882">
      <c r="B882" s="318"/>
      <c r="C882" s="320"/>
      <c r="E882" s="320"/>
      <c r="F882" s="320"/>
    </row>
    <row r="883">
      <c r="B883" s="318"/>
      <c r="C883" s="320"/>
      <c r="E883" s="320"/>
      <c r="F883" s="320"/>
    </row>
    <row r="884">
      <c r="B884" s="318"/>
      <c r="C884" s="320"/>
      <c r="E884" s="320"/>
      <c r="F884" s="320"/>
    </row>
    <row r="885">
      <c r="B885" s="318"/>
      <c r="C885" s="320"/>
      <c r="E885" s="320"/>
      <c r="F885" s="320"/>
    </row>
    <row r="886">
      <c r="B886" s="318"/>
      <c r="C886" s="320"/>
      <c r="E886" s="320"/>
      <c r="F886" s="320"/>
    </row>
    <row r="887">
      <c r="B887" s="318"/>
      <c r="C887" s="320"/>
      <c r="E887" s="320"/>
      <c r="F887" s="320"/>
    </row>
    <row r="888">
      <c r="B888" s="318"/>
      <c r="C888" s="320"/>
      <c r="E888" s="320"/>
      <c r="F888" s="320"/>
    </row>
    <row r="889">
      <c r="B889" s="318"/>
      <c r="C889" s="320"/>
      <c r="E889" s="320"/>
      <c r="F889" s="320"/>
    </row>
    <row r="890">
      <c r="B890" s="318"/>
      <c r="C890" s="320"/>
      <c r="E890" s="320"/>
      <c r="F890" s="320"/>
    </row>
    <row r="891">
      <c r="B891" s="318"/>
      <c r="C891" s="320"/>
      <c r="E891" s="320"/>
      <c r="F891" s="320"/>
    </row>
    <row r="892">
      <c r="B892" s="318"/>
      <c r="C892" s="320"/>
      <c r="E892" s="320"/>
      <c r="F892" s="320"/>
    </row>
    <row r="893">
      <c r="B893" s="318"/>
      <c r="C893" s="320"/>
      <c r="E893" s="320"/>
      <c r="F893" s="320"/>
    </row>
    <row r="894">
      <c r="B894" s="318"/>
      <c r="C894" s="320"/>
      <c r="E894" s="320"/>
      <c r="F894" s="320"/>
    </row>
    <row r="895">
      <c r="B895" s="318"/>
      <c r="C895" s="320"/>
      <c r="E895" s="320"/>
      <c r="F895" s="320"/>
    </row>
    <row r="896">
      <c r="B896" s="318"/>
      <c r="C896" s="320"/>
      <c r="E896" s="320"/>
      <c r="F896" s="320"/>
    </row>
    <row r="897">
      <c r="B897" s="318"/>
      <c r="C897" s="320"/>
      <c r="E897" s="320"/>
      <c r="F897" s="320"/>
    </row>
    <row r="898">
      <c r="B898" s="318"/>
      <c r="C898" s="320"/>
      <c r="E898" s="320"/>
      <c r="F898" s="320"/>
    </row>
    <row r="899">
      <c r="B899" s="318"/>
      <c r="C899" s="320"/>
      <c r="E899" s="320"/>
      <c r="F899" s="320"/>
    </row>
    <row r="900">
      <c r="B900" s="318"/>
      <c r="C900" s="320"/>
      <c r="E900" s="320"/>
      <c r="F900" s="320"/>
    </row>
    <row r="901">
      <c r="B901" s="318"/>
      <c r="C901" s="320"/>
      <c r="E901" s="320"/>
      <c r="F901" s="320"/>
    </row>
    <row r="902">
      <c r="B902" s="318"/>
      <c r="C902" s="320"/>
      <c r="E902" s="320"/>
      <c r="F902" s="320"/>
    </row>
    <row r="903">
      <c r="B903" s="318"/>
      <c r="C903" s="320"/>
      <c r="E903" s="320"/>
      <c r="F903" s="320"/>
    </row>
    <row r="904">
      <c r="B904" s="318"/>
      <c r="C904" s="320"/>
      <c r="E904" s="320"/>
      <c r="F904" s="320"/>
    </row>
    <row r="905">
      <c r="B905" s="318"/>
      <c r="C905" s="320"/>
      <c r="E905" s="320"/>
      <c r="F905" s="320"/>
    </row>
    <row r="906">
      <c r="B906" s="318"/>
      <c r="C906" s="320"/>
      <c r="E906" s="320"/>
      <c r="F906" s="320"/>
    </row>
    <row r="907">
      <c r="B907" s="318"/>
      <c r="C907" s="320"/>
      <c r="E907" s="320"/>
      <c r="F907" s="320"/>
    </row>
    <row r="908">
      <c r="B908" s="318"/>
      <c r="C908" s="320"/>
      <c r="E908" s="320"/>
      <c r="F908" s="320"/>
    </row>
    <row r="909">
      <c r="B909" s="318"/>
      <c r="C909" s="320"/>
      <c r="E909" s="320"/>
      <c r="F909" s="320"/>
    </row>
    <row r="910">
      <c r="B910" s="318"/>
      <c r="C910" s="320"/>
      <c r="E910" s="320"/>
      <c r="F910" s="320"/>
    </row>
    <row r="911">
      <c r="B911" s="318"/>
      <c r="C911" s="320"/>
      <c r="E911" s="320"/>
      <c r="F911" s="320"/>
    </row>
    <row r="912">
      <c r="B912" s="318"/>
      <c r="C912" s="320"/>
      <c r="E912" s="320"/>
      <c r="F912" s="320"/>
    </row>
    <row r="913">
      <c r="B913" s="318"/>
      <c r="C913" s="320"/>
      <c r="E913" s="320"/>
      <c r="F913" s="320"/>
    </row>
    <row r="914">
      <c r="B914" s="318"/>
      <c r="C914" s="320"/>
      <c r="E914" s="320"/>
      <c r="F914" s="320"/>
    </row>
    <row r="915">
      <c r="B915" s="318"/>
      <c r="C915" s="320"/>
      <c r="E915" s="320"/>
      <c r="F915" s="320"/>
    </row>
    <row r="916">
      <c r="B916" s="318"/>
      <c r="C916" s="320"/>
      <c r="E916" s="320"/>
      <c r="F916" s="320"/>
    </row>
    <row r="917">
      <c r="B917" s="318"/>
      <c r="C917" s="320"/>
      <c r="E917" s="320"/>
      <c r="F917" s="320"/>
    </row>
    <row r="918">
      <c r="B918" s="318"/>
      <c r="C918" s="320"/>
      <c r="E918" s="320"/>
      <c r="F918" s="320"/>
    </row>
    <row r="919">
      <c r="B919" s="318"/>
      <c r="C919" s="320"/>
      <c r="E919" s="320"/>
      <c r="F919" s="320"/>
    </row>
    <row r="920">
      <c r="B920" s="318"/>
      <c r="C920" s="320"/>
      <c r="E920" s="320"/>
      <c r="F920" s="320"/>
    </row>
    <row r="921">
      <c r="B921" s="318"/>
      <c r="C921" s="320"/>
      <c r="E921" s="320"/>
      <c r="F921" s="320"/>
    </row>
    <row r="922">
      <c r="B922" s="318"/>
      <c r="C922" s="320"/>
      <c r="E922" s="320"/>
      <c r="F922" s="320"/>
    </row>
    <row r="923">
      <c r="B923" s="318"/>
      <c r="C923" s="320"/>
      <c r="E923" s="320"/>
      <c r="F923" s="320"/>
    </row>
    <row r="924">
      <c r="B924" s="318"/>
      <c r="C924" s="320"/>
      <c r="E924" s="320"/>
      <c r="F924" s="320"/>
    </row>
    <row r="925">
      <c r="B925" s="318"/>
      <c r="C925" s="320"/>
      <c r="E925" s="320"/>
      <c r="F925" s="320"/>
    </row>
    <row r="926">
      <c r="B926" s="318"/>
      <c r="C926" s="320"/>
      <c r="E926" s="320"/>
      <c r="F926" s="320"/>
    </row>
    <row r="927">
      <c r="B927" s="318"/>
      <c r="C927" s="320"/>
      <c r="E927" s="320"/>
      <c r="F927" s="320"/>
    </row>
    <row r="928">
      <c r="B928" s="318"/>
      <c r="C928" s="320"/>
      <c r="E928" s="320"/>
      <c r="F928" s="320"/>
    </row>
    <row r="929">
      <c r="B929" s="318"/>
      <c r="C929" s="320"/>
      <c r="E929" s="320"/>
      <c r="F929" s="320"/>
    </row>
    <row r="930">
      <c r="B930" s="318"/>
      <c r="C930" s="320"/>
      <c r="E930" s="320"/>
      <c r="F930" s="320"/>
    </row>
    <row r="931">
      <c r="B931" s="318"/>
      <c r="C931" s="320"/>
      <c r="E931" s="320"/>
      <c r="F931" s="320"/>
    </row>
    <row r="932">
      <c r="B932" s="318"/>
      <c r="C932" s="320"/>
      <c r="E932" s="320"/>
      <c r="F932" s="320"/>
    </row>
    <row r="933">
      <c r="B933" s="318"/>
      <c r="C933" s="320"/>
      <c r="E933" s="320"/>
      <c r="F933" s="320"/>
    </row>
    <row r="934">
      <c r="B934" s="318"/>
      <c r="C934" s="320"/>
      <c r="E934" s="320"/>
      <c r="F934" s="320"/>
    </row>
    <row r="935">
      <c r="B935" s="318"/>
      <c r="C935" s="320"/>
      <c r="E935" s="320"/>
      <c r="F935" s="320"/>
    </row>
    <row r="936">
      <c r="B936" s="318"/>
      <c r="C936" s="320"/>
      <c r="E936" s="320"/>
      <c r="F936" s="320"/>
    </row>
    <row r="937">
      <c r="B937" s="318"/>
      <c r="C937" s="320"/>
      <c r="E937" s="320"/>
      <c r="F937" s="320"/>
    </row>
    <row r="938">
      <c r="B938" s="318"/>
      <c r="C938" s="320"/>
      <c r="E938" s="320"/>
      <c r="F938" s="320"/>
    </row>
    <row r="939">
      <c r="B939" s="318"/>
      <c r="C939" s="320"/>
      <c r="E939" s="320"/>
      <c r="F939" s="320"/>
    </row>
    <row r="940">
      <c r="B940" s="318"/>
      <c r="C940" s="320"/>
      <c r="E940" s="320"/>
      <c r="F940" s="320"/>
    </row>
    <row r="941">
      <c r="B941" s="318"/>
      <c r="C941" s="320"/>
      <c r="E941" s="320"/>
      <c r="F941" s="320"/>
    </row>
    <row r="942">
      <c r="B942" s="318"/>
      <c r="C942" s="320"/>
      <c r="E942" s="320"/>
      <c r="F942" s="320"/>
    </row>
    <row r="943">
      <c r="B943" s="318"/>
      <c r="C943" s="320"/>
      <c r="E943" s="320"/>
      <c r="F943" s="320"/>
    </row>
    <row r="944">
      <c r="B944" s="318"/>
      <c r="C944" s="320"/>
      <c r="E944" s="320"/>
      <c r="F944" s="320"/>
    </row>
    <row r="945">
      <c r="B945" s="318"/>
      <c r="C945" s="320"/>
      <c r="E945" s="320"/>
      <c r="F945" s="320"/>
    </row>
    <row r="946">
      <c r="B946" s="318"/>
      <c r="C946" s="320"/>
      <c r="E946" s="320"/>
      <c r="F946" s="320"/>
    </row>
    <row r="947">
      <c r="B947" s="318"/>
      <c r="C947" s="320"/>
      <c r="E947" s="320"/>
      <c r="F947" s="320"/>
    </row>
    <row r="948">
      <c r="B948" s="318"/>
      <c r="C948" s="320"/>
      <c r="E948" s="320"/>
      <c r="F948" s="320"/>
    </row>
    <row r="949">
      <c r="B949" s="318"/>
      <c r="C949" s="320"/>
      <c r="E949" s="320"/>
      <c r="F949" s="320"/>
    </row>
    <row r="950">
      <c r="B950" s="318"/>
      <c r="C950" s="320"/>
      <c r="E950" s="320"/>
      <c r="F950" s="320"/>
    </row>
    <row r="951">
      <c r="B951" s="318"/>
      <c r="C951" s="320"/>
      <c r="E951" s="320"/>
      <c r="F951" s="320"/>
    </row>
    <row r="952">
      <c r="B952" s="318"/>
      <c r="C952" s="320"/>
      <c r="E952" s="320"/>
      <c r="F952" s="320"/>
    </row>
    <row r="953">
      <c r="B953" s="318"/>
      <c r="C953" s="320"/>
      <c r="E953" s="320"/>
      <c r="F953" s="320"/>
    </row>
    <row r="954">
      <c r="B954" s="318"/>
      <c r="C954" s="320"/>
      <c r="E954" s="320"/>
      <c r="F954" s="320"/>
    </row>
    <row r="955">
      <c r="B955" s="318"/>
      <c r="C955" s="320"/>
      <c r="E955" s="320"/>
      <c r="F955" s="320"/>
    </row>
    <row r="956">
      <c r="B956" s="318"/>
      <c r="C956" s="320"/>
      <c r="E956" s="320"/>
      <c r="F956" s="320"/>
    </row>
    <row r="957">
      <c r="B957" s="318"/>
      <c r="C957" s="320"/>
      <c r="E957" s="320"/>
      <c r="F957" s="320"/>
    </row>
    <row r="958">
      <c r="B958" s="318"/>
      <c r="C958" s="320"/>
      <c r="E958" s="320"/>
      <c r="F958" s="320"/>
    </row>
    <row r="959">
      <c r="B959" s="318"/>
      <c r="C959" s="320"/>
      <c r="E959" s="320"/>
      <c r="F959" s="320"/>
    </row>
    <row r="960">
      <c r="B960" s="318"/>
      <c r="C960" s="320"/>
      <c r="E960" s="320"/>
      <c r="F960" s="320"/>
    </row>
    <row r="961">
      <c r="B961" s="318"/>
      <c r="C961" s="320"/>
      <c r="E961" s="320"/>
      <c r="F961" s="320"/>
    </row>
    <row r="962">
      <c r="B962" s="318"/>
      <c r="C962" s="320"/>
      <c r="E962" s="320"/>
      <c r="F962" s="320"/>
    </row>
    <row r="963">
      <c r="B963" s="318"/>
      <c r="C963" s="320"/>
      <c r="E963" s="320"/>
      <c r="F963" s="320"/>
    </row>
    <row r="964">
      <c r="B964" s="318"/>
      <c r="C964" s="320"/>
      <c r="E964" s="320"/>
      <c r="F964" s="320"/>
    </row>
    <row r="965">
      <c r="B965" s="318"/>
      <c r="C965" s="320"/>
      <c r="E965" s="320"/>
      <c r="F965" s="320"/>
    </row>
    <row r="966">
      <c r="B966" s="318"/>
      <c r="C966" s="320"/>
      <c r="E966" s="320"/>
      <c r="F966" s="320"/>
    </row>
    <row r="967">
      <c r="B967" s="318"/>
      <c r="C967" s="320"/>
      <c r="E967" s="320"/>
      <c r="F967" s="320"/>
    </row>
    <row r="968">
      <c r="B968" s="318"/>
      <c r="C968" s="320"/>
      <c r="E968" s="320"/>
      <c r="F968" s="320"/>
    </row>
    <row r="969">
      <c r="B969" s="318"/>
      <c r="C969" s="320"/>
      <c r="E969" s="320"/>
      <c r="F969" s="320"/>
    </row>
    <row r="970">
      <c r="B970" s="318"/>
      <c r="C970" s="320"/>
      <c r="E970" s="320"/>
      <c r="F970" s="320"/>
    </row>
    <row r="971">
      <c r="B971" s="318"/>
      <c r="C971" s="320"/>
      <c r="E971" s="320"/>
      <c r="F971" s="320"/>
    </row>
    <row r="972">
      <c r="B972" s="318"/>
      <c r="C972" s="320"/>
      <c r="E972" s="320"/>
      <c r="F972" s="320"/>
    </row>
    <row r="973">
      <c r="B973" s="318"/>
      <c r="C973" s="320"/>
      <c r="E973" s="320"/>
      <c r="F973" s="320"/>
    </row>
    <row r="974">
      <c r="B974" s="318"/>
      <c r="C974" s="320"/>
      <c r="E974" s="320"/>
      <c r="F974" s="320"/>
    </row>
    <row r="975">
      <c r="B975" s="318"/>
      <c r="C975" s="320"/>
      <c r="E975" s="320"/>
      <c r="F975" s="320"/>
    </row>
    <row r="976">
      <c r="B976" s="318"/>
      <c r="C976" s="320"/>
      <c r="E976" s="320"/>
      <c r="F976" s="320"/>
    </row>
    <row r="977">
      <c r="B977" s="318"/>
      <c r="C977" s="320"/>
      <c r="E977" s="320"/>
      <c r="F977" s="320"/>
    </row>
    <row r="978">
      <c r="B978" s="318"/>
      <c r="C978" s="320"/>
      <c r="E978" s="320"/>
      <c r="F978" s="320"/>
    </row>
    <row r="979">
      <c r="B979" s="318"/>
      <c r="C979" s="320"/>
      <c r="E979" s="320"/>
      <c r="F979" s="320"/>
    </row>
    <row r="980">
      <c r="B980" s="318"/>
      <c r="C980" s="320"/>
      <c r="E980" s="320"/>
      <c r="F980" s="320"/>
    </row>
    <row r="981">
      <c r="B981" s="318"/>
      <c r="C981" s="320"/>
      <c r="E981" s="320"/>
      <c r="F981" s="320"/>
    </row>
    <row r="982">
      <c r="B982" s="318"/>
      <c r="C982" s="320"/>
      <c r="E982" s="320"/>
      <c r="F982" s="320"/>
    </row>
    <row r="983">
      <c r="B983" s="318"/>
      <c r="C983" s="320"/>
      <c r="E983" s="320"/>
      <c r="F983" s="320"/>
    </row>
    <row r="984">
      <c r="B984" s="318"/>
      <c r="C984" s="320"/>
      <c r="E984" s="320"/>
      <c r="F984" s="320"/>
    </row>
    <row r="985">
      <c r="B985" s="318"/>
      <c r="C985" s="320"/>
      <c r="E985" s="320"/>
      <c r="F985" s="320"/>
    </row>
    <row r="986">
      <c r="B986" s="318"/>
      <c r="C986" s="320"/>
      <c r="E986" s="320"/>
      <c r="F986" s="320"/>
    </row>
    <row r="987">
      <c r="B987" s="318"/>
      <c r="C987" s="320"/>
      <c r="E987" s="320"/>
      <c r="F987" s="320"/>
    </row>
    <row r="988">
      <c r="B988" s="318"/>
      <c r="C988" s="320"/>
      <c r="E988" s="320"/>
      <c r="F988" s="320"/>
    </row>
    <row r="989">
      <c r="B989" s="318"/>
      <c r="C989" s="320"/>
      <c r="E989" s="320"/>
      <c r="F989" s="320"/>
    </row>
    <row r="990">
      <c r="B990" s="318"/>
      <c r="C990" s="320"/>
      <c r="E990" s="320"/>
      <c r="F990" s="320"/>
    </row>
    <row r="991">
      <c r="B991" s="318"/>
      <c r="C991" s="320"/>
      <c r="E991" s="320"/>
      <c r="F991" s="320"/>
    </row>
    <row r="992">
      <c r="B992" s="318"/>
      <c r="C992" s="320"/>
      <c r="E992" s="320"/>
      <c r="F992" s="320"/>
    </row>
    <row r="993">
      <c r="B993" s="318"/>
      <c r="C993" s="320"/>
      <c r="E993" s="320"/>
      <c r="F993" s="320"/>
    </row>
    <row r="994">
      <c r="B994" s="318"/>
      <c r="C994" s="320"/>
      <c r="E994" s="320"/>
      <c r="F994" s="320"/>
    </row>
    <row r="995">
      <c r="B995" s="318"/>
      <c r="C995" s="320"/>
      <c r="E995" s="320"/>
      <c r="F995" s="320"/>
    </row>
    <row r="996">
      <c r="B996" s="318"/>
      <c r="C996" s="320"/>
      <c r="E996" s="320"/>
      <c r="F996" s="320"/>
    </row>
    <row r="997">
      <c r="B997" s="318"/>
      <c r="C997" s="320"/>
      <c r="E997" s="320"/>
      <c r="F997" s="320"/>
    </row>
    <row r="998">
      <c r="B998" s="318"/>
      <c r="C998" s="320"/>
      <c r="E998" s="320"/>
      <c r="F998" s="320"/>
    </row>
    <row r="999">
      <c r="B999" s="318"/>
      <c r="C999" s="320"/>
      <c r="E999" s="320"/>
      <c r="F999" s="320"/>
    </row>
    <row r="1000">
      <c r="B1000" s="318"/>
      <c r="C1000" s="320"/>
      <c r="E1000" s="320"/>
      <c r="F1000" s="320"/>
    </row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6.5"/>
    <col customWidth="1" min="7" max="7" width="17.13"/>
    <col customWidth="1" min="8" max="8" width="10.88"/>
    <col customWidth="1" min="19" max="19" width="16.5"/>
    <col customWidth="1" min="20" max="20" width="17.13"/>
    <col customWidth="1" min="21" max="21" width="10.88"/>
  </cols>
  <sheetData>
    <row r="1">
      <c r="A1" s="317" t="s">
        <v>108</v>
      </c>
      <c r="B1" s="322" t="s">
        <v>112</v>
      </c>
      <c r="C1" s="163" t="s">
        <v>1081</v>
      </c>
      <c r="D1" s="163" t="s">
        <v>1107</v>
      </c>
      <c r="E1" s="323" t="s">
        <v>125</v>
      </c>
      <c r="F1" s="163" t="s">
        <v>126</v>
      </c>
      <c r="G1" s="163" t="s">
        <v>1108</v>
      </c>
      <c r="H1" s="5" t="s">
        <v>1109</v>
      </c>
      <c r="I1" s="5" t="s">
        <v>711</v>
      </c>
      <c r="J1" s="320" t="s">
        <v>1110</v>
      </c>
      <c r="K1" s="5" t="s">
        <v>1111</v>
      </c>
      <c r="L1" s="320" t="s">
        <v>1083</v>
      </c>
      <c r="P1" s="163"/>
      <c r="Q1" s="163"/>
      <c r="R1" s="163"/>
      <c r="S1" s="163"/>
      <c r="T1" s="163"/>
      <c r="W1" s="320"/>
    </row>
    <row r="2">
      <c r="A2" s="5" t="s">
        <v>137</v>
      </c>
      <c r="B2" s="324">
        <v>44896.0</v>
      </c>
      <c r="C2" s="5">
        <v>1913.0</v>
      </c>
      <c r="D2" s="321">
        <v>15632.25</v>
      </c>
      <c r="E2" s="325">
        <v>8.171589127025614</v>
      </c>
      <c r="F2" s="320">
        <v>132.53236098450319</v>
      </c>
      <c r="G2" s="321">
        <v>1.0</v>
      </c>
      <c r="H2" s="326">
        <v>1083.0</v>
      </c>
      <c r="I2" s="5" t="s">
        <v>720</v>
      </c>
      <c r="J2" s="320" t="s">
        <v>722</v>
      </c>
      <c r="K2" s="5">
        <v>1911.0</v>
      </c>
      <c r="L2" s="320">
        <v>184.10999999999999</v>
      </c>
      <c r="Q2" s="321"/>
      <c r="S2" s="320"/>
      <c r="T2" s="321"/>
      <c r="W2" s="320"/>
    </row>
    <row r="3">
      <c r="A3" s="5"/>
      <c r="B3" s="324">
        <v>44927.0</v>
      </c>
      <c r="C3" s="5">
        <v>497.0</v>
      </c>
      <c r="D3" s="321">
        <v>4970.0</v>
      </c>
      <c r="E3" s="325">
        <v>10.0</v>
      </c>
      <c r="F3" s="320">
        <v>17.7</v>
      </c>
      <c r="G3" s="321">
        <v>1.0</v>
      </c>
      <c r="H3" s="326">
        <v>177.0</v>
      </c>
      <c r="I3" s="5" t="s">
        <v>720</v>
      </c>
      <c r="J3" s="320" t="s">
        <v>722</v>
      </c>
      <c r="K3" s="5">
        <v>497.0</v>
      </c>
      <c r="L3" s="320">
        <v>53.1</v>
      </c>
      <c r="Q3" s="321"/>
      <c r="S3" s="320"/>
      <c r="T3" s="321"/>
      <c r="W3" s="320"/>
    </row>
    <row r="4">
      <c r="A4" s="5"/>
      <c r="B4" s="324">
        <v>44958.0</v>
      </c>
      <c r="C4" s="5">
        <v>2284.0</v>
      </c>
      <c r="D4" s="321">
        <v>22831.0</v>
      </c>
      <c r="E4" s="325">
        <v>9.996059544658493</v>
      </c>
      <c r="F4" s="320">
        <v>61.824361613595556</v>
      </c>
      <c r="G4" s="321">
        <v>1.0</v>
      </c>
      <c r="H4" s="326">
        <v>618.0</v>
      </c>
      <c r="I4" s="5" t="s">
        <v>720</v>
      </c>
      <c r="J4" s="320" t="s">
        <v>722</v>
      </c>
      <c r="K4" s="5">
        <v>2284.0</v>
      </c>
      <c r="L4" s="320">
        <v>142.14000000000001</v>
      </c>
      <c r="Q4" s="321"/>
      <c r="S4" s="320"/>
      <c r="T4" s="321"/>
      <c r="W4" s="320"/>
    </row>
    <row r="5">
      <c r="A5" s="5"/>
      <c r="B5" s="324">
        <v>44986.0</v>
      </c>
      <c r="C5" s="5">
        <v>2091.0</v>
      </c>
      <c r="D5" s="321">
        <v>20375.0</v>
      </c>
      <c r="E5" s="325">
        <v>9.74414155906265</v>
      </c>
      <c r="F5" s="320">
        <v>10.159950920245398</v>
      </c>
      <c r="G5" s="321">
        <v>1.0</v>
      </c>
      <c r="H5" s="326">
        <v>99.0</v>
      </c>
      <c r="I5" s="5" t="s">
        <v>720</v>
      </c>
      <c r="J5" s="320" t="s">
        <v>722</v>
      </c>
      <c r="K5" s="5">
        <v>2088.3333333333335</v>
      </c>
      <c r="L5" s="320">
        <v>29.700000000000003</v>
      </c>
      <c r="Q5" s="321"/>
      <c r="S5" s="320"/>
      <c r="T5" s="321"/>
      <c r="W5" s="320"/>
    </row>
    <row r="6">
      <c r="A6" s="5" t="s">
        <v>1112</v>
      </c>
      <c r="B6" s="322"/>
      <c r="C6" s="5">
        <v>6785.0</v>
      </c>
      <c r="D6" s="321">
        <v>63808.25</v>
      </c>
      <c r="E6" s="325">
        <v>9.404310980103169</v>
      </c>
      <c r="F6" s="320">
        <v>210.22273765539722</v>
      </c>
      <c r="G6" s="321">
        <v>4.0</v>
      </c>
      <c r="H6" s="326">
        <v>1977.0</v>
      </c>
      <c r="I6" s="5" t="s">
        <v>720</v>
      </c>
      <c r="J6" s="320" t="s">
        <v>722</v>
      </c>
      <c r="K6" s="5">
        <v>6780.333333333333</v>
      </c>
      <c r="L6" s="320">
        <v>409.05</v>
      </c>
      <c r="Q6" s="321"/>
      <c r="S6" s="320"/>
      <c r="T6" s="321"/>
      <c r="W6" s="320"/>
    </row>
    <row r="7">
      <c r="A7" s="5" t="s">
        <v>143</v>
      </c>
      <c r="B7" s="324">
        <v>44652.0</v>
      </c>
      <c r="C7" s="5">
        <v>2505.0</v>
      </c>
      <c r="D7" s="321">
        <v>28627.25</v>
      </c>
      <c r="E7" s="325">
        <v>11.42804391217565</v>
      </c>
      <c r="F7" s="320">
        <v>84.17888550244959</v>
      </c>
      <c r="G7" s="321">
        <v>1.0</v>
      </c>
      <c r="H7" s="326">
        <v>962.0</v>
      </c>
      <c r="I7" s="5" t="s">
        <v>720</v>
      </c>
      <c r="J7" s="320" t="s">
        <v>722</v>
      </c>
      <c r="K7" s="5">
        <v>2505.0</v>
      </c>
      <c r="L7" s="320">
        <v>221.26</v>
      </c>
      <c r="Q7" s="321"/>
      <c r="S7" s="320"/>
      <c r="T7" s="321"/>
      <c r="W7" s="320"/>
    </row>
    <row r="8">
      <c r="A8" s="5"/>
      <c r="B8" s="324">
        <v>44682.0</v>
      </c>
      <c r="C8" s="5">
        <v>2297.0</v>
      </c>
      <c r="D8" s="321">
        <v>25085.25</v>
      </c>
      <c r="E8" s="325">
        <v>10.920875054418808</v>
      </c>
      <c r="F8" s="320">
        <v>9.43147865777698</v>
      </c>
      <c r="G8" s="321">
        <v>1.0</v>
      </c>
      <c r="H8" s="326">
        <v>103.0</v>
      </c>
      <c r="I8" s="5" t="s">
        <v>720</v>
      </c>
      <c r="J8" s="320" t="s">
        <v>722</v>
      </c>
      <c r="K8" s="5">
        <v>2297.0</v>
      </c>
      <c r="L8" s="320">
        <v>30.899999999999977</v>
      </c>
      <c r="Q8" s="321"/>
      <c r="S8" s="320"/>
      <c r="T8" s="321"/>
      <c r="W8" s="320"/>
    </row>
    <row r="9">
      <c r="A9" s="5"/>
      <c r="B9" s="324">
        <v>44713.0</v>
      </c>
      <c r="C9" s="5">
        <v>2277.0</v>
      </c>
      <c r="D9" s="321">
        <v>24780.0</v>
      </c>
      <c r="E9" s="325">
        <v>10.88274044795784</v>
      </c>
      <c r="F9" s="320">
        <v>222.92179176755448</v>
      </c>
      <c r="G9" s="321">
        <v>1.0</v>
      </c>
      <c r="H9" s="326">
        <v>2426.0</v>
      </c>
      <c r="I9" s="5" t="s">
        <v>720</v>
      </c>
      <c r="J9" s="320" t="s">
        <v>722</v>
      </c>
      <c r="K9" s="5">
        <v>2277.0</v>
      </c>
      <c r="L9" s="320">
        <v>412.4200000000001</v>
      </c>
      <c r="Q9" s="321"/>
      <c r="S9" s="320"/>
      <c r="T9" s="321"/>
      <c r="W9" s="320"/>
    </row>
    <row r="10">
      <c r="A10" s="5"/>
      <c r="B10" s="324">
        <v>44743.0</v>
      </c>
      <c r="C10" s="5">
        <v>4281.0</v>
      </c>
      <c r="D10" s="321">
        <v>55165.0</v>
      </c>
      <c r="E10" s="325">
        <v>12.88600794206961</v>
      </c>
      <c r="F10" s="320">
        <v>301.87782108220796</v>
      </c>
      <c r="G10" s="321">
        <v>1.0</v>
      </c>
      <c r="H10" s="326">
        <v>3890.0</v>
      </c>
      <c r="I10" s="5" t="s">
        <v>720</v>
      </c>
      <c r="J10" s="320" t="s">
        <v>722</v>
      </c>
      <c r="K10" s="5">
        <v>4281.0</v>
      </c>
      <c r="L10" s="320">
        <v>661.3000000000001</v>
      </c>
      <c r="Q10" s="321"/>
      <c r="S10" s="320"/>
      <c r="T10" s="321"/>
      <c r="W10" s="320"/>
    </row>
    <row r="11">
      <c r="A11" s="5"/>
      <c r="B11" s="324">
        <v>44774.0</v>
      </c>
      <c r="C11" s="5">
        <v>4256.0</v>
      </c>
      <c r="D11" s="321">
        <v>61357.5</v>
      </c>
      <c r="E11" s="325">
        <v>14.41670582706767</v>
      </c>
      <c r="F11" s="320">
        <v>279.8836328077252</v>
      </c>
      <c r="G11" s="321">
        <v>1.0</v>
      </c>
      <c r="H11" s="326">
        <v>4035.0</v>
      </c>
      <c r="I11" s="5" t="s">
        <v>720</v>
      </c>
      <c r="J11" s="320" t="s">
        <v>722</v>
      </c>
      <c r="K11" s="5">
        <v>4254.666666666667</v>
      </c>
      <c r="L11" s="320">
        <v>685.9500000000003</v>
      </c>
      <c r="Q11" s="321"/>
      <c r="S11" s="320"/>
      <c r="T11" s="321"/>
      <c r="W11" s="320"/>
    </row>
    <row r="12">
      <c r="A12" s="5" t="s">
        <v>1113</v>
      </c>
      <c r="B12" s="322"/>
      <c r="C12" s="5">
        <v>15616.0</v>
      </c>
      <c r="D12" s="321">
        <v>195015.0</v>
      </c>
      <c r="E12" s="325">
        <v>12.488153176229508</v>
      </c>
      <c r="F12" s="320">
        <v>914.1463784837064</v>
      </c>
      <c r="G12" s="321">
        <v>5.0</v>
      </c>
      <c r="H12" s="326">
        <v>11416.0</v>
      </c>
      <c r="I12" s="5" t="s">
        <v>720</v>
      </c>
      <c r="J12" s="320" t="s">
        <v>722</v>
      </c>
      <c r="K12" s="5">
        <v>15614.666666666666</v>
      </c>
      <c r="L12" s="320">
        <v>2011.83</v>
      </c>
      <c r="Q12" s="321"/>
      <c r="S12" s="320"/>
      <c r="T12" s="321"/>
      <c r="W12" s="320"/>
    </row>
    <row r="13">
      <c r="A13" s="5" t="s">
        <v>144</v>
      </c>
      <c r="B13" s="324">
        <v>44470.0</v>
      </c>
      <c r="C13" s="5">
        <v>800.0</v>
      </c>
      <c r="D13" s="321">
        <v>8000.0</v>
      </c>
      <c r="E13" s="325">
        <v>10.0</v>
      </c>
      <c r="F13" s="320">
        <v>8.2</v>
      </c>
      <c r="G13" s="321">
        <v>1.0</v>
      </c>
      <c r="H13" s="326">
        <v>82.0</v>
      </c>
      <c r="I13" s="5" t="s">
        <v>734</v>
      </c>
      <c r="J13" s="320" t="s">
        <v>722</v>
      </c>
      <c r="K13" s="5">
        <v>800.0</v>
      </c>
      <c r="L13" s="320">
        <v>16.400000000000002</v>
      </c>
      <c r="Q13" s="321"/>
      <c r="S13" s="320"/>
      <c r="T13" s="321"/>
      <c r="W13" s="320"/>
    </row>
    <row r="14">
      <c r="A14" s="5"/>
      <c r="B14" s="324">
        <v>44501.0</v>
      </c>
      <c r="C14" s="5">
        <v>474.0</v>
      </c>
      <c r="D14" s="321">
        <v>8055.0</v>
      </c>
      <c r="E14" s="325">
        <v>16.99367088607595</v>
      </c>
      <c r="F14" s="320">
        <v>19.301303538175045</v>
      </c>
      <c r="G14" s="321">
        <v>1.0</v>
      </c>
      <c r="H14" s="326">
        <v>328.0</v>
      </c>
      <c r="I14" s="5" t="s">
        <v>734</v>
      </c>
      <c r="J14" s="320" t="s">
        <v>722</v>
      </c>
      <c r="K14" s="5">
        <v>474.0</v>
      </c>
      <c r="L14" s="320">
        <v>65.6</v>
      </c>
      <c r="Q14" s="321"/>
      <c r="S14" s="320"/>
      <c r="T14" s="321"/>
      <c r="W14" s="320"/>
    </row>
    <row r="15">
      <c r="A15" s="5"/>
      <c r="B15" s="324">
        <v>44531.0</v>
      </c>
      <c r="C15" s="5">
        <v>160.0</v>
      </c>
      <c r="D15" s="321">
        <v>2095.0</v>
      </c>
      <c r="E15" s="325">
        <v>13.09375</v>
      </c>
      <c r="F15" s="320">
        <v>3.5894988066825775</v>
      </c>
      <c r="G15" s="321">
        <v>1.0</v>
      </c>
      <c r="H15" s="326">
        <v>47.0</v>
      </c>
      <c r="I15" s="5" t="s">
        <v>734</v>
      </c>
      <c r="J15" s="320" t="s">
        <v>722</v>
      </c>
      <c r="K15" s="5">
        <v>160.0</v>
      </c>
      <c r="L15" s="320">
        <v>9.4</v>
      </c>
      <c r="Q15" s="321"/>
      <c r="S15" s="320"/>
      <c r="T15" s="321"/>
      <c r="W15" s="320"/>
    </row>
    <row r="16">
      <c r="A16" s="5"/>
      <c r="B16" s="324">
        <v>44562.0</v>
      </c>
      <c r="C16" s="5">
        <v>165.0</v>
      </c>
      <c r="D16" s="321">
        <v>1650.0</v>
      </c>
      <c r="E16" s="325">
        <v>10.0</v>
      </c>
      <c r="F16" s="320">
        <v>4.5</v>
      </c>
      <c r="G16" s="321">
        <v>1.0</v>
      </c>
      <c r="H16" s="326">
        <v>45.0</v>
      </c>
      <c r="I16" s="5" t="s">
        <v>734</v>
      </c>
      <c r="J16" s="320" t="s">
        <v>722</v>
      </c>
      <c r="K16" s="5">
        <v>165.0</v>
      </c>
      <c r="L16" s="320">
        <v>9.0</v>
      </c>
      <c r="Q16" s="321"/>
      <c r="S16" s="320"/>
      <c r="T16" s="321"/>
      <c r="W16" s="320"/>
    </row>
    <row r="17">
      <c r="A17" s="5"/>
      <c r="B17" s="324">
        <v>44621.0</v>
      </c>
      <c r="C17" s="5">
        <v>78.0</v>
      </c>
      <c r="D17" s="321">
        <v>780.0</v>
      </c>
      <c r="E17" s="325">
        <v>10.0</v>
      </c>
      <c r="F17" s="320">
        <v>7.8</v>
      </c>
      <c r="G17" s="321">
        <v>1.0</v>
      </c>
      <c r="H17" s="326">
        <v>78.0</v>
      </c>
      <c r="I17" s="5" t="s">
        <v>734</v>
      </c>
      <c r="J17" s="320" t="s">
        <v>722</v>
      </c>
      <c r="K17" s="5">
        <v>78.0</v>
      </c>
      <c r="L17" s="320">
        <v>15.600000000000001</v>
      </c>
      <c r="Q17" s="321"/>
      <c r="S17" s="320"/>
      <c r="T17" s="321"/>
      <c r="W17" s="320"/>
    </row>
    <row r="18">
      <c r="A18" s="5"/>
      <c r="B18" s="324">
        <v>44713.0</v>
      </c>
      <c r="C18" s="5">
        <v>1054.0</v>
      </c>
      <c r="D18" s="321">
        <v>16205.0</v>
      </c>
      <c r="E18" s="325">
        <v>15.374762808349146</v>
      </c>
      <c r="F18" s="320">
        <v>69.65961123110151</v>
      </c>
      <c r="G18" s="321">
        <v>1.0</v>
      </c>
      <c r="H18" s="326">
        <v>1071.0</v>
      </c>
      <c r="I18" s="5" t="s">
        <v>734</v>
      </c>
      <c r="J18" s="320" t="s">
        <v>722</v>
      </c>
      <c r="K18" s="5">
        <v>1054.0</v>
      </c>
      <c r="L18" s="320">
        <v>216.92999999999998</v>
      </c>
      <c r="Q18" s="321"/>
      <c r="S18" s="320"/>
      <c r="T18" s="321"/>
      <c r="W18" s="320"/>
    </row>
    <row r="19">
      <c r="A19" s="5"/>
      <c r="B19" s="324">
        <v>44774.0</v>
      </c>
      <c r="C19" s="5">
        <v>2495.0</v>
      </c>
      <c r="D19" s="321">
        <v>51480.0</v>
      </c>
      <c r="E19" s="325">
        <v>20.63326653306613</v>
      </c>
      <c r="F19" s="320">
        <v>-50.93716006216007</v>
      </c>
      <c r="G19" s="321">
        <v>1.0</v>
      </c>
      <c r="H19" s="326">
        <v>-1051.0</v>
      </c>
      <c r="I19" s="5" t="s">
        <v>734</v>
      </c>
      <c r="J19" s="320" t="s">
        <v>722</v>
      </c>
      <c r="K19" s="5">
        <v>915.6666666666667</v>
      </c>
      <c r="L19" s="320">
        <v>-212.30399999999995</v>
      </c>
      <c r="Q19" s="321"/>
      <c r="S19" s="320"/>
      <c r="T19" s="321"/>
      <c r="W19" s="320"/>
    </row>
    <row r="20">
      <c r="A20" s="5"/>
      <c r="B20" s="324">
        <v>44805.0</v>
      </c>
      <c r="C20" s="5">
        <v>266.0</v>
      </c>
      <c r="D20" s="321">
        <v>2660.0</v>
      </c>
      <c r="E20" s="325">
        <v>10.0</v>
      </c>
      <c r="F20" s="320">
        <v>-7.4</v>
      </c>
      <c r="G20" s="321">
        <v>1.0</v>
      </c>
      <c r="H20" s="326">
        <v>-74.0</v>
      </c>
      <c r="I20" s="5" t="s">
        <v>734</v>
      </c>
      <c r="J20" s="320" t="s">
        <v>722</v>
      </c>
      <c r="K20" s="5">
        <v>135.33333333333331</v>
      </c>
      <c r="L20" s="320">
        <v>-14.8</v>
      </c>
      <c r="Q20" s="321"/>
      <c r="S20" s="320"/>
      <c r="T20" s="321"/>
      <c r="W20" s="320"/>
    </row>
    <row r="21">
      <c r="A21" s="5" t="s">
        <v>1084</v>
      </c>
      <c r="B21" s="322"/>
      <c r="C21" s="5">
        <v>5492.0</v>
      </c>
      <c r="D21" s="321">
        <v>90925.0</v>
      </c>
      <c r="E21" s="325">
        <v>16.555899490167516</v>
      </c>
      <c r="F21" s="320">
        <v>31.77115204839153</v>
      </c>
      <c r="G21" s="321">
        <v>8.0</v>
      </c>
      <c r="H21" s="326">
        <v>526.0</v>
      </c>
      <c r="I21" s="5" t="s">
        <v>734</v>
      </c>
      <c r="J21" s="320" t="s">
        <v>722</v>
      </c>
      <c r="K21" s="5">
        <v>3782.0000000000005</v>
      </c>
      <c r="L21" s="320">
        <v>105.82600000000014</v>
      </c>
      <c r="Q21" s="321"/>
      <c r="S21" s="320"/>
      <c r="T21" s="321"/>
      <c r="W21" s="320"/>
    </row>
    <row r="22">
      <c r="A22" s="5" t="s">
        <v>148</v>
      </c>
      <c r="B22" s="324">
        <v>44228.0</v>
      </c>
      <c r="C22" s="5">
        <v>3734.0</v>
      </c>
      <c r="D22" s="321">
        <v>177900.0</v>
      </c>
      <c r="E22" s="325">
        <v>47.64327798607392</v>
      </c>
      <c r="F22" s="320">
        <v>67.018898257448</v>
      </c>
      <c r="G22" s="321">
        <v>1.0</v>
      </c>
      <c r="H22" s="326">
        <v>3193.0</v>
      </c>
      <c r="I22" s="5" t="s">
        <v>739</v>
      </c>
      <c r="J22" s="320" t="s">
        <v>741</v>
      </c>
      <c r="K22" s="5">
        <v>3731.333333333333</v>
      </c>
      <c r="L22" s="320">
        <v>638.5999999999999</v>
      </c>
      <c r="Q22" s="321"/>
      <c r="S22" s="320"/>
      <c r="T22" s="321"/>
      <c r="W22" s="320"/>
    </row>
    <row r="23">
      <c r="A23" s="5"/>
      <c r="B23" s="324">
        <v>44256.0</v>
      </c>
      <c r="C23" s="5">
        <v>4099.0</v>
      </c>
      <c r="D23" s="321">
        <v>178000.0</v>
      </c>
      <c r="E23" s="325">
        <v>43.425225664796294</v>
      </c>
      <c r="F23" s="320">
        <v>29.545039325842694</v>
      </c>
      <c r="G23" s="321">
        <v>1.0</v>
      </c>
      <c r="H23" s="326">
        <v>1283.0</v>
      </c>
      <c r="I23" s="5" t="s">
        <v>739</v>
      </c>
      <c r="J23" s="320" t="s">
        <v>741</v>
      </c>
      <c r="K23" s="5">
        <v>4099.0</v>
      </c>
      <c r="L23" s="320">
        <v>256.6</v>
      </c>
      <c r="Q23" s="321"/>
      <c r="S23" s="320"/>
      <c r="T23" s="321"/>
      <c r="W23" s="320"/>
    </row>
    <row r="24">
      <c r="A24" s="5"/>
      <c r="B24" s="324">
        <v>44287.0</v>
      </c>
      <c r="C24" s="5">
        <v>7430.0</v>
      </c>
      <c r="D24" s="321">
        <v>193085.0</v>
      </c>
      <c r="E24" s="325">
        <v>25.98721399730821</v>
      </c>
      <c r="F24" s="320">
        <v>148.03433720900122</v>
      </c>
      <c r="G24" s="321">
        <v>1.0</v>
      </c>
      <c r="H24" s="326">
        <v>3847.0</v>
      </c>
      <c r="I24" s="5" t="s">
        <v>739</v>
      </c>
      <c r="J24" s="320" t="s">
        <v>741</v>
      </c>
      <c r="K24" s="5">
        <v>7428.666666666667</v>
      </c>
      <c r="L24" s="320">
        <v>769.4000000000001</v>
      </c>
      <c r="Q24" s="321"/>
      <c r="S24" s="320"/>
      <c r="T24" s="321"/>
      <c r="W24" s="320"/>
    </row>
    <row r="25">
      <c r="A25" s="5"/>
      <c r="B25" s="324">
        <v>44317.0</v>
      </c>
      <c r="C25" s="5">
        <v>3192.0</v>
      </c>
      <c r="D25" s="321">
        <v>155310.0</v>
      </c>
      <c r="E25" s="325">
        <v>48.65601503759399</v>
      </c>
      <c r="F25" s="320">
        <v>5.487502414525787</v>
      </c>
      <c r="G25" s="321">
        <v>1.0</v>
      </c>
      <c r="H25" s="326">
        <v>267.0</v>
      </c>
      <c r="I25" s="5" t="s">
        <v>739</v>
      </c>
      <c r="J25" s="320" t="s">
        <v>741</v>
      </c>
      <c r="K25" s="5">
        <v>3192.0</v>
      </c>
      <c r="L25" s="320">
        <v>53.400000000000006</v>
      </c>
      <c r="Q25" s="321"/>
      <c r="S25" s="320"/>
      <c r="T25" s="321"/>
      <c r="W25" s="320"/>
    </row>
    <row r="26">
      <c r="A26" s="5"/>
      <c r="B26" s="324">
        <v>44348.0</v>
      </c>
      <c r="C26" s="5">
        <v>5541.0</v>
      </c>
      <c r="D26" s="321">
        <v>163000.0</v>
      </c>
      <c r="E26" s="325">
        <v>29.41707273055405</v>
      </c>
      <c r="F26" s="320">
        <v>105.92488343558283</v>
      </c>
      <c r="G26" s="321">
        <v>1.0</v>
      </c>
      <c r="H26" s="326">
        <v>3116.0</v>
      </c>
      <c r="I26" s="5" t="s">
        <v>739</v>
      </c>
      <c r="J26" s="320" t="s">
        <v>741</v>
      </c>
      <c r="K26" s="5">
        <v>5541.0</v>
      </c>
      <c r="L26" s="320">
        <v>623.2</v>
      </c>
      <c r="Q26" s="321"/>
      <c r="S26" s="320"/>
      <c r="T26" s="321"/>
      <c r="W26" s="320"/>
    </row>
    <row r="27">
      <c r="A27" s="5"/>
      <c r="B27" s="324">
        <v>44378.0</v>
      </c>
      <c r="C27" s="5">
        <v>2946.0</v>
      </c>
      <c r="D27" s="321">
        <v>121175.0</v>
      </c>
      <c r="E27" s="325">
        <v>41.13204344874406</v>
      </c>
      <c r="F27" s="320">
        <v>-11.548174128326801</v>
      </c>
      <c r="G27" s="321">
        <v>1.0</v>
      </c>
      <c r="H27" s="326">
        <v>-475.0</v>
      </c>
      <c r="I27" s="5" t="s">
        <v>739</v>
      </c>
      <c r="J27" s="320" t="s">
        <v>741</v>
      </c>
      <c r="K27" s="5">
        <v>2945.3333333333335</v>
      </c>
      <c r="L27" s="320">
        <v>-95.0</v>
      </c>
      <c r="Q27" s="321"/>
      <c r="S27" s="320"/>
      <c r="T27" s="321"/>
      <c r="W27" s="320"/>
    </row>
    <row r="28">
      <c r="A28" s="5"/>
      <c r="B28" s="324">
        <v>44409.0</v>
      </c>
      <c r="C28" s="5">
        <v>6434.0</v>
      </c>
      <c r="D28" s="321">
        <v>288925.0</v>
      </c>
      <c r="E28" s="325">
        <v>44.90596829344109</v>
      </c>
      <c r="F28" s="320">
        <v>204.427169680713</v>
      </c>
      <c r="G28" s="5">
        <v>1.0</v>
      </c>
      <c r="H28" s="326">
        <v>9180.0</v>
      </c>
      <c r="I28" s="5" t="s">
        <v>739</v>
      </c>
      <c r="J28" s="320" t="s">
        <v>741</v>
      </c>
      <c r="K28" s="5">
        <v>6434.0</v>
      </c>
      <c r="L28" s="320">
        <v>1835.9999999999998</v>
      </c>
      <c r="Q28" s="321"/>
      <c r="S28" s="320"/>
      <c r="W28" s="320"/>
    </row>
    <row r="29">
      <c r="A29" s="5"/>
      <c r="B29" s="324">
        <v>44440.0</v>
      </c>
      <c r="C29" s="5">
        <v>4177.0</v>
      </c>
      <c r="D29" s="5">
        <v>208660.0</v>
      </c>
      <c r="E29" s="325">
        <v>49.95451280823558</v>
      </c>
      <c r="F29" s="320">
        <v>44.78073900124605</v>
      </c>
      <c r="G29" s="5">
        <v>1.0</v>
      </c>
      <c r="H29" s="326">
        <v>2237.0</v>
      </c>
      <c r="I29" s="5" t="s">
        <v>739</v>
      </c>
      <c r="J29" s="320" t="s">
        <v>741</v>
      </c>
      <c r="K29" s="5">
        <v>4177.0</v>
      </c>
      <c r="L29" s="320">
        <v>447.4</v>
      </c>
      <c r="S29" s="320"/>
      <c r="W29" s="320"/>
    </row>
    <row r="30">
      <c r="A30" s="5"/>
      <c r="B30" s="324">
        <v>44470.0</v>
      </c>
      <c r="C30" s="5">
        <v>4171.0</v>
      </c>
      <c r="D30" s="5">
        <v>208390.0</v>
      </c>
      <c r="E30" s="325">
        <v>49.96163989450971</v>
      </c>
      <c r="F30" s="320">
        <v>43.11307644320745</v>
      </c>
      <c r="G30" s="5">
        <v>1.0</v>
      </c>
      <c r="H30" s="326">
        <v>2154.0</v>
      </c>
      <c r="I30" s="5" t="s">
        <v>739</v>
      </c>
      <c r="J30" s="320" t="s">
        <v>741</v>
      </c>
      <c r="K30" s="5">
        <v>4171.0</v>
      </c>
      <c r="L30" s="320">
        <v>430.79999999999995</v>
      </c>
      <c r="S30" s="320"/>
      <c r="W30" s="320"/>
    </row>
    <row r="31">
      <c r="A31" s="5"/>
      <c r="B31" s="324">
        <v>44501.0</v>
      </c>
      <c r="C31" s="5">
        <v>3386.0</v>
      </c>
      <c r="D31" s="5">
        <v>170000.0</v>
      </c>
      <c r="E31" s="325">
        <v>50.20673360897815</v>
      </c>
      <c r="F31" s="5">
        <v>41.20961176470588</v>
      </c>
      <c r="G31" s="5">
        <v>1.0</v>
      </c>
      <c r="H31" s="326">
        <v>2069.0</v>
      </c>
      <c r="I31" s="5" t="s">
        <v>739</v>
      </c>
      <c r="J31" s="320" t="s">
        <v>741</v>
      </c>
      <c r="K31" s="5">
        <v>3386.0</v>
      </c>
      <c r="L31" s="320">
        <v>413.8</v>
      </c>
      <c r="W31" s="320"/>
    </row>
    <row r="32">
      <c r="A32" s="5"/>
      <c r="B32" s="324">
        <v>44531.0</v>
      </c>
      <c r="C32" s="5">
        <v>4037.0</v>
      </c>
      <c r="D32" s="5">
        <v>201850.0</v>
      </c>
      <c r="E32" s="325">
        <v>50.0</v>
      </c>
      <c r="F32" s="5">
        <v>-12.22</v>
      </c>
      <c r="G32" s="5">
        <v>1.0</v>
      </c>
      <c r="H32" s="326">
        <v>-611.0</v>
      </c>
      <c r="I32" s="5" t="s">
        <v>739</v>
      </c>
      <c r="J32" s="320" t="s">
        <v>741</v>
      </c>
      <c r="K32" s="5">
        <v>4037.0</v>
      </c>
      <c r="L32" s="320">
        <v>-122.19999999999999</v>
      </c>
      <c r="W32" s="320"/>
    </row>
    <row r="33">
      <c r="A33" s="5"/>
      <c r="B33" s="324">
        <v>44562.0</v>
      </c>
      <c r="C33" s="5">
        <v>4468.0</v>
      </c>
      <c r="D33" s="5">
        <v>223400.0</v>
      </c>
      <c r="E33" s="325">
        <v>50.0</v>
      </c>
      <c r="F33" s="5">
        <v>126.76</v>
      </c>
      <c r="G33" s="5">
        <v>1.0</v>
      </c>
      <c r="H33" s="326">
        <v>6338.0</v>
      </c>
      <c r="I33" s="5" t="s">
        <v>739</v>
      </c>
      <c r="J33" s="320" t="s">
        <v>741</v>
      </c>
      <c r="K33" s="5">
        <v>4468.0</v>
      </c>
      <c r="L33" s="320">
        <v>1267.6</v>
      </c>
      <c r="W33" s="320"/>
    </row>
    <row r="34">
      <c r="A34" s="5"/>
      <c r="B34" s="324">
        <v>44593.0</v>
      </c>
      <c r="C34" s="5">
        <v>4767.0</v>
      </c>
      <c r="D34" s="5">
        <v>238350.0</v>
      </c>
      <c r="E34" s="325">
        <v>50.0</v>
      </c>
      <c r="F34" s="5">
        <v>213.7</v>
      </c>
      <c r="G34" s="5">
        <v>1.0</v>
      </c>
      <c r="H34" s="326">
        <v>10685.0</v>
      </c>
      <c r="I34" s="5" t="s">
        <v>739</v>
      </c>
      <c r="J34" s="320" t="s">
        <v>741</v>
      </c>
      <c r="K34" s="5">
        <v>4767.0</v>
      </c>
      <c r="L34" s="320">
        <v>2137.0</v>
      </c>
      <c r="W34" s="320"/>
    </row>
    <row r="35">
      <c r="A35" s="5"/>
      <c r="B35" s="324">
        <v>44621.0</v>
      </c>
      <c r="C35" s="5">
        <v>1371.0</v>
      </c>
      <c r="D35" s="5">
        <v>131012.75</v>
      </c>
      <c r="E35" s="325">
        <v>95.55999270605398</v>
      </c>
      <c r="F35" s="5">
        <v>74.80117774796727</v>
      </c>
      <c r="G35" s="5">
        <v>1.0</v>
      </c>
      <c r="H35" s="326">
        <v>7148.0</v>
      </c>
      <c r="I35" s="5" t="s">
        <v>739</v>
      </c>
      <c r="J35" s="320" t="s">
        <v>741</v>
      </c>
      <c r="K35" s="5">
        <v>1371.0</v>
      </c>
      <c r="L35" s="320">
        <v>1429.6000000000001</v>
      </c>
      <c r="W35" s="320"/>
    </row>
    <row r="36">
      <c r="A36" s="5"/>
      <c r="B36" s="324">
        <v>44652.0</v>
      </c>
      <c r="C36" s="5">
        <v>2501.0</v>
      </c>
      <c r="D36" s="5">
        <v>250005.0</v>
      </c>
      <c r="E36" s="325">
        <v>99.96201519392243</v>
      </c>
      <c r="F36" s="5">
        <v>49.70888182236356</v>
      </c>
      <c r="G36" s="5">
        <v>1.0</v>
      </c>
      <c r="H36" s="326">
        <v>4969.0</v>
      </c>
      <c r="I36" s="5" t="s">
        <v>739</v>
      </c>
      <c r="J36" s="320" t="s">
        <v>741</v>
      </c>
      <c r="K36" s="5">
        <v>2501.0</v>
      </c>
      <c r="L36" s="320">
        <v>993.8</v>
      </c>
      <c r="W36" s="320"/>
    </row>
    <row r="37">
      <c r="A37" s="5"/>
      <c r="B37" s="324">
        <v>44682.0</v>
      </c>
      <c r="C37" s="5">
        <v>4721.0</v>
      </c>
      <c r="D37" s="5">
        <v>469500.0</v>
      </c>
      <c r="E37" s="325">
        <v>99.44926922262232</v>
      </c>
      <c r="F37" s="5">
        <v>30.09574653887114</v>
      </c>
      <c r="G37" s="5">
        <v>1.0</v>
      </c>
      <c r="H37" s="326">
        <v>2993.0</v>
      </c>
      <c r="I37" s="5" t="s">
        <v>739</v>
      </c>
      <c r="J37" s="320" t="s">
        <v>741</v>
      </c>
      <c r="K37" s="5">
        <v>4675.666666666667</v>
      </c>
      <c r="L37" s="320">
        <v>598.5999999999999</v>
      </c>
      <c r="W37" s="320"/>
    </row>
    <row r="38">
      <c r="A38" s="5"/>
      <c r="B38" s="324">
        <v>44713.0</v>
      </c>
      <c r="C38" s="5">
        <v>1275.0</v>
      </c>
      <c r="D38" s="5">
        <v>127500.0</v>
      </c>
      <c r="E38" s="325">
        <v>100.0</v>
      </c>
      <c r="F38" s="5">
        <v>59.45</v>
      </c>
      <c r="G38" s="5">
        <v>1.0</v>
      </c>
      <c r="H38" s="326">
        <v>5945.0</v>
      </c>
      <c r="I38" s="5" t="s">
        <v>739</v>
      </c>
      <c r="J38" s="320" t="s">
        <v>741</v>
      </c>
      <c r="K38" s="5">
        <v>1275.0</v>
      </c>
      <c r="L38" s="320">
        <v>1189.0</v>
      </c>
      <c r="W38" s="320"/>
    </row>
    <row r="39">
      <c r="A39" s="5"/>
      <c r="B39" s="324">
        <v>44743.0</v>
      </c>
      <c r="C39" s="5">
        <v>1700.0</v>
      </c>
      <c r="D39" s="5">
        <v>170000.0</v>
      </c>
      <c r="E39" s="325">
        <v>100.0</v>
      </c>
      <c r="F39" s="5">
        <v>25.01</v>
      </c>
      <c r="G39" s="5">
        <v>1.0</v>
      </c>
      <c r="H39" s="326">
        <v>2501.0</v>
      </c>
      <c r="I39" s="5" t="s">
        <v>739</v>
      </c>
      <c r="J39" s="320" t="s">
        <v>741</v>
      </c>
      <c r="K39" s="5">
        <v>1700.0</v>
      </c>
      <c r="L39" s="320">
        <v>500.2</v>
      </c>
      <c r="W39" s="320"/>
    </row>
    <row r="40">
      <c r="A40" s="5"/>
      <c r="B40" s="324">
        <v>44774.0</v>
      </c>
      <c r="C40" s="5">
        <v>3500.0</v>
      </c>
      <c r="D40" s="5">
        <v>350000.0</v>
      </c>
      <c r="E40" s="325">
        <v>100.0</v>
      </c>
      <c r="F40" s="5">
        <v>93.52</v>
      </c>
      <c r="G40" s="5">
        <v>1.0</v>
      </c>
      <c r="H40" s="326">
        <v>9352.0</v>
      </c>
      <c r="I40" s="5" t="s">
        <v>739</v>
      </c>
      <c r="J40" s="320" t="s">
        <v>741</v>
      </c>
      <c r="K40" s="5">
        <v>3500.0</v>
      </c>
      <c r="L40" s="320">
        <v>1870.4</v>
      </c>
      <c r="W40" s="320"/>
    </row>
    <row r="41">
      <c r="A41" s="5"/>
      <c r="B41" s="324">
        <v>44805.0</v>
      </c>
      <c r="C41" s="5">
        <v>2801.0</v>
      </c>
      <c r="D41" s="5">
        <v>280100.0</v>
      </c>
      <c r="E41" s="325">
        <v>100.0</v>
      </c>
      <c r="F41" s="5">
        <v>64.71</v>
      </c>
      <c r="G41" s="5">
        <v>1.0</v>
      </c>
      <c r="H41" s="326">
        <v>6471.0</v>
      </c>
      <c r="I41" s="5" t="s">
        <v>739</v>
      </c>
      <c r="J41" s="320" t="s">
        <v>741</v>
      </c>
      <c r="K41" s="5">
        <v>2801.0</v>
      </c>
      <c r="L41" s="320">
        <v>1294.2</v>
      </c>
      <c r="W41" s="320"/>
    </row>
    <row r="42">
      <c r="A42" s="5"/>
      <c r="B42" s="324">
        <v>44835.0</v>
      </c>
      <c r="C42" s="5">
        <v>2800.0</v>
      </c>
      <c r="D42" s="5">
        <v>280000.0</v>
      </c>
      <c r="E42" s="325">
        <v>100.0</v>
      </c>
      <c r="F42" s="5">
        <v>37.64</v>
      </c>
      <c r="G42" s="5">
        <v>1.0</v>
      </c>
      <c r="H42" s="326">
        <v>3764.0</v>
      </c>
      <c r="I42" s="5" t="s">
        <v>739</v>
      </c>
      <c r="J42" s="320" t="s">
        <v>741</v>
      </c>
      <c r="K42" s="5">
        <v>2800.0</v>
      </c>
      <c r="L42" s="320">
        <v>752.8000000000001</v>
      </c>
      <c r="W42" s="320"/>
    </row>
    <row r="43">
      <c r="A43" s="5"/>
      <c r="B43" s="324">
        <v>44866.0</v>
      </c>
      <c r="C43" s="5">
        <v>2994.0</v>
      </c>
      <c r="D43" s="5">
        <v>299400.0</v>
      </c>
      <c r="E43" s="325">
        <v>100.0</v>
      </c>
      <c r="F43" s="5">
        <v>13.31</v>
      </c>
      <c r="G43" s="5">
        <v>1.0</v>
      </c>
      <c r="H43" s="326">
        <v>1331.0</v>
      </c>
      <c r="I43" s="5" t="s">
        <v>739</v>
      </c>
      <c r="J43" s="320" t="s">
        <v>741</v>
      </c>
      <c r="K43" s="5">
        <v>1914.0</v>
      </c>
      <c r="L43" s="320">
        <v>266.2</v>
      </c>
      <c r="W43" s="320"/>
    </row>
    <row r="44">
      <c r="A44" s="5"/>
      <c r="B44" s="324">
        <v>44896.0</v>
      </c>
      <c r="C44" s="5">
        <v>3200.0</v>
      </c>
      <c r="D44" s="5">
        <v>320000.0</v>
      </c>
      <c r="E44" s="325">
        <v>100.0</v>
      </c>
      <c r="F44" s="5">
        <v>29.15</v>
      </c>
      <c r="G44" s="5">
        <v>1.0</v>
      </c>
      <c r="H44" s="326">
        <v>2915.0</v>
      </c>
      <c r="I44" s="5" t="s">
        <v>739</v>
      </c>
      <c r="J44" s="320" t="s">
        <v>741</v>
      </c>
      <c r="K44" s="5">
        <v>1950.0</v>
      </c>
      <c r="L44" s="320">
        <v>583.0</v>
      </c>
      <c r="W44" s="320"/>
    </row>
    <row r="45">
      <c r="A45" s="5"/>
      <c r="B45" s="324">
        <v>44927.0</v>
      </c>
      <c r="C45" s="5">
        <v>2560.0</v>
      </c>
      <c r="D45" s="5">
        <v>256000.0</v>
      </c>
      <c r="E45" s="325">
        <v>100.0</v>
      </c>
      <c r="F45" s="5">
        <v>-19.22</v>
      </c>
      <c r="G45" s="5">
        <v>1.0</v>
      </c>
      <c r="H45" s="326">
        <v>-1922.0</v>
      </c>
      <c r="I45" s="5" t="s">
        <v>739</v>
      </c>
      <c r="J45" s="320" t="s">
        <v>741</v>
      </c>
      <c r="K45" s="5">
        <v>1865.3333333333333</v>
      </c>
      <c r="L45" s="320">
        <v>-384.4</v>
      </c>
      <c r="W45" s="320"/>
    </row>
    <row r="46">
      <c r="A46" s="5"/>
      <c r="B46" s="324">
        <v>44958.0</v>
      </c>
      <c r="C46" s="5">
        <v>3400.0</v>
      </c>
      <c r="D46" s="5">
        <v>340000.0</v>
      </c>
      <c r="E46" s="325">
        <v>100.0</v>
      </c>
      <c r="F46" s="5">
        <v>-11.19</v>
      </c>
      <c r="G46" s="5">
        <v>1.0</v>
      </c>
      <c r="H46" s="326">
        <v>-1119.0</v>
      </c>
      <c r="I46" s="5" t="s">
        <v>739</v>
      </c>
      <c r="J46" s="320" t="s">
        <v>741</v>
      </c>
      <c r="K46" s="5">
        <v>3270.6666666666665</v>
      </c>
      <c r="L46" s="320">
        <v>-223.8</v>
      </c>
      <c r="W46" s="320"/>
    </row>
    <row r="47">
      <c r="A47" s="5"/>
      <c r="B47" s="324">
        <v>44986.0</v>
      </c>
      <c r="C47" s="5">
        <v>4274.0</v>
      </c>
      <c r="D47" s="5">
        <v>423800.0</v>
      </c>
      <c r="E47" s="325">
        <v>99.15769770706598</v>
      </c>
      <c r="F47" s="5">
        <v>68.50703633789523</v>
      </c>
      <c r="G47" s="5">
        <v>1.0</v>
      </c>
      <c r="H47" s="326">
        <v>6793.0</v>
      </c>
      <c r="I47" s="5" t="s">
        <v>739</v>
      </c>
      <c r="J47" s="320" t="s">
        <v>741</v>
      </c>
      <c r="K47" s="5">
        <v>4274.0</v>
      </c>
      <c r="L47" s="320">
        <v>1358.6</v>
      </c>
      <c r="W47" s="320"/>
    </row>
    <row r="48">
      <c r="A48" s="5" t="s">
        <v>1114</v>
      </c>
      <c r="B48" s="322"/>
      <c r="C48" s="5">
        <v>95479.0</v>
      </c>
      <c r="D48" s="5">
        <v>6225362.75</v>
      </c>
      <c r="E48" s="325">
        <v>65.2013819792834</v>
      </c>
      <c r="F48" s="5">
        <v>1448.190163055157</v>
      </c>
      <c r="G48" s="5">
        <v>26.0</v>
      </c>
      <c r="H48" s="326">
        <v>94424.0</v>
      </c>
      <c r="I48" s="5" t="s">
        <v>739</v>
      </c>
      <c r="J48" s="320" t="s">
        <v>741</v>
      </c>
      <c r="K48" s="5">
        <v>92275.0</v>
      </c>
      <c r="L48" s="320">
        <v>18884.800000000003</v>
      </c>
      <c r="W48" s="320"/>
    </row>
    <row r="49">
      <c r="A49" s="5" t="s">
        <v>182</v>
      </c>
      <c r="B49" s="324">
        <v>44805.0</v>
      </c>
      <c r="C49" s="5">
        <v>123.0</v>
      </c>
      <c r="D49" s="5">
        <v>615.0</v>
      </c>
      <c r="E49" s="325">
        <v>5.0</v>
      </c>
      <c r="F49" s="5">
        <v>-12.0</v>
      </c>
      <c r="G49" s="5">
        <v>1.0</v>
      </c>
      <c r="H49" s="326">
        <v>-60.0</v>
      </c>
      <c r="I49" s="5" t="s">
        <v>747</v>
      </c>
      <c r="J49" s="320" t="s">
        <v>722</v>
      </c>
      <c r="K49" s="5">
        <v>123.0</v>
      </c>
      <c r="L49" s="320">
        <v>-12.0</v>
      </c>
      <c r="W49" s="320"/>
    </row>
    <row r="50">
      <c r="A50" s="5"/>
      <c r="B50" s="324">
        <v>44835.0</v>
      </c>
      <c r="C50" s="5">
        <v>3211.0</v>
      </c>
      <c r="D50" s="5">
        <v>31855.0</v>
      </c>
      <c r="E50" s="325">
        <v>9.920585487387108</v>
      </c>
      <c r="F50" s="5">
        <v>61.18590488149427</v>
      </c>
      <c r="G50" s="5">
        <v>1.0</v>
      </c>
      <c r="H50" s="326">
        <v>607.0</v>
      </c>
      <c r="I50" s="5" t="s">
        <v>747</v>
      </c>
      <c r="J50" s="320" t="s">
        <v>722</v>
      </c>
      <c r="K50" s="5">
        <v>3211.0</v>
      </c>
      <c r="L50" s="320">
        <v>121.4</v>
      </c>
      <c r="W50" s="320"/>
    </row>
    <row r="51">
      <c r="A51" s="5"/>
      <c r="B51" s="324">
        <v>44866.0</v>
      </c>
      <c r="C51" s="5">
        <v>4242.0</v>
      </c>
      <c r="D51" s="5">
        <v>42405.0</v>
      </c>
      <c r="E51" s="325">
        <v>9.996463932107497</v>
      </c>
      <c r="F51" s="5">
        <v>169.8600636717368</v>
      </c>
      <c r="G51" s="5">
        <v>1.0</v>
      </c>
      <c r="H51" s="326">
        <v>1698.0</v>
      </c>
      <c r="I51" s="5" t="s">
        <v>747</v>
      </c>
      <c r="J51" s="320" t="s">
        <v>722</v>
      </c>
      <c r="K51" s="5">
        <v>4242.0</v>
      </c>
      <c r="L51" s="320">
        <v>339.6</v>
      </c>
      <c r="W51" s="320"/>
    </row>
    <row r="52">
      <c r="A52" s="5"/>
      <c r="B52" s="324">
        <v>44896.0</v>
      </c>
      <c r="C52" s="5">
        <v>4290.0</v>
      </c>
      <c r="D52" s="5">
        <v>42895.0</v>
      </c>
      <c r="E52" s="325">
        <v>9.9988344988345</v>
      </c>
      <c r="F52" s="5">
        <v>-27.003147219955704</v>
      </c>
      <c r="G52" s="5">
        <v>1.0</v>
      </c>
      <c r="H52" s="326">
        <v>-270.0</v>
      </c>
      <c r="I52" s="5" t="s">
        <v>747</v>
      </c>
      <c r="J52" s="320" t="s">
        <v>722</v>
      </c>
      <c r="K52" s="5">
        <v>4290.0</v>
      </c>
      <c r="L52" s="320">
        <v>-54.0</v>
      </c>
      <c r="W52" s="320"/>
    </row>
    <row r="53">
      <c r="A53" s="5"/>
      <c r="B53" s="324">
        <v>44927.0</v>
      </c>
      <c r="C53" s="5">
        <v>4462.0</v>
      </c>
      <c r="D53" s="5">
        <v>44620.0</v>
      </c>
      <c r="E53" s="325">
        <v>10.0</v>
      </c>
      <c r="F53" s="5">
        <v>175.7</v>
      </c>
      <c r="G53" s="5">
        <v>1.0</v>
      </c>
      <c r="H53" s="326">
        <v>1757.0</v>
      </c>
      <c r="I53" s="5" t="s">
        <v>747</v>
      </c>
      <c r="J53" s="320" t="s">
        <v>722</v>
      </c>
      <c r="K53" s="5">
        <v>4462.0</v>
      </c>
      <c r="L53" s="320">
        <v>298.69</v>
      </c>
      <c r="W53" s="320"/>
    </row>
    <row r="54">
      <c r="A54" s="5"/>
      <c r="B54" s="324">
        <v>44958.0</v>
      </c>
      <c r="C54" s="5">
        <v>4048.0</v>
      </c>
      <c r="D54" s="5">
        <v>40480.0</v>
      </c>
      <c r="E54" s="325">
        <v>10.0</v>
      </c>
      <c r="F54" s="5">
        <v>213.1</v>
      </c>
      <c r="G54" s="5">
        <v>1.0</v>
      </c>
      <c r="H54" s="326">
        <v>2131.0</v>
      </c>
      <c r="I54" s="5" t="s">
        <v>747</v>
      </c>
      <c r="J54" s="320" t="s">
        <v>722</v>
      </c>
      <c r="K54" s="5">
        <v>4048.0</v>
      </c>
      <c r="L54" s="320">
        <v>319.65</v>
      </c>
      <c r="W54" s="320"/>
    </row>
    <row r="55">
      <c r="A55" s="5"/>
      <c r="B55" s="324">
        <v>44986.0</v>
      </c>
      <c r="C55" s="5">
        <v>4448.0</v>
      </c>
      <c r="D55" s="5">
        <v>51080.0</v>
      </c>
      <c r="E55" s="325">
        <v>11.483812949640289</v>
      </c>
      <c r="F55" s="5">
        <v>74.27846515270164</v>
      </c>
      <c r="G55" s="5">
        <v>1.0</v>
      </c>
      <c r="H55" s="326">
        <v>853.0</v>
      </c>
      <c r="I55" s="5" t="s">
        <v>747</v>
      </c>
      <c r="J55" s="320" t="s">
        <v>722</v>
      </c>
      <c r="K55" s="5">
        <v>4448.0</v>
      </c>
      <c r="L55" s="320">
        <v>170.60000000000002</v>
      </c>
      <c r="W55" s="320"/>
    </row>
    <row r="56">
      <c r="A56" s="5" t="s">
        <v>1115</v>
      </c>
      <c r="B56" s="322"/>
      <c r="C56" s="5">
        <v>24824.0</v>
      </c>
      <c r="D56" s="5">
        <v>253950.0</v>
      </c>
      <c r="E56" s="325">
        <v>10.230019336126329</v>
      </c>
      <c r="F56" s="5">
        <v>656.4992478834416</v>
      </c>
      <c r="G56" s="5">
        <v>7.0</v>
      </c>
      <c r="H56" s="326">
        <v>6716.0</v>
      </c>
      <c r="I56" s="5" t="s">
        <v>747</v>
      </c>
      <c r="J56" s="320" t="s">
        <v>722</v>
      </c>
      <c r="K56" s="5">
        <v>24824.0</v>
      </c>
      <c r="L56" s="320">
        <v>1183.94</v>
      </c>
      <c r="W56" s="320"/>
    </row>
    <row r="57">
      <c r="A57" s="5" t="s">
        <v>149</v>
      </c>
      <c r="B57" s="324">
        <v>44501.0</v>
      </c>
      <c r="C57" s="5">
        <v>3981.0</v>
      </c>
      <c r="D57" s="5">
        <v>302845.0</v>
      </c>
      <c r="E57" s="325">
        <v>76.07259482542075</v>
      </c>
      <c r="F57" s="5">
        <v>175.2405058693391</v>
      </c>
      <c r="G57" s="5">
        <v>1.0</v>
      </c>
      <c r="H57" s="326">
        <v>13331.0</v>
      </c>
      <c r="I57" s="5" t="s">
        <v>751</v>
      </c>
      <c r="J57" s="320" t="s">
        <v>722</v>
      </c>
      <c r="K57" s="5">
        <v>3980.333333333333</v>
      </c>
      <c r="L57" s="320">
        <v>2932.8199999999997</v>
      </c>
      <c r="W57" s="320"/>
    </row>
    <row r="58">
      <c r="A58" s="5"/>
      <c r="B58" s="324">
        <v>44531.0</v>
      </c>
      <c r="C58" s="5">
        <v>2176.0</v>
      </c>
      <c r="D58" s="5">
        <v>194375.5</v>
      </c>
      <c r="E58" s="325">
        <v>89.32697610294117</v>
      </c>
      <c r="F58" s="5">
        <v>-94.09811421706954</v>
      </c>
      <c r="G58" s="5">
        <v>1.0</v>
      </c>
      <c r="H58" s="326">
        <v>-8405.5</v>
      </c>
      <c r="I58" s="5" t="s">
        <v>751</v>
      </c>
      <c r="J58" s="320" t="s">
        <v>722</v>
      </c>
      <c r="K58" s="5">
        <v>2176.0</v>
      </c>
      <c r="L58" s="320">
        <v>-1849.21</v>
      </c>
      <c r="W58" s="320"/>
    </row>
    <row r="59">
      <c r="A59" s="5"/>
      <c r="B59" s="324">
        <v>44562.0</v>
      </c>
      <c r="C59" s="5">
        <v>1163.0</v>
      </c>
      <c r="D59" s="5">
        <v>115506.75</v>
      </c>
      <c r="E59" s="325">
        <v>99.31792777300086</v>
      </c>
      <c r="F59" s="5">
        <v>-14.649923056444752</v>
      </c>
      <c r="G59" s="5">
        <v>1.0</v>
      </c>
      <c r="H59" s="326">
        <v>-1455.0</v>
      </c>
      <c r="I59" s="5" t="s">
        <v>751</v>
      </c>
      <c r="J59" s="320" t="s">
        <v>722</v>
      </c>
      <c r="K59" s="5">
        <v>1163.0</v>
      </c>
      <c r="L59" s="320">
        <v>-320.1</v>
      </c>
      <c r="W59" s="320"/>
    </row>
    <row r="60">
      <c r="A60" s="5"/>
      <c r="B60" s="324">
        <v>44593.0</v>
      </c>
      <c r="C60" s="5">
        <v>2740.0</v>
      </c>
      <c r="D60" s="5">
        <v>270405.0</v>
      </c>
      <c r="E60" s="325">
        <v>98.68795620437956</v>
      </c>
      <c r="F60" s="5">
        <v>165.72437639836542</v>
      </c>
      <c r="G60" s="5">
        <v>1.0</v>
      </c>
      <c r="H60" s="326">
        <v>16355.0</v>
      </c>
      <c r="I60" s="5" t="s">
        <v>751</v>
      </c>
      <c r="J60" s="320" t="s">
        <v>722</v>
      </c>
      <c r="K60" s="5">
        <v>2740.0</v>
      </c>
      <c r="L60" s="320">
        <v>3598.1</v>
      </c>
      <c r="W60" s="320"/>
    </row>
    <row r="61">
      <c r="A61" s="5"/>
      <c r="B61" s="324">
        <v>44621.0</v>
      </c>
      <c r="C61" s="5">
        <v>3.0</v>
      </c>
      <c r="D61" s="5">
        <v>225.0</v>
      </c>
      <c r="E61" s="325">
        <v>75.0</v>
      </c>
      <c r="F61" s="5">
        <v>1.6666666666666667</v>
      </c>
      <c r="G61" s="5">
        <v>1.0</v>
      </c>
      <c r="H61" s="326">
        <v>125.0</v>
      </c>
      <c r="I61" s="5" t="s">
        <v>751</v>
      </c>
      <c r="J61" s="320" t="s">
        <v>722</v>
      </c>
      <c r="K61" s="5">
        <v>3.0</v>
      </c>
      <c r="L61" s="320">
        <v>27.5</v>
      </c>
      <c r="W61" s="320"/>
    </row>
    <row r="62">
      <c r="A62" s="5"/>
      <c r="B62" s="324">
        <v>44682.0</v>
      </c>
      <c r="C62" s="5">
        <v>2106.0</v>
      </c>
      <c r="D62" s="5">
        <v>201000.0</v>
      </c>
      <c r="E62" s="325">
        <v>95.44159544159544</v>
      </c>
      <c r="F62" s="5">
        <v>9.75465671641791</v>
      </c>
      <c r="G62" s="5">
        <v>1.0</v>
      </c>
      <c r="H62" s="326">
        <v>931.0</v>
      </c>
      <c r="I62" s="5" t="s">
        <v>751</v>
      </c>
      <c r="J62" s="320" t="s">
        <v>722</v>
      </c>
      <c r="K62" s="5">
        <v>2106.0</v>
      </c>
      <c r="L62" s="320">
        <v>204.82</v>
      </c>
      <c r="W62" s="320"/>
    </row>
    <row r="63">
      <c r="A63" s="5"/>
      <c r="B63" s="324">
        <v>44713.0</v>
      </c>
      <c r="C63" s="5">
        <v>2052.0</v>
      </c>
      <c r="D63" s="5">
        <v>192600.0</v>
      </c>
      <c r="E63" s="325">
        <v>93.85964912280701</v>
      </c>
      <c r="F63" s="5">
        <v>2.663551401869159</v>
      </c>
      <c r="G63" s="5">
        <v>1.0</v>
      </c>
      <c r="H63" s="326">
        <v>250.0</v>
      </c>
      <c r="I63" s="5" t="s">
        <v>751</v>
      </c>
      <c r="J63" s="320" t="s">
        <v>722</v>
      </c>
      <c r="K63" s="5">
        <v>2052.0</v>
      </c>
      <c r="L63" s="320">
        <v>55.0</v>
      </c>
      <c r="W63" s="320"/>
    </row>
    <row r="64">
      <c r="A64" s="5"/>
      <c r="B64" s="324">
        <v>44743.0</v>
      </c>
      <c r="C64" s="5">
        <v>3010.0</v>
      </c>
      <c r="D64" s="5">
        <v>150560.0</v>
      </c>
      <c r="E64" s="325">
        <v>50.01993355481728</v>
      </c>
      <c r="F64" s="5">
        <v>-18.492627523910734</v>
      </c>
      <c r="G64" s="5">
        <v>1.0</v>
      </c>
      <c r="H64" s="326">
        <v>-925.0</v>
      </c>
      <c r="I64" s="5" t="s">
        <v>751</v>
      </c>
      <c r="J64" s="320" t="s">
        <v>722</v>
      </c>
      <c r="K64" s="5">
        <v>3010.0</v>
      </c>
      <c r="L64" s="320">
        <v>-240.49999999999997</v>
      </c>
      <c r="W64" s="320"/>
    </row>
    <row r="65">
      <c r="A65" s="5"/>
      <c r="B65" s="324">
        <v>44774.0</v>
      </c>
      <c r="C65" s="5">
        <v>3212.0</v>
      </c>
      <c r="D65" s="5">
        <v>160230.0</v>
      </c>
      <c r="E65" s="325">
        <v>49.88480697384807</v>
      </c>
      <c r="F65" s="5">
        <v>-25.759345940210945</v>
      </c>
      <c r="G65" s="5">
        <v>1.0</v>
      </c>
      <c r="H65" s="326">
        <v>-1285.0</v>
      </c>
      <c r="I65" s="5" t="s">
        <v>751</v>
      </c>
      <c r="J65" s="320" t="s">
        <v>722</v>
      </c>
      <c r="K65" s="5">
        <v>3210.6666666666665</v>
      </c>
      <c r="L65" s="320">
        <v>-334.09999999999997</v>
      </c>
      <c r="W65" s="320"/>
    </row>
    <row r="66">
      <c r="A66" s="5"/>
      <c r="B66" s="324">
        <v>44805.0</v>
      </c>
      <c r="C66" s="5">
        <v>6167.0</v>
      </c>
      <c r="D66" s="5">
        <v>304200.0</v>
      </c>
      <c r="E66" s="325">
        <v>49.32706340197827</v>
      </c>
      <c r="F66" s="5">
        <v>-129.23939842209072</v>
      </c>
      <c r="G66" s="5">
        <v>1.0</v>
      </c>
      <c r="H66" s="326">
        <v>-6375.0</v>
      </c>
      <c r="I66" s="5" t="s">
        <v>751</v>
      </c>
      <c r="J66" s="320" t="s">
        <v>722</v>
      </c>
      <c r="K66" s="5">
        <v>6167.0</v>
      </c>
      <c r="L66" s="320">
        <v>-1657.5</v>
      </c>
      <c r="W66" s="320"/>
    </row>
    <row r="67">
      <c r="A67" s="5"/>
      <c r="B67" s="324">
        <v>44835.0</v>
      </c>
      <c r="C67" s="5">
        <v>3303.0</v>
      </c>
      <c r="D67" s="5">
        <v>161425.0</v>
      </c>
      <c r="E67" s="325">
        <v>48.87223735997578</v>
      </c>
      <c r="F67" s="5">
        <v>-77.221756233545</v>
      </c>
      <c r="G67" s="5">
        <v>1.0</v>
      </c>
      <c r="H67" s="326">
        <v>-3774.0</v>
      </c>
      <c r="I67" s="5" t="s">
        <v>751</v>
      </c>
      <c r="J67" s="320" t="s">
        <v>722</v>
      </c>
      <c r="K67" s="5">
        <v>3302.3333333333335</v>
      </c>
      <c r="L67" s="320">
        <v>-981.24</v>
      </c>
      <c r="W67" s="320"/>
    </row>
    <row r="68">
      <c r="A68" s="5"/>
      <c r="B68" s="324">
        <v>44866.0</v>
      </c>
      <c r="C68" s="5">
        <v>3007.0</v>
      </c>
      <c r="D68" s="5">
        <v>148775.0</v>
      </c>
      <c r="E68" s="325">
        <v>49.47622214832059</v>
      </c>
      <c r="F68" s="5">
        <v>5.052932280289027</v>
      </c>
      <c r="G68" s="5">
        <v>1.0</v>
      </c>
      <c r="H68" s="326">
        <v>250.0</v>
      </c>
      <c r="I68" s="5" t="s">
        <v>751</v>
      </c>
      <c r="J68" s="320" t="s">
        <v>722</v>
      </c>
      <c r="K68" s="5">
        <v>3007.0</v>
      </c>
      <c r="L68" s="320">
        <v>65.0</v>
      </c>
      <c r="W68" s="320"/>
    </row>
    <row r="69">
      <c r="A69" s="5"/>
      <c r="B69" s="324">
        <v>44896.0</v>
      </c>
      <c r="C69" s="5">
        <v>954.0</v>
      </c>
      <c r="D69" s="5">
        <v>39445.0</v>
      </c>
      <c r="E69" s="325">
        <v>41.34696016771488</v>
      </c>
      <c r="F69" s="5">
        <v>154.59419444796552</v>
      </c>
      <c r="G69" s="5">
        <v>1.0</v>
      </c>
      <c r="H69" s="326">
        <v>6392.0</v>
      </c>
      <c r="I69" s="5" t="s">
        <v>751</v>
      </c>
      <c r="J69" s="320" t="s">
        <v>722</v>
      </c>
      <c r="K69" s="5">
        <v>954.0</v>
      </c>
      <c r="L69" s="320">
        <v>1406.24</v>
      </c>
      <c r="W69" s="320"/>
    </row>
    <row r="70">
      <c r="A70" s="5"/>
      <c r="B70" s="324">
        <v>44927.0</v>
      </c>
      <c r="C70" s="5">
        <v>2227.0</v>
      </c>
      <c r="D70" s="5">
        <v>110960.0</v>
      </c>
      <c r="E70" s="325">
        <v>49.824876515491695</v>
      </c>
      <c r="F70" s="5">
        <v>-57.963013698630135</v>
      </c>
      <c r="G70" s="5">
        <v>1.0</v>
      </c>
      <c r="H70" s="326">
        <v>-2888.0</v>
      </c>
      <c r="I70" s="5" t="s">
        <v>751</v>
      </c>
      <c r="J70" s="320" t="s">
        <v>722</v>
      </c>
      <c r="K70" s="5">
        <v>2227.0</v>
      </c>
      <c r="L70" s="320">
        <v>-750.8800000000001</v>
      </c>
      <c r="W70" s="320"/>
    </row>
    <row r="71">
      <c r="A71" s="5"/>
      <c r="B71" s="324">
        <v>44958.0</v>
      </c>
      <c r="C71" s="5">
        <v>4346.0</v>
      </c>
      <c r="D71" s="5">
        <v>217165.0</v>
      </c>
      <c r="E71" s="325">
        <v>49.968936953520476</v>
      </c>
      <c r="F71" s="5">
        <v>38.72405774411162</v>
      </c>
      <c r="G71" s="5">
        <v>1.0</v>
      </c>
      <c r="H71" s="326">
        <v>1935.0</v>
      </c>
      <c r="I71" s="5" t="s">
        <v>751</v>
      </c>
      <c r="J71" s="320" t="s">
        <v>722</v>
      </c>
      <c r="K71" s="5">
        <v>4345.333333333333</v>
      </c>
      <c r="L71" s="320">
        <v>503.1</v>
      </c>
      <c r="W71" s="320"/>
    </row>
    <row r="72">
      <c r="A72" s="5"/>
      <c r="B72" s="324">
        <v>44986.0</v>
      </c>
      <c r="C72" s="5">
        <v>1243.0</v>
      </c>
      <c r="D72" s="5">
        <v>35350.0</v>
      </c>
      <c r="E72" s="325">
        <v>28.439259855189057</v>
      </c>
      <c r="F72" s="5">
        <v>193.35946251768036</v>
      </c>
      <c r="G72" s="5">
        <v>1.0</v>
      </c>
      <c r="H72" s="326">
        <v>5499.0</v>
      </c>
      <c r="I72" s="5" t="s">
        <v>751</v>
      </c>
      <c r="J72" s="320" t="s">
        <v>722</v>
      </c>
      <c r="K72" s="5">
        <v>908.0</v>
      </c>
      <c r="L72" s="320">
        <v>1651.404</v>
      </c>
      <c r="W72" s="320"/>
    </row>
    <row r="73">
      <c r="A73" s="5" t="s">
        <v>1085</v>
      </c>
      <c r="B73" s="322"/>
      <c r="C73" s="5">
        <v>41690.0</v>
      </c>
      <c r="D73" s="5">
        <v>2605067.25</v>
      </c>
      <c r="E73" s="325">
        <v>62.4866214919645</v>
      </c>
      <c r="F73" s="5">
        <v>319.4363773142517</v>
      </c>
      <c r="G73" s="5">
        <v>16.0</v>
      </c>
      <c r="H73" s="326">
        <v>19960.5</v>
      </c>
      <c r="I73" s="5" t="s">
        <v>751</v>
      </c>
      <c r="J73" s="320" t="s">
        <v>722</v>
      </c>
      <c r="K73" s="5">
        <v>41351.666666666664</v>
      </c>
      <c r="L73" s="320">
        <v>4310.454</v>
      </c>
      <c r="W73" s="320"/>
    </row>
    <row r="74">
      <c r="A74" s="5" t="s">
        <v>177</v>
      </c>
      <c r="B74" s="324">
        <v>44682.0</v>
      </c>
      <c r="C74" s="320">
        <v>1774.0</v>
      </c>
      <c r="D74" s="5">
        <v>291700.0</v>
      </c>
      <c r="E74" s="325">
        <v>164.43066516347238</v>
      </c>
      <c r="F74" s="5">
        <v>64.28849502913953</v>
      </c>
      <c r="G74" s="5">
        <v>1.0</v>
      </c>
      <c r="H74" s="326">
        <v>10571.0</v>
      </c>
      <c r="I74" s="5" t="s">
        <v>178</v>
      </c>
      <c r="J74" s="320" t="s">
        <v>179</v>
      </c>
      <c r="K74" s="5">
        <v>883.3333333333333</v>
      </c>
      <c r="L74" s="320">
        <v>2642.75</v>
      </c>
      <c r="W74" s="320"/>
    </row>
    <row r="75">
      <c r="A75" s="5"/>
      <c r="B75" s="324">
        <v>44713.0</v>
      </c>
      <c r="C75" s="320">
        <v>0.0</v>
      </c>
      <c r="D75" s="5">
        <v>0.0</v>
      </c>
      <c r="E75" s="325" t="e">
        <v>#DIV/0!</v>
      </c>
      <c r="F75" s="5" t="e">
        <v>#DIV/0!</v>
      </c>
      <c r="G75" s="5">
        <v>1.0</v>
      </c>
      <c r="H75" s="326">
        <v>0.0</v>
      </c>
      <c r="I75" s="5" t="s">
        <v>178</v>
      </c>
      <c r="J75" s="320" t="s">
        <v>179</v>
      </c>
      <c r="K75" s="320">
        <v>0.0</v>
      </c>
      <c r="L75" s="320">
        <v>0.0</v>
      </c>
      <c r="W75" s="320"/>
    </row>
    <row r="76">
      <c r="A76" s="5"/>
      <c r="B76" s="324">
        <v>44743.0</v>
      </c>
      <c r="C76" s="320">
        <v>6123.0</v>
      </c>
      <c r="D76" s="5">
        <v>878550.0</v>
      </c>
      <c r="E76" s="325">
        <v>143.48358647721705</v>
      </c>
      <c r="F76" s="5">
        <v>105.70547037732628</v>
      </c>
      <c r="G76" s="5">
        <v>1.0</v>
      </c>
      <c r="H76" s="326">
        <v>15167.0</v>
      </c>
      <c r="I76" s="5" t="s">
        <v>178</v>
      </c>
      <c r="J76" s="320" t="s">
        <v>179</v>
      </c>
      <c r="K76" s="5">
        <v>2745.666666666667</v>
      </c>
      <c r="L76" s="320">
        <v>3791.75</v>
      </c>
      <c r="W76" s="320"/>
    </row>
    <row r="77">
      <c r="A77" s="5"/>
      <c r="B77" s="324">
        <v>44774.0</v>
      </c>
      <c r="C77" s="320">
        <v>4756.0</v>
      </c>
      <c r="D77" s="5">
        <v>879400.0</v>
      </c>
      <c r="E77" s="325">
        <v>184.90328006728342</v>
      </c>
      <c r="F77" s="5">
        <v>117.9048851489652</v>
      </c>
      <c r="G77" s="5">
        <v>1.0</v>
      </c>
      <c r="H77" s="326">
        <v>21801.0</v>
      </c>
      <c r="I77" s="5" t="s">
        <v>178</v>
      </c>
      <c r="J77" s="320" t="s">
        <v>179</v>
      </c>
      <c r="K77" s="5">
        <v>2566.666666666667</v>
      </c>
      <c r="L77" s="320">
        <v>5450.25</v>
      </c>
      <c r="W77" s="320"/>
    </row>
    <row r="78">
      <c r="A78" s="5"/>
      <c r="B78" s="324">
        <v>44805.0</v>
      </c>
      <c r="C78" s="5">
        <v>6248.0</v>
      </c>
      <c r="D78" s="5">
        <v>879750.0</v>
      </c>
      <c r="E78" s="325">
        <v>140.8050576184379</v>
      </c>
      <c r="F78" s="5">
        <v>159.04258255186133</v>
      </c>
      <c r="G78" s="5">
        <v>1.0</v>
      </c>
      <c r="H78" s="326">
        <v>22394.0</v>
      </c>
      <c r="I78" s="5" t="s">
        <v>178</v>
      </c>
      <c r="J78" s="320" t="s">
        <v>179</v>
      </c>
      <c r="K78" s="5">
        <v>2905.3333333333335</v>
      </c>
      <c r="L78" s="320">
        <v>5598.5</v>
      </c>
      <c r="W78" s="320"/>
    </row>
    <row r="79">
      <c r="A79" s="5"/>
      <c r="B79" s="324">
        <v>44835.0</v>
      </c>
      <c r="C79" s="5">
        <v>5417.0</v>
      </c>
      <c r="D79" s="5">
        <v>879350.0</v>
      </c>
      <c r="E79" s="325">
        <v>162.33154882776444</v>
      </c>
      <c r="F79" s="5">
        <v>68.65578552339797</v>
      </c>
      <c r="G79" s="5">
        <v>1.0</v>
      </c>
      <c r="H79" s="326">
        <v>11145.0</v>
      </c>
      <c r="I79" s="5" t="s">
        <v>178</v>
      </c>
      <c r="J79" s="320" t="s">
        <v>179</v>
      </c>
      <c r="K79" s="5">
        <v>2495.666666666667</v>
      </c>
      <c r="L79" s="320">
        <v>2786.25</v>
      </c>
      <c r="W79" s="320"/>
    </row>
    <row r="80">
      <c r="A80" s="5"/>
      <c r="B80" s="324">
        <v>44866.0</v>
      </c>
      <c r="C80" s="320">
        <v>4396.0</v>
      </c>
      <c r="D80" s="5">
        <v>879000.0</v>
      </c>
      <c r="E80" s="325">
        <v>199.9545040946315</v>
      </c>
      <c r="F80" s="5">
        <v>-3.895886234357224</v>
      </c>
      <c r="G80" s="5">
        <v>1.0</v>
      </c>
      <c r="H80" s="326">
        <v>-779.0</v>
      </c>
      <c r="I80" s="5" t="s">
        <v>178</v>
      </c>
      <c r="J80" s="320" t="s">
        <v>179</v>
      </c>
      <c r="K80" s="5">
        <v>2027.9999999999998</v>
      </c>
      <c r="L80" s="320">
        <v>-741.25</v>
      </c>
      <c r="W80" s="320"/>
    </row>
    <row r="81">
      <c r="A81" s="5"/>
      <c r="B81" s="324">
        <v>44896.0</v>
      </c>
      <c r="C81" s="5">
        <v>5067.0</v>
      </c>
      <c r="D81" s="5">
        <v>1022500.0</v>
      </c>
      <c r="E81" s="325">
        <v>201.79593447799488</v>
      </c>
      <c r="F81" s="5">
        <v>-103.88712762836185</v>
      </c>
      <c r="G81" s="5">
        <v>1.0</v>
      </c>
      <c r="H81" s="326">
        <v>-20964.0</v>
      </c>
      <c r="I81" s="5" t="s">
        <v>178</v>
      </c>
      <c r="J81" s="320" t="s">
        <v>179</v>
      </c>
      <c r="K81" s="5">
        <v>2421.6666666666665</v>
      </c>
      <c r="L81" s="320">
        <v>-5241.0</v>
      </c>
      <c r="W81" s="320"/>
    </row>
    <row r="82">
      <c r="A82" s="5"/>
      <c r="B82" s="324">
        <v>44927.0</v>
      </c>
      <c r="C82" s="5">
        <v>11504.0</v>
      </c>
      <c r="D82" s="5">
        <v>1697550.0</v>
      </c>
      <c r="E82" s="325">
        <v>147.5617176634214</v>
      </c>
      <c r="F82" s="5">
        <v>377.15066537068134</v>
      </c>
      <c r="G82" s="5">
        <v>1.0</v>
      </c>
      <c r="H82" s="326">
        <v>55653.0</v>
      </c>
      <c r="I82" s="5" t="s">
        <v>178</v>
      </c>
      <c r="J82" s="320" t="s">
        <v>179</v>
      </c>
      <c r="K82" s="5">
        <v>5091.333333333333</v>
      </c>
      <c r="L82" s="320">
        <v>13913.25</v>
      </c>
      <c r="W82" s="320"/>
    </row>
    <row r="83">
      <c r="A83" s="5"/>
      <c r="B83" s="324">
        <v>44958.0</v>
      </c>
      <c r="C83" s="5">
        <v>12262.0</v>
      </c>
      <c r="D83" s="5">
        <v>1302550.0</v>
      </c>
      <c r="E83" s="325">
        <v>106.22655358016637</v>
      </c>
      <c r="F83" s="5">
        <v>154.73532225250472</v>
      </c>
      <c r="G83" s="5">
        <v>1.0</v>
      </c>
      <c r="H83" s="326">
        <v>16437.0</v>
      </c>
      <c r="I83" s="5" t="s">
        <v>178</v>
      </c>
      <c r="J83" s="320" t="s">
        <v>179</v>
      </c>
      <c r="K83" s="5">
        <v>4490.666666666666</v>
      </c>
      <c r="L83" s="320">
        <v>4109.25</v>
      </c>
      <c r="W83" s="320"/>
    </row>
    <row r="84">
      <c r="A84" s="5" t="s">
        <v>1116</v>
      </c>
      <c r="B84" s="322"/>
      <c r="C84" s="320">
        <v>57547.0</v>
      </c>
      <c r="D84" s="5">
        <v>8710350.0</v>
      </c>
      <c r="E84" s="325">
        <v>151.3606269657845</v>
      </c>
      <c r="F84" s="5">
        <v>868.2905365456038</v>
      </c>
      <c r="G84" s="5">
        <v>10.0</v>
      </c>
      <c r="H84" s="326">
        <v>131425.0</v>
      </c>
      <c r="I84" s="5" t="s">
        <v>178</v>
      </c>
      <c r="J84" s="320" t="s">
        <v>179</v>
      </c>
      <c r="K84" s="5">
        <v>25628.333333333336</v>
      </c>
      <c r="L84" s="320">
        <v>32309.75</v>
      </c>
      <c r="W84" s="320"/>
    </row>
    <row r="85">
      <c r="A85" s="5" t="s">
        <v>183</v>
      </c>
      <c r="B85" s="324">
        <v>44652.0</v>
      </c>
      <c r="C85" s="5">
        <v>2906.0</v>
      </c>
      <c r="D85" s="5">
        <v>29060.0</v>
      </c>
      <c r="E85" s="325">
        <v>10.0</v>
      </c>
      <c r="F85" s="5">
        <v>159.8</v>
      </c>
      <c r="G85" s="5">
        <v>1.0</v>
      </c>
      <c r="H85" s="326">
        <v>1598.0</v>
      </c>
      <c r="I85" s="5" t="s">
        <v>720</v>
      </c>
      <c r="J85" s="320" t="s">
        <v>722</v>
      </c>
      <c r="K85" s="5">
        <v>2906.0</v>
      </c>
      <c r="L85" s="320">
        <v>272.0</v>
      </c>
      <c r="W85" s="320"/>
    </row>
    <row r="86">
      <c r="A86" s="5"/>
      <c r="B86" s="324">
        <v>44682.0</v>
      </c>
      <c r="C86" s="5">
        <v>4151.0</v>
      </c>
      <c r="D86" s="5">
        <v>40905.0</v>
      </c>
      <c r="E86" s="325">
        <v>9.854251987472898</v>
      </c>
      <c r="F86" s="5">
        <v>31.357022368903557</v>
      </c>
      <c r="G86" s="5">
        <v>1.0</v>
      </c>
      <c r="H86" s="326">
        <v>309.0</v>
      </c>
      <c r="I86" s="5" t="s">
        <v>720</v>
      </c>
      <c r="J86" s="320" t="s">
        <v>722</v>
      </c>
      <c r="K86" s="5">
        <v>2266.3333333333335</v>
      </c>
      <c r="L86" s="320">
        <v>94.0</v>
      </c>
      <c r="W86" s="320"/>
    </row>
    <row r="87">
      <c r="A87" s="5"/>
      <c r="B87" s="324">
        <v>44713.0</v>
      </c>
      <c r="C87" s="5">
        <v>2164.0</v>
      </c>
      <c r="D87" s="5">
        <v>20070.0</v>
      </c>
      <c r="E87" s="325">
        <v>9.27449168207024</v>
      </c>
      <c r="F87" s="5">
        <v>167.12506228201298</v>
      </c>
      <c r="G87" s="5">
        <v>1.0</v>
      </c>
      <c r="H87" s="326">
        <v>1550.0</v>
      </c>
      <c r="I87" s="5" t="s">
        <v>720</v>
      </c>
      <c r="J87" s="320" t="s">
        <v>722</v>
      </c>
      <c r="K87" s="5">
        <v>2164.0</v>
      </c>
      <c r="L87" s="320">
        <v>267.0</v>
      </c>
      <c r="W87" s="320"/>
    </row>
    <row r="88">
      <c r="A88" s="5"/>
      <c r="B88" s="324">
        <v>44743.0</v>
      </c>
      <c r="C88" s="5">
        <v>1661.0</v>
      </c>
      <c r="D88" s="5">
        <v>14620.0</v>
      </c>
      <c r="E88" s="325">
        <v>8.80192655027092</v>
      </c>
      <c r="F88" s="5">
        <v>90.32113543091656</v>
      </c>
      <c r="G88" s="5">
        <v>1.0</v>
      </c>
      <c r="H88" s="326">
        <v>795.0</v>
      </c>
      <c r="I88" s="5" t="s">
        <v>720</v>
      </c>
      <c r="J88" s="320" t="s">
        <v>722</v>
      </c>
      <c r="K88" s="5">
        <v>1661.0</v>
      </c>
      <c r="L88" s="320">
        <v>135.0</v>
      </c>
      <c r="W88" s="320"/>
    </row>
    <row r="89">
      <c r="A89" s="5"/>
      <c r="B89" s="324">
        <v>44774.0</v>
      </c>
      <c r="C89" s="5">
        <v>2047.0</v>
      </c>
      <c r="D89" s="5">
        <v>19555.0</v>
      </c>
      <c r="E89" s="325">
        <v>9.553004396678066</v>
      </c>
      <c r="F89" s="5">
        <v>126.03364868320122</v>
      </c>
      <c r="G89" s="5">
        <v>1.0</v>
      </c>
      <c r="H89" s="326">
        <v>1204.0</v>
      </c>
      <c r="I89" s="5" t="s">
        <v>720</v>
      </c>
      <c r="J89" s="320" t="s">
        <v>722</v>
      </c>
      <c r="K89" s="5">
        <v>2047.0</v>
      </c>
      <c r="L89" s="320">
        <v>205.0</v>
      </c>
      <c r="W89" s="320"/>
    </row>
    <row r="90">
      <c r="A90" s="5"/>
      <c r="B90" s="324">
        <v>44805.0</v>
      </c>
      <c r="C90" s="5">
        <v>4074.0</v>
      </c>
      <c r="D90" s="5">
        <v>43525.0</v>
      </c>
      <c r="E90" s="325">
        <v>10.683603338242513</v>
      </c>
      <c r="F90" s="5">
        <v>91.8229523262493</v>
      </c>
      <c r="G90" s="5">
        <v>1.0</v>
      </c>
      <c r="H90" s="326">
        <v>981.0</v>
      </c>
      <c r="I90" s="5" t="s">
        <v>720</v>
      </c>
      <c r="J90" s="320" t="s">
        <v>722</v>
      </c>
      <c r="K90" s="5">
        <v>4074.0</v>
      </c>
      <c r="L90" s="320">
        <v>233.0</v>
      </c>
      <c r="W90" s="320"/>
    </row>
    <row r="91">
      <c r="A91" s="5"/>
      <c r="B91" s="324">
        <v>44835.0</v>
      </c>
      <c r="C91" s="5">
        <v>5157.0</v>
      </c>
      <c r="D91" s="5">
        <v>51570.0</v>
      </c>
      <c r="E91" s="325">
        <v>10.0</v>
      </c>
      <c r="F91" s="5">
        <v>134.0</v>
      </c>
      <c r="G91" s="5">
        <v>1.0</v>
      </c>
      <c r="H91" s="326">
        <v>1340.0</v>
      </c>
      <c r="I91" s="5" t="s">
        <v>720</v>
      </c>
      <c r="J91" s="320" t="s">
        <v>722</v>
      </c>
      <c r="K91" s="5">
        <v>5157.0</v>
      </c>
      <c r="L91" s="320">
        <v>227.0</v>
      </c>
      <c r="W91" s="320"/>
    </row>
    <row r="92">
      <c r="A92" s="5"/>
      <c r="B92" s="324">
        <v>44866.0</v>
      </c>
      <c r="C92" s="5">
        <v>2261.0</v>
      </c>
      <c r="D92" s="5">
        <v>66810.0</v>
      </c>
      <c r="E92" s="325">
        <v>29.548872180451127</v>
      </c>
      <c r="F92" s="5">
        <v>36.82035623409669</v>
      </c>
      <c r="G92" s="5">
        <v>1.0</v>
      </c>
      <c r="H92" s="326">
        <v>1088.0</v>
      </c>
      <c r="I92" s="5" t="s">
        <v>720</v>
      </c>
      <c r="J92" s="320" t="s">
        <v>722</v>
      </c>
      <c r="K92" s="5">
        <v>2261.0</v>
      </c>
      <c r="L92" s="320">
        <v>250.0</v>
      </c>
      <c r="W92" s="320"/>
    </row>
    <row r="93">
      <c r="A93" s="5"/>
      <c r="B93" s="324">
        <v>44896.0</v>
      </c>
      <c r="C93" s="5">
        <v>2289.0</v>
      </c>
      <c r="D93" s="5">
        <v>50065.0</v>
      </c>
      <c r="E93" s="325">
        <v>21.87199650502403</v>
      </c>
      <c r="F93" s="5">
        <v>-37.85662638569859</v>
      </c>
      <c r="G93" s="5">
        <v>1.0</v>
      </c>
      <c r="H93" s="326">
        <v>-828.0</v>
      </c>
      <c r="I93" s="5" t="s">
        <v>720</v>
      </c>
      <c r="J93" s="320" t="s">
        <v>722</v>
      </c>
      <c r="K93" s="5">
        <v>2289.0</v>
      </c>
      <c r="L93" s="320">
        <v>-190.0</v>
      </c>
      <c r="W93" s="320"/>
    </row>
    <row r="94">
      <c r="A94" s="5"/>
      <c r="B94" s="324">
        <v>44927.0</v>
      </c>
      <c r="C94" s="5">
        <v>2684.0</v>
      </c>
      <c r="D94" s="5">
        <v>67326.0</v>
      </c>
      <c r="E94" s="325">
        <v>25.084202682563337</v>
      </c>
      <c r="F94" s="5">
        <v>73.59213379675015</v>
      </c>
      <c r="G94" s="5">
        <v>1.0</v>
      </c>
      <c r="H94" s="326">
        <v>1846.0</v>
      </c>
      <c r="I94" s="5" t="s">
        <v>720</v>
      </c>
      <c r="J94" s="320" t="s">
        <v>722</v>
      </c>
      <c r="K94" s="5">
        <v>2684.0</v>
      </c>
      <c r="L94" s="320">
        <v>425.0</v>
      </c>
      <c r="W94" s="320"/>
    </row>
    <row r="95">
      <c r="A95" s="5"/>
      <c r="B95" s="324">
        <v>44958.0</v>
      </c>
      <c r="C95" s="5">
        <v>2853.0</v>
      </c>
      <c r="D95" s="5">
        <v>61065.0</v>
      </c>
      <c r="E95" s="325">
        <v>21.40378548895899</v>
      </c>
      <c r="F95" s="5">
        <v>84.75136330140015</v>
      </c>
      <c r="G95" s="5">
        <v>1.0</v>
      </c>
      <c r="H95" s="326">
        <v>1814.0</v>
      </c>
      <c r="I95" s="5" t="s">
        <v>720</v>
      </c>
      <c r="J95" s="320" t="s">
        <v>722</v>
      </c>
      <c r="K95" s="5">
        <v>2853.0</v>
      </c>
      <c r="L95" s="320">
        <v>308.38</v>
      </c>
      <c r="W95" s="320"/>
    </row>
    <row r="96">
      <c r="A96" s="5" t="s">
        <v>1117</v>
      </c>
      <c r="B96" s="322"/>
      <c r="C96" s="5">
        <v>32247.0</v>
      </c>
      <c r="D96" s="5">
        <v>464571.0</v>
      </c>
      <c r="E96" s="325">
        <v>14.406642478370081</v>
      </c>
      <c r="F96" s="5">
        <v>811.9171429124934</v>
      </c>
      <c r="G96" s="5">
        <v>11.0</v>
      </c>
      <c r="H96" s="326">
        <v>11697.0</v>
      </c>
      <c r="I96" s="5" t="s">
        <v>720</v>
      </c>
      <c r="J96" s="320" t="s">
        <v>722</v>
      </c>
      <c r="K96" s="5">
        <v>30362.333333333336</v>
      </c>
      <c r="L96" s="320">
        <v>2226.3799999999997</v>
      </c>
      <c r="W96" s="320"/>
    </row>
    <row r="97">
      <c r="A97" s="5" t="s">
        <v>184</v>
      </c>
      <c r="B97" s="324">
        <v>44896.0</v>
      </c>
      <c r="C97" s="5">
        <v>1272.0</v>
      </c>
      <c r="D97" s="5">
        <v>8357.0</v>
      </c>
      <c r="E97" s="325">
        <v>6.56996855345912</v>
      </c>
      <c r="F97" s="5">
        <v>121.46176857724063</v>
      </c>
      <c r="G97" s="5">
        <v>1.0</v>
      </c>
      <c r="H97" s="326">
        <v>798.0</v>
      </c>
      <c r="I97" s="5" t="s">
        <v>720</v>
      </c>
      <c r="J97" s="320" t="s">
        <v>722</v>
      </c>
      <c r="K97" s="5">
        <v>1272.0</v>
      </c>
      <c r="L97" s="320">
        <v>135.66000000000003</v>
      </c>
      <c r="W97" s="320"/>
    </row>
    <row r="98">
      <c r="A98" s="5"/>
      <c r="B98" s="324">
        <v>44927.0</v>
      </c>
      <c r="C98" s="5">
        <v>3393.0</v>
      </c>
      <c r="D98" s="5">
        <v>25128.0</v>
      </c>
      <c r="E98" s="325">
        <v>7.405835543766578</v>
      </c>
      <c r="F98" s="5">
        <v>96.41045845272207</v>
      </c>
      <c r="G98" s="5">
        <v>1.0</v>
      </c>
      <c r="H98" s="326">
        <v>714.0</v>
      </c>
      <c r="I98" s="5" t="s">
        <v>720</v>
      </c>
      <c r="J98" s="320" t="s">
        <v>722</v>
      </c>
      <c r="K98" s="5">
        <v>3393.0</v>
      </c>
      <c r="L98" s="320">
        <v>164.22000000000003</v>
      </c>
      <c r="W98" s="320"/>
    </row>
    <row r="99">
      <c r="A99" s="5"/>
      <c r="B99" s="324">
        <v>44958.0</v>
      </c>
      <c r="C99" s="5">
        <v>2612.0</v>
      </c>
      <c r="D99" s="5">
        <v>20224.0</v>
      </c>
      <c r="E99" s="325">
        <v>7.742725880551301</v>
      </c>
      <c r="F99" s="5">
        <v>230.15150316455697</v>
      </c>
      <c r="G99" s="5">
        <v>1.0</v>
      </c>
      <c r="H99" s="326">
        <v>1782.0</v>
      </c>
      <c r="I99" s="5" t="s">
        <v>720</v>
      </c>
      <c r="J99" s="320" t="s">
        <v>722</v>
      </c>
      <c r="K99" s="5">
        <v>2612.0</v>
      </c>
      <c r="L99" s="320">
        <v>302.94</v>
      </c>
      <c r="W99" s="320"/>
    </row>
    <row r="100">
      <c r="A100" s="5"/>
      <c r="B100" s="324">
        <v>44986.0</v>
      </c>
      <c r="C100" s="5">
        <v>3051.0</v>
      </c>
      <c r="D100" s="5">
        <v>24251.0</v>
      </c>
      <c r="E100" s="325">
        <v>7.948541461815798</v>
      </c>
      <c r="F100" s="5">
        <v>140.78054513215952</v>
      </c>
      <c r="G100" s="5">
        <v>1.0</v>
      </c>
      <c r="H100" s="326">
        <v>1119.0</v>
      </c>
      <c r="I100" s="5" t="s">
        <v>720</v>
      </c>
      <c r="J100" s="320" t="s">
        <v>722</v>
      </c>
      <c r="K100" s="5">
        <v>3051.0</v>
      </c>
      <c r="L100" s="320">
        <v>190.23000000000002</v>
      </c>
      <c r="W100" s="320"/>
    </row>
    <row r="101">
      <c r="A101" s="5" t="s">
        <v>1118</v>
      </c>
      <c r="B101" s="322"/>
      <c r="C101" s="5">
        <v>10328.0</v>
      </c>
      <c r="D101" s="5">
        <v>77960.0</v>
      </c>
      <c r="E101" s="325">
        <v>7.54841208365608</v>
      </c>
      <c r="F101" s="5">
        <v>584.6262698819908</v>
      </c>
      <c r="G101" s="5">
        <v>4.0</v>
      </c>
      <c r="H101" s="326">
        <v>4413.0</v>
      </c>
      <c r="I101" s="5" t="s">
        <v>720</v>
      </c>
      <c r="J101" s="320" t="s">
        <v>722</v>
      </c>
      <c r="K101" s="5">
        <v>10328.0</v>
      </c>
      <c r="L101" s="320">
        <v>793.0500000000001</v>
      </c>
      <c r="W101" s="320"/>
    </row>
    <row r="102">
      <c r="A102" s="5" t="s">
        <v>170</v>
      </c>
      <c r="B102" s="324">
        <v>44621.0</v>
      </c>
      <c r="C102" s="5">
        <v>739.0</v>
      </c>
      <c r="D102" s="5">
        <v>6940.0</v>
      </c>
      <c r="E102" s="325">
        <v>9.391069012178619</v>
      </c>
      <c r="F102" s="5">
        <v>42.3806916426513</v>
      </c>
      <c r="G102" s="5">
        <v>1.0</v>
      </c>
      <c r="H102" s="326">
        <v>398.0</v>
      </c>
      <c r="I102" s="5" t="s">
        <v>720</v>
      </c>
      <c r="J102" s="320" t="s">
        <v>722</v>
      </c>
      <c r="K102" s="5">
        <v>739.0</v>
      </c>
      <c r="L102" s="320">
        <v>67.66000000000001</v>
      </c>
      <c r="W102" s="320"/>
    </row>
    <row r="103">
      <c r="A103" s="5"/>
      <c r="B103" s="324">
        <v>44652.0</v>
      </c>
      <c r="C103" s="320">
        <v>1443.0</v>
      </c>
      <c r="D103" s="5">
        <v>13710.0</v>
      </c>
      <c r="E103" s="325">
        <v>9.501039501039502</v>
      </c>
      <c r="F103" s="5">
        <v>94.83172866520786</v>
      </c>
      <c r="G103" s="5">
        <v>1.0</v>
      </c>
      <c r="H103" s="326">
        <v>901.0</v>
      </c>
      <c r="I103" s="5" t="s">
        <v>720</v>
      </c>
      <c r="J103" s="320" t="s">
        <v>722</v>
      </c>
      <c r="K103" s="5">
        <v>1443.0</v>
      </c>
      <c r="L103" s="320">
        <v>207.23000000000002</v>
      </c>
      <c r="W103" s="320"/>
    </row>
    <row r="104">
      <c r="A104" s="5"/>
      <c r="B104" s="324">
        <v>44682.0</v>
      </c>
      <c r="C104" s="320">
        <v>1503.0</v>
      </c>
      <c r="D104" s="5">
        <v>17955.0</v>
      </c>
      <c r="E104" s="325">
        <v>11.946107784431138</v>
      </c>
      <c r="F104" s="5">
        <v>98.94436090225564</v>
      </c>
      <c r="G104" s="5">
        <v>1.0</v>
      </c>
      <c r="H104" s="326">
        <v>1182.0</v>
      </c>
      <c r="I104" s="5" t="s">
        <v>720</v>
      </c>
      <c r="J104" s="320" t="s">
        <v>722</v>
      </c>
      <c r="K104" s="5">
        <v>1503.0</v>
      </c>
      <c r="L104" s="320">
        <v>271.86</v>
      </c>
      <c r="W104" s="320"/>
    </row>
    <row r="105">
      <c r="A105" s="5"/>
      <c r="B105" s="324">
        <v>44713.0</v>
      </c>
      <c r="C105" s="320">
        <v>895.0</v>
      </c>
      <c r="D105" s="5">
        <v>8890.0</v>
      </c>
      <c r="E105" s="325">
        <v>9.932960893854748</v>
      </c>
      <c r="F105" s="5">
        <v>78.72778402699663</v>
      </c>
      <c r="G105" s="5">
        <v>1.0</v>
      </c>
      <c r="H105" s="326">
        <v>782.0</v>
      </c>
      <c r="I105" s="5" t="s">
        <v>720</v>
      </c>
      <c r="J105" s="320" t="s">
        <v>722</v>
      </c>
      <c r="K105" s="5">
        <v>895.0</v>
      </c>
      <c r="L105" s="320">
        <v>179.86</v>
      </c>
      <c r="W105" s="320"/>
    </row>
    <row r="106">
      <c r="A106" s="5"/>
      <c r="B106" s="324">
        <v>44743.0</v>
      </c>
      <c r="C106" s="5">
        <v>2332.0</v>
      </c>
      <c r="D106" s="5">
        <v>22030.0</v>
      </c>
      <c r="E106" s="325">
        <v>9.446826758147512</v>
      </c>
      <c r="F106" s="5">
        <v>181.11901951883794</v>
      </c>
      <c r="G106" s="5">
        <v>1.0</v>
      </c>
      <c r="H106" s="326">
        <v>1711.0</v>
      </c>
      <c r="I106" s="5" t="s">
        <v>720</v>
      </c>
      <c r="J106" s="320" t="s">
        <v>722</v>
      </c>
      <c r="K106" s="5">
        <v>2332.0</v>
      </c>
      <c r="L106" s="320">
        <v>290.87</v>
      </c>
      <c r="W106" s="320"/>
    </row>
    <row r="107">
      <c r="A107" s="5"/>
      <c r="B107" s="324">
        <v>44774.0</v>
      </c>
      <c r="C107" s="320">
        <v>1282.0</v>
      </c>
      <c r="D107" s="5">
        <v>12590.0</v>
      </c>
      <c r="E107" s="325">
        <v>9.820592823712948</v>
      </c>
      <c r="F107" s="5">
        <v>28.61334392374901</v>
      </c>
      <c r="G107" s="5">
        <v>1.0</v>
      </c>
      <c r="H107" s="326">
        <v>281.0</v>
      </c>
      <c r="I107" s="5" t="s">
        <v>720</v>
      </c>
      <c r="J107" s="320" t="s">
        <v>722</v>
      </c>
      <c r="K107" s="5">
        <v>1282.0</v>
      </c>
      <c r="L107" s="320">
        <v>84.3</v>
      </c>
      <c r="W107" s="320"/>
    </row>
    <row r="108">
      <c r="A108" s="5"/>
      <c r="B108" s="324">
        <v>44805.0</v>
      </c>
      <c r="C108" s="5">
        <v>1546.0</v>
      </c>
      <c r="D108" s="5">
        <v>15275.0</v>
      </c>
      <c r="E108" s="325">
        <v>9.880336351875808</v>
      </c>
      <c r="F108" s="5">
        <v>66.19207855973814</v>
      </c>
      <c r="G108" s="5">
        <v>1.0</v>
      </c>
      <c r="H108" s="326">
        <v>654.0</v>
      </c>
      <c r="I108" s="5" t="s">
        <v>720</v>
      </c>
      <c r="J108" s="320" t="s">
        <v>722</v>
      </c>
      <c r="K108" s="5">
        <v>1546.0</v>
      </c>
      <c r="L108" s="320">
        <v>150.42</v>
      </c>
      <c r="W108" s="320"/>
    </row>
    <row r="109">
      <c r="A109" s="5"/>
      <c r="B109" s="324">
        <v>44835.0</v>
      </c>
      <c r="C109" s="320">
        <v>779.0</v>
      </c>
      <c r="D109" s="5">
        <v>7625.0</v>
      </c>
      <c r="E109" s="325">
        <v>9.78818998716303</v>
      </c>
      <c r="F109" s="5">
        <v>41.06990163934426</v>
      </c>
      <c r="G109" s="5">
        <v>1.0</v>
      </c>
      <c r="H109" s="326">
        <v>402.0</v>
      </c>
      <c r="I109" s="5" t="s">
        <v>720</v>
      </c>
      <c r="J109" s="320" t="s">
        <v>722</v>
      </c>
      <c r="K109" s="5">
        <v>779.0</v>
      </c>
      <c r="L109" s="320">
        <v>120.6</v>
      </c>
      <c r="W109" s="320"/>
    </row>
    <row r="110">
      <c r="A110" s="5"/>
      <c r="B110" s="324">
        <v>44866.0</v>
      </c>
      <c r="C110" s="320">
        <v>253.0</v>
      </c>
      <c r="D110" s="5">
        <v>2165.0</v>
      </c>
      <c r="E110" s="325">
        <v>8.557312252964428</v>
      </c>
      <c r="F110" s="5">
        <v>22.43695150115473</v>
      </c>
      <c r="G110" s="5">
        <v>1.0</v>
      </c>
      <c r="H110" s="326">
        <v>192.0</v>
      </c>
      <c r="I110" s="5" t="s">
        <v>720</v>
      </c>
      <c r="J110" s="320" t="s">
        <v>722</v>
      </c>
      <c r="K110" s="5">
        <v>253.0</v>
      </c>
      <c r="L110" s="320">
        <v>57.6</v>
      </c>
      <c r="W110" s="320"/>
    </row>
    <row r="111">
      <c r="A111" s="5"/>
      <c r="B111" s="324">
        <v>44896.0</v>
      </c>
      <c r="C111" s="5">
        <v>675.0</v>
      </c>
      <c r="D111" s="5">
        <v>5492.0</v>
      </c>
      <c r="E111" s="325">
        <v>8.136296296296296</v>
      </c>
      <c r="F111" s="5">
        <v>12.413510560815732</v>
      </c>
      <c r="G111" s="5">
        <v>1.0</v>
      </c>
      <c r="H111" s="326">
        <v>101.0</v>
      </c>
      <c r="I111" s="5" t="s">
        <v>720</v>
      </c>
      <c r="J111" s="320" t="s">
        <v>722</v>
      </c>
      <c r="K111" s="5">
        <v>675.0</v>
      </c>
      <c r="L111" s="320">
        <v>30.299999999999997</v>
      </c>
      <c r="W111" s="320"/>
    </row>
    <row r="112">
      <c r="A112" s="5"/>
      <c r="B112" s="324">
        <v>44927.0</v>
      </c>
      <c r="C112" s="320">
        <v>326.0</v>
      </c>
      <c r="D112" s="5">
        <v>3260.0</v>
      </c>
      <c r="E112" s="325">
        <v>10.0</v>
      </c>
      <c r="F112" s="5">
        <v>18.6</v>
      </c>
      <c r="G112" s="5">
        <v>1.0</v>
      </c>
      <c r="H112" s="326">
        <v>186.0</v>
      </c>
      <c r="I112" s="5" t="s">
        <v>720</v>
      </c>
      <c r="J112" s="320" t="s">
        <v>722</v>
      </c>
      <c r="K112" s="320">
        <v>326.0</v>
      </c>
      <c r="L112" s="320">
        <v>55.8</v>
      </c>
      <c r="W112" s="320"/>
    </row>
    <row r="113">
      <c r="A113" s="5"/>
      <c r="B113" s="324">
        <v>44958.0</v>
      </c>
      <c r="C113" s="5">
        <v>781.0</v>
      </c>
      <c r="D113" s="5">
        <v>6450.0</v>
      </c>
      <c r="E113" s="325">
        <v>8.25864276568502</v>
      </c>
      <c r="F113" s="5">
        <v>19.37364341085271</v>
      </c>
      <c r="G113" s="5">
        <v>1.0</v>
      </c>
      <c r="H113" s="326">
        <v>160.0</v>
      </c>
      <c r="I113" s="5" t="s">
        <v>720</v>
      </c>
      <c r="J113" s="320" t="s">
        <v>722</v>
      </c>
      <c r="K113" s="5">
        <v>781.0</v>
      </c>
      <c r="L113" s="320">
        <v>48.0</v>
      </c>
      <c r="W113" s="320"/>
    </row>
    <row r="114">
      <c r="A114" s="5"/>
      <c r="B114" s="324">
        <v>44986.0</v>
      </c>
      <c r="C114" s="5">
        <v>1782.0</v>
      </c>
      <c r="D114" s="5">
        <v>17820.0</v>
      </c>
      <c r="E114" s="325">
        <v>10.0</v>
      </c>
      <c r="F114" s="5">
        <v>133.2</v>
      </c>
      <c r="G114" s="5">
        <v>1.0</v>
      </c>
      <c r="H114" s="326">
        <v>1332.0</v>
      </c>
      <c r="I114" s="5" t="s">
        <v>720</v>
      </c>
      <c r="J114" s="320" t="s">
        <v>722</v>
      </c>
      <c r="K114" s="5">
        <v>1781.3333333333333</v>
      </c>
      <c r="L114" s="320">
        <v>226.44000000000003</v>
      </c>
      <c r="W114" s="320"/>
    </row>
    <row r="115">
      <c r="A115" s="5" t="s">
        <v>1086</v>
      </c>
      <c r="B115" s="322"/>
      <c r="C115" s="5">
        <v>14336.0</v>
      </c>
      <c r="D115" s="5">
        <v>140202.0</v>
      </c>
      <c r="E115" s="325">
        <v>9.779715401785714</v>
      </c>
      <c r="F115" s="5">
        <v>846.8549093450879</v>
      </c>
      <c r="G115" s="5">
        <v>13.0</v>
      </c>
      <c r="H115" s="326">
        <v>8282.0</v>
      </c>
      <c r="I115" s="5" t="s">
        <v>720</v>
      </c>
      <c r="J115" s="320" t="s">
        <v>722</v>
      </c>
      <c r="K115" s="5">
        <v>14335.333333333334</v>
      </c>
      <c r="L115" s="320">
        <v>1790.94</v>
      </c>
      <c r="W115" s="320"/>
    </row>
    <row r="116">
      <c r="A116" s="5" t="s">
        <v>185</v>
      </c>
      <c r="B116" s="324">
        <v>44713.0</v>
      </c>
      <c r="C116" s="5">
        <v>973.0</v>
      </c>
      <c r="D116" s="5">
        <v>24350.0</v>
      </c>
      <c r="E116" s="325">
        <v>25.025693730729703</v>
      </c>
      <c r="F116" s="5">
        <v>39.839055441478436</v>
      </c>
      <c r="G116" s="5">
        <v>1.0</v>
      </c>
      <c r="H116" s="326">
        <v>997.0</v>
      </c>
      <c r="I116" s="5" t="s">
        <v>720</v>
      </c>
      <c r="J116" s="320" t="s">
        <v>722</v>
      </c>
      <c r="K116" s="5">
        <v>973.0</v>
      </c>
      <c r="L116" s="320">
        <v>229.0</v>
      </c>
      <c r="W116" s="320"/>
    </row>
    <row r="117">
      <c r="A117" s="5"/>
      <c r="B117" s="324">
        <v>44774.0</v>
      </c>
      <c r="C117" s="5">
        <v>2798.0</v>
      </c>
      <c r="D117" s="5">
        <v>6031500.0</v>
      </c>
      <c r="E117" s="325">
        <v>2155.646890636169</v>
      </c>
      <c r="F117" s="5">
        <v>149.60722064494735</v>
      </c>
      <c r="G117" s="5">
        <v>1.0</v>
      </c>
      <c r="H117" s="326">
        <v>322500.33999999997</v>
      </c>
      <c r="I117" s="5" t="s">
        <v>720</v>
      </c>
      <c r="J117" s="320" t="s">
        <v>722</v>
      </c>
      <c r="K117" s="5">
        <v>2798.0</v>
      </c>
      <c r="L117" s="320">
        <v>801.0</v>
      </c>
      <c r="W117" s="320"/>
    </row>
    <row r="118">
      <c r="A118" s="5"/>
      <c r="B118" s="324">
        <v>44805.0</v>
      </c>
      <c r="C118" s="5">
        <v>1391.0</v>
      </c>
      <c r="D118" s="5">
        <v>4890000.0</v>
      </c>
      <c r="E118" s="325">
        <v>3515.456506110712</v>
      </c>
      <c r="F118" s="5">
        <v>52.120684662576686</v>
      </c>
      <c r="G118" s="5">
        <v>1.0</v>
      </c>
      <c r="H118" s="326">
        <v>183228.0</v>
      </c>
      <c r="I118" s="5" t="s">
        <v>720</v>
      </c>
      <c r="J118" s="320" t="s">
        <v>722</v>
      </c>
      <c r="K118" s="5">
        <v>1391.0</v>
      </c>
      <c r="L118" s="320">
        <v>455.0</v>
      </c>
      <c r="W118" s="320"/>
    </row>
    <row r="119">
      <c r="A119" s="5"/>
      <c r="B119" s="324">
        <v>44835.0</v>
      </c>
      <c r="C119" s="5">
        <v>2917.0</v>
      </c>
      <c r="D119" s="5">
        <v>9919500.0</v>
      </c>
      <c r="E119" s="325">
        <v>3400.5827905382243</v>
      </c>
      <c r="F119" s="5">
        <v>118.24033842633197</v>
      </c>
      <c r="G119" s="5">
        <v>1.0</v>
      </c>
      <c r="H119" s="326">
        <v>402086.06</v>
      </c>
      <c r="I119" s="5" t="s">
        <v>720</v>
      </c>
      <c r="J119" s="320" t="s">
        <v>722</v>
      </c>
      <c r="K119" s="5">
        <v>2917.0</v>
      </c>
      <c r="L119" s="320">
        <v>1094.0</v>
      </c>
      <c r="W119" s="320"/>
    </row>
    <row r="120">
      <c r="A120" s="5"/>
      <c r="B120" s="324">
        <v>44866.0</v>
      </c>
      <c r="C120" s="5">
        <v>2839.0</v>
      </c>
      <c r="D120" s="5">
        <v>8027000.0</v>
      </c>
      <c r="E120" s="325">
        <v>2827.404015498415</v>
      </c>
      <c r="F120" s="5">
        <v>177.870582783107</v>
      </c>
      <c r="G120" s="5">
        <v>1.0</v>
      </c>
      <c r="H120" s="326">
        <v>502912.0</v>
      </c>
      <c r="I120" s="5" t="s">
        <v>720</v>
      </c>
      <c r="J120" s="320" t="s">
        <v>722</v>
      </c>
      <c r="K120" s="5">
        <v>2839.0</v>
      </c>
      <c r="L120" s="320">
        <v>1368.0</v>
      </c>
      <c r="W120" s="320"/>
    </row>
    <row r="121">
      <c r="A121" s="5"/>
      <c r="B121" s="324">
        <v>44896.0</v>
      </c>
      <c r="C121" s="5">
        <v>63.0</v>
      </c>
      <c r="D121" s="5">
        <v>149500.0</v>
      </c>
      <c r="E121" s="325">
        <v>2373.0158730158732</v>
      </c>
      <c r="F121" s="5">
        <v>-2.772421404682274</v>
      </c>
      <c r="G121" s="5">
        <v>1.0</v>
      </c>
      <c r="H121" s="326">
        <v>-6579.0</v>
      </c>
      <c r="I121" s="5" t="s">
        <v>720</v>
      </c>
      <c r="J121" s="320" t="s">
        <v>722</v>
      </c>
      <c r="K121" s="5">
        <v>63.0</v>
      </c>
      <c r="L121" s="320">
        <v>-15.0</v>
      </c>
      <c r="W121" s="320"/>
    </row>
    <row r="122">
      <c r="A122" s="5" t="s">
        <v>1119</v>
      </c>
      <c r="B122" s="322"/>
      <c r="C122" s="5">
        <v>10981.0</v>
      </c>
      <c r="D122" s="5">
        <v>2.904185E7</v>
      </c>
      <c r="E122" s="325">
        <v>2644.7363628084872</v>
      </c>
      <c r="F122" s="5">
        <v>531.2984763849411</v>
      </c>
      <c r="G122" s="5">
        <v>6.0</v>
      </c>
      <c r="H122" s="326">
        <v>1405144.4</v>
      </c>
      <c r="I122" s="5" t="s">
        <v>720</v>
      </c>
      <c r="J122" s="320" t="s">
        <v>722</v>
      </c>
      <c r="K122" s="5">
        <v>10981.0</v>
      </c>
      <c r="L122" s="320">
        <v>3932.0</v>
      </c>
      <c r="W122" s="320"/>
    </row>
    <row r="123">
      <c r="A123" s="5" t="s">
        <v>228</v>
      </c>
      <c r="B123" s="324">
        <v>44958.0</v>
      </c>
      <c r="C123" s="5">
        <v>3270.0</v>
      </c>
      <c r="D123" s="5">
        <v>87775.0</v>
      </c>
      <c r="E123" s="325">
        <v>26.84250764525994</v>
      </c>
      <c r="F123" s="5">
        <v>56.85012816861293</v>
      </c>
      <c r="G123" s="5">
        <v>1.0</v>
      </c>
      <c r="H123" s="326">
        <v>1526.0</v>
      </c>
      <c r="I123" s="5" t="s">
        <v>720</v>
      </c>
      <c r="J123" s="320" t="s">
        <v>722</v>
      </c>
      <c r="K123" s="5">
        <v>3269.3333333333335</v>
      </c>
      <c r="L123" s="320">
        <v>350.98</v>
      </c>
      <c r="W123" s="320"/>
    </row>
    <row r="124">
      <c r="A124" s="5" t="s">
        <v>1120</v>
      </c>
      <c r="B124" s="322"/>
      <c r="C124" s="5">
        <v>3270.0</v>
      </c>
      <c r="D124" s="5">
        <v>87775.0</v>
      </c>
      <c r="E124" s="325">
        <v>26.84250764525994</v>
      </c>
      <c r="F124" s="5">
        <v>56.85012816861293</v>
      </c>
      <c r="G124" s="5">
        <v>1.0</v>
      </c>
      <c r="H124" s="326">
        <v>1526.0</v>
      </c>
      <c r="I124" s="5" t="s">
        <v>720</v>
      </c>
      <c r="J124" s="320" t="s">
        <v>722</v>
      </c>
      <c r="K124" s="5">
        <v>3269.3333333333335</v>
      </c>
      <c r="L124" s="320">
        <v>350.98</v>
      </c>
      <c r="W124" s="320"/>
    </row>
    <row r="125">
      <c r="A125" s="5" t="s">
        <v>379</v>
      </c>
      <c r="B125" s="324">
        <v>44896.0</v>
      </c>
      <c r="C125" s="320">
        <v>2776.0</v>
      </c>
      <c r="D125" s="5">
        <v>55505.0</v>
      </c>
      <c r="E125" s="325">
        <v>19.994596541786745</v>
      </c>
      <c r="F125" s="5">
        <v>60.71640392757409</v>
      </c>
      <c r="G125" s="5">
        <v>1.0</v>
      </c>
      <c r="H125" s="326">
        <v>1214.0</v>
      </c>
      <c r="I125" s="5" t="s">
        <v>720</v>
      </c>
      <c r="J125" s="320" t="s">
        <v>722</v>
      </c>
      <c r="K125" s="5">
        <v>2776.0</v>
      </c>
      <c r="L125" s="320">
        <v>279.21999999999997</v>
      </c>
      <c r="W125" s="320"/>
    </row>
    <row r="126">
      <c r="A126" s="5"/>
      <c r="B126" s="324">
        <v>44958.0</v>
      </c>
      <c r="C126" s="5">
        <v>2812.0</v>
      </c>
      <c r="D126" s="5">
        <v>56240.0</v>
      </c>
      <c r="E126" s="325">
        <v>20.0</v>
      </c>
      <c r="F126" s="5">
        <v>35.8685</v>
      </c>
      <c r="G126" s="5">
        <v>1.0</v>
      </c>
      <c r="H126" s="326">
        <v>717.3699999999999</v>
      </c>
      <c r="I126" s="5" t="s">
        <v>720</v>
      </c>
      <c r="J126" s="320" t="s">
        <v>722</v>
      </c>
      <c r="K126" s="5">
        <v>2812.0</v>
      </c>
      <c r="L126" s="320">
        <v>121.95289999999999</v>
      </c>
      <c r="W126" s="320"/>
    </row>
    <row r="127">
      <c r="A127" s="5"/>
      <c r="B127" s="324">
        <v>44986.0</v>
      </c>
      <c r="C127" s="5">
        <v>10154.0</v>
      </c>
      <c r="D127" s="5">
        <v>50770.0</v>
      </c>
      <c r="E127" s="325">
        <v>5.0</v>
      </c>
      <c r="F127" s="5">
        <v>343.06399999999996</v>
      </c>
      <c r="G127" s="5">
        <v>1.0</v>
      </c>
      <c r="H127" s="326">
        <v>1715.3199999999997</v>
      </c>
      <c r="I127" s="5" t="s">
        <v>720</v>
      </c>
      <c r="J127" s="320" t="s">
        <v>722</v>
      </c>
      <c r="K127" s="5">
        <v>3384.6666666666665</v>
      </c>
      <c r="L127" s="320">
        <v>291.6044</v>
      </c>
      <c r="W127" s="320"/>
    </row>
    <row r="128">
      <c r="A128" s="5" t="s">
        <v>1121</v>
      </c>
      <c r="B128" s="322"/>
      <c r="C128" s="320">
        <v>15742.0</v>
      </c>
      <c r="D128" s="5">
        <v>162515.0</v>
      </c>
      <c r="E128" s="325">
        <v>10.323656460424342</v>
      </c>
      <c r="F128" s="5">
        <v>353.2362796049595</v>
      </c>
      <c r="G128" s="5">
        <v>3.0</v>
      </c>
      <c r="H128" s="326">
        <v>3646.6899999999996</v>
      </c>
      <c r="I128" s="5" t="s">
        <v>720</v>
      </c>
      <c r="J128" s="320" t="s">
        <v>722</v>
      </c>
      <c r="K128" s="5">
        <v>8972.666666666666</v>
      </c>
      <c r="L128" s="320">
        <v>692.7773</v>
      </c>
      <c r="W128" s="320"/>
    </row>
    <row r="129">
      <c r="A129" s="5" t="s">
        <v>399</v>
      </c>
      <c r="B129" s="324">
        <v>44986.0</v>
      </c>
      <c r="C129" s="5">
        <v>3955.0</v>
      </c>
      <c r="D129" s="5">
        <v>79100.0</v>
      </c>
      <c r="E129" s="325">
        <v>20.0</v>
      </c>
      <c r="F129" s="5">
        <v>139.158</v>
      </c>
      <c r="G129" s="5">
        <v>1.0</v>
      </c>
      <c r="H129" s="326">
        <v>2783.16</v>
      </c>
      <c r="I129" s="5" t="s">
        <v>720</v>
      </c>
      <c r="J129" s="320" t="s">
        <v>722</v>
      </c>
      <c r="K129" s="5">
        <v>1318.3333333333333</v>
      </c>
      <c r="L129" s="320">
        <v>473.1372</v>
      </c>
      <c r="W129" s="320"/>
    </row>
    <row r="130">
      <c r="A130" s="5" t="s">
        <v>1122</v>
      </c>
      <c r="B130" s="322"/>
      <c r="C130" s="5">
        <v>3955.0</v>
      </c>
      <c r="D130" s="5">
        <v>79100.0</v>
      </c>
      <c r="E130" s="325">
        <v>20.0</v>
      </c>
      <c r="F130" s="5">
        <v>139.158</v>
      </c>
      <c r="G130" s="5">
        <v>1.0</v>
      </c>
      <c r="H130" s="326">
        <v>2783.16</v>
      </c>
      <c r="I130" s="5" t="s">
        <v>720</v>
      </c>
      <c r="J130" s="320" t="s">
        <v>722</v>
      </c>
      <c r="K130" s="5">
        <v>1318.3333333333333</v>
      </c>
      <c r="L130" s="320">
        <v>473.1372</v>
      </c>
      <c r="W130" s="320"/>
    </row>
    <row r="131">
      <c r="A131" s="5" t="s">
        <v>362</v>
      </c>
      <c r="B131" s="324">
        <v>44743.0</v>
      </c>
      <c r="C131" s="5">
        <v>2160.0</v>
      </c>
      <c r="D131" s="5">
        <v>296857.0</v>
      </c>
      <c r="E131" s="325">
        <v>137.4337962962963</v>
      </c>
      <c r="F131" s="5">
        <v>122.55355272067023</v>
      </c>
      <c r="G131" s="5">
        <v>1.0</v>
      </c>
      <c r="H131" s="326">
        <v>16843.0</v>
      </c>
      <c r="I131" s="5" t="s">
        <v>770</v>
      </c>
      <c r="J131" s="320" t="s">
        <v>722</v>
      </c>
      <c r="K131" s="5">
        <v>1829.3333333333333</v>
      </c>
      <c r="L131" s="320">
        <v>3200.17</v>
      </c>
      <c r="W131" s="320"/>
    </row>
    <row r="132">
      <c r="A132" s="5"/>
      <c r="B132" s="324">
        <v>44805.0</v>
      </c>
      <c r="C132" s="5">
        <v>2775.0</v>
      </c>
      <c r="D132" s="5">
        <v>530000.0</v>
      </c>
      <c r="E132" s="325">
        <v>190.99099099099098</v>
      </c>
      <c r="F132" s="5">
        <v>72.52174528301887</v>
      </c>
      <c r="G132" s="5">
        <v>1.0</v>
      </c>
      <c r="H132" s="326">
        <v>13851.0</v>
      </c>
      <c r="I132" s="5" t="s">
        <v>770</v>
      </c>
      <c r="J132" s="320" t="s">
        <v>722</v>
      </c>
      <c r="K132" s="5">
        <v>1874.3333333333333</v>
      </c>
      <c r="L132" s="320">
        <v>2631.69</v>
      </c>
      <c r="W132" s="320"/>
    </row>
    <row r="133">
      <c r="A133" s="5"/>
      <c r="B133" s="324">
        <v>44835.0</v>
      </c>
      <c r="C133" s="5">
        <v>2925.0</v>
      </c>
      <c r="D133" s="5">
        <v>533202.0</v>
      </c>
      <c r="E133" s="325">
        <v>182.29128205128205</v>
      </c>
      <c r="F133" s="5">
        <v>62.09293100926103</v>
      </c>
      <c r="G133" s="5">
        <v>1.0</v>
      </c>
      <c r="H133" s="326">
        <v>11319.0</v>
      </c>
      <c r="I133" s="5" t="s">
        <v>770</v>
      </c>
      <c r="J133" s="320" t="s">
        <v>722</v>
      </c>
      <c r="K133" s="5">
        <v>1629.0</v>
      </c>
      <c r="L133" s="320">
        <v>2150.6099999999997</v>
      </c>
      <c r="W133" s="320"/>
    </row>
    <row r="134">
      <c r="A134" s="5"/>
      <c r="B134" s="324">
        <v>44866.0</v>
      </c>
      <c r="C134" s="5">
        <v>632.0</v>
      </c>
      <c r="D134" s="5">
        <v>96853.5</v>
      </c>
      <c r="E134" s="325">
        <v>153.2492088607595</v>
      </c>
      <c r="F134" s="5">
        <v>25.440588104714852</v>
      </c>
      <c r="G134" s="5">
        <v>1.0</v>
      </c>
      <c r="H134" s="326">
        <v>3898.75</v>
      </c>
      <c r="I134" s="5" t="s">
        <v>770</v>
      </c>
      <c r="J134" s="320" t="s">
        <v>722</v>
      </c>
      <c r="K134" s="5">
        <v>343.3333333333333</v>
      </c>
      <c r="L134" s="320">
        <v>740.7625</v>
      </c>
      <c r="W134" s="320"/>
    </row>
    <row r="135">
      <c r="A135" s="5"/>
      <c r="B135" s="324">
        <v>44896.0</v>
      </c>
      <c r="C135" s="5">
        <v>736.0</v>
      </c>
      <c r="D135" s="5">
        <v>43375.0</v>
      </c>
      <c r="E135" s="325">
        <v>58.93342391304348</v>
      </c>
      <c r="F135" s="5">
        <v>59.38904899135447</v>
      </c>
      <c r="G135" s="5">
        <v>1.0</v>
      </c>
      <c r="H135" s="326">
        <v>3500.0</v>
      </c>
      <c r="I135" s="5" t="s">
        <v>770</v>
      </c>
      <c r="J135" s="320" t="s">
        <v>722</v>
      </c>
      <c r="K135" s="5">
        <v>724.6666666666666</v>
      </c>
      <c r="L135" s="320">
        <v>665.0</v>
      </c>
      <c r="W135" s="320"/>
    </row>
    <row r="136">
      <c r="A136" s="5"/>
      <c r="B136" s="324">
        <v>44927.0</v>
      </c>
      <c r="C136" s="5">
        <v>5300.0</v>
      </c>
      <c r="D136" s="5">
        <v>508756.0</v>
      </c>
      <c r="E136" s="325">
        <v>95.99169811320755</v>
      </c>
      <c r="F136" s="5">
        <v>79.80898505373892</v>
      </c>
      <c r="G136" s="5">
        <v>1.0</v>
      </c>
      <c r="H136" s="326">
        <v>7661.0</v>
      </c>
      <c r="I136" s="5" t="s">
        <v>770</v>
      </c>
      <c r="J136" s="320" t="s">
        <v>722</v>
      </c>
      <c r="K136" s="5">
        <v>3051.3333333333335</v>
      </c>
      <c r="L136" s="320">
        <v>1455.5900000000001</v>
      </c>
      <c r="W136" s="320"/>
    </row>
    <row r="137">
      <c r="A137" s="5"/>
      <c r="B137" s="324">
        <v>44958.0</v>
      </c>
      <c r="C137" s="5">
        <v>4789.0</v>
      </c>
      <c r="D137" s="5">
        <v>517550.0</v>
      </c>
      <c r="E137" s="325">
        <v>108.07057840885362</v>
      </c>
      <c r="F137" s="5">
        <v>199.40672398802047</v>
      </c>
      <c r="G137" s="5">
        <v>1.0</v>
      </c>
      <c r="H137" s="326">
        <v>21550.0</v>
      </c>
      <c r="I137" s="5" t="s">
        <v>770</v>
      </c>
      <c r="J137" s="320" t="s">
        <v>722</v>
      </c>
      <c r="K137" s="5">
        <v>2562.3333333333335</v>
      </c>
      <c r="L137" s="320">
        <v>4094.5</v>
      </c>
      <c r="W137" s="320"/>
    </row>
    <row r="138">
      <c r="A138" s="5" t="s">
        <v>1123</v>
      </c>
      <c r="B138" s="322"/>
      <c r="C138" s="5">
        <v>19317.0</v>
      </c>
      <c r="D138" s="5">
        <v>2526593.5</v>
      </c>
      <c r="E138" s="325">
        <v>130.79637107211263</v>
      </c>
      <c r="F138" s="5">
        <v>601.1080380559833</v>
      </c>
      <c r="G138" s="5">
        <v>7.0</v>
      </c>
      <c r="H138" s="326">
        <v>78622.75</v>
      </c>
      <c r="I138" s="5" t="s">
        <v>770</v>
      </c>
      <c r="J138" s="320" t="s">
        <v>722</v>
      </c>
      <c r="K138" s="5">
        <v>12014.333333333332</v>
      </c>
      <c r="L138" s="320">
        <v>14938.322500000004</v>
      </c>
      <c r="W138" s="320"/>
    </row>
    <row r="139">
      <c r="A139" s="5" t="s">
        <v>416</v>
      </c>
      <c r="B139" s="324">
        <v>44743.0</v>
      </c>
      <c r="C139" s="5">
        <v>3378.0</v>
      </c>
      <c r="D139" s="5">
        <v>51135.0</v>
      </c>
      <c r="E139" s="325">
        <v>15.13765541740675</v>
      </c>
      <c r="F139" s="5">
        <v>31.312643003813434</v>
      </c>
      <c r="G139" s="5">
        <v>1.0</v>
      </c>
      <c r="H139" s="326">
        <v>474.0</v>
      </c>
      <c r="I139" s="5" t="s">
        <v>751</v>
      </c>
      <c r="J139" s="320" t="s">
        <v>722</v>
      </c>
      <c r="K139" s="5">
        <v>3378.0</v>
      </c>
      <c r="L139" s="320">
        <v>142.2</v>
      </c>
      <c r="W139" s="320"/>
    </row>
    <row r="140">
      <c r="A140" s="5"/>
      <c r="B140" s="324">
        <v>44774.0</v>
      </c>
      <c r="C140" s="5">
        <v>4337.0</v>
      </c>
      <c r="D140" s="5">
        <v>43337.0</v>
      </c>
      <c r="E140" s="325">
        <v>9.992391053723772</v>
      </c>
      <c r="F140" s="5">
        <v>168.72838452130975</v>
      </c>
      <c r="G140" s="5">
        <v>1.0</v>
      </c>
      <c r="H140" s="326">
        <v>1686.0</v>
      </c>
      <c r="I140" s="5" t="s">
        <v>751</v>
      </c>
      <c r="J140" s="320" t="s">
        <v>722</v>
      </c>
      <c r="K140" s="5">
        <v>4337.0</v>
      </c>
      <c r="L140" s="320">
        <v>421.5</v>
      </c>
      <c r="W140" s="320"/>
    </row>
    <row r="141">
      <c r="A141" s="5"/>
      <c r="B141" s="324">
        <v>44805.0</v>
      </c>
      <c r="C141" s="5">
        <v>4498.0</v>
      </c>
      <c r="D141" s="5">
        <v>50530.0</v>
      </c>
      <c r="E141" s="325">
        <v>11.233881725211205</v>
      </c>
      <c r="F141" s="5">
        <v>-11.661151791015238</v>
      </c>
      <c r="G141" s="5">
        <v>1.0</v>
      </c>
      <c r="H141" s="326">
        <v>-131.0</v>
      </c>
      <c r="I141" s="5" t="s">
        <v>751</v>
      </c>
      <c r="J141" s="320" t="s">
        <v>722</v>
      </c>
      <c r="K141" s="5">
        <v>4498.0</v>
      </c>
      <c r="L141" s="320">
        <v>-32.75</v>
      </c>
      <c r="W141" s="320"/>
    </row>
    <row r="142">
      <c r="A142" s="5"/>
      <c r="B142" s="324">
        <v>44835.0</v>
      </c>
      <c r="C142" s="5">
        <v>4800.0</v>
      </c>
      <c r="D142" s="5">
        <v>51495.0</v>
      </c>
      <c r="E142" s="325">
        <v>10.728125</v>
      </c>
      <c r="F142" s="5">
        <v>152.1235071366152</v>
      </c>
      <c r="G142" s="5">
        <v>1.0</v>
      </c>
      <c r="H142" s="326">
        <v>1632.0</v>
      </c>
      <c r="I142" s="5" t="s">
        <v>751</v>
      </c>
      <c r="J142" s="320" t="s">
        <v>722</v>
      </c>
      <c r="K142" s="5">
        <v>4800.0</v>
      </c>
      <c r="L142" s="320">
        <v>408.0</v>
      </c>
      <c r="W142" s="320"/>
    </row>
    <row r="143">
      <c r="A143" s="5"/>
      <c r="B143" s="324">
        <v>44866.0</v>
      </c>
      <c r="C143" s="5">
        <v>3768.0</v>
      </c>
      <c r="D143" s="5">
        <v>37680.0</v>
      </c>
      <c r="E143" s="325">
        <v>10.0</v>
      </c>
      <c r="F143" s="5">
        <v>243.4</v>
      </c>
      <c r="G143" s="5">
        <v>1.0</v>
      </c>
      <c r="H143" s="326">
        <v>2434.0</v>
      </c>
      <c r="I143" s="5" t="s">
        <v>751</v>
      </c>
      <c r="J143" s="320" t="s">
        <v>722</v>
      </c>
      <c r="K143" s="5">
        <v>3768.0</v>
      </c>
      <c r="L143" s="320">
        <v>608.5</v>
      </c>
      <c r="W143" s="320"/>
    </row>
    <row r="144">
      <c r="A144" s="5"/>
      <c r="B144" s="324">
        <v>44896.0</v>
      </c>
      <c r="C144" s="5">
        <v>3684.0</v>
      </c>
      <c r="D144" s="5">
        <v>42915.0</v>
      </c>
      <c r="E144" s="325">
        <v>11.649022801302932</v>
      </c>
      <c r="F144" s="5">
        <v>246.80181754631246</v>
      </c>
      <c r="G144" s="5">
        <v>1.0</v>
      </c>
      <c r="H144" s="326">
        <v>2875.0</v>
      </c>
      <c r="I144" s="5" t="s">
        <v>751</v>
      </c>
      <c r="J144" s="320" t="s">
        <v>722</v>
      </c>
      <c r="K144" s="5">
        <v>3684.0</v>
      </c>
      <c r="L144" s="320">
        <v>718.75</v>
      </c>
      <c r="W144" s="320"/>
    </row>
    <row r="145">
      <c r="A145" s="5"/>
      <c r="B145" s="324">
        <v>44927.0</v>
      </c>
      <c r="C145" s="5">
        <v>3303.0</v>
      </c>
      <c r="D145" s="5">
        <v>81885.0</v>
      </c>
      <c r="E145" s="325">
        <v>24.791099000908265</v>
      </c>
      <c r="F145" s="5">
        <v>90.03231361055138</v>
      </c>
      <c r="G145" s="5">
        <v>1.0</v>
      </c>
      <c r="H145" s="326">
        <v>2232.0</v>
      </c>
      <c r="I145" s="5" t="s">
        <v>751</v>
      </c>
      <c r="J145" s="320" t="s">
        <v>722</v>
      </c>
      <c r="K145" s="5">
        <v>3303.0</v>
      </c>
      <c r="L145" s="320">
        <v>558.0</v>
      </c>
      <c r="W145" s="320"/>
    </row>
    <row r="146">
      <c r="A146" s="5"/>
      <c r="B146" s="324">
        <v>44958.0</v>
      </c>
      <c r="C146" s="5">
        <v>3241.0</v>
      </c>
      <c r="D146" s="5">
        <v>81025.0</v>
      </c>
      <c r="E146" s="325">
        <v>25.0</v>
      </c>
      <c r="F146" s="5">
        <v>81.68</v>
      </c>
      <c r="G146" s="5">
        <v>1.0</v>
      </c>
      <c r="H146" s="326">
        <v>2042.0</v>
      </c>
      <c r="I146" s="5" t="s">
        <v>751</v>
      </c>
      <c r="J146" s="320" t="s">
        <v>722</v>
      </c>
      <c r="K146" s="5">
        <v>3241.0</v>
      </c>
      <c r="L146" s="320">
        <v>449.24</v>
      </c>
      <c r="W146" s="320"/>
    </row>
    <row r="147">
      <c r="A147" s="5"/>
      <c r="B147" s="324">
        <v>44986.0</v>
      </c>
      <c r="C147" s="5">
        <v>2757.0</v>
      </c>
      <c r="D147" s="5">
        <v>68925.0</v>
      </c>
      <c r="E147" s="325">
        <v>25.0</v>
      </c>
      <c r="F147" s="5">
        <v>66.72</v>
      </c>
      <c r="G147" s="5">
        <v>1.0</v>
      </c>
      <c r="H147" s="326">
        <v>1668.0</v>
      </c>
      <c r="I147" s="5" t="s">
        <v>751</v>
      </c>
      <c r="J147" s="320" t="s">
        <v>722</v>
      </c>
      <c r="K147" s="5">
        <v>2757.0</v>
      </c>
      <c r="L147" s="320">
        <v>500.4</v>
      </c>
      <c r="W147" s="320"/>
    </row>
    <row r="148">
      <c r="A148" s="5" t="s">
        <v>1124</v>
      </c>
      <c r="B148" s="322"/>
      <c r="C148" s="5">
        <v>33766.0</v>
      </c>
      <c r="D148" s="5">
        <v>508927.0</v>
      </c>
      <c r="E148" s="325">
        <v>15.072173191968252</v>
      </c>
      <c r="F148" s="5">
        <v>989.3729198883141</v>
      </c>
      <c r="G148" s="5">
        <v>9.0</v>
      </c>
      <c r="H148" s="326">
        <v>14912.0</v>
      </c>
      <c r="I148" s="5" t="s">
        <v>751</v>
      </c>
      <c r="J148" s="320" t="s">
        <v>722</v>
      </c>
      <c r="K148" s="5">
        <v>33766.0</v>
      </c>
      <c r="L148" s="320">
        <v>3773.8399999999997</v>
      </c>
      <c r="W148" s="320"/>
    </row>
    <row r="149">
      <c r="A149" s="5" t="s">
        <v>192</v>
      </c>
      <c r="B149" s="324">
        <v>44835.0</v>
      </c>
      <c r="C149" s="5">
        <v>3157.0</v>
      </c>
      <c r="D149" s="5">
        <v>73471.75</v>
      </c>
      <c r="E149" s="325">
        <v>23.272648083623693</v>
      </c>
      <c r="F149" s="5">
        <v>7.723659093461093</v>
      </c>
      <c r="G149" s="5">
        <v>1.0</v>
      </c>
      <c r="H149" s="326">
        <v>179.75</v>
      </c>
      <c r="I149" s="5" t="s">
        <v>720</v>
      </c>
      <c r="J149" s="320" t="s">
        <v>722</v>
      </c>
      <c r="K149" s="5">
        <v>3152.3333333333335</v>
      </c>
      <c r="L149" s="320">
        <v>53.92499999999999</v>
      </c>
      <c r="W149" s="320"/>
    </row>
    <row r="150">
      <c r="A150" s="5"/>
      <c r="B150" s="324">
        <v>44866.0</v>
      </c>
      <c r="C150" s="5">
        <v>3233.0</v>
      </c>
      <c r="D150" s="5">
        <v>79685.0</v>
      </c>
      <c r="E150" s="325">
        <v>24.647386328487475</v>
      </c>
      <c r="F150" s="5">
        <v>-12.577398506619815</v>
      </c>
      <c r="G150" s="5">
        <v>1.0</v>
      </c>
      <c r="H150" s="326">
        <v>-310.0</v>
      </c>
      <c r="I150" s="5" t="s">
        <v>720</v>
      </c>
      <c r="J150" s="320" t="s">
        <v>722</v>
      </c>
      <c r="K150" s="5">
        <v>3233.0</v>
      </c>
      <c r="L150" s="320">
        <v>-92.99999999999999</v>
      </c>
      <c r="W150" s="320"/>
    </row>
    <row r="151">
      <c r="A151" s="5"/>
      <c r="B151" s="324">
        <v>44896.0</v>
      </c>
      <c r="C151" s="5">
        <v>3765.0</v>
      </c>
      <c r="D151" s="5">
        <v>84328.25</v>
      </c>
      <c r="E151" s="325">
        <v>22.39794156706507</v>
      </c>
      <c r="F151" s="5">
        <v>88.93674421086646</v>
      </c>
      <c r="G151" s="5">
        <v>1.0</v>
      </c>
      <c r="H151" s="326">
        <v>1992.0</v>
      </c>
      <c r="I151" s="5" t="s">
        <v>720</v>
      </c>
      <c r="J151" s="320" t="s">
        <v>722</v>
      </c>
      <c r="K151" s="5">
        <v>3757.666666666667</v>
      </c>
      <c r="L151" s="320">
        <v>597.6</v>
      </c>
      <c r="W151" s="320"/>
    </row>
    <row r="152">
      <c r="A152" s="5"/>
      <c r="B152" s="324">
        <v>44927.0</v>
      </c>
      <c r="C152" s="5">
        <v>5255.0</v>
      </c>
      <c r="D152" s="5">
        <v>133230.0</v>
      </c>
      <c r="E152" s="325">
        <v>25.352997145575642</v>
      </c>
      <c r="F152" s="5">
        <v>47.4894543271035</v>
      </c>
      <c r="G152" s="5">
        <v>1.0</v>
      </c>
      <c r="H152" s="326">
        <v>1204.0</v>
      </c>
      <c r="I152" s="5" t="s">
        <v>720</v>
      </c>
      <c r="J152" s="320" t="s">
        <v>722</v>
      </c>
      <c r="K152" s="5">
        <v>5255.0</v>
      </c>
      <c r="L152" s="320">
        <v>361.1999999999998</v>
      </c>
      <c r="W152" s="320"/>
    </row>
    <row r="153">
      <c r="A153" s="5"/>
      <c r="B153" s="324">
        <v>44958.0</v>
      </c>
      <c r="C153" s="5">
        <v>5492.0</v>
      </c>
      <c r="D153" s="5">
        <v>137300.0</v>
      </c>
      <c r="E153" s="325">
        <v>25.0</v>
      </c>
      <c r="F153" s="5">
        <v>176.48</v>
      </c>
      <c r="G153" s="5">
        <v>1.0</v>
      </c>
      <c r="H153" s="326">
        <v>4412.0</v>
      </c>
      <c r="I153" s="5" t="s">
        <v>720</v>
      </c>
      <c r="J153" s="320" t="s">
        <v>722</v>
      </c>
      <c r="K153" s="5">
        <v>5492.0</v>
      </c>
      <c r="L153" s="320">
        <v>750.0400000000001</v>
      </c>
      <c r="W153" s="320"/>
    </row>
    <row r="154">
      <c r="A154" s="5"/>
      <c r="B154" s="324">
        <v>44986.0</v>
      </c>
      <c r="C154" s="5">
        <v>4266.0</v>
      </c>
      <c r="D154" s="5">
        <v>156030.0</v>
      </c>
      <c r="E154" s="325">
        <v>36.57524613220816</v>
      </c>
      <c r="F154" s="5">
        <v>126.04153047490867</v>
      </c>
      <c r="G154" s="5">
        <v>1.0</v>
      </c>
      <c r="H154" s="326">
        <v>4610.0</v>
      </c>
      <c r="I154" s="5" t="s">
        <v>720</v>
      </c>
      <c r="J154" s="320" t="s">
        <v>722</v>
      </c>
      <c r="K154" s="5">
        <v>4266.0</v>
      </c>
      <c r="L154" s="320">
        <v>783.7</v>
      </c>
      <c r="W154" s="320"/>
    </row>
    <row r="155">
      <c r="A155" s="5" t="s">
        <v>1087</v>
      </c>
      <c r="B155" s="322"/>
      <c r="C155" s="5">
        <v>25168.0</v>
      </c>
      <c r="D155" s="5">
        <v>664045.0</v>
      </c>
      <c r="E155" s="325">
        <v>26.38449618563255</v>
      </c>
      <c r="F155" s="5">
        <v>458.13836712873376</v>
      </c>
      <c r="G155" s="5">
        <v>6.0</v>
      </c>
      <c r="H155" s="326">
        <v>12087.75</v>
      </c>
      <c r="I155" s="5" t="s">
        <v>720</v>
      </c>
      <c r="J155" s="320" t="s">
        <v>722</v>
      </c>
      <c r="K155" s="5">
        <v>25156.0</v>
      </c>
      <c r="L155" s="320">
        <v>2453.465</v>
      </c>
      <c r="W155" s="320"/>
    </row>
    <row r="156">
      <c r="A156" s="5" t="s">
        <v>200</v>
      </c>
      <c r="B156" s="324">
        <v>44866.0</v>
      </c>
      <c r="C156" s="320">
        <v>2911.0</v>
      </c>
      <c r="D156" s="5">
        <v>29110.0</v>
      </c>
      <c r="E156" s="325">
        <v>10.0</v>
      </c>
      <c r="F156" s="5">
        <v>88.7</v>
      </c>
      <c r="G156" s="5">
        <v>1.0</v>
      </c>
      <c r="H156" s="326">
        <v>887.0</v>
      </c>
      <c r="I156" s="5" t="s">
        <v>720</v>
      </c>
      <c r="J156" s="320" t="s">
        <v>722</v>
      </c>
      <c r="K156" s="5">
        <v>1455.5</v>
      </c>
      <c r="L156" s="320">
        <v>150.79000000000002</v>
      </c>
      <c r="W156" s="320"/>
    </row>
    <row r="157">
      <c r="A157" s="5"/>
      <c r="B157" s="324">
        <v>44896.0</v>
      </c>
      <c r="C157" s="320">
        <v>4359.0</v>
      </c>
      <c r="D157" s="5">
        <v>43590.0</v>
      </c>
      <c r="E157" s="325">
        <v>10.0</v>
      </c>
      <c r="F157" s="5">
        <v>160.5</v>
      </c>
      <c r="G157" s="5">
        <v>1.0</v>
      </c>
      <c r="H157" s="326">
        <v>1605.0</v>
      </c>
      <c r="I157" s="5" t="s">
        <v>720</v>
      </c>
      <c r="J157" s="320" t="s">
        <v>722</v>
      </c>
      <c r="K157" s="5">
        <v>2179.5</v>
      </c>
      <c r="L157" s="320">
        <v>272.85</v>
      </c>
      <c r="W157" s="320"/>
    </row>
    <row r="158">
      <c r="A158" s="5"/>
      <c r="B158" s="324">
        <v>44927.0</v>
      </c>
      <c r="C158" s="320">
        <v>5392.0</v>
      </c>
      <c r="D158" s="5">
        <v>78910.0</v>
      </c>
      <c r="E158" s="325">
        <v>14.634643916913946</v>
      </c>
      <c r="F158" s="5">
        <v>-17.97105563299962</v>
      </c>
      <c r="G158" s="5">
        <v>1.0</v>
      </c>
      <c r="H158" s="326">
        <v>-263.0</v>
      </c>
      <c r="I158" s="5" t="s">
        <v>720</v>
      </c>
      <c r="J158" s="320" t="s">
        <v>722</v>
      </c>
      <c r="K158" s="5">
        <v>2696.0</v>
      </c>
      <c r="L158" s="320">
        <v>-78.90000000000003</v>
      </c>
      <c r="W158" s="320"/>
    </row>
    <row r="159">
      <c r="A159" s="5"/>
      <c r="B159" s="324">
        <v>44958.0</v>
      </c>
      <c r="C159" s="5">
        <v>4496.0</v>
      </c>
      <c r="D159" s="5">
        <v>44891.75</v>
      </c>
      <c r="E159" s="325">
        <v>9.984819839857652</v>
      </c>
      <c r="F159" s="5">
        <v>120.57122023342322</v>
      </c>
      <c r="G159" s="5">
        <v>1.0</v>
      </c>
      <c r="H159" s="326">
        <v>1203.8819119025304</v>
      </c>
      <c r="I159" s="5" t="s">
        <v>720</v>
      </c>
      <c r="J159" s="320" t="s">
        <v>722</v>
      </c>
      <c r="K159" s="5">
        <v>2246.8333333333335</v>
      </c>
      <c r="L159" s="320">
        <v>361.1645735707591</v>
      </c>
      <c r="W159" s="320"/>
    </row>
    <row r="160">
      <c r="A160" s="5"/>
      <c r="B160" s="324">
        <v>44986.0</v>
      </c>
      <c r="C160" s="5">
        <v>5063.0</v>
      </c>
      <c r="D160" s="5">
        <v>50630.0</v>
      </c>
      <c r="E160" s="325">
        <v>10.0</v>
      </c>
      <c r="F160" s="5">
        <v>143.9295051353875</v>
      </c>
      <c r="G160" s="5">
        <v>1.0</v>
      </c>
      <c r="H160" s="326">
        <v>1439.295051353875</v>
      </c>
      <c r="I160" s="5" t="s">
        <v>720</v>
      </c>
      <c r="J160" s="320" t="s">
        <v>722</v>
      </c>
      <c r="K160" s="5">
        <v>2531.5</v>
      </c>
      <c r="L160" s="320">
        <v>244.68015873015875</v>
      </c>
      <c r="W160" s="320"/>
    </row>
    <row r="161">
      <c r="A161" s="5" t="s">
        <v>1088</v>
      </c>
      <c r="B161" s="322"/>
      <c r="C161" s="320">
        <v>22221.0</v>
      </c>
      <c r="D161" s="5">
        <v>247131.75</v>
      </c>
      <c r="E161" s="325">
        <v>11.12154043472391</v>
      </c>
      <c r="F161" s="5">
        <v>438.08472323171986</v>
      </c>
      <c r="G161" s="5">
        <v>5.0</v>
      </c>
      <c r="H161" s="326">
        <v>4872.1769632564055</v>
      </c>
      <c r="I161" s="5" t="s">
        <v>720</v>
      </c>
      <c r="J161" s="320" t="s">
        <v>722</v>
      </c>
      <c r="K161" s="5">
        <v>11109.333333333334</v>
      </c>
      <c r="L161" s="320">
        <v>950.584732300918</v>
      </c>
      <c r="W161" s="320"/>
    </row>
    <row r="162">
      <c r="A162" s="5" t="s">
        <v>193</v>
      </c>
      <c r="B162" s="324">
        <v>44835.0</v>
      </c>
      <c r="C162" s="5">
        <v>2099.0</v>
      </c>
      <c r="D162" s="5">
        <v>43520.0</v>
      </c>
      <c r="E162" s="325">
        <v>20.7336827060505</v>
      </c>
      <c r="F162" s="5">
        <v>96.75078124999999</v>
      </c>
      <c r="G162" s="5">
        <v>1.0</v>
      </c>
      <c r="H162" s="326">
        <v>2006.0</v>
      </c>
      <c r="I162" s="5" t="s">
        <v>720</v>
      </c>
      <c r="J162" s="320" t="s">
        <v>722</v>
      </c>
      <c r="K162" s="5">
        <v>2099.0</v>
      </c>
      <c r="L162" s="320">
        <v>341.02</v>
      </c>
      <c r="W162" s="320"/>
    </row>
    <row r="163">
      <c r="A163" s="5"/>
      <c r="B163" s="324">
        <v>44866.0</v>
      </c>
      <c r="C163" s="5">
        <v>2539.0</v>
      </c>
      <c r="D163" s="5">
        <v>50355.0</v>
      </c>
      <c r="E163" s="325">
        <v>19.832611264277276</v>
      </c>
      <c r="F163" s="5">
        <v>26.92535001489425</v>
      </c>
      <c r="G163" s="5">
        <v>1.0</v>
      </c>
      <c r="H163" s="326">
        <v>534.0</v>
      </c>
      <c r="I163" s="5" t="s">
        <v>720</v>
      </c>
      <c r="J163" s="320" t="s">
        <v>722</v>
      </c>
      <c r="K163" s="5">
        <v>2538.3333333333335</v>
      </c>
      <c r="L163" s="320">
        <v>160.2</v>
      </c>
      <c r="W163" s="320"/>
    </row>
    <row r="164">
      <c r="A164" s="5"/>
      <c r="B164" s="324">
        <v>44896.0</v>
      </c>
      <c r="C164" s="5">
        <v>1997.0</v>
      </c>
      <c r="D164" s="5">
        <v>36845.0</v>
      </c>
      <c r="E164" s="325">
        <v>18.45017526289434</v>
      </c>
      <c r="F164" s="5">
        <v>122.6546614194599</v>
      </c>
      <c r="G164" s="5">
        <v>1.0</v>
      </c>
      <c r="H164" s="326">
        <v>2263.0</v>
      </c>
      <c r="I164" s="5" t="s">
        <v>720</v>
      </c>
      <c r="J164" s="320" t="s">
        <v>722</v>
      </c>
      <c r="K164" s="5">
        <v>1997.0</v>
      </c>
      <c r="L164" s="320">
        <v>384.71000000000004</v>
      </c>
      <c r="W164" s="320"/>
    </row>
    <row r="165">
      <c r="A165" s="5"/>
      <c r="B165" s="324">
        <v>44927.0</v>
      </c>
      <c r="C165" s="5">
        <v>2413.0</v>
      </c>
      <c r="D165" s="5">
        <v>55945.0</v>
      </c>
      <c r="E165" s="325">
        <v>23.184832159138004</v>
      </c>
      <c r="F165" s="5">
        <v>70.86529627312538</v>
      </c>
      <c r="G165" s="5">
        <v>1.0</v>
      </c>
      <c r="H165" s="326">
        <v>1643.0</v>
      </c>
      <c r="I165" s="5" t="s">
        <v>720</v>
      </c>
      <c r="J165" s="320" t="s">
        <v>722</v>
      </c>
      <c r="K165" s="5">
        <v>2413.0</v>
      </c>
      <c r="L165" s="320">
        <v>377.89</v>
      </c>
      <c r="W165" s="320"/>
    </row>
    <row r="166">
      <c r="A166" s="5"/>
      <c r="B166" s="324">
        <v>44958.0</v>
      </c>
      <c r="C166" s="5">
        <v>2888.0</v>
      </c>
      <c r="D166" s="5">
        <v>64950.0</v>
      </c>
      <c r="E166" s="325">
        <v>22.48961218836565</v>
      </c>
      <c r="F166" s="5">
        <v>105.69324095458045</v>
      </c>
      <c r="G166" s="5">
        <v>1.0</v>
      </c>
      <c r="H166" s="326">
        <v>2377.0</v>
      </c>
      <c r="I166" s="5" t="s">
        <v>720</v>
      </c>
      <c r="J166" s="320" t="s">
        <v>722</v>
      </c>
      <c r="K166" s="5">
        <v>2888.0</v>
      </c>
      <c r="L166" s="320">
        <v>404.09000000000003</v>
      </c>
      <c r="W166" s="320"/>
    </row>
    <row r="167">
      <c r="A167" s="5"/>
      <c r="B167" s="324">
        <v>44986.0</v>
      </c>
      <c r="C167" s="5">
        <v>1676.0</v>
      </c>
      <c r="D167" s="5">
        <v>30965.0</v>
      </c>
      <c r="E167" s="325">
        <v>18.475536992840095</v>
      </c>
      <c r="F167" s="5">
        <v>127.8447279186178</v>
      </c>
      <c r="G167" s="5">
        <v>1.0</v>
      </c>
      <c r="H167" s="326">
        <v>2362.0</v>
      </c>
      <c r="I167" s="5" t="s">
        <v>720</v>
      </c>
      <c r="J167" s="320" t="s">
        <v>722</v>
      </c>
      <c r="K167" s="5">
        <v>1676.0</v>
      </c>
      <c r="L167" s="320">
        <v>401.54</v>
      </c>
      <c r="W167" s="320"/>
    </row>
    <row r="168">
      <c r="A168" s="5" t="s">
        <v>1089</v>
      </c>
      <c r="B168" s="322"/>
      <c r="C168" s="5">
        <v>13612.0</v>
      </c>
      <c r="D168" s="5">
        <v>282580.0</v>
      </c>
      <c r="E168" s="325">
        <v>20.759623861298852</v>
      </c>
      <c r="F168" s="5">
        <v>538.7862552197608</v>
      </c>
      <c r="G168" s="5">
        <v>6.0</v>
      </c>
      <c r="H168" s="326">
        <v>11185.0</v>
      </c>
      <c r="I168" s="5" t="s">
        <v>720</v>
      </c>
      <c r="J168" s="320" t="s">
        <v>722</v>
      </c>
      <c r="K168" s="5">
        <v>13611.333333333332</v>
      </c>
      <c r="L168" s="320">
        <v>2069.45</v>
      </c>
      <c r="W168" s="320"/>
    </row>
    <row r="169">
      <c r="A169" s="5" t="s">
        <v>150</v>
      </c>
      <c r="B169" s="324">
        <v>44378.0</v>
      </c>
      <c r="C169" s="5">
        <v>1037.0</v>
      </c>
      <c r="D169" s="5">
        <v>10370.0</v>
      </c>
      <c r="E169" s="325">
        <v>10.0</v>
      </c>
      <c r="F169" s="5">
        <v>-39.4</v>
      </c>
      <c r="G169" s="5">
        <v>1.0</v>
      </c>
      <c r="H169" s="326">
        <v>-394.0</v>
      </c>
      <c r="I169" s="5" t="s">
        <v>751</v>
      </c>
      <c r="J169" s="320" t="s">
        <v>722</v>
      </c>
      <c r="K169" s="5">
        <v>1034.3333333333333</v>
      </c>
      <c r="L169" s="320">
        <v>-118.19999999999999</v>
      </c>
      <c r="W169" s="320"/>
    </row>
    <row r="170">
      <c r="A170" s="5"/>
      <c r="B170" s="324">
        <v>44409.0</v>
      </c>
      <c r="C170" s="5">
        <v>1286.0</v>
      </c>
      <c r="D170" s="5">
        <v>12860.0</v>
      </c>
      <c r="E170" s="325">
        <v>10.0</v>
      </c>
      <c r="F170" s="5">
        <v>65.4</v>
      </c>
      <c r="G170" s="5">
        <v>1.0</v>
      </c>
      <c r="H170" s="326">
        <v>654.0</v>
      </c>
      <c r="I170" s="5" t="s">
        <v>751</v>
      </c>
      <c r="J170" s="320" t="s">
        <v>722</v>
      </c>
      <c r="K170" s="5">
        <v>1286.0</v>
      </c>
      <c r="L170" s="320">
        <v>196.2</v>
      </c>
      <c r="W170" s="320"/>
    </row>
    <row r="171">
      <c r="A171" s="5"/>
      <c r="B171" s="324">
        <v>44440.0</v>
      </c>
      <c r="C171" s="5">
        <v>371.0</v>
      </c>
      <c r="D171" s="5">
        <v>9275.0</v>
      </c>
      <c r="E171" s="325">
        <v>25.0</v>
      </c>
      <c r="F171" s="5">
        <v>19.4</v>
      </c>
      <c r="G171" s="5">
        <v>1.0</v>
      </c>
      <c r="H171" s="326">
        <v>485.0</v>
      </c>
      <c r="I171" s="5" t="s">
        <v>751</v>
      </c>
      <c r="J171" s="320" t="s">
        <v>722</v>
      </c>
      <c r="K171" s="5">
        <v>371.0</v>
      </c>
      <c r="L171" s="320">
        <v>145.5</v>
      </c>
      <c r="W171" s="320"/>
    </row>
    <row r="172">
      <c r="A172" s="5"/>
      <c r="B172" s="324">
        <v>44470.0</v>
      </c>
      <c r="C172" s="5">
        <v>439.0</v>
      </c>
      <c r="D172" s="5">
        <v>10975.0</v>
      </c>
      <c r="E172" s="325">
        <v>25.0</v>
      </c>
      <c r="F172" s="5">
        <v>3.8</v>
      </c>
      <c r="G172" s="5">
        <v>1.0</v>
      </c>
      <c r="H172" s="326">
        <v>95.0</v>
      </c>
      <c r="I172" s="5" t="s">
        <v>751</v>
      </c>
      <c r="J172" s="320" t="s">
        <v>722</v>
      </c>
      <c r="K172" s="5">
        <v>439.0</v>
      </c>
      <c r="L172" s="320">
        <v>28.5</v>
      </c>
      <c r="W172" s="320"/>
    </row>
    <row r="173">
      <c r="A173" s="5"/>
      <c r="B173" s="324">
        <v>44501.0</v>
      </c>
      <c r="C173" s="5">
        <v>1769.0</v>
      </c>
      <c r="D173" s="5">
        <v>44225.0</v>
      </c>
      <c r="E173" s="325">
        <v>25.0</v>
      </c>
      <c r="F173" s="5">
        <v>50.68</v>
      </c>
      <c r="G173" s="5">
        <v>1.0</v>
      </c>
      <c r="H173" s="326">
        <v>1267.0</v>
      </c>
      <c r="I173" s="5" t="s">
        <v>751</v>
      </c>
      <c r="J173" s="320" t="s">
        <v>722</v>
      </c>
      <c r="K173" s="5">
        <v>1769.0</v>
      </c>
      <c r="L173" s="320">
        <v>380.09999999999997</v>
      </c>
      <c r="W173" s="320"/>
    </row>
    <row r="174">
      <c r="A174" s="5"/>
      <c r="B174" s="324">
        <v>44531.0</v>
      </c>
      <c r="C174" s="5">
        <v>483.0</v>
      </c>
      <c r="D174" s="5">
        <v>12075.0</v>
      </c>
      <c r="E174" s="325">
        <v>25.0</v>
      </c>
      <c r="F174" s="5">
        <v>24.52</v>
      </c>
      <c r="G174" s="5">
        <v>1.0</v>
      </c>
      <c r="H174" s="326">
        <v>613.0</v>
      </c>
      <c r="I174" s="5" t="s">
        <v>751</v>
      </c>
      <c r="J174" s="320" t="s">
        <v>722</v>
      </c>
      <c r="K174" s="5">
        <v>483.0</v>
      </c>
      <c r="L174" s="320">
        <v>183.9</v>
      </c>
      <c r="W174" s="320"/>
    </row>
    <row r="175">
      <c r="A175" s="5"/>
      <c r="B175" s="324">
        <v>44562.0</v>
      </c>
      <c r="C175" s="5">
        <v>506.0</v>
      </c>
      <c r="D175" s="5">
        <v>12650.0</v>
      </c>
      <c r="E175" s="325">
        <v>25.0</v>
      </c>
      <c r="F175" s="5">
        <v>5.28</v>
      </c>
      <c r="G175" s="5">
        <v>1.0</v>
      </c>
      <c r="H175" s="326">
        <v>132.0</v>
      </c>
      <c r="I175" s="5" t="s">
        <v>751</v>
      </c>
      <c r="J175" s="320" t="s">
        <v>722</v>
      </c>
      <c r="K175" s="5">
        <v>506.0</v>
      </c>
      <c r="L175" s="320">
        <v>39.6</v>
      </c>
      <c r="W175" s="320"/>
    </row>
    <row r="176">
      <c r="A176" s="5"/>
      <c r="B176" s="324">
        <v>44593.0</v>
      </c>
      <c r="C176" s="5">
        <v>1190.0</v>
      </c>
      <c r="D176" s="5">
        <v>29750.0</v>
      </c>
      <c r="E176" s="325">
        <v>25.0</v>
      </c>
      <c r="F176" s="5">
        <v>11.48</v>
      </c>
      <c r="G176" s="5">
        <v>1.0</v>
      </c>
      <c r="H176" s="326">
        <v>287.0</v>
      </c>
      <c r="I176" s="5" t="s">
        <v>751</v>
      </c>
      <c r="J176" s="320" t="s">
        <v>722</v>
      </c>
      <c r="K176" s="5">
        <v>1190.0</v>
      </c>
      <c r="L176" s="320">
        <v>86.1</v>
      </c>
      <c r="W176" s="320"/>
    </row>
    <row r="177">
      <c r="A177" s="5"/>
      <c r="B177" s="324">
        <v>44652.0</v>
      </c>
      <c r="C177" s="5">
        <v>99.0</v>
      </c>
      <c r="D177" s="5">
        <v>2475.0</v>
      </c>
      <c r="E177" s="325">
        <v>25.0</v>
      </c>
      <c r="F177" s="5">
        <v>-4.88</v>
      </c>
      <c r="G177" s="5">
        <v>1.0</v>
      </c>
      <c r="H177" s="326">
        <v>-122.0</v>
      </c>
      <c r="I177" s="5" t="s">
        <v>751</v>
      </c>
      <c r="J177" s="320" t="s">
        <v>722</v>
      </c>
      <c r="K177" s="5">
        <v>99.0</v>
      </c>
      <c r="L177" s="320">
        <v>-36.6</v>
      </c>
      <c r="W177" s="320"/>
    </row>
    <row r="178">
      <c r="A178" s="5"/>
      <c r="B178" s="324">
        <v>44682.0</v>
      </c>
      <c r="C178" s="5">
        <v>58.0</v>
      </c>
      <c r="D178" s="5">
        <v>1450.0</v>
      </c>
      <c r="E178" s="325">
        <v>25.0</v>
      </c>
      <c r="F178" s="5">
        <v>7.56</v>
      </c>
      <c r="G178" s="5">
        <v>1.0</v>
      </c>
      <c r="H178" s="326">
        <v>189.0</v>
      </c>
      <c r="I178" s="5" t="s">
        <v>751</v>
      </c>
      <c r="J178" s="320" t="s">
        <v>722</v>
      </c>
      <c r="K178" s="5">
        <v>58.0</v>
      </c>
      <c r="L178" s="320">
        <v>56.699999999999996</v>
      </c>
      <c r="W178" s="320"/>
    </row>
    <row r="179">
      <c r="A179" s="5"/>
      <c r="B179" s="324">
        <v>44713.0</v>
      </c>
      <c r="C179" s="5">
        <v>595.0</v>
      </c>
      <c r="D179" s="5">
        <v>14875.0</v>
      </c>
      <c r="E179" s="325">
        <v>25.0</v>
      </c>
      <c r="F179" s="5">
        <v>29.8</v>
      </c>
      <c r="G179" s="5">
        <v>1.0</v>
      </c>
      <c r="H179" s="326">
        <v>745.0</v>
      </c>
      <c r="I179" s="5" t="s">
        <v>751</v>
      </c>
      <c r="J179" s="320" t="s">
        <v>722</v>
      </c>
      <c r="K179" s="5">
        <v>595.0</v>
      </c>
      <c r="L179" s="320">
        <v>223.5</v>
      </c>
      <c r="W179" s="320"/>
    </row>
    <row r="180">
      <c r="A180" s="5"/>
      <c r="B180" s="324">
        <v>44743.0</v>
      </c>
      <c r="C180" s="5">
        <v>520.0</v>
      </c>
      <c r="D180" s="5">
        <v>13000.0</v>
      </c>
      <c r="E180" s="325">
        <v>25.0</v>
      </c>
      <c r="F180" s="5">
        <v>2.56</v>
      </c>
      <c r="G180" s="5">
        <v>1.0</v>
      </c>
      <c r="H180" s="326">
        <v>64.0</v>
      </c>
      <c r="I180" s="5" t="s">
        <v>751</v>
      </c>
      <c r="J180" s="320" t="s">
        <v>722</v>
      </c>
      <c r="K180" s="5">
        <v>520.0</v>
      </c>
      <c r="L180" s="320">
        <v>19.2</v>
      </c>
      <c r="W180" s="320"/>
    </row>
    <row r="181">
      <c r="A181" s="5"/>
      <c r="B181" s="324">
        <v>44774.0</v>
      </c>
      <c r="C181" s="5">
        <v>998.0</v>
      </c>
      <c r="D181" s="5">
        <v>24950.0</v>
      </c>
      <c r="E181" s="325">
        <v>25.0</v>
      </c>
      <c r="F181" s="5">
        <v>2.44</v>
      </c>
      <c r="G181" s="5">
        <v>1.0</v>
      </c>
      <c r="H181" s="326">
        <v>61.0</v>
      </c>
      <c r="I181" s="5" t="s">
        <v>751</v>
      </c>
      <c r="J181" s="320" t="s">
        <v>722</v>
      </c>
      <c r="K181" s="5">
        <v>998.0</v>
      </c>
      <c r="L181" s="320">
        <v>18.3</v>
      </c>
      <c r="W181" s="320"/>
    </row>
    <row r="182">
      <c r="A182" s="5"/>
      <c r="B182" s="324">
        <v>44805.0</v>
      </c>
      <c r="C182" s="5">
        <v>1606.0</v>
      </c>
      <c r="D182" s="5">
        <v>40210.0</v>
      </c>
      <c r="E182" s="325">
        <v>25.0373599003736</v>
      </c>
      <c r="F182" s="5">
        <v>32.35165381745834</v>
      </c>
      <c r="G182" s="5">
        <v>1.0</v>
      </c>
      <c r="H182" s="326">
        <v>810.0</v>
      </c>
      <c r="I182" s="5" t="s">
        <v>751</v>
      </c>
      <c r="J182" s="320" t="s">
        <v>722</v>
      </c>
      <c r="K182" s="5">
        <v>1605.3333333333333</v>
      </c>
      <c r="L182" s="320">
        <v>243.0</v>
      </c>
      <c r="W182" s="320"/>
    </row>
    <row r="183">
      <c r="A183" s="5"/>
      <c r="B183" s="324">
        <v>44835.0</v>
      </c>
      <c r="C183" s="5">
        <v>1175.0</v>
      </c>
      <c r="D183" s="5">
        <v>35475.0</v>
      </c>
      <c r="E183" s="325">
        <v>30.19148936170213</v>
      </c>
      <c r="F183" s="5">
        <v>16.892177589852007</v>
      </c>
      <c r="G183" s="5">
        <v>1.0</v>
      </c>
      <c r="H183" s="326">
        <v>510.0</v>
      </c>
      <c r="I183" s="5" t="s">
        <v>751</v>
      </c>
      <c r="J183" s="320" t="s">
        <v>722</v>
      </c>
      <c r="K183" s="5">
        <v>1175.0</v>
      </c>
      <c r="L183" s="320">
        <v>153.0</v>
      </c>
      <c r="W183" s="320"/>
    </row>
    <row r="184">
      <c r="A184" s="5"/>
      <c r="B184" s="324">
        <v>44866.0</v>
      </c>
      <c r="C184" s="5">
        <v>640.0</v>
      </c>
      <c r="D184" s="5">
        <v>16000.0</v>
      </c>
      <c r="E184" s="325">
        <v>25.0</v>
      </c>
      <c r="F184" s="5">
        <v>-13.64</v>
      </c>
      <c r="G184" s="5">
        <v>1.0</v>
      </c>
      <c r="H184" s="326">
        <v>-341.0</v>
      </c>
      <c r="I184" s="5" t="s">
        <v>751</v>
      </c>
      <c r="J184" s="320" t="s">
        <v>722</v>
      </c>
      <c r="K184" s="5">
        <v>640.0</v>
      </c>
      <c r="L184" s="320">
        <v>-102.3</v>
      </c>
      <c r="W184" s="320"/>
    </row>
    <row r="185">
      <c r="A185" s="5"/>
      <c r="B185" s="324">
        <v>44896.0</v>
      </c>
      <c r="C185" s="5">
        <v>323.0</v>
      </c>
      <c r="D185" s="5">
        <v>16075.0</v>
      </c>
      <c r="E185" s="325">
        <v>49.76780185758514</v>
      </c>
      <c r="F185" s="5">
        <v>-4.802301710730949</v>
      </c>
      <c r="G185" s="5">
        <v>1.0</v>
      </c>
      <c r="H185" s="326">
        <v>-239.0</v>
      </c>
      <c r="I185" s="5" t="s">
        <v>751</v>
      </c>
      <c r="J185" s="320" t="s">
        <v>722</v>
      </c>
      <c r="K185" s="5">
        <v>323.0</v>
      </c>
      <c r="L185" s="320">
        <v>-62.14000000000001</v>
      </c>
      <c r="W185" s="320"/>
    </row>
    <row r="186">
      <c r="A186" s="5"/>
      <c r="B186" s="324">
        <v>44927.0</v>
      </c>
      <c r="C186" s="5">
        <v>213.0</v>
      </c>
      <c r="D186" s="5">
        <v>10575.0</v>
      </c>
      <c r="E186" s="325">
        <v>49.647887323943664</v>
      </c>
      <c r="F186" s="5">
        <v>-6.002269503546099</v>
      </c>
      <c r="G186" s="5">
        <v>1.0</v>
      </c>
      <c r="H186" s="326">
        <v>-298.0</v>
      </c>
      <c r="I186" s="5" t="s">
        <v>751</v>
      </c>
      <c r="J186" s="320" t="s">
        <v>722</v>
      </c>
      <c r="K186" s="5">
        <v>213.0</v>
      </c>
      <c r="L186" s="320">
        <v>-77.48</v>
      </c>
      <c r="W186" s="320"/>
    </row>
    <row r="187">
      <c r="A187" s="5"/>
      <c r="B187" s="324">
        <v>44958.0</v>
      </c>
      <c r="C187" s="5">
        <v>137.0</v>
      </c>
      <c r="D187" s="5">
        <v>6409.0</v>
      </c>
      <c r="E187" s="325">
        <v>46.78102189781022</v>
      </c>
      <c r="F187" s="5">
        <v>-10.025432984865033</v>
      </c>
      <c r="G187" s="5">
        <v>1.0</v>
      </c>
      <c r="H187" s="326">
        <v>-469.0</v>
      </c>
      <c r="I187" s="5" t="s">
        <v>751</v>
      </c>
      <c r="J187" s="320" t="s">
        <v>722</v>
      </c>
      <c r="K187" s="5">
        <v>137.0</v>
      </c>
      <c r="L187" s="320">
        <v>-121.94</v>
      </c>
      <c r="W187" s="320"/>
    </row>
    <row r="188">
      <c r="A188" s="5"/>
      <c r="B188" s="324">
        <v>44986.0</v>
      </c>
      <c r="C188" s="5">
        <v>1236.0</v>
      </c>
      <c r="D188" s="5">
        <v>39800.0</v>
      </c>
      <c r="E188" s="325">
        <v>32.200647249190936</v>
      </c>
      <c r="F188" s="5">
        <v>-4.627236180904523</v>
      </c>
      <c r="G188" s="5">
        <v>1.0</v>
      </c>
      <c r="H188" s="326">
        <v>-149.0</v>
      </c>
      <c r="I188" s="5" t="s">
        <v>751</v>
      </c>
      <c r="J188" s="320" t="s">
        <v>722</v>
      </c>
      <c r="K188" s="5">
        <v>1236.0</v>
      </c>
      <c r="L188" s="320">
        <v>-44.699999999999996</v>
      </c>
      <c r="W188" s="320"/>
    </row>
    <row r="189">
      <c r="A189" s="5" t="s">
        <v>1090</v>
      </c>
      <c r="B189" s="322"/>
      <c r="C189" s="5">
        <v>14681.0</v>
      </c>
      <c r="D189" s="5">
        <v>363474.0</v>
      </c>
      <c r="E189" s="325">
        <v>24.75812274368231</v>
      </c>
      <c r="F189" s="5">
        <v>157.52405949256342</v>
      </c>
      <c r="G189" s="5">
        <v>20.0</v>
      </c>
      <c r="H189" s="326">
        <v>3900.0</v>
      </c>
      <c r="I189" s="5" t="s">
        <v>751</v>
      </c>
      <c r="J189" s="320" t="s">
        <v>722</v>
      </c>
      <c r="K189" s="5">
        <v>14677.666666666666</v>
      </c>
      <c r="L189" s="320">
        <v>1210.2399999999998</v>
      </c>
      <c r="W189" s="320"/>
    </row>
    <row r="190">
      <c r="A190" s="5" t="s">
        <v>195</v>
      </c>
      <c r="B190" s="324">
        <v>44621.0</v>
      </c>
      <c r="C190" s="5">
        <v>7334.0</v>
      </c>
      <c r="D190" s="5">
        <v>733400.0</v>
      </c>
      <c r="E190" s="325">
        <v>100.0</v>
      </c>
      <c r="F190" s="5">
        <v>-92.09</v>
      </c>
      <c r="G190" s="5">
        <v>1.0</v>
      </c>
      <c r="H190" s="326">
        <v>-9209.0</v>
      </c>
      <c r="I190" s="5" t="s">
        <v>784</v>
      </c>
      <c r="J190" s="320" t="s">
        <v>786</v>
      </c>
      <c r="K190" s="5">
        <v>4813.333333333333</v>
      </c>
      <c r="L190" s="320">
        <v>-2878.0125</v>
      </c>
      <c r="W190" s="320"/>
    </row>
    <row r="191">
      <c r="A191" s="5"/>
      <c r="B191" s="324">
        <v>44743.0</v>
      </c>
      <c r="C191" s="5">
        <v>12338.0</v>
      </c>
      <c r="D191" s="5">
        <v>1309600.0</v>
      </c>
      <c r="E191" s="325">
        <v>106.1436213324688</v>
      </c>
      <c r="F191" s="5">
        <v>304.6438362858888</v>
      </c>
      <c r="G191" s="5">
        <v>1.0</v>
      </c>
      <c r="H191" s="326">
        <v>32336.0</v>
      </c>
      <c r="I191" s="5" t="s">
        <v>784</v>
      </c>
      <c r="J191" s="320" t="s">
        <v>786</v>
      </c>
      <c r="K191" s="5">
        <v>12316.0</v>
      </c>
      <c r="L191" s="320">
        <v>8487.8</v>
      </c>
      <c r="W191" s="320"/>
    </row>
    <row r="192">
      <c r="A192" s="5"/>
      <c r="B192" s="324">
        <v>44805.0</v>
      </c>
      <c r="C192" s="5">
        <v>9613.0</v>
      </c>
      <c r="D192" s="5">
        <v>1018050.0</v>
      </c>
      <c r="E192" s="325">
        <v>105.90346405908666</v>
      </c>
      <c r="F192" s="5">
        <v>101.81914346053729</v>
      </c>
      <c r="G192" s="5">
        <v>1.0</v>
      </c>
      <c r="H192" s="326">
        <v>10783.0</v>
      </c>
      <c r="I192" s="5" t="s">
        <v>784</v>
      </c>
      <c r="J192" s="320" t="s">
        <v>786</v>
      </c>
      <c r="K192" s="5">
        <v>8781.0</v>
      </c>
      <c r="L192" s="320">
        <v>2829.0875</v>
      </c>
      <c r="W192" s="320"/>
    </row>
    <row r="193">
      <c r="A193" s="5"/>
      <c r="B193" s="324">
        <v>44835.0</v>
      </c>
      <c r="C193" s="5">
        <v>8514.0</v>
      </c>
      <c r="D193" s="5">
        <v>832800.0</v>
      </c>
      <c r="E193" s="325">
        <v>97.815362931642</v>
      </c>
      <c r="F193" s="5">
        <v>185.28786743515852</v>
      </c>
      <c r="G193" s="5">
        <v>1.0</v>
      </c>
      <c r="H193" s="326">
        <v>18124.0</v>
      </c>
      <c r="I193" s="5" t="s">
        <v>784</v>
      </c>
      <c r="J193" s="320" t="s">
        <v>786</v>
      </c>
      <c r="K193" s="5">
        <v>8307.999999999998</v>
      </c>
      <c r="L193" s="320">
        <v>4756.950000000001</v>
      </c>
      <c r="W193" s="320"/>
    </row>
    <row r="194">
      <c r="A194" s="5"/>
      <c r="B194" s="324">
        <v>44866.0</v>
      </c>
      <c r="C194" s="5">
        <v>5609.0</v>
      </c>
      <c r="D194" s="5">
        <v>721200.0</v>
      </c>
      <c r="E194" s="325">
        <v>128.57906935282583</v>
      </c>
      <c r="F194" s="5">
        <v>151.8676414309484</v>
      </c>
      <c r="G194" s="5">
        <v>1.0</v>
      </c>
      <c r="H194" s="326">
        <v>19527.0</v>
      </c>
      <c r="I194" s="5" t="s">
        <v>784</v>
      </c>
      <c r="J194" s="320" t="s">
        <v>786</v>
      </c>
      <c r="K194" s="5">
        <v>4838.0</v>
      </c>
      <c r="L194" s="320">
        <v>5125.7875</v>
      </c>
      <c r="W194" s="320"/>
    </row>
    <row r="195">
      <c r="A195" s="5"/>
      <c r="B195" s="324">
        <v>44896.0</v>
      </c>
      <c r="C195" s="5">
        <v>4502.0</v>
      </c>
      <c r="D195" s="5">
        <v>670152.25</v>
      </c>
      <c r="E195" s="325">
        <v>148.8565637494447</v>
      </c>
      <c r="F195" s="5">
        <v>180.17344566104194</v>
      </c>
      <c r="G195" s="5">
        <v>1.0</v>
      </c>
      <c r="H195" s="326">
        <v>26820.0</v>
      </c>
      <c r="I195" s="5" t="s">
        <v>784</v>
      </c>
      <c r="J195" s="320" t="s">
        <v>786</v>
      </c>
      <c r="K195" s="5">
        <v>3736.333333333333</v>
      </c>
      <c r="L195" s="320">
        <v>7041.25</v>
      </c>
      <c r="W195" s="320"/>
    </row>
    <row r="196">
      <c r="A196" s="5"/>
      <c r="B196" s="324">
        <v>44927.0</v>
      </c>
      <c r="C196" s="5">
        <v>3801.0</v>
      </c>
      <c r="D196" s="5">
        <v>585285.0</v>
      </c>
      <c r="E196" s="325">
        <v>153.98184688239937</v>
      </c>
      <c r="F196" s="5">
        <v>74.93740485404547</v>
      </c>
      <c r="G196" s="5">
        <v>1.0</v>
      </c>
      <c r="H196" s="326">
        <v>11539.0</v>
      </c>
      <c r="I196" s="5" t="s">
        <v>784</v>
      </c>
      <c r="J196" s="320" t="s">
        <v>786</v>
      </c>
      <c r="K196" s="5">
        <v>3788.3333333333335</v>
      </c>
      <c r="L196" s="320">
        <v>3029.1375</v>
      </c>
      <c r="W196" s="320"/>
    </row>
    <row r="197">
      <c r="A197" s="5"/>
      <c r="B197" s="324">
        <v>44958.0</v>
      </c>
      <c r="C197" s="5">
        <v>7615.0</v>
      </c>
      <c r="D197" s="5">
        <v>1272000.0</v>
      </c>
      <c r="E197" s="325">
        <v>167.0387393302692</v>
      </c>
      <c r="F197" s="5">
        <v>223.38530660377359</v>
      </c>
      <c r="G197" s="5">
        <v>1.0</v>
      </c>
      <c r="H197" s="326">
        <v>37314.0</v>
      </c>
      <c r="I197" s="5" t="s">
        <v>784</v>
      </c>
      <c r="J197" s="320" t="s">
        <v>786</v>
      </c>
      <c r="K197" s="5">
        <v>5594.666666666667</v>
      </c>
      <c r="L197" s="320">
        <v>5597.099999999999</v>
      </c>
      <c r="W197" s="320"/>
    </row>
    <row r="198">
      <c r="A198" s="5"/>
      <c r="B198" s="324">
        <v>44986.0</v>
      </c>
      <c r="C198" s="5">
        <v>2437.0</v>
      </c>
      <c r="D198" s="5">
        <v>536050.0</v>
      </c>
      <c r="E198" s="325">
        <v>219.96306934755847</v>
      </c>
      <c r="F198" s="5">
        <v>96.13886577744613</v>
      </c>
      <c r="G198" s="5">
        <v>1.0</v>
      </c>
      <c r="H198" s="326">
        <v>21147.0</v>
      </c>
      <c r="I198" s="5" t="s">
        <v>784</v>
      </c>
      <c r="J198" s="320" t="s">
        <v>786</v>
      </c>
      <c r="K198" s="5">
        <v>2167.3333333333335</v>
      </c>
      <c r="L198" s="320">
        <v>3172.05</v>
      </c>
      <c r="W198" s="320"/>
    </row>
    <row r="199">
      <c r="A199" s="5" t="s">
        <v>1091</v>
      </c>
      <c r="B199" s="322"/>
      <c r="C199" s="5">
        <v>61763.0</v>
      </c>
      <c r="D199" s="5">
        <v>7678537.25</v>
      </c>
      <c r="E199" s="325">
        <v>124.3226081958454</v>
      </c>
      <c r="F199" s="5">
        <v>1354.3876085253087</v>
      </c>
      <c r="G199" s="5">
        <v>9.0</v>
      </c>
      <c r="H199" s="326">
        <v>168381.0</v>
      </c>
      <c r="I199" s="5" t="s">
        <v>784</v>
      </c>
      <c r="J199" s="320" t="s">
        <v>786</v>
      </c>
      <c r="K199" s="5">
        <v>54343.00000000001</v>
      </c>
      <c r="L199" s="320">
        <v>37161.149999999994</v>
      </c>
      <c r="W199" s="320"/>
    </row>
    <row r="200">
      <c r="A200" s="5" t="s">
        <v>459</v>
      </c>
      <c r="B200" s="324">
        <v>44713.0</v>
      </c>
      <c r="C200" s="320">
        <v>2399.0</v>
      </c>
      <c r="D200" s="5">
        <v>663150.0</v>
      </c>
      <c r="E200" s="325">
        <v>276.42767819924967</v>
      </c>
      <c r="F200" s="5">
        <v>92.10727437231397</v>
      </c>
      <c r="G200" s="5">
        <v>1.0</v>
      </c>
      <c r="H200" s="326">
        <v>25461.0</v>
      </c>
      <c r="I200" s="5" t="s">
        <v>739</v>
      </c>
      <c r="J200" s="320" t="s">
        <v>741</v>
      </c>
      <c r="K200" s="5">
        <v>1199.5</v>
      </c>
      <c r="L200" s="320">
        <v>5601.0</v>
      </c>
      <c r="W200" s="320"/>
    </row>
    <row r="201">
      <c r="A201" s="5"/>
      <c r="B201" s="324">
        <v>44743.0</v>
      </c>
      <c r="C201" s="5">
        <v>1519.0</v>
      </c>
      <c r="D201" s="5">
        <v>463100.0</v>
      </c>
      <c r="E201" s="325">
        <v>304.87162606978274</v>
      </c>
      <c r="F201" s="5">
        <v>72.67321096955301</v>
      </c>
      <c r="G201" s="5">
        <v>1.0</v>
      </c>
      <c r="H201" s="326">
        <v>22156.0</v>
      </c>
      <c r="I201" s="5" t="s">
        <v>739</v>
      </c>
      <c r="J201" s="320" t="s">
        <v>741</v>
      </c>
      <c r="K201" s="5">
        <v>759.5</v>
      </c>
      <c r="L201" s="320">
        <v>4874.0</v>
      </c>
      <c r="W201" s="320"/>
    </row>
    <row r="202">
      <c r="A202" s="5"/>
      <c r="B202" s="324">
        <v>44774.0</v>
      </c>
      <c r="C202" s="5">
        <v>1423.0</v>
      </c>
      <c r="D202" s="5">
        <v>424600.0</v>
      </c>
      <c r="E202" s="325">
        <v>298.3836964160225</v>
      </c>
      <c r="F202" s="5">
        <v>-74.20981865284975</v>
      </c>
      <c r="G202" s="5">
        <v>1.0</v>
      </c>
      <c r="H202" s="326">
        <v>-22143.0</v>
      </c>
      <c r="I202" s="5" t="s">
        <v>739</v>
      </c>
      <c r="J202" s="320" t="s">
        <v>741</v>
      </c>
      <c r="K202" s="5">
        <v>709.1666666666667</v>
      </c>
      <c r="L202" s="320">
        <v>-4429.0</v>
      </c>
      <c r="W202" s="320"/>
    </row>
    <row r="203">
      <c r="A203" s="5"/>
      <c r="B203" s="324">
        <v>44805.0</v>
      </c>
      <c r="C203" s="5">
        <v>1371.0</v>
      </c>
      <c r="D203" s="5">
        <v>439750.0</v>
      </c>
      <c r="E203" s="325">
        <v>320.75127644055436</v>
      </c>
      <c r="F203" s="5">
        <v>118.46250596930074</v>
      </c>
      <c r="G203" s="5">
        <v>1.0</v>
      </c>
      <c r="H203" s="326">
        <v>37997.0</v>
      </c>
      <c r="I203" s="5" t="s">
        <v>739</v>
      </c>
      <c r="J203" s="320" t="s">
        <v>741</v>
      </c>
      <c r="K203" s="5">
        <v>685.3333333333334</v>
      </c>
      <c r="L203" s="320">
        <v>7599.0</v>
      </c>
      <c r="W203" s="320"/>
    </row>
    <row r="204">
      <c r="A204" s="5"/>
      <c r="B204" s="324">
        <v>44835.0</v>
      </c>
      <c r="C204" s="320">
        <v>2241.0</v>
      </c>
      <c r="D204" s="5">
        <v>680250.0</v>
      </c>
      <c r="E204" s="325">
        <v>303.5475234270415</v>
      </c>
      <c r="F204" s="5">
        <v>-16.55753914002205</v>
      </c>
      <c r="G204" s="5">
        <v>1.0</v>
      </c>
      <c r="H204" s="326">
        <v>-5026.0</v>
      </c>
      <c r="I204" s="5" t="s">
        <v>739</v>
      </c>
      <c r="J204" s="320" t="s">
        <v>741</v>
      </c>
      <c r="K204" s="5">
        <v>1120.3333333333333</v>
      </c>
      <c r="L204" s="320">
        <v>-1005.0</v>
      </c>
      <c r="W204" s="320"/>
    </row>
    <row r="205">
      <c r="A205" s="5"/>
      <c r="B205" s="324">
        <v>44866.0</v>
      </c>
      <c r="C205" s="320">
        <v>1033.0</v>
      </c>
      <c r="D205" s="5">
        <v>298750.0</v>
      </c>
      <c r="E205" s="325">
        <v>289.20619554695065</v>
      </c>
      <c r="F205" s="5">
        <v>7.285459414225941</v>
      </c>
      <c r="G205" s="5">
        <v>1.0</v>
      </c>
      <c r="H205" s="326">
        <v>2107.0</v>
      </c>
      <c r="I205" s="5" t="s">
        <v>739</v>
      </c>
      <c r="J205" s="320" t="s">
        <v>741</v>
      </c>
      <c r="K205" s="5">
        <v>516.5</v>
      </c>
      <c r="L205" s="320">
        <v>421.0</v>
      </c>
      <c r="W205" s="320"/>
    </row>
    <row r="206">
      <c r="A206" s="5"/>
      <c r="B206" s="324">
        <v>44896.0</v>
      </c>
      <c r="C206" s="320">
        <v>552.0</v>
      </c>
      <c r="D206" s="5">
        <v>73350.0</v>
      </c>
      <c r="E206" s="325">
        <v>132.8804347826087</v>
      </c>
      <c r="F206" s="5">
        <v>8.850061349693252</v>
      </c>
      <c r="G206" s="5">
        <v>1.0</v>
      </c>
      <c r="H206" s="326">
        <v>1176.0</v>
      </c>
      <c r="I206" s="5" t="s">
        <v>739</v>
      </c>
      <c r="J206" s="320" t="s">
        <v>741</v>
      </c>
      <c r="K206" s="5">
        <v>504.0</v>
      </c>
      <c r="L206" s="320">
        <v>235.0</v>
      </c>
      <c r="W206" s="320"/>
    </row>
    <row r="207">
      <c r="A207" s="5"/>
      <c r="B207" s="324">
        <v>44927.0</v>
      </c>
      <c r="C207" s="320">
        <v>2880.0</v>
      </c>
      <c r="D207" s="5">
        <v>730850.0</v>
      </c>
      <c r="E207" s="325">
        <v>253.76736111111111</v>
      </c>
      <c r="F207" s="5">
        <v>-69.03961141137032</v>
      </c>
      <c r="G207" s="5">
        <v>1.0</v>
      </c>
      <c r="H207" s="326">
        <v>-17520.0</v>
      </c>
      <c r="I207" s="5" t="s">
        <v>739</v>
      </c>
      <c r="J207" s="320" t="s">
        <v>741</v>
      </c>
      <c r="K207" s="5">
        <v>1498.6666666666667</v>
      </c>
      <c r="L207" s="320">
        <v>-3503.0</v>
      </c>
      <c r="W207" s="320"/>
    </row>
    <row r="208">
      <c r="A208" s="5"/>
      <c r="B208" s="324">
        <v>44958.0</v>
      </c>
      <c r="C208" s="5">
        <v>1455.0</v>
      </c>
      <c r="D208" s="5">
        <v>388350.0</v>
      </c>
      <c r="E208" s="325">
        <v>266.9072164948454</v>
      </c>
      <c r="F208" s="5">
        <v>21.404441869447663</v>
      </c>
      <c r="G208" s="5">
        <v>1.0</v>
      </c>
      <c r="H208" s="326">
        <v>5713.0</v>
      </c>
      <c r="I208" s="5" t="s">
        <v>739</v>
      </c>
      <c r="J208" s="320" t="s">
        <v>741</v>
      </c>
      <c r="K208" s="5">
        <v>727.5</v>
      </c>
      <c r="L208" s="320">
        <v>1142.6</v>
      </c>
      <c r="W208" s="320"/>
    </row>
    <row r="209">
      <c r="A209" s="5" t="s">
        <v>1092</v>
      </c>
      <c r="B209" s="322"/>
      <c r="C209" s="5">
        <v>14873.0</v>
      </c>
      <c r="D209" s="5">
        <v>4162150.0</v>
      </c>
      <c r="E209" s="325">
        <v>279.84602971828144</v>
      </c>
      <c r="F209" s="5">
        <v>178.3873798397463</v>
      </c>
      <c r="G209" s="5">
        <v>9.0</v>
      </c>
      <c r="H209" s="326">
        <v>49921.0</v>
      </c>
      <c r="I209" s="5" t="s">
        <v>739</v>
      </c>
      <c r="J209" s="320" t="s">
        <v>741</v>
      </c>
      <c r="K209" s="5">
        <v>7720.5</v>
      </c>
      <c r="L209" s="320">
        <v>10935.599999999999</v>
      </c>
      <c r="W209" s="320"/>
    </row>
    <row r="210">
      <c r="A210" s="5" t="s">
        <v>181</v>
      </c>
      <c r="B210" s="324">
        <v>44470.0</v>
      </c>
      <c r="C210" s="5">
        <v>5200.0</v>
      </c>
      <c r="D210" s="5">
        <v>520000.0</v>
      </c>
      <c r="E210" s="325">
        <v>100.0</v>
      </c>
      <c r="F210" s="5">
        <v>55.71</v>
      </c>
      <c r="G210" s="5">
        <v>1.0</v>
      </c>
      <c r="H210" s="326">
        <v>5571.0</v>
      </c>
      <c r="I210" s="5" t="s">
        <v>739</v>
      </c>
      <c r="J210" s="320" t="s">
        <v>722</v>
      </c>
      <c r="K210" s="5">
        <v>5200.0</v>
      </c>
      <c r="L210" s="320">
        <v>1002.78</v>
      </c>
      <c r="W210" s="320"/>
    </row>
    <row r="211">
      <c r="A211" s="5"/>
      <c r="B211" s="324">
        <v>44501.0</v>
      </c>
      <c r="C211" s="5">
        <v>1010.0</v>
      </c>
      <c r="D211" s="5">
        <v>101000.0</v>
      </c>
      <c r="E211" s="325">
        <v>100.0</v>
      </c>
      <c r="F211" s="5">
        <v>-38.18</v>
      </c>
      <c r="G211" s="5">
        <v>1.0</v>
      </c>
      <c r="H211" s="326">
        <v>-3818.0</v>
      </c>
      <c r="I211" s="5" t="s">
        <v>739</v>
      </c>
      <c r="J211" s="320" t="s">
        <v>722</v>
      </c>
      <c r="K211" s="5">
        <v>1010.0</v>
      </c>
      <c r="L211" s="320">
        <v>-687.24</v>
      </c>
      <c r="W211" s="320"/>
    </row>
    <row r="212">
      <c r="A212" s="5"/>
      <c r="B212" s="324">
        <v>44531.0</v>
      </c>
      <c r="C212" s="5">
        <v>1297.0</v>
      </c>
      <c r="D212" s="5">
        <v>129700.0</v>
      </c>
      <c r="E212" s="325">
        <v>100.0</v>
      </c>
      <c r="F212" s="5">
        <v>114.16</v>
      </c>
      <c r="G212" s="5">
        <v>1.0</v>
      </c>
      <c r="H212" s="326">
        <v>11416.0</v>
      </c>
      <c r="I212" s="5" t="s">
        <v>739</v>
      </c>
      <c r="J212" s="320" t="s">
        <v>722</v>
      </c>
      <c r="K212" s="5">
        <v>1297.0</v>
      </c>
      <c r="L212" s="320">
        <v>2054.8799999999997</v>
      </c>
      <c r="W212" s="320"/>
    </row>
    <row r="213">
      <c r="A213" s="5"/>
      <c r="B213" s="324">
        <v>44562.0</v>
      </c>
      <c r="C213" s="5">
        <v>528.0</v>
      </c>
      <c r="D213" s="5">
        <v>52800.0</v>
      </c>
      <c r="E213" s="325">
        <v>100.0</v>
      </c>
      <c r="F213" s="5">
        <v>72.31</v>
      </c>
      <c r="G213" s="5">
        <v>1.0</v>
      </c>
      <c r="H213" s="326">
        <v>7231.0</v>
      </c>
      <c r="I213" s="5" t="s">
        <v>739</v>
      </c>
      <c r="J213" s="320" t="s">
        <v>722</v>
      </c>
      <c r="K213" s="5">
        <v>528.0</v>
      </c>
      <c r="L213" s="320">
        <v>1301.58</v>
      </c>
      <c r="W213" s="320"/>
    </row>
    <row r="214">
      <c r="A214" s="5"/>
      <c r="B214" s="324">
        <v>44593.0</v>
      </c>
      <c r="C214" s="5">
        <v>1196.0</v>
      </c>
      <c r="D214" s="5">
        <v>119600.0</v>
      </c>
      <c r="E214" s="325">
        <v>100.0</v>
      </c>
      <c r="F214" s="5">
        <v>65.34</v>
      </c>
      <c r="G214" s="5">
        <v>1.0</v>
      </c>
      <c r="H214" s="326">
        <v>6534.0</v>
      </c>
      <c r="I214" s="5" t="s">
        <v>739</v>
      </c>
      <c r="J214" s="320" t="s">
        <v>722</v>
      </c>
      <c r="K214" s="5">
        <v>1196.0</v>
      </c>
      <c r="L214" s="320">
        <v>1482.0</v>
      </c>
      <c r="W214" s="320"/>
    </row>
    <row r="215">
      <c r="A215" s="5"/>
      <c r="B215" s="324">
        <v>44621.0</v>
      </c>
      <c r="C215" s="5">
        <v>7117.0</v>
      </c>
      <c r="D215" s="5">
        <v>716850.0</v>
      </c>
      <c r="E215" s="325">
        <v>100.7236195025994</v>
      </c>
      <c r="F215" s="5">
        <v>63.808270907442285</v>
      </c>
      <c r="G215" s="5">
        <v>1.0</v>
      </c>
      <c r="H215" s="326">
        <v>6427.0</v>
      </c>
      <c r="I215" s="5" t="s">
        <v>739</v>
      </c>
      <c r="J215" s="320" t="s">
        <v>722</v>
      </c>
      <c r="K215" s="5">
        <v>2606.3333333333335</v>
      </c>
      <c r="L215" s="320">
        <v>964.0</v>
      </c>
      <c r="W215" s="320"/>
    </row>
    <row r="216">
      <c r="A216" s="5"/>
      <c r="B216" s="324">
        <v>44652.0</v>
      </c>
      <c r="C216" s="5">
        <v>15318.0</v>
      </c>
      <c r="D216" s="5">
        <v>1644700.0</v>
      </c>
      <c r="E216" s="325">
        <v>107.37041389215302</v>
      </c>
      <c r="F216" s="5">
        <v>-11.912033805557245</v>
      </c>
      <c r="G216" s="5">
        <v>1.0</v>
      </c>
      <c r="H216" s="326">
        <v>-1279.0</v>
      </c>
      <c r="I216" s="5" t="s">
        <v>739</v>
      </c>
      <c r="J216" s="320" t="s">
        <v>722</v>
      </c>
      <c r="K216" s="5">
        <v>5106.0</v>
      </c>
      <c r="L216" s="320">
        <v>-191.0</v>
      </c>
      <c r="W216" s="320"/>
    </row>
    <row r="217">
      <c r="A217" s="5"/>
      <c r="B217" s="324">
        <v>44682.0</v>
      </c>
      <c r="C217" s="5">
        <v>10906.0</v>
      </c>
      <c r="D217" s="5">
        <v>1263400.0</v>
      </c>
      <c r="E217" s="325">
        <v>115.84448927196038</v>
      </c>
      <c r="F217" s="5">
        <v>-40.98598068703499</v>
      </c>
      <c r="G217" s="5">
        <v>1.0</v>
      </c>
      <c r="H217" s="326">
        <v>-4748.0</v>
      </c>
      <c r="I217" s="5" t="s">
        <v>739</v>
      </c>
      <c r="J217" s="320" t="s">
        <v>722</v>
      </c>
      <c r="K217" s="5">
        <v>3635.3333333333335</v>
      </c>
      <c r="L217" s="320">
        <v>-712.0</v>
      </c>
      <c r="W217" s="320"/>
    </row>
    <row r="218">
      <c r="A218" s="5"/>
      <c r="B218" s="324">
        <v>44713.0</v>
      </c>
      <c r="C218" s="5">
        <v>9135.0</v>
      </c>
      <c r="D218" s="5">
        <v>935200.0</v>
      </c>
      <c r="E218" s="325">
        <v>102.37547892720306</v>
      </c>
      <c r="F218" s="5">
        <v>-85.9873877245509</v>
      </c>
      <c r="G218" s="5">
        <v>1.0</v>
      </c>
      <c r="H218" s="326">
        <v>-8803.0</v>
      </c>
      <c r="I218" s="5" t="s">
        <v>739</v>
      </c>
      <c r="J218" s="320" t="s">
        <v>722</v>
      </c>
      <c r="K218" s="5">
        <v>3045.0</v>
      </c>
      <c r="L218" s="320">
        <v>-1321.0</v>
      </c>
      <c r="W218" s="320"/>
    </row>
    <row r="219">
      <c r="A219" s="5"/>
      <c r="B219" s="324">
        <v>44743.0</v>
      </c>
      <c r="C219" s="5">
        <v>4314.0</v>
      </c>
      <c r="D219" s="5">
        <v>431400.0</v>
      </c>
      <c r="E219" s="325">
        <v>100.0</v>
      </c>
      <c r="F219" s="5">
        <v>8.06</v>
      </c>
      <c r="G219" s="5">
        <v>1.0</v>
      </c>
      <c r="H219" s="326">
        <v>806.0</v>
      </c>
      <c r="I219" s="5" t="s">
        <v>739</v>
      </c>
      <c r="J219" s="320" t="s">
        <v>722</v>
      </c>
      <c r="K219" s="5">
        <v>1438.0</v>
      </c>
      <c r="L219" s="320">
        <v>121.0</v>
      </c>
      <c r="W219" s="320"/>
    </row>
    <row r="220">
      <c r="A220" s="5"/>
      <c r="B220" s="324">
        <v>44774.0</v>
      </c>
      <c r="C220" s="5">
        <v>6021.0</v>
      </c>
      <c r="D220" s="5">
        <v>602100.0</v>
      </c>
      <c r="E220" s="325">
        <v>100.0</v>
      </c>
      <c r="F220" s="5">
        <v>104.22</v>
      </c>
      <c r="G220" s="5">
        <v>1.0</v>
      </c>
      <c r="H220" s="326">
        <v>10422.0</v>
      </c>
      <c r="I220" s="5" t="s">
        <v>739</v>
      </c>
      <c r="J220" s="320" t="s">
        <v>722</v>
      </c>
      <c r="K220" s="5">
        <v>2007.0</v>
      </c>
      <c r="L220" s="320">
        <v>1563.0</v>
      </c>
      <c r="W220" s="320"/>
    </row>
    <row r="221">
      <c r="A221" s="5"/>
      <c r="B221" s="324">
        <v>44805.0</v>
      </c>
      <c r="C221" s="5">
        <v>1704.0</v>
      </c>
      <c r="D221" s="5">
        <v>170400.0</v>
      </c>
      <c r="E221" s="325">
        <v>100.0</v>
      </c>
      <c r="F221" s="5">
        <v>-55.19</v>
      </c>
      <c r="G221" s="5">
        <v>1.0</v>
      </c>
      <c r="H221" s="326">
        <v>-5519.0</v>
      </c>
      <c r="I221" s="5" t="s">
        <v>739</v>
      </c>
      <c r="J221" s="320" t="s">
        <v>722</v>
      </c>
      <c r="K221" s="5">
        <v>568.0</v>
      </c>
      <c r="L221" s="320">
        <v>-828.0</v>
      </c>
      <c r="W221" s="320"/>
    </row>
    <row r="222">
      <c r="A222" s="5"/>
      <c r="B222" s="324">
        <v>44835.0</v>
      </c>
      <c r="C222" s="5">
        <v>8507.0</v>
      </c>
      <c r="D222" s="5">
        <v>853500.0</v>
      </c>
      <c r="E222" s="325">
        <v>100.32914070765253</v>
      </c>
      <c r="F222" s="5">
        <v>63.22191095489162</v>
      </c>
      <c r="G222" s="5">
        <v>1.0</v>
      </c>
      <c r="H222" s="326">
        <v>6343.0</v>
      </c>
      <c r="I222" s="5" t="s">
        <v>739</v>
      </c>
      <c r="J222" s="320" t="s">
        <v>722</v>
      </c>
      <c r="K222" s="5">
        <v>2835.666666666667</v>
      </c>
      <c r="L222" s="320">
        <v>952.0</v>
      </c>
      <c r="W222" s="320"/>
    </row>
    <row r="223">
      <c r="A223" s="5"/>
      <c r="B223" s="324">
        <v>44866.0</v>
      </c>
      <c r="C223" s="5">
        <v>8818.0</v>
      </c>
      <c r="D223" s="5">
        <v>1027300.0</v>
      </c>
      <c r="E223" s="325">
        <v>116.50034021320027</v>
      </c>
      <c r="F223" s="5">
        <v>100.40314027061228</v>
      </c>
      <c r="G223" s="5">
        <v>1.0</v>
      </c>
      <c r="H223" s="326">
        <v>11697.0</v>
      </c>
      <c r="I223" s="5" t="s">
        <v>739</v>
      </c>
      <c r="J223" s="320" t="s">
        <v>722</v>
      </c>
      <c r="K223" s="5">
        <v>2939.3333333333335</v>
      </c>
      <c r="L223" s="320">
        <v>1755.0</v>
      </c>
      <c r="W223" s="320"/>
    </row>
    <row r="224">
      <c r="A224" s="5"/>
      <c r="B224" s="324">
        <v>44896.0</v>
      </c>
      <c r="C224" s="5">
        <v>3969.0</v>
      </c>
      <c r="D224" s="5">
        <v>396900.0</v>
      </c>
      <c r="E224" s="325">
        <v>100.0</v>
      </c>
      <c r="F224" s="5">
        <v>98.1</v>
      </c>
      <c r="G224" s="5">
        <v>1.0</v>
      </c>
      <c r="H224" s="326">
        <v>9810.0</v>
      </c>
      <c r="I224" s="5" t="s">
        <v>739</v>
      </c>
      <c r="J224" s="320" t="s">
        <v>722</v>
      </c>
      <c r="K224" s="5">
        <v>1323.0</v>
      </c>
      <c r="L224" s="320">
        <v>1472.0</v>
      </c>
      <c r="W224" s="320"/>
    </row>
    <row r="225">
      <c r="A225" s="5"/>
      <c r="B225" s="324">
        <v>44927.0</v>
      </c>
      <c r="C225" s="5">
        <v>5022.0</v>
      </c>
      <c r="D225" s="5">
        <v>475600.0</v>
      </c>
      <c r="E225" s="325">
        <v>94.70330545599363</v>
      </c>
      <c r="F225" s="5">
        <v>41.48746425567704</v>
      </c>
      <c r="G225" s="5">
        <v>1.0</v>
      </c>
      <c r="H225" s="326">
        <v>3929.0</v>
      </c>
      <c r="I225" s="5" t="s">
        <v>739</v>
      </c>
      <c r="J225" s="320" t="s">
        <v>722</v>
      </c>
      <c r="K225" s="5">
        <v>1674.0</v>
      </c>
      <c r="L225" s="320">
        <v>589.3499999999999</v>
      </c>
      <c r="W225" s="320"/>
    </row>
    <row r="226">
      <c r="A226" s="5"/>
      <c r="B226" s="324">
        <v>44958.0</v>
      </c>
      <c r="C226" s="5">
        <v>4228.0</v>
      </c>
      <c r="D226" s="5">
        <v>339050.0</v>
      </c>
      <c r="E226" s="325">
        <v>80.19157994323557</v>
      </c>
      <c r="F226" s="5">
        <v>-99.74563421324287</v>
      </c>
      <c r="G226" s="5">
        <v>1.0</v>
      </c>
      <c r="H226" s="326">
        <v>-7998.759999999998</v>
      </c>
      <c r="I226" s="5" t="s">
        <v>739</v>
      </c>
      <c r="J226" s="320" t="s">
        <v>722</v>
      </c>
      <c r="K226" s="5">
        <v>1409.3333333333335</v>
      </c>
      <c r="L226" s="320">
        <v>-1199.8139999999996</v>
      </c>
      <c r="W226" s="320"/>
    </row>
    <row r="227">
      <c r="A227" s="5" t="s">
        <v>1093</v>
      </c>
      <c r="B227" s="322"/>
      <c r="C227" s="5">
        <v>94290.0</v>
      </c>
      <c r="D227" s="5">
        <v>9779500.0</v>
      </c>
      <c r="E227" s="325">
        <v>103.71725527627532</v>
      </c>
      <c r="F227" s="5">
        <v>462.9918124239481</v>
      </c>
      <c r="G227" s="5">
        <v>17.0</v>
      </c>
      <c r="H227" s="326">
        <v>48020.240000000005</v>
      </c>
      <c r="I227" s="5" t="s">
        <v>739</v>
      </c>
      <c r="J227" s="320" t="s">
        <v>722</v>
      </c>
      <c r="K227" s="5">
        <v>37818.0</v>
      </c>
      <c r="L227" s="320">
        <v>8318.536</v>
      </c>
      <c r="W227" s="320"/>
    </row>
    <row r="228">
      <c r="A228" s="5" t="s">
        <v>693</v>
      </c>
      <c r="B228" s="324">
        <v>44470.0</v>
      </c>
      <c r="C228" s="5">
        <v>2283.0</v>
      </c>
      <c r="D228" s="5">
        <v>48885.0</v>
      </c>
      <c r="E228" s="325">
        <v>21.412614980289092</v>
      </c>
      <c r="F228" s="5">
        <v>95.41104633323106</v>
      </c>
      <c r="G228" s="5">
        <v>1.0</v>
      </c>
      <c r="H228" s="326">
        <v>2043.0</v>
      </c>
      <c r="I228" s="5" t="s">
        <v>795</v>
      </c>
      <c r="J228" s="320" t="s">
        <v>722</v>
      </c>
      <c r="K228" s="5">
        <v>2283.0</v>
      </c>
      <c r="L228" s="320">
        <v>347.0</v>
      </c>
      <c r="W228" s="320"/>
    </row>
    <row r="229">
      <c r="A229" s="5"/>
      <c r="B229" s="324">
        <v>44501.0</v>
      </c>
      <c r="C229" s="5">
        <v>1757.0</v>
      </c>
      <c r="D229" s="5">
        <v>24995.0</v>
      </c>
      <c r="E229" s="325">
        <v>14.225953329538987</v>
      </c>
      <c r="F229" s="5">
        <v>98.69285857171434</v>
      </c>
      <c r="G229" s="5">
        <v>1.0</v>
      </c>
      <c r="H229" s="326">
        <v>1404.0</v>
      </c>
      <c r="I229" s="5" t="s">
        <v>795</v>
      </c>
      <c r="J229" s="320" t="s">
        <v>722</v>
      </c>
      <c r="K229" s="5">
        <v>1757.0</v>
      </c>
      <c r="L229" s="320">
        <v>239.0</v>
      </c>
      <c r="W229" s="320"/>
    </row>
    <row r="230">
      <c r="A230" s="5"/>
      <c r="B230" s="324">
        <v>44531.0</v>
      </c>
      <c r="C230" s="5">
        <v>1140.0</v>
      </c>
      <c r="D230" s="5">
        <v>18025.0</v>
      </c>
      <c r="E230" s="325">
        <v>15.81140350877193</v>
      </c>
      <c r="F230" s="5">
        <v>48.50929264909848</v>
      </c>
      <c r="G230" s="5">
        <v>1.0</v>
      </c>
      <c r="H230" s="326">
        <v>767.0</v>
      </c>
      <c r="I230" s="5" t="s">
        <v>795</v>
      </c>
      <c r="J230" s="320" t="s">
        <v>722</v>
      </c>
      <c r="K230" s="5">
        <v>1140.0</v>
      </c>
      <c r="L230" s="320">
        <v>131.0</v>
      </c>
      <c r="W230" s="320"/>
    </row>
    <row r="231">
      <c r="A231" s="5"/>
      <c r="B231" s="324">
        <v>44562.0</v>
      </c>
      <c r="C231" s="5">
        <v>2067.0</v>
      </c>
      <c r="D231" s="5">
        <v>22540.0</v>
      </c>
      <c r="E231" s="325">
        <v>10.904692791485244</v>
      </c>
      <c r="F231" s="5">
        <v>133.70390417036378</v>
      </c>
      <c r="G231" s="5">
        <v>1.0</v>
      </c>
      <c r="H231" s="326">
        <v>1458.0</v>
      </c>
      <c r="I231" s="5" t="s">
        <v>795</v>
      </c>
      <c r="J231" s="320" t="s">
        <v>722</v>
      </c>
      <c r="K231" s="5">
        <v>2067.0</v>
      </c>
      <c r="L231" s="320">
        <v>255.0</v>
      </c>
      <c r="W231" s="320"/>
    </row>
    <row r="232">
      <c r="A232" s="5"/>
      <c r="B232" s="324">
        <v>44621.0</v>
      </c>
      <c r="C232" s="320">
        <v>1125.0</v>
      </c>
      <c r="D232" s="5">
        <v>19305.0</v>
      </c>
      <c r="E232" s="325">
        <v>17.16</v>
      </c>
      <c r="F232" s="5">
        <v>71.5034965034965</v>
      </c>
      <c r="G232" s="5">
        <v>1.0</v>
      </c>
      <c r="H232" s="326">
        <v>1227.0</v>
      </c>
      <c r="I232" s="5" t="s">
        <v>795</v>
      </c>
      <c r="J232" s="320" t="s">
        <v>722</v>
      </c>
      <c r="K232" s="5">
        <v>1125.0</v>
      </c>
      <c r="L232" s="320">
        <v>209.0</v>
      </c>
      <c r="W232" s="320"/>
    </row>
    <row r="233">
      <c r="A233" s="5"/>
      <c r="B233" s="324">
        <v>44652.0</v>
      </c>
      <c r="C233" s="320">
        <v>938.0</v>
      </c>
      <c r="D233" s="5">
        <v>21455.0</v>
      </c>
      <c r="E233" s="325">
        <v>22.87313432835821</v>
      </c>
      <c r="F233" s="5">
        <v>55.17389885807504</v>
      </c>
      <c r="G233" s="5">
        <v>1.0</v>
      </c>
      <c r="H233" s="326">
        <v>1262.0</v>
      </c>
      <c r="I233" s="5" t="s">
        <v>795</v>
      </c>
      <c r="J233" s="320" t="s">
        <v>722</v>
      </c>
      <c r="K233" s="5">
        <v>938.0</v>
      </c>
      <c r="L233" s="320">
        <v>316.0</v>
      </c>
      <c r="W233" s="320"/>
    </row>
    <row r="234">
      <c r="A234" s="5"/>
      <c r="B234" s="324">
        <v>44682.0</v>
      </c>
      <c r="C234" s="320">
        <v>1056.0</v>
      </c>
      <c r="D234" s="5">
        <v>15060.0</v>
      </c>
      <c r="E234" s="325">
        <v>14.261363636363637</v>
      </c>
      <c r="F234" s="5">
        <v>68.78725099601593</v>
      </c>
      <c r="G234" s="5">
        <v>1.0</v>
      </c>
      <c r="H234" s="326">
        <v>981.0</v>
      </c>
      <c r="I234" s="5" t="s">
        <v>795</v>
      </c>
      <c r="J234" s="320" t="s">
        <v>722</v>
      </c>
      <c r="K234" s="5">
        <v>1056.0</v>
      </c>
      <c r="L234" s="320">
        <v>167.0</v>
      </c>
      <c r="W234" s="320"/>
    </row>
    <row r="235">
      <c r="A235" s="5"/>
      <c r="B235" s="324">
        <v>44713.0</v>
      </c>
      <c r="C235" s="320">
        <v>1175.0</v>
      </c>
      <c r="D235" s="5">
        <v>6155.0</v>
      </c>
      <c r="E235" s="325">
        <v>5.238297872340426</v>
      </c>
      <c r="F235" s="5">
        <v>-58.415922014622254</v>
      </c>
      <c r="G235" s="5">
        <v>1.0</v>
      </c>
      <c r="H235" s="326">
        <v>-306.0</v>
      </c>
      <c r="I235" s="5" t="s">
        <v>795</v>
      </c>
      <c r="J235" s="320" t="s">
        <v>722</v>
      </c>
      <c r="K235" s="5">
        <v>1175.0</v>
      </c>
      <c r="L235" s="320">
        <v>-38.0</v>
      </c>
      <c r="W235" s="320"/>
    </row>
    <row r="236">
      <c r="A236" s="5"/>
      <c r="B236" s="324">
        <v>44743.0</v>
      </c>
      <c r="C236" s="5">
        <v>1025.0</v>
      </c>
      <c r="D236" s="5">
        <v>5125.0</v>
      </c>
      <c r="E236" s="325">
        <v>5.0</v>
      </c>
      <c r="F236" s="5">
        <v>-105.8</v>
      </c>
      <c r="G236" s="5">
        <v>1.0</v>
      </c>
      <c r="H236" s="326">
        <v>-529.0</v>
      </c>
      <c r="I236" s="5" t="s">
        <v>795</v>
      </c>
      <c r="J236" s="320" t="s">
        <v>722</v>
      </c>
      <c r="K236" s="5">
        <v>1025.0</v>
      </c>
      <c r="L236" s="320">
        <v>-127.0</v>
      </c>
      <c r="W236" s="320"/>
    </row>
    <row r="237">
      <c r="A237" s="5"/>
      <c r="B237" s="324">
        <v>44774.0</v>
      </c>
      <c r="C237" s="320">
        <v>701.0</v>
      </c>
      <c r="D237" s="5">
        <v>3505.0</v>
      </c>
      <c r="E237" s="325">
        <v>5.0</v>
      </c>
      <c r="F237" s="5">
        <v>81.6</v>
      </c>
      <c r="G237" s="5">
        <v>1.0</v>
      </c>
      <c r="H237" s="326">
        <v>408.0</v>
      </c>
      <c r="I237" s="5" t="s">
        <v>795</v>
      </c>
      <c r="J237" s="320" t="s">
        <v>722</v>
      </c>
      <c r="K237" s="320">
        <v>701.0</v>
      </c>
      <c r="L237" s="320">
        <v>65.0</v>
      </c>
      <c r="W237" s="320"/>
    </row>
    <row r="238">
      <c r="A238" s="5"/>
      <c r="B238" s="324">
        <v>44805.0</v>
      </c>
      <c r="C238" s="320">
        <v>646.0</v>
      </c>
      <c r="D238" s="5">
        <v>3230.0</v>
      </c>
      <c r="E238" s="325">
        <v>5.0</v>
      </c>
      <c r="F238" s="5">
        <v>-10.8</v>
      </c>
      <c r="G238" s="5">
        <v>1.0</v>
      </c>
      <c r="H238" s="326">
        <v>-54.0</v>
      </c>
      <c r="I238" s="5" t="s">
        <v>795</v>
      </c>
      <c r="J238" s="320" t="s">
        <v>722</v>
      </c>
      <c r="K238" s="320">
        <v>646.0</v>
      </c>
      <c r="L238" s="320">
        <v>-2.0</v>
      </c>
      <c r="W238" s="320"/>
    </row>
    <row r="239">
      <c r="A239" s="5"/>
      <c r="B239" s="324">
        <v>44835.0</v>
      </c>
      <c r="C239" s="5">
        <v>690.0</v>
      </c>
      <c r="D239" s="5">
        <v>3450.0</v>
      </c>
      <c r="E239" s="325">
        <v>5.0</v>
      </c>
      <c r="F239" s="5">
        <v>-67.4</v>
      </c>
      <c r="G239" s="5">
        <v>1.0</v>
      </c>
      <c r="H239" s="326">
        <v>-337.0</v>
      </c>
      <c r="I239" s="5" t="s">
        <v>795</v>
      </c>
      <c r="J239" s="320" t="s">
        <v>722</v>
      </c>
      <c r="K239" s="5">
        <v>307.5</v>
      </c>
      <c r="L239" s="320">
        <v>-71.0</v>
      </c>
      <c r="W239" s="320"/>
    </row>
    <row r="240">
      <c r="A240" s="5"/>
      <c r="B240" s="324">
        <v>44866.0</v>
      </c>
      <c r="C240" s="5">
        <v>3954.0</v>
      </c>
      <c r="D240" s="5">
        <v>19770.0</v>
      </c>
      <c r="E240" s="325">
        <v>5.0</v>
      </c>
      <c r="F240" s="5">
        <v>-102.2</v>
      </c>
      <c r="G240" s="5">
        <v>1.0</v>
      </c>
      <c r="H240" s="326">
        <v>-511.0</v>
      </c>
      <c r="I240" s="5" t="s">
        <v>795</v>
      </c>
      <c r="J240" s="320" t="s">
        <v>722</v>
      </c>
      <c r="K240" s="5">
        <v>1318.0</v>
      </c>
      <c r="L240" s="320">
        <v>31.0</v>
      </c>
      <c r="W240" s="320"/>
    </row>
    <row r="241">
      <c r="A241" s="5"/>
      <c r="B241" s="324">
        <v>44896.0</v>
      </c>
      <c r="C241" s="5">
        <v>2988.0</v>
      </c>
      <c r="D241" s="5">
        <v>14940.0</v>
      </c>
      <c r="E241" s="325">
        <v>5.0</v>
      </c>
      <c r="F241" s="5">
        <v>285.2</v>
      </c>
      <c r="G241" s="5">
        <v>1.0</v>
      </c>
      <c r="H241" s="326">
        <v>1426.0</v>
      </c>
      <c r="I241" s="5" t="s">
        <v>795</v>
      </c>
      <c r="J241" s="320" t="s">
        <v>722</v>
      </c>
      <c r="K241" s="5">
        <v>1489.0</v>
      </c>
      <c r="L241" s="320">
        <v>250.0</v>
      </c>
      <c r="W241" s="320"/>
    </row>
    <row r="242">
      <c r="A242" s="5"/>
      <c r="B242" s="324">
        <v>44927.0</v>
      </c>
      <c r="C242" s="320">
        <v>1864.0</v>
      </c>
      <c r="D242" s="5">
        <v>9320.0</v>
      </c>
      <c r="E242" s="325">
        <v>5.0</v>
      </c>
      <c r="F242" s="5">
        <v>-23.4</v>
      </c>
      <c r="G242" s="5">
        <v>1.0</v>
      </c>
      <c r="H242" s="326">
        <v>-117.0</v>
      </c>
      <c r="I242" s="5" t="s">
        <v>795</v>
      </c>
      <c r="J242" s="320" t="s">
        <v>722</v>
      </c>
      <c r="K242" s="5">
        <v>932.0</v>
      </c>
      <c r="L242" s="320">
        <v>-19.89</v>
      </c>
      <c r="W242" s="320"/>
    </row>
    <row r="243">
      <c r="A243" s="5"/>
      <c r="B243" s="324">
        <v>44958.0</v>
      </c>
      <c r="C243" s="5">
        <v>1317.0</v>
      </c>
      <c r="D243" s="5">
        <v>5677.0</v>
      </c>
      <c r="E243" s="325">
        <v>4.310554290053151</v>
      </c>
      <c r="F243" s="5">
        <v>-45.46979038224414</v>
      </c>
      <c r="G243" s="5">
        <v>1.0</v>
      </c>
      <c r="H243" s="326">
        <v>-196.0</v>
      </c>
      <c r="I243" s="5" t="s">
        <v>795</v>
      </c>
      <c r="J243" s="320" t="s">
        <v>722</v>
      </c>
      <c r="K243" s="5">
        <v>1317.0</v>
      </c>
      <c r="L243" s="320">
        <v>-70.826</v>
      </c>
      <c r="W243" s="320"/>
    </row>
    <row r="244">
      <c r="A244" s="5"/>
      <c r="B244" s="324" t="s">
        <v>173</v>
      </c>
      <c r="C244" s="5">
        <v>874.0</v>
      </c>
      <c r="D244" s="5">
        <v>10675.0</v>
      </c>
      <c r="E244" s="325">
        <v>12.21395881006865</v>
      </c>
      <c r="F244" s="5">
        <v>61.159531615925054</v>
      </c>
      <c r="G244" s="5">
        <v>1.0</v>
      </c>
      <c r="H244" s="326">
        <v>747.0</v>
      </c>
      <c r="I244" s="5" t="s">
        <v>795</v>
      </c>
      <c r="J244" s="320" t="s">
        <v>722</v>
      </c>
      <c r="K244" s="5">
        <v>874.0</v>
      </c>
      <c r="L244" s="320">
        <v>187.0</v>
      </c>
      <c r="W244" s="320"/>
    </row>
    <row r="245">
      <c r="A245" s="5" t="s">
        <v>1094</v>
      </c>
      <c r="B245" s="322"/>
      <c r="C245" s="5">
        <v>25600.0</v>
      </c>
      <c r="D245" s="5">
        <v>252112.0</v>
      </c>
      <c r="E245" s="325">
        <v>9.848125</v>
      </c>
      <c r="F245" s="5">
        <v>982.2174271752237</v>
      </c>
      <c r="G245" s="5">
        <v>17.0</v>
      </c>
      <c r="H245" s="326">
        <v>9673.0</v>
      </c>
      <c r="I245" s="5" t="s">
        <v>795</v>
      </c>
      <c r="J245" s="320" t="s">
        <v>722</v>
      </c>
      <c r="K245" s="5">
        <v>20150.5</v>
      </c>
      <c r="L245" s="320">
        <v>1868.2839999999999</v>
      </c>
      <c r="W245" s="320"/>
    </row>
    <row r="246">
      <c r="A246" s="5" t="s">
        <v>477</v>
      </c>
      <c r="B246" s="324">
        <v>44682.0</v>
      </c>
      <c r="C246" s="320">
        <v>8252.0</v>
      </c>
      <c r="D246" s="5">
        <v>825200.0</v>
      </c>
      <c r="E246" s="325">
        <v>100.0</v>
      </c>
      <c r="F246" s="5">
        <v>91.3</v>
      </c>
      <c r="G246" s="5">
        <v>1.0</v>
      </c>
      <c r="H246" s="326">
        <v>9130.0</v>
      </c>
      <c r="I246" s="5" t="s">
        <v>739</v>
      </c>
      <c r="J246" s="320" t="s">
        <v>741</v>
      </c>
      <c r="K246" s="5">
        <v>2750.6666666666665</v>
      </c>
      <c r="L246" s="320">
        <v>1826.0</v>
      </c>
      <c r="W246" s="320"/>
    </row>
    <row r="247">
      <c r="A247" s="5"/>
      <c r="B247" s="324">
        <v>44713.0</v>
      </c>
      <c r="C247" s="320">
        <v>2677.0</v>
      </c>
      <c r="D247" s="5">
        <v>261020.0</v>
      </c>
      <c r="E247" s="325">
        <v>97.50466940605155</v>
      </c>
      <c r="F247" s="5">
        <v>14.019841391464256</v>
      </c>
      <c r="G247" s="5">
        <v>1.0</v>
      </c>
      <c r="H247" s="326">
        <v>1367.0</v>
      </c>
      <c r="I247" s="5" t="s">
        <v>739</v>
      </c>
      <c r="J247" s="320" t="s">
        <v>741</v>
      </c>
      <c r="K247" s="5">
        <v>892.3333333333334</v>
      </c>
      <c r="L247" s="320">
        <v>273.4</v>
      </c>
      <c r="W247" s="320"/>
    </row>
    <row r="248">
      <c r="A248" s="5"/>
      <c r="B248" s="324">
        <v>44743.0</v>
      </c>
      <c r="C248" s="320">
        <v>500.0</v>
      </c>
      <c r="D248" s="5">
        <v>25000.0</v>
      </c>
      <c r="E248" s="325">
        <v>50.0</v>
      </c>
      <c r="F248" s="5">
        <v>33.14</v>
      </c>
      <c r="G248" s="5">
        <v>1.0</v>
      </c>
      <c r="H248" s="326">
        <v>1657.0</v>
      </c>
      <c r="I248" s="5" t="s">
        <v>739</v>
      </c>
      <c r="J248" s="320" t="s">
        <v>741</v>
      </c>
      <c r="K248" s="5">
        <v>166.66666666666666</v>
      </c>
      <c r="L248" s="320">
        <v>331.4</v>
      </c>
      <c r="W248" s="320"/>
    </row>
    <row r="249">
      <c r="A249" s="5"/>
      <c r="B249" s="324">
        <v>44774.0</v>
      </c>
      <c r="C249" s="320">
        <v>5623.0</v>
      </c>
      <c r="D249" s="5">
        <v>556600.0</v>
      </c>
      <c r="E249" s="325">
        <v>98.98630624221946</v>
      </c>
      <c r="F249" s="5">
        <v>8.09202838663313</v>
      </c>
      <c r="G249" s="5">
        <v>1.0</v>
      </c>
      <c r="H249" s="326">
        <v>801.0</v>
      </c>
      <c r="I249" s="5" t="s">
        <v>739</v>
      </c>
      <c r="J249" s="320" t="s">
        <v>741</v>
      </c>
      <c r="K249" s="5">
        <v>1874.3333333333333</v>
      </c>
      <c r="L249" s="320">
        <v>160.2</v>
      </c>
      <c r="W249" s="320"/>
    </row>
    <row r="250">
      <c r="A250" s="5"/>
      <c r="B250" s="324">
        <v>44805.0</v>
      </c>
      <c r="C250" s="320">
        <v>10286.0</v>
      </c>
      <c r="D250" s="5">
        <v>1028520.0</v>
      </c>
      <c r="E250" s="325">
        <v>99.9922224382656</v>
      </c>
      <c r="F250" s="5">
        <v>92.82721969431805</v>
      </c>
      <c r="G250" s="5">
        <v>1.0</v>
      </c>
      <c r="H250" s="326">
        <v>9282.0</v>
      </c>
      <c r="I250" s="5" t="s">
        <v>739</v>
      </c>
      <c r="J250" s="320" t="s">
        <v>741</v>
      </c>
      <c r="K250" s="5">
        <v>3428.666666666667</v>
      </c>
      <c r="L250" s="320">
        <v>1856.4</v>
      </c>
      <c r="W250" s="320"/>
    </row>
    <row r="251">
      <c r="A251" s="5"/>
      <c r="B251" s="324">
        <v>44835.0</v>
      </c>
      <c r="C251" s="320">
        <v>9334.0</v>
      </c>
      <c r="D251" s="5">
        <v>933140.0</v>
      </c>
      <c r="E251" s="325">
        <v>99.97214484679665</v>
      </c>
      <c r="F251" s="5">
        <v>247.56896071329064</v>
      </c>
      <c r="G251" s="5">
        <v>1.0</v>
      </c>
      <c r="H251" s="326">
        <v>24750.0</v>
      </c>
      <c r="I251" s="5" t="s">
        <v>739</v>
      </c>
      <c r="J251" s="320" t="s">
        <v>741</v>
      </c>
      <c r="K251" s="5">
        <v>3111.3333333333335</v>
      </c>
      <c r="L251" s="320">
        <v>4950.0</v>
      </c>
      <c r="W251" s="320"/>
    </row>
    <row r="252">
      <c r="A252" s="5"/>
      <c r="B252" s="324">
        <v>44866.0</v>
      </c>
      <c r="C252" s="320">
        <v>1.0</v>
      </c>
      <c r="D252" s="5">
        <v>100.0</v>
      </c>
      <c r="E252" s="325">
        <v>100.0</v>
      </c>
      <c r="F252" s="5">
        <v>-0.07</v>
      </c>
      <c r="G252" s="5">
        <v>1.0</v>
      </c>
      <c r="H252" s="326">
        <v>-7.0</v>
      </c>
      <c r="I252" s="5" t="s">
        <v>739</v>
      </c>
      <c r="J252" s="320" t="s">
        <v>741</v>
      </c>
      <c r="K252" s="5">
        <v>0.3333333333333333</v>
      </c>
      <c r="L252" s="320">
        <v>-1.4000000000000001</v>
      </c>
      <c r="W252" s="320"/>
    </row>
    <row r="253">
      <c r="A253" s="5"/>
      <c r="B253" s="324">
        <v>44896.0</v>
      </c>
      <c r="C253" s="320">
        <v>6886.0</v>
      </c>
      <c r="D253" s="5">
        <v>688600.0</v>
      </c>
      <c r="E253" s="325">
        <v>100.0</v>
      </c>
      <c r="F253" s="5">
        <v>20.41</v>
      </c>
      <c r="G253" s="5">
        <v>1.0</v>
      </c>
      <c r="H253" s="326">
        <v>2041.0</v>
      </c>
      <c r="I253" s="5" t="s">
        <v>739</v>
      </c>
      <c r="J253" s="320" t="s">
        <v>741</v>
      </c>
      <c r="K253" s="5">
        <v>2295.3333333333335</v>
      </c>
      <c r="L253" s="320">
        <v>408.2</v>
      </c>
      <c r="W253" s="320"/>
    </row>
    <row r="254">
      <c r="A254" s="5"/>
      <c r="B254" s="324">
        <v>44927.0</v>
      </c>
      <c r="C254" s="320">
        <v>4886.0</v>
      </c>
      <c r="D254" s="5">
        <v>488550.0</v>
      </c>
      <c r="E254" s="325">
        <v>99.98976668031109</v>
      </c>
      <c r="F254" s="5">
        <v>5.310543444887934</v>
      </c>
      <c r="G254" s="5">
        <v>1.0</v>
      </c>
      <c r="H254" s="326">
        <v>531.0</v>
      </c>
      <c r="I254" s="5" t="s">
        <v>739</v>
      </c>
      <c r="J254" s="320" t="s">
        <v>741</v>
      </c>
      <c r="K254" s="5">
        <v>1628.6666666666665</v>
      </c>
      <c r="L254" s="320">
        <v>106.2</v>
      </c>
      <c r="W254" s="320"/>
    </row>
    <row r="255">
      <c r="A255" s="5"/>
      <c r="B255" s="324">
        <v>44958.0</v>
      </c>
      <c r="C255" s="5">
        <v>13585.0</v>
      </c>
      <c r="D255" s="5">
        <v>1358340.0</v>
      </c>
      <c r="E255" s="325">
        <v>99.98822230401177</v>
      </c>
      <c r="F255" s="5">
        <v>115.98015979062674</v>
      </c>
      <c r="G255" s="5">
        <v>1.0</v>
      </c>
      <c r="H255" s="326">
        <v>11596.649999999994</v>
      </c>
      <c r="I255" s="5" t="s">
        <v>739</v>
      </c>
      <c r="J255" s="320" t="s">
        <v>741</v>
      </c>
      <c r="K255" s="5">
        <v>4528.333333333334</v>
      </c>
      <c r="L255" s="320">
        <v>2319.329999999999</v>
      </c>
      <c r="W255" s="320"/>
    </row>
    <row r="256">
      <c r="A256" s="5"/>
      <c r="B256" s="324">
        <v>44986.0</v>
      </c>
      <c r="C256" s="5">
        <v>4222.0</v>
      </c>
      <c r="D256" s="5">
        <v>422200.0</v>
      </c>
      <c r="E256" s="325">
        <v>100.0</v>
      </c>
      <c r="F256" s="5">
        <v>102.28659999999999</v>
      </c>
      <c r="G256" s="5">
        <v>1.0</v>
      </c>
      <c r="H256" s="326">
        <v>10228.66</v>
      </c>
      <c r="I256" s="5" t="s">
        <v>739</v>
      </c>
      <c r="J256" s="320" t="s">
        <v>741</v>
      </c>
      <c r="K256" s="5">
        <v>1407.3333333333333</v>
      </c>
      <c r="L256" s="320">
        <v>2045.732</v>
      </c>
      <c r="W256" s="320"/>
    </row>
    <row r="257">
      <c r="A257" s="5" t="s">
        <v>1125</v>
      </c>
      <c r="B257" s="322"/>
      <c r="C257" s="320">
        <v>66252.0</v>
      </c>
      <c r="D257" s="5">
        <v>6587270.0</v>
      </c>
      <c r="E257" s="325">
        <v>99.4274889814647</v>
      </c>
      <c r="F257" s="5">
        <v>717.8830596165028</v>
      </c>
      <c r="G257" s="5">
        <v>11.0</v>
      </c>
      <c r="H257" s="326">
        <v>71377.31</v>
      </c>
      <c r="I257" s="5" t="s">
        <v>739</v>
      </c>
      <c r="J257" s="320" t="s">
        <v>741</v>
      </c>
      <c r="K257" s="5">
        <v>22084.0</v>
      </c>
      <c r="L257" s="320">
        <v>14275.461999999996</v>
      </c>
      <c r="W257" s="320"/>
    </row>
    <row r="258">
      <c r="A258" s="5" t="s">
        <v>218</v>
      </c>
      <c r="B258" s="324">
        <v>44835.0</v>
      </c>
      <c r="C258" s="5">
        <v>3060.0</v>
      </c>
      <c r="D258" s="5">
        <v>912400.0</v>
      </c>
      <c r="E258" s="325">
        <v>298.16993464052285</v>
      </c>
      <c r="F258" s="5">
        <v>-22.674989039894786</v>
      </c>
      <c r="G258" s="5">
        <v>1.0</v>
      </c>
      <c r="H258" s="326">
        <v>-6761.0</v>
      </c>
      <c r="I258" s="5" t="s">
        <v>722</v>
      </c>
      <c r="J258" s="320" t="s">
        <v>218</v>
      </c>
      <c r="K258" s="5">
        <v>2307.6666666666665</v>
      </c>
      <c r="L258" s="320">
        <v>-1487.42</v>
      </c>
      <c r="W258" s="320"/>
    </row>
    <row r="259">
      <c r="A259" s="5"/>
      <c r="B259" s="324">
        <v>44866.0</v>
      </c>
      <c r="C259" s="5">
        <v>379.0</v>
      </c>
      <c r="D259" s="5">
        <v>105300.0</v>
      </c>
      <c r="E259" s="325">
        <v>277.83641160949867</v>
      </c>
      <c r="F259" s="5">
        <v>-3.851187084520418</v>
      </c>
      <c r="G259" s="5">
        <v>1.0</v>
      </c>
      <c r="H259" s="326">
        <v>-1070.0</v>
      </c>
      <c r="I259" s="5" t="s">
        <v>722</v>
      </c>
      <c r="J259" s="320" t="s">
        <v>218</v>
      </c>
      <c r="K259" s="5">
        <v>0.0</v>
      </c>
      <c r="L259" s="320">
        <v>-235.39999999999998</v>
      </c>
      <c r="W259" s="320"/>
    </row>
    <row r="260">
      <c r="A260" s="5"/>
      <c r="B260" s="324">
        <v>44896.0</v>
      </c>
      <c r="C260" s="5">
        <v>2876.0</v>
      </c>
      <c r="D260" s="5">
        <v>916560.0</v>
      </c>
      <c r="E260" s="325">
        <v>318.69262865090406</v>
      </c>
      <c r="F260" s="5">
        <v>41.048956969538274</v>
      </c>
      <c r="G260" s="5">
        <v>1.0</v>
      </c>
      <c r="H260" s="326">
        <v>13082.0</v>
      </c>
      <c r="I260" s="5" t="s">
        <v>722</v>
      </c>
      <c r="J260" s="320" t="s">
        <v>218</v>
      </c>
      <c r="K260" s="5">
        <v>2226.6666666666665</v>
      </c>
      <c r="L260" s="320">
        <v>2878.0399999999995</v>
      </c>
      <c r="W260" s="320"/>
    </row>
    <row r="261">
      <c r="A261" s="5"/>
      <c r="B261" s="324">
        <v>44927.0</v>
      </c>
      <c r="C261" s="5">
        <v>5440.0</v>
      </c>
      <c r="D261" s="5">
        <v>1573150.0</v>
      </c>
      <c r="E261" s="325">
        <v>289.1819852941176</v>
      </c>
      <c r="F261" s="5">
        <v>26.253364269141535</v>
      </c>
      <c r="G261" s="5">
        <v>1.0</v>
      </c>
      <c r="H261" s="326">
        <v>7592.0</v>
      </c>
      <c r="I261" s="5" t="s">
        <v>722</v>
      </c>
      <c r="J261" s="320" t="s">
        <v>218</v>
      </c>
      <c r="K261" s="5">
        <v>2039.0</v>
      </c>
      <c r="L261" s="320">
        <v>1138.8</v>
      </c>
      <c r="W261" s="320"/>
    </row>
    <row r="262">
      <c r="A262" s="5"/>
      <c r="B262" s="324">
        <v>44958.0</v>
      </c>
      <c r="C262" s="5">
        <v>3610.0</v>
      </c>
      <c r="D262" s="5">
        <v>1219550.0</v>
      </c>
      <c r="E262" s="325">
        <v>337.8254847645429</v>
      </c>
      <c r="F262" s="5">
        <v>-2.758820876552816</v>
      </c>
      <c r="G262" s="5">
        <v>1.0</v>
      </c>
      <c r="H262" s="326">
        <v>-931.9999999999964</v>
      </c>
      <c r="I262" s="5" t="s">
        <v>722</v>
      </c>
      <c r="J262" s="320" t="s">
        <v>218</v>
      </c>
      <c r="K262" s="5">
        <v>1424.6666666666665</v>
      </c>
      <c r="L262" s="320">
        <v>0.0</v>
      </c>
      <c r="W262" s="320"/>
    </row>
    <row r="263">
      <c r="A263" s="5" t="s">
        <v>1095</v>
      </c>
      <c r="B263" s="322"/>
      <c r="C263" s="5">
        <v>15365.0</v>
      </c>
      <c r="D263" s="5">
        <v>4726960.0</v>
      </c>
      <c r="E263" s="325">
        <v>307.64464692482915</v>
      </c>
      <c r="F263" s="5">
        <v>38.71674712711766</v>
      </c>
      <c r="G263" s="5">
        <v>5.0</v>
      </c>
      <c r="H263" s="326">
        <v>11911.000000000004</v>
      </c>
      <c r="I263" s="5" t="s">
        <v>722</v>
      </c>
      <c r="J263" s="320" t="s">
        <v>218</v>
      </c>
      <c r="K263" s="5">
        <v>7998.0</v>
      </c>
      <c r="L263" s="320">
        <v>2294.0200000000004</v>
      </c>
      <c r="W263" s="320"/>
    </row>
    <row r="264">
      <c r="A264" s="5" t="s">
        <v>496</v>
      </c>
      <c r="B264" s="324">
        <v>44986.0</v>
      </c>
      <c r="C264" s="5">
        <v>2203.0</v>
      </c>
      <c r="D264" s="5">
        <v>55075.0</v>
      </c>
      <c r="E264" s="325">
        <v>25.0</v>
      </c>
      <c r="F264" s="5">
        <v>79.67801718020543</v>
      </c>
      <c r="G264" s="5">
        <v>1.0</v>
      </c>
      <c r="H264" s="326">
        <v>1991.9504295051356</v>
      </c>
      <c r="I264" s="5" t="s">
        <v>720</v>
      </c>
      <c r="J264" s="320" t="s">
        <v>722</v>
      </c>
      <c r="K264" s="5">
        <v>1101.5</v>
      </c>
      <c r="L264" s="320">
        <v>458.1485987861812</v>
      </c>
      <c r="W264" s="320"/>
    </row>
    <row r="265">
      <c r="A265" s="5" t="s">
        <v>1126</v>
      </c>
      <c r="B265" s="322"/>
      <c r="C265" s="5">
        <v>2203.0</v>
      </c>
      <c r="D265" s="5">
        <v>55075.0</v>
      </c>
      <c r="E265" s="325">
        <v>25.0</v>
      </c>
      <c r="F265" s="5">
        <v>79.67801718020543</v>
      </c>
      <c r="G265" s="5">
        <v>1.0</v>
      </c>
      <c r="H265" s="326">
        <v>1991.9504295051356</v>
      </c>
      <c r="I265" s="5" t="s">
        <v>720</v>
      </c>
      <c r="J265" s="320" t="s">
        <v>722</v>
      </c>
      <c r="K265" s="5">
        <v>1101.5</v>
      </c>
      <c r="L265" s="320">
        <v>458.1485987861812</v>
      </c>
      <c r="W265" s="320"/>
    </row>
    <row r="266">
      <c r="A266" s="5" t="s">
        <v>505</v>
      </c>
      <c r="B266" s="324">
        <v>44197.0</v>
      </c>
      <c r="C266" s="320">
        <v>1.0</v>
      </c>
      <c r="D266" s="5">
        <v>20.0</v>
      </c>
      <c r="E266" s="325">
        <v>20.0</v>
      </c>
      <c r="F266" s="5">
        <v>-63.7</v>
      </c>
      <c r="G266" s="5">
        <v>1.0</v>
      </c>
      <c r="H266" s="326">
        <v>-1274.0</v>
      </c>
      <c r="I266" s="5" t="s">
        <v>751</v>
      </c>
      <c r="J266" s="320" t="s">
        <v>722</v>
      </c>
      <c r="K266" s="320">
        <v>1.0</v>
      </c>
      <c r="L266" s="320">
        <v>-382.2</v>
      </c>
      <c r="W266" s="320"/>
    </row>
    <row r="267">
      <c r="A267" s="5"/>
      <c r="B267" s="324">
        <v>44228.0</v>
      </c>
      <c r="C267" s="320">
        <v>3439.0</v>
      </c>
      <c r="D267" s="5">
        <v>68780.0</v>
      </c>
      <c r="E267" s="325">
        <v>20.0</v>
      </c>
      <c r="F267" s="5">
        <v>18.25</v>
      </c>
      <c r="G267" s="5">
        <v>1.0</v>
      </c>
      <c r="H267" s="326">
        <v>365.0</v>
      </c>
      <c r="I267" s="5" t="s">
        <v>751</v>
      </c>
      <c r="J267" s="320" t="s">
        <v>722</v>
      </c>
      <c r="K267" s="320">
        <v>3439.0</v>
      </c>
      <c r="L267" s="320">
        <v>109.5</v>
      </c>
      <c r="W267" s="320"/>
    </row>
    <row r="268">
      <c r="A268" s="5"/>
      <c r="B268" s="324">
        <v>44256.0</v>
      </c>
      <c r="C268" s="320">
        <v>2026.0</v>
      </c>
      <c r="D268" s="5">
        <v>40520.0</v>
      </c>
      <c r="E268" s="325">
        <v>20.0</v>
      </c>
      <c r="F268" s="5">
        <v>145.9</v>
      </c>
      <c r="G268" s="5">
        <v>1.0</v>
      </c>
      <c r="H268" s="326">
        <v>2918.0</v>
      </c>
      <c r="I268" s="5" t="s">
        <v>751</v>
      </c>
      <c r="J268" s="320" t="s">
        <v>722</v>
      </c>
      <c r="K268" s="320">
        <v>2026.0</v>
      </c>
      <c r="L268" s="320">
        <v>875.4</v>
      </c>
      <c r="W268" s="320"/>
    </row>
    <row r="269">
      <c r="A269" s="5"/>
      <c r="B269" s="324">
        <v>44287.0</v>
      </c>
      <c r="C269" s="320">
        <v>1486.0</v>
      </c>
      <c r="D269" s="5">
        <v>30320.0</v>
      </c>
      <c r="E269" s="325">
        <v>20.403768506056526</v>
      </c>
      <c r="F269" s="5">
        <v>-27.93601583113457</v>
      </c>
      <c r="G269" s="5">
        <v>1.0</v>
      </c>
      <c r="H269" s="326">
        <v>-570.0</v>
      </c>
      <c r="I269" s="5" t="s">
        <v>751</v>
      </c>
      <c r="J269" s="320" t="s">
        <v>722</v>
      </c>
      <c r="K269" s="5">
        <v>1486.0</v>
      </c>
      <c r="L269" s="320">
        <v>-171.0</v>
      </c>
      <c r="W269" s="320"/>
    </row>
    <row r="270">
      <c r="A270" s="5"/>
      <c r="B270" s="324">
        <v>44317.0</v>
      </c>
      <c r="C270" s="320">
        <v>408.0</v>
      </c>
      <c r="D270" s="5">
        <v>8160.0</v>
      </c>
      <c r="E270" s="325">
        <v>20.0</v>
      </c>
      <c r="F270" s="5">
        <v>41.5</v>
      </c>
      <c r="G270" s="5">
        <v>1.0</v>
      </c>
      <c r="H270" s="326">
        <v>830.0</v>
      </c>
      <c r="I270" s="5" t="s">
        <v>751</v>
      </c>
      <c r="J270" s="320" t="s">
        <v>722</v>
      </c>
      <c r="K270" s="320">
        <v>408.0</v>
      </c>
      <c r="L270" s="320">
        <v>249.0</v>
      </c>
      <c r="W270" s="320"/>
    </row>
    <row r="271">
      <c r="A271" s="5"/>
      <c r="B271" s="324">
        <v>44348.0</v>
      </c>
      <c r="C271" s="320">
        <v>1084.0</v>
      </c>
      <c r="D271" s="5">
        <v>11883.0</v>
      </c>
      <c r="E271" s="325">
        <v>10.962177121771218</v>
      </c>
      <c r="F271" s="5">
        <v>-69.23807119414289</v>
      </c>
      <c r="G271" s="5">
        <v>1.0</v>
      </c>
      <c r="H271" s="326">
        <v>-759.0</v>
      </c>
      <c r="I271" s="5" t="s">
        <v>751</v>
      </c>
      <c r="J271" s="320" t="s">
        <v>722</v>
      </c>
      <c r="K271" s="5">
        <v>1084.0</v>
      </c>
      <c r="L271" s="320">
        <v>-227.70000000000002</v>
      </c>
      <c r="W271" s="320"/>
    </row>
    <row r="272">
      <c r="A272" s="5"/>
      <c r="B272" s="324">
        <v>44409.0</v>
      </c>
      <c r="C272" s="5">
        <v>1354.0</v>
      </c>
      <c r="D272" s="5">
        <v>6770.0</v>
      </c>
      <c r="E272" s="325">
        <v>5.0</v>
      </c>
      <c r="F272" s="5">
        <v>3.0</v>
      </c>
      <c r="G272" s="5">
        <v>1.0</v>
      </c>
      <c r="H272" s="326">
        <v>15.0</v>
      </c>
      <c r="I272" s="5" t="s">
        <v>751</v>
      </c>
      <c r="J272" s="320" t="s">
        <v>722</v>
      </c>
      <c r="K272" s="5">
        <v>1354.0</v>
      </c>
      <c r="L272" s="320">
        <v>4.5</v>
      </c>
      <c r="W272" s="320"/>
    </row>
    <row r="273">
      <c r="A273" s="5"/>
      <c r="B273" s="324">
        <v>44440.0</v>
      </c>
      <c r="C273" s="5">
        <v>1464.0</v>
      </c>
      <c r="D273" s="5">
        <v>7301.0</v>
      </c>
      <c r="E273" s="325">
        <v>4.987021857923497</v>
      </c>
      <c r="F273" s="5">
        <v>47.12231201205314</v>
      </c>
      <c r="G273" s="5">
        <v>1.0</v>
      </c>
      <c r="H273" s="326">
        <v>235.0</v>
      </c>
      <c r="I273" s="5" t="s">
        <v>751</v>
      </c>
      <c r="J273" s="320" t="s">
        <v>722</v>
      </c>
      <c r="K273" s="5">
        <v>1464.0</v>
      </c>
      <c r="L273" s="320">
        <v>70.49999999999999</v>
      </c>
      <c r="W273" s="320"/>
    </row>
    <row r="274">
      <c r="A274" s="5"/>
      <c r="B274" s="324">
        <v>44470.0</v>
      </c>
      <c r="C274" s="5">
        <v>1899.0</v>
      </c>
      <c r="D274" s="5">
        <v>9495.0</v>
      </c>
      <c r="E274" s="325">
        <v>5.0</v>
      </c>
      <c r="F274" s="5">
        <v>101.0</v>
      </c>
      <c r="G274" s="5">
        <v>1.0</v>
      </c>
      <c r="H274" s="326">
        <v>505.0</v>
      </c>
      <c r="I274" s="5" t="s">
        <v>751</v>
      </c>
      <c r="J274" s="320" t="s">
        <v>722</v>
      </c>
      <c r="K274" s="5">
        <v>1899.0</v>
      </c>
      <c r="L274" s="320">
        <v>126.25</v>
      </c>
      <c r="W274" s="320"/>
    </row>
    <row r="275">
      <c r="A275" s="5"/>
      <c r="B275" s="324">
        <v>44501.0</v>
      </c>
      <c r="C275" s="5">
        <v>1868.0</v>
      </c>
      <c r="D275" s="5">
        <v>9350.0</v>
      </c>
      <c r="E275" s="325">
        <v>5.005353319057816</v>
      </c>
      <c r="F275" s="5">
        <v>153.03614973262032</v>
      </c>
      <c r="G275" s="5">
        <v>1.0</v>
      </c>
      <c r="H275" s="326">
        <v>766.0</v>
      </c>
      <c r="I275" s="5" t="s">
        <v>751</v>
      </c>
      <c r="J275" s="320" t="s">
        <v>722</v>
      </c>
      <c r="K275" s="5">
        <v>1868.0</v>
      </c>
      <c r="L275" s="320">
        <v>191.5</v>
      </c>
      <c r="W275" s="320"/>
    </row>
    <row r="276">
      <c r="A276" s="5"/>
      <c r="B276" s="324">
        <v>44531.0</v>
      </c>
      <c r="C276" s="320">
        <v>1687.0</v>
      </c>
      <c r="D276" s="5">
        <v>16730.0</v>
      </c>
      <c r="E276" s="325">
        <v>9.91701244813278</v>
      </c>
      <c r="F276" s="5">
        <v>35.393723849372385</v>
      </c>
      <c r="G276" s="5">
        <v>1.0</v>
      </c>
      <c r="H276" s="326">
        <v>351.0</v>
      </c>
      <c r="I276" s="5" t="s">
        <v>751</v>
      </c>
      <c r="J276" s="320" t="s">
        <v>722</v>
      </c>
      <c r="K276" s="5">
        <v>1687.0</v>
      </c>
      <c r="L276" s="320">
        <v>105.3</v>
      </c>
      <c r="W276" s="320"/>
    </row>
    <row r="277">
      <c r="A277" s="5"/>
      <c r="B277" s="324">
        <v>44562.0</v>
      </c>
      <c r="C277" s="320">
        <v>2905.0</v>
      </c>
      <c r="D277" s="5">
        <v>29050.0</v>
      </c>
      <c r="E277" s="325">
        <v>10.0</v>
      </c>
      <c r="F277" s="5">
        <v>107.1</v>
      </c>
      <c r="G277" s="5">
        <v>1.0</v>
      </c>
      <c r="H277" s="326">
        <v>1071.0</v>
      </c>
      <c r="I277" s="5" t="s">
        <v>751</v>
      </c>
      <c r="J277" s="320" t="s">
        <v>722</v>
      </c>
      <c r="K277" s="5">
        <v>2905.0</v>
      </c>
      <c r="L277" s="320">
        <v>267.75</v>
      </c>
      <c r="W277" s="320"/>
    </row>
    <row r="278">
      <c r="A278" s="5"/>
      <c r="B278" s="324">
        <v>44593.0</v>
      </c>
      <c r="C278" s="320">
        <v>1418.0</v>
      </c>
      <c r="D278" s="5">
        <v>14130.0</v>
      </c>
      <c r="E278" s="325">
        <v>9.964739069111424</v>
      </c>
      <c r="F278" s="5">
        <v>-30.005803255484786</v>
      </c>
      <c r="G278" s="5">
        <v>1.0</v>
      </c>
      <c r="H278" s="326">
        <v>-299.0</v>
      </c>
      <c r="I278" s="5" t="s">
        <v>751</v>
      </c>
      <c r="J278" s="320" t="s">
        <v>722</v>
      </c>
      <c r="K278" s="5">
        <v>1418.0</v>
      </c>
      <c r="L278" s="320">
        <v>-89.7</v>
      </c>
      <c r="W278" s="320"/>
    </row>
    <row r="279">
      <c r="A279" s="5"/>
      <c r="B279" s="324">
        <v>44621.0</v>
      </c>
      <c r="C279" s="320">
        <v>4013.0</v>
      </c>
      <c r="D279" s="5">
        <v>21605.0</v>
      </c>
      <c r="E279" s="325">
        <v>5.383752803388986</v>
      </c>
      <c r="F279" s="5">
        <v>221.22115251099282</v>
      </c>
      <c r="G279" s="5">
        <v>1.0</v>
      </c>
      <c r="H279" s="326">
        <v>1191.0</v>
      </c>
      <c r="I279" s="5" t="s">
        <v>751</v>
      </c>
      <c r="J279" s="320" t="s">
        <v>722</v>
      </c>
      <c r="K279" s="5">
        <v>4013.0</v>
      </c>
      <c r="L279" s="320">
        <v>297.75</v>
      </c>
      <c r="W279" s="320"/>
    </row>
    <row r="280">
      <c r="A280" s="5"/>
      <c r="B280" s="324">
        <v>44652.0</v>
      </c>
      <c r="C280" s="320">
        <v>2229.0</v>
      </c>
      <c r="D280" s="5">
        <v>22275.0</v>
      </c>
      <c r="E280" s="325">
        <v>9.993270524899058</v>
      </c>
      <c r="F280" s="5">
        <v>166.1117845117845</v>
      </c>
      <c r="G280" s="5">
        <v>1.0</v>
      </c>
      <c r="H280" s="326">
        <v>1660.0</v>
      </c>
      <c r="I280" s="5" t="s">
        <v>751</v>
      </c>
      <c r="J280" s="320" t="s">
        <v>722</v>
      </c>
      <c r="K280" s="5">
        <v>2229.0</v>
      </c>
      <c r="L280" s="320">
        <v>415.0</v>
      </c>
      <c r="W280" s="320"/>
    </row>
    <row r="281">
      <c r="A281" s="5"/>
      <c r="B281" s="324">
        <v>44682.0</v>
      </c>
      <c r="C281" s="320">
        <v>2759.0</v>
      </c>
      <c r="D281" s="5">
        <v>27580.0</v>
      </c>
      <c r="E281" s="325">
        <v>9.996375498368975</v>
      </c>
      <c r="F281" s="5">
        <v>251.79126178390135</v>
      </c>
      <c r="G281" s="5">
        <v>1.0</v>
      </c>
      <c r="H281" s="326">
        <v>2517.0</v>
      </c>
      <c r="I281" s="5" t="s">
        <v>751</v>
      </c>
      <c r="J281" s="320" t="s">
        <v>722</v>
      </c>
      <c r="K281" s="5">
        <v>2759.0</v>
      </c>
      <c r="L281" s="320">
        <v>629.25</v>
      </c>
      <c r="W281" s="320"/>
    </row>
    <row r="282">
      <c r="A282" s="5"/>
      <c r="B282" s="324">
        <v>44713.0</v>
      </c>
      <c r="C282" s="320">
        <v>4647.0</v>
      </c>
      <c r="D282" s="5">
        <v>46470.0</v>
      </c>
      <c r="E282" s="325">
        <v>10.0</v>
      </c>
      <c r="F282" s="5">
        <v>353.3</v>
      </c>
      <c r="G282" s="5">
        <v>1.0</v>
      </c>
      <c r="H282" s="326">
        <v>3533.0</v>
      </c>
      <c r="I282" s="5" t="s">
        <v>751</v>
      </c>
      <c r="J282" s="320" t="s">
        <v>722</v>
      </c>
      <c r="K282" s="320">
        <v>4647.0</v>
      </c>
      <c r="L282" s="320">
        <v>883.25</v>
      </c>
      <c r="W282" s="320"/>
    </row>
    <row r="283">
      <c r="A283" s="5"/>
      <c r="B283" s="324">
        <v>44743.0</v>
      </c>
      <c r="C283" s="320">
        <v>2159.0</v>
      </c>
      <c r="D283" s="5">
        <v>52975.0</v>
      </c>
      <c r="E283" s="325">
        <v>24.536822603056972</v>
      </c>
      <c r="F283" s="5">
        <v>44.01547899952808</v>
      </c>
      <c r="G283" s="5">
        <v>1.0</v>
      </c>
      <c r="H283" s="326">
        <v>1080.0</v>
      </c>
      <c r="I283" s="5" t="s">
        <v>751</v>
      </c>
      <c r="J283" s="320" t="s">
        <v>722</v>
      </c>
      <c r="K283" s="5">
        <v>2159.0</v>
      </c>
      <c r="L283" s="320">
        <v>238.0</v>
      </c>
      <c r="W283" s="320"/>
    </row>
    <row r="284">
      <c r="A284" s="5"/>
      <c r="B284" s="324">
        <v>44774.0</v>
      </c>
      <c r="C284" s="320">
        <v>1103.0</v>
      </c>
      <c r="D284" s="5">
        <v>27555.0</v>
      </c>
      <c r="E284" s="325">
        <v>24.9818676337262</v>
      </c>
      <c r="F284" s="5">
        <v>51.91765559789512</v>
      </c>
      <c r="G284" s="5">
        <v>1.0</v>
      </c>
      <c r="H284" s="326">
        <v>1297.0</v>
      </c>
      <c r="I284" s="5" t="s">
        <v>751</v>
      </c>
      <c r="J284" s="320" t="s">
        <v>722</v>
      </c>
      <c r="K284" s="5">
        <v>1103.0</v>
      </c>
      <c r="L284" s="320">
        <v>447.2</v>
      </c>
      <c r="W284" s="320"/>
    </row>
    <row r="285">
      <c r="A285" s="5"/>
      <c r="B285" s="324">
        <v>44805.0</v>
      </c>
      <c r="C285" s="5">
        <v>1652.0</v>
      </c>
      <c r="D285" s="5">
        <v>41300.0</v>
      </c>
      <c r="E285" s="325">
        <v>25.0</v>
      </c>
      <c r="F285" s="5">
        <v>27.16</v>
      </c>
      <c r="G285" s="5">
        <v>1.0</v>
      </c>
      <c r="H285" s="326">
        <v>679.0</v>
      </c>
      <c r="I285" s="5" t="s">
        <v>751</v>
      </c>
      <c r="J285" s="320" t="s">
        <v>722</v>
      </c>
      <c r="K285" s="5">
        <v>1652.0</v>
      </c>
      <c r="L285" s="320">
        <v>203.7</v>
      </c>
      <c r="W285" s="320"/>
    </row>
    <row r="286">
      <c r="A286" s="5"/>
      <c r="B286" s="324">
        <v>44835.0</v>
      </c>
      <c r="C286" s="5">
        <v>1559.0</v>
      </c>
      <c r="D286" s="5">
        <v>33480.0</v>
      </c>
      <c r="E286" s="325">
        <v>21.475304682488776</v>
      </c>
      <c r="F286" s="5">
        <v>-4.004599761051374</v>
      </c>
      <c r="G286" s="5">
        <v>1.0</v>
      </c>
      <c r="H286" s="326">
        <v>-86.0</v>
      </c>
      <c r="I286" s="5" t="s">
        <v>751</v>
      </c>
      <c r="J286" s="320" t="s">
        <v>722</v>
      </c>
      <c r="K286" s="5">
        <v>1559.0</v>
      </c>
      <c r="L286" s="320">
        <v>-25.80000000000001</v>
      </c>
      <c r="W286" s="320"/>
    </row>
    <row r="287">
      <c r="A287" s="5"/>
      <c r="B287" s="324">
        <v>44866.0</v>
      </c>
      <c r="C287" s="5">
        <v>3979.0</v>
      </c>
      <c r="D287" s="5">
        <v>43700.0</v>
      </c>
      <c r="E287" s="325">
        <v>10.982658959537572</v>
      </c>
      <c r="F287" s="5">
        <v>0.5463157894736842</v>
      </c>
      <c r="G287" s="5">
        <v>1.0</v>
      </c>
      <c r="H287" s="326">
        <v>6.0</v>
      </c>
      <c r="I287" s="5" t="s">
        <v>751</v>
      </c>
      <c r="J287" s="320" t="s">
        <v>722</v>
      </c>
      <c r="K287" s="5">
        <v>3979.0</v>
      </c>
      <c r="L287" s="320">
        <v>1.7999999999999972</v>
      </c>
      <c r="W287" s="320"/>
    </row>
    <row r="288">
      <c r="A288" s="5"/>
      <c r="B288" s="324">
        <v>44896.0</v>
      </c>
      <c r="C288" s="5">
        <v>2464.0</v>
      </c>
      <c r="D288" s="5">
        <v>24635.0</v>
      </c>
      <c r="E288" s="325">
        <v>9.997970779220779</v>
      </c>
      <c r="F288" s="5">
        <v>135.32746092957174</v>
      </c>
      <c r="G288" s="5">
        <v>1.0</v>
      </c>
      <c r="H288" s="326">
        <v>1353.0</v>
      </c>
      <c r="I288" s="5" t="s">
        <v>751</v>
      </c>
      <c r="J288" s="320" t="s">
        <v>722</v>
      </c>
      <c r="K288" s="5">
        <v>2464.0</v>
      </c>
      <c r="L288" s="320">
        <v>405.9</v>
      </c>
      <c r="W288" s="320"/>
    </row>
    <row r="289">
      <c r="A289" s="5"/>
      <c r="B289" s="324">
        <v>44927.0</v>
      </c>
      <c r="C289" s="320">
        <v>1250.0</v>
      </c>
      <c r="D289" s="5">
        <v>12500.0</v>
      </c>
      <c r="E289" s="325">
        <v>10.0</v>
      </c>
      <c r="F289" s="5">
        <v>89.7</v>
      </c>
      <c r="G289" s="5">
        <v>1.0</v>
      </c>
      <c r="H289" s="326">
        <v>897.0</v>
      </c>
      <c r="I289" s="5" t="s">
        <v>751</v>
      </c>
      <c r="J289" s="320" t="s">
        <v>722</v>
      </c>
      <c r="K289" s="320">
        <v>1250.0</v>
      </c>
      <c r="L289" s="320">
        <v>224.25</v>
      </c>
      <c r="W289" s="320"/>
    </row>
    <row r="290">
      <c r="A290" s="5"/>
      <c r="B290" s="324">
        <v>44958.0</v>
      </c>
      <c r="C290" s="5">
        <v>3915.0</v>
      </c>
      <c r="D290" s="5">
        <v>39100.0</v>
      </c>
      <c r="E290" s="325">
        <v>9.987228607918263</v>
      </c>
      <c r="F290" s="5">
        <v>224.58682864450128</v>
      </c>
      <c r="G290" s="5">
        <v>1.0</v>
      </c>
      <c r="H290" s="326">
        <v>2243.0</v>
      </c>
      <c r="I290" s="5" t="s">
        <v>751</v>
      </c>
      <c r="J290" s="320" t="s">
        <v>722</v>
      </c>
      <c r="K290" s="5">
        <v>3915.0</v>
      </c>
      <c r="L290" s="320">
        <v>560.75</v>
      </c>
      <c r="W290" s="320"/>
    </row>
    <row r="291">
      <c r="A291" s="5"/>
      <c r="B291" s="324">
        <v>44986.0</v>
      </c>
      <c r="C291" s="5">
        <v>1761.0</v>
      </c>
      <c r="D291" s="5">
        <v>17605.0</v>
      </c>
      <c r="E291" s="325">
        <v>9.997160704145372</v>
      </c>
      <c r="F291" s="5">
        <v>98.1278614030105</v>
      </c>
      <c r="G291" s="5">
        <v>1.0</v>
      </c>
      <c r="H291" s="326">
        <v>981.0</v>
      </c>
      <c r="I291" s="5" t="s">
        <v>751</v>
      </c>
      <c r="J291" s="320" t="s">
        <v>722</v>
      </c>
      <c r="K291" s="5">
        <v>1761.0</v>
      </c>
      <c r="L291" s="320">
        <v>245.25</v>
      </c>
      <c r="W291" s="320"/>
    </row>
    <row r="292">
      <c r="A292" s="5" t="s">
        <v>1096</v>
      </c>
      <c r="B292" s="322"/>
      <c r="C292" s="320">
        <v>54529.0</v>
      </c>
      <c r="D292" s="5">
        <v>663289.0</v>
      </c>
      <c r="E292" s="325">
        <v>12.16396779695208</v>
      </c>
      <c r="F292" s="5">
        <v>1767.9264166901607</v>
      </c>
      <c r="G292" s="5">
        <v>26.0</v>
      </c>
      <c r="H292" s="326">
        <v>21505.0</v>
      </c>
      <c r="I292" s="5" t="s">
        <v>751</v>
      </c>
      <c r="J292" s="320" t="s">
        <v>722</v>
      </c>
      <c r="K292" s="5">
        <v>54529.0</v>
      </c>
      <c r="L292" s="320">
        <v>5655.4</v>
      </c>
      <c r="W292" s="320"/>
    </row>
    <row r="293">
      <c r="A293" s="5" t="s">
        <v>197</v>
      </c>
      <c r="B293" s="324">
        <v>44440.0</v>
      </c>
      <c r="C293" s="5">
        <v>2961.0</v>
      </c>
      <c r="D293" s="5">
        <v>74940.0</v>
      </c>
      <c r="E293" s="325">
        <v>25.309017223910843</v>
      </c>
      <c r="F293" s="5">
        <v>128.57077662129703</v>
      </c>
      <c r="G293" s="5">
        <v>1.0</v>
      </c>
      <c r="H293" s="326">
        <v>3254.0</v>
      </c>
      <c r="I293" s="5" t="s">
        <v>795</v>
      </c>
      <c r="J293" s="320" t="s">
        <v>722</v>
      </c>
      <c r="K293" s="5">
        <v>2961.0</v>
      </c>
      <c r="L293" s="320">
        <v>553.1800000000001</v>
      </c>
      <c r="W293" s="320"/>
    </row>
    <row r="294">
      <c r="A294" s="5"/>
      <c r="B294" s="324">
        <v>44470.0</v>
      </c>
      <c r="C294" s="5">
        <v>2730.0</v>
      </c>
      <c r="D294" s="5">
        <v>75000.0</v>
      </c>
      <c r="E294" s="325">
        <v>27.47252747252747</v>
      </c>
      <c r="F294" s="5">
        <v>109.2364</v>
      </c>
      <c r="G294" s="5">
        <v>1.0</v>
      </c>
      <c r="H294" s="326">
        <v>3001.0</v>
      </c>
      <c r="I294" s="5" t="s">
        <v>795</v>
      </c>
      <c r="J294" s="320" t="s">
        <v>722</v>
      </c>
      <c r="K294" s="5">
        <v>2730.0</v>
      </c>
      <c r="L294" s="320">
        <v>510.1700000000001</v>
      </c>
      <c r="W294" s="320"/>
    </row>
    <row r="295">
      <c r="A295" s="5"/>
      <c r="B295" s="324">
        <v>44501.0</v>
      </c>
      <c r="C295" s="5">
        <v>482.0</v>
      </c>
      <c r="D295" s="5">
        <v>7751.75</v>
      </c>
      <c r="E295" s="325">
        <v>16.08246887966805</v>
      </c>
      <c r="F295" s="5">
        <v>35.13142193698197</v>
      </c>
      <c r="G295" s="5">
        <v>1.0</v>
      </c>
      <c r="H295" s="326">
        <v>565.0</v>
      </c>
      <c r="I295" s="5" t="s">
        <v>795</v>
      </c>
      <c r="J295" s="320" t="s">
        <v>722</v>
      </c>
      <c r="K295" s="5">
        <v>294.0</v>
      </c>
      <c r="L295" s="320">
        <v>141.25</v>
      </c>
      <c r="W295" s="320"/>
    </row>
    <row r="296">
      <c r="A296" s="5"/>
      <c r="B296" s="324">
        <v>44531.0</v>
      </c>
      <c r="C296" s="5">
        <v>2178.0</v>
      </c>
      <c r="D296" s="5">
        <v>35010.0</v>
      </c>
      <c r="E296" s="325">
        <v>16.074380165289256</v>
      </c>
      <c r="F296" s="5">
        <v>23.826735218508997</v>
      </c>
      <c r="G296" s="5">
        <v>1.0</v>
      </c>
      <c r="H296" s="326">
        <v>383.0</v>
      </c>
      <c r="I296" s="5" t="s">
        <v>795</v>
      </c>
      <c r="J296" s="320" t="s">
        <v>722</v>
      </c>
      <c r="K296" s="5">
        <v>1256.0</v>
      </c>
      <c r="L296" s="320">
        <v>95.75</v>
      </c>
      <c r="W296" s="320"/>
    </row>
    <row r="297">
      <c r="A297" s="5"/>
      <c r="B297" s="324">
        <v>44562.0</v>
      </c>
      <c r="C297" s="5">
        <v>1396.0</v>
      </c>
      <c r="D297" s="5">
        <v>42465.0</v>
      </c>
      <c r="E297" s="325">
        <v>30.419054441260744</v>
      </c>
      <c r="F297" s="5">
        <v>135.0140586365242</v>
      </c>
      <c r="G297" s="5">
        <v>1.0</v>
      </c>
      <c r="H297" s="326">
        <v>4107.0</v>
      </c>
      <c r="I297" s="5" t="s">
        <v>795</v>
      </c>
      <c r="J297" s="320" t="s">
        <v>722</v>
      </c>
      <c r="K297" s="5">
        <v>1368.0</v>
      </c>
      <c r="L297" s="320">
        <v>698.19</v>
      </c>
      <c r="W297" s="320"/>
    </row>
    <row r="298">
      <c r="A298" s="5"/>
      <c r="B298" s="324">
        <v>44593.0</v>
      </c>
      <c r="C298" s="5">
        <v>2194.0</v>
      </c>
      <c r="D298" s="5">
        <v>75025.0</v>
      </c>
      <c r="E298" s="325">
        <v>34.19553327256153</v>
      </c>
      <c r="F298" s="5">
        <v>97.87828057314228</v>
      </c>
      <c r="G298" s="5">
        <v>1.0</v>
      </c>
      <c r="H298" s="326">
        <v>3347.0</v>
      </c>
      <c r="I298" s="5" t="s">
        <v>795</v>
      </c>
      <c r="J298" s="320" t="s">
        <v>722</v>
      </c>
      <c r="K298" s="5">
        <v>1951.3333333333333</v>
      </c>
      <c r="L298" s="320">
        <v>568.99</v>
      </c>
      <c r="W298" s="320"/>
    </row>
    <row r="299">
      <c r="A299" s="5"/>
      <c r="B299" s="324">
        <v>44621.0</v>
      </c>
      <c r="C299" s="5">
        <v>1564.0</v>
      </c>
      <c r="D299" s="5">
        <v>75100.0</v>
      </c>
      <c r="E299" s="325">
        <v>48.01790281329923</v>
      </c>
      <c r="F299" s="5">
        <v>45.31643142476698</v>
      </c>
      <c r="G299" s="5">
        <v>1.0</v>
      </c>
      <c r="H299" s="326">
        <v>2176.0</v>
      </c>
      <c r="I299" s="5" t="s">
        <v>795</v>
      </c>
      <c r="J299" s="320" t="s">
        <v>722</v>
      </c>
      <c r="K299" s="5">
        <v>1380.0</v>
      </c>
      <c r="L299" s="320">
        <v>369.91999999999996</v>
      </c>
      <c r="W299" s="320"/>
    </row>
    <row r="300">
      <c r="A300" s="5"/>
      <c r="B300" s="324">
        <v>44652.0</v>
      </c>
      <c r="C300" s="5">
        <v>1697.0</v>
      </c>
      <c r="D300" s="5">
        <v>74995.0</v>
      </c>
      <c r="E300" s="325">
        <v>44.19269298762522</v>
      </c>
      <c r="F300" s="5">
        <v>23.488045869724647</v>
      </c>
      <c r="G300" s="5">
        <v>1.0</v>
      </c>
      <c r="H300" s="326">
        <v>1038.0</v>
      </c>
      <c r="I300" s="5" t="s">
        <v>795</v>
      </c>
      <c r="J300" s="320" t="s">
        <v>722</v>
      </c>
      <c r="K300" s="5">
        <v>1477.6666666666667</v>
      </c>
      <c r="L300" s="320">
        <v>259.5</v>
      </c>
      <c r="W300" s="320"/>
    </row>
    <row r="301">
      <c r="A301" s="5"/>
      <c r="B301" s="324">
        <v>44682.0</v>
      </c>
      <c r="C301" s="5">
        <v>1820.0</v>
      </c>
      <c r="D301" s="5">
        <v>75000.0</v>
      </c>
      <c r="E301" s="325">
        <v>41.20879120879121</v>
      </c>
      <c r="F301" s="5">
        <v>42.41813333333333</v>
      </c>
      <c r="G301" s="5">
        <v>1.0</v>
      </c>
      <c r="H301" s="326">
        <v>1748.0</v>
      </c>
      <c r="I301" s="5" t="s">
        <v>795</v>
      </c>
      <c r="J301" s="320" t="s">
        <v>722</v>
      </c>
      <c r="K301" s="5">
        <v>1803.3333333333335</v>
      </c>
      <c r="L301" s="320">
        <v>437.0</v>
      </c>
      <c r="W301" s="320"/>
    </row>
    <row r="302">
      <c r="A302" s="5"/>
      <c r="B302" s="324">
        <v>44713.0</v>
      </c>
      <c r="C302" s="5">
        <v>1504.0</v>
      </c>
      <c r="D302" s="5">
        <v>75200.0</v>
      </c>
      <c r="E302" s="325">
        <v>50.0</v>
      </c>
      <c r="F302" s="5">
        <v>-45.88</v>
      </c>
      <c r="G302" s="5">
        <v>1.0</v>
      </c>
      <c r="H302" s="326">
        <v>-2294.0</v>
      </c>
      <c r="I302" s="5" t="s">
        <v>795</v>
      </c>
      <c r="J302" s="320" t="s">
        <v>722</v>
      </c>
      <c r="K302" s="5">
        <v>684.6666666666667</v>
      </c>
      <c r="L302" s="320">
        <v>-573.5</v>
      </c>
      <c r="W302" s="320"/>
    </row>
    <row r="303">
      <c r="A303" s="5"/>
      <c r="B303" s="324">
        <v>44743.0</v>
      </c>
      <c r="C303" s="5">
        <v>1772.0</v>
      </c>
      <c r="D303" s="5">
        <v>75034.0</v>
      </c>
      <c r="E303" s="325">
        <v>42.34424379232506</v>
      </c>
      <c r="F303" s="5">
        <v>5.667830583468827</v>
      </c>
      <c r="G303" s="5">
        <v>1.0</v>
      </c>
      <c r="H303" s="326">
        <v>240.0</v>
      </c>
      <c r="I303" s="5" t="s">
        <v>795</v>
      </c>
      <c r="J303" s="320" t="s">
        <v>722</v>
      </c>
      <c r="K303" s="5">
        <v>1772.0</v>
      </c>
      <c r="L303" s="320">
        <v>60.0</v>
      </c>
      <c r="W303" s="320"/>
    </row>
    <row r="304">
      <c r="A304" s="5"/>
      <c r="B304" s="324">
        <v>44774.0</v>
      </c>
      <c r="C304" s="5">
        <v>2497.0</v>
      </c>
      <c r="D304" s="5">
        <v>74980.0</v>
      </c>
      <c r="E304" s="325">
        <v>30.02803364036844</v>
      </c>
      <c r="F304" s="5">
        <v>56.78027473993065</v>
      </c>
      <c r="G304" s="5">
        <v>1.0</v>
      </c>
      <c r="H304" s="326">
        <v>1705.0</v>
      </c>
      <c r="I304" s="5" t="s">
        <v>795</v>
      </c>
      <c r="J304" s="320" t="s">
        <v>722</v>
      </c>
      <c r="K304" s="5">
        <v>2497.0</v>
      </c>
      <c r="L304" s="320">
        <v>426.25</v>
      </c>
      <c r="W304" s="320"/>
    </row>
    <row r="305">
      <c r="A305" s="5"/>
      <c r="B305" s="324">
        <v>44805.0</v>
      </c>
      <c r="C305" s="5">
        <v>3329.0</v>
      </c>
      <c r="D305" s="5">
        <v>80675.0</v>
      </c>
      <c r="E305" s="325">
        <v>24.23400420546711</v>
      </c>
      <c r="F305" s="5">
        <v>153.17320111558723</v>
      </c>
      <c r="G305" s="5">
        <v>1.0</v>
      </c>
      <c r="H305" s="326">
        <v>3712.0</v>
      </c>
      <c r="I305" s="5" t="s">
        <v>795</v>
      </c>
      <c r="J305" s="320" t="s">
        <v>722</v>
      </c>
      <c r="K305" s="5">
        <v>3329.0</v>
      </c>
      <c r="L305" s="320">
        <v>928.0</v>
      </c>
      <c r="W305" s="320"/>
    </row>
    <row r="306">
      <c r="A306" s="5"/>
      <c r="B306" s="324">
        <v>44835.0</v>
      </c>
      <c r="C306" s="5">
        <v>1010.0</v>
      </c>
      <c r="D306" s="5">
        <v>24935.0</v>
      </c>
      <c r="E306" s="325">
        <v>24.68811881188119</v>
      </c>
      <c r="F306" s="5">
        <v>46.33807900541407</v>
      </c>
      <c r="G306" s="5">
        <v>1.0</v>
      </c>
      <c r="H306" s="326">
        <v>1144.0</v>
      </c>
      <c r="I306" s="5" t="s">
        <v>795</v>
      </c>
      <c r="J306" s="320" t="s">
        <v>722</v>
      </c>
      <c r="K306" s="5">
        <v>1010.0</v>
      </c>
      <c r="L306" s="320">
        <v>286.0</v>
      </c>
      <c r="W306" s="320"/>
    </row>
    <row r="307">
      <c r="A307" s="5"/>
      <c r="B307" s="324">
        <v>44866.0</v>
      </c>
      <c r="C307" s="5">
        <v>2473.0</v>
      </c>
      <c r="D307" s="5">
        <v>75125.0</v>
      </c>
      <c r="E307" s="325">
        <v>30.37808329963607</v>
      </c>
      <c r="F307" s="5">
        <v>110.14519800332778</v>
      </c>
      <c r="G307" s="5">
        <v>1.0</v>
      </c>
      <c r="H307" s="326">
        <v>3346.0</v>
      </c>
      <c r="I307" s="5" t="s">
        <v>795</v>
      </c>
      <c r="J307" s="320" t="s">
        <v>722</v>
      </c>
      <c r="K307" s="5">
        <v>2317.0</v>
      </c>
      <c r="L307" s="320">
        <v>568.82</v>
      </c>
      <c r="W307" s="320"/>
    </row>
    <row r="308">
      <c r="A308" s="5"/>
      <c r="B308" s="324">
        <v>44896.0</v>
      </c>
      <c r="C308" s="5">
        <v>339.0</v>
      </c>
      <c r="D308" s="5">
        <v>8250.0</v>
      </c>
      <c r="E308" s="325">
        <v>24.336283185840706</v>
      </c>
      <c r="F308" s="5">
        <v>-0.41090909090909095</v>
      </c>
      <c r="G308" s="5">
        <v>1.0</v>
      </c>
      <c r="H308" s="326">
        <v>-10.0</v>
      </c>
      <c r="I308" s="5" t="s">
        <v>795</v>
      </c>
      <c r="J308" s="320" t="s">
        <v>722</v>
      </c>
      <c r="K308" s="5">
        <v>339.0</v>
      </c>
      <c r="L308" s="320">
        <v>-3.5</v>
      </c>
      <c r="W308" s="320"/>
    </row>
    <row r="309">
      <c r="A309" s="5"/>
      <c r="B309" s="324">
        <v>44927.0</v>
      </c>
      <c r="C309" s="5">
        <v>3046.0</v>
      </c>
      <c r="D309" s="5">
        <v>101249.0</v>
      </c>
      <c r="E309" s="325">
        <v>33.239986868023635</v>
      </c>
      <c r="F309" s="5">
        <v>28.369445624154313</v>
      </c>
      <c r="G309" s="5">
        <v>1.0</v>
      </c>
      <c r="H309" s="326">
        <v>943.0</v>
      </c>
      <c r="I309" s="5" t="s">
        <v>795</v>
      </c>
      <c r="J309" s="320" t="s">
        <v>722</v>
      </c>
      <c r="K309" s="5">
        <v>2822.666666666667</v>
      </c>
      <c r="L309" s="320">
        <v>330.0500000000001</v>
      </c>
      <c r="W309" s="320"/>
    </row>
    <row r="310">
      <c r="A310" s="5"/>
      <c r="B310" s="324">
        <v>44958.0</v>
      </c>
      <c r="C310" s="5">
        <v>3178.0</v>
      </c>
      <c r="D310" s="5">
        <v>74359.0</v>
      </c>
      <c r="E310" s="325">
        <v>23.3980490874764</v>
      </c>
      <c r="F310" s="5">
        <v>152.14943718984924</v>
      </c>
      <c r="G310" s="5">
        <v>1.0</v>
      </c>
      <c r="H310" s="326">
        <v>3560.0</v>
      </c>
      <c r="I310" s="5" t="s">
        <v>795</v>
      </c>
      <c r="J310" s="320" t="s">
        <v>722</v>
      </c>
      <c r="K310" s="5">
        <v>2878.666666666667</v>
      </c>
      <c r="L310" s="320">
        <v>605.2</v>
      </c>
      <c r="W310" s="320"/>
    </row>
    <row r="311">
      <c r="A311" s="5" t="s">
        <v>1127</v>
      </c>
      <c r="B311" s="322"/>
      <c r="C311" s="5">
        <v>36170.0</v>
      </c>
      <c r="D311" s="5">
        <v>1125093.75</v>
      </c>
      <c r="E311" s="325">
        <v>31.105716063035665</v>
      </c>
      <c r="F311" s="5">
        <v>1027.6246312807266</v>
      </c>
      <c r="G311" s="5">
        <v>18.0</v>
      </c>
      <c r="H311" s="326">
        <v>31965.0</v>
      </c>
      <c r="I311" s="5" t="s">
        <v>795</v>
      </c>
      <c r="J311" s="320" t="s">
        <v>722</v>
      </c>
      <c r="K311" s="5">
        <v>32871.33333333333</v>
      </c>
      <c r="L311" s="320">
        <v>6261.27</v>
      </c>
      <c r="W311" s="320"/>
    </row>
    <row r="312">
      <c r="A312" s="5" t="s">
        <v>199</v>
      </c>
      <c r="B312" s="324">
        <v>44743.0</v>
      </c>
      <c r="C312" s="5">
        <v>2035.0</v>
      </c>
      <c r="D312" s="5">
        <v>20350.0</v>
      </c>
      <c r="E312" s="325">
        <v>10.0</v>
      </c>
      <c r="F312" s="5">
        <v>46.2</v>
      </c>
      <c r="G312" s="5">
        <v>1.0</v>
      </c>
      <c r="H312" s="326">
        <v>462.0</v>
      </c>
      <c r="I312" s="5" t="s">
        <v>806</v>
      </c>
      <c r="J312" s="320" t="s">
        <v>808</v>
      </c>
      <c r="K312" s="5">
        <v>1175.0</v>
      </c>
      <c r="L312" s="320">
        <v>115.5</v>
      </c>
      <c r="W312" s="320"/>
    </row>
    <row r="313">
      <c r="A313" s="5"/>
      <c r="B313" s="324">
        <v>44805.0</v>
      </c>
      <c r="C313" s="5">
        <v>2461.0</v>
      </c>
      <c r="D313" s="5">
        <v>27685.0</v>
      </c>
      <c r="E313" s="325">
        <v>11.24949207639171</v>
      </c>
      <c r="F313" s="5">
        <v>12.80057793028716</v>
      </c>
      <c r="G313" s="5">
        <v>1.0</v>
      </c>
      <c r="H313" s="326">
        <v>144.0</v>
      </c>
      <c r="I313" s="5" t="s">
        <v>806</v>
      </c>
      <c r="J313" s="320" t="s">
        <v>808</v>
      </c>
      <c r="K313" s="5">
        <v>1741.6666666666667</v>
      </c>
      <c r="L313" s="320">
        <v>33.120000000000005</v>
      </c>
      <c r="W313" s="320"/>
    </row>
    <row r="314">
      <c r="A314" s="5"/>
      <c r="B314" s="324">
        <v>44835.0</v>
      </c>
      <c r="C314" s="5">
        <v>3409.0</v>
      </c>
      <c r="D314" s="5">
        <v>34090.0</v>
      </c>
      <c r="E314" s="325">
        <v>10.0</v>
      </c>
      <c r="F314" s="5">
        <v>199.4</v>
      </c>
      <c r="G314" s="5">
        <v>1.0</v>
      </c>
      <c r="H314" s="326">
        <v>1994.0</v>
      </c>
      <c r="I314" s="5" t="s">
        <v>806</v>
      </c>
      <c r="J314" s="320" t="s">
        <v>808</v>
      </c>
      <c r="K314" s="5">
        <v>2682.3333333333335</v>
      </c>
      <c r="L314" s="320">
        <v>338.98</v>
      </c>
      <c r="W314" s="320"/>
    </row>
    <row r="315">
      <c r="A315" s="5"/>
      <c r="B315" s="324">
        <v>44866.0</v>
      </c>
      <c r="C315" s="5">
        <v>3388.0</v>
      </c>
      <c r="D315" s="5">
        <v>51693.0</v>
      </c>
      <c r="E315" s="325">
        <v>15.25767414403778</v>
      </c>
      <c r="F315" s="5">
        <v>123.74100942100478</v>
      </c>
      <c r="G315" s="5">
        <v>1.0</v>
      </c>
      <c r="H315" s="326">
        <v>1888.0</v>
      </c>
      <c r="I315" s="5" t="s">
        <v>806</v>
      </c>
      <c r="J315" s="320" t="s">
        <v>808</v>
      </c>
      <c r="K315" s="5">
        <v>2544.666666666667</v>
      </c>
      <c r="L315" s="320">
        <v>490.90000000000003</v>
      </c>
      <c r="W315" s="320"/>
    </row>
    <row r="316">
      <c r="A316" s="5"/>
      <c r="B316" s="324">
        <v>44896.0</v>
      </c>
      <c r="C316" s="5">
        <v>2624.0</v>
      </c>
      <c r="D316" s="5">
        <v>64565.0</v>
      </c>
      <c r="E316" s="325">
        <v>24.605564024390244</v>
      </c>
      <c r="F316" s="5">
        <v>90.507984201967</v>
      </c>
      <c r="G316" s="5">
        <v>1.0</v>
      </c>
      <c r="H316" s="326">
        <v>2227.0</v>
      </c>
      <c r="I316" s="5" t="s">
        <v>806</v>
      </c>
      <c r="J316" s="320" t="s">
        <v>808</v>
      </c>
      <c r="K316" s="5">
        <v>2431.3333333333335</v>
      </c>
      <c r="L316" s="320">
        <v>601.2900000000001</v>
      </c>
      <c r="W316" s="320"/>
    </row>
    <row r="317">
      <c r="A317" s="5"/>
      <c r="B317" s="324">
        <v>44927.0</v>
      </c>
      <c r="C317" s="5">
        <v>998.0</v>
      </c>
      <c r="D317" s="5">
        <v>24950.0</v>
      </c>
      <c r="E317" s="325">
        <v>25.0</v>
      </c>
      <c r="F317" s="5">
        <v>8.56</v>
      </c>
      <c r="G317" s="5">
        <v>1.0</v>
      </c>
      <c r="H317" s="326">
        <v>214.0</v>
      </c>
      <c r="I317" s="5" t="s">
        <v>806</v>
      </c>
      <c r="J317" s="320" t="s">
        <v>808</v>
      </c>
      <c r="K317" s="5">
        <v>998.0</v>
      </c>
      <c r="L317" s="320">
        <v>70.62</v>
      </c>
      <c r="W317" s="320"/>
    </row>
    <row r="318">
      <c r="A318" s="5"/>
      <c r="B318" s="324">
        <v>44958.0</v>
      </c>
      <c r="C318" s="5">
        <v>2026.0</v>
      </c>
      <c r="D318" s="5">
        <v>50650.0</v>
      </c>
      <c r="E318" s="325">
        <v>25.0</v>
      </c>
      <c r="F318" s="5">
        <v>45.16</v>
      </c>
      <c r="G318" s="5">
        <v>1.0</v>
      </c>
      <c r="H318" s="326">
        <v>1129.0</v>
      </c>
      <c r="I318" s="5" t="s">
        <v>806</v>
      </c>
      <c r="J318" s="320" t="s">
        <v>808</v>
      </c>
      <c r="K318" s="5">
        <v>1991.3333333333333</v>
      </c>
      <c r="L318" s="320">
        <v>338.70000000000005</v>
      </c>
      <c r="W318" s="320"/>
    </row>
    <row r="319">
      <c r="A319" s="5"/>
      <c r="B319" s="324">
        <v>44986.0</v>
      </c>
      <c r="C319" s="5">
        <v>1556.0</v>
      </c>
      <c r="D319" s="5">
        <v>38900.0</v>
      </c>
      <c r="E319" s="325">
        <v>25.0</v>
      </c>
      <c r="F319" s="5">
        <v>23.92</v>
      </c>
      <c r="G319" s="5">
        <v>1.0</v>
      </c>
      <c r="H319" s="326">
        <v>598.0</v>
      </c>
      <c r="I319" s="5" t="s">
        <v>806</v>
      </c>
      <c r="J319" s="320" t="s">
        <v>808</v>
      </c>
      <c r="K319" s="5">
        <v>1556.0</v>
      </c>
      <c r="L319" s="320">
        <v>197.34</v>
      </c>
      <c r="W319" s="320"/>
    </row>
    <row r="320">
      <c r="A320" s="5" t="s">
        <v>1097</v>
      </c>
      <c r="B320" s="322"/>
      <c r="C320" s="5">
        <v>18497.0</v>
      </c>
      <c r="D320" s="5">
        <v>312883.0</v>
      </c>
      <c r="E320" s="325">
        <v>16.915337622317132</v>
      </c>
      <c r="F320" s="5">
        <v>511.724932322945</v>
      </c>
      <c r="G320" s="5">
        <v>8.0</v>
      </c>
      <c r="H320" s="326">
        <v>8656.0</v>
      </c>
      <c r="I320" s="5" t="s">
        <v>806</v>
      </c>
      <c r="J320" s="320" t="s">
        <v>808</v>
      </c>
      <c r="K320" s="5">
        <v>15120.333333333334</v>
      </c>
      <c r="L320" s="320">
        <v>2186.45</v>
      </c>
      <c r="W320" s="320"/>
    </row>
    <row r="321">
      <c r="A321" s="5" t="s">
        <v>156</v>
      </c>
      <c r="B321" s="324">
        <v>44682.0</v>
      </c>
      <c r="C321" s="5">
        <v>4955.0</v>
      </c>
      <c r="D321" s="5">
        <v>134145.0</v>
      </c>
      <c r="E321" s="325">
        <v>27.072653884964684</v>
      </c>
      <c r="F321" s="5">
        <v>68.03913675500391</v>
      </c>
      <c r="G321" s="5">
        <v>1.0</v>
      </c>
      <c r="H321" s="326">
        <v>1842.0</v>
      </c>
      <c r="I321" s="5" t="s">
        <v>812</v>
      </c>
      <c r="J321" s="320" t="s">
        <v>722</v>
      </c>
      <c r="K321" s="5">
        <v>2087.666666666667</v>
      </c>
      <c r="L321" s="320">
        <v>373.152</v>
      </c>
      <c r="W321" s="320"/>
    </row>
    <row r="322">
      <c r="A322" s="5"/>
      <c r="B322" s="324">
        <v>44713.0</v>
      </c>
      <c r="C322" s="5">
        <v>2821.0</v>
      </c>
      <c r="D322" s="5">
        <v>137125.0</v>
      </c>
      <c r="E322" s="325">
        <v>48.60864941510103</v>
      </c>
      <c r="F322" s="5">
        <v>89.09936918869644</v>
      </c>
      <c r="G322" s="5">
        <v>1.0</v>
      </c>
      <c r="H322" s="326">
        <v>4331.0</v>
      </c>
      <c r="I322" s="5" t="s">
        <v>812</v>
      </c>
      <c r="J322" s="320" t="s">
        <v>722</v>
      </c>
      <c r="K322" s="5">
        <v>2323.0</v>
      </c>
      <c r="L322" s="320">
        <v>650.5722000000001</v>
      </c>
      <c r="W322" s="320"/>
    </row>
    <row r="323">
      <c r="A323" s="5"/>
      <c r="B323" s="324">
        <v>44743.0</v>
      </c>
      <c r="C323" s="5">
        <v>5510.0</v>
      </c>
      <c r="D323" s="5">
        <v>452160.0</v>
      </c>
      <c r="E323" s="325">
        <v>82.0617059891107</v>
      </c>
      <c r="F323" s="5">
        <v>76.38154635527248</v>
      </c>
      <c r="G323" s="5">
        <v>1.0</v>
      </c>
      <c r="H323" s="326">
        <v>6268.0</v>
      </c>
      <c r="I323" s="5" t="s">
        <v>812</v>
      </c>
      <c r="J323" s="320" t="s">
        <v>722</v>
      </c>
      <c r="K323" s="5">
        <v>4574.0</v>
      </c>
      <c r="L323" s="320">
        <v>1216.8584</v>
      </c>
      <c r="W323" s="320"/>
    </row>
    <row r="324">
      <c r="A324" s="5"/>
      <c r="B324" s="324">
        <v>44774.0</v>
      </c>
      <c r="C324" s="5">
        <v>3313.0</v>
      </c>
      <c r="D324" s="5">
        <v>240000.0</v>
      </c>
      <c r="E324" s="325">
        <v>72.4418955629339</v>
      </c>
      <c r="F324" s="5">
        <v>7.688920833333333</v>
      </c>
      <c r="G324" s="5">
        <v>1.0</v>
      </c>
      <c r="H324" s="326">
        <v>557.0</v>
      </c>
      <c r="I324" s="5" t="s">
        <v>812</v>
      </c>
      <c r="J324" s="320" t="s">
        <v>722</v>
      </c>
      <c r="K324" s="5">
        <v>2541.0</v>
      </c>
      <c r="L324" s="320">
        <v>134.93600000000004</v>
      </c>
      <c r="W324" s="320"/>
    </row>
    <row r="325">
      <c r="A325" s="5"/>
      <c r="B325" s="324">
        <v>44805.0</v>
      </c>
      <c r="C325" s="320">
        <v>3716.0</v>
      </c>
      <c r="D325" s="5">
        <v>203700.0</v>
      </c>
      <c r="E325" s="325">
        <v>54.81700753498385</v>
      </c>
      <c r="F325" s="5">
        <v>54.07081001472754</v>
      </c>
      <c r="G325" s="5">
        <v>1.0</v>
      </c>
      <c r="H325" s="326">
        <v>2964.0</v>
      </c>
      <c r="I325" s="5" t="s">
        <v>812</v>
      </c>
      <c r="J325" s="320" t="s">
        <v>722</v>
      </c>
      <c r="K325" s="5">
        <v>3626.5</v>
      </c>
      <c r="L325" s="320">
        <v>741.0</v>
      </c>
      <c r="W325" s="320"/>
    </row>
    <row r="326">
      <c r="A326" s="5"/>
      <c r="B326" s="324">
        <v>44835.0</v>
      </c>
      <c r="C326" s="320">
        <v>1432.0</v>
      </c>
      <c r="D326" s="5">
        <v>66650.0</v>
      </c>
      <c r="E326" s="325">
        <v>46.54329608938548</v>
      </c>
      <c r="F326" s="5">
        <v>135.05704426106524</v>
      </c>
      <c r="G326" s="5">
        <v>1.0</v>
      </c>
      <c r="H326" s="326">
        <v>6286.0</v>
      </c>
      <c r="I326" s="5" t="s">
        <v>812</v>
      </c>
      <c r="J326" s="320" t="s">
        <v>722</v>
      </c>
      <c r="K326" s="5">
        <v>1107.5</v>
      </c>
      <c r="L326" s="320">
        <v>1257.2</v>
      </c>
      <c r="W326" s="320"/>
    </row>
    <row r="327">
      <c r="A327" s="5"/>
      <c r="B327" s="324">
        <v>44866.0</v>
      </c>
      <c r="C327" s="320">
        <v>1810.0</v>
      </c>
      <c r="D327" s="5">
        <v>45250.0</v>
      </c>
      <c r="E327" s="325">
        <v>25.0</v>
      </c>
      <c r="F327" s="5">
        <v>110.64</v>
      </c>
      <c r="G327" s="5">
        <v>1.0</v>
      </c>
      <c r="H327" s="326">
        <v>2766.0</v>
      </c>
      <c r="I327" s="5" t="s">
        <v>812</v>
      </c>
      <c r="J327" s="320" t="s">
        <v>722</v>
      </c>
      <c r="K327" s="5">
        <v>1112.5</v>
      </c>
      <c r="L327" s="320">
        <v>624.2708</v>
      </c>
      <c r="W327" s="320"/>
    </row>
    <row r="328">
      <c r="A328" s="5"/>
      <c r="B328" s="324">
        <v>44896.0</v>
      </c>
      <c r="C328" s="320">
        <v>16574.0</v>
      </c>
      <c r="D328" s="5">
        <v>984580.0</v>
      </c>
      <c r="E328" s="325">
        <v>59.40509231326173</v>
      </c>
      <c r="F328" s="5">
        <v>51.140396920514334</v>
      </c>
      <c r="G328" s="5">
        <v>1.0</v>
      </c>
      <c r="H328" s="326">
        <v>3038.0</v>
      </c>
      <c r="I328" s="5" t="s">
        <v>812</v>
      </c>
      <c r="J328" s="320" t="s">
        <v>722</v>
      </c>
      <c r="K328" s="5">
        <v>7278.999999999999</v>
      </c>
      <c r="L328" s="320">
        <v>819.0655000000002</v>
      </c>
      <c r="W328" s="320"/>
    </row>
    <row r="329">
      <c r="A329" s="5"/>
      <c r="B329" s="324">
        <v>44927.0</v>
      </c>
      <c r="C329" s="320">
        <v>7384.0</v>
      </c>
      <c r="D329" s="5">
        <v>321400.0</v>
      </c>
      <c r="E329" s="325">
        <v>43.526543878656554</v>
      </c>
      <c r="F329" s="5">
        <v>187.47181082762913</v>
      </c>
      <c r="G329" s="5">
        <v>1.0</v>
      </c>
      <c r="H329" s="326">
        <v>8160.0</v>
      </c>
      <c r="I329" s="5" t="s">
        <v>812</v>
      </c>
      <c r="J329" s="320" t="s">
        <v>722</v>
      </c>
      <c r="K329" s="5">
        <v>4569.0</v>
      </c>
      <c r="L329" s="320">
        <v>1260.4554</v>
      </c>
      <c r="W329" s="320"/>
    </row>
    <row r="330">
      <c r="A330" s="5"/>
      <c r="B330" s="324">
        <v>44958.0</v>
      </c>
      <c r="C330" s="5">
        <v>5257.0</v>
      </c>
      <c r="D330" s="5">
        <v>162700.0</v>
      </c>
      <c r="E330" s="325">
        <v>30.94921057637436</v>
      </c>
      <c r="F330" s="5">
        <v>-28.522536877688996</v>
      </c>
      <c r="G330" s="5">
        <v>1.0</v>
      </c>
      <c r="H330" s="326">
        <v>-882.75</v>
      </c>
      <c r="I330" s="5" t="s">
        <v>812</v>
      </c>
      <c r="J330" s="320" t="s">
        <v>722</v>
      </c>
      <c r="K330" s="5">
        <v>2553.1666666666665</v>
      </c>
      <c r="L330" s="320">
        <v>-176.55000000000004</v>
      </c>
      <c r="W330" s="320"/>
    </row>
    <row r="331">
      <c r="A331" s="5"/>
      <c r="B331" s="324">
        <v>44986.0</v>
      </c>
      <c r="C331" s="5">
        <v>3828.0</v>
      </c>
      <c r="D331" s="5">
        <v>176400.0</v>
      </c>
      <c r="E331" s="325">
        <v>46.08150470219436</v>
      </c>
      <c r="F331" s="5">
        <v>124.63991374327509</v>
      </c>
      <c r="G331" s="5">
        <v>1.0</v>
      </c>
      <c r="H331" s="326">
        <v>5743.59477124183</v>
      </c>
      <c r="I331" s="5" t="s">
        <v>812</v>
      </c>
      <c r="J331" s="320" t="s">
        <v>722</v>
      </c>
      <c r="K331" s="5">
        <v>1909.5</v>
      </c>
      <c r="L331" s="320">
        <v>1230.278</v>
      </c>
      <c r="W331" s="320"/>
    </row>
    <row r="332">
      <c r="A332" s="5" t="s">
        <v>1128</v>
      </c>
      <c r="B332" s="322"/>
      <c r="C332" s="5">
        <v>56600.0</v>
      </c>
      <c r="D332" s="5">
        <v>2924110.0</v>
      </c>
      <c r="E332" s="325">
        <v>51.66272084805654</v>
      </c>
      <c r="F332" s="5">
        <v>795.0190020390093</v>
      </c>
      <c r="G332" s="5">
        <v>11.0</v>
      </c>
      <c r="H332" s="326">
        <v>41072.84477124183</v>
      </c>
      <c r="I332" s="5" t="s">
        <v>812</v>
      </c>
      <c r="J332" s="320" t="s">
        <v>722</v>
      </c>
      <c r="K332" s="5">
        <v>33682.83333333332</v>
      </c>
      <c r="L332" s="320">
        <v>8131.2383</v>
      </c>
      <c r="W332" s="320"/>
    </row>
    <row r="333">
      <c r="A333" s="5" t="s">
        <v>171</v>
      </c>
      <c r="B333" s="324">
        <v>44805.0</v>
      </c>
      <c r="C333" s="5">
        <v>1766.0</v>
      </c>
      <c r="D333" s="5">
        <v>74075.0</v>
      </c>
      <c r="E333" s="325">
        <v>41.945073612684034</v>
      </c>
      <c r="F333" s="5">
        <v>180.54563617954776</v>
      </c>
      <c r="G333" s="5">
        <v>1.0</v>
      </c>
      <c r="H333" s="326">
        <v>7573.0</v>
      </c>
      <c r="I333" s="5" t="s">
        <v>720</v>
      </c>
      <c r="J333" s="320" t="s">
        <v>808</v>
      </c>
      <c r="K333" s="5">
        <v>1766.0</v>
      </c>
      <c r="L333" s="320">
        <v>1666.3</v>
      </c>
      <c r="W333" s="320"/>
    </row>
    <row r="334">
      <c r="A334" s="5"/>
      <c r="B334" s="324">
        <v>44835.0</v>
      </c>
      <c r="C334" s="5">
        <v>4659.0</v>
      </c>
      <c r="D334" s="5">
        <v>181745.0</v>
      </c>
      <c r="E334" s="325">
        <v>39.009444086713884</v>
      </c>
      <c r="F334" s="5">
        <v>8.203141764560236</v>
      </c>
      <c r="G334" s="5">
        <v>1.0</v>
      </c>
      <c r="H334" s="326">
        <v>320.0</v>
      </c>
      <c r="I334" s="5" t="s">
        <v>720</v>
      </c>
      <c r="J334" s="320" t="s">
        <v>808</v>
      </c>
      <c r="K334" s="5">
        <v>2329.333333333333</v>
      </c>
      <c r="L334" s="320">
        <v>102.99999999999997</v>
      </c>
      <c r="W334" s="320"/>
    </row>
    <row r="335">
      <c r="A335" s="5"/>
      <c r="B335" s="324">
        <v>44866.0</v>
      </c>
      <c r="C335" s="5">
        <v>2554.0</v>
      </c>
      <c r="D335" s="5">
        <v>79650.0</v>
      </c>
      <c r="E335" s="325">
        <v>31.186374314800315</v>
      </c>
      <c r="F335" s="5">
        <v>171.70960451977402</v>
      </c>
      <c r="G335" s="5">
        <v>1.0</v>
      </c>
      <c r="H335" s="326">
        <v>5355.0</v>
      </c>
      <c r="I335" s="5" t="s">
        <v>720</v>
      </c>
      <c r="J335" s="320" t="s">
        <v>808</v>
      </c>
      <c r="K335" s="5">
        <v>1252.1666666666665</v>
      </c>
      <c r="L335" s="320">
        <v>1467.5</v>
      </c>
      <c r="W335" s="320"/>
    </row>
    <row r="336">
      <c r="A336" s="5"/>
      <c r="B336" s="324">
        <v>44896.0</v>
      </c>
      <c r="C336" s="5">
        <v>483.0</v>
      </c>
      <c r="D336" s="5">
        <v>12075.0</v>
      </c>
      <c r="E336" s="325">
        <v>25.0</v>
      </c>
      <c r="F336" s="5">
        <v>17.04</v>
      </c>
      <c r="G336" s="5">
        <v>1.0</v>
      </c>
      <c r="H336" s="326">
        <v>426.0</v>
      </c>
      <c r="I336" s="5" t="s">
        <v>720</v>
      </c>
      <c r="J336" s="320" t="s">
        <v>808</v>
      </c>
      <c r="K336" s="5">
        <v>241.5</v>
      </c>
      <c r="L336" s="320">
        <v>170.6</v>
      </c>
      <c r="W336" s="320"/>
    </row>
    <row r="337">
      <c r="A337" s="5"/>
      <c r="B337" s="324">
        <v>44927.0</v>
      </c>
      <c r="C337" s="5">
        <v>11351.0</v>
      </c>
      <c r="D337" s="5">
        <v>142130.0</v>
      </c>
      <c r="E337" s="325">
        <v>12.521363756497225</v>
      </c>
      <c r="F337" s="5">
        <v>183.526335045381</v>
      </c>
      <c r="G337" s="5">
        <v>1.0</v>
      </c>
      <c r="H337" s="326">
        <v>2298.0</v>
      </c>
      <c r="I337" s="5" t="s">
        <v>720</v>
      </c>
      <c r="J337" s="320" t="s">
        <v>808</v>
      </c>
      <c r="K337" s="5">
        <v>5675.5</v>
      </c>
      <c r="L337" s="320">
        <v>620.8</v>
      </c>
      <c r="W337" s="320"/>
    </row>
    <row r="338">
      <c r="A338" s="5"/>
      <c r="B338" s="324">
        <v>44958.0</v>
      </c>
      <c r="C338" s="5">
        <v>1536.0</v>
      </c>
      <c r="D338" s="5">
        <v>19850.0</v>
      </c>
      <c r="E338" s="325">
        <v>12.923177083333334</v>
      </c>
      <c r="F338" s="5">
        <v>568.1497632241814</v>
      </c>
      <c r="G338" s="5">
        <v>1.0</v>
      </c>
      <c r="H338" s="326">
        <v>7342.3</v>
      </c>
      <c r="I338" s="5" t="s">
        <v>720</v>
      </c>
      <c r="J338" s="320" t="s">
        <v>808</v>
      </c>
      <c r="K338" s="5">
        <v>1145.5</v>
      </c>
      <c r="L338" s="320">
        <v>1982.421</v>
      </c>
      <c r="W338" s="320"/>
    </row>
    <row r="339">
      <c r="A339" s="5" t="s">
        <v>1129</v>
      </c>
      <c r="B339" s="322"/>
      <c r="C339" s="5">
        <v>22349.0</v>
      </c>
      <c r="D339" s="5">
        <v>509525.0</v>
      </c>
      <c r="E339" s="325">
        <v>22.798559219651885</v>
      </c>
      <c r="F339" s="5">
        <v>1022.6216391737403</v>
      </c>
      <c r="G339" s="5">
        <v>6.0</v>
      </c>
      <c r="H339" s="326">
        <v>23314.3</v>
      </c>
      <c r="I339" s="5" t="s">
        <v>720</v>
      </c>
      <c r="J339" s="320" t="s">
        <v>808</v>
      </c>
      <c r="K339" s="5">
        <v>12410.0</v>
      </c>
      <c r="L339" s="320">
        <v>6010.621</v>
      </c>
      <c r="W339" s="320"/>
    </row>
    <row r="340">
      <c r="A340" s="5" t="s">
        <v>546</v>
      </c>
      <c r="B340" s="324">
        <v>44621.0</v>
      </c>
      <c r="C340" s="5">
        <v>1687.0</v>
      </c>
      <c r="D340" s="5">
        <v>337400.0</v>
      </c>
      <c r="E340" s="325">
        <v>200.0</v>
      </c>
      <c r="F340" s="5">
        <v>8.05</v>
      </c>
      <c r="G340" s="5">
        <v>1.0</v>
      </c>
      <c r="H340" s="326">
        <v>1610.0</v>
      </c>
      <c r="I340" s="317" t="s">
        <v>818</v>
      </c>
      <c r="J340" s="320" t="s">
        <v>820</v>
      </c>
      <c r="K340" s="5">
        <v>562.3333333333334</v>
      </c>
      <c r="L340" s="320">
        <v>193.2</v>
      </c>
      <c r="W340" s="320"/>
    </row>
    <row r="341">
      <c r="A341" s="5"/>
      <c r="B341" s="324">
        <v>44652.0</v>
      </c>
      <c r="C341" s="5">
        <v>4515.0</v>
      </c>
      <c r="D341" s="5">
        <v>902800.0</v>
      </c>
      <c r="E341" s="325">
        <v>199.95570321151718</v>
      </c>
      <c r="F341" s="5">
        <v>41.409171466548514</v>
      </c>
      <c r="G341" s="5">
        <v>1.0</v>
      </c>
      <c r="H341" s="326">
        <v>8280.0</v>
      </c>
      <c r="I341" s="317" t="s">
        <v>818</v>
      </c>
      <c r="J341" s="320" t="s">
        <v>820</v>
      </c>
      <c r="K341" s="5">
        <v>1505.0</v>
      </c>
      <c r="L341" s="320">
        <v>993.5999999999999</v>
      </c>
      <c r="W341" s="320"/>
    </row>
    <row r="342">
      <c r="A342" s="5"/>
      <c r="B342" s="324">
        <v>44682.0</v>
      </c>
      <c r="C342" s="5">
        <v>3175.0</v>
      </c>
      <c r="D342" s="5">
        <v>588400.0</v>
      </c>
      <c r="E342" s="325">
        <v>185.3228346456693</v>
      </c>
      <c r="F342" s="5">
        <v>-28.70666213460231</v>
      </c>
      <c r="G342" s="5">
        <v>1.0</v>
      </c>
      <c r="H342" s="326">
        <v>-5320.0</v>
      </c>
      <c r="I342" s="317" t="s">
        <v>818</v>
      </c>
      <c r="J342" s="320" t="s">
        <v>820</v>
      </c>
      <c r="K342" s="5">
        <v>1058.3333333333333</v>
      </c>
      <c r="L342" s="320">
        <v>-638.4000000000001</v>
      </c>
      <c r="W342" s="320"/>
    </row>
    <row r="343">
      <c r="A343" s="5"/>
      <c r="B343" s="324">
        <v>44713.0</v>
      </c>
      <c r="C343" s="5">
        <v>9217.0</v>
      </c>
      <c r="D343" s="5">
        <v>921700.0</v>
      </c>
      <c r="E343" s="325">
        <v>100.0</v>
      </c>
      <c r="F343" s="5">
        <v>-5.79</v>
      </c>
      <c r="G343" s="5">
        <v>1.0</v>
      </c>
      <c r="H343" s="326">
        <v>-579.0</v>
      </c>
      <c r="I343" s="317" t="s">
        <v>818</v>
      </c>
      <c r="J343" s="320" t="s">
        <v>820</v>
      </c>
      <c r="K343" s="5">
        <v>3072.3333333333335</v>
      </c>
      <c r="L343" s="320">
        <v>-69.48</v>
      </c>
      <c r="W343" s="320"/>
    </row>
    <row r="344">
      <c r="A344" s="5"/>
      <c r="B344" s="324">
        <v>44743.0</v>
      </c>
      <c r="C344" s="5">
        <v>6225.0</v>
      </c>
      <c r="D344" s="5">
        <v>622500.0</v>
      </c>
      <c r="E344" s="325">
        <v>100.0</v>
      </c>
      <c r="F344" s="5">
        <v>103.6</v>
      </c>
      <c r="G344" s="5">
        <v>1.0</v>
      </c>
      <c r="H344" s="326">
        <v>10360.0</v>
      </c>
      <c r="I344" s="317" t="s">
        <v>818</v>
      </c>
      <c r="J344" s="320" t="s">
        <v>820</v>
      </c>
      <c r="K344" s="5">
        <v>2075.0</v>
      </c>
      <c r="L344" s="320">
        <v>1243.2</v>
      </c>
      <c r="W344" s="320"/>
    </row>
    <row r="345">
      <c r="A345" s="5"/>
      <c r="B345" s="324">
        <v>44774.0</v>
      </c>
      <c r="C345" s="5">
        <v>6023.0</v>
      </c>
      <c r="D345" s="5">
        <v>602300.0</v>
      </c>
      <c r="E345" s="325">
        <v>100.0</v>
      </c>
      <c r="F345" s="5">
        <v>114.04</v>
      </c>
      <c r="G345" s="5">
        <v>1.0</v>
      </c>
      <c r="H345" s="326">
        <v>11404.0</v>
      </c>
      <c r="I345" s="317" t="s">
        <v>818</v>
      </c>
      <c r="J345" s="320" t="s">
        <v>820</v>
      </c>
      <c r="K345" s="5">
        <v>2007.6666666666667</v>
      </c>
      <c r="L345" s="320">
        <v>1368.48</v>
      </c>
      <c r="W345" s="320"/>
    </row>
    <row r="346">
      <c r="A346" s="5"/>
      <c r="B346" s="324">
        <v>44805.0</v>
      </c>
      <c r="C346" s="5">
        <v>5437.0</v>
      </c>
      <c r="D346" s="5">
        <v>543700.0</v>
      </c>
      <c r="E346" s="325">
        <v>100.0</v>
      </c>
      <c r="F346" s="5">
        <v>170.25</v>
      </c>
      <c r="G346" s="5">
        <v>1.0</v>
      </c>
      <c r="H346" s="326">
        <v>17025.0</v>
      </c>
      <c r="I346" s="317" t="s">
        <v>818</v>
      </c>
      <c r="J346" s="320" t="s">
        <v>820</v>
      </c>
      <c r="K346" s="5">
        <v>1812.3333333333333</v>
      </c>
      <c r="L346" s="320">
        <v>2043.0</v>
      </c>
      <c r="W346" s="320"/>
    </row>
    <row r="347">
      <c r="A347" s="5"/>
      <c r="B347" s="324">
        <v>44835.0</v>
      </c>
      <c r="C347" s="5">
        <v>4599.0</v>
      </c>
      <c r="D347" s="5">
        <v>216450.0</v>
      </c>
      <c r="E347" s="325">
        <v>47.064579256360076</v>
      </c>
      <c r="F347" s="5">
        <v>137.9168814968815</v>
      </c>
      <c r="G347" s="5">
        <v>1.0</v>
      </c>
      <c r="H347" s="326">
        <v>6491.0</v>
      </c>
      <c r="I347" s="317" t="s">
        <v>818</v>
      </c>
      <c r="J347" s="320" t="s">
        <v>820</v>
      </c>
      <c r="K347" s="5">
        <v>1533.0</v>
      </c>
      <c r="L347" s="320">
        <v>778.9200000000001</v>
      </c>
      <c r="W347" s="320"/>
    </row>
    <row r="348">
      <c r="A348" s="5"/>
      <c r="B348" s="324">
        <v>44866.0</v>
      </c>
      <c r="C348" s="5">
        <v>7468.0</v>
      </c>
      <c r="D348" s="5">
        <v>997850.0</v>
      </c>
      <c r="E348" s="325">
        <v>133.61676486341725</v>
      </c>
      <c r="F348" s="5">
        <v>27.55642230796212</v>
      </c>
      <c r="G348" s="5">
        <v>1.0</v>
      </c>
      <c r="H348" s="326">
        <v>3682.0</v>
      </c>
      <c r="I348" s="317" t="s">
        <v>818</v>
      </c>
      <c r="J348" s="320" t="s">
        <v>820</v>
      </c>
      <c r="K348" s="5">
        <v>2489.333333333333</v>
      </c>
      <c r="L348" s="320">
        <v>441.84000000000003</v>
      </c>
      <c r="W348" s="320"/>
    </row>
    <row r="349">
      <c r="A349" s="5"/>
      <c r="B349" s="324">
        <v>44896.0</v>
      </c>
      <c r="C349" s="5">
        <v>5875.0</v>
      </c>
      <c r="D349" s="5">
        <v>465400.0</v>
      </c>
      <c r="E349" s="325">
        <v>79.21702127659574</v>
      </c>
      <c r="F349" s="5">
        <v>90.7254512247529</v>
      </c>
      <c r="G349" s="5">
        <v>1.0</v>
      </c>
      <c r="H349" s="326">
        <v>7187.0</v>
      </c>
      <c r="I349" s="317" t="s">
        <v>818</v>
      </c>
      <c r="J349" s="320" t="s">
        <v>820</v>
      </c>
      <c r="K349" s="5">
        <v>1958.3333333333333</v>
      </c>
      <c r="L349" s="320">
        <v>862.4399999999999</v>
      </c>
      <c r="W349" s="320"/>
    </row>
    <row r="350">
      <c r="A350" s="5"/>
      <c r="B350" s="324">
        <v>44927.0</v>
      </c>
      <c r="C350" s="5">
        <v>8287.0</v>
      </c>
      <c r="D350" s="5">
        <v>1487900.0</v>
      </c>
      <c r="E350" s="325">
        <v>179.546277301798</v>
      </c>
      <c r="F350" s="5">
        <v>114.42732374487532</v>
      </c>
      <c r="G350" s="5">
        <v>1.0</v>
      </c>
      <c r="H350" s="326">
        <v>20545.0</v>
      </c>
      <c r="I350" s="317" t="s">
        <v>818</v>
      </c>
      <c r="J350" s="320" t="s">
        <v>820</v>
      </c>
      <c r="K350" s="5">
        <v>2762.333333333333</v>
      </c>
      <c r="L350" s="320">
        <v>2465.3999999999996</v>
      </c>
      <c r="W350" s="320"/>
    </row>
    <row r="351">
      <c r="A351" s="5"/>
      <c r="B351" s="324">
        <v>44958.0</v>
      </c>
      <c r="C351" s="5">
        <v>1752.0</v>
      </c>
      <c r="D351" s="5">
        <v>230700.0</v>
      </c>
      <c r="E351" s="325">
        <v>131.67808219178082</v>
      </c>
      <c r="F351" s="5">
        <v>46.859810663198964</v>
      </c>
      <c r="G351" s="5">
        <v>1.0</v>
      </c>
      <c r="H351" s="326">
        <v>6170.41</v>
      </c>
      <c r="I351" s="317" t="s">
        <v>818</v>
      </c>
      <c r="J351" s="320" t="s">
        <v>820</v>
      </c>
      <c r="K351" s="5">
        <v>584.0</v>
      </c>
      <c r="L351" s="320">
        <v>740.4492</v>
      </c>
      <c r="W351" s="320"/>
    </row>
    <row r="352">
      <c r="A352" s="5" t="s">
        <v>1130</v>
      </c>
      <c r="B352" s="322"/>
      <c r="C352" s="5">
        <v>64260.0</v>
      </c>
      <c r="D352" s="5">
        <v>7917100.0</v>
      </c>
      <c r="E352" s="325">
        <v>123.20417055711174</v>
      </c>
      <c r="F352" s="5">
        <v>704.9713464020916</v>
      </c>
      <c r="G352" s="5">
        <v>12.0</v>
      </c>
      <c r="H352" s="326">
        <v>86855.41</v>
      </c>
      <c r="I352" s="317" t="s">
        <v>818</v>
      </c>
      <c r="J352" s="320" t="s">
        <v>820</v>
      </c>
      <c r="K352" s="5">
        <v>21420.000000000004</v>
      </c>
      <c r="L352" s="320">
        <v>10422.6492</v>
      </c>
      <c r="W352" s="320"/>
    </row>
    <row r="353">
      <c r="A353" s="5" t="s">
        <v>232</v>
      </c>
      <c r="B353" s="324">
        <v>44958.0</v>
      </c>
      <c r="C353" s="5">
        <v>6032.0</v>
      </c>
      <c r="D353" s="5">
        <v>125590.0</v>
      </c>
      <c r="E353" s="325">
        <v>20.820623342175065</v>
      </c>
      <c r="F353" s="5">
        <v>70.62516697189267</v>
      </c>
      <c r="G353" s="5">
        <v>1.0</v>
      </c>
      <c r="H353" s="326">
        <v>1470.46</v>
      </c>
      <c r="I353" s="5" t="s">
        <v>720</v>
      </c>
      <c r="J353" s="320" t="s">
        <v>722</v>
      </c>
      <c r="K353" s="5">
        <v>2010.6666666666667</v>
      </c>
      <c r="L353" s="320">
        <v>338.20580000000007</v>
      </c>
      <c r="W353" s="320"/>
    </row>
    <row r="354">
      <c r="A354" s="5" t="s">
        <v>1131</v>
      </c>
      <c r="B354" s="322"/>
      <c r="C354" s="5">
        <v>6032.0</v>
      </c>
      <c r="D354" s="5">
        <v>125590.0</v>
      </c>
      <c r="E354" s="325">
        <v>20.820623342175065</v>
      </c>
      <c r="F354" s="5">
        <v>70.62516697189267</v>
      </c>
      <c r="G354" s="5">
        <v>1.0</v>
      </c>
      <c r="H354" s="326">
        <v>1470.46</v>
      </c>
      <c r="I354" s="5" t="s">
        <v>720</v>
      </c>
      <c r="J354" s="320" t="s">
        <v>722</v>
      </c>
      <c r="K354" s="5">
        <v>2010.6666666666667</v>
      </c>
      <c r="L354" s="320">
        <v>338.20580000000007</v>
      </c>
      <c r="W354" s="320"/>
    </row>
    <row r="355">
      <c r="A355" s="5" t="s">
        <v>160</v>
      </c>
      <c r="B355" s="324">
        <v>44348.0</v>
      </c>
      <c r="C355" s="320">
        <v>3644.0</v>
      </c>
      <c r="D355" s="5">
        <v>36430.0</v>
      </c>
      <c r="E355" s="325">
        <v>9.997255762897915</v>
      </c>
      <c r="F355" s="5">
        <v>77.02113642602251</v>
      </c>
      <c r="G355" s="5">
        <v>1.0</v>
      </c>
      <c r="H355" s="326">
        <v>770.0</v>
      </c>
      <c r="I355" s="5" t="s">
        <v>751</v>
      </c>
      <c r="J355" s="320" t="s">
        <v>722</v>
      </c>
      <c r="K355" s="5">
        <v>3644.0</v>
      </c>
      <c r="L355" s="320">
        <v>231.5</v>
      </c>
      <c r="W355" s="320"/>
    </row>
    <row r="356">
      <c r="A356" s="5"/>
      <c r="B356" s="324">
        <v>44378.0</v>
      </c>
      <c r="C356" s="320">
        <v>3010.0</v>
      </c>
      <c r="D356" s="5">
        <v>30090.0</v>
      </c>
      <c r="E356" s="325">
        <v>9.996677740863788</v>
      </c>
      <c r="F356" s="5">
        <v>116.03855101362578</v>
      </c>
      <c r="G356" s="5">
        <v>1.0</v>
      </c>
      <c r="H356" s="326">
        <v>1160.0</v>
      </c>
      <c r="I356" s="5" t="s">
        <v>751</v>
      </c>
      <c r="J356" s="320" t="s">
        <v>722</v>
      </c>
      <c r="K356" s="5">
        <v>3010.0</v>
      </c>
      <c r="L356" s="320">
        <v>348.0</v>
      </c>
      <c r="W356" s="320"/>
    </row>
    <row r="357">
      <c r="A357" s="5"/>
      <c r="B357" s="324">
        <v>44409.0</v>
      </c>
      <c r="C357" s="320">
        <v>3008.0</v>
      </c>
      <c r="D357" s="5">
        <v>30080.0</v>
      </c>
      <c r="E357" s="325">
        <v>10.0</v>
      </c>
      <c r="F357" s="5">
        <v>-17.8</v>
      </c>
      <c r="G357" s="5">
        <v>1.0</v>
      </c>
      <c r="H357" s="326">
        <v>-178.0</v>
      </c>
      <c r="I357" s="5" t="s">
        <v>751</v>
      </c>
      <c r="J357" s="320" t="s">
        <v>722</v>
      </c>
      <c r="K357" s="5">
        <v>3008.0</v>
      </c>
      <c r="L357" s="320">
        <v>-53.7</v>
      </c>
      <c r="W357" s="320"/>
    </row>
    <row r="358">
      <c r="A358" s="5"/>
      <c r="B358" s="324">
        <v>44440.0</v>
      </c>
      <c r="C358" s="320">
        <v>3102.0</v>
      </c>
      <c r="D358" s="5">
        <v>31000.0</v>
      </c>
      <c r="E358" s="325">
        <v>9.993552546744036</v>
      </c>
      <c r="F358" s="5">
        <v>-42.827612903225805</v>
      </c>
      <c r="G358" s="5">
        <v>1.0</v>
      </c>
      <c r="H358" s="326">
        <v>-428.0</v>
      </c>
      <c r="I358" s="5" t="s">
        <v>751</v>
      </c>
      <c r="J358" s="320" t="s">
        <v>722</v>
      </c>
      <c r="K358" s="5">
        <v>3102.0</v>
      </c>
      <c r="L358" s="320">
        <v>-129.2</v>
      </c>
      <c r="W358" s="320"/>
    </row>
    <row r="359">
      <c r="A359" s="5"/>
      <c r="B359" s="324">
        <v>44470.0</v>
      </c>
      <c r="C359" s="320">
        <v>3946.0</v>
      </c>
      <c r="D359" s="5">
        <v>39460.0</v>
      </c>
      <c r="E359" s="325">
        <v>10.0</v>
      </c>
      <c r="F359" s="5">
        <v>86.8</v>
      </c>
      <c r="G359" s="5">
        <v>1.0</v>
      </c>
      <c r="H359" s="326">
        <v>868.0</v>
      </c>
      <c r="I359" s="5" t="s">
        <v>751</v>
      </c>
      <c r="J359" s="320" t="s">
        <v>722</v>
      </c>
      <c r="K359" s="5">
        <v>3946.0</v>
      </c>
      <c r="L359" s="320">
        <v>260.2</v>
      </c>
      <c r="W359" s="320"/>
    </row>
    <row r="360">
      <c r="A360" s="5"/>
      <c r="B360" s="324">
        <v>44501.0</v>
      </c>
      <c r="C360" s="320">
        <v>3716.0</v>
      </c>
      <c r="D360" s="5">
        <v>37110.0</v>
      </c>
      <c r="E360" s="325">
        <v>9.98654467168999</v>
      </c>
      <c r="F360" s="5">
        <v>203.47378065211532</v>
      </c>
      <c r="G360" s="5">
        <v>1.0</v>
      </c>
      <c r="H360" s="326">
        <v>2032.0</v>
      </c>
      <c r="I360" s="5" t="s">
        <v>751</v>
      </c>
      <c r="J360" s="320" t="s">
        <v>722</v>
      </c>
      <c r="K360" s="5">
        <v>3716.0</v>
      </c>
      <c r="L360" s="320">
        <v>508.0</v>
      </c>
      <c r="W360" s="320"/>
    </row>
    <row r="361">
      <c r="A361" s="5"/>
      <c r="B361" s="324">
        <v>44531.0</v>
      </c>
      <c r="C361" s="320">
        <v>4748.0</v>
      </c>
      <c r="D361" s="5">
        <v>47470.0</v>
      </c>
      <c r="E361" s="325">
        <v>9.997893850042123</v>
      </c>
      <c r="F361" s="5">
        <v>-26.20551927533179</v>
      </c>
      <c r="G361" s="5">
        <v>1.0</v>
      </c>
      <c r="H361" s="326">
        <v>-262.0</v>
      </c>
      <c r="I361" s="5" t="s">
        <v>751</v>
      </c>
      <c r="J361" s="320" t="s">
        <v>722</v>
      </c>
      <c r="K361" s="5">
        <v>4748.0</v>
      </c>
      <c r="L361" s="320">
        <v>-79.3</v>
      </c>
      <c r="W361" s="320"/>
    </row>
    <row r="362">
      <c r="A362" s="5"/>
      <c r="B362" s="324">
        <v>44562.0</v>
      </c>
      <c r="C362" s="320">
        <v>5578.0</v>
      </c>
      <c r="D362" s="5">
        <v>55780.0</v>
      </c>
      <c r="E362" s="325">
        <v>10.0</v>
      </c>
      <c r="F362" s="5">
        <v>136.2</v>
      </c>
      <c r="G362" s="5">
        <v>1.0</v>
      </c>
      <c r="H362" s="326">
        <v>1362.0</v>
      </c>
      <c r="I362" s="5" t="s">
        <v>751</v>
      </c>
      <c r="J362" s="320" t="s">
        <v>722</v>
      </c>
      <c r="K362" s="5">
        <v>5578.0</v>
      </c>
      <c r="L362" s="320">
        <v>408.29999999999995</v>
      </c>
      <c r="W362" s="320"/>
    </row>
    <row r="363">
      <c r="A363" s="5"/>
      <c r="B363" s="324">
        <v>44593.0</v>
      </c>
      <c r="C363" s="320">
        <v>2032.0</v>
      </c>
      <c r="D363" s="5">
        <v>20320.0</v>
      </c>
      <c r="E363" s="325">
        <v>10.0</v>
      </c>
      <c r="F363" s="5">
        <v>176.8</v>
      </c>
      <c r="G363" s="5">
        <v>1.0</v>
      </c>
      <c r="H363" s="326">
        <v>1768.0</v>
      </c>
      <c r="I363" s="5" t="s">
        <v>751</v>
      </c>
      <c r="J363" s="320" t="s">
        <v>722</v>
      </c>
      <c r="K363" s="5">
        <v>2032.0</v>
      </c>
      <c r="L363" s="320">
        <v>486.2</v>
      </c>
      <c r="W363" s="320"/>
    </row>
    <row r="364">
      <c r="A364" s="5"/>
      <c r="B364" s="324">
        <v>44621.0</v>
      </c>
      <c r="C364" s="320">
        <v>4630.0</v>
      </c>
      <c r="D364" s="5">
        <v>44680.0</v>
      </c>
      <c r="E364" s="325">
        <v>9.650107991360692</v>
      </c>
      <c r="F364" s="5">
        <v>53.05640107430617</v>
      </c>
      <c r="G364" s="5">
        <v>1.0</v>
      </c>
      <c r="H364" s="326">
        <v>512.0</v>
      </c>
      <c r="I364" s="5" t="s">
        <v>751</v>
      </c>
      <c r="J364" s="320" t="s">
        <v>722</v>
      </c>
      <c r="K364" s="5">
        <v>4630.0</v>
      </c>
      <c r="L364" s="320">
        <v>153.8</v>
      </c>
      <c r="W364" s="320"/>
    </row>
    <row r="365">
      <c r="A365" s="5"/>
      <c r="B365" s="324">
        <v>44652.0</v>
      </c>
      <c r="C365" s="320">
        <v>6046.0</v>
      </c>
      <c r="D365" s="5">
        <v>60340.0</v>
      </c>
      <c r="E365" s="325">
        <v>9.9801521667218</v>
      </c>
      <c r="F365" s="5">
        <v>144.88757043420617</v>
      </c>
      <c r="G365" s="5">
        <v>1.0</v>
      </c>
      <c r="H365" s="326">
        <v>1446.0</v>
      </c>
      <c r="I365" s="5" t="s">
        <v>751</v>
      </c>
      <c r="J365" s="320" t="s">
        <v>722</v>
      </c>
      <c r="K365" s="5">
        <v>6046.0</v>
      </c>
      <c r="L365" s="320">
        <v>433.9</v>
      </c>
      <c r="W365" s="320"/>
    </row>
    <row r="366">
      <c r="A366" s="5"/>
      <c r="B366" s="324">
        <v>44682.0</v>
      </c>
      <c r="C366" s="320">
        <v>5382.0</v>
      </c>
      <c r="D366" s="5">
        <v>53820.0</v>
      </c>
      <c r="E366" s="325">
        <v>10.0</v>
      </c>
      <c r="F366" s="5">
        <v>293.8</v>
      </c>
      <c r="G366" s="5">
        <v>1.0</v>
      </c>
      <c r="H366" s="326">
        <v>2938.0</v>
      </c>
      <c r="I366" s="5" t="s">
        <v>751</v>
      </c>
      <c r="J366" s="320" t="s">
        <v>722</v>
      </c>
      <c r="K366" s="5">
        <v>5382.0</v>
      </c>
      <c r="L366" s="320">
        <v>734.25</v>
      </c>
      <c r="W366" s="320"/>
    </row>
    <row r="367">
      <c r="A367" s="5"/>
      <c r="B367" s="324">
        <v>44713.0</v>
      </c>
      <c r="C367" s="320">
        <v>5566.0</v>
      </c>
      <c r="D367" s="5">
        <v>55660.0</v>
      </c>
      <c r="E367" s="325">
        <v>10.0</v>
      </c>
      <c r="F367" s="5">
        <v>285.6</v>
      </c>
      <c r="G367" s="5">
        <v>1.0</v>
      </c>
      <c r="H367" s="326">
        <v>2856.0</v>
      </c>
      <c r="I367" s="5" t="s">
        <v>751</v>
      </c>
      <c r="J367" s="320" t="s">
        <v>722</v>
      </c>
      <c r="K367" s="5">
        <v>5566.0</v>
      </c>
      <c r="L367" s="320">
        <v>714.0</v>
      </c>
      <c r="W367" s="320"/>
    </row>
    <row r="368">
      <c r="A368" s="5"/>
      <c r="B368" s="324">
        <v>44743.0</v>
      </c>
      <c r="C368" s="320">
        <v>5908.0</v>
      </c>
      <c r="D368" s="5">
        <v>59060.0</v>
      </c>
      <c r="E368" s="325">
        <v>9.996614759647935</v>
      </c>
      <c r="F368" s="5">
        <v>264.88967152048764</v>
      </c>
      <c r="G368" s="5">
        <v>1.0</v>
      </c>
      <c r="H368" s="326">
        <v>2648.0</v>
      </c>
      <c r="I368" s="5" t="s">
        <v>751</v>
      </c>
      <c r="J368" s="320" t="s">
        <v>722</v>
      </c>
      <c r="K368" s="5">
        <v>5908.0</v>
      </c>
      <c r="L368" s="320">
        <v>662.0</v>
      </c>
      <c r="W368" s="320"/>
    </row>
    <row r="369">
      <c r="A369" s="5"/>
      <c r="B369" s="324">
        <v>44774.0</v>
      </c>
      <c r="C369" s="320">
        <v>5346.0</v>
      </c>
      <c r="D369" s="5">
        <v>53460.0</v>
      </c>
      <c r="E369" s="325">
        <v>10.0</v>
      </c>
      <c r="F369" s="5">
        <v>-184.0</v>
      </c>
      <c r="G369" s="5">
        <v>1.0</v>
      </c>
      <c r="H369" s="326">
        <v>-1840.0</v>
      </c>
      <c r="I369" s="5" t="s">
        <v>751</v>
      </c>
      <c r="J369" s="320" t="s">
        <v>722</v>
      </c>
      <c r="K369" s="5">
        <v>5346.0</v>
      </c>
      <c r="L369" s="320">
        <v>-552.0</v>
      </c>
      <c r="W369" s="320"/>
    </row>
    <row r="370">
      <c r="A370" s="5"/>
      <c r="B370" s="324">
        <v>44805.0</v>
      </c>
      <c r="C370" s="320">
        <v>6164.0</v>
      </c>
      <c r="D370" s="5">
        <v>61640.0</v>
      </c>
      <c r="E370" s="325">
        <v>10.0</v>
      </c>
      <c r="F370" s="5">
        <v>253.0</v>
      </c>
      <c r="G370" s="5">
        <v>1.0</v>
      </c>
      <c r="H370" s="326">
        <v>2530.0</v>
      </c>
      <c r="I370" s="5" t="s">
        <v>751</v>
      </c>
      <c r="J370" s="320" t="s">
        <v>722</v>
      </c>
      <c r="K370" s="5">
        <v>6164.0</v>
      </c>
      <c r="L370" s="320">
        <v>759.5</v>
      </c>
      <c r="W370" s="320"/>
    </row>
    <row r="371">
      <c r="A371" s="5"/>
      <c r="B371" s="324">
        <v>44835.0</v>
      </c>
      <c r="C371" s="320">
        <v>5546.0</v>
      </c>
      <c r="D371" s="5">
        <v>55450.0</v>
      </c>
      <c r="E371" s="325">
        <v>9.998196898665705</v>
      </c>
      <c r="F371" s="5">
        <v>168.4303697024346</v>
      </c>
      <c r="G371" s="5">
        <v>1.0</v>
      </c>
      <c r="H371" s="326">
        <v>1684.0</v>
      </c>
      <c r="I371" s="5" t="s">
        <v>751</v>
      </c>
      <c r="J371" s="320" t="s">
        <v>722</v>
      </c>
      <c r="K371" s="5">
        <v>5546.0</v>
      </c>
      <c r="L371" s="320">
        <v>462.6</v>
      </c>
      <c r="W371" s="320"/>
    </row>
    <row r="372">
      <c r="A372" s="5"/>
      <c r="B372" s="324">
        <v>44866.0</v>
      </c>
      <c r="C372" s="320">
        <v>5168.0</v>
      </c>
      <c r="D372" s="5">
        <v>118970.0</v>
      </c>
      <c r="E372" s="325">
        <v>23.020510835913313</v>
      </c>
      <c r="F372" s="5">
        <v>-17.81020425317307</v>
      </c>
      <c r="G372" s="5">
        <v>1.0</v>
      </c>
      <c r="H372" s="326">
        <v>-410.0</v>
      </c>
      <c r="I372" s="5" t="s">
        <v>751</v>
      </c>
      <c r="J372" s="320" t="s">
        <v>722</v>
      </c>
      <c r="K372" s="5">
        <v>5168.0</v>
      </c>
      <c r="L372" s="320">
        <v>-123.5</v>
      </c>
      <c r="W372" s="320"/>
    </row>
    <row r="373">
      <c r="A373" s="5"/>
      <c r="B373" s="324">
        <v>44896.0</v>
      </c>
      <c r="C373" s="5">
        <v>1594.0</v>
      </c>
      <c r="D373" s="5">
        <v>39850.0</v>
      </c>
      <c r="E373" s="325">
        <v>25.0</v>
      </c>
      <c r="F373" s="5">
        <v>17.84</v>
      </c>
      <c r="G373" s="5">
        <v>1.0</v>
      </c>
      <c r="H373" s="326">
        <v>446.0</v>
      </c>
      <c r="I373" s="5" t="s">
        <v>751</v>
      </c>
      <c r="J373" s="320" t="s">
        <v>722</v>
      </c>
      <c r="K373" s="5">
        <v>1594.0</v>
      </c>
      <c r="L373" s="320">
        <v>133.89999999999998</v>
      </c>
      <c r="W373" s="320"/>
    </row>
    <row r="374">
      <c r="A374" s="5"/>
      <c r="B374" s="324">
        <v>44927.0</v>
      </c>
      <c r="C374" s="5">
        <v>0.0</v>
      </c>
      <c r="D374" s="5">
        <v>0.0</v>
      </c>
      <c r="E374" s="325" t="e">
        <v>#DIV/0!</v>
      </c>
      <c r="F374" s="5" t="e">
        <v>#DIV/0!</v>
      </c>
      <c r="G374" s="5">
        <v>1.0</v>
      </c>
      <c r="H374" s="326">
        <v>0.0</v>
      </c>
      <c r="I374" s="5" t="s">
        <v>751</v>
      </c>
      <c r="J374" s="320" t="s">
        <v>722</v>
      </c>
      <c r="K374" s="5">
        <v>0.0</v>
      </c>
      <c r="L374" s="320">
        <v>0.0</v>
      </c>
      <c r="W374" s="320"/>
    </row>
    <row r="375">
      <c r="A375" s="5"/>
      <c r="B375" s="324">
        <v>44958.0</v>
      </c>
      <c r="C375" s="5">
        <v>3389.0</v>
      </c>
      <c r="D375" s="5">
        <v>33890.0</v>
      </c>
      <c r="E375" s="325">
        <v>10.0</v>
      </c>
      <c r="F375" s="5">
        <v>129.1</v>
      </c>
      <c r="G375" s="5">
        <v>1.0</v>
      </c>
      <c r="H375" s="326">
        <v>1291.0</v>
      </c>
      <c r="I375" s="5" t="s">
        <v>751</v>
      </c>
      <c r="J375" s="320" t="s">
        <v>722</v>
      </c>
      <c r="K375" s="5">
        <v>1129.6666666666665</v>
      </c>
      <c r="L375" s="320">
        <v>322.75</v>
      </c>
      <c r="W375" s="320"/>
    </row>
    <row r="376">
      <c r="A376" s="5"/>
      <c r="B376" s="324">
        <v>44986.0</v>
      </c>
      <c r="C376" s="5">
        <v>6297.0</v>
      </c>
      <c r="D376" s="5">
        <v>63075.0</v>
      </c>
      <c r="E376" s="325">
        <v>10.016674606955693</v>
      </c>
      <c r="F376" s="5">
        <v>-158.83514863258026</v>
      </c>
      <c r="G376" s="5">
        <v>1.0</v>
      </c>
      <c r="H376" s="326">
        <v>-1591.0</v>
      </c>
      <c r="I376" s="5" t="s">
        <v>751</v>
      </c>
      <c r="J376" s="320" t="s">
        <v>722</v>
      </c>
      <c r="K376" s="5">
        <v>2099.0</v>
      </c>
      <c r="L376" s="320">
        <v>-477.29999999999995</v>
      </c>
      <c r="W376" s="320"/>
    </row>
    <row r="377">
      <c r="A377" s="5" t="s">
        <v>1098</v>
      </c>
      <c r="B377" s="322"/>
      <c r="C377" s="320">
        <v>93820.0</v>
      </c>
      <c r="D377" s="5">
        <v>1027635.0</v>
      </c>
      <c r="E377" s="325">
        <v>10.953261564698359</v>
      </c>
      <c r="F377" s="5">
        <v>1789.6039352493833</v>
      </c>
      <c r="G377" s="5">
        <v>22.0</v>
      </c>
      <c r="H377" s="326">
        <v>19602.0</v>
      </c>
      <c r="I377" s="5" t="s">
        <v>751</v>
      </c>
      <c r="J377" s="320" t="s">
        <v>722</v>
      </c>
      <c r="K377" s="5">
        <v>87362.66666666666</v>
      </c>
      <c r="L377" s="320">
        <v>5203.9</v>
      </c>
      <c r="W377" s="320"/>
    </row>
    <row r="378">
      <c r="A378" s="5" t="s">
        <v>176</v>
      </c>
      <c r="B378" s="324">
        <v>44682.0</v>
      </c>
      <c r="C378" s="5">
        <v>7.0</v>
      </c>
      <c r="D378" s="5">
        <v>350.0</v>
      </c>
      <c r="E378" s="325">
        <v>50.0</v>
      </c>
      <c r="F378" s="5">
        <v>-2.74</v>
      </c>
      <c r="G378" s="5">
        <v>1.0</v>
      </c>
      <c r="H378" s="326">
        <v>-137.0</v>
      </c>
      <c r="I378" s="5" t="s">
        <v>826</v>
      </c>
      <c r="J378" s="320" t="s">
        <v>722</v>
      </c>
      <c r="K378" s="5">
        <v>7.0</v>
      </c>
      <c r="L378" s="320">
        <v>-23.290000000000003</v>
      </c>
      <c r="W378" s="320"/>
    </row>
    <row r="379">
      <c r="A379" s="5"/>
      <c r="B379" s="324">
        <v>44713.0</v>
      </c>
      <c r="C379" s="5">
        <v>2537.0</v>
      </c>
      <c r="D379" s="5">
        <v>75000.0</v>
      </c>
      <c r="E379" s="325">
        <v>29.562475364603863</v>
      </c>
      <c r="F379" s="5">
        <v>132.63436</v>
      </c>
      <c r="G379" s="5">
        <v>1.0</v>
      </c>
      <c r="H379" s="326">
        <v>3921.0</v>
      </c>
      <c r="I379" s="5" t="s">
        <v>826</v>
      </c>
      <c r="J379" s="320" t="s">
        <v>722</v>
      </c>
      <c r="K379" s="5">
        <v>2537.0</v>
      </c>
      <c r="L379" s="320">
        <v>588.1500000000001</v>
      </c>
      <c r="W379" s="320"/>
    </row>
    <row r="380">
      <c r="A380" s="5"/>
      <c r="B380" s="324">
        <v>44743.0</v>
      </c>
      <c r="C380" s="320">
        <v>1949.0</v>
      </c>
      <c r="D380" s="5">
        <v>75055.5</v>
      </c>
      <c r="E380" s="325">
        <v>38.50974858902001</v>
      </c>
      <c r="F380" s="5">
        <v>115.24354644229936</v>
      </c>
      <c r="G380" s="5">
        <v>1.0</v>
      </c>
      <c r="H380" s="326">
        <v>4438.0</v>
      </c>
      <c r="I380" s="5" t="s">
        <v>826</v>
      </c>
      <c r="J380" s="320" t="s">
        <v>722</v>
      </c>
      <c r="K380" s="5">
        <v>1949.0</v>
      </c>
      <c r="L380" s="320">
        <v>443.80000000000007</v>
      </c>
      <c r="W380" s="320"/>
    </row>
    <row r="381">
      <c r="A381" s="5"/>
      <c r="B381" s="324">
        <v>44805.0</v>
      </c>
      <c r="C381" s="5">
        <v>234.0</v>
      </c>
      <c r="D381" s="5">
        <v>5850.0</v>
      </c>
      <c r="E381" s="325">
        <v>25.0</v>
      </c>
      <c r="F381" s="5">
        <v>30.12</v>
      </c>
      <c r="G381" s="5">
        <v>1.0</v>
      </c>
      <c r="H381" s="326">
        <v>753.0</v>
      </c>
      <c r="I381" s="5" t="s">
        <v>826</v>
      </c>
      <c r="J381" s="320" t="s">
        <v>722</v>
      </c>
      <c r="K381" s="5">
        <v>234.0</v>
      </c>
      <c r="L381" s="320">
        <v>112.95</v>
      </c>
      <c r="W381" s="320"/>
    </row>
    <row r="382">
      <c r="A382" s="5"/>
      <c r="B382" s="324">
        <v>44835.0</v>
      </c>
      <c r="C382" s="5">
        <v>3366.0</v>
      </c>
      <c r="D382" s="5">
        <v>84175.0</v>
      </c>
      <c r="E382" s="325">
        <v>25.007427213309565</v>
      </c>
      <c r="F382" s="5">
        <v>82.37552717552718</v>
      </c>
      <c r="G382" s="5">
        <v>1.0</v>
      </c>
      <c r="H382" s="326">
        <v>2060.0</v>
      </c>
      <c r="I382" s="5" t="s">
        <v>826</v>
      </c>
      <c r="J382" s="320" t="s">
        <v>722</v>
      </c>
      <c r="K382" s="5">
        <v>3366.0</v>
      </c>
      <c r="L382" s="320">
        <v>309.0</v>
      </c>
      <c r="W382" s="320"/>
    </row>
    <row r="383">
      <c r="A383" s="5"/>
      <c r="B383" s="324">
        <v>44866.0</v>
      </c>
      <c r="C383" s="5">
        <v>3234.0</v>
      </c>
      <c r="D383" s="5">
        <v>80850.0</v>
      </c>
      <c r="E383" s="325">
        <v>25.0</v>
      </c>
      <c r="F383" s="5">
        <v>50.68</v>
      </c>
      <c r="G383" s="5">
        <v>1.0</v>
      </c>
      <c r="H383" s="326">
        <v>1267.0</v>
      </c>
      <c r="I383" s="5" t="s">
        <v>826</v>
      </c>
      <c r="J383" s="320" t="s">
        <v>722</v>
      </c>
      <c r="K383" s="5">
        <v>3234.0</v>
      </c>
      <c r="L383" s="320">
        <v>316.75</v>
      </c>
      <c r="W383" s="320"/>
    </row>
    <row r="384">
      <c r="A384" s="5"/>
      <c r="B384" s="324">
        <v>44896.0</v>
      </c>
      <c r="C384" s="320">
        <v>2531.0</v>
      </c>
      <c r="D384" s="5">
        <v>34040.0</v>
      </c>
      <c r="E384" s="325">
        <v>13.449229553536151</v>
      </c>
      <c r="F384" s="5">
        <v>41.48936545240893</v>
      </c>
      <c r="G384" s="5">
        <v>1.0</v>
      </c>
      <c r="H384" s="326">
        <v>558.0</v>
      </c>
      <c r="I384" s="5" t="s">
        <v>826</v>
      </c>
      <c r="J384" s="320" t="s">
        <v>722</v>
      </c>
      <c r="K384" s="5">
        <v>2531.0</v>
      </c>
      <c r="L384" s="320">
        <v>139.5</v>
      </c>
      <c r="W384" s="320"/>
    </row>
    <row r="385">
      <c r="A385" s="5" t="s">
        <v>1099</v>
      </c>
      <c r="B385" s="322"/>
      <c r="C385" s="5">
        <v>13858.0</v>
      </c>
      <c r="D385" s="5">
        <v>355320.5</v>
      </c>
      <c r="E385" s="325">
        <v>25.640099581469187</v>
      </c>
      <c r="F385" s="5">
        <v>501.5581144347146</v>
      </c>
      <c r="G385" s="5">
        <v>7.0</v>
      </c>
      <c r="H385" s="326">
        <v>12860.0</v>
      </c>
      <c r="I385" s="5" t="s">
        <v>826</v>
      </c>
      <c r="J385" s="320" t="s">
        <v>722</v>
      </c>
      <c r="K385" s="5">
        <v>13858.0</v>
      </c>
      <c r="L385" s="320">
        <v>1886.8600000000001</v>
      </c>
      <c r="W385" s="320"/>
    </row>
    <row r="386">
      <c r="A386" s="5" t="s">
        <v>205</v>
      </c>
      <c r="B386" s="324">
        <v>44896.0</v>
      </c>
      <c r="C386" s="5">
        <v>12008.0</v>
      </c>
      <c r="D386" s="5">
        <v>463207.25</v>
      </c>
      <c r="E386" s="325">
        <v>38.57488757495003</v>
      </c>
      <c r="F386" s="5">
        <v>16.383715928453192</v>
      </c>
      <c r="G386" s="5">
        <v>1.0</v>
      </c>
      <c r="H386" s="326">
        <v>632.0</v>
      </c>
      <c r="I386" s="5" t="s">
        <v>829</v>
      </c>
      <c r="J386" s="320" t="s">
        <v>722</v>
      </c>
      <c r="K386" s="5">
        <v>4863.999999999999</v>
      </c>
      <c r="L386" s="320">
        <v>145.36</v>
      </c>
      <c r="W386" s="320"/>
    </row>
    <row r="387">
      <c r="A387" s="5"/>
      <c r="B387" s="324">
        <v>44927.0</v>
      </c>
      <c r="C387" s="5">
        <v>10857.0</v>
      </c>
      <c r="D387" s="5">
        <v>463360.0</v>
      </c>
      <c r="E387" s="325">
        <v>42.678456295477574</v>
      </c>
      <c r="F387" s="5">
        <v>198.92940694060772</v>
      </c>
      <c r="G387" s="5">
        <v>1.0</v>
      </c>
      <c r="H387" s="326">
        <v>8490.0</v>
      </c>
      <c r="I387" s="5" t="s">
        <v>829</v>
      </c>
      <c r="J387" s="320" t="s">
        <v>722</v>
      </c>
      <c r="K387" s="5">
        <v>4064.333333333333</v>
      </c>
      <c r="L387" s="320">
        <v>1018.8</v>
      </c>
      <c r="W387" s="320"/>
    </row>
    <row r="388">
      <c r="A388" s="5"/>
      <c r="B388" s="324">
        <v>44958.0</v>
      </c>
      <c r="C388" s="5">
        <v>11823.0</v>
      </c>
      <c r="D388" s="5">
        <v>556659.0</v>
      </c>
      <c r="E388" s="325">
        <v>47.0827201217965</v>
      </c>
      <c r="F388" s="5">
        <v>224.15867164637598</v>
      </c>
      <c r="G388" s="5">
        <v>1.0</v>
      </c>
      <c r="H388" s="326">
        <v>10554.0</v>
      </c>
      <c r="I388" s="5" t="s">
        <v>829</v>
      </c>
      <c r="J388" s="320" t="s">
        <v>722</v>
      </c>
      <c r="K388" s="5">
        <v>4239.666666666666</v>
      </c>
      <c r="L388" s="320">
        <v>1266.48</v>
      </c>
      <c r="W388" s="320"/>
    </row>
    <row r="389">
      <c r="A389" s="5"/>
      <c r="B389" s="324">
        <v>44986.0</v>
      </c>
      <c r="C389" s="5">
        <v>13930.0</v>
      </c>
      <c r="D389" s="5">
        <v>372991.0</v>
      </c>
      <c r="E389" s="325">
        <v>26.776094759511846</v>
      </c>
      <c r="F389" s="5">
        <v>213.77277199717955</v>
      </c>
      <c r="G389" s="5">
        <v>1.0</v>
      </c>
      <c r="H389" s="326">
        <v>5724.0</v>
      </c>
      <c r="I389" s="5" t="s">
        <v>829</v>
      </c>
      <c r="J389" s="320" t="s">
        <v>722</v>
      </c>
      <c r="K389" s="5">
        <v>4643.333333333334</v>
      </c>
      <c r="L389" s="320">
        <v>1717.2</v>
      </c>
      <c r="W389" s="320"/>
    </row>
    <row r="390">
      <c r="A390" s="5" t="s">
        <v>1100</v>
      </c>
      <c r="B390" s="322"/>
      <c r="C390" s="5">
        <v>48618.0</v>
      </c>
      <c r="D390" s="5">
        <v>1856217.25</v>
      </c>
      <c r="E390" s="325">
        <v>38.17962997243819</v>
      </c>
      <c r="F390" s="5">
        <v>665.276222381836</v>
      </c>
      <c r="G390" s="5">
        <v>4.0</v>
      </c>
      <c r="H390" s="326">
        <v>25400.0</v>
      </c>
      <c r="I390" s="5" t="s">
        <v>829</v>
      </c>
      <c r="J390" s="320" t="s">
        <v>722</v>
      </c>
      <c r="K390" s="5">
        <v>17811.333333333332</v>
      </c>
      <c r="L390" s="320">
        <v>4147.84</v>
      </c>
      <c r="W390" s="320"/>
    </row>
    <row r="391">
      <c r="A391" s="5" t="s">
        <v>206</v>
      </c>
      <c r="B391" s="324">
        <v>44958.0</v>
      </c>
      <c r="C391" s="5">
        <v>6923.0</v>
      </c>
      <c r="D391" s="5">
        <v>346150.0</v>
      </c>
      <c r="E391" s="325">
        <v>50.0</v>
      </c>
      <c r="F391" s="5">
        <v>24.499799999999997</v>
      </c>
      <c r="G391" s="5">
        <v>1.0</v>
      </c>
      <c r="H391" s="326">
        <v>1224.9899999999998</v>
      </c>
      <c r="I391" s="5" t="s">
        <v>720</v>
      </c>
      <c r="J391" s="320" t="s">
        <v>722</v>
      </c>
      <c r="K391" s="5">
        <v>2307.666666666667</v>
      </c>
      <c r="L391" s="320">
        <v>367.49699999999984</v>
      </c>
      <c r="W391" s="320"/>
    </row>
    <row r="392">
      <c r="A392" s="5" t="s">
        <v>1132</v>
      </c>
      <c r="B392" s="322"/>
      <c r="C392" s="5">
        <v>6923.0</v>
      </c>
      <c r="D392" s="5">
        <v>346150.0</v>
      </c>
      <c r="E392" s="325">
        <v>50.0</v>
      </c>
      <c r="F392" s="5">
        <v>24.499799999999997</v>
      </c>
      <c r="G392" s="5">
        <v>1.0</v>
      </c>
      <c r="H392" s="326">
        <v>1224.9899999999998</v>
      </c>
      <c r="I392" s="5" t="s">
        <v>720</v>
      </c>
      <c r="J392" s="320" t="s">
        <v>722</v>
      </c>
      <c r="K392" s="5">
        <v>2307.666666666667</v>
      </c>
      <c r="L392" s="320">
        <v>367.49699999999984</v>
      </c>
      <c r="W392" s="320"/>
    </row>
    <row r="393">
      <c r="A393" s="5" t="s">
        <v>207</v>
      </c>
      <c r="B393" s="324">
        <v>44075.0</v>
      </c>
      <c r="C393" s="5">
        <v>1671.0</v>
      </c>
      <c r="D393" s="5">
        <v>15495.0</v>
      </c>
      <c r="E393" s="325">
        <v>9.272890484739676</v>
      </c>
      <c r="F393" s="5">
        <v>70.85169409486932</v>
      </c>
      <c r="G393" s="5">
        <v>1.0</v>
      </c>
      <c r="H393" s="326">
        <v>657.0</v>
      </c>
      <c r="I393" s="5" t="s">
        <v>751</v>
      </c>
      <c r="J393" s="320" t="s">
        <v>722</v>
      </c>
      <c r="K393" s="5">
        <v>1671.0</v>
      </c>
      <c r="L393" s="320">
        <v>164.25</v>
      </c>
      <c r="W393" s="320"/>
    </row>
    <row r="394">
      <c r="A394" s="5"/>
      <c r="B394" s="324">
        <v>44105.0</v>
      </c>
      <c r="C394" s="5">
        <v>2364.0</v>
      </c>
      <c r="D394" s="5">
        <v>14370.0</v>
      </c>
      <c r="E394" s="325">
        <v>6.0786802030456855</v>
      </c>
      <c r="F394" s="5">
        <v>129.30438413361168</v>
      </c>
      <c r="G394" s="5">
        <v>1.0</v>
      </c>
      <c r="H394" s="326">
        <v>786.0</v>
      </c>
      <c r="I394" s="5" t="s">
        <v>751</v>
      </c>
      <c r="J394" s="320" t="s">
        <v>722</v>
      </c>
      <c r="K394" s="5">
        <v>2364.0</v>
      </c>
      <c r="L394" s="320">
        <v>196.5</v>
      </c>
      <c r="W394" s="320"/>
    </row>
    <row r="395">
      <c r="A395" s="5"/>
      <c r="B395" s="324">
        <v>44136.0</v>
      </c>
      <c r="C395" s="5">
        <v>3247.0</v>
      </c>
      <c r="D395" s="5">
        <v>18755.0</v>
      </c>
      <c r="E395" s="325">
        <v>5.77610101632276</v>
      </c>
      <c r="F395" s="5">
        <v>124.6515595841109</v>
      </c>
      <c r="G395" s="5">
        <v>1.0</v>
      </c>
      <c r="H395" s="326">
        <v>720.0</v>
      </c>
      <c r="I395" s="5" t="s">
        <v>751</v>
      </c>
      <c r="J395" s="320" t="s">
        <v>722</v>
      </c>
      <c r="K395" s="5">
        <v>3247.0</v>
      </c>
      <c r="L395" s="320">
        <v>180.0</v>
      </c>
      <c r="W395" s="320"/>
    </row>
    <row r="396">
      <c r="A396" s="5"/>
      <c r="B396" s="324">
        <v>44166.0</v>
      </c>
      <c r="C396" s="5">
        <v>2630.0</v>
      </c>
      <c r="D396" s="5">
        <v>13850.0</v>
      </c>
      <c r="E396" s="325">
        <v>5.266159695817491</v>
      </c>
      <c r="F396" s="5">
        <v>69.12057761732852</v>
      </c>
      <c r="G396" s="5">
        <v>1.0</v>
      </c>
      <c r="H396" s="326">
        <v>364.0</v>
      </c>
      <c r="I396" s="5" t="s">
        <v>751</v>
      </c>
      <c r="J396" s="320" t="s">
        <v>722</v>
      </c>
      <c r="K396" s="5">
        <v>2630.0</v>
      </c>
      <c r="L396" s="320">
        <v>91.0</v>
      </c>
      <c r="W396" s="320"/>
    </row>
    <row r="397">
      <c r="A397" s="5"/>
      <c r="B397" s="324">
        <v>44197.0</v>
      </c>
      <c r="C397" s="5">
        <v>1160.0</v>
      </c>
      <c r="D397" s="5">
        <v>6860.0</v>
      </c>
      <c r="E397" s="325">
        <v>5.913793103448276</v>
      </c>
      <c r="F397" s="5">
        <v>84.8862973760933</v>
      </c>
      <c r="G397" s="5">
        <v>1.0</v>
      </c>
      <c r="H397" s="326">
        <v>502.0</v>
      </c>
      <c r="I397" s="5" t="s">
        <v>751</v>
      </c>
      <c r="J397" s="320" t="s">
        <v>722</v>
      </c>
      <c r="K397" s="5">
        <v>1160.0</v>
      </c>
      <c r="L397" s="320">
        <v>150.6</v>
      </c>
      <c r="W397" s="320"/>
    </row>
    <row r="398">
      <c r="A398" s="5"/>
      <c r="B398" s="324">
        <v>44228.0</v>
      </c>
      <c r="C398" s="5">
        <v>2011.0</v>
      </c>
      <c r="D398" s="5">
        <v>10570.0</v>
      </c>
      <c r="E398" s="325">
        <v>5.256091496767778</v>
      </c>
      <c r="F398" s="5">
        <v>229.82857142857142</v>
      </c>
      <c r="G398" s="5">
        <v>1.0</v>
      </c>
      <c r="H398" s="326">
        <v>1208.0</v>
      </c>
      <c r="I398" s="5" t="s">
        <v>751</v>
      </c>
      <c r="J398" s="320" t="s">
        <v>722</v>
      </c>
      <c r="K398" s="5">
        <v>2011.0</v>
      </c>
      <c r="L398" s="320">
        <v>302.0</v>
      </c>
      <c r="W398" s="320"/>
    </row>
    <row r="399">
      <c r="A399" s="5"/>
      <c r="B399" s="324">
        <v>44256.0</v>
      </c>
      <c r="C399" s="5">
        <v>8845.0</v>
      </c>
      <c r="D399" s="5">
        <v>89050.0</v>
      </c>
      <c r="E399" s="325">
        <v>10.06783493499152</v>
      </c>
      <c r="F399" s="5">
        <v>347.34379562043796</v>
      </c>
      <c r="G399" s="5">
        <v>1.0</v>
      </c>
      <c r="H399" s="326">
        <v>3497.0</v>
      </c>
      <c r="I399" s="5" t="s">
        <v>751</v>
      </c>
      <c r="J399" s="320" t="s">
        <v>722</v>
      </c>
      <c r="K399" s="5">
        <v>3142.333333333333</v>
      </c>
      <c r="L399" s="320">
        <v>769.3399999999999</v>
      </c>
      <c r="W399" s="320"/>
    </row>
    <row r="400">
      <c r="A400" s="5"/>
      <c r="B400" s="324">
        <v>44287.0</v>
      </c>
      <c r="C400" s="5">
        <v>9516.0</v>
      </c>
      <c r="D400" s="5">
        <v>143420.0</v>
      </c>
      <c r="E400" s="325">
        <v>15.07145859604876</v>
      </c>
      <c r="F400" s="5">
        <v>-25.345921070980335</v>
      </c>
      <c r="G400" s="5">
        <v>1.0</v>
      </c>
      <c r="H400" s="326">
        <v>-382.0</v>
      </c>
      <c r="I400" s="5" t="s">
        <v>751</v>
      </c>
      <c r="J400" s="320" t="s">
        <v>722</v>
      </c>
      <c r="K400" s="5">
        <v>3172.0</v>
      </c>
      <c r="L400" s="320">
        <v>-114.6</v>
      </c>
      <c r="W400" s="320"/>
    </row>
    <row r="401">
      <c r="A401" s="5"/>
      <c r="B401" s="324">
        <v>44317.0</v>
      </c>
      <c r="C401" s="5">
        <v>7565.0</v>
      </c>
      <c r="D401" s="5">
        <v>153310.0</v>
      </c>
      <c r="E401" s="325">
        <v>20.265697290152016</v>
      </c>
      <c r="F401" s="5">
        <v>37.35376035483661</v>
      </c>
      <c r="G401" s="5">
        <v>1.0</v>
      </c>
      <c r="H401" s="326">
        <v>757.0</v>
      </c>
      <c r="I401" s="5" t="s">
        <v>751</v>
      </c>
      <c r="J401" s="320" t="s">
        <v>722</v>
      </c>
      <c r="K401" s="5">
        <v>2521.666666666667</v>
      </c>
      <c r="L401" s="320">
        <v>227.0999999999999</v>
      </c>
      <c r="W401" s="320"/>
    </row>
    <row r="402">
      <c r="A402" s="5"/>
      <c r="B402" s="324">
        <v>44348.0</v>
      </c>
      <c r="C402" s="5">
        <v>5042.0</v>
      </c>
      <c r="D402" s="5">
        <v>101230.0</v>
      </c>
      <c r="E402" s="325">
        <v>20.077350257834194</v>
      </c>
      <c r="F402" s="5">
        <v>89.105383779512</v>
      </c>
      <c r="G402" s="5">
        <v>1.0</v>
      </c>
      <c r="H402" s="326">
        <v>1789.0</v>
      </c>
      <c r="I402" s="5" t="s">
        <v>751</v>
      </c>
      <c r="J402" s="320" t="s">
        <v>722</v>
      </c>
      <c r="K402" s="5">
        <v>1680.6666666666665</v>
      </c>
      <c r="L402" s="320">
        <v>393.58</v>
      </c>
      <c r="W402" s="320"/>
    </row>
    <row r="403">
      <c r="A403" s="5"/>
      <c r="B403" s="324">
        <v>44378.0</v>
      </c>
      <c r="C403" s="5">
        <v>4158.0</v>
      </c>
      <c r="D403" s="5">
        <v>50710.0</v>
      </c>
      <c r="E403" s="325">
        <v>12.195767195767196</v>
      </c>
      <c r="F403" s="5">
        <v>-62.31670281995661</v>
      </c>
      <c r="G403" s="5">
        <v>1.0</v>
      </c>
      <c r="H403" s="326">
        <v>-760.0</v>
      </c>
      <c r="I403" s="5" t="s">
        <v>751</v>
      </c>
      <c r="J403" s="320" t="s">
        <v>722</v>
      </c>
      <c r="K403" s="5">
        <v>1386.0</v>
      </c>
      <c r="L403" s="320">
        <v>-167.20000000000002</v>
      </c>
      <c r="W403" s="320"/>
    </row>
    <row r="404">
      <c r="A404" s="5"/>
      <c r="B404" s="324">
        <v>44409.0</v>
      </c>
      <c r="C404" s="5">
        <v>7380.0</v>
      </c>
      <c r="D404" s="5">
        <v>40280.0</v>
      </c>
      <c r="E404" s="325">
        <v>5.457994579945799</v>
      </c>
      <c r="F404" s="5">
        <v>-18.504965243296922</v>
      </c>
      <c r="G404" s="5">
        <v>1.0</v>
      </c>
      <c r="H404" s="326">
        <v>-101.0</v>
      </c>
      <c r="I404" s="5" t="s">
        <v>751</v>
      </c>
      <c r="J404" s="320" t="s">
        <v>722</v>
      </c>
      <c r="K404" s="5">
        <v>2460.0</v>
      </c>
      <c r="L404" s="320">
        <v>-22.22</v>
      </c>
      <c r="W404" s="320"/>
    </row>
    <row r="405">
      <c r="A405" s="5"/>
      <c r="B405" s="324">
        <v>44440.0</v>
      </c>
      <c r="C405" s="5">
        <v>15333.0</v>
      </c>
      <c r="D405" s="5">
        <v>76665.0</v>
      </c>
      <c r="E405" s="325">
        <v>5.0</v>
      </c>
      <c r="F405" s="5">
        <v>522.8</v>
      </c>
      <c r="G405" s="5">
        <v>1.0</v>
      </c>
      <c r="H405" s="326">
        <v>2614.0</v>
      </c>
      <c r="I405" s="5" t="s">
        <v>751</v>
      </c>
      <c r="J405" s="320" t="s">
        <v>722</v>
      </c>
      <c r="K405" s="5">
        <v>5111.0</v>
      </c>
      <c r="L405" s="320">
        <v>575.08</v>
      </c>
      <c r="W405" s="320"/>
    </row>
    <row r="406">
      <c r="A406" s="5"/>
      <c r="B406" s="324">
        <v>44470.0</v>
      </c>
      <c r="C406" s="5">
        <v>5632.0</v>
      </c>
      <c r="D406" s="5">
        <v>46610.0</v>
      </c>
      <c r="E406" s="325">
        <v>8.275923295454545</v>
      </c>
      <c r="F406" s="5">
        <v>123.24908817850248</v>
      </c>
      <c r="G406" s="5">
        <v>1.0</v>
      </c>
      <c r="H406" s="326">
        <v>1020.0</v>
      </c>
      <c r="I406" s="5" t="s">
        <v>751</v>
      </c>
      <c r="J406" s="320" t="s">
        <v>722</v>
      </c>
      <c r="K406" s="5">
        <v>1877.3333333333335</v>
      </c>
      <c r="L406" s="320">
        <v>224.39999999999998</v>
      </c>
      <c r="W406" s="320"/>
    </row>
    <row r="407">
      <c r="A407" s="5"/>
      <c r="B407" s="324">
        <v>44501.0</v>
      </c>
      <c r="C407" s="5">
        <v>2078.0</v>
      </c>
      <c r="D407" s="5">
        <v>13423.25</v>
      </c>
      <c r="E407" s="325">
        <v>6.459696823869105</v>
      </c>
      <c r="F407" s="5">
        <v>32.93498221369639</v>
      </c>
      <c r="G407" s="5">
        <v>1.0</v>
      </c>
      <c r="H407" s="326">
        <v>212.75</v>
      </c>
      <c r="I407" s="5" t="s">
        <v>751</v>
      </c>
      <c r="J407" s="320" t="s">
        <v>722</v>
      </c>
      <c r="K407" s="5">
        <v>1547.3333333333335</v>
      </c>
      <c r="L407" s="320">
        <v>63.82500000000001</v>
      </c>
      <c r="W407" s="320"/>
    </row>
    <row r="408">
      <c r="A408" s="5"/>
      <c r="B408" s="324">
        <v>44531.0</v>
      </c>
      <c r="C408" s="5">
        <v>5419.0</v>
      </c>
      <c r="D408" s="5">
        <v>44510.0</v>
      </c>
      <c r="E408" s="325">
        <v>8.213692563203542</v>
      </c>
      <c r="F408" s="5">
        <v>115.05178611547967</v>
      </c>
      <c r="G408" s="5">
        <v>1.0</v>
      </c>
      <c r="H408" s="326">
        <v>945.0</v>
      </c>
      <c r="I408" s="5" t="s">
        <v>751</v>
      </c>
      <c r="J408" s="320" t="s">
        <v>722</v>
      </c>
      <c r="K408" s="5">
        <v>1806.3333333333333</v>
      </c>
      <c r="L408" s="320">
        <v>236.25</v>
      </c>
      <c r="W408" s="320"/>
    </row>
    <row r="409">
      <c r="A409" s="5"/>
      <c r="B409" s="324">
        <v>44562.0</v>
      </c>
      <c r="C409" s="5">
        <v>7615.0</v>
      </c>
      <c r="D409" s="5">
        <v>55120.0</v>
      </c>
      <c r="E409" s="325">
        <v>7.238345370978332</v>
      </c>
      <c r="F409" s="5">
        <v>264.1487663280116</v>
      </c>
      <c r="G409" s="5">
        <v>1.0</v>
      </c>
      <c r="H409" s="326">
        <v>1912.0</v>
      </c>
      <c r="I409" s="5" t="s">
        <v>751</v>
      </c>
      <c r="J409" s="320" t="s">
        <v>722</v>
      </c>
      <c r="K409" s="5">
        <v>2538.333333333333</v>
      </c>
      <c r="L409" s="320">
        <v>478.0</v>
      </c>
      <c r="W409" s="320"/>
    </row>
    <row r="410">
      <c r="A410" s="5"/>
      <c r="B410" s="324">
        <v>44593.0</v>
      </c>
      <c r="C410" s="5">
        <v>5303.0</v>
      </c>
      <c r="D410" s="5">
        <v>87580.0</v>
      </c>
      <c r="E410" s="325">
        <v>16.515180086743353</v>
      </c>
      <c r="F410" s="5">
        <v>79.50261475222653</v>
      </c>
      <c r="G410" s="5">
        <v>1.0</v>
      </c>
      <c r="H410" s="326">
        <v>1313.0</v>
      </c>
      <c r="I410" s="5" t="s">
        <v>751</v>
      </c>
      <c r="J410" s="320" t="s">
        <v>722</v>
      </c>
      <c r="K410" s="5">
        <v>1767.6666666666667</v>
      </c>
      <c r="L410" s="320">
        <v>288.86</v>
      </c>
      <c r="W410" s="320"/>
    </row>
    <row r="411">
      <c r="A411" s="5"/>
      <c r="B411" s="324">
        <v>44621.0</v>
      </c>
      <c r="C411" s="5">
        <v>5661.0</v>
      </c>
      <c r="D411" s="5">
        <v>84070.0</v>
      </c>
      <c r="E411" s="325">
        <v>14.850733086027203</v>
      </c>
      <c r="F411" s="5">
        <v>126.66041394076366</v>
      </c>
      <c r="G411" s="5">
        <v>1.0</v>
      </c>
      <c r="H411" s="326">
        <v>1881.0</v>
      </c>
      <c r="I411" s="5" t="s">
        <v>751</v>
      </c>
      <c r="J411" s="320" t="s">
        <v>722</v>
      </c>
      <c r="K411" s="5">
        <v>1887.0</v>
      </c>
      <c r="L411" s="320">
        <v>413.82000000000005</v>
      </c>
      <c r="W411" s="320"/>
    </row>
    <row r="412">
      <c r="A412" s="5"/>
      <c r="B412" s="324">
        <v>44652.0</v>
      </c>
      <c r="C412" s="5">
        <v>2352.0</v>
      </c>
      <c r="D412" s="5">
        <v>104710.0</v>
      </c>
      <c r="E412" s="325">
        <v>44.519557823129254</v>
      </c>
      <c r="F412" s="5">
        <v>82.92984433196447</v>
      </c>
      <c r="G412" s="5">
        <v>1.0</v>
      </c>
      <c r="H412" s="326">
        <v>3692.0</v>
      </c>
      <c r="I412" s="5" t="s">
        <v>751</v>
      </c>
      <c r="J412" s="320" t="s">
        <v>722</v>
      </c>
      <c r="K412" s="5">
        <v>784.0</v>
      </c>
      <c r="L412" s="320">
        <v>812.24</v>
      </c>
      <c r="W412" s="320"/>
    </row>
    <row r="413">
      <c r="A413" s="5"/>
      <c r="B413" s="324">
        <v>44682.0</v>
      </c>
      <c r="C413" s="5">
        <v>5597.0</v>
      </c>
      <c r="D413" s="5">
        <v>157660.0</v>
      </c>
      <c r="E413" s="325">
        <v>28.168661783098088</v>
      </c>
      <c r="F413" s="5">
        <v>-27.654845870861347</v>
      </c>
      <c r="G413" s="5">
        <v>1.0</v>
      </c>
      <c r="H413" s="326">
        <v>-779.0</v>
      </c>
      <c r="I413" s="5" t="s">
        <v>751</v>
      </c>
      <c r="J413" s="320" t="s">
        <v>722</v>
      </c>
      <c r="K413" s="5">
        <v>1865.6666666666667</v>
      </c>
      <c r="L413" s="320">
        <v>-233.7</v>
      </c>
      <c r="W413" s="320"/>
    </row>
    <row r="414">
      <c r="A414" s="5"/>
      <c r="B414" s="324">
        <v>44713.0</v>
      </c>
      <c r="C414" s="5">
        <v>4957.0</v>
      </c>
      <c r="D414" s="5">
        <v>99170.0</v>
      </c>
      <c r="E414" s="325">
        <v>20.00605204760944</v>
      </c>
      <c r="F414" s="5">
        <v>70.928536855904</v>
      </c>
      <c r="G414" s="5">
        <v>1.0</v>
      </c>
      <c r="H414" s="326">
        <v>1419.0</v>
      </c>
      <c r="I414" s="5" t="s">
        <v>751</v>
      </c>
      <c r="J414" s="320" t="s">
        <v>722</v>
      </c>
      <c r="K414" s="5">
        <v>1652.3333333333333</v>
      </c>
      <c r="L414" s="320">
        <v>425.7</v>
      </c>
      <c r="W414" s="320"/>
    </row>
    <row r="415">
      <c r="A415" s="5"/>
      <c r="B415" s="324">
        <v>44743.0</v>
      </c>
      <c r="C415" s="5">
        <v>6222.0</v>
      </c>
      <c r="D415" s="5">
        <v>138310.0</v>
      </c>
      <c r="E415" s="325">
        <v>22.229186756669883</v>
      </c>
      <c r="F415" s="5">
        <v>55.062743113296214</v>
      </c>
      <c r="G415" s="5">
        <v>1.0</v>
      </c>
      <c r="H415" s="326">
        <v>1224.0</v>
      </c>
      <c r="I415" s="5" t="s">
        <v>751</v>
      </c>
      <c r="J415" s="320" t="s">
        <v>722</v>
      </c>
      <c r="K415" s="5">
        <v>2074.0</v>
      </c>
      <c r="L415" s="320">
        <v>367.2</v>
      </c>
      <c r="W415" s="320"/>
    </row>
    <row r="416">
      <c r="A416" s="5"/>
      <c r="B416" s="324">
        <v>44774.0</v>
      </c>
      <c r="C416" s="5">
        <v>4960.0</v>
      </c>
      <c r="D416" s="5">
        <v>59830.0</v>
      </c>
      <c r="E416" s="325">
        <v>12.0625</v>
      </c>
      <c r="F416" s="5">
        <v>110.1761658031088</v>
      </c>
      <c r="G416" s="5">
        <v>1.0</v>
      </c>
      <c r="H416" s="326">
        <v>1329.0</v>
      </c>
      <c r="I416" s="5" t="s">
        <v>751</v>
      </c>
      <c r="J416" s="320" t="s">
        <v>722</v>
      </c>
      <c r="K416" s="5">
        <v>1653.3333333333335</v>
      </c>
      <c r="L416" s="320">
        <v>332.25</v>
      </c>
      <c r="W416" s="320"/>
    </row>
    <row r="417">
      <c r="A417" s="5"/>
      <c r="B417" s="324">
        <v>44805.0</v>
      </c>
      <c r="C417" s="5">
        <v>4672.0</v>
      </c>
      <c r="D417" s="5">
        <v>34425.0</v>
      </c>
      <c r="E417" s="325">
        <v>7.368364726027397</v>
      </c>
      <c r="F417" s="5">
        <v>244.96615831517792</v>
      </c>
      <c r="G417" s="5">
        <v>1.0</v>
      </c>
      <c r="H417" s="326">
        <v>1805.0</v>
      </c>
      <c r="I417" s="5" t="s">
        <v>751</v>
      </c>
      <c r="J417" s="320" t="s">
        <v>722</v>
      </c>
      <c r="K417" s="5">
        <v>1557.3333333333333</v>
      </c>
      <c r="L417" s="320">
        <v>451.25</v>
      </c>
      <c r="W417" s="320"/>
    </row>
    <row r="418">
      <c r="A418" s="5"/>
      <c r="B418" s="324">
        <v>44835.0</v>
      </c>
      <c r="C418" s="5">
        <v>5404.0</v>
      </c>
      <c r="D418" s="5">
        <v>54020.0</v>
      </c>
      <c r="E418" s="325">
        <v>9.996299037749814</v>
      </c>
      <c r="F418" s="5">
        <v>35.112995186967794</v>
      </c>
      <c r="G418" s="5">
        <v>1.0</v>
      </c>
      <c r="H418" s="326">
        <v>351.0</v>
      </c>
      <c r="I418" s="5" t="s">
        <v>751</v>
      </c>
      <c r="J418" s="320" t="s">
        <v>722</v>
      </c>
      <c r="K418" s="5">
        <v>1801.3333333333333</v>
      </c>
      <c r="L418" s="320">
        <v>105.3</v>
      </c>
      <c r="W418" s="320"/>
    </row>
    <row r="419">
      <c r="A419" s="5"/>
      <c r="B419" s="324">
        <v>44866.0</v>
      </c>
      <c r="C419" s="5">
        <v>7429.0</v>
      </c>
      <c r="D419" s="5">
        <v>148500.0</v>
      </c>
      <c r="E419" s="325">
        <v>19.989231390496702</v>
      </c>
      <c r="F419" s="5">
        <v>75.94088888888889</v>
      </c>
      <c r="G419" s="5">
        <v>1.0</v>
      </c>
      <c r="H419" s="326">
        <v>1518.0</v>
      </c>
      <c r="I419" s="5" t="s">
        <v>751</v>
      </c>
      <c r="J419" s="320" t="s">
        <v>722</v>
      </c>
      <c r="K419" s="5">
        <v>2476.333333333333</v>
      </c>
      <c r="L419" s="320">
        <v>333.96</v>
      </c>
      <c r="W419" s="320"/>
    </row>
    <row r="420">
      <c r="A420" s="5"/>
      <c r="B420" s="324">
        <v>44896.0</v>
      </c>
      <c r="C420" s="5">
        <v>7065.0</v>
      </c>
      <c r="D420" s="5">
        <v>102380.0</v>
      </c>
      <c r="E420" s="325">
        <v>14.491153573956122</v>
      </c>
      <c r="F420" s="5">
        <v>160.44271342058994</v>
      </c>
      <c r="G420" s="5">
        <v>1.0</v>
      </c>
      <c r="H420" s="326">
        <v>2325.0</v>
      </c>
      <c r="I420" s="5" t="s">
        <v>751</v>
      </c>
      <c r="J420" s="320" t="s">
        <v>722</v>
      </c>
      <c r="K420" s="5">
        <v>2355.0</v>
      </c>
      <c r="L420" s="320">
        <v>511.5</v>
      </c>
      <c r="W420" s="320"/>
    </row>
    <row r="421">
      <c r="A421" s="5"/>
      <c r="B421" s="324">
        <v>44927.0</v>
      </c>
      <c r="C421" s="5">
        <v>5911.0</v>
      </c>
      <c r="D421" s="5">
        <v>59160.0</v>
      </c>
      <c r="E421" s="325">
        <v>10.008458805616646</v>
      </c>
      <c r="F421" s="5">
        <v>183.8444895199459</v>
      </c>
      <c r="G421" s="5">
        <v>1.0</v>
      </c>
      <c r="H421" s="326">
        <v>1840.0</v>
      </c>
      <c r="I421" s="5" t="s">
        <v>751</v>
      </c>
      <c r="J421" s="320" t="s">
        <v>722</v>
      </c>
      <c r="K421" s="5">
        <v>1970.3333333333335</v>
      </c>
      <c r="L421" s="320">
        <v>404.8</v>
      </c>
      <c r="W421" s="320"/>
    </row>
    <row r="422">
      <c r="A422" s="5"/>
      <c r="B422" s="324">
        <v>44958.0</v>
      </c>
      <c r="C422" s="5">
        <v>10805.0</v>
      </c>
      <c r="D422" s="5">
        <v>108050.0</v>
      </c>
      <c r="E422" s="325">
        <v>10.0</v>
      </c>
      <c r="F422" s="5">
        <v>222.18599999999998</v>
      </c>
      <c r="G422" s="5">
        <v>1.0</v>
      </c>
      <c r="H422" s="326">
        <v>2221.8599999999997</v>
      </c>
      <c r="I422" s="5" t="s">
        <v>751</v>
      </c>
      <c r="J422" s="320" t="s">
        <v>722</v>
      </c>
      <c r="K422" s="5">
        <v>3601.6666666666665</v>
      </c>
      <c r="L422" s="320">
        <v>555.4649999999999</v>
      </c>
      <c r="W422" s="320"/>
    </row>
    <row r="423">
      <c r="A423" s="5" t="s">
        <v>1133</v>
      </c>
      <c r="B423" s="322"/>
      <c r="C423" s="5">
        <v>168004.0</v>
      </c>
      <c r="D423" s="5">
        <v>2132093.25</v>
      </c>
      <c r="E423" s="325">
        <v>12.690729089783577</v>
      </c>
      <c r="F423" s="5">
        <v>2827.3087973239444</v>
      </c>
      <c r="G423" s="5">
        <v>30.0</v>
      </c>
      <c r="H423" s="326">
        <v>35880.61</v>
      </c>
      <c r="I423" s="5" t="s">
        <v>751</v>
      </c>
      <c r="J423" s="320" t="s">
        <v>722</v>
      </c>
      <c r="K423" s="5">
        <v>65771.99999999999</v>
      </c>
      <c r="L423" s="320">
        <v>8516.55</v>
      </c>
      <c r="W423" s="320"/>
    </row>
    <row r="424">
      <c r="A424" s="5" t="s">
        <v>529</v>
      </c>
      <c r="B424" s="324">
        <v>44652.0</v>
      </c>
      <c r="C424" s="5">
        <v>6439.0</v>
      </c>
      <c r="D424" s="5">
        <v>64390.0</v>
      </c>
      <c r="E424" s="325">
        <v>10.0</v>
      </c>
      <c r="F424" s="5">
        <v>75.1</v>
      </c>
      <c r="G424" s="5">
        <v>1.0</v>
      </c>
      <c r="H424" s="326">
        <v>751.0</v>
      </c>
      <c r="I424" s="5" t="s">
        <v>720</v>
      </c>
      <c r="J424" s="320" t="s">
        <v>722</v>
      </c>
      <c r="K424" s="5">
        <v>2146.3333333333335</v>
      </c>
      <c r="L424" s="320">
        <v>172.73000000000002</v>
      </c>
      <c r="W424" s="320"/>
    </row>
    <row r="425">
      <c r="A425" s="5"/>
      <c r="B425" s="324">
        <v>44682.0</v>
      </c>
      <c r="C425" s="5">
        <v>6107.0</v>
      </c>
      <c r="D425" s="5">
        <v>100130.0</v>
      </c>
      <c r="E425" s="325">
        <v>16.395939086294415</v>
      </c>
      <c r="F425" s="5">
        <v>-4.574303405572755</v>
      </c>
      <c r="G425" s="5">
        <v>1.0</v>
      </c>
      <c r="H425" s="326">
        <v>-75.0</v>
      </c>
      <c r="I425" s="5" t="s">
        <v>720</v>
      </c>
      <c r="J425" s="320" t="s">
        <v>722</v>
      </c>
      <c r="K425" s="5">
        <v>2035.6666666666665</v>
      </c>
      <c r="L425" s="320">
        <v>-17.25</v>
      </c>
      <c r="W425" s="320"/>
    </row>
    <row r="426">
      <c r="A426" s="5"/>
      <c r="B426" s="324">
        <v>44713.0</v>
      </c>
      <c r="C426" s="5">
        <v>6427.0</v>
      </c>
      <c r="D426" s="5">
        <v>128540.0</v>
      </c>
      <c r="E426" s="325">
        <v>20.0</v>
      </c>
      <c r="F426" s="5">
        <v>115.5</v>
      </c>
      <c r="G426" s="5">
        <v>1.0</v>
      </c>
      <c r="H426" s="326">
        <v>2310.0</v>
      </c>
      <c r="I426" s="5" t="s">
        <v>720</v>
      </c>
      <c r="J426" s="320" t="s">
        <v>722</v>
      </c>
      <c r="K426" s="5">
        <v>2142.3333333333335</v>
      </c>
      <c r="L426" s="320">
        <v>531.3000000000001</v>
      </c>
      <c r="W426" s="320"/>
    </row>
    <row r="427">
      <c r="A427" s="5"/>
      <c r="B427" s="324">
        <v>44743.0</v>
      </c>
      <c r="C427" s="5">
        <v>7523.0</v>
      </c>
      <c r="D427" s="5">
        <v>150460.0</v>
      </c>
      <c r="E427" s="325">
        <v>20.0</v>
      </c>
      <c r="F427" s="5">
        <v>324.0</v>
      </c>
      <c r="G427" s="5">
        <v>1.0</v>
      </c>
      <c r="H427" s="326">
        <v>6480.0</v>
      </c>
      <c r="I427" s="5" t="s">
        <v>720</v>
      </c>
      <c r="J427" s="320" t="s">
        <v>722</v>
      </c>
      <c r="K427" s="5">
        <v>2507.6666666666665</v>
      </c>
      <c r="L427" s="320">
        <v>1101.6000000000001</v>
      </c>
      <c r="W427" s="320"/>
    </row>
    <row r="428">
      <c r="A428" s="5"/>
      <c r="B428" s="324">
        <v>44774.0</v>
      </c>
      <c r="C428" s="5">
        <v>6140.0</v>
      </c>
      <c r="D428" s="5">
        <v>307000.0</v>
      </c>
      <c r="E428" s="325">
        <v>50.0</v>
      </c>
      <c r="F428" s="5">
        <v>134.14</v>
      </c>
      <c r="G428" s="5">
        <v>1.0</v>
      </c>
      <c r="H428" s="326">
        <v>6707.0</v>
      </c>
      <c r="I428" s="5" t="s">
        <v>720</v>
      </c>
      <c r="J428" s="320" t="s">
        <v>722</v>
      </c>
      <c r="K428" s="5">
        <v>2046.6666666666667</v>
      </c>
      <c r="L428" s="320">
        <v>804.8399999999999</v>
      </c>
      <c r="W428" s="320"/>
    </row>
    <row r="429">
      <c r="A429" s="5"/>
      <c r="B429" s="324">
        <v>44805.0</v>
      </c>
      <c r="C429" s="5">
        <v>7000.0</v>
      </c>
      <c r="D429" s="5">
        <v>140000.0</v>
      </c>
      <c r="E429" s="325">
        <v>20.0</v>
      </c>
      <c r="F429" s="5">
        <v>-514.75</v>
      </c>
      <c r="G429" s="5">
        <v>1.0</v>
      </c>
      <c r="H429" s="326">
        <v>-10295.0</v>
      </c>
      <c r="I429" s="5" t="s">
        <v>720</v>
      </c>
      <c r="J429" s="320" t="s">
        <v>722</v>
      </c>
      <c r="K429" s="5">
        <v>2333.3333333333335</v>
      </c>
      <c r="L429" s="320">
        <v>-3088.5</v>
      </c>
      <c r="W429" s="320"/>
    </row>
    <row r="430">
      <c r="A430" s="5"/>
      <c r="B430" s="324">
        <v>44835.0</v>
      </c>
      <c r="C430" s="5">
        <v>7714.0</v>
      </c>
      <c r="D430" s="5">
        <v>154280.0</v>
      </c>
      <c r="E430" s="325">
        <v>20.0</v>
      </c>
      <c r="F430" s="5">
        <v>179.95</v>
      </c>
      <c r="G430" s="5">
        <v>1.0</v>
      </c>
      <c r="H430" s="326">
        <v>3599.0</v>
      </c>
      <c r="I430" s="5" t="s">
        <v>720</v>
      </c>
      <c r="J430" s="320" t="s">
        <v>722</v>
      </c>
      <c r="K430" s="5">
        <v>2571.3333333333335</v>
      </c>
      <c r="L430" s="320">
        <v>1079.7</v>
      </c>
      <c r="W430" s="320"/>
    </row>
    <row r="431">
      <c r="A431" s="5"/>
      <c r="B431" s="324">
        <v>44866.0</v>
      </c>
      <c r="C431" s="5">
        <v>6917.0</v>
      </c>
      <c r="D431" s="5">
        <v>138340.0</v>
      </c>
      <c r="E431" s="325">
        <v>20.0</v>
      </c>
      <c r="F431" s="5">
        <v>373.25</v>
      </c>
      <c r="G431" s="5">
        <v>1.0</v>
      </c>
      <c r="H431" s="326">
        <v>7465.0</v>
      </c>
      <c r="I431" s="5" t="s">
        <v>720</v>
      </c>
      <c r="J431" s="320" t="s">
        <v>722</v>
      </c>
      <c r="K431" s="5">
        <v>2305.6666666666665</v>
      </c>
      <c r="L431" s="320">
        <v>2239.5</v>
      </c>
      <c r="W431" s="320"/>
    </row>
    <row r="432">
      <c r="A432" s="5"/>
      <c r="B432" s="324">
        <v>44896.0</v>
      </c>
      <c r="C432" s="5">
        <v>6441.0</v>
      </c>
      <c r="D432" s="5">
        <v>199110.0</v>
      </c>
      <c r="E432" s="325">
        <v>30.912901723334887</v>
      </c>
      <c r="F432" s="5">
        <v>100.31410275726985</v>
      </c>
      <c r="G432" s="5">
        <v>1.0</v>
      </c>
      <c r="H432" s="326">
        <v>3101.0</v>
      </c>
      <c r="I432" s="5" t="s">
        <v>720</v>
      </c>
      <c r="J432" s="320" t="s">
        <v>722</v>
      </c>
      <c r="K432" s="5">
        <v>2147.0</v>
      </c>
      <c r="L432" s="320">
        <v>-3472.83</v>
      </c>
      <c r="W432" s="320"/>
    </row>
    <row r="433">
      <c r="A433" s="5"/>
      <c r="B433" s="324">
        <v>44927.0</v>
      </c>
      <c r="C433" s="5">
        <v>4079.0</v>
      </c>
      <c r="D433" s="5">
        <v>111700.0</v>
      </c>
      <c r="E433" s="325">
        <v>27.384162784996324</v>
      </c>
      <c r="F433" s="5">
        <v>96.33305282005371</v>
      </c>
      <c r="G433" s="5">
        <v>1.0</v>
      </c>
      <c r="H433" s="326">
        <v>2638.0</v>
      </c>
      <c r="I433" s="5" t="s">
        <v>720</v>
      </c>
      <c r="J433" s="320" t="s">
        <v>722</v>
      </c>
      <c r="K433" s="5">
        <v>1359.6666666666667</v>
      </c>
      <c r="L433" s="320">
        <v>606.74</v>
      </c>
      <c r="W433" s="320"/>
    </row>
    <row r="434">
      <c r="A434" s="5"/>
      <c r="B434" s="324">
        <v>44958.0</v>
      </c>
      <c r="C434" s="5">
        <v>4381.0</v>
      </c>
      <c r="D434" s="5">
        <v>105620.0</v>
      </c>
      <c r="E434" s="325">
        <v>24.10865099292399</v>
      </c>
      <c r="F434" s="5">
        <v>-36.896713974626</v>
      </c>
      <c r="G434" s="5">
        <v>1.0</v>
      </c>
      <c r="H434" s="326">
        <v>-889.5299999999997</v>
      </c>
      <c r="I434" s="5" t="s">
        <v>720</v>
      </c>
      <c r="J434" s="320" t="s">
        <v>722</v>
      </c>
      <c r="K434" s="5">
        <v>1460.3333333333333</v>
      </c>
      <c r="L434" s="320">
        <v>-266.8589999999999</v>
      </c>
      <c r="W434" s="320"/>
    </row>
    <row r="435">
      <c r="A435" s="5" t="s">
        <v>1101</v>
      </c>
      <c r="B435" s="322"/>
      <c r="C435" s="5">
        <v>69168.0</v>
      </c>
      <c r="D435" s="5">
        <v>1599570.0</v>
      </c>
      <c r="E435" s="325">
        <v>23.12586745315753</v>
      </c>
      <c r="F435" s="5">
        <v>942.2984908194078</v>
      </c>
      <c r="G435" s="5">
        <v>11.0</v>
      </c>
      <c r="H435" s="326">
        <v>21791.47</v>
      </c>
      <c r="I435" s="5" t="s">
        <v>720</v>
      </c>
      <c r="J435" s="320" t="s">
        <v>722</v>
      </c>
      <c r="K435" s="5">
        <v>23056.0</v>
      </c>
      <c r="L435" s="320">
        <v>-309.02899999999977</v>
      </c>
      <c r="W435" s="320"/>
    </row>
    <row r="436">
      <c r="A436" s="5" t="s">
        <v>210</v>
      </c>
      <c r="B436" s="324">
        <v>44621.0</v>
      </c>
      <c r="C436" s="5">
        <v>404.0</v>
      </c>
      <c r="D436" s="5">
        <v>4040.0</v>
      </c>
      <c r="E436" s="325">
        <v>10.0</v>
      </c>
      <c r="F436" s="5">
        <v>24.7</v>
      </c>
      <c r="G436" s="5">
        <v>1.0</v>
      </c>
      <c r="H436" s="326">
        <v>247.0</v>
      </c>
      <c r="I436" s="5" t="s">
        <v>720</v>
      </c>
      <c r="J436" s="320" t="s">
        <v>722</v>
      </c>
      <c r="K436" s="5">
        <v>404.0</v>
      </c>
      <c r="L436" s="320">
        <v>57.0</v>
      </c>
      <c r="W436" s="320"/>
    </row>
    <row r="437">
      <c r="A437" s="5"/>
      <c r="B437" s="324">
        <v>44652.0</v>
      </c>
      <c r="C437" s="5">
        <v>2182.0</v>
      </c>
      <c r="D437" s="5">
        <v>25570.0</v>
      </c>
      <c r="E437" s="325">
        <v>11.718606782768102</v>
      </c>
      <c r="F437" s="5">
        <v>91.64912006257333</v>
      </c>
      <c r="G437" s="5">
        <v>1.0</v>
      </c>
      <c r="H437" s="326">
        <v>1074.0</v>
      </c>
      <c r="I437" s="5" t="s">
        <v>720</v>
      </c>
      <c r="J437" s="320" t="s">
        <v>722</v>
      </c>
      <c r="K437" s="5">
        <v>2182.0</v>
      </c>
      <c r="L437" s="320">
        <v>247.0</v>
      </c>
      <c r="W437" s="320"/>
    </row>
    <row r="438">
      <c r="A438" s="5"/>
      <c r="B438" s="324">
        <v>44682.0</v>
      </c>
      <c r="C438" s="5">
        <v>1691.0</v>
      </c>
      <c r="D438" s="5">
        <v>33794.0</v>
      </c>
      <c r="E438" s="325">
        <v>19.9846244825547</v>
      </c>
      <c r="F438" s="5">
        <v>115.13851571284845</v>
      </c>
      <c r="G438" s="5">
        <v>1.0</v>
      </c>
      <c r="H438" s="326">
        <v>2301.0</v>
      </c>
      <c r="I438" s="5" t="s">
        <v>720</v>
      </c>
      <c r="J438" s="320" t="s">
        <v>722</v>
      </c>
      <c r="K438" s="5">
        <v>1689.0</v>
      </c>
      <c r="L438" s="320">
        <v>421.0</v>
      </c>
      <c r="W438" s="320"/>
    </row>
    <row r="439">
      <c r="A439" s="5"/>
      <c r="B439" s="324">
        <v>44713.0</v>
      </c>
      <c r="C439" s="5">
        <v>1341.0</v>
      </c>
      <c r="D439" s="5">
        <v>31340.0</v>
      </c>
      <c r="E439" s="325">
        <v>23.37061894108874</v>
      </c>
      <c r="F439" s="5">
        <v>45.52724952137843</v>
      </c>
      <c r="G439" s="5">
        <v>1.0</v>
      </c>
      <c r="H439" s="326">
        <v>1064.0</v>
      </c>
      <c r="I439" s="5" t="s">
        <v>720</v>
      </c>
      <c r="J439" s="320" t="s">
        <v>722</v>
      </c>
      <c r="K439" s="5">
        <v>1341.0</v>
      </c>
      <c r="L439" s="320">
        <v>194.0</v>
      </c>
      <c r="W439" s="320"/>
    </row>
    <row r="440">
      <c r="A440" s="5"/>
      <c r="B440" s="324">
        <v>44743.0</v>
      </c>
      <c r="C440" s="5">
        <v>1953.0</v>
      </c>
      <c r="D440" s="5">
        <v>47695.5</v>
      </c>
      <c r="E440" s="325">
        <v>24.421658986175114</v>
      </c>
      <c r="F440" s="5">
        <v>-32.225492971035</v>
      </c>
      <c r="G440" s="5">
        <v>1.0</v>
      </c>
      <c r="H440" s="326">
        <v>-787.0</v>
      </c>
      <c r="I440" s="5" t="s">
        <v>720</v>
      </c>
      <c r="J440" s="320" t="s">
        <v>722</v>
      </c>
      <c r="K440" s="5">
        <v>1950.3333333333335</v>
      </c>
      <c r="L440" s="320">
        <v>-235.0</v>
      </c>
      <c r="W440" s="320"/>
    </row>
    <row r="441">
      <c r="A441" s="5"/>
      <c r="B441" s="324">
        <v>44774.0</v>
      </c>
      <c r="C441" s="5">
        <v>1318.0</v>
      </c>
      <c r="D441" s="5">
        <v>31845.0</v>
      </c>
      <c r="E441" s="325">
        <v>24.161608497723822</v>
      </c>
      <c r="F441" s="5">
        <v>37.08362380279479</v>
      </c>
      <c r="G441" s="5">
        <v>1.0</v>
      </c>
      <c r="H441" s="326">
        <v>896.0</v>
      </c>
      <c r="I441" s="5" t="s">
        <v>720</v>
      </c>
      <c r="J441" s="320" t="s">
        <v>722</v>
      </c>
      <c r="K441" s="5">
        <v>1315.3333333333333</v>
      </c>
      <c r="L441" s="320">
        <v>259.0</v>
      </c>
      <c r="W441" s="320"/>
    </row>
    <row r="442">
      <c r="A442" s="5"/>
      <c r="B442" s="324">
        <v>44805.0</v>
      </c>
      <c r="C442" s="5">
        <v>1918.0</v>
      </c>
      <c r="D442" s="5">
        <v>45151.5</v>
      </c>
      <c r="E442" s="325">
        <v>23.540928050052138</v>
      </c>
      <c r="F442" s="5">
        <v>91.64889317076953</v>
      </c>
      <c r="G442" s="5">
        <v>1.0</v>
      </c>
      <c r="H442" s="326">
        <v>2157.5</v>
      </c>
      <c r="I442" s="5" t="s">
        <v>720</v>
      </c>
      <c r="J442" s="320" t="s">
        <v>722</v>
      </c>
      <c r="K442" s="5">
        <v>1916.0</v>
      </c>
      <c r="L442" s="320">
        <v>368.0</v>
      </c>
      <c r="W442" s="320"/>
    </row>
    <row r="443">
      <c r="A443" s="5"/>
      <c r="B443" s="324">
        <v>44835.0</v>
      </c>
      <c r="C443" s="5">
        <v>730.0</v>
      </c>
      <c r="D443" s="5">
        <v>18250.0</v>
      </c>
      <c r="E443" s="325">
        <v>25.0</v>
      </c>
      <c r="F443" s="5">
        <v>-20.04</v>
      </c>
      <c r="G443" s="5">
        <v>1.0</v>
      </c>
      <c r="H443" s="326">
        <v>-501.0</v>
      </c>
      <c r="I443" s="5" t="s">
        <v>720</v>
      </c>
      <c r="J443" s="320" t="s">
        <v>722</v>
      </c>
      <c r="K443" s="5">
        <v>730.0</v>
      </c>
      <c r="L443" s="320">
        <v>-154.0</v>
      </c>
      <c r="W443" s="320"/>
    </row>
    <row r="444">
      <c r="A444" s="5"/>
      <c r="B444" s="324">
        <v>44866.0</v>
      </c>
      <c r="C444" s="5">
        <v>1966.0</v>
      </c>
      <c r="D444" s="5">
        <v>48390.0</v>
      </c>
      <c r="E444" s="325">
        <v>24.613428280773142</v>
      </c>
      <c r="F444" s="5">
        <v>30.755569332506717</v>
      </c>
      <c r="G444" s="5">
        <v>1.0</v>
      </c>
      <c r="H444" s="326">
        <v>757.0</v>
      </c>
      <c r="I444" s="5" t="s">
        <v>720</v>
      </c>
      <c r="J444" s="320" t="s">
        <v>722</v>
      </c>
      <c r="K444" s="5">
        <v>1966.0</v>
      </c>
      <c r="L444" s="320">
        <v>233.0</v>
      </c>
      <c r="W444" s="320"/>
    </row>
    <row r="445">
      <c r="A445" s="5"/>
      <c r="B445" s="324">
        <v>44896.0</v>
      </c>
      <c r="C445" s="5">
        <v>2102.0</v>
      </c>
      <c r="D445" s="5">
        <v>52455.0</v>
      </c>
      <c r="E445" s="325">
        <v>24.954804947668887</v>
      </c>
      <c r="F445" s="5">
        <v>46.00316461729101</v>
      </c>
      <c r="G445" s="5">
        <v>1.0</v>
      </c>
      <c r="H445" s="326">
        <v>1148.0</v>
      </c>
      <c r="I445" s="5" t="s">
        <v>720</v>
      </c>
      <c r="J445" s="320" t="s">
        <v>722</v>
      </c>
      <c r="K445" s="5">
        <v>2102.0</v>
      </c>
      <c r="L445" s="320">
        <v>264.0</v>
      </c>
      <c r="W445" s="320"/>
    </row>
    <row r="446">
      <c r="A446" s="5"/>
      <c r="B446" s="324">
        <v>44927.0</v>
      </c>
      <c r="C446" s="5">
        <v>2490.0</v>
      </c>
      <c r="D446" s="5">
        <v>69295.0</v>
      </c>
      <c r="E446" s="325">
        <v>27.829317269076306</v>
      </c>
      <c r="F446" s="5">
        <v>65.00339129807345</v>
      </c>
      <c r="G446" s="5">
        <v>1.0</v>
      </c>
      <c r="H446" s="326">
        <v>1809.0</v>
      </c>
      <c r="I446" s="5" t="s">
        <v>720</v>
      </c>
      <c r="J446" s="320" t="s">
        <v>722</v>
      </c>
      <c r="K446" s="5">
        <v>2490.0</v>
      </c>
      <c r="L446" s="320">
        <v>416.0</v>
      </c>
      <c r="W446" s="320"/>
    </row>
    <row r="447">
      <c r="A447" s="5"/>
      <c r="B447" s="324">
        <v>44958.0</v>
      </c>
      <c r="C447" s="5">
        <v>2421.0</v>
      </c>
      <c r="D447" s="5">
        <v>71180.0</v>
      </c>
      <c r="E447" s="325">
        <v>29.40107393638992</v>
      </c>
      <c r="F447" s="5">
        <v>9.727535824669852</v>
      </c>
      <c r="G447" s="5">
        <v>1.0</v>
      </c>
      <c r="H447" s="326">
        <v>286.0</v>
      </c>
      <c r="I447" s="5" t="s">
        <v>720</v>
      </c>
      <c r="J447" s="320" t="s">
        <v>722</v>
      </c>
      <c r="K447" s="5">
        <v>2420.333333333333</v>
      </c>
      <c r="L447" s="320">
        <v>-78.39999999999999</v>
      </c>
      <c r="W447" s="320"/>
    </row>
    <row r="448">
      <c r="A448" s="5"/>
      <c r="B448" s="324">
        <v>44986.0</v>
      </c>
      <c r="C448" s="5">
        <v>1717.0</v>
      </c>
      <c r="D448" s="5">
        <v>42925.0</v>
      </c>
      <c r="E448" s="325">
        <v>25.0</v>
      </c>
      <c r="F448" s="5">
        <v>73.6</v>
      </c>
      <c r="G448" s="5">
        <v>1.0</v>
      </c>
      <c r="H448" s="326">
        <v>1840.0</v>
      </c>
      <c r="I448" s="5" t="s">
        <v>720</v>
      </c>
      <c r="J448" s="320" t="s">
        <v>722</v>
      </c>
      <c r="K448" s="5">
        <v>1717.0</v>
      </c>
      <c r="L448" s="320">
        <v>423.20000000000005</v>
      </c>
      <c r="W448" s="320"/>
    </row>
    <row r="449">
      <c r="A449" s="5" t="s">
        <v>1134</v>
      </c>
      <c r="B449" s="322"/>
      <c r="C449" s="5">
        <v>22233.0</v>
      </c>
      <c r="D449" s="5">
        <v>521931.0</v>
      </c>
      <c r="E449" s="325">
        <v>23.475509377951692</v>
      </c>
      <c r="F449" s="5">
        <v>523.5882128097393</v>
      </c>
      <c r="G449" s="5">
        <v>13.0</v>
      </c>
      <c r="H449" s="326">
        <v>12291.5</v>
      </c>
      <c r="I449" s="5" t="s">
        <v>720</v>
      </c>
      <c r="J449" s="320" t="s">
        <v>722</v>
      </c>
      <c r="K449" s="5">
        <v>22223.0</v>
      </c>
      <c r="L449" s="320">
        <v>2414.8</v>
      </c>
      <c r="W449" s="320"/>
    </row>
    <row r="450">
      <c r="A450" s="5" t="s">
        <v>233</v>
      </c>
      <c r="B450" s="324">
        <v>44835.0</v>
      </c>
      <c r="C450" s="5">
        <v>952.0</v>
      </c>
      <c r="D450" s="5">
        <v>16605.5</v>
      </c>
      <c r="E450" s="325">
        <v>17.442752100840337</v>
      </c>
      <c r="F450" s="5">
        <v>33.19430309234892</v>
      </c>
      <c r="G450" s="5">
        <v>1.0</v>
      </c>
      <c r="H450" s="326">
        <v>579.0</v>
      </c>
      <c r="I450" s="5" t="s">
        <v>720</v>
      </c>
      <c r="J450" s="320" t="s">
        <v>722</v>
      </c>
      <c r="K450" s="5">
        <v>952.0</v>
      </c>
      <c r="L450" s="320">
        <v>134.0</v>
      </c>
      <c r="W450" s="320"/>
    </row>
    <row r="451">
      <c r="A451" s="5"/>
      <c r="B451" s="324">
        <v>44866.0</v>
      </c>
      <c r="C451" s="5">
        <v>883.0</v>
      </c>
      <c r="D451" s="5">
        <v>19320.0</v>
      </c>
      <c r="E451" s="325">
        <v>21.87995469988675</v>
      </c>
      <c r="F451" s="5">
        <v>91.63638716356108</v>
      </c>
      <c r="G451" s="5">
        <v>1.0</v>
      </c>
      <c r="H451" s="326">
        <v>2005.0</v>
      </c>
      <c r="I451" s="5" t="s">
        <v>720</v>
      </c>
      <c r="J451" s="320" t="s">
        <v>722</v>
      </c>
      <c r="K451" s="5">
        <v>882.3333333333334</v>
      </c>
      <c r="L451" s="320">
        <v>340.0</v>
      </c>
      <c r="W451" s="320"/>
    </row>
    <row r="452">
      <c r="A452" s="5"/>
      <c r="B452" s="324">
        <v>44896.0</v>
      </c>
      <c r="C452" s="5">
        <v>1559.0</v>
      </c>
      <c r="D452" s="5">
        <v>32660.0</v>
      </c>
      <c r="E452" s="325">
        <v>20.949326491340603</v>
      </c>
      <c r="F452" s="5">
        <v>39.85808328230251</v>
      </c>
      <c r="G452" s="5">
        <v>1.0</v>
      </c>
      <c r="H452" s="326">
        <v>835.0</v>
      </c>
      <c r="I452" s="5" t="s">
        <v>720</v>
      </c>
      <c r="J452" s="320" t="s">
        <v>722</v>
      </c>
      <c r="K452" s="5">
        <v>1557.6666666666667</v>
      </c>
      <c r="L452" s="320">
        <v>192.0</v>
      </c>
      <c r="W452" s="320"/>
    </row>
    <row r="453">
      <c r="A453" s="5"/>
      <c r="B453" s="324">
        <v>44927.0</v>
      </c>
      <c r="C453" s="5">
        <v>1677.0</v>
      </c>
      <c r="D453" s="5">
        <v>32505.0</v>
      </c>
      <c r="E453" s="325">
        <v>19.382826475849733</v>
      </c>
      <c r="F453" s="5">
        <v>126.34896169820027</v>
      </c>
      <c r="G453" s="5">
        <v>1.0</v>
      </c>
      <c r="H453" s="326">
        <v>2449.0</v>
      </c>
      <c r="I453" s="5" t="s">
        <v>720</v>
      </c>
      <c r="J453" s="320" t="s">
        <v>722</v>
      </c>
      <c r="K453" s="5">
        <v>1674.3333333333333</v>
      </c>
      <c r="L453" s="320">
        <v>416.0</v>
      </c>
      <c r="W453" s="320"/>
    </row>
    <row r="454">
      <c r="A454" s="5"/>
      <c r="B454" s="324">
        <v>44958.0</v>
      </c>
      <c r="C454" s="5">
        <v>2.0</v>
      </c>
      <c r="D454" s="5">
        <v>50.0</v>
      </c>
      <c r="E454" s="325">
        <v>25.0</v>
      </c>
      <c r="F454" s="5">
        <v>6.0</v>
      </c>
      <c r="G454" s="5">
        <v>1.0</v>
      </c>
      <c r="H454" s="326">
        <v>150.0</v>
      </c>
      <c r="I454" s="5" t="s">
        <v>720</v>
      </c>
      <c r="J454" s="320" t="s">
        <v>722</v>
      </c>
      <c r="K454" s="5">
        <v>2.0</v>
      </c>
      <c r="L454" s="320">
        <v>34.5</v>
      </c>
      <c r="W454" s="320"/>
    </row>
    <row r="455">
      <c r="A455" s="5" t="s">
        <v>1135</v>
      </c>
      <c r="B455" s="322"/>
      <c r="C455" s="5">
        <v>5073.0</v>
      </c>
      <c r="D455" s="5">
        <v>101140.5</v>
      </c>
      <c r="E455" s="325">
        <v>19.937019515079836</v>
      </c>
      <c r="F455" s="5">
        <v>301.8505346522906</v>
      </c>
      <c r="G455" s="5">
        <v>5.0</v>
      </c>
      <c r="H455" s="326">
        <v>6018.0</v>
      </c>
      <c r="I455" s="5" t="s">
        <v>720</v>
      </c>
      <c r="J455" s="320" t="s">
        <v>722</v>
      </c>
      <c r="K455" s="5">
        <v>5068.333333333333</v>
      </c>
      <c r="L455" s="320">
        <v>1116.5</v>
      </c>
      <c r="W455" s="320"/>
    </row>
    <row r="456">
      <c r="A456" s="5" t="s">
        <v>169</v>
      </c>
      <c r="B456" s="324">
        <v>44743.0</v>
      </c>
      <c r="C456" s="320">
        <v>14983.0</v>
      </c>
      <c r="D456" s="5">
        <v>149830.0</v>
      </c>
      <c r="E456" s="325">
        <v>10.0</v>
      </c>
      <c r="F456" s="5">
        <v>-10.0</v>
      </c>
      <c r="G456" s="5">
        <v>1.0</v>
      </c>
      <c r="H456" s="326">
        <v>-100.0</v>
      </c>
      <c r="I456" s="5" t="s">
        <v>842</v>
      </c>
      <c r="J456" s="320" t="s">
        <v>722</v>
      </c>
      <c r="K456" s="5">
        <v>4994.333333333333</v>
      </c>
      <c r="L456" s="320">
        <v>-12.0</v>
      </c>
      <c r="W456" s="320"/>
    </row>
    <row r="457">
      <c r="A457" s="5"/>
      <c r="B457" s="324">
        <v>44774.0</v>
      </c>
      <c r="C457" s="320">
        <v>18003.0</v>
      </c>
      <c r="D457" s="5">
        <v>390670.0</v>
      </c>
      <c r="E457" s="325">
        <v>21.70027217685941</v>
      </c>
      <c r="F457" s="5">
        <v>465.52411498195414</v>
      </c>
      <c r="G457" s="5">
        <v>1.0</v>
      </c>
      <c r="H457" s="326">
        <v>10102.0</v>
      </c>
      <c r="I457" s="5" t="s">
        <v>842</v>
      </c>
      <c r="J457" s="320" t="s">
        <v>722</v>
      </c>
      <c r="K457" s="5">
        <v>6001.000000000001</v>
      </c>
      <c r="L457" s="320">
        <v>1212.24</v>
      </c>
      <c r="W457" s="320"/>
    </row>
    <row r="458">
      <c r="A458" s="5"/>
      <c r="B458" s="324">
        <v>44805.0</v>
      </c>
      <c r="C458" s="320">
        <v>20591.0</v>
      </c>
      <c r="D458" s="5">
        <v>526945.0</v>
      </c>
      <c r="E458" s="325">
        <v>25.59103491816813</v>
      </c>
      <c r="F458" s="5">
        <v>-73.89306474110202</v>
      </c>
      <c r="G458" s="5">
        <v>1.0</v>
      </c>
      <c r="H458" s="326">
        <v>-1891.0</v>
      </c>
      <c r="I458" s="5" t="s">
        <v>842</v>
      </c>
      <c r="J458" s="320" t="s">
        <v>722</v>
      </c>
      <c r="K458" s="5">
        <v>6863.666666666667</v>
      </c>
      <c r="L458" s="320">
        <v>-434.93</v>
      </c>
      <c r="W458" s="320"/>
    </row>
    <row r="459">
      <c r="A459" s="5"/>
      <c r="B459" s="324">
        <v>44835.0</v>
      </c>
      <c r="C459" s="5">
        <v>16078.0</v>
      </c>
      <c r="D459" s="5">
        <v>317620.0</v>
      </c>
      <c r="E459" s="325">
        <v>19.754944644856327</v>
      </c>
      <c r="F459" s="5">
        <v>37.81331780114602</v>
      </c>
      <c r="G459" s="5">
        <v>1.0</v>
      </c>
      <c r="H459" s="326">
        <v>747.0</v>
      </c>
      <c r="I459" s="5" t="s">
        <v>842</v>
      </c>
      <c r="J459" s="320" t="s">
        <v>722</v>
      </c>
      <c r="K459" s="5">
        <v>5359.333333333334</v>
      </c>
      <c r="L459" s="320">
        <v>171.81000000000003</v>
      </c>
      <c r="W459" s="320"/>
    </row>
    <row r="460">
      <c r="A460" s="5"/>
      <c r="B460" s="324">
        <v>44866.0</v>
      </c>
      <c r="C460" s="320">
        <v>11524.0</v>
      </c>
      <c r="D460" s="5">
        <v>160775.0</v>
      </c>
      <c r="E460" s="325">
        <v>13.951318986463034</v>
      </c>
      <c r="F460" s="5">
        <v>353.0132172290468</v>
      </c>
      <c r="G460" s="5">
        <v>1.0</v>
      </c>
      <c r="H460" s="326">
        <v>4925.0</v>
      </c>
      <c r="I460" s="5" t="s">
        <v>842</v>
      </c>
      <c r="J460" s="320" t="s">
        <v>722</v>
      </c>
      <c r="K460" s="5">
        <v>3841.3333333333335</v>
      </c>
      <c r="L460" s="320">
        <v>1132.75</v>
      </c>
      <c r="W460" s="320"/>
    </row>
    <row r="461">
      <c r="A461" s="5"/>
      <c r="B461" s="324">
        <v>44896.0</v>
      </c>
      <c r="C461" s="5">
        <v>20575.0</v>
      </c>
      <c r="D461" s="5">
        <v>218605.0</v>
      </c>
      <c r="E461" s="325">
        <v>10.624787363304982</v>
      </c>
      <c r="F461" s="5">
        <v>-165.1797763088676</v>
      </c>
      <c r="G461" s="5">
        <v>1.0</v>
      </c>
      <c r="H461" s="326">
        <v>-1755.0</v>
      </c>
      <c r="I461" s="5" t="s">
        <v>842</v>
      </c>
      <c r="J461" s="320" t="s">
        <v>722</v>
      </c>
      <c r="K461" s="5">
        <v>6858.333333333334</v>
      </c>
      <c r="L461" s="320">
        <v>-403.65</v>
      </c>
      <c r="W461" s="320"/>
    </row>
    <row r="462">
      <c r="A462" s="5"/>
      <c r="B462" s="324">
        <v>44927.0</v>
      </c>
      <c r="C462" s="5">
        <v>23886.0</v>
      </c>
      <c r="D462" s="5">
        <v>315511.0</v>
      </c>
      <c r="E462" s="325">
        <v>13.209034580926065</v>
      </c>
      <c r="F462" s="5">
        <v>317.50995686362756</v>
      </c>
      <c r="G462" s="5">
        <v>1.0</v>
      </c>
      <c r="H462" s="326">
        <v>4194.0</v>
      </c>
      <c r="I462" s="5" t="s">
        <v>842</v>
      </c>
      <c r="J462" s="320" t="s">
        <v>722</v>
      </c>
      <c r="K462" s="5">
        <v>7962.0</v>
      </c>
      <c r="L462" s="320">
        <v>964.62</v>
      </c>
      <c r="W462" s="320"/>
    </row>
    <row r="463">
      <c r="A463" s="5"/>
      <c r="B463" s="324">
        <v>44958.0</v>
      </c>
      <c r="C463" s="5">
        <v>11259.0</v>
      </c>
      <c r="D463" s="5">
        <v>229860.0</v>
      </c>
      <c r="E463" s="325">
        <v>20.415667466027177</v>
      </c>
      <c r="F463" s="5">
        <v>102.27439310884887</v>
      </c>
      <c r="G463" s="5">
        <v>1.0</v>
      </c>
      <c r="H463" s="326">
        <v>2088.0</v>
      </c>
      <c r="I463" s="5" t="s">
        <v>842</v>
      </c>
      <c r="J463" s="320" t="s">
        <v>722</v>
      </c>
      <c r="K463" s="5">
        <v>3753.0</v>
      </c>
      <c r="L463" s="320">
        <v>354.96000000000004</v>
      </c>
      <c r="W463" s="320"/>
    </row>
    <row r="464">
      <c r="A464" s="5"/>
      <c r="B464" s="324">
        <v>44986.0</v>
      </c>
      <c r="C464" s="5">
        <v>2878.0</v>
      </c>
      <c r="D464" s="5">
        <v>25375.0</v>
      </c>
      <c r="E464" s="325">
        <v>8.816886726893676</v>
      </c>
      <c r="F464" s="5">
        <v>57.27645320197044</v>
      </c>
      <c r="G464" s="5">
        <v>1.0</v>
      </c>
      <c r="H464" s="326">
        <v>505.0</v>
      </c>
      <c r="I464" s="5" t="s">
        <v>842</v>
      </c>
      <c r="J464" s="320" t="s">
        <v>722</v>
      </c>
      <c r="K464" s="5">
        <v>1493.9999999999998</v>
      </c>
      <c r="L464" s="320">
        <v>116.15</v>
      </c>
      <c r="W464" s="320"/>
    </row>
    <row r="465">
      <c r="A465" s="5" t="s">
        <v>1102</v>
      </c>
      <c r="B465" s="322"/>
      <c r="C465" s="320">
        <v>139777.0</v>
      </c>
      <c r="D465" s="5">
        <v>2335191.0</v>
      </c>
      <c r="E465" s="325">
        <v>16.706546856779013</v>
      </c>
      <c r="F465" s="5">
        <v>1126.2052033431098</v>
      </c>
      <c r="G465" s="5">
        <v>9.0</v>
      </c>
      <c r="H465" s="326">
        <v>18815.0</v>
      </c>
      <c r="I465" s="5" t="s">
        <v>842</v>
      </c>
      <c r="J465" s="320" t="s">
        <v>722</v>
      </c>
      <c r="K465" s="5">
        <v>47127.0</v>
      </c>
      <c r="L465" s="320">
        <v>3101.9500000000003</v>
      </c>
      <c r="W465" s="320"/>
    </row>
    <row r="466">
      <c r="A466" s="5" t="s">
        <v>161</v>
      </c>
      <c r="B466" s="324">
        <v>44805.0</v>
      </c>
      <c r="C466" s="5">
        <v>4245.0</v>
      </c>
      <c r="D466" s="5">
        <v>34500.5</v>
      </c>
      <c r="E466" s="325">
        <v>8.127326266195524</v>
      </c>
      <c r="F466" s="5">
        <v>-50.07796988449443</v>
      </c>
      <c r="G466" s="5">
        <v>1.0</v>
      </c>
      <c r="H466" s="326">
        <v>-407.0</v>
      </c>
      <c r="I466" s="5" t="s">
        <v>720</v>
      </c>
      <c r="J466" s="320" t="s">
        <v>722</v>
      </c>
      <c r="K466" s="5">
        <v>2114.333333333333</v>
      </c>
      <c r="L466" s="320">
        <v>-122.1</v>
      </c>
      <c r="W466" s="320"/>
    </row>
    <row r="467">
      <c r="A467" s="5"/>
      <c r="B467" s="324">
        <v>44835.0</v>
      </c>
      <c r="C467" s="5">
        <v>3971.0</v>
      </c>
      <c r="D467" s="5">
        <v>32345.0</v>
      </c>
      <c r="E467" s="325">
        <v>8.145303450012591</v>
      </c>
      <c r="F467" s="5">
        <v>120.19196166331737</v>
      </c>
      <c r="G467" s="5">
        <v>1.0</v>
      </c>
      <c r="H467" s="326">
        <v>979.0</v>
      </c>
      <c r="I467" s="5" t="s">
        <v>720</v>
      </c>
      <c r="J467" s="320" t="s">
        <v>722</v>
      </c>
      <c r="K467" s="5">
        <v>1539.6666666666665</v>
      </c>
      <c r="L467" s="320">
        <v>293.7</v>
      </c>
      <c r="W467" s="320"/>
    </row>
    <row r="468">
      <c r="A468" s="5"/>
      <c r="B468" s="324">
        <v>44866.0</v>
      </c>
      <c r="C468" s="320">
        <v>4154.0</v>
      </c>
      <c r="D468" s="5">
        <v>41319.0</v>
      </c>
      <c r="E468" s="325">
        <v>9.946798266730863</v>
      </c>
      <c r="F468" s="5">
        <v>27.44601757060916</v>
      </c>
      <c r="G468" s="5">
        <v>1.0</v>
      </c>
      <c r="H468" s="326">
        <v>273.0</v>
      </c>
      <c r="I468" s="5" t="s">
        <v>720</v>
      </c>
      <c r="J468" s="320" t="s">
        <v>722</v>
      </c>
      <c r="K468" s="5">
        <v>1862.6666666666665</v>
      </c>
      <c r="L468" s="320">
        <v>81.9</v>
      </c>
      <c r="W468" s="320"/>
    </row>
    <row r="469">
      <c r="A469" s="5"/>
      <c r="B469" s="324">
        <v>44896.0</v>
      </c>
      <c r="C469" s="320">
        <v>2183.0</v>
      </c>
      <c r="D469" s="5">
        <v>21830.0</v>
      </c>
      <c r="E469" s="325">
        <v>10.0</v>
      </c>
      <c r="F469" s="5">
        <v>53.4</v>
      </c>
      <c r="G469" s="5">
        <v>1.0</v>
      </c>
      <c r="H469" s="326">
        <v>534.0</v>
      </c>
      <c r="I469" s="5" t="s">
        <v>720</v>
      </c>
      <c r="J469" s="320" t="s">
        <v>722</v>
      </c>
      <c r="K469" s="5">
        <v>727.6666666666666</v>
      </c>
      <c r="L469" s="320">
        <v>160.2</v>
      </c>
      <c r="W469" s="320"/>
    </row>
    <row r="470">
      <c r="A470" s="5"/>
      <c r="B470" s="324">
        <v>44927.0</v>
      </c>
      <c r="C470" s="320">
        <v>2060.0</v>
      </c>
      <c r="D470" s="5">
        <v>19150.5</v>
      </c>
      <c r="E470" s="325">
        <v>9.296359223300971</v>
      </c>
      <c r="F470" s="5">
        <v>-41.52163128900028</v>
      </c>
      <c r="G470" s="5">
        <v>1.0</v>
      </c>
      <c r="H470" s="326">
        <v>-386.0</v>
      </c>
      <c r="I470" s="5" t="s">
        <v>720</v>
      </c>
      <c r="J470" s="320" t="s">
        <v>722</v>
      </c>
      <c r="K470" s="5">
        <v>1124.0</v>
      </c>
      <c r="L470" s="320">
        <v>-88.78</v>
      </c>
      <c r="W470" s="320"/>
    </row>
    <row r="471">
      <c r="A471" s="5"/>
      <c r="B471" s="324">
        <v>44958.0</v>
      </c>
      <c r="C471" s="5">
        <v>6585.0</v>
      </c>
      <c r="D471" s="5">
        <v>54690.0</v>
      </c>
      <c r="E471" s="325">
        <v>8.305239179954443</v>
      </c>
      <c r="F471" s="5">
        <v>43.58694459681843</v>
      </c>
      <c r="G471" s="5">
        <v>1.0</v>
      </c>
      <c r="H471" s="326">
        <v>362.0</v>
      </c>
      <c r="I471" s="5" t="s">
        <v>720</v>
      </c>
      <c r="J471" s="320" t="s">
        <v>722</v>
      </c>
      <c r="K471" s="5">
        <v>2635.666666666667</v>
      </c>
      <c r="L471" s="320">
        <v>83.26</v>
      </c>
      <c r="W471" s="320"/>
    </row>
    <row r="472">
      <c r="A472" s="5"/>
      <c r="B472" s="324">
        <v>44986.0</v>
      </c>
      <c r="C472" s="5">
        <v>3707.0</v>
      </c>
      <c r="D472" s="5">
        <v>35698.0</v>
      </c>
      <c r="E472" s="325">
        <v>9.629889398435392</v>
      </c>
      <c r="F472" s="5">
        <v>215.68264328533814</v>
      </c>
      <c r="G472" s="5">
        <v>1.0</v>
      </c>
      <c r="H472" s="326">
        <v>2077.0</v>
      </c>
      <c r="I472" s="5" t="s">
        <v>720</v>
      </c>
      <c r="J472" s="320" t="s">
        <v>722</v>
      </c>
      <c r="K472" s="5">
        <v>2405.0</v>
      </c>
      <c r="L472" s="320">
        <v>477.71000000000004</v>
      </c>
      <c r="W472" s="320"/>
    </row>
    <row r="473">
      <c r="A473" s="5" t="s">
        <v>1136</v>
      </c>
      <c r="B473" s="322"/>
      <c r="C473" s="5">
        <v>26905.0</v>
      </c>
      <c r="D473" s="5">
        <v>239533.0</v>
      </c>
      <c r="E473" s="325">
        <v>8.902917673294926</v>
      </c>
      <c r="F473" s="5">
        <v>385.4916024096889</v>
      </c>
      <c r="G473" s="5">
        <v>7.0</v>
      </c>
      <c r="H473" s="326">
        <v>3432.0</v>
      </c>
      <c r="I473" s="5" t="s">
        <v>720</v>
      </c>
      <c r="J473" s="320" t="s">
        <v>722</v>
      </c>
      <c r="K473" s="5">
        <v>12408.999999999998</v>
      </c>
      <c r="L473" s="320">
        <v>885.8900000000001</v>
      </c>
      <c r="W473" s="320"/>
    </row>
    <row r="474">
      <c r="A474" s="5" t="s">
        <v>154</v>
      </c>
      <c r="B474" s="324">
        <v>44501.0</v>
      </c>
      <c r="C474" s="5">
        <v>2230.0</v>
      </c>
      <c r="D474" s="5">
        <v>47560.0</v>
      </c>
      <c r="E474" s="325">
        <v>21.327354260089685</v>
      </c>
      <c r="F474" s="5">
        <v>31.649495374264088</v>
      </c>
      <c r="G474" s="5">
        <v>1.0</v>
      </c>
      <c r="H474" s="326">
        <v>675.0</v>
      </c>
      <c r="I474" s="5" t="s">
        <v>795</v>
      </c>
      <c r="J474" s="320" t="s">
        <v>722</v>
      </c>
      <c r="K474" s="5">
        <v>754.6666666666666</v>
      </c>
      <c r="L474" s="320">
        <v>168.75</v>
      </c>
      <c r="W474" s="320"/>
    </row>
    <row r="475">
      <c r="A475" s="5"/>
      <c r="B475" s="324">
        <v>44531.0</v>
      </c>
      <c r="C475" s="5">
        <v>3086.0</v>
      </c>
      <c r="D475" s="5">
        <v>66740.0</v>
      </c>
      <c r="E475" s="325">
        <v>21.626701231367466</v>
      </c>
      <c r="F475" s="5">
        <v>29.593047647587653</v>
      </c>
      <c r="G475" s="5">
        <v>1.0</v>
      </c>
      <c r="H475" s="326">
        <v>640.0</v>
      </c>
      <c r="I475" s="5" t="s">
        <v>795</v>
      </c>
      <c r="J475" s="320" t="s">
        <v>722</v>
      </c>
      <c r="K475" s="5">
        <v>1028.6666666666667</v>
      </c>
      <c r="L475" s="320">
        <v>160.0</v>
      </c>
      <c r="W475" s="320"/>
    </row>
    <row r="476">
      <c r="A476" s="5"/>
      <c r="B476" s="324">
        <v>44562.0</v>
      </c>
      <c r="C476" s="5">
        <v>2349.0</v>
      </c>
      <c r="D476" s="5">
        <v>43640.0</v>
      </c>
      <c r="E476" s="325">
        <v>18.57811834823329</v>
      </c>
      <c r="F476" s="5">
        <v>19.969729605866178</v>
      </c>
      <c r="G476" s="5">
        <v>1.0</v>
      </c>
      <c r="H476" s="326">
        <v>371.0</v>
      </c>
      <c r="I476" s="5" t="s">
        <v>795</v>
      </c>
      <c r="J476" s="320" t="s">
        <v>722</v>
      </c>
      <c r="K476" s="5">
        <v>783.0000000000001</v>
      </c>
      <c r="L476" s="320">
        <v>92.75</v>
      </c>
      <c r="W476" s="320"/>
    </row>
    <row r="477">
      <c r="A477" s="5"/>
      <c r="B477" s="324">
        <v>44593.0</v>
      </c>
      <c r="C477" s="5">
        <v>5341.0</v>
      </c>
      <c r="D477" s="5">
        <v>133435.0</v>
      </c>
      <c r="E477" s="325">
        <v>24.983149222991948</v>
      </c>
      <c r="F477" s="5">
        <v>74.81042455127965</v>
      </c>
      <c r="G477" s="5">
        <v>1.0</v>
      </c>
      <c r="H477" s="326">
        <v>1869.0</v>
      </c>
      <c r="I477" s="5" t="s">
        <v>795</v>
      </c>
      <c r="J477" s="320" t="s">
        <v>722</v>
      </c>
      <c r="K477" s="5">
        <v>1780.3333333333333</v>
      </c>
      <c r="L477" s="320">
        <v>467.25</v>
      </c>
      <c r="W477" s="320"/>
    </row>
    <row r="478">
      <c r="A478" s="5"/>
      <c r="B478" s="324">
        <v>44621.0</v>
      </c>
      <c r="C478" s="5">
        <v>518.0</v>
      </c>
      <c r="D478" s="5">
        <v>12950.0</v>
      </c>
      <c r="E478" s="325">
        <v>25.0</v>
      </c>
      <c r="F478" s="5">
        <v>15.0</v>
      </c>
      <c r="G478" s="5">
        <v>1.0</v>
      </c>
      <c r="H478" s="326">
        <v>375.0</v>
      </c>
      <c r="I478" s="5" t="s">
        <v>795</v>
      </c>
      <c r="J478" s="320" t="s">
        <v>722</v>
      </c>
      <c r="K478" s="5">
        <v>172.66666666666666</v>
      </c>
      <c r="L478" s="320">
        <v>131.25</v>
      </c>
      <c r="W478" s="320"/>
    </row>
    <row r="479">
      <c r="A479" s="5"/>
      <c r="B479" s="324">
        <v>44652.0</v>
      </c>
      <c r="C479" s="5">
        <v>2435.0</v>
      </c>
      <c r="D479" s="5">
        <v>99820.0</v>
      </c>
      <c r="E479" s="325">
        <v>40.993839835728956</v>
      </c>
      <c r="F479" s="5">
        <v>-117.96894409937887</v>
      </c>
      <c r="G479" s="5">
        <v>1.0</v>
      </c>
      <c r="H479" s="326">
        <v>-4836.0</v>
      </c>
      <c r="I479" s="5" t="s">
        <v>795</v>
      </c>
      <c r="J479" s="320" t="s">
        <v>722</v>
      </c>
      <c r="K479" s="5">
        <v>2310.3333333333335</v>
      </c>
      <c r="L479" s="320">
        <v>-1290.4</v>
      </c>
      <c r="W479" s="320"/>
    </row>
    <row r="480">
      <c r="A480" s="5"/>
      <c r="B480" s="324">
        <v>44682.0</v>
      </c>
      <c r="C480" s="5">
        <v>5092.0</v>
      </c>
      <c r="D480" s="5">
        <v>203850.0</v>
      </c>
      <c r="E480" s="325">
        <v>40.03338570306363</v>
      </c>
      <c r="F480" s="5">
        <v>-104.41285258768703</v>
      </c>
      <c r="G480" s="5">
        <v>1.0</v>
      </c>
      <c r="H480" s="326">
        <v>-4180.0</v>
      </c>
      <c r="I480" s="5" t="s">
        <v>795</v>
      </c>
      <c r="J480" s="320" t="s">
        <v>722</v>
      </c>
      <c r="K480" s="5">
        <v>5024.666666666667</v>
      </c>
      <c r="L480" s="320">
        <v>-1203.6025</v>
      </c>
      <c r="W480" s="320"/>
    </row>
    <row r="481">
      <c r="A481" s="5"/>
      <c r="B481" s="324">
        <v>44713.0</v>
      </c>
      <c r="C481" s="5">
        <v>401.0</v>
      </c>
      <c r="D481" s="5">
        <v>20050.0</v>
      </c>
      <c r="E481" s="325">
        <v>50.0</v>
      </c>
      <c r="F481" s="5">
        <v>-12.0</v>
      </c>
      <c r="G481" s="5">
        <v>1.0</v>
      </c>
      <c r="H481" s="326">
        <v>-600.0</v>
      </c>
      <c r="I481" s="5" t="s">
        <v>795</v>
      </c>
      <c r="J481" s="320" t="s">
        <v>722</v>
      </c>
      <c r="K481" s="5">
        <v>401.0</v>
      </c>
      <c r="L481" s="320">
        <v>-155.64374999999995</v>
      </c>
      <c r="W481" s="320"/>
    </row>
    <row r="482">
      <c r="A482" s="5"/>
      <c r="B482" s="324">
        <v>44743.0</v>
      </c>
      <c r="C482" s="5">
        <v>7436.0</v>
      </c>
      <c r="D482" s="5">
        <v>266752.0</v>
      </c>
      <c r="E482" s="325">
        <v>35.87305002689618</v>
      </c>
      <c r="F482" s="5">
        <v>185.9055752159309</v>
      </c>
      <c r="G482" s="5">
        <v>1.0</v>
      </c>
      <c r="H482" s="326">
        <v>6669.0</v>
      </c>
      <c r="I482" s="5" t="s">
        <v>795</v>
      </c>
      <c r="J482" s="320" t="s">
        <v>722</v>
      </c>
      <c r="K482" s="5">
        <v>2479.3333333333335</v>
      </c>
      <c r="L482" s="320">
        <v>1667.25</v>
      </c>
      <c r="W482" s="320"/>
    </row>
    <row r="483">
      <c r="A483" s="5"/>
      <c r="B483" s="324">
        <v>44774.0</v>
      </c>
      <c r="C483" s="5">
        <v>5845.0</v>
      </c>
      <c r="D483" s="5">
        <v>302501.25</v>
      </c>
      <c r="E483" s="325">
        <v>51.7538494439692</v>
      </c>
      <c r="F483" s="5">
        <v>177.70658798930583</v>
      </c>
      <c r="G483" s="5">
        <v>1.0</v>
      </c>
      <c r="H483" s="326">
        <v>9197.0</v>
      </c>
      <c r="I483" s="5" t="s">
        <v>795</v>
      </c>
      <c r="J483" s="320" t="s">
        <v>722</v>
      </c>
      <c r="K483" s="5">
        <v>1948.3333333333335</v>
      </c>
      <c r="L483" s="320">
        <v>2299.25</v>
      </c>
      <c r="W483" s="320"/>
    </row>
    <row r="484">
      <c r="A484" s="5"/>
      <c r="B484" s="324">
        <v>44805.0</v>
      </c>
      <c r="C484" s="5">
        <v>6151.0</v>
      </c>
      <c r="D484" s="5">
        <v>291054.5</v>
      </c>
      <c r="E484" s="325">
        <v>47.3182409364331</v>
      </c>
      <c r="F484" s="5">
        <v>41.590726135483216</v>
      </c>
      <c r="G484" s="5">
        <v>1.0</v>
      </c>
      <c r="H484" s="326">
        <v>1968.0</v>
      </c>
      <c r="I484" s="5" t="s">
        <v>795</v>
      </c>
      <c r="J484" s="320" t="s">
        <v>722</v>
      </c>
      <c r="K484" s="5">
        <v>2051.0</v>
      </c>
      <c r="L484" s="320">
        <v>688.7999999999998</v>
      </c>
      <c r="W484" s="320"/>
    </row>
    <row r="485">
      <c r="A485" s="5"/>
      <c r="B485" s="324">
        <v>44835.0</v>
      </c>
      <c r="C485" s="5">
        <v>5975.0</v>
      </c>
      <c r="D485" s="5">
        <v>294075.0</v>
      </c>
      <c r="E485" s="325">
        <v>49.21757322175732</v>
      </c>
      <c r="F485" s="5">
        <v>-7.375414435093089</v>
      </c>
      <c r="G485" s="5">
        <v>1.0</v>
      </c>
      <c r="H485" s="326">
        <v>-363.0</v>
      </c>
      <c r="I485" s="5" t="s">
        <v>795</v>
      </c>
      <c r="J485" s="320" t="s">
        <v>722</v>
      </c>
      <c r="K485" s="5">
        <v>1993.0</v>
      </c>
      <c r="L485" s="320">
        <v>-61.70999999999998</v>
      </c>
      <c r="W485" s="320"/>
    </row>
    <row r="486">
      <c r="A486" s="5"/>
      <c r="B486" s="324">
        <v>44866.0</v>
      </c>
      <c r="C486" s="5">
        <v>11677.0</v>
      </c>
      <c r="D486" s="5">
        <v>563805.0</v>
      </c>
      <c r="E486" s="325">
        <v>48.28337757985784</v>
      </c>
      <c r="F486" s="5">
        <v>86.01303819583012</v>
      </c>
      <c r="G486" s="5">
        <v>1.0</v>
      </c>
      <c r="H486" s="326">
        <v>4153.0</v>
      </c>
      <c r="I486" s="5" t="s">
        <v>795</v>
      </c>
      <c r="J486" s="320" t="s">
        <v>722</v>
      </c>
      <c r="K486" s="5">
        <v>3892.333333333333</v>
      </c>
      <c r="L486" s="320">
        <v>706.01</v>
      </c>
      <c r="W486" s="320"/>
    </row>
    <row r="487">
      <c r="A487" s="5"/>
      <c r="B487" s="324">
        <v>44896.0</v>
      </c>
      <c r="C487" s="5">
        <v>5492.0</v>
      </c>
      <c r="D487" s="5">
        <v>263160.0</v>
      </c>
      <c r="E487" s="325">
        <v>47.9169701383831</v>
      </c>
      <c r="F487" s="5">
        <v>-85.10554795561636</v>
      </c>
      <c r="G487" s="5">
        <v>1.0</v>
      </c>
      <c r="H487" s="326">
        <v>-4078.0</v>
      </c>
      <c r="I487" s="5" t="s">
        <v>795</v>
      </c>
      <c r="J487" s="320" t="s">
        <v>722</v>
      </c>
      <c r="K487" s="5">
        <v>1834.6666666666667</v>
      </c>
      <c r="L487" s="320">
        <v>-1019.5</v>
      </c>
      <c r="W487" s="320"/>
    </row>
    <row r="488">
      <c r="A488" s="5"/>
      <c r="B488" s="324">
        <v>44927.0</v>
      </c>
      <c r="C488" s="5">
        <v>6246.0</v>
      </c>
      <c r="D488" s="5">
        <v>277525.0</v>
      </c>
      <c r="E488" s="325">
        <v>44.4324367595261</v>
      </c>
      <c r="F488" s="5">
        <v>169.8308837041708</v>
      </c>
      <c r="G488" s="5">
        <v>1.0</v>
      </c>
      <c r="H488" s="326">
        <v>7546.0</v>
      </c>
      <c r="I488" s="5" t="s">
        <v>795</v>
      </c>
      <c r="J488" s="320" t="s">
        <v>722</v>
      </c>
      <c r="K488" s="5">
        <v>2083.666666666667</v>
      </c>
      <c r="L488" s="320">
        <v>1868.5</v>
      </c>
      <c r="W488" s="320"/>
    </row>
    <row r="489">
      <c r="A489" s="5"/>
      <c r="B489" s="324">
        <v>44958.0</v>
      </c>
      <c r="C489" s="5">
        <v>403.0</v>
      </c>
      <c r="D489" s="5">
        <v>10075.0</v>
      </c>
      <c r="E489" s="325">
        <v>25.0</v>
      </c>
      <c r="F489" s="5">
        <v>-5.82</v>
      </c>
      <c r="G489" s="5">
        <v>1.0</v>
      </c>
      <c r="H489" s="326">
        <v>-145.5</v>
      </c>
      <c r="I489" s="5" t="s">
        <v>795</v>
      </c>
      <c r="J489" s="320" t="s">
        <v>722</v>
      </c>
      <c r="K489" s="5">
        <v>201.5</v>
      </c>
      <c r="L489" s="320">
        <v>-54.0670725</v>
      </c>
      <c r="W489" s="320"/>
    </row>
    <row r="490">
      <c r="A490" s="5" t="s">
        <v>1103</v>
      </c>
      <c r="B490" s="322"/>
      <c r="C490" s="5">
        <v>70677.0</v>
      </c>
      <c r="D490" s="5">
        <v>2896992.75</v>
      </c>
      <c r="E490" s="325">
        <v>40.98918672269621</v>
      </c>
      <c r="F490" s="5">
        <v>469.8922213388349</v>
      </c>
      <c r="G490" s="5">
        <v>16.0</v>
      </c>
      <c r="H490" s="326">
        <v>19260.5</v>
      </c>
      <c r="I490" s="5" t="s">
        <v>795</v>
      </c>
      <c r="J490" s="320" t="s">
        <v>722</v>
      </c>
      <c r="K490" s="5">
        <v>28739.166666666675</v>
      </c>
      <c r="L490" s="320">
        <v>4464.886677499999</v>
      </c>
      <c r="W490" s="320"/>
    </row>
    <row r="491">
      <c r="A491" s="5" t="s">
        <v>638</v>
      </c>
      <c r="B491" s="324">
        <v>44774.0</v>
      </c>
      <c r="C491" s="320">
        <v>13488.0</v>
      </c>
      <c r="D491" s="5">
        <v>674400.0</v>
      </c>
      <c r="E491" s="325">
        <v>50.0</v>
      </c>
      <c r="F491" s="5">
        <v>-4.88</v>
      </c>
      <c r="G491" s="5">
        <v>1.0</v>
      </c>
      <c r="H491" s="326">
        <v>-244.0</v>
      </c>
      <c r="I491" s="5" t="s">
        <v>849</v>
      </c>
      <c r="J491" s="320" t="s">
        <v>722</v>
      </c>
      <c r="K491" s="5">
        <v>4496.0</v>
      </c>
      <c r="L491" s="320">
        <v>-73.2</v>
      </c>
      <c r="W491" s="320"/>
    </row>
    <row r="492">
      <c r="A492" s="5"/>
      <c r="B492" s="324">
        <v>44805.0</v>
      </c>
      <c r="C492" s="320">
        <v>2532.0</v>
      </c>
      <c r="D492" s="5">
        <v>126600.0</v>
      </c>
      <c r="E492" s="325">
        <v>50.0</v>
      </c>
      <c r="F492" s="5">
        <v>-75.24</v>
      </c>
      <c r="G492" s="5">
        <v>1.0</v>
      </c>
      <c r="H492" s="326">
        <v>-3762.0</v>
      </c>
      <c r="I492" s="5" t="s">
        <v>849</v>
      </c>
      <c r="J492" s="320" t="s">
        <v>722</v>
      </c>
      <c r="K492" s="5">
        <v>844.0</v>
      </c>
      <c r="L492" s="320">
        <v>-1128.6</v>
      </c>
      <c r="W492" s="320"/>
    </row>
    <row r="493">
      <c r="A493" s="5"/>
      <c r="B493" s="324">
        <v>44835.0</v>
      </c>
      <c r="C493" s="320">
        <v>9428.0</v>
      </c>
      <c r="D493" s="5">
        <v>188560.0</v>
      </c>
      <c r="E493" s="325">
        <v>20.0</v>
      </c>
      <c r="F493" s="5">
        <v>549.9</v>
      </c>
      <c r="G493" s="5">
        <v>1.0</v>
      </c>
      <c r="H493" s="326">
        <v>10998.0</v>
      </c>
      <c r="I493" s="5" t="s">
        <v>849</v>
      </c>
      <c r="J493" s="320" t="s">
        <v>722</v>
      </c>
      <c r="K493" s="5">
        <v>9428.0</v>
      </c>
      <c r="L493" s="320">
        <v>3299.3999999999996</v>
      </c>
      <c r="W493" s="320"/>
    </row>
    <row r="494">
      <c r="A494" s="5"/>
      <c r="B494" s="324">
        <v>44866.0</v>
      </c>
      <c r="C494" s="320">
        <v>12388.0</v>
      </c>
      <c r="D494" s="5">
        <v>247760.0</v>
      </c>
      <c r="E494" s="325">
        <v>20.0</v>
      </c>
      <c r="F494" s="5">
        <v>672.0</v>
      </c>
      <c r="G494" s="5">
        <v>1.0</v>
      </c>
      <c r="H494" s="326">
        <v>13440.0</v>
      </c>
      <c r="I494" s="5" t="s">
        <v>849</v>
      </c>
      <c r="J494" s="320" t="s">
        <v>722</v>
      </c>
      <c r="K494" s="5">
        <v>12388.0</v>
      </c>
      <c r="L494" s="320">
        <v>1612.8</v>
      </c>
      <c r="W494" s="320"/>
    </row>
    <row r="495">
      <c r="A495" s="5"/>
      <c r="B495" s="324">
        <v>44896.0</v>
      </c>
      <c r="C495" s="320">
        <v>13466.0</v>
      </c>
      <c r="D495" s="5">
        <v>269320.0</v>
      </c>
      <c r="E495" s="325">
        <v>20.0</v>
      </c>
      <c r="F495" s="5">
        <v>713.7</v>
      </c>
      <c r="G495" s="5">
        <v>1.0</v>
      </c>
      <c r="H495" s="326">
        <v>14274.0</v>
      </c>
      <c r="I495" s="5" t="s">
        <v>849</v>
      </c>
      <c r="J495" s="320" t="s">
        <v>722</v>
      </c>
      <c r="K495" s="5">
        <v>13466.0</v>
      </c>
      <c r="L495" s="320">
        <v>1712.8799999999999</v>
      </c>
      <c r="W495" s="320"/>
    </row>
    <row r="496">
      <c r="A496" s="5"/>
      <c r="B496" s="324">
        <v>44958.0</v>
      </c>
      <c r="C496" s="5">
        <v>6659.0</v>
      </c>
      <c r="D496" s="5">
        <v>161775.0</v>
      </c>
      <c r="E496" s="325">
        <v>24.29418831656405</v>
      </c>
      <c r="F496" s="5">
        <v>328.1443239066605</v>
      </c>
      <c r="G496" s="5">
        <v>1.0</v>
      </c>
      <c r="H496" s="326">
        <v>7972.0</v>
      </c>
      <c r="I496" s="5" t="s">
        <v>849</v>
      </c>
      <c r="J496" s="320" t="s">
        <v>722</v>
      </c>
      <c r="K496" s="5">
        <v>6496.333333333333</v>
      </c>
      <c r="L496" s="320">
        <v>956.64</v>
      </c>
      <c r="W496" s="320"/>
    </row>
    <row r="497">
      <c r="A497" s="5" t="s">
        <v>1104</v>
      </c>
      <c r="B497" s="322"/>
      <c r="C497" s="320">
        <v>57961.0</v>
      </c>
      <c r="D497" s="5">
        <v>1668415.0</v>
      </c>
      <c r="E497" s="325">
        <v>28.785131381446146</v>
      </c>
      <c r="F497" s="5">
        <v>1482.640444973223</v>
      </c>
      <c r="G497" s="5">
        <v>6.0</v>
      </c>
      <c r="H497" s="326">
        <v>42678.0</v>
      </c>
      <c r="I497" s="5" t="s">
        <v>849</v>
      </c>
      <c r="J497" s="320" t="s">
        <v>722</v>
      </c>
      <c r="K497" s="5">
        <v>47118.333333333336</v>
      </c>
      <c r="L497" s="320">
        <v>6379.919999999999</v>
      </c>
      <c r="W497" s="320"/>
    </row>
    <row r="498">
      <c r="A498" s="5" t="s">
        <v>652</v>
      </c>
      <c r="B498" s="324">
        <v>44896.0</v>
      </c>
      <c r="C498" s="5">
        <v>8000.0</v>
      </c>
      <c r="D498" s="5">
        <v>80000.0</v>
      </c>
      <c r="E498" s="325">
        <v>10.0</v>
      </c>
      <c r="F498" s="5">
        <v>441.4</v>
      </c>
      <c r="G498" s="5">
        <v>1.0</v>
      </c>
      <c r="H498" s="326">
        <v>4414.0</v>
      </c>
      <c r="I498" s="5" t="s">
        <v>720</v>
      </c>
      <c r="J498" s="320" t="s">
        <v>722</v>
      </c>
      <c r="K498" s="5">
        <v>4000.0</v>
      </c>
      <c r="L498" s="320">
        <v>750.3800000000001</v>
      </c>
      <c r="W498" s="320"/>
    </row>
    <row r="499">
      <c r="A499" s="5"/>
      <c r="B499" s="324">
        <v>44927.0</v>
      </c>
      <c r="C499" s="5">
        <v>12000.0</v>
      </c>
      <c r="D499" s="5">
        <v>120000.0</v>
      </c>
      <c r="E499" s="325">
        <v>10.0</v>
      </c>
      <c r="F499" s="5">
        <v>539.2</v>
      </c>
      <c r="G499" s="5">
        <v>1.0</v>
      </c>
      <c r="H499" s="326">
        <v>5392.0</v>
      </c>
      <c r="I499" s="5" t="s">
        <v>720</v>
      </c>
      <c r="J499" s="320" t="s">
        <v>722</v>
      </c>
      <c r="K499" s="5">
        <v>6000.0</v>
      </c>
      <c r="L499" s="320">
        <v>916.6400000000001</v>
      </c>
      <c r="W499" s="320"/>
    </row>
    <row r="500">
      <c r="A500" s="5"/>
      <c r="B500" s="324">
        <v>44958.0</v>
      </c>
      <c r="C500" s="5">
        <v>6315.0</v>
      </c>
      <c r="D500" s="5">
        <v>125625.0</v>
      </c>
      <c r="E500" s="325">
        <v>19.89311163895487</v>
      </c>
      <c r="F500" s="5">
        <v>112.75259701492537</v>
      </c>
      <c r="G500" s="5">
        <v>1.0</v>
      </c>
      <c r="H500" s="326">
        <v>2243.0</v>
      </c>
      <c r="I500" s="5" t="s">
        <v>720</v>
      </c>
      <c r="J500" s="320" t="s">
        <v>722</v>
      </c>
      <c r="K500" s="5">
        <v>3157.5</v>
      </c>
      <c r="L500" s="320">
        <v>381.31000000000006</v>
      </c>
      <c r="W500" s="320"/>
    </row>
    <row r="501">
      <c r="A501" s="5" t="s">
        <v>1137</v>
      </c>
      <c r="B501" s="322"/>
      <c r="C501" s="5">
        <v>26315.0</v>
      </c>
      <c r="D501" s="5">
        <v>325625.0</v>
      </c>
      <c r="E501" s="325">
        <v>12.37412122363671</v>
      </c>
      <c r="F501" s="5">
        <v>973.7257120921305</v>
      </c>
      <c r="G501" s="5">
        <v>3.0</v>
      </c>
      <c r="H501" s="326">
        <v>12049.0</v>
      </c>
      <c r="I501" s="5" t="s">
        <v>720</v>
      </c>
      <c r="J501" s="320" t="s">
        <v>722</v>
      </c>
      <c r="K501" s="5">
        <v>13157.5</v>
      </c>
      <c r="L501" s="320">
        <v>2048.3300000000004</v>
      </c>
      <c r="W501" s="320"/>
    </row>
    <row r="502">
      <c r="A502" s="5" t="s">
        <v>227</v>
      </c>
      <c r="B502" s="324">
        <v>44805.0</v>
      </c>
      <c r="C502" s="5">
        <v>3595.0</v>
      </c>
      <c r="D502" s="5">
        <v>89875.0</v>
      </c>
      <c r="E502" s="325">
        <v>25.0</v>
      </c>
      <c r="F502" s="5">
        <v>205.72</v>
      </c>
      <c r="G502" s="5">
        <v>1.0</v>
      </c>
      <c r="H502" s="326">
        <v>5143.0</v>
      </c>
      <c r="I502" s="5" t="s">
        <v>720</v>
      </c>
      <c r="J502" s="320" t="s">
        <v>808</v>
      </c>
      <c r="K502" s="5">
        <v>3595.0</v>
      </c>
      <c r="L502" s="320">
        <v>874.3100000000001</v>
      </c>
      <c r="W502" s="320"/>
    </row>
    <row r="503">
      <c r="A503" s="5"/>
      <c r="B503" s="324">
        <v>44835.0</v>
      </c>
      <c r="C503" s="5">
        <v>2816.0</v>
      </c>
      <c r="D503" s="5">
        <v>89300.0</v>
      </c>
      <c r="E503" s="325">
        <v>31.711647727272727</v>
      </c>
      <c r="F503" s="5">
        <v>52.53590145576708</v>
      </c>
      <c r="G503" s="5">
        <v>1.0</v>
      </c>
      <c r="H503" s="326">
        <v>1666.0</v>
      </c>
      <c r="I503" s="5" t="s">
        <v>720</v>
      </c>
      <c r="J503" s="320" t="s">
        <v>808</v>
      </c>
      <c r="K503" s="5">
        <v>2816.0</v>
      </c>
      <c r="L503" s="320">
        <v>377.59999999999997</v>
      </c>
      <c r="W503" s="320"/>
    </row>
    <row r="504">
      <c r="A504" s="5"/>
      <c r="B504" s="324">
        <v>44866.0</v>
      </c>
      <c r="C504" s="5">
        <v>3627.0</v>
      </c>
      <c r="D504" s="5">
        <v>90875.0</v>
      </c>
      <c r="E504" s="325">
        <v>25.055141990625863</v>
      </c>
      <c r="F504" s="5">
        <v>11.21526272352132</v>
      </c>
      <c r="G504" s="5">
        <v>1.0</v>
      </c>
      <c r="H504" s="326">
        <v>281.0</v>
      </c>
      <c r="I504" s="5" t="s">
        <v>720</v>
      </c>
      <c r="J504" s="320" t="s">
        <v>808</v>
      </c>
      <c r="K504" s="5">
        <v>3627.0</v>
      </c>
      <c r="L504" s="320">
        <v>84.3</v>
      </c>
      <c r="W504" s="320"/>
    </row>
    <row r="505">
      <c r="A505" s="5"/>
      <c r="B505" s="324">
        <v>44896.0</v>
      </c>
      <c r="C505" s="5">
        <v>3150.0</v>
      </c>
      <c r="D505" s="5">
        <v>79050.0</v>
      </c>
      <c r="E505" s="325">
        <v>25.095238095238095</v>
      </c>
      <c r="F505" s="5">
        <v>79.93548387096774</v>
      </c>
      <c r="G505" s="5">
        <v>1.0</v>
      </c>
      <c r="H505" s="326">
        <v>2006.0</v>
      </c>
      <c r="I505" s="5" t="s">
        <v>720</v>
      </c>
      <c r="J505" s="320" t="s">
        <v>808</v>
      </c>
      <c r="K505" s="5">
        <v>3150.0</v>
      </c>
      <c r="L505" s="320">
        <v>541.6200000000001</v>
      </c>
      <c r="W505" s="320"/>
    </row>
    <row r="506">
      <c r="A506" s="5"/>
      <c r="B506" s="324">
        <v>44927.0</v>
      </c>
      <c r="C506" s="5">
        <v>4093.0</v>
      </c>
      <c r="D506" s="5">
        <v>102525.0</v>
      </c>
      <c r="E506" s="325">
        <v>25.04886391399951</v>
      </c>
      <c r="F506" s="5">
        <v>225.83858571080225</v>
      </c>
      <c r="G506" s="5">
        <v>1.0</v>
      </c>
      <c r="H506" s="326">
        <v>5657.0</v>
      </c>
      <c r="I506" s="5" t="s">
        <v>720</v>
      </c>
      <c r="J506" s="320" t="s">
        <v>808</v>
      </c>
      <c r="K506" s="5">
        <v>4093.0</v>
      </c>
      <c r="L506" s="320">
        <v>1527.39</v>
      </c>
      <c r="W506" s="320"/>
    </row>
    <row r="507">
      <c r="A507" s="5"/>
      <c r="B507" s="324">
        <v>44958.0</v>
      </c>
      <c r="C507" s="5">
        <v>3326.0</v>
      </c>
      <c r="D507" s="5">
        <v>83350.0</v>
      </c>
      <c r="E507" s="325">
        <v>25.06013229104029</v>
      </c>
      <c r="F507" s="5">
        <v>101.79515296940612</v>
      </c>
      <c r="G507" s="5">
        <v>1.0</v>
      </c>
      <c r="H507" s="326">
        <v>2551.0</v>
      </c>
      <c r="I507" s="5" t="s">
        <v>720</v>
      </c>
      <c r="J507" s="320" t="s">
        <v>808</v>
      </c>
      <c r="K507" s="5">
        <v>3326.0</v>
      </c>
      <c r="L507" s="320">
        <v>688.77</v>
      </c>
      <c r="W507" s="320"/>
    </row>
    <row r="508">
      <c r="A508" s="5" t="s">
        <v>1138</v>
      </c>
      <c r="B508" s="322"/>
      <c r="C508" s="5">
        <v>20607.0</v>
      </c>
      <c r="D508" s="5">
        <v>534975.0</v>
      </c>
      <c r="E508" s="325">
        <v>25.960838550007278</v>
      </c>
      <c r="F508" s="5">
        <v>666.5424141315015</v>
      </c>
      <c r="G508" s="5">
        <v>6.0</v>
      </c>
      <c r="H508" s="326">
        <v>17304.0</v>
      </c>
      <c r="I508" s="5" t="s">
        <v>720</v>
      </c>
      <c r="J508" s="320" t="s">
        <v>808</v>
      </c>
      <c r="K508" s="5">
        <v>20607.0</v>
      </c>
      <c r="L508" s="320">
        <v>4093.9900000000002</v>
      </c>
      <c r="W508" s="320"/>
    </row>
    <row r="509">
      <c r="A509" s="5" t="s">
        <v>215</v>
      </c>
      <c r="B509" s="324">
        <v>44866.0</v>
      </c>
      <c r="C509" s="5">
        <v>3829.0</v>
      </c>
      <c r="D509" s="5">
        <v>38225.0</v>
      </c>
      <c r="E509" s="325">
        <v>9.983024288325934</v>
      </c>
      <c r="F509" s="5">
        <v>-80.83722694571615</v>
      </c>
      <c r="G509" s="5">
        <v>1.0</v>
      </c>
      <c r="H509" s="326">
        <v>-807.0</v>
      </c>
      <c r="I509" s="5" t="s">
        <v>720</v>
      </c>
      <c r="J509" s="320" t="s">
        <v>722</v>
      </c>
      <c r="K509" s="5">
        <v>3827.6666666666665</v>
      </c>
      <c r="L509" s="320">
        <v>-242.1</v>
      </c>
      <c r="W509" s="320"/>
    </row>
    <row r="510">
      <c r="A510" s="5"/>
      <c r="B510" s="324">
        <v>44896.0</v>
      </c>
      <c r="C510" s="5">
        <v>1889.0</v>
      </c>
      <c r="D510" s="5">
        <v>18930.0</v>
      </c>
      <c r="E510" s="325">
        <v>10.021175224986765</v>
      </c>
      <c r="F510" s="5">
        <v>108.76967776016905</v>
      </c>
      <c r="G510" s="5">
        <v>1.0</v>
      </c>
      <c r="H510" s="326">
        <v>1090.0</v>
      </c>
      <c r="I510" s="5" t="s">
        <v>720</v>
      </c>
      <c r="J510" s="320" t="s">
        <v>722</v>
      </c>
      <c r="K510" s="5">
        <v>1889.0</v>
      </c>
      <c r="L510" s="320">
        <v>327.0</v>
      </c>
      <c r="W510" s="320"/>
    </row>
    <row r="511">
      <c r="A511" s="5"/>
      <c r="B511" s="324">
        <v>44927.0</v>
      </c>
      <c r="C511" s="5">
        <v>2167.0</v>
      </c>
      <c r="D511" s="5">
        <v>21850.0</v>
      </c>
      <c r="E511" s="325">
        <v>10.08306414397785</v>
      </c>
      <c r="F511" s="5">
        <v>48.59633867276887</v>
      </c>
      <c r="G511" s="5">
        <v>1.0</v>
      </c>
      <c r="H511" s="326">
        <v>490.0</v>
      </c>
      <c r="I511" s="5" t="s">
        <v>720</v>
      </c>
      <c r="J511" s="320" t="s">
        <v>722</v>
      </c>
      <c r="K511" s="5">
        <v>2165.0</v>
      </c>
      <c r="L511" s="320">
        <v>147.00000000000003</v>
      </c>
      <c r="W511" s="320"/>
    </row>
    <row r="512">
      <c r="A512" s="5"/>
      <c r="B512" s="324">
        <v>44958.0</v>
      </c>
      <c r="C512" s="5">
        <v>1730.0</v>
      </c>
      <c r="D512" s="5">
        <v>42710.0</v>
      </c>
      <c r="E512" s="325">
        <v>24.6878612716763</v>
      </c>
      <c r="F512" s="5">
        <v>39.89815031608523</v>
      </c>
      <c r="G512" s="5">
        <v>1.0</v>
      </c>
      <c r="H512" s="326">
        <v>985.0</v>
      </c>
      <c r="I512" s="5" t="s">
        <v>720</v>
      </c>
      <c r="J512" s="320" t="s">
        <v>722</v>
      </c>
      <c r="K512" s="5">
        <v>1730.0</v>
      </c>
      <c r="L512" s="320">
        <v>295.5</v>
      </c>
      <c r="W512" s="320"/>
    </row>
    <row r="513">
      <c r="A513" s="5" t="s">
        <v>1139</v>
      </c>
      <c r="B513" s="322"/>
      <c r="C513" s="5">
        <v>9615.0</v>
      </c>
      <c r="D513" s="5">
        <v>121715.0</v>
      </c>
      <c r="E513" s="325">
        <v>12.658866354654187</v>
      </c>
      <c r="F513" s="5">
        <v>138.8749948650536</v>
      </c>
      <c r="G513" s="5">
        <v>4.0</v>
      </c>
      <c r="H513" s="326">
        <v>1758.0</v>
      </c>
      <c r="I513" s="5" t="s">
        <v>720</v>
      </c>
      <c r="J513" s="320" t="s">
        <v>722</v>
      </c>
      <c r="K513" s="5">
        <v>9611.666666666666</v>
      </c>
      <c r="L513" s="320">
        <v>527.4</v>
      </c>
      <c r="W513" s="320"/>
    </row>
    <row r="514">
      <c r="A514" s="5" t="s">
        <v>290</v>
      </c>
      <c r="B514" s="324">
        <v>44958.0</v>
      </c>
      <c r="C514" s="5">
        <v>2140.0</v>
      </c>
      <c r="D514" s="5">
        <v>21400.0</v>
      </c>
      <c r="E514" s="325">
        <v>10.0</v>
      </c>
      <c r="F514" s="5">
        <v>75.7</v>
      </c>
      <c r="G514" s="5">
        <v>1.0</v>
      </c>
      <c r="H514" s="326">
        <v>757.0</v>
      </c>
      <c r="I514" s="5" t="s">
        <v>720</v>
      </c>
      <c r="J514" s="320" t="s">
        <v>722</v>
      </c>
      <c r="K514" s="5">
        <v>2140.0</v>
      </c>
      <c r="L514" s="320">
        <v>174.11</v>
      </c>
      <c r="W514" s="320"/>
    </row>
    <row r="515">
      <c r="A515" s="5" t="s">
        <v>1140</v>
      </c>
      <c r="B515" s="322"/>
      <c r="C515" s="5">
        <v>2140.0</v>
      </c>
      <c r="D515" s="5">
        <v>21400.0</v>
      </c>
      <c r="E515" s="325">
        <v>10.0</v>
      </c>
      <c r="F515" s="5">
        <v>75.7</v>
      </c>
      <c r="G515" s="5">
        <v>1.0</v>
      </c>
      <c r="H515" s="326">
        <v>757.0</v>
      </c>
      <c r="I515" s="5" t="s">
        <v>720</v>
      </c>
      <c r="J515" s="320" t="s">
        <v>722</v>
      </c>
      <c r="K515" s="5">
        <v>2140.0</v>
      </c>
      <c r="L515" s="320">
        <v>174.11</v>
      </c>
      <c r="W515" s="320"/>
    </row>
    <row r="516">
      <c r="A516" s="5" t="s">
        <v>174</v>
      </c>
      <c r="B516" s="324">
        <v>44743.0</v>
      </c>
      <c r="C516" s="5">
        <v>2456.0</v>
      </c>
      <c r="D516" s="5">
        <v>8434.0</v>
      </c>
      <c r="E516" s="325">
        <v>3.4340390879478826</v>
      </c>
      <c r="F516" s="5">
        <v>-35.52667773298553</v>
      </c>
      <c r="G516" s="5">
        <v>1.0</v>
      </c>
      <c r="H516" s="326">
        <v>-122.0</v>
      </c>
      <c r="I516" s="5" t="s">
        <v>720</v>
      </c>
      <c r="J516" s="320" t="s">
        <v>722</v>
      </c>
      <c r="K516" s="5">
        <v>2456.0</v>
      </c>
      <c r="L516" s="320">
        <v>-20.74</v>
      </c>
      <c r="W516" s="320"/>
    </row>
    <row r="517">
      <c r="A517" s="5"/>
      <c r="B517" s="324">
        <v>44774.0</v>
      </c>
      <c r="C517" s="5">
        <v>3148.0</v>
      </c>
      <c r="D517" s="5">
        <v>14904.0</v>
      </c>
      <c r="E517" s="325">
        <v>4.734434561626429</v>
      </c>
      <c r="F517" s="5">
        <v>310.9135802469136</v>
      </c>
      <c r="G517" s="5">
        <v>1.0</v>
      </c>
      <c r="H517" s="326">
        <v>1472.0</v>
      </c>
      <c r="I517" s="5" t="s">
        <v>720</v>
      </c>
      <c r="J517" s="320" t="s">
        <v>722</v>
      </c>
      <c r="K517" s="5">
        <v>3148.0</v>
      </c>
      <c r="L517" s="320">
        <v>250.24</v>
      </c>
      <c r="W517" s="320"/>
    </row>
    <row r="518">
      <c r="A518" s="5"/>
      <c r="B518" s="324">
        <v>44805.0</v>
      </c>
      <c r="C518" s="5">
        <v>2070.0</v>
      </c>
      <c r="D518" s="5">
        <v>8193.0</v>
      </c>
      <c r="E518" s="325">
        <v>3.957971014492754</v>
      </c>
      <c r="F518" s="5">
        <v>85.90259978030025</v>
      </c>
      <c r="G518" s="5">
        <v>1.0</v>
      </c>
      <c r="H518" s="326">
        <v>340.0</v>
      </c>
      <c r="I518" s="5" t="s">
        <v>720</v>
      </c>
      <c r="J518" s="320" t="s">
        <v>722</v>
      </c>
      <c r="K518" s="5">
        <v>2070.0</v>
      </c>
      <c r="L518" s="320">
        <v>57.800000000000004</v>
      </c>
      <c r="W518" s="320"/>
    </row>
    <row r="519">
      <c r="A519" s="5"/>
      <c r="B519" s="324">
        <v>44835.0</v>
      </c>
      <c r="C519" s="5">
        <v>2850.0</v>
      </c>
      <c r="D519" s="5">
        <v>7287.0</v>
      </c>
      <c r="E519" s="325">
        <v>2.556842105263158</v>
      </c>
      <c r="F519" s="5">
        <v>244.83326471799094</v>
      </c>
      <c r="G519" s="5">
        <v>1.0</v>
      </c>
      <c r="H519" s="326">
        <v>626.0</v>
      </c>
      <c r="I519" s="5" t="s">
        <v>720</v>
      </c>
      <c r="J519" s="320" t="s">
        <v>722</v>
      </c>
      <c r="K519" s="5">
        <v>1425.0</v>
      </c>
      <c r="L519" s="320">
        <v>106.42000000000002</v>
      </c>
      <c r="W519" s="320"/>
    </row>
    <row r="520">
      <c r="A520" s="5"/>
      <c r="B520" s="324">
        <v>44866.0</v>
      </c>
      <c r="C520" s="320">
        <v>1644.0</v>
      </c>
      <c r="D520" s="5">
        <v>3336.0</v>
      </c>
      <c r="E520" s="325">
        <v>2.0291970802919708</v>
      </c>
      <c r="F520" s="5">
        <v>42.381294964028775</v>
      </c>
      <c r="G520" s="5">
        <v>1.0</v>
      </c>
      <c r="H520" s="326">
        <v>86.0</v>
      </c>
      <c r="I520" s="5" t="s">
        <v>720</v>
      </c>
      <c r="J520" s="320" t="s">
        <v>722</v>
      </c>
      <c r="K520" s="5">
        <v>822.0</v>
      </c>
      <c r="L520" s="320">
        <v>14.620000000000001</v>
      </c>
      <c r="W520" s="320"/>
    </row>
    <row r="521">
      <c r="A521" s="5"/>
      <c r="B521" s="324">
        <v>44927.0</v>
      </c>
      <c r="C521" s="5">
        <v>0.0</v>
      </c>
      <c r="D521" s="5">
        <v>0.0</v>
      </c>
      <c r="E521" s="325" t="e">
        <v>#DIV/0!</v>
      </c>
      <c r="F521" s="5" t="e">
        <v>#DIV/0!</v>
      </c>
      <c r="G521" s="5">
        <v>1.0</v>
      </c>
      <c r="H521" s="326">
        <v>0.0</v>
      </c>
      <c r="I521" s="5" t="s">
        <v>720</v>
      </c>
      <c r="J521" s="320" t="s">
        <v>722</v>
      </c>
      <c r="K521" s="5">
        <v>0.0</v>
      </c>
      <c r="L521" s="320">
        <v>0.0</v>
      </c>
      <c r="W521" s="320"/>
    </row>
    <row r="522">
      <c r="A522" s="5" t="s">
        <v>1141</v>
      </c>
      <c r="B522" s="322"/>
      <c r="C522" s="5">
        <v>12168.0</v>
      </c>
      <c r="D522" s="5">
        <v>42154.0</v>
      </c>
      <c r="E522" s="325">
        <v>3.4643326758711375</v>
      </c>
      <c r="F522" s="5">
        <v>693.3514257247236</v>
      </c>
      <c r="G522" s="5">
        <v>6.0</v>
      </c>
      <c r="H522" s="326">
        <v>2402.0</v>
      </c>
      <c r="I522" s="5" t="s">
        <v>720</v>
      </c>
      <c r="J522" s="320" t="s">
        <v>722</v>
      </c>
      <c r="K522" s="5">
        <v>9921.0</v>
      </c>
      <c r="L522" s="320">
        <v>408.34000000000003</v>
      </c>
      <c r="W522" s="320"/>
    </row>
    <row r="523">
      <c r="A523" s="5" t="s">
        <v>216</v>
      </c>
      <c r="B523" s="324">
        <v>44531.0</v>
      </c>
      <c r="C523" s="5">
        <v>1931.0</v>
      </c>
      <c r="D523" s="5">
        <v>291550.0</v>
      </c>
      <c r="E523" s="325">
        <v>150.9839461418954</v>
      </c>
      <c r="F523" s="5">
        <v>79.13424112502143</v>
      </c>
      <c r="G523" s="5">
        <v>1.0</v>
      </c>
      <c r="H523" s="326">
        <v>11948.0</v>
      </c>
      <c r="I523" s="5" t="s">
        <v>808</v>
      </c>
      <c r="J523" s="320" t="s">
        <v>722</v>
      </c>
      <c r="K523" s="5">
        <v>1763.6666666666667</v>
      </c>
      <c r="L523" s="320">
        <v>1194.8</v>
      </c>
      <c r="W523" s="320"/>
    </row>
    <row r="524">
      <c r="A524" s="5"/>
      <c r="B524" s="324">
        <v>44562.0</v>
      </c>
      <c r="C524" s="5">
        <v>1614.0</v>
      </c>
      <c r="D524" s="5">
        <v>300800.0</v>
      </c>
      <c r="E524" s="325">
        <v>186.36926889714994</v>
      </c>
      <c r="F524" s="5">
        <v>-49.50386968085106</v>
      </c>
      <c r="G524" s="5">
        <v>1.0</v>
      </c>
      <c r="H524" s="326">
        <v>-9226.0</v>
      </c>
      <c r="I524" s="5" t="s">
        <v>808</v>
      </c>
      <c r="J524" s="320" t="s">
        <v>722</v>
      </c>
      <c r="K524" s="5">
        <v>1476.6666666666665</v>
      </c>
      <c r="L524" s="320">
        <v>-922.6000000000001</v>
      </c>
      <c r="W524" s="320"/>
    </row>
    <row r="525">
      <c r="A525" s="5"/>
      <c r="B525" s="324">
        <v>44593.0</v>
      </c>
      <c r="C525" s="5">
        <v>1990.0</v>
      </c>
      <c r="D525" s="5">
        <v>336155.0</v>
      </c>
      <c r="E525" s="325">
        <v>168.92211055276383</v>
      </c>
      <c r="F525" s="5">
        <v>50.19473159703113</v>
      </c>
      <c r="G525" s="5">
        <v>1.0</v>
      </c>
      <c r="H525" s="326">
        <v>8479.0</v>
      </c>
      <c r="I525" s="5" t="s">
        <v>808</v>
      </c>
      <c r="J525" s="320" t="s">
        <v>722</v>
      </c>
      <c r="K525" s="5">
        <v>1832.6666666666665</v>
      </c>
      <c r="L525" s="320">
        <v>847.9</v>
      </c>
      <c r="W525" s="320"/>
    </row>
    <row r="526">
      <c r="A526" s="5"/>
      <c r="B526" s="324">
        <v>44621.0</v>
      </c>
      <c r="C526" s="5">
        <v>776.0</v>
      </c>
      <c r="D526" s="5">
        <v>116300.0</v>
      </c>
      <c r="E526" s="325">
        <v>149.87113402061857</v>
      </c>
      <c r="F526" s="5">
        <v>81.34988822012038</v>
      </c>
      <c r="G526" s="5">
        <v>1.0</v>
      </c>
      <c r="H526" s="326">
        <v>12192.0</v>
      </c>
      <c r="I526" s="5" t="s">
        <v>808</v>
      </c>
      <c r="J526" s="320" t="s">
        <v>722</v>
      </c>
      <c r="K526" s="5">
        <v>699.3333333333334</v>
      </c>
      <c r="L526" s="320">
        <v>1219.2</v>
      </c>
      <c r="W526" s="320"/>
    </row>
    <row r="527">
      <c r="A527" s="5"/>
      <c r="B527" s="324">
        <v>44652.0</v>
      </c>
      <c r="C527" s="5">
        <v>1390.0</v>
      </c>
      <c r="D527" s="5">
        <v>249985.0</v>
      </c>
      <c r="E527" s="325">
        <v>179.8453237410072</v>
      </c>
      <c r="F527" s="5">
        <v>-6.8503310198611915</v>
      </c>
      <c r="G527" s="5">
        <v>1.0</v>
      </c>
      <c r="H527" s="326">
        <v>-1232.0</v>
      </c>
      <c r="I527" s="5" t="s">
        <v>808</v>
      </c>
      <c r="J527" s="320" t="s">
        <v>722</v>
      </c>
      <c r="K527" s="5">
        <v>1318.0000000000002</v>
      </c>
      <c r="L527" s="320">
        <v>-123.20000000000002</v>
      </c>
      <c r="W527" s="320"/>
    </row>
    <row r="528">
      <c r="A528" s="5"/>
      <c r="B528" s="324">
        <v>44682.0</v>
      </c>
      <c r="C528" s="5">
        <v>1809.0</v>
      </c>
      <c r="D528" s="5">
        <v>336300.0</v>
      </c>
      <c r="E528" s="325">
        <v>185.90381426202322</v>
      </c>
      <c r="F528" s="5">
        <v>23.318510258697593</v>
      </c>
      <c r="G528" s="5">
        <v>1.0</v>
      </c>
      <c r="H528" s="326">
        <v>4335.0</v>
      </c>
      <c r="I528" s="5" t="s">
        <v>808</v>
      </c>
      <c r="J528" s="320" t="s">
        <v>722</v>
      </c>
      <c r="K528" s="5">
        <v>1047.0</v>
      </c>
      <c r="L528" s="320">
        <v>433.5</v>
      </c>
      <c r="W528" s="320"/>
    </row>
    <row r="529">
      <c r="A529" s="5"/>
      <c r="B529" s="324">
        <v>44713.0</v>
      </c>
      <c r="C529" s="5">
        <v>1881.0</v>
      </c>
      <c r="D529" s="5">
        <v>355950.0</v>
      </c>
      <c r="E529" s="325">
        <v>189.23444976076556</v>
      </c>
      <c r="F529" s="5">
        <v>-27.38930467762326</v>
      </c>
      <c r="G529" s="5">
        <v>1.0</v>
      </c>
      <c r="H529" s="326">
        <v>-5183.0</v>
      </c>
      <c r="I529" s="5" t="s">
        <v>808</v>
      </c>
      <c r="J529" s="320" t="s">
        <v>722</v>
      </c>
      <c r="K529" s="5">
        <v>1325.0</v>
      </c>
      <c r="L529" s="320">
        <v>-518.3000000000001</v>
      </c>
      <c r="W529" s="320"/>
    </row>
    <row r="530">
      <c r="A530" s="5"/>
      <c r="B530" s="324">
        <v>44743.0</v>
      </c>
      <c r="C530" s="5">
        <v>2122.0</v>
      </c>
      <c r="D530" s="5">
        <v>362850.0</v>
      </c>
      <c r="E530" s="325">
        <v>170.99434495758717</v>
      </c>
      <c r="F530" s="5">
        <v>-24.193782554774703</v>
      </c>
      <c r="G530" s="5">
        <v>1.0</v>
      </c>
      <c r="H530" s="326">
        <v>-4137.0</v>
      </c>
      <c r="I530" s="5" t="s">
        <v>808</v>
      </c>
      <c r="J530" s="320" t="s">
        <v>722</v>
      </c>
      <c r="K530" s="5">
        <v>1633.3333333333333</v>
      </c>
      <c r="L530" s="320">
        <v>-413.7</v>
      </c>
      <c r="W530" s="320"/>
    </row>
    <row r="531">
      <c r="A531" s="5"/>
      <c r="B531" s="324">
        <v>44774.0</v>
      </c>
      <c r="C531" s="5">
        <v>2765.0</v>
      </c>
      <c r="D531" s="5">
        <v>458205.0</v>
      </c>
      <c r="E531" s="325">
        <v>165.71609403254973</v>
      </c>
      <c r="F531" s="5">
        <v>57.224375552427404</v>
      </c>
      <c r="G531" s="5">
        <v>1.0</v>
      </c>
      <c r="H531" s="326">
        <v>9483.0</v>
      </c>
      <c r="I531" s="5" t="s">
        <v>808</v>
      </c>
      <c r="J531" s="320" t="s">
        <v>722</v>
      </c>
      <c r="K531" s="5">
        <v>2057.6666666666665</v>
      </c>
      <c r="L531" s="320">
        <v>948.3000000000002</v>
      </c>
      <c r="W531" s="320"/>
    </row>
    <row r="532">
      <c r="A532" s="5"/>
      <c r="B532" s="324">
        <v>44805.0</v>
      </c>
      <c r="C532" s="5">
        <v>1736.0</v>
      </c>
      <c r="D532" s="5">
        <v>304100.0</v>
      </c>
      <c r="E532" s="325">
        <v>175.17281105990784</v>
      </c>
      <c r="F532" s="5">
        <v>-13.089930943768497</v>
      </c>
      <c r="G532" s="5">
        <v>1.0</v>
      </c>
      <c r="H532" s="326">
        <v>-2293.0</v>
      </c>
      <c r="I532" s="5" t="s">
        <v>808</v>
      </c>
      <c r="J532" s="320" t="s">
        <v>722</v>
      </c>
      <c r="K532" s="5">
        <v>1409.3333333333333</v>
      </c>
      <c r="L532" s="320">
        <v>-229.3</v>
      </c>
      <c r="W532" s="320"/>
    </row>
    <row r="533">
      <c r="A533" s="5"/>
      <c r="B533" s="324">
        <v>44835.0</v>
      </c>
      <c r="C533" s="5">
        <v>422.0</v>
      </c>
      <c r="D533" s="5">
        <v>79250.0</v>
      </c>
      <c r="E533" s="325">
        <v>187.7962085308057</v>
      </c>
      <c r="F533" s="5">
        <v>48.68575394321766</v>
      </c>
      <c r="G533" s="5">
        <v>1.0</v>
      </c>
      <c r="H533" s="326">
        <v>9143.0</v>
      </c>
      <c r="I533" s="5" t="s">
        <v>808</v>
      </c>
      <c r="J533" s="320" t="s">
        <v>722</v>
      </c>
      <c r="K533" s="5">
        <v>371.33333333333337</v>
      </c>
      <c r="L533" s="320">
        <v>914.3000000000001</v>
      </c>
      <c r="W533" s="320"/>
    </row>
    <row r="534">
      <c r="A534" s="5"/>
      <c r="B534" s="324">
        <v>44866.0</v>
      </c>
      <c r="C534" s="5">
        <v>1703.0</v>
      </c>
      <c r="D534" s="5">
        <v>259100.0</v>
      </c>
      <c r="E534" s="325">
        <v>152.14327657075748</v>
      </c>
      <c r="F534" s="5">
        <v>-67.85708992666925</v>
      </c>
      <c r="G534" s="5">
        <v>1.0</v>
      </c>
      <c r="H534" s="326">
        <v>-10324.0</v>
      </c>
      <c r="I534" s="5" t="s">
        <v>808</v>
      </c>
      <c r="J534" s="320" t="s">
        <v>722</v>
      </c>
      <c r="K534" s="5">
        <v>1567.6666666666667</v>
      </c>
      <c r="L534" s="320">
        <v>-1032.4</v>
      </c>
      <c r="W534" s="320"/>
    </row>
    <row r="535">
      <c r="A535" s="5"/>
      <c r="B535" s="324">
        <v>44896.0</v>
      </c>
      <c r="C535" s="5">
        <v>2989.0</v>
      </c>
      <c r="D535" s="5">
        <v>398750.0</v>
      </c>
      <c r="E535" s="325">
        <v>133.4058213449314</v>
      </c>
      <c r="F535" s="5">
        <v>35.49320376175549</v>
      </c>
      <c r="G535" s="5">
        <v>1.0</v>
      </c>
      <c r="H535" s="326">
        <v>4735.0</v>
      </c>
      <c r="I535" s="5" t="s">
        <v>808</v>
      </c>
      <c r="J535" s="320" t="s">
        <v>722</v>
      </c>
      <c r="K535" s="5">
        <v>2933.0</v>
      </c>
      <c r="L535" s="320">
        <v>473.5000000000001</v>
      </c>
      <c r="W535" s="320"/>
    </row>
    <row r="536">
      <c r="A536" s="5"/>
      <c r="B536" s="324">
        <v>44927.0</v>
      </c>
      <c r="C536" s="5">
        <v>2626.0</v>
      </c>
      <c r="D536" s="5">
        <v>364750.0</v>
      </c>
      <c r="E536" s="325">
        <v>138.8994668697639</v>
      </c>
      <c r="F536" s="5">
        <v>119.4605017135024</v>
      </c>
      <c r="G536" s="5">
        <v>1.0</v>
      </c>
      <c r="H536" s="326">
        <v>16593.0</v>
      </c>
      <c r="I536" s="5" t="s">
        <v>808</v>
      </c>
      <c r="J536" s="320" t="s">
        <v>722</v>
      </c>
      <c r="K536" s="5">
        <v>2494.0000000000005</v>
      </c>
      <c r="L536" s="320">
        <v>1659.3000000000002</v>
      </c>
      <c r="W536" s="320"/>
    </row>
    <row r="537">
      <c r="A537" s="5"/>
      <c r="B537" s="324">
        <v>44958.0</v>
      </c>
      <c r="C537" s="5">
        <v>2531.0</v>
      </c>
      <c r="D537" s="5">
        <v>373400.0</v>
      </c>
      <c r="E537" s="325">
        <v>147.53062030817858</v>
      </c>
      <c r="F537" s="5">
        <v>73.422046063203</v>
      </c>
      <c r="G537" s="5">
        <v>1.0</v>
      </c>
      <c r="H537" s="326">
        <v>10832.0</v>
      </c>
      <c r="I537" s="5" t="s">
        <v>808</v>
      </c>
      <c r="J537" s="320" t="s">
        <v>722</v>
      </c>
      <c r="K537" s="5">
        <v>2289.6666666666665</v>
      </c>
      <c r="L537" s="320">
        <v>1083.2</v>
      </c>
      <c r="W537" s="320"/>
    </row>
    <row r="538">
      <c r="A538" s="5"/>
      <c r="B538" s="324">
        <v>44986.0</v>
      </c>
      <c r="C538" s="5">
        <v>708.0</v>
      </c>
      <c r="D538" s="5">
        <v>103950.0</v>
      </c>
      <c r="E538" s="325">
        <v>146.82203389830508</v>
      </c>
      <c r="F538" s="5">
        <v>54.14037518037518</v>
      </c>
      <c r="G538" s="5">
        <v>1.0</v>
      </c>
      <c r="H538" s="326">
        <v>7949.0</v>
      </c>
      <c r="I538" s="5" t="s">
        <v>808</v>
      </c>
      <c r="J538" s="320" t="s">
        <v>722</v>
      </c>
      <c r="K538" s="5">
        <v>588.6666666666666</v>
      </c>
      <c r="L538" s="320">
        <v>794.9000000000001</v>
      </c>
      <c r="W538" s="320"/>
    </row>
    <row r="539">
      <c r="A539" s="5" t="s">
        <v>1142</v>
      </c>
      <c r="B539" s="322"/>
      <c r="C539" s="5">
        <v>28993.0</v>
      </c>
      <c r="D539" s="5">
        <v>4691395.0</v>
      </c>
      <c r="E539" s="325">
        <v>161.81129927913634</v>
      </c>
      <c r="F539" s="5">
        <v>391.15933363104153</v>
      </c>
      <c r="G539" s="5">
        <v>16.0</v>
      </c>
      <c r="H539" s="326">
        <v>63294.0</v>
      </c>
      <c r="I539" s="5" t="s">
        <v>808</v>
      </c>
      <c r="J539" s="320" t="s">
        <v>722</v>
      </c>
      <c r="K539" s="5">
        <v>24806.999999999996</v>
      </c>
      <c r="L539" s="320">
        <v>6329.4000000000015</v>
      </c>
      <c r="W539" s="320"/>
    </row>
    <row r="540">
      <c r="A540" s="5" t="b">
        <v>0</v>
      </c>
      <c r="B540" s="324">
        <v>44682.0</v>
      </c>
      <c r="C540" s="5">
        <v>5955.0</v>
      </c>
      <c r="D540" s="5">
        <v>124250.0</v>
      </c>
      <c r="E540" s="325">
        <v>20.864819479429052</v>
      </c>
      <c r="F540" s="5">
        <v>97.580523138833</v>
      </c>
      <c r="G540" s="5">
        <v>1.0</v>
      </c>
      <c r="H540" s="326">
        <v>2036.0</v>
      </c>
      <c r="I540" s="5" t="e">
        <v>#N/A</v>
      </c>
      <c r="J540" s="320" t="e">
        <v>#N/A</v>
      </c>
      <c r="K540" s="5">
        <v>5955.0</v>
      </c>
      <c r="L540" s="320">
        <v>251.0</v>
      </c>
      <c r="W540" s="320"/>
    </row>
    <row r="541">
      <c r="A541" s="5"/>
      <c r="B541" s="324">
        <v>44713.0</v>
      </c>
      <c r="C541" s="5">
        <v>6490.0</v>
      </c>
      <c r="D541" s="5">
        <v>119465.0</v>
      </c>
      <c r="E541" s="325">
        <v>18.407550077041602</v>
      </c>
      <c r="F541" s="5">
        <v>123.15544385384842</v>
      </c>
      <c r="G541" s="5">
        <v>1.0</v>
      </c>
      <c r="H541" s="326">
        <v>2266.9900000000002</v>
      </c>
      <c r="I541" s="5" t="e">
        <v>#N/A</v>
      </c>
      <c r="J541" s="320" t="e">
        <v>#N/A</v>
      </c>
      <c r="K541" s="5">
        <v>6490.0</v>
      </c>
      <c r="L541" s="320">
        <v>614.1600000000001</v>
      </c>
      <c r="W541" s="320"/>
    </row>
    <row r="542">
      <c r="A542" s="5"/>
      <c r="B542" s="324">
        <v>44743.0</v>
      </c>
      <c r="C542" s="5">
        <v>8476.0</v>
      </c>
      <c r="D542" s="5">
        <v>160660.0</v>
      </c>
      <c r="E542" s="325">
        <v>18.95469561113733</v>
      </c>
      <c r="F542" s="5">
        <v>670.3879746047554</v>
      </c>
      <c r="G542" s="5">
        <v>1.0</v>
      </c>
      <c r="H542" s="326">
        <v>12707.0</v>
      </c>
      <c r="I542" s="5" t="e">
        <v>#N/A</v>
      </c>
      <c r="J542" s="320" t="e">
        <v>#N/A</v>
      </c>
      <c r="K542" s="5">
        <v>8476.0</v>
      </c>
      <c r="L542" s="320">
        <v>2236.73</v>
      </c>
      <c r="W542" s="320"/>
    </row>
    <row r="543">
      <c r="A543" s="5"/>
      <c r="B543" s="324">
        <v>44774.0</v>
      </c>
      <c r="C543" s="5">
        <v>4130.0</v>
      </c>
      <c r="D543" s="5">
        <v>76145.0</v>
      </c>
      <c r="E543" s="325">
        <v>18.437046004842614</v>
      </c>
      <c r="F543" s="5">
        <v>-42.03493335084379</v>
      </c>
      <c r="G543" s="5">
        <v>1.0</v>
      </c>
      <c r="H543" s="326">
        <v>-775.0</v>
      </c>
      <c r="I543" s="5" t="e">
        <v>#N/A</v>
      </c>
      <c r="J543" s="320" t="e">
        <v>#N/A</v>
      </c>
      <c r="K543" s="5">
        <v>4130.0</v>
      </c>
      <c r="L543" s="320">
        <v>2.3999999999999773</v>
      </c>
      <c r="W543" s="320"/>
    </row>
    <row r="544">
      <c r="A544" s="5"/>
      <c r="B544" s="324">
        <v>44805.0</v>
      </c>
      <c r="C544" s="5">
        <v>10639.0</v>
      </c>
      <c r="D544" s="5">
        <v>247240.0</v>
      </c>
      <c r="E544" s="325">
        <v>23.2390262242692</v>
      </c>
      <c r="F544" s="5">
        <v>60.20045704578543</v>
      </c>
      <c r="G544" s="5">
        <v>1.0</v>
      </c>
      <c r="H544" s="326">
        <v>1398.999999999999</v>
      </c>
      <c r="I544" s="5" t="e">
        <v>#N/A</v>
      </c>
      <c r="J544" s="320" t="e">
        <v>#N/A</v>
      </c>
      <c r="K544" s="5">
        <v>10639.0</v>
      </c>
      <c r="L544" s="320">
        <v>-222.02999999999997</v>
      </c>
      <c r="W544" s="320"/>
    </row>
    <row r="545">
      <c r="A545" s="5"/>
      <c r="B545" s="324">
        <v>44835.0</v>
      </c>
      <c r="C545" s="5">
        <v>11524.0</v>
      </c>
      <c r="D545" s="5">
        <v>225720.0</v>
      </c>
      <c r="E545" s="325">
        <v>19.58694897604998</v>
      </c>
      <c r="F545" s="5">
        <v>-21.391795144426723</v>
      </c>
      <c r="G545" s="5">
        <v>1.0</v>
      </c>
      <c r="H545" s="326">
        <v>-419.0</v>
      </c>
      <c r="I545" s="5" t="e">
        <v>#N/A</v>
      </c>
      <c r="J545" s="320" t="e">
        <v>#N/A</v>
      </c>
      <c r="K545" s="5">
        <v>11524.0</v>
      </c>
      <c r="L545" s="320">
        <v>227.0</v>
      </c>
      <c r="W545" s="320"/>
    </row>
    <row r="546">
      <c r="A546" s="5"/>
      <c r="B546" s="324">
        <v>44866.0</v>
      </c>
      <c r="C546" s="5">
        <v>4497.0</v>
      </c>
      <c r="D546" s="5">
        <v>72245.0</v>
      </c>
      <c r="E546" s="325">
        <v>16.065154547476094</v>
      </c>
      <c r="F546" s="5">
        <v>1259.6200017994327</v>
      </c>
      <c r="G546" s="5">
        <v>1.0</v>
      </c>
      <c r="H546" s="326">
        <v>20235.99</v>
      </c>
      <c r="I546" s="5" t="e">
        <v>#N/A</v>
      </c>
      <c r="J546" s="320" t="e">
        <v>#N/A</v>
      </c>
      <c r="K546" s="5">
        <v>4497.0</v>
      </c>
      <c r="L546" s="320">
        <v>3366.0</v>
      </c>
      <c r="W546" s="320"/>
    </row>
    <row r="547">
      <c r="A547" s="5"/>
      <c r="B547" s="324">
        <v>44896.0</v>
      </c>
      <c r="C547" s="5">
        <v>5952.0</v>
      </c>
      <c r="D547" s="5">
        <v>190310.0</v>
      </c>
      <c r="E547" s="325">
        <v>31.97412634408602</v>
      </c>
      <c r="F547" s="5">
        <v>282.2594713887867</v>
      </c>
      <c r="G547" s="5">
        <v>1.0</v>
      </c>
      <c r="H547" s="326">
        <v>9025.0</v>
      </c>
      <c r="I547" s="5" t="e">
        <v>#N/A</v>
      </c>
      <c r="J547" s="320" t="e">
        <v>#N/A</v>
      </c>
      <c r="K547" s="5">
        <v>5952.0</v>
      </c>
      <c r="L547" s="320">
        <v>1512.0</v>
      </c>
      <c r="W547" s="320"/>
    </row>
    <row r="548">
      <c r="A548" s="5"/>
      <c r="B548" s="324">
        <v>44927.0</v>
      </c>
      <c r="C548" s="5">
        <v>9479.0</v>
      </c>
      <c r="D548" s="5">
        <v>222795.0</v>
      </c>
      <c r="E548" s="325">
        <v>23.50406160987446</v>
      </c>
      <c r="F548" s="5">
        <v>621.5946946744765</v>
      </c>
      <c r="G548" s="5">
        <v>1.0</v>
      </c>
      <c r="H548" s="326">
        <v>14610.0</v>
      </c>
      <c r="I548" s="5" t="e">
        <v>#N/A</v>
      </c>
      <c r="J548" s="320" t="e">
        <v>#N/A</v>
      </c>
      <c r="K548" s="5">
        <v>9479.0</v>
      </c>
      <c r="L548" s="320">
        <v>1946.0</v>
      </c>
      <c r="W548" s="320"/>
    </row>
    <row r="549">
      <c r="A549" s="5"/>
      <c r="B549" s="324">
        <v>44958.0</v>
      </c>
      <c r="C549" s="5">
        <v>8421.0</v>
      </c>
      <c r="D549" s="5">
        <v>179311.0</v>
      </c>
      <c r="E549" s="325">
        <v>21.293314333214582</v>
      </c>
      <c r="F549" s="5">
        <v>137.47297175968015</v>
      </c>
      <c r="G549" s="5">
        <v>1.0</v>
      </c>
      <c r="H549" s="326">
        <v>2927.2552000000005</v>
      </c>
      <c r="I549" s="5" t="e">
        <v>#N/A</v>
      </c>
      <c r="J549" s="320" t="e">
        <v>#N/A</v>
      </c>
      <c r="K549" s="5">
        <v>8421.0</v>
      </c>
      <c r="L549" s="320">
        <v>0.0</v>
      </c>
      <c r="W549" s="320"/>
    </row>
    <row r="550">
      <c r="A550" s="5"/>
      <c r="B550" s="324">
        <v>44986.0</v>
      </c>
      <c r="C550" s="5">
        <v>26.0</v>
      </c>
      <c r="D550" s="5">
        <v>520.0</v>
      </c>
      <c r="E550" s="325">
        <v>20.0</v>
      </c>
      <c r="F550" s="5">
        <v>0.9100000000000001</v>
      </c>
      <c r="G550" s="5">
        <v>1.0</v>
      </c>
      <c r="H550" s="326">
        <v>18.200000000000003</v>
      </c>
      <c r="I550" s="5" t="e">
        <v>#N/A</v>
      </c>
      <c r="J550" s="320" t="e">
        <v>#N/A</v>
      </c>
      <c r="K550" s="5">
        <v>26.0</v>
      </c>
      <c r="L550" s="320">
        <v>0.0</v>
      </c>
      <c r="W550" s="320"/>
    </row>
    <row r="551">
      <c r="A551" s="5" t="s">
        <v>1105</v>
      </c>
      <c r="B551" s="322"/>
      <c r="C551" s="5">
        <v>75589.0</v>
      </c>
      <c r="D551" s="5">
        <v>1618661.0</v>
      </c>
      <c r="E551" s="325">
        <v>21.413975578457183</v>
      </c>
      <c r="F551" s="5">
        <v>2990.1703663292074</v>
      </c>
      <c r="G551" s="5">
        <v>11.0</v>
      </c>
      <c r="H551" s="326">
        <v>64031.435200000014</v>
      </c>
      <c r="I551" s="5" t="e">
        <v>#N/A</v>
      </c>
      <c r="J551" s="320" t="e">
        <v>#N/A</v>
      </c>
      <c r="K551" s="5">
        <v>75589.0</v>
      </c>
      <c r="L551" s="320">
        <v>9933.26</v>
      </c>
      <c r="W551" s="320"/>
    </row>
    <row r="552">
      <c r="A552" s="5" t="s">
        <v>1106</v>
      </c>
      <c r="B552" s="322"/>
      <c r="C552" s="5">
        <v>1904284.0</v>
      </c>
      <c r="D552" s="5">
        <v>1.2204651175E8</v>
      </c>
      <c r="E552" s="325">
        <v>64.09049897494282</v>
      </c>
      <c r="F552" s="5">
        <v>43477.27809785692</v>
      </c>
      <c r="G552" s="5">
        <v>32.0</v>
      </c>
      <c r="H552" s="326">
        <v>2786480.447364003</v>
      </c>
      <c r="I552" s="5" t="s">
        <v>720</v>
      </c>
      <c r="J552" s="320" t="s">
        <v>722</v>
      </c>
      <c r="K552" s="5">
        <v>1252103.0000000002</v>
      </c>
      <c r="L552" s="320">
        <v>270880.24630858714</v>
      </c>
      <c r="W552" s="320"/>
    </row>
    <row r="553">
      <c r="B553" s="322"/>
      <c r="E553" s="325"/>
      <c r="J553" s="320"/>
      <c r="L553" s="320"/>
      <c r="W553" s="320"/>
    </row>
    <row r="554">
      <c r="B554" s="322"/>
      <c r="E554" s="325"/>
      <c r="J554" s="320"/>
      <c r="L554" s="320"/>
      <c r="W554" s="320"/>
    </row>
    <row r="555">
      <c r="B555" s="322"/>
      <c r="E555" s="325"/>
      <c r="J555" s="320"/>
      <c r="L555" s="320"/>
      <c r="W555" s="320"/>
    </row>
    <row r="556">
      <c r="B556" s="322"/>
      <c r="E556" s="325"/>
      <c r="J556" s="320"/>
      <c r="L556" s="320"/>
      <c r="W556" s="320"/>
    </row>
    <row r="557">
      <c r="B557" s="322"/>
      <c r="E557" s="325"/>
      <c r="J557" s="320"/>
      <c r="L557" s="320"/>
      <c r="W557" s="320"/>
    </row>
    <row r="558">
      <c r="B558" s="322"/>
      <c r="E558" s="325"/>
      <c r="J558" s="320"/>
      <c r="L558" s="320"/>
      <c r="W558" s="320"/>
    </row>
    <row r="559">
      <c r="B559" s="322"/>
      <c r="E559" s="325"/>
      <c r="J559" s="320"/>
      <c r="L559" s="320"/>
      <c r="W559" s="320"/>
    </row>
    <row r="560">
      <c r="B560" s="322"/>
      <c r="E560" s="325"/>
      <c r="J560" s="320"/>
      <c r="L560" s="320"/>
      <c r="W560" s="320"/>
    </row>
    <row r="561">
      <c r="B561" s="322"/>
      <c r="E561" s="325"/>
      <c r="J561" s="320"/>
      <c r="L561" s="320"/>
      <c r="W561" s="320"/>
    </row>
    <row r="562">
      <c r="B562" s="322"/>
      <c r="E562" s="325"/>
      <c r="J562" s="320"/>
      <c r="L562" s="320"/>
      <c r="W562" s="320"/>
    </row>
    <row r="563">
      <c r="B563" s="322"/>
      <c r="E563" s="325"/>
      <c r="J563" s="320"/>
      <c r="L563" s="320"/>
      <c r="W563" s="320"/>
    </row>
    <row r="564">
      <c r="B564" s="322"/>
      <c r="E564" s="325"/>
      <c r="J564" s="320"/>
      <c r="L564" s="320"/>
      <c r="W564" s="320"/>
    </row>
    <row r="565">
      <c r="B565" s="322"/>
      <c r="E565" s="325"/>
      <c r="J565" s="320"/>
      <c r="L565" s="320"/>
      <c r="W565" s="320"/>
    </row>
    <row r="566">
      <c r="B566" s="322"/>
      <c r="E566" s="325"/>
      <c r="J566" s="320"/>
      <c r="L566" s="320"/>
      <c r="W566" s="320"/>
    </row>
    <row r="567">
      <c r="B567" s="322"/>
      <c r="E567" s="325"/>
      <c r="J567" s="320"/>
      <c r="L567" s="320"/>
      <c r="W567" s="320"/>
    </row>
    <row r="568">
      <c r="B568" s="322"/>
      <c r="E568" s="325"/>
      <c r="J568" s="320"/>
      <c r="L568" s="320"/>
      <c r="W568" s="320"/>
    </row>
    <row r="569">
      <c r="B569" s="322"/>
      <c r="E569" s="325"/>
      <c r="J569" s="320"/>
      <c r="L569" s="320"/>
      <c r="W569" s="320"/>
    </row>
    <row r="570">
      <c r="B570" s="322"/>
      <c r="E570" s="325"/>
      <c r="J570" s="320"/>
      <c r="L570" s="320"/>
      <c r="W570" s="320"/>
    </row>
    <row r="571">
      <c r="B571" s="322"/>
      <c r="E571" s="325"/>
      <c r="J571" s="320"/>
      <c r="L571" s="320"/>
      <c r="W571" s="320"/>
    </row>
    <row r="572">
      <c r="B572" s="322"/>
      <c r="E572" s="325"/>
      <c r="J572" s="320"/>
      <c r="L572" s="320"/>
      <c r="W572" s="320"/>
    </row>
    <row r="573">
      <c r="B573" s="322"/>
      <c r="E573" s="325"/>
      <c r="J573" s="320"/>
      <c r="L573" s="320"/>
      <c r="W573" s="320"/>
    </row>
    <row r="574">
      <c r="B574" s="322"/>
      <c r="E574" s="325"/>
      <c r="J574" s="320"/>
      <c r="L574" s="320"/>
      <c r="W574" s="320"/>
    </row>
    <row r="575">
      <c r="B575" s="322"/>
      <c r="E575" s="325"/>
      <c r="J575" s="320"/>
      <c r="L575" s="320"/>
      <c r="W575" s="320"/>
    </row>
    <row r="576">
      <c r="B576" s="322"/>
      <c r="E576" s="325"/>
      <c r="J576" s="320"/>
      <c r="L576" s="320"/>
      <c r="W576" s="320"/>
    </row>
    <row r="577">
      <c r="B577" s="322"/>
      <c r="E577" s="325"/>
      <c r="J577" s="320"/>
      <c r="L577" s="320"/>
      <c r="W577" s="320"/>
    </row>
    <row r="578">
      <c r="B578" s="322"/>
      <c r="E578" s="325"/>
      <c r="J578" s="320"/>
      <c r="L578" s="320"/>
      <c r="W578" s="320"/>
    </row>
    <row r="579">
      <c r="B579" s="322"/>
      <c r="E579" s="325"/>
      <c r="J579" s="320"/>
      <c r="L579" s="320"/>
      <c r="W579" s="320"/>
    </row>
    <row r="580">
      <c r="B580" s="322"/>
      <c r="E580" s="325"/>
      <c r="J580" s="320"/>
      <c r="L580" s="320"/>
      <c r="W580" s="320"/>
    </row>
    <row r="581">
      <c r="B581" s="322"/>
      <c r="E581" s="325"/>
      <c r="J581" s="320"/>
      <c r="L581" s="320"/>
      <c r="W581" s="320"/>
    </row>
    <row r="582">
      <c r="B582" s="322"/>
      <c r="E582" s="325"/>
      <c r="J582" s="320"/>
      <c r="L582" s="320"/>
      <c r="W582" s="320"/>
    </row>
    <row r="583">
      <c r="B583" s="322"/>
      <c r="E583" s="325"/>
      <c r="J583" s="320"/>
      <c r="L583" s="320"/>
      <c r="W583" s="320"/>
    </row>
    <row r="584">
      <c r="B584" s="322"/>
      <c r="E584" s="325"/>
      <c r="J584" s="320"/>
      <c r="L584" s="320"/>
      <c r="W584" s="320"/>
    </row>
    <row r="585">
      <c r="B585" s="322"/>
      <c r="E585" s="325"/>
      <c r="J585" s="320"/>
      <c r="L585" s="320"/>
      <c r="W585" s="320"/>
    </row>
    <row r="586">
      <c r="B586" s="322"/>
      <c r="E586" s="325"/>
      <c r="J586" s="320"/>
      <c r="L586" s="320"/>
      <c r="W586" s="320"/>
    </row>
    <row r="587">
      <c r="B587" s="322"/>
      <c r="E587" s="325"/>
      <c r="J587" s="320"/>
      <c r="L587" s="320"/>
      <c r="W587" s="320"/>
    </row>
    <row r="588">
      <c r="B588" s="322"/>
      <c r="E588" s="325"/>
      <c r="J588" s="320"/>
      <c r="L588" s="320"/>
      <c r="W588" s="320"/>
    </row>
    <row r="589">
      <c r="B589" s="322"/>
      <c r="E589" s="325"/>
      <c r="J589" s="320"/>
      <c r="L589" s="320"/>
      <c r="W589" s="320"/>
    </row>
    <row r="590">
      <c r="B590" s="322"/>
      <c r="E590" s="325"/>
      <c r="J590" s="320"/>
      <c r="L590" s="320"/>
      <c r="W590" s="320"/>
    </row>
    <row r="591">
      <c r="B591" s="322"/>
      <c r="E591" s="325"/>
      <c r="J591" s="320"/>
      <c r="L591" s="320"/>
      <c r="W591" s="320"/>
    </row>
    <row r="592">
      <c r="B592" s="322"/>
      <c r="E592" s="325"/>
      <c r="J592" s="320"/>
      <c r="L592" s="320"/>
      <c r="W592" s="320"/>
    </row>
    <row r="593">
      <c r="B593" s="322"/>
      <c r="E593" s="325"/>
      <c r="J593" s="320"/>
      <c r="L593" s="320"/>
      <c r="W593" s="320"/>
    </row>
    <row r="594">
      <c r="B594" s="322"/>
      <c r="E594" s="325"/>
      <c r="J594" s="320"/>
      <c r="L594" s="320"/>
      <c r="W594" s="320"/>
    </row>
    <row r="595">
      <c r="B595" s="322"/>
      <c r="E595" s="325"/>
      <c r="J595" s="320"/>
      <c r="L595" s="320"/>
      <c r="W595" s="320"/>
    </row>
    <row r="596">
      <c r="B596" s="322"/>
      <c r="E596" s="325"/>
      <c r="J596" s="320"/>
      <c r="L596" s="320"/>
      <c r="W596" s="320"/>
    </row>
    <row r="597">
      <c r="B597" s="322"/>
      <c r="E597" s="325"/>
      <c r="J597" s="320"/>
      <c r="L597" s="320"/>
      <c r="W597" s="320"/>
    </row>
    <row r="598">
      <c r="B598" s="322"/>
      <c r="E598" s="325"/>
      <c r="J598" s="320"/>
      <c r="L598" s="320"/>
      <c r="W598" s="320"/>
    </row>
    <row r="599">
      <c r="B599" s="322"/>
      <c r="E599" s="325"/>
      <c r="J599" s="320"/>
      <c r="L599" s="320"/>
      <c r="W599" s="320"/>
    </row>
    <row r="600">
      <c r="B600" s="322"/>
      <c r="E600" s="325"/>
      <c r="J600" s="320"/>
      <c r="L600" s="320"/>
      <c r="W600" s="320"/>
    </row>
    <row r="601">
      <c r="B601" s="322"/>
      <c r="E601" s="325"/>
      <c r="J601" s="320"/>
      <c r="L601" s="320"/>
      <c r="W601" s="320"/>
    </row>
    <row r="602">
      <c r="B602" s="322"/>
      <c r="E602" s="325"/>
      <c r="J602" s="320"/>
      <c r="L602" s="320"/>
      <c r="W602" s="320"/>
    </row>
    <row r="603">
      <c r="B603" s="322"/>
      <c r="E603" s="325"/>
      <c r="J603" s="320"/>
      <c r="L603" s="320"/>
      <c r="W603" s="320"/>
    </row>
    <row r="604">
      <c r="B604" s="322"/>
      <c r="E604" s="325"/>
      <c r="J604" s="320"/>
      <c r="L604" s="320"/>
      <c r="W604" s="320"/>
    </row>
    <row r="605">
      <c r="B605" s="322"/>
      <c r="E605" s="325"/>
      <c r="J605" s="320"/>
      <c r="L605" s="320"/>
      <c r="W605" s="320"/>
    </row>
    <row r="606">
      <c r="B606" s="322"/>
      <c r="E606" s="325"/>
      <c r="J606" s="320"/>
      <c r="L606" s="320"/>
      <c r="W606" s="320"/>
    </row>
    <row r="607">
      <c r="B607" s="322"/>
      <c r="E607" s="325"/>
      <c r="J607" s="320"/>
      <c r="L607" s="320"/>
      <c r="W607" s="320"/>
    </row>
    <row r="608">
      <c r="B608" s="322"/>
      <c r="E608" s="325"/>
      <c r="J608" s="320"/>
      <c r="L608" s="320"/>
      <c r="W608" s="320"/>
    </row>
    <row r="609">
      <c r="B609" s="322"/>
      <c r="E609" s="325"/>
      <c r="J609" s="320"/>
      <c r="L609" s="320"/>
      <c r="W609" s="320"/>
    </row>
    <row r="610">
      <c r="B610" s="322"/>
      <c r="E610" s="325"/>
      <c r="J610" s="320"/>
      <c r="L610" s="320"/>
      <c r="W610" s="320"/>
    </row>
    <row r="611">
      <c r="B611" s="322"/>
      <c r="E611" s="325"/>
      <c r="J611" s="320"/>
      <c r="L611" s="320"/>
      <c r="W611" s="320"/>
    </row>
    <row r="612">
      <c r="B612" s="322"/>
      <c r="E612" s="325"/>
      <c r="J612" s="320"/>
      <c r="L612" s="320"/>
      <c r="W612" s="320"/>
    </row>
    <row r="613">
      <c r="B613" s="322"/>
      <c r="E613" s="325"/>
      <c r="J613" s="320"/>
      <c r="L613" s="320"/>
      <c r="W613" s="320"/>
    </row>
    <row r="614">
      <c r="B614" s="322"/>
      <c r="E614" s="325"/>
      <c r="J614" s="320"/>
      <c r="L614" s="320"/>
      <c r="W614" s="320"/>
    </row>
    <row r="615">
      <c r="B615" s="322"/>
      <c r="E615" s="325"/>
      <c r="J615" s="320"/>
      <c r="L615" s="320"/>
      <c r="W615" s="320"/>
    </row>
    <row r="616">
      <c r="B616" s="322"/>
      <c r="E616" s="325"/>
      <c r="J616" s="320"/>
      <c r="L616" s="320"/>
      <c r="W616" s="320"/>
    </row>
    <row r="617">
      <c r="B617" s="322"/>
      <c r="E617" s="325"/>
      <c r="J617" s="320"/>
      <c r="L617" s="320"/>
      <c r="W617" s="320"/>
    </row>
    <row r="618">
      <c r="B618" s="322"/>
      <c r="E618" s="325"/>
      <c r="J618" s="320"/>
      <c r="L618" s="320"/>
      <c r="W618" s="320"/>
    </row>
    <row r="619">
      <c r="B619" s="322"/>
      <c r="E619" s="325"/>
      <c r="J619" s="320"/>
      <c r="L619" s="320"/>
      <c r="W619" s="320"/>
    </row>
    <row r="620">
      <c r="B620" s="322"/>
      <c r="E620" s="325"/>
      <c r="J620" s="320"/>
      <c r="L620" s="320"/>
      <c r="W620" s="320"/>
    </row>
    <row r="621">
      <c r="B621" s="322"/>
      <c r="E621" s="325"/>
      <c r="J621" s="320"/>
      <c r="L621" s="320"/>
      <c r="W621" s="320"/>
    </row>
    <row r="622">
      <c r="B622" s="322"/>
      <c r="E622" s="325"/>
      <c r="J622" s="320"/>
      <c r="L622" s="320"/>
      <c r="W622" s="320"/>
    </row>
    <row r="623">
      <c r="B623" s="322"/>
      <c r="E623" s="325"/>
      <c r="J623" s="320"/>
      <c r="L623" s="320"/>
      <c r="W623" s="320"/>
    </row>
    <row r="624">
      <c r="B624" s="322"/>
      <c r="E624" s="325"/>
      <c r="J624" s="320"/>
      <c r="L624" s="320"/>
      <c r="W624" s="320"/>
    </row>
    <row r="625">
      <c r="B625" s="322"/>
      <c r="E625" s="325"/>
      <c r="J625" s="320"/>
      <c r="L625" s="320"/>
      <c r="W625" s="320"/>
    </row>
    <row r="626">
      <c r="B626" s="322"/>
      <c r="E626" s="325"/>
      <c r="J626" s="320"/>
      <c r="L626" s="320"/>
      <c r="W626" s="320"/>
    </row>
    <row r="627">
      <c r="B627" s="322"/>
      <c r="E627" s="325"/>
      <c r="J627" s="320"/>
      <c r="L627" s="320"/>
      <c r="W627" s="320"/>
    </row>
    <row r="628">
      <c r="B628" s="322"/>
      <c r="E628" s="325"/>
      <c r="J628" s="320"/>
      <c r="L628" s="320"/>
      <c r="W628" s="320"/>
    </row>
    <row r="629">
      <c r="B629" s="322"/>
      <c r="E629" s="325"/>
      <c r="J629" s="320"/>
      <c r="L629" s="320"/>
      <c r="W629" s="320"/>
    </row>
    <row r="630">
      <c r="B630" s="322"/>
      <c r="E630" s="325"/>
      <c r="J630" s="320"/>
      <c r="L630" s="320"/>
      <c r="W630" s="320"/>
    </row>
    <row r="631">
      <c r="B631" s="322"/>
      <c r="E631" s="325"/>
      <c r="J631" s="320"/>
      <c r="L631" s="320"/>
      <c r="W631" s="320"/>
    </row>
    <row r="632">
      <c r="B632" s="322"/>
      <c r="E632" s="325"/>
      <c r="J632" s="320"/>
      <c r="L632" s="320"/>
      <c r="W632" s="320"/>
    </row>
    <row r="633">
      <c r="B633" s="322"/>
      <c r="E633" s="325"/>
      <c r="J633" s="320"/>
      <c r="L633" s="320"/>
      <c r="W633" s="320"/>
    </row>
    <row r="634">
      <c r="B634" s="322"/>
      <c r="E634" s="325"/>
      <c r="J634" s="320"/>
      <c r="L634" s="320"/>
      <c r="W634" s="320"/>
    </row>
    <row r="635">
      <c r="B635" s="322"/>
      <c r="E635" s="325"/>
      <c r="J635" s="320"/>
      <c r="L635" s="320"/>
      <c r="W635" s="320"/>
    </row>
    <row r="636">
      <c r="B636" s="322"/>
      <c r="E636" s="325"/>
      <c r="J636" s="320"/>
      <c r="L636" s="320"/>
      <c r="W636" s="320"/>
    </row>
    <row r="637">
      <c r="B637" s="322"/>
      <c r="E637" s="325"/>
      <c r="J637" s="320"/>
      <c r="L637" s="320"/>
      <c r="W637" s="320"/>
    </row>
    <row r="638">
      <c r="B638" s="322"/>
      <c r="E638" s="325"/>
      <c r="J638" s="320"/>
      <c r="L638" s="320"/>
      <c r="W638" s="320"/>
    </row>
    <row r="639">
      <c r="B639" s="322"/>
      <c r="E639" s="325"/>
      <c r="J639" s="320"/>
      <c r="L639" s="320"/>
      <c r="W639" s="320"/>
    </row>
    <row r="640">
      <c r="B640" s="322"/>
      <c r="E640" s="325"/>
      <c r="J640" s="320"/>
      <c r="L640" s="320"/>
      <c r="W640" s="320"/>
    </row>
    <row r="641">
      <c r="B641" s="322"/>
      <c r="E641" s="325"/>
      <c r="J641" s="320"/>
      <c r="L641" s="320"/>
      <c r="W641" s="320"/>
    </row>
    <row r="642">
      <c r="B642" s="322"/>
      <c r="E642" s="325"/>
      <c r="J642" s="320"/>
      <c r="L642" s="320"/>
      <c r="W642" s="320"/>
    </row>
    <row r="643">
      <c r="B643" s="322"/>
      <c r="E643" s="325"/>
      <c r="J643" s="320"/>
      <c r="L643" s="320"/>
      <c r="W643" s="320"/>
    </row>
    <row r="644">
      <c r="B644" s="322"/>
      <c r="E644" s="325"/>
      <c r="J644" s="320"/>
      <c r="L644" s="320"/>
      <c r="W644" s="320"/>
    </row>
    <row r="645">
      <c r="B645" s="322"/>
      <c r="E645" s="325"/>
      <c r="J645" s="320"/>
      <c r="L645" s="320"/>
      <c r="W645" s="320"/>
    </row>
    <row r="646">
      <c r="B646" s="322"/>
      <c r="E646" s="325"/>
      <c r="J646" s="320"/>
      <c r="L646" s="320"/>
      <c r="W646" s="320"/>
    </row>
    <row r="647">
      <c r="B647" s="322"/>
      <c r="E647" s="325"/>
      <c r="J647" s="320"/>
      <c r="L647" s="320"/>
      <c r="W647" s="320"/>
    </row>
    <row r="648">
      <c r="B648" s="322"/>
      <c r="E648" s="325"/>
      <c r="J648" s="320"/>
      <c r="L648" s="320"/>
      <c r="W648" s="320"/>
    </row>
    <row r="649">
      <c r="B649" s="322"/>
      <c r="E649" s="325"/>
      <c r="J649" s="320"/>
      <c r="L649" s="320"/>
      <c r="W649" s="320"/>
    </row>
    <row r="650">
      <c r="B650" s="322"/>
      <c r="E650" s="325"/>
      <c r="J650" s="320"/>
      <c r="L650" s="320"/>
      <c r="W650" s="320"/>
    </row>
    <row r="651">
      <c r="B651" s="322"/>
      <c r="E651" s="325"/>
      <c r="J651" s="320"/>
      <c r="L651" s="320"/>
      <c r="W651" s="320"/>
    </row>
    <row r="652">
      <c r="B652" s="322"/>
      <c r="E652" s="325"/>
      <c r="J652" s="320"/>
      <c r="L652" s="320"/>
      <c r="W652" s="320"/>
    </row>
    <row r="653">
      <c r="B653" s="322"/>
      <c r="E653" s="325"/>
      <c r="J653" s="320"/>
      <c r="L653" s="320"/>
      <c r="W653" s="320"/>
    </row>
    <row r="654">
      <c r="B654" s="322"/>
      <c r="E654" s="325"/>
      <c r="J654" s="320"/>
      <c r="L654" s="320"/>
      <c r="W654" s="320"/>
    </row>
    <row r="655">
      <c r="B655" s="322"/>
      <c r="E655" s="325"/>
      <c r="J655" s="320"/>
      <c r="L655" s="320"/>
      <c r="W655" s="320"/>
    </row>
    <row r="656">
      <c r="B656" s="322"/>
      <c r="E656" s="325"/>
      <c r="J656" s="320"/>
      <c r="L656" s="320"/>
      <c r="W656" s="320"/>
    </row>
    <row r="657">
      <c r="B657" s="322"/>
      <c r="E657" s="325"/>
      <c r="J657" s="320"/>
      <c r="L657" s="320"/>
      <c r="W657" s="320"/>
    </row>
    <row r="658">
      <c r="B658" s="322"/>
      <c r="E658" s="325"/>
      <c r="J658" s="320"/>
      <c r="L658" s="320"/>
      <c r="W658" s="320"/>
    </row>
    <row r="659">
      <c r="B659" s="322"/>
      <c r="E659" s="325"/>
      <c r="J659" s="320"/>
      <c r="L659" s="320"/>
      <c r="W659" s="320"/>
    </row>
    <row r="660">
      <c r="B660" s="322"/>
      <c r="E660" s="325"/>
      <c r="J660" s="320"/>
      <c r="L660" s="320"/>
      <c r="W660" s="320"/>
    </row>
    <row r="661">
      <c r="B661" s="322"/>
      <c r="E661" s="325"/>
      <c r="J661" s="320"/>
      <c r="L661" s="320"/>
      <c r="W661" s="320"/>
    </row>
    <row r="662">
      <c r="B662" s="322"/>
      <c r="E662" s="325"/>
      <c r="J662" s="320"/>
      <c r="L662" s="320"/>
      <c r="W662" s="320"/>
    </row>
    <row r="663">
      <c r="B663" s="322"/>
      <c r="E663" s="325"/>
      <c r="J663" s="320"/>
      <c r="L663" s="320"/>
      <c r="W663" s="320"/>
    </row>
    <row r="664">
      <c r="B664" s="322"/>
      <c r="E664" s="325"/>
      <c r="J664" s="320"/>
      <c r="L664" s="320"/>
      <c r="W664" s="320"/>
    </row>
    <row r="665">
      <c r="B665" s="322"/>
      <c r="E665" s="325"/>
      <c r="J665" s="320"/>
      <c r="L665" s="320"/>
      <c r="W665" s="320"/>
    </row>
    <row r="666">
      <c r="B666" s="322"/>
      <c r="E666" s="325"/>
      <c r="J666" s="320"/>
      <c r="L666" s="320"/>
      <c r="W666" s="320"/>
    </row>
    <row r="667">
      <c r="B667" s="322"/>
      <c r="E667" s="325"/>
      <c r="J667" s="320"/>
      <c r="L667" s="320"/>
      <c r="W667" s="320"/>
    </row>
    <row r="668">
      <c r="B668" s="322"/>
      <c r="E668" s="325"/>
      <c r="J668" s="320"/>
      <c r="L668" s="320"/>
      <c r="W668" s="320"/>
    </row>
    <row r="669">
      <c r="B669" s="322"/>
      <c r="E669" s="325"/>
      <c r="J669" s="320"/>
      <c r="L669" s="320"/>
      <c r="W669" s="320"/>
    </row>
    <row r="670">
      <c r="B670" s="322"/>
      <c r="E670" s="325"/>
      <c r="J670" s="320"/>
      <c r="L670" s="320"/>
      <c r="W670" s="320"/>
    </row>
    <row r="671">
      <c r="B671" s="322"/>
      <c r="E671" s="325"/>
      <c r="J671" s="320"/>
      <c r="L671" s="320"/>
      <c r="W671" s="320"/>
    </row>
    <row r="672">
      <c r="B672" s="322"/>
      <c r="E672" s="325"/>
      <c r="J672" s="320"/>
      <c r="L672" s="320"/>
      <c r="W672" s="320"/>
    </row>
    <row r="673">
      <c r="B673" s="322"/>
      <c r="E673" s="325"/>
      <c r="J673" s="320"/>
      <c r="L673" s="320"/>
      <c r="W673" s="320"/>
    </row>
    <row r="674">
      <c r="B674" s="322"/>
      <c r="E674" s="325"/>
      <c r="J674" s="320"/>
      <c r="L674" s="320"/>
      <c r="W674" s="320"/>
    </row>
    <row r="675">
      <c r="B675" s="322"/>
      <c r="E675" s="325"/>
      <c r="J675" s="320"/>
      <c r="L675" s="320"/>
      <c r="W675" s="320"/>
    </row>
    <row r="676">
      <c r="B676" s="322"/>
      <c r="E676" s="325"/>
      <c r="J676" s="320"/>
      <c r="L676" s="320"/>
      <c r="W676" s="320"/>
    </row>
    <row r="677">
      <c r="B677" s="322"/>
      <c r="E677" s="325"/>
      <c r="J677" s="320"/>
      <c r="L677" s="320"/>
      <c r="W677" s="320"/>
    </row>
    <row r="678">
      <c r="B678" s="322"/>
      <c r="E678" s="325"/>
      <c r="J678" s="320"/>
      <c r="L678" s="320"/>
      <c r="W678" s="320"/>
    </row>
    <row r="679">
      <c r="B679" s="322"/>
      <c r="E679" s="325"/>
      <c r="J679" s="320"/>
      <c r="L679" s="320"/>
      <c r="W679" s="320"/>
    </row>
    <row r="680">
      <c r="B680" s="322"/>
      <c r="E680" s="325"/>
      <c r="J680" s="320"/>
      <c r="L680" s="320"/>
      <c r="W680" s="320"/>
    </row>
    <row r="681">
      <c r="B681" s="322"/>
      <c r="E681" s="325"/>
      <c r="J681" s="320"/>
      <c r="L681" s="320"/>
      <c r="W681" s="320"/>
    </row>
    <row r="682">
      <c r="B682" s="322"/>
      <c r="E682" s="325"/>
      <c r="J682" s="320"/>
      <c r="L682" s="320"/>
      <c r="W682" s="320"/>
    </row>
    <row r="683">
      <c r="B683" s="322"/>
      <c r="E683" s="325"/>
      <c r="J683" s="320"/>
      <c r="L683" s="320"/>
      <c r="W683" s="320"/>
    </row>
    <row r="684">
      <c r="B684" s="322"/>
      <c r="E684" s="325"/>
      <c r="J684" s="320"/>
      <c r="L684" s="320"/>
      <c r="W684" s="320"/>
    </row>
    <row r="685">
      <c r="B685" s="322"/>
      <c r="E685" s="325"/>
      <c r="J685" s="320"/>
      <c r="L685" s="320"/>
      <c r="W685" s="320"/>
    </row>
    <row r="686">
      <c r="B686" s="322"/>
      <c r="E686" s="325"/>
      <c r="J686" s="320"/>
      <c r="L686" s="320"/>
      <c r="W686" s="320"/>
    </row>
    <row r="687">
      <c r="B687" s="322"/>
      <c r="E687" s="325"/>
      <c r="J687" s="320"/>
      <c r="L687" s="320"/>
      <c r="W687" s="320"/>
    </row>
    <row r="688">
      <c r="B688" s="322"/>
      <c r="E688" s="325"/>
      <c r="J688" s="320"/>
      <c r="L688" s="320"/>
      <c r="W688" s="320"/>
    </row>
    <row r="689">
      <c r="B689" s="322"/>
      <c r="E689" s="325"/>
      <c r="J689" s="320"/>
      <c r="L689" s="320"/>
      <c r="W689" s="320"/>
    </row>
    <row r="690">
      <c r="B690" s="322"/>
      <c r="E690" s="325"/>
      <c r="J690" s="320"/>
      <c r="L690" s="320"/>
      <c r="W690" s="320"/>
    </row>
    <row r="691">
      <c r="B691" s="322"/>
      <c r="E691" s="325"/>
      <c r="J691" s="320"/>
      <c r="L691" s="320"/>
      <c r="W691" s="320"/>
    </row>
    <row r="692">
      <c r="B692" s="322"/>
      <c r="E692" s="325"/>
      <c r="J692" s="320"/>
      <c r="L692" s="320"/>
      <c r="W692" s="320"/>
    </row>
    <row r="693">
      <c r="B693" s="322"/>
      <c r="E693" s="325"/>
      <c r="J693" s="320"/>
      <c r="L693" s="320"/>
      <c r="W693" s="320"/>
    </row>
    <row r="694">
      <c r="B694" s="322"/>
      <c r="E694" s="325"/>
      <c r="J694" s="320"/>
      <c r="L694" s="320"/>
      <c r="W694" s="320"/>
    </row>
    <row r="695">
      <c r="B695" s="322"/>
      <c r="E695" s="325"/>
      <c r="J695" s="320"/>
      <c r="L695" s="320"/>
      <c r="W695" s="320"/>
    </row>
    <row r="696">
      <c r="B696" s="322"/>
      <c r="E696" s="325"/>
      <c r="J696" s="320"/>
      <c r="L696" s="320"/>
      <c r="W696" s="320"/>
    </row>
    <row r="697">
      <c r="B697" s="322"/>
      <c r="E697" s="325"/>
      <c r="J697" s="320"/>
      <c r="L697" s="320"/>
      <c r="W697" s="320"/>
    </row>
    <row r="698">
      <c r="B698" s="322"/>
      <c r="E698" s="325"/>
      <c r="J698" s="320"/>
      <c r="L698" s="320"/>
      <c r="W698" s="320"/>
    </row>
    <row r="699">
      <c r="B699" s="322"/>
      <c r="E699" s="325"/>
      <c r="J699" s="320"/>
      <c r="L699" s="320"/>
      <c r="W699" s="320"/>
    </row>
    <row r="700">
      <c r="B700" s="322"/>
      <c r="E700" s="325"/>
      <c r="J700" s="320"/>
      <c r="L700" s="320"/>
      <c r="W700" s="320"/>
    </row>
    <row r="701">
      <c r="B701" s="322"/>
      <c r="E701" s="325"/>
      <c r="J701" s="320"/>
      <c r="L701" s="320"/>
      <c r="W701" s="320"/>
    </row>
    <row r="702">
      <c r="B702" s="322"/>
      <c r="E702" s="325"/>
      <c r="J702" s="320"/>
      <c r="L702" s="320"/>
      <c r="W702" s="320"/>
    </row>
    <row r="703">
      <c r="B703" s="322"/>
      <c r="E703" s="325"/>
      <c r="J703" s="320"/>
      <c r="L703" s="320"/>
      <c r="W703" s="320"/>
    </row>
    <row r="704">
      <c r="B704" s="322"/>
      <c r="E704" s="325"/>
      <c r="J704" s="320"/>
      <c r="L704" s="320"/>
      <c r="W704" s="320"/>
    </row>
    <row r="705">
      <c r="B705" s="322"/>
      <c r="E705" s="325"/>
      <c r="J705" s="320"/>
      <c r="L705" s="320"/>
      <c r="W705" s="320"/>
    </row>
    <row r="706">
      <c r="B706" s="322"/>
      <c r="E706" s="325"/>
      <c r="J706" s="320"/>
      <c r="L706" s="320"/>
      <c r="W706" s="320"/>
    </row>
    <row r="707">
      <c r="B707" s="322"/>
      <c r="E707" s="325"/>
      <c r="J707" s="320"/>
      <c r="L707" s="320"/>
      <c r="W707" s="320"/>
    </row>
    <row r="708">
      <c r="B708" s="322"/>
      <c r="E708" s="325"/>
      <c r="J708" s="320"/>
      <c r="L708" s="320"/>
      <c r="W708" s="320"/>
    </row>
    <row r="709">
      <c r="B709" s="322"/>
      <c r="E709" s="325"/>
      <c r="J709" s="320"/>
      <c r="L709" s="320"/>
      <c r="W709" s="320"/>
    </row>
    <row r="710">
      <c r="B710" s="322"/>
      <c r="E710" s="325"/>
      <c r="J710" s="320"/>
      <c r="L710" s="320"/>
      <c r="W710" s="320"/>
    </row>
    <row r="711">
      <c r="B711" s="322"/>
      <c r="E711" s="325"/>
      <c r="J711" s="320"/>
      <c r="L711" s="320"/>
      <c r="W711" s="320"/>
    </row>
    <row r="712">
      <c r="B712" s="322"/>
      <c r="E712" s="325"/>
      <c r="J712" s="320"/>
      <c r="L712" s="320"/>
      <c r="W712" s="320"/>
    </row>
    <row r="713">
      <c r="B713" s="322"/>
      <c r="E713" s="325"/>
      <c r="J713" s="320"/>
      <c r="L713" s="320"/>
      <c r="W713" s="320"/>
    </row>
    <row r="714">
      <c r="B714" s="322"/>
      <c r="E714" s="325"/>
      <c r="J714" s="320"/>
      <c r="L714" s="320"/>
      <c r="W714" s="320"/>
    </row>
    <row r="715">
      <c r="B715" s="322"/>
      <c r="E715" s="325"/>
      <c r="J715" s="320"/>
      <c r="L715" s="320"/>
      <c r="W715" s="320"/>
    </row>
    <row r="716">
      <c r="B716" s="322"/>
      <c r="E716" s="325"/>
      <c r="J716" s="320"/>
      <c r="L716" s="320"/>
      <c r="W716" s="320"/>
    </row>
    <row r="717">
      <c r="B717" s="322"/>
      <c r="E717" s="325"/>
      <c r="J717" s="320"/>
      <c r="L717" s="320"/>
      <c r="W717" s="320"/>
    </row>
    <row r="718">
      <c r="B718" s="322"/>
      <c r="E718" s="325"/>
      <c r="J718" s="320"/>
      <c r="L718" s="320"/>
      <c r="W718" s="320"/>
    </row>
    <row r="719">
      <c r="B719" s="322"/>
      <c r="E719" s="325"/>
      <c r="J719" s="320"/>
      <c r="L719" s="320"/>
      <c r="W719" s="320"/>
    </row>
    <row r="720">
      <c r="B720" s="322"/>
      <c r="E720" s="325"/>
      <c r="J720" s="320"/>
      <c r="L720" s="320"/>
      <c r="W720" s="320"/>
    </row>
    <row r="721">
      <c r="B721" s="322"/>
      <c r="E721" s="325"/>
      <c r="J721" s="320"/>
      <c r="L721" s="320"/>
      <c r="W721" s="320"/>
    </row>
    <row r="722">
      <c r="B722" s="322"/>
      <c r="E722" s="325"/>
      <c r="J722" s="320"/>
      <c r="L722" s="320"/>
      <c r="W722" s="320"/>
    </row>
    <row r="723">
      <c r="B723" s="322"/>
      <c r="E723" s="325"/>
      <c r="J723" s="320"/>
      <c r="L723" s="320"/>
      <c r="W723" s="320"/>
    </row>
    <row r="724">
      <c r="B724" s="322"/>
      <c r="E724" s="325"/>
      <c r="J724" s="320"/>
      <c r="L724" s="320"/>
      <c r="W724" s="320"/>
    </row>
    <row r="725">
      <c r="B725" s="322"/>
      <c r="E725" s="325"/>
      <c r="J725" s="320"/>
      <c r="L725" s="320"/>
      <c r="W725" s="320"/>
    </row>
    <row r="726">
      <c r="B726" s="322"/>
      <c r="E726" s="325"/>
      <c r="J726" s="320"/>
      <c r="L726" s="320"/>
      <c r="W726" s="320"/>
    </row>
    <row r="727">
      <c r="B727" s="322"/>
      <c r="E727" s="325"/>
      <c r="J727" s="320"/>
      <c r="L727" s="320"/>
      <c r="W727" s="320"/>
    </row>
    <row r="728">
      <c r="B728" s="322"/>
      <c r="E728" s="325"/>
      <c r="J728" s="320"/>
      <c r="L728" s="320"/>
      <c r="W728" s="320"/>
    </row>
    <row r="729">
      <c r="B729" s="322"/>
      <c r="E729" s="325"/>
      <c r="J729" s="320"/>
      <c r="L729" s="320"/>
      <c r="W729" s="320"/>
    </row>
    <row r="730">
      <c r="B730" s="322"/>
      <c r="E730" s="325"/>
      <c r="J730" s="320"/>
      <c r="L730" s="320"/>
      <c r="W730" s="320"/>
    </row>
    <row r="731">
      <c r="B731" s="322"/>
      <c r="E731" s="325"/>
      <c r="J731" s="320"/>
      <c r="L731" s="320"/>
      <c r="W731" s="320"/>
    </row>
    <row r="732">
      <c r="B732" s="322"/>
      <c r="E732" s="325"/>
      <c r="J732" s="320"/>
      <c r="L732" s="320"/>
      <c r="W732" s="320"/>
    </row>
    <row r="733">
      <c r="B733" s="322"/>
      <c r="E733" s="325"/>
      <c r="J733" s="320"/>
      <c r="L733" s="320"/>
      <c r="W733" s="320"/>
    </row>
    <row r="734">
      <c r="B734" s="322"/>
      <c r="E734" s="325"/>
      <c r="J734" s="320"/>
      <c r="L734" s="320"/>
      <c r="W734" s="320"/>
    </row>
    <row r="735">
      <c r="B735" s="322"/>
      <c r="E735" s="325"/>
      <c r="J735" s="320"/>
      <c r="L735" s="320"/>
      <c r="W735" s="320"/>
    </row>
    <row r="736">
      <c r="B736" s="322"/>
      <c r="E736" s="325"/>
      <c r="J736" s="320"/>
      <c r="L736" s="320"/>
      <c r="W736" s="320"/>
    </row>
    <row r="737">
      <c r="B737" s="322"/>
      <c r="E737" s="325"/>
      <c r="J737" s="320"/>
      <c r="L737" s="320"/>
      <c r="W737" s="320"/>
    </row>
    <row r="738">
      <c r="B738" s="322"/>
      <c r="E738" s="325"/>
      <c r="J738" s="320"/>
      <c r="L738" s="320"/>
      <c r="W738" s="320"/>
    </row>
    <row r="739">
      <c r="B739" s="322"/>
      <c r="E739" s="325"/>
      <c r="J739" s="320"/>
      <c r="L739" s="320"/>
      <c r="W739" s="320"/>
    </row>
    <row r="740">
      <c r="B740" s="322"/>
      <c r="E740" s="325"/>
      <c r="J740" s="320"/>
      <c r="L740" s="320"/>
      <c r="W740" s="320"/>
    </row>
    <row r="741">
      <c r="B741" s="322"/>
      <c r="E741" s="325"/>
      <c r="J741" s="320"/>
      <c r="L741" s="320"/>
      <c r="W741" s="320"/>
    </row>
    <row r="742">
      <c r="B742" s="322"/>
      <c r="E742" s="325"/>
      <c r="J742" s="320"/>
      <c r="L742" s="320"/>
      <c r="W742" s="320"/>
    </row>
    <row r="743">
      <c r="B743" s="322"/>
      <c r="E743" s="325"/>
      <c r="J743" s="320"/>
      <c r="L743" s="320"/>
      <c r="W743" s="320"/>
    </row>
    <row r="744">
      <c r="B744" s="322"/>
      <c r="E744" s="325"/>
      <c r="J744" s="320"/>
      <c r="L744" s="320"/>
      <c r="W744" s="320"/>
    </row>
    <row r="745">
      <c r="B745" s="322"/>
      <c r="E745" s="325"/>
      <c r="J745" s="320"/>
      <c r="L745" s="320"/>
      <c r="W745" s="320"/>
    </row>
    <row r="746">
      <c r="B746" s="322"/>
      <c r="E746" s="325"/>
      <c r="J746" s="320"/>
      <c r="L746" s="320"/>
      <c r="W746" s="320"/>
    </row>
    <row r="747">
      <c r="B747" s="322"/>
      <c r="E747" s="325"/>
      <c r="J747" s="320"/>
      <c r="L747" s="320"/>
      <c r="W747" s="320"/>
    </row>
    <row r="748">
      <c r="B748" s="322"/>
      <c r="E748" s="325"/>
      <c r="J748" s="320"/>
      <c r="L748" s="320"/>
      <c r="W748" s="320"/>
    </row>
    <row r="749">
      <c r="B749" s="322"/>
      <c r="E749" s="325"/>
      <c r="J749" s="320"/>
      <c r="L749" s="320"/>
      <c r="W749" s="320"/>
    </row>
    <row r="750">
      <c r="B750" s="322"/>
      <c r="E750" s="325"/>
      <c r="J750" s="320"/>
      <c r="L750" s="320"/>
      <c r="W750" s="320"/>
    </row>
    <row r="751">
      <c r="B751" s="322"/>
      <c r="E751" s="325"/>
      <c r="J751" s="320"/>
      <c r="L751" s="320"/>
      <c r="W751" s="320"/>
    </row>
    <row r="752">
      <c r="B752" s="322"/>
      <c r="E752" s="325"/>
      <c r="J752" s="320"/>
      <c r="L752" s="320"/>
      <c r="W752" s="320"/>
    </row>
    <row r="753">
      <c r="B753" s="322"/>
      <c r="E753" s="325"/>
      <c r="J753" s="320"/>
      <c r="L753" s="320"/>
      <c r="W753" s="320"/>
    </row>
    <row r="754">
      <c r="B754" s="322"/>
      <c r="E754" s="325"/>
      <c r="J754" s="320"/>
      <c r="L754" s="320"/>
      <c r="W754" s="320"/>
    </row>
    <row r="755">
      <c r="B755" s="322"/>
      <c r="E755" s="325"/>
      <c r="J755" s="320"/>
      <c r="L755" s="320"/>
      <c r="W755" s="320"/>
    </row>
    <row r="756">
      <c r="B756" s="322"/>
      <c r="E756" s="325"/>
      <c r="J756" s="320"/>
      <c r="L756" s="320"/>
      <c r="W756" s="320"/>
    </row>
    <row r="757">
      <c r="B757" s="322"/>
      <c r="E757" s="325"/>
      <c r="J757" s="320"/>
      <c r="L757" s="320"/>
      <c r="W757" s="320"/>
    </row>
    <row r="758">
      <c r="B758" s="322"/>
      <c r="E758" s="325"/>
      <c r="J758" s="320"/>
      <c r="L758" s="320"/>
      <c r="W758" s="320"/>
    </row>
    <row r="759">
      <c r="B759" s="322"/>
      <c r="E759" s="325"/>
      <c r="J759" s="320"/>
      <c r="L759" s="320"/>
      <c r="W759" s="320"/>
    </row>
    <row r="760">
      <c r="B760" s="322"/>
      <c r="E760" s="325"/>
      <c r="J760" s="320"/>
      <c r="L760" s="320"/>
      <c r="W760" s="320"/>
    </row>
    <row r="761">
      <c r="B761" s="322"/>
      <c r="E761" s="325"/>
      <c r="J761" s="320"/>
      <c r="L761" s="320"/>
      <c r="W761" s="320"/>
    </row>
    <row r="762">
      <c r="B762" s="322"/>
      <c r="E762" s="325"/>
      <c r="J762" s="320"/>
      <c r="L762" s="320"/>
      <c r="W762" s="320"/>
    </row>
    <row r="763">
      <c r="B763" s="322"/>
      <c r="E763" s="325"/>
      <c r="J763" s="320"/>
      <c r="L763" s="320"/>
      <c r="W763" s="320"/>
    </row>
    <row r="764">
      <c r="B764" s="322"/>
      <c r="E764" s="325"/>
      <c r="J764" s="320"/>
      <c r="L764" s="320"/>
      <c r="W764" s="320"/>
    </row>
    <row r="765">
      <c r="B765" s="322"/>
      <c r="E765" s="325"/>
      <c r="J765" s="320"/>
      <c r="L765" s="320"/>
      <c r="W765" s="320"/>
    </row>
    <row r="766">
      <c r="B766" s="322"/>
      <c r="E766" s="325"/>
      <c r="J766" s="320"/>
      <c r="L766" s="320"/>
      <c r="W766" s="320"/>
    </row>
    <row r="767">
      <c r="B767" s="322"/>
      <c r="E767" s="325"/>
      <c r="J767" s="320"/>
      <c r="L767" s="320"/>
      <c r="W767" s="320"/>
    </row>
    <row r="768">
      <c r="B768" s="322"/>
      <c r="E768" s="325"/>
      <c r="J768" s="320"/>
      <c r="L768" s="320"/>
      <c r="W768" s="320"/>
    </row>
    <row r="769">
      <c r="B769" s="322"/>
      <c r="E769" s="325"/>
      <c r="J769" s="320"/>
      <c r="L769" s="320"/>
      <c r="W769" s="320"/>
    </row>
    <row r="770">
      <c r="B770" s="322"/>
      <c r="E770" s="325"/>
      <c r="J770" s="320"/>
      <c r="L770" s="320"/>
      <c r="W770" s="320"/>
    </row>
    <row r="771">
      <c r="B771" s="322"/>
      <c r="E771" s="325"/>
      <c r="J771" s="320"/>
      <c r="L771" s="320"/>
      <c r="W771" s="320"/>
    </row>
    <row r="772">
      <c r="B772" s="322"/>
      <c r="E772" s="325"/>
      <c r="J772" s="320"/>
      <c r="L772" s="320"/>
      <c r="W772" s="320"/>
    </row>
    <row r="773">
      <c r="B773" s="322"/>
      <c r="E773" s="325"/>
      <c r="J773" s="320"/>
      <c r="L773" s="320"/>
      <c r="W773" s="320"/>
    </row>
    <row r="774">
      <c r="B774" s="322"/>
      <c r="E774" s="325"/>
      <c r="J774" s="320"/>
      <c r="L774" s="320"/>
      <c r="W774" s="320"/>
    </row>
    <row r="775">
      <c r="B775" s="322"/>
      <c r="E775" s="325"/>
      <c r="J775" s="320"/>
      <c r="L775" s="320"/>
      <c r="W775" s="320"/>
    </row>
    <row r="776">
      <c r="B776" s="322"/>
      <c r="E776" s="325"/>
      <c r="J776" s="320"/>
      <c r="L776" s="320"/>
      <c r="W776" s="320"/>
    </row>
    <row r="777">
      <c r="B777" s="322"/>
      <c r="E777" s="325"/>
      <c r="J777" s="320"/>
      <c r="L777" s="320"/>
      <c r="W777" s="320"/>
    </row>
    <row r="778">
      <c r="B778" s="322"/>
      <c r="E778" s="325"/>
      <c r="J778" s="320"/>
      <c r="L778" s="320"/>
      <c r="W778" s="320"/>
    </row>
    <row r="779">
      <c r="B779" s="322"/>
      <c r="E779" s="325"/>
      <c r="J779" s="320"/>
      <c r="L779" s="320"/>
      <c r="W779" s="320"/>
    </row>
    <row r="780">
      <c r="B780" s="322"/>
      <c r="E780" s="325"/>
      <c r="J780" s="320"/>
      <c r="L780" s="320"/>
      <c r="W780" s="320"/>
    </row>
    <row r="781">
      <c r="B781" s="322"/>
      <c r="E781" s="325"/>
      <c r="J781" s="320"/>
      <c r="L781" s="320"/>
      <c r="W781" s="320"/>
    </row>
    <row r="782">
      <c r="B782" s="322"/>
      <c r="E782" s="325"/>
      <c r="J782" s="320"/>
      <c r="L782" s="320"/>
      <c r="W782" s="320"/>
    </row>
    <row r="783">
      <c r="B783" s="322"/>
      <c r="E783" s="325"/>
      <c r="J783" s="320"/>
      <c r="L783" s="320"/>
      <c r="W783" s="320"/>
    </row>
    <row r="784">
      <c r="B784" s="322"/>
      <c r="E784" s="325"/>
      <c r="J784" s="320"/>
      <c r="L784" s="320"/>
      <c r="W784" s="320"/>
    </row>
    <row r="785">
      <c r="B785" s="322"/>
      <c r="E785" s="325"/>
      <c r="J785" s="320"/>
      <c r="L785" s="320"/>
      <c r="W785" s="320"/>
    </row>
    <row r="786">
      <c r="B786" s="322"/>
      <c r="E786" s="325"/>
      <c r="J786" s="320"/>
      <c r="L786" s="320"/>
      <c r="W786" s="320"/>
    </row>
    <row r="787">
      <c r="B787" s="322"/>
      <c r="E787" s="325"/>
      <c r="J787" s="320"/>
      <c r="L787" s="320"/>
      <c r="W787" s="320"/>
    </row>
    <row r="788">
      <c r="B788" s="322"/>
      <c r="E788" s="325"/>
      <c r="J788" s="320"/>
      <c r="L788" s="320"/>
      <c r="W788" s="320"/>
    </row>
    <row r="789">
      <c r="B789" s="322"/>
      <c r="E789" s="325"/>
      <c r="J789" s="320"/>
      <c r="L789" s="320"/>
      <c r="W789" s="320"/>
    </row>
    <row r="790">
      <c r="B790" s="322"/>
      <c r="E790" s="325"/>
      <c r="J790" s="320"/>
      <c r="L790" s="320"/>
      <c r="W790" s="320"/>
    </row>
    <row r="791">
      <c r="B791" s="322"/>
      <c r="E791" s="325"/>
      <c r="J791" s="320"/>
      <c r="L791" s="320"/>
      <c r="W791" s="320"/>
    </row>
    <row r="792">
      <c r="B792" s="322"/>
      <c r="E792" s="325"/>
      <c r="J792" s="320"/>
      <c r="L792" s="320"/>
      <c r="W792" s="320"/>
    </row>
    <row r="793">
      <c r="B793" s="322"/>
      <c r="E793" s="325"/>
      <c r="J793" s="320"/>
      <c r="L793" s="320"/>
      <c r="W793" s="320"/>
    </row>
    <row r="794">
      <c r="B794" s="322"/>
      <c r="E794" s="325"/>
      <c r="J794" s="320"/>
      <c r="L794" s="320"/>
      <c r="W794" s="320"/>
    </row>
    <row r="795">
      <c r="B795" s="322"/>
      <c r="E795" s="325"/>
      <c r="J795" s="320"/>
      <c r="L795" s="320"/>
      <c r="W795" s="320"/>
    </row>
    <row r="796">
      <c r="B796" s="322"/>
      <c r="E796" s="325"/>
      <c r="J796" s="320"/>
      <c r="L796" s="320"/>
      <c r="W796" s="320"/>
    </row>
    <row r="797">
      <c r="B797" s="322"/>
      <c r="E797" s="325"/>
      <c r="J797" s="320"/>
      <c r="L797" s="320"/>
      <c r="W797" s="320"/>
    </row>
    <row r="798">
      <c r="B798" s="322"/>
      <c r="E798" s="325"/>
      <c r="J798" s="320"/>
      <c r="L798" s="320"/>
      <c r="W798" s="320"/>
    </row>
    <row r="799">
      <c r="B799" s="322"/>
      <c r="E799" s="325"/>
      <c r="J799" s="320"/>
      <c r="L799" s="320"/>
      <c r="W799" s="320"/>
    </row>
    <row r="800">
      <c r="B800" s="322"/>
      <c r="E800" s="325"/>
      <c r="J800" s="320"/>
      <c r="L800" s="320"/>
      <c r="W800" s="320"/>
    </row>
    <row r="801">
      <c r="B801" s="322"/>
      <c r="E801" s="325"/>
      <c r="J801" s="320"/>
      <c r="L801" s="320"/>
      <c r="W801" s="320"/>
    </row>
    <row r="802">
      <c r="B802" s="322"/>
      <c r="E802" s="325"/>
      <c r="J802" s="320"/>
      <c r="L802" s="320"/>
      <c r="W802" s="320"/>
    </row>
    <row r="803">
      <c r="B803" s="322"/>
      <c r="E803" s="325"/>
      <c r="J803" s="320"/>
      <c r="L803" s="320"/>
      <c r="W803" s="320"/>
    </row>
    <row r="804">
      <c r="B804" s="322"/>
      <c r="E804" s="325"/>
      <c r="J804" s="320"/>
      <c r="L804" s="320"/>
      <c r="W804" s="320"/>
    </row>
    <row r="805">
      <c r="B805" s="322"/>
      <c r="E805" s="325"/>
      <c r="J805" s="320"/>
      <c r="L805" s="320"/>
      <c r="W805" s="320"/>
    </row>
    <row r="806">
      <c r="B806" s="322"/>
      <c r="E806" s="325"/>
      <c r="J806" s="320"/>
      <c r="L806" s="320"/>
      <c r="W806" s="320"/>
    </row>
    <row r="807">
      <c r="B807" s="322"/>
      <c r="E807" s="325"/>
      <c r="J807" s="320"/>
      <c r="L807" s="320"/>
      <c r="W807" s="320"/>
    </row>
    <row r="808">
      <c r="B808" s="322"/>
      <c r="E808" s="325"/>
      <c r="J808" s="320"/>
      <c r="L808" s="320"/>
      <c r="W808" s="320"/>
    </row>
    <row r="809">
      <c r="B809" s="322"/>
      <c r="E809" s="325"/>
      <c r="J809" s="320"/>
      <c r="L809" s="320"/>
      <c r="W809" s="320"/>
    </row>
    <row r="810">
      <c r="B810" s="322"/>
      <c r="E810" s="325"/>
      <c r="J810" s="320"/>
      <c r="L810" s="320"/>
      <c r="W810" s="320"/>
    </row>
    <row r="811">
      <c r="B811" s="322"/>
      <c r="E811" s="325"/>
      <c r="J811" s="320"/>
      <c r="L811" s="320"/>
      <c r="W811" s="320"/>
    </row>
    <row r="812">
      <c r="B812" s="322"/>
      <c r="E812" s="325"/>
      <c r="J812" s="320"/>
      <c r="L812" s="320"/>
      <c r="W812" s="320"/>
    </row>
    <row r="813">
      <c r="B813" s="322"/>
      <c r="E813" s="325"/>
      <c r="J813" s="320"/>
      <c r="L813" s="320"/>
      <c r="W813" s="320"/>
    </row>
    <row r="814">
      <c r="B814" s="322"/>
      <c r="E814" s="325"/>
      <c r="J814" s="320"/>
      <c r="L814" s="320"/>
      <c r="W814" s="320"/>
    </row>
    <row r="815">
      <c r="B815" s="322"/>
      <c r="E815" s="325"/>
      <c r="J815" s="320"/>
      <c r="L815" s="320"/>
      <c r="W815" s="320"/>
    </row>
    <row r="816">
      <c r="B816" s="322"/>
      <c r="E816" s="325"/>
      <c r="J816" s="320"/>
      <c r="L816" s="320"/>
      <c r="W816" s="320"/>
    </row>
    <row r="817">
      <c r="B817" s="322"/>
      <c r="E817" s="325"/>
      <c r="J817" s="320"/>
      <c r="L817" s="320"/>
      <c r="W817" s="320"/>
    </row>
    <row r="818">
      <c r="B818" s="322"/>
      <c r="E818" s="325"/>
      <c r="J818" s="320"/>
      <c r="L818" s="320"/>
      <c r="W818" s="320"/>
    </row>
    <row r="819">
      <c r="B819" s="322"/>
      <c r="E819" s="325"/>
      <c r="J819" s="320"/>
      <c r="L819" s="320"/>
      <c r="W819" s="320"/>
    </row>
    <row r="820">
      <c r="B820" s="322"/>
      <c r="E820" s="325"/>
      <c r="J820" s="320"/>
      <c r="L820" s="320"/>
      <c r="W820" s="320"/>
    </row>
    <row r="821">
      <c r="B821" s="322"/>
      <c r="E821" s="325"/>
      <c r="J821" s="320"/>
      <c r="L821" s="320"/>
      <c r="W821" s="320"/>
    </row>
    <row r="822">
      <c r="B822" s="322"/>
      <c r="E822" s="325"/>
      <c r="J822" s="320"/>
      <c r="L822" s="320"/>
      <c r="W822" s="320"/>
    </row>
    <row r="823">
      <c r="B823" s="322"/>
      <c r="E823" s="325"/>
      <c r="J823" s="320"/>
      <c r="L823" s="320"/>
      <c r="W823" s="320"/>
    </row>
    <row r="824">
      <c r="B824" s="322"/>
      <c r="E824" s="325"/>
      <c r="J824" s="320"/>
      <c r="L824" s="320"/>
      <c r="W824" s="320"/>
    </row>
    <row r="825">
      <c r="B825" s="322"/>
      <c r="E825" s="325"/>
      <c r="J825" s="320"/>
      <c r="L825" s="320"/>
      <c r="W825" s="320"/>
    </row>
    <row r="826">
      <c r="B826" s="322"/>
      <c r="E826" s="325"/>
      <c r="J826" s="320"/>
      <c r="L826" s="320"/>
      <c r="W826" s="320"/>
    </row>
    <row r="827">
      <c r="B827" s="322"/>
      <c r="E827" s="325"/>
      <c r="J827" s="320"/>
      <c r="L827" s="320"/>
      <c r="W827" s="320"/>
    </row>
    <row r="828">
      <c r="B828" s="322"/>
      <c r="E828" s="325"/>
      <c r="J828" s="320"/>
      <c r="L828" s="320"/>
      <c r="W828" s="320"/>
    </row>
    <row r="829">
      <c r="B829" s="322"/>
      <c r="E829" s="325"/>
      <c r="J829" s="320"/>
      <c r="L829" s="320"/>
      <c r="W829" s="320"/>
    </row>
    <row r="830">
      <c r="B830" s="322"/>
      <c r="E830" s="325"/>
      <c r="J830" s="320"/>
      <c r="L830" s="320"/>
      <c r="W830" s="320"/>
    </row>
    <row r="831">
      <c r="B831" s="322"/>
      <c r="E831" s="325"/>
      <c r="J831" s="320"/>
      <c r="L831" s="320"/>
      <c r="W831" s="320"/>
    </row>
    <row r="832">
      <c r="B832" s="322"/>
      <c r="E832" s="325"/>
      <c r="J832" s="320"/>
      <c r="L832" s="320"/>
      <c r="W832" s="320"/>
    </row>
    <row r="833">
      <c r="B833" s="322"/>
      <c r="E833" s="325"/>
      <c r="J833" s="320"/>
      <c r="L833" s="320"/>
      <c r="W833" s="320"/>
    </row>
    <row r="834">
      <c r="B834" s="322"/>
      <c r="E834" s="325"/>
      <c r="J834" s="320"/>
      <c r="L834" s="320"/>
      <c r="W834" s="320"/>
    </row>
    <row r="835">
      <c r="B835" s="322"/>
      <c r="E835" s="325"/>
      <c r="J835" s="320"/>
      <c r="L835" s="320"/>
      <c r="W835" s="320"/>
    </row>
    <row r="836">
      <c r="B836" s="322"/>
      <c r="E836" s="325"/>
      <c r="J836" s="320"/>
      <c r="L836" s="320"/>
      <c r="W836" s="320"/>
    </row>
    <row r="837">
      <c r="B837" s="322"/>
      <c r="E837" s="325"/>
      <c r="J837" s="320"/>
      <c r="L837" s="320"/>
      <c r="W837" s="320"/>
    </row>
    <row r="838">
      <c r="B838" s="322"/>
      <c r="E838" s="325"/>
      <c r="J838" s="320"/>
      <c r="L838" s="320"/>
      <c r="W838" s="320"/>
    </row>
    <row r="839">
      <c r="B839" s="322"/>
      <c r="E839" s="325"/>
      <c r="J839" s="320"/>
      <c r="L839" s="320"/>
      <c r="W839" s="320"/>
    </row>
    <row r="840">
      <c r="B840" s="322"/>
      <c r="E840" s="325"/>
      <c r="J840" s="320"/>
      <c r="L840" s="320"/>
      <c r="W840" s="320"/>
    </row>
    <row r="841">
      <c r="B841" s="322"/>
      <c r="E841" s="325"/>
      <c r="J841" s="320"/>
      <c r="L841" s="320"/>
      <c r="W841" s="320"/>
    </row>
    <row r="842">
      <c r="B842" s="322"/>
      <c r="E842" s="325"/>
      <c r="J842" s="320"/>
      <c r="L842" s="320"/>
      <c r="W842" s="320"/>
    </row>
    <row r="843">
      <c r="B843" s="322"/>
      <c r="E843" s="325"/>
      <c r="J843" s="320"/>
      <c r="L843" s="320"/>
      <c r="W843" s="320"/>
    </row>
    <row r="844">
      <c r="B844" s="322"/>
      <c r="E844" s="325"/>
      <c r="J844" s="320"/>
      <c r="L844" s="320"/>
      <c r="W844" s="320"/>
    </row>
    <row r="845">
      <c r="B845" s="322"/>
      <c r="E845" s="325"/>
      <c r="J845" s="320"/>
      <c r="L845" s="320"/>
      <c r="W845" s="320"/>
    </row>
    <row r="846">
      <c r="B846" s="322"/>
      <c r="E846" s="325"/>
      <c r="J846" s="320"/>
      <c r="L846" s="320"/>
      <c r="W846" s="320"/>
    </row>
    <row r="847">
      <c r="B847" s="322"/>
      <c r="E847" s="325"/>
      <c r="J847" s="320"/>
      <c r="L847" s="320"/>
      <c r="W847" s="320"/>
    </row>
    <row r="848">
      <c r="B848" s="322"/>
      <c r="E848" s="325"/>
      <c r="J848" s="320"/>
      <c r="L848" s="320"/>
      <c r="W848" s="320"/>
    </row>
    <row r="849">
      <c r="B849" s="322"/>
      <c r="E849" s="325"/>
      <c r="J849" s="320"/>
      <c r="L849" s="320"/>
      <c r="W849" s="320"/>
    </row>
    <row r="850">
      <c r="B850" s="322"/>
      <c r="E850" s="325"/>
      <c r="J850" s="320"/>
      <c r="L850" s="320"/>
      <c r="W850" s="320"/>
    </row>
    <row r="851">
      <c r="B851" s="322"/>
      <c r="E851" s="325"/>
      <c r="J851" s="320"/>
      <c r="L851" s="320"/>
      <c r="W851" s="320"/>
    </row>
    <row r="852">
      <c r="B852" s="322"/>
      <c r="E852" s="325"/>
      <c r="J852" s="320"/>
      <c r="L852" s="320"/>
      <c r="W852" s="320"/>
    </row>
    <row r="853">
      <c r="B853" s="322"/>
      <c r="E853" s="325"/>
      <c r="J853" s="320"/>
      <c r="L853" s="320"/>
      <c r="W853" s="320"/>
    </row>
    <row r="854">
      <c r="B854" s="322"/>
      <c r="E854" s="325"/>
      <c r="J854" s="320"/>
      <c r="L854" s="320"/>
      <c r="W854" s="320"/>
    </row>
    <row r="855">
      <c r="B855" s="322"/>
      <c r="E855" s="325"/>
      <c r="J855" s="320"/>
      <c r="L855" s="320"/>
      <c r="W855" s="320"/>
    </row>
    <row r="856">
      <c r="B856" s="322"/>
      <c r="E856" s="325"/>
      <c r="J856" s="320"/>
      <c r="L856" s="320"/>
      <c r="W856" s="320"/>
    </row>
    <row r="857">
      <c r="B857" s="322"/>
      <c r="E857" s="325"/>
      <c r="J857" s="320"/>
      <c r="L857" s="320"/>
      <c r="W857" s="320"/>
    </row>
    <row r="858">
      <c r="B858" s="322"/>
      <c r="E858" s="325"/>
      <c r="J858" s="320"/>
      <c r="L858" s="320"/>
      <c r="W858" s="320"/>
    </row>
    <row r="859">
      <c r="B859" s="322"/>
      <c r="E859" s="325"/>
      <c r="J859" s="320"/>
      <c r="L859" s="320"/>
      <c r="W859" s="320"/>
    </row>
    <row r="860">
      <c r="B860" s="322"/>
      <c r="E860" s="325"/>
      <c r="J860" s="320"/>
      <c r="L860" s="320"/>
      <c r="W860" s="320"/>
    </row>
    <row r="861">
      <c r="B861" s="322"/>
      <c r="E861" s="325"/>
      <c r="J861" s="320"/>
      <c r="L861" s="320"/>
      <c r="W861" s="320"/>
    </row>
    <row r="862">
      <c r="B862" s="322"/>
      <c r="E862" s="325"/>
      <c r="J862" s="320"/>
      <c r="L862" s="320"/>
      <c r="W862" s="320"/>
    </row>
    <row r="863">
      <c r="B863" s="322"/>
      <c r="E863" s="325"/>
      <c r="J863" s="320"/>
      <c r="L863" s="320"/>
      <c r="W863" s="320"/>
    </row>
    <row r="864">
      <c r="B864" s="322"/>
      <c r="E864" s="325"/>
      <c r="J864" s="320"/>
      <c r="L864" s="320"/>
      <c r="W864" s="320"/>
    </row>
    <row r="865">
      <c r="B865" s="322"/>
      <c r="E865" s="325"/>
      <c r="J865" s="320"/>
      <c r="L865" s="320"/>
      <c r="W865" s="320"/>
    </row>
    <row r="866">
      <c r="B866" s="322"/>
      <c r="E866" s="325"/>
      <c r="J866" s="320"/>
      <c r="L866" s="320"/>
      <c r="W866" s="320"/>
    </row>
    <row r="867">
      <c r="B867" s="322"/>
      <c r="E867" s="325"/>
      <c r="J867" s="320"/>
      <c r="L867" s="320"/>
      <c r="W867" s="320"/>
    </row>
    <row r="868">
      <c r="B868" s="322"/>
      <c r="E868" s="325"/>
      <c r="J868" s="320"/>
      <c r="L868" s="320"/>
      <c r="W868" s="320"/>
    </row>
    <row r="869">
      <c r="B869" s="322"/>
      <c r="E869" s="325"/>
      <c r="J869" s="320"/>
      <c r="L869" s="320"/>
      <c r="W869" s="320"/>
    </row>
    <row r="870">
      <c r="B870" s="322"/>
      <c r="E870" s="325"/>
      <c r="J870" s="320"/>
      <c r="L870" s="320"/>
      <c r="W870" s="320"/>
    </row>
    <row r="871">
      <c r="B871" s="322"/>
      <c r="E871" s="325"/>
      <c r="J871" s="320"/>
      <c r="L871" s="320"/>
      <c r="W871" s="320"/>
    </row>
    <row r="872">
      <c r="B872" s="322"/>
      <c r="E872" s="325"/>
      <c r="J872" s="320"/>
      <c r="L872" s="320"/>
      <c r="W872" s="320"/>
    </row>
    <row r="873">
      <c r="B873" s="322"/>
      <c r="E873" s="325"/>
      <c r="J873" s="320"/>
      <c r="L873" s="320"/>
      <c r="W873" s="320"/>
    </row>
    <row r="874">
      <c r="B874" s="322"/>
      <c r="E874" s="325"/>
      <c r="J874" s="320"/>
      <c r="L874" s="320"/>
      <c r="W874" s="320"/>
    </row>
    <row r="875">
      <c r="B875" s="322"/>
      <c r="E875" s="325"/>
      <c r="J875" s="320"/>
      <c r="L875" s="320"/>
      <c r="W875" s="320"/>
    </row>
    <row r="876">
      <c r="B876" s="322"/>
      <c r="E876" s="325"/>
      <c r="J876" s="320"/>
      <c r="L876" s="320"/>
      <c r="W876" s="320"/>
    </row>
    <row r="877">
      <c r="B877" s="322"/>
      <c r="E877" s="325"/>
      <c r="J877" s="320"/>
      <c r="L877" s="320"/>
      <c r="W877" s="320"/>
    </row>
    <row r="878">
      <c r="B878" s="322"/>
      <c r="E878" s="325"/>
      <c r="J878" s="320"/>
      <c r="L878" s="320"/>
      <c r="W878" s="320"/>
    </row>
    <row r="879">
      <c r="B879" s="322"/>
      <c r="E879" s="325"/>
      <c r="J879" s="320"/>
      <c r="L879" s="320"/>
      <c r="W879" s="320"/>
    </row>
    <row r="880">
      <c r="B880" s="322"/>
      <c r="E880" s="325"/>
      <c r="J880" s="320"/>
      <c r="L880" s="320"/>
      <c r="W880" s="320"/>
    </row>
    <row r="881">
      <c r="B881" s="322"/>
      <c r="E881" s="325"/>
      <c r="J881" s="320"/>
      <c r="L881" s="320"/>
      <c r="W881" s="320"/>
    </row>
    <row r="882">
      <c r="B882" s="322"/>
      <c r="E882" s="325"/>
      <c r="J882" s="320"/>
      <c r="L882" s="320"/>
      <c r="W882" s="320"/>
    </row>
    <row r="883">
      <c r="B883" s="322"/>
      <c r="E883" s="325"/>
      <c r="J883" s="320"/>
      <c r="L883" s="320"/>
      <c r="W883" s="320"/>
    </row>
    <row r="884">
      <c r="B884" s="322"/>
      <c r="E884" s="325"/>
      <c r="J884" s="320"/>
      <c r="L884" s="320"/>
      <c r="W884" s="320"/>
    </row>
    <row r="885">
      <c r="B885" s="322"/>
      <c r="E885" s="325"/>
      <c r="J885" s="320"/>
      <c r="L885" s="320"/>
      <c r="W885" s="320"/>
    </row>
    <row r="886">
      <c r="B886" s="322"/>
      <c r="E886" s="325"/>
      <c r="J886" s="320"/>
      <c r="L886" s="320"/>
      <c r="W886" s="320"/>
    </row>
    <row r="887">
      <c r="B887" s="322"/>
      <c r="E887" s="325"/>
      <c r="J887" s="320"/>
      <c r="L887" s="320"/>
      <c r="W887" s="320"/>
    </row>
    <row r="888">
      <c r="B888" s="322"/>
      <c r="E888" s="325"/>
      <c r="J888" s="320"/>
      <c r="L888" s="320"/>
      <c r="W888" s="320"/>
    </row>
    <row r="889">
      <c r="B889" s="322"/>
      <c r="E889" s="325"/>
      <c r="J889" s="320"/>
      <c r="L889" s="320"/>
      <c r="W889" s="320"/>
    </row>
    <row r="890">
      <c r="B890" s="322"/>
      <c r="E890" s="325"/>
      <c r="J890" s="320"/>
      <c r="L890" s="320"/>
      <c r="W890" s="320"/>
    </row>
    <row r="891">
      <c r="B891" s="322"/>
      <c r="E891" s="325"/>
      <c r="J891" s="320"/>
      <c r="L891" s="320"/>
      <c r="W891" s="320"/>
    </row>
    <row r="892">
      <c r="B892" s="322"/>
      <c r="E892" s="325"/>
      <c r="J892" s="320"/>
      <c r="L892" s="320"/>
      <c r="W892" s="320"/>
    </row>
    <row r="893">
      <c r="B893" s="322"/>
      <c r="E893" s="325"/>
      <c r="J893" s="320"/>
      <c r="L893" s="320"/>
      <c r="W893" s="320"/>
    </row>
    <row r="894">
      <c r="B894" s="322"/>
      <c r="E894" s="325"/>
      <c r="J894" s="320"/>
      <c r="L894" s="320"/>
      <c r="W894" s="320"/>
    </row>
    <row r="895">
      <c r="B895" s="322"/>
      <c r="E895" s="325"/>
      <c r="J895" s="320"/>
      <c r="L895" s="320"/>
      <c r="W895" s="320"/>
    </row>
    <row r="896">
      <c r="B896" s="322"/>
      <c r="E896" s="325"/>
      <c r="J896" s="320"/>
      <c r="L896" s="320"/>
      <c r="W896" s="320"/>
    </row>
    <row r="897">
      <c r="B897" s="322"/>
      <c r="E897" s="325"/>
      <c r="J897" s="320"/>
      <c r="L897" s="320"/>
      <c r="W897" s="320"/>
    </row>
    <row r="898">
      <c r="B898" s="322"/>
      <c r="E898" s="325"/>
      <c r="J898" s="320"/>
      <c r="L898" s="320"/>
      <c r="W898" s="320"/>
    </row>
    <row r="899">
      <c r="B899" s="322"/>
      <c r="E899" s="325"/>
      <c r="J899" s="320"/>
      <c r="L899" s="320"/>
      <c r="W899" s="320"/>
    </row>
    <row r="900">
      <c r="B900" s="322"/>
      <c r="E900" s="325"/>
      <c r="J900" s="320"/>
      <c r="L900" s="320"/>
      <c r="W900" s="320"/>
    </row>
    <row r="901">
      <c r="B901" s="322"/>
      <c r="E901" s="325"/>
      <c r="J901" s="320"/>
      <c r="L901" s="320"/>
      <c r="W901" s="320"/>
    </row>
    <row r="902">
      <c r="B902" s="322"/>
      <c r="E902" s="325"/>
      <c r="J902" s="320"/>
      <c r="L902" s="320"/>
      <c r="W902" s="320"/>
    </row>
    <row r="903">
      <c r="B903" s="322"/>
      <c r="E903" s="325"/>
      <c r="J903" s="320"/>
      <c r="L903" s="320"/>
      <c r="W903" s="320"/>
    </row>
    <row r="904">
      <c r="B904" s="322"/>
      <c r="E904" s="325"/>
      <c r="J904" s="320"/>
      <c r="L904" s="320"/>
      <c r="W904" s="320"/>
    </row>
    <row r="905">
      <c r="B905" s="322"/>
      <c r="E905" s="325"/>
      <c r="J905" s="320"/>
      <c r="L905" s="320"/>
      <c r="W905" s="320"/>
    </row>
    <row r="906">
      <c r="B906" s="322"/>
      <c r="E906" s="325"/>
      <c r="J906" s="320"/>
      <c r="L906" s="320"/>
      <c r="W906" s="320"/>
    </row>
    <row r="907">
      <c r="B907" s="322"/>
      <c r="E907" s="325"/>
      <c r="J907" s="320"/>
      <c r="L907" s="320"/>
      <c r="W907" s="320"/>
    </row>
    <row r="908">
      <c r="B908" s="322"/>
      <c r="E908" s="325"/>
      <c r="J908" s="320"/>
      <c r="L908" s="320"/>
      <c r="W908" s="320"/>
    </row>
    <row r="909">
      <c r="B909" s="322"/>
      <c r="E909" s="325"/>
      <c r="J909" s="320"/>
      <c r="L909" s="320"/>
      <c r="W909" s="320"/>
    </row>
    <row r="910">
      <c r="B910" s="322"/>
      <c r="E910" s="325"/>
      <c r="J910" s="320"/>
      <c r="L910" s="320"/>
      <c r="W910" s="320"/>
    </row>
    <row r="911">
      <c r="B911" s="322"/>
      <c r="E911" s="325"/>
      <c r="J911" s="320"/>
      <c r="L911" s="320"/>
      <c r="W911" s="320"/>
    </row>
    <row r="912">
      <c r="B912" s="322"/>
      <c r="E912" s="325"/>
      <c r="J912" s="320"/>
      <c r="L912" s="320"/>
      <c r="W912" s="320"/>
    </row>
    <row r="913">
      <c r="B913" s="322"/>
      <c r="E913" s="325"/>
      <c r="J913" s="320"/>
      <c r="L913" s="320"/>
      <c r="W913" s="320"/>
    </row>
    <row r="914">
      <c r="B914" s="322"/>
      <c r="E914" s="325"/>
      <c r="J914" s="320"/>
      <c r="L914" s="320"/>
      <c r="W914" s="320"/>
    </row>
    <row r="915">
      <c r="B915" s="322"/>
      <c r="E915" s="325"/>
      <c r="J915" s="320"/>
      <c r="L915" s="320"/>
      <c r="W915" s="320"/>
    </row>
    <row r="916">
      <c r="B916" s="322"/>
      <c r="E916" s="325"/>
      <c r="J916" s="320"/>
      <c r="L916" s="320"/>
      <c r="W916" s="320"/>
    </row>
    <row r="917">
      <c r="B917" s="322"/>
      <c r="E917" s="325"/>
      <c r="J917" s="320"/>
      <c r="L917" s="320"/>
      <c r="W917" s="320"/>
    </row>
    <row r="918">
      <c r="B918" s="322"/>
      <c r="E918" s="325"/>
      <c r="J918" s="320"/>
      <c r="L918" s="320"/>
      <c r="W918" s="320"/>
    </row>
    <row r="919">
      <c r="B919" s="322"/>
      <c r="E919" s="325"/>
      <c r="J919" s="320"/>
      <c r="L919" s="320"/>
      <c r="W919" s="320"/>
    </row>
    <row r="920">
      <c r="B920" s="322"/>
      <c r="E920" s="325"/>
      <c r="J920" s="320"/>
      <c r="L920" s="320"/>
      <c r="W920" s="320"/>
    </row>
    <row r="921">
      <c r="B921" s="322"/>
      <c r="E921" s="325"/>
      <c r="J921" s="320"/>
      <c r="L921" s="320"/>
      <c r="W921" s="320"/>
    </row>
    <row r="922">
      <c r="B922" s="322"/>
      <c r="E922" s="325"/>
      <c r="J922" s="320"/>
      <c r="L922" s="320"/>
      <c r="W922" s="320"/>
    </row>
    <row r="923">
      <c r="B923" s="322"/>
      <c r="E923" s="325"/>
      <c r="J923" s="320"/>
      <c r="L923" s="320"/>
      <c r="W923" s="320"/>
    </row>
    <row r="924">
      <c r="B924" s="322"/>
      <c r="E924" s="325"/>
      <c r="J924" s="320"/>
      <c r="L924" s="320"/>
      <c r="W924" s="320"/>
    </row>
    <row r="925">
      <c r="B925" s="322"/>
      <c r="E925" s="325"/>
      <c r="J925" s="320"/>
      <c r="L925" s="320"/>
      <c r="W925" s="320"/>
    </row>
    <row r="926">
      <c r="B926" s="322"/>
      <c r="E926" s="325"/>
      <c r="J926" s="320"/>
      <c r="L926" s="320"/>
      <c r="W926" s="320"/>
    </row>
    <row r="927">
      <c r="B927" s="322"/>
      <c r="E927" s="325"/>
      <c r="J927" s="320"/>
      <c r="L927" s="320"/>
      <c r="W927" s="320"/>
    </row>
    <row r="928">
      <c r="B928" s="322"/>
      <c r="E928" s="325"/>
      <c r="J928" s="320"/>
      <c r="L928" s="320"/>
      <c r="W928" s="320"/>
    </row>
    <row r="929">
      <c r="B929" s="322"/>
      <c r="E929" s="325"/>
      <c r="J929" s="320"/>
      <c r="L929" s="320"/>
      <c r="W929" s="320"/>
    </row>
    <row r="930">
      <c r="B930" s="322"/>
      <c r="E930" s="325"/>
      <c r="J930" s="320"/>
      <c r="L930" s="320"/>
      <c r="W930" s="320"/>
    </row>
    <row r="931">
      <c r="B931" s="322"/>
      <c r="E931" s="325"/>
      <c r="J931" s="320"/>
      <c r="L931" s="320"/>
      <c r="W931" s="320"/>
    </row>
    <row r="932">
      <c r="B932" s="322"/>
      <c r="E932" s="325"/>
      <c r="J932" s="320"/>
      <c r="L932" s="320"/>
      <c r="W932" s="320"/>
    </row>
    <row r="933">
      <c r="B933" s="322"/>
      <c r="E933" s="325"/>
      <c r="J933" s="320"/>
      <c r="L933" s="320"/>
      <c r="W933" s="320"/>
    </row>
    <row r="934">
      <c r="B934" s="322"/>
      <c r="E934" s="325"/>
      <c r="J934" s="320"/>
      <c r="L934" s="320"/>
      <c r="W934" s="320"/>
    </row>
    <row r="935">
      <c r="B935" s="322"/>
      <c r="E935" s="325"/>
      <c r="J935" s="320"/>
      <c r="L935" s="320"/>
      <c r="W935" s="320"/>
    </row>
    <row r="936">
      <c r="B936" s="322"/>
      <c r="E936" s="325"/>
      <c r="J936" s="320"/>
      <c r="L936" s="320"/>
      <c r="W936" s="320"/>
    </row>
    <row r="937">
      <c r="B937" s="322"/>
      <c r="E937" s="325"/>
      <c r="J937" s="320"/>
      <c r="L937" s="320"/>
      <c r="W937" s="320"/>
    </row>
    <row r="938">
      <c r="B938" s="322"/>
      <c r="E938" s="325"/>
      <c r="J938" s="320"/>
      <c r="L938" s="320"/>
      <c r="W938" s="320"/>
    </row>
    <row r="939">
      <c r="B939" s="322"/>
      <c r="E939" s="325"/>
      <c r="J939" s="320"/>
      <c r="L939" s="320"/>
      <c r="W939" s="320"/>
    </row>
    <row r="940">
      <c r="B940" s="322"/>
      <c r="E940" s="325"/>
      <c r="J940" s="320"/>
      <c r="L940" s="320"/>
      <c r="W940" s="320"/>
    </row>
    <row r="941">
      <c r="B941" s="322"/>
      <c r="E941" s="325"/>
      <c r="J941" s="320"/>
      <c r="L941" s="320"/>
      <c r="W941" s="320"/>
    </row>
    <row r="942">
      <c r="B942" s="322"/>
      <c r="E942" s="325"/>
      <c r="J942" s="320"/>
      <c r="L942" s="320"/>
      <c r="W942" s="320"/>
    </row>
    <row r="943">
      <c r="B943" s="322"/>
      <c r="E943" s="325"/>
      <c r="J943" s="320"/>
      <c r="L943" s="320"/>
      <c r="W943" s="320"/>
    </row>
    <row r="944">
      <c r="B944" s="322"/>
      <c r="E944" s="325"/>
      <c r="J944" s="320"/>
      <c r="L944" s="320"/>
      <c r="W944" s="320"/>
    </row>
    <row r="945">
      <c r="B945" s="322"/>
      <c r="E945" s="325"/>
      <c r="J945" s="320"/>
      <c r="L945" s="320"/>
      <c r="W945" s="320"/>
    </row>
    <row r="946">
      <c r="B946" s="322"/>
      <c r="E946" s="325"/>
      <c r="J946" s="320"/>
      <c r="L946" s="320"/>
      <c r="W946" s="320"/>
    </row>
    <row r="947">
      <c r="B947" s="322"/>
      <c r="E947" s="325"/>
      <c r="J947" s="320"/>
      <c r="L947" s="320"/>
      <c r="W947" s="320"/>
    </row>
    <row r="948">
      <c r="B948" s="322"/>
      <c r="E948" s="325"/>
      <c r="J948" s="320"/>
      <c r="L948" s="320"/>
      <c r="W948" s="320"/>
    </row>
    <row r="949">
      <c r="B949" s="322"/>
      <c r="E949" s="325"/>
      <c r="J949" s="320"/>
      <c r="L949" s="320"/>
      <c r="W949" s="320"/>
    </row>
    <row r="950">
      <c r="B950" s="322"/>
      <c r="E950" s="325"/>
      <c r="J950" s="320"/>
      <c r="L950" s="320"/>
      <c r="W950" s="320"/>
    </row>
    <row r="951">
      <c r="B951" s="322"/>
      <c r="E951" s="325"/>
      <c r="J951" s="320"/>
      <c r="L951" s="320"/>
      <c r="W951" s="320"/>
    </row>
    <row r="952">
      <c r="B952" s="322"/>
      <c r="E952" s="325"/>
      <c r="J952" s="320"/>
      <c r="L952" s="320"/>
      <c r="W952" s="320"/>
    </row>
    <row r="953">
      <c r="B953" s="322"/>
      <c r="E953" s="325"/>
      <c r="J953" s="320"/>
      <c r="L953" s="320"/>
      <c r="W953" s="320"/>
    </row>
    <row r="954">
      <c r="B954" s="322"/>
      <c r="E954" s="325"/>
      <c r="J954" s="320"/>
      <c r="L954" s="320"/>
      <c r="W954" s="320"/>
    </row>
    <row r="955">
      <c r="B955" s="322"/>
      <c r="E955" s="325"/>
      <c r="J955" s="320"/>
      <c r="L955" s="320"/>
      <c r="W955" s="320"/>
    </row>
    <row r="956">
      <c r="B956" s="322"/>
      <c r="E956" s="325"/>
      <c r="J956" s="320"/>
      <c r="L956" s="320"/>
      <c r="W956" s="320"/>
    </row>
    <row r="957">
      <c r="B957" s="322"/>
      <c r="E957" s="325"/>
      <c r="J957" s="320"/>
      <c r="L957" s="320"/>
      <c r="W957" s="320"/>
    </row>
    <row r="958">
      <c r="B958" s="322"/>
      <c r="E958" s="325"/>
      <c r="J958" s="320"/>
      <c r="L958" s="320"/>
      <c r="W958" s="320"/>
    </row>
    <row r="959">
      <c r="B959" s="322"/>
      <c r="E959" s="325"/>
      <c r="J959" s="320"/>
      <c r="L959" s="320"/>
      <c r="W959" s="320"/>
    </row>
    <row r="960">
      <c r="B960" s="322"/>
      <c r="E960" s="325"/>
      <c r="J960" s="320"/>
      <c r="L960" s="320"/>
      <c r="W960" s="320"/>
    </row>
    <row r="961">
      <c r="B961" s="322"/>
      <c r="E961" s="325"/>
      <c r="J961" s="320"/>
      <c r="L961" s="320"/>
      <c r="W961" s="320"/>
    </row>
    <row r="962">
      <c r="B962" s="322"/>
      <c r="E962" s="325"/>
      <c r="J962" s="320"/>
      <c r="L962" s="320"/>
      <c r="W962" s="320"/>
    </row>
    <row r="963">
      <c r="B963" s="322"/>
      <c r="E963" s="325"/>
      <c r="J963" s="320"/>
      <c r="L963" s="320"/>
      <c r="W963" s="320"/>
    </row>
    <row r="964">
      <c r="B964" s="322"/>
      <c r="E964" s="325"/>
      <c r="J964" s="320"/>
      <c r="L964" s="320"/>
      <c r="W964" s="320"/>
    </row>
    <row r="965">
      <c r="B965" s="322"/>
      <c r="E965" s="325"/>
      <c r="J965" s="320"/>
      <c r="L965" s="320"/>
      <c r="W965" s="320"/>
    </row>
    <row r="966">
      <c r="B966" s="322"/>
      <c r="E966" s="325"/>
      <c r="J966" s="320"/>
      <c r="L966" s="320"/>
      <c r="W966" s="320"/>
    </row>
    <row r="967">
      <c r="B967" s="322"/>
      <c r="E967" s="325"/>
      <c r="J967" s="320"/>
      <c r="L967" s="320"/>
      <c r="W967" s="320"/>
    </row>
    <row r="968">
      <c r="B968" s="322"/>
      <c r="E968" s="325"/>
      <c r="J968" s="320"/>
      <c r="L968" s="320"/>
      <c r="W968" s="320"/>
    </row>
    <row r="969">
      <c r="B969" s="322"/>
      <c r="E969" s="325"/>
      <c r="J969" s="320"/>
      <c r="L969" s="320"/>
      <c r="W969" s="320"/>
    </row>
    <row r="970">
      <c r="B970" s="322"/>
      <c r="E970" s="325"/>
      <c r="J970" s="320"/>
      <c r="L970" s="320"/>
      <c r="W970" s="320"/>
    </row>
    <row r="971">
      <c r="B971" s="322"/>
      <c r="E971" s="325"/>
      <c r="J971" s="320"/>
      <c r="L971" s="320"/>
      <c r="W971" s="320"/>
    </row>
    <row r="972">
      <c r="B972" s="322"/>
      <c r="E972" s="325"/>
      <c r="J972" s="320"/>
      <c r="L972" s="320"/>
      <c r="W972" s="320"/>
    </row>
    <row r="973">
      <c r="B973" s="322"/>
      <c r="E973" s="325"/>
      <c r="J973" s="320"/>
      <c r="L973" s="320"/>
      <c r="W973" s="320"/>
    </row>
    <row r="974">
      <c r="B974" s="322"/>
      <c r="E974" s="325"/>
      <c r="J974" s="320"/>
      <c r="L974" s="320"/>
      <c r="W974" s="320"/>
    </row>
    <row r="975">
      <c r="B975" s="322"/>
      <c r="E975" s="325"/>
      <c r="J975" s="320"/>
      <c r="L975" s="320"/>
      <c r="W975" s="320"/>
    </row>
    <row r="976">
      <c r="B976" s="322"/>
      <c r="E976" s="325"/>
      <c r="J976" s="320"/>
      <c r="L976" s="320"/>
      <c r="W976" s="320"/>
    </row>
    <row r="977">
      <c r="B977" s="322"/>
      <c r="E977" s="325"/>
      <c r="J977" s="320"/>
      <c r="L977" s="320"/>
      <c r="W977" s="320"/>
    </row>
    <row r="978">
      <c r="B978" s="322"/>
      <c r="E978" s="325"/>
      <c r="J978" s="320"/>
      <c r="L978" s="320"/>
      <c r="W978" s="320"/>
    </row>
    <row r="979">
      <c r="B979" s="322"/>
      <c r="E979" s="325"/>
      <c r="J979" s="320"/>
      <c r="L979" s="320"/>
      <c r="W979" s="320"/>
    </row>
    <row r="980">
      <c r="B980" s="322"/>
      <c r="E980" s="325"/>
      <c r="J980" s="320"/>
      <c r="L980" s="320"/>
      <c r="W980" s="320"/>
    </row>
    <row r="981">
      <c r="B981" s="322"/>
      <c r="E981" s="325"/>
      <c r="J981" s="320"/>
      <c r="L981" s="320"/>
      <c r="W981" s="320"/>
    </row>
    <row r="982">
      <c r="B982" s="322"/>
      <c r="E982" s="325"/>
      <c r="J982" s="320"/>
      <c r="L982" s="320"/>
      <c r="W982" s="320"/>
    </row>
    <row r="983">
      <c r="B983" s="322"/>
      <c r="E983" s="325"/>
      <c r="J983" s="320"/>
      <c r="L983" s="320"/>
      <c r="W983" s="320"/>
    </row>
    <row r="984">
      <c r="B984" s="322"/>
      <c r="E984" s="325"/>
      <c r="J984" s="320"/>
      <c r="L984" s="320"/>
      <c r="W984" s="320"/>
    </row>
    <row r="985">
      <c r="B985" s="322"/>
      <c r="E985" s="325"/>
      <c r="J985" s="320"/>
      <c r="L985" s="320"/>
      <c r="W985" s="320"/>
    </row>
    <row r="986">
      <c r="B986" s="322"/>
      <c r="E986" s="325"/>
      <c r="J986" s="320"/>
      <c r="L986" s="320"/>
      <c r="W986" s="320"/>
    </row>
    <row r="987">
      <c r="B987" s="322"/>
      <c r="E987" s="325"/>
      <c r="J987" s="320"/>
      <c r="L987" s="320"/>
      <c r="W987" s="320"/>
    </row>
    <row r="988">
      <c r="B988" s="322"/>
      <c r="E988" s="325"/>
      <c r="J988" s="320"/>
      <c r="L988" s="320"/>
      <c r="W988" s="320"/>
    </row>
    <row r="989">
      <c r="B989" s="322"/>
      <c r="E989" s="325"/>
      <c r="J989" s="320"/>
      <c r="L989" s="320"/>
      <c r="W989" s="320"/>
    </row>
    <row r="990">
      <c r="B990" s="322"/>
      <c r="E990" s="325"/>
      <c r="J990" s="320"/>
      <c r="L990" s="320"/>
      <c r="W990" s="320"/>
    </row>
    <row r="991">
      <c r="B991" s="322"/>
      <c r="E991" s="325"/>
      <c r="J991" s="320"/>
      <c r="L991" s="320"/>
      <c r="W991" s="320"/>
    </row>
    <row r="992">
      <c r="B992" s="322"/>
      <c r="E992" s="325"/>
      <c r="J992" s="320"/>
      <c r="L992" s="320"/>
      <c r="W992" s="320"/>
    </row>
    <row r="993">
      <c r="B993" s="322"/>
      <c r="E993" s="325"/>
      <c r="J993" s="320"/>
      <c r="L993" s="320"/>
      <c r="W993" s="320"/>
    </row>
    <row r="994">
      <c r="B994" s="322"/>
      <c r="E994" s="325"/>
      <c r="J994" s="320"/>
      <c r="L994" s="320"/>
      <c r="W994" s="320"/>
    </row>
    <row r="995">
      <c r="B995" s="322"/>
      <c r="E995" s="325"/>
      <c r="J995" s="320"/>
      <c r="L995" s="320"/>
      <c r="W995" s="320"/>
    </row>
    <row r="996">
      <c r="B996" s="322"/>
      <c r="E996" s="325"/>
      <c r="J996" s="320"/>
      <c r="L996" s="320"/>
      <c r="W996" s="320"/>
    </row>
    <row r="997">
      <c r="B997" s="322"/>
      <c r="E997" s="325"/>
      <c r="J997" s="320"/>
      <c r="L997" s="320"/>
      <c r="W997" s="320"/>
    </row>
    <row r="998">
      <c r="B998" s="322"/>
      <c r="E998" s="325"/>
      <c r="J998" s="320"/>
      <c r="L998" s="320"/>
      <c r="W998" s="320"/>
    </row>
    <row r="999">
      <c r="B999" s="322"/>
      <c r="E999" s="325"/>
      <c r="J999" s="320"/>
      <c r="L999" s="320"/>
      <c r="W999" s="320"/>
    </row>
    <row r="1000">
      <c r="B1000" s="322"/>
      <c r="E1000" s="325"/>
      <c r="J1000" s="320"/>
      <c r="L1000" s="320"/>
      <c r="W1000" s="32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K1" s="320"/>
    </row>
    <row r="2">
      <c r="K2" s="320"/>
    </row>
    <row r="3">
      <c r="K3" s="320"/>
    </row>
    <row r="4">
      <c r="K4" s="320"/>
    </row>
    <row r="5">
      <c r="K5" s="320"/>
    </row>
    <row r="6">
      <c r="K6" s="320"/>
    </row>
    <row r="7">
      <c r="K7" s="320"/>
    </row>
    <row r="8">
      <c r="K8" s="320"/>
    </row>
    <row r="9">
      <c r="K9" s="320"/>
    </row>
    <row r="10">
      <c r="K10" s="320"/>
    </row>
    <row r="11">
      <c r="K11" s="320"/>
    </row>
    <row r="12">
      <c r="K12" s="320"/>
    </row>
    <row r="13">
      <c r="K13" s="320"/>
    </row>
    <row r="14">
      <c r="K14" s="320"/>
    </row>
    <row r="15">
      <c r="K15" s="320"/>
    </row>
    <row r="16">
      <c r="K16" s="320"/>
    </row>
    <row r="17">
      <c r="K17" s="320"/>
    </row>
    <row r="18">
      <c r="K18" s="320"/>
    </row>
    <row r="19">
      <c r="K19" s="320"/>
    </row>
    <row r="20">
      <c r="K20" s="320"/>
    </row>
    <row r="21">
      <c r="K21" s="320"/>
    </row>
    <row r="22">
      <c r="K22" s="320"/>
    </row>
    <row r="23">
      <c r="K23" s="320"/>
    </row>
    <row r="24">
      <c r="K24" s="320"/>
    </row>
    <row r="25">
      <c r="K25" s="320"/>
    </row>
    <row r="26">
      <c r="K26" s="320"/>
    </row>
    <row r="27">
      <c r="K27" s="320"/>
    </row>
    <row r="28">
      <c r="K28" s="320"/>
    </row>
    <row r="29">
      <c r="K29" s="320"/>
    </row>
    <row r="30">
      <c r="K30" s="320"/>
    </row>
    <row r="31">
      <c r="K31" s="320"/>
    </row>
    <row r="32">
      <c r="K32" s="320"/>
    </row>
    <row r="33">
      <c r="K33" s="320"/>
    </row>
    <row r="34">
      <c r="K34" s="320"/>
    </row>
    <row r="35">
      <c r="K35" s="320"/>
    </row>
    <row r="36">
      <c r="K36" s="320"/>
    </row>
    <row r="37">
      <c r="K37" s="320"/>
    </row>
    <row r="38">
      <c r="K38" s="320"/>
    </row>
    <row r="39">
      <c r="K39" s="320"/>
    </row>
    <row r="40">
      <c r="K40" s="320"/>
    </row>
    <row r="41">
      <c r="K41" s="320"/>
    </row>
    <row r="42">
      <c r="K42" s="320"/>
    </row>
    <row r="43">
      <c r="K43" s="320"/>
    </row>
    <row r="44">
      <c r="K44" s="320"/>
    </row>
    <row r="45">
      <c r="K45" s="320"/>
    </row>
    <row r="46">
      <c r="K46" s="320"/>
    </row>
    <row r="47">
      <c r="K47" s="320"/>
    </row>
    <row r="48">
      <c r="K48" s="320"/>
    </row>
    <row r="49">
      <c r="K49" s="320"/>
    </row>
    <row r="50">
      <c r="K50" s="320"/>
    </row>
    <row r="51">
      <c r="K51" s="320"/>
    </row>
    <row r="52">
      <c r="K52" s="320"/>
    </row>
    <row r="53">
      <c r="K53" s="320"/>
    </row>
    <row r="54">
      <c r="K54" s="320"/>
    </row>
    <row r="55">
      <c r="K55" s="320"/>
    </row>
    <row r="56">
      <c r="C56" s="320"/>
      <c r="E56" s="320"/>
      <c r="G56" s="320"/>
      <c r="I56" s="320"/>
      <c r="K56" s="320"/>
    </row>
    <row r="57">
      <c r="C57" s="320"/>
      <c r="E57" s="320"/>
      <c r="G57" s="320"/>
      <c r="I57" s="320"/>
      <c r="K57" s="320"/>
    </row>
    <row r="58">
      <c r="C58" s="320"/>
      <c r="E58" s="320"/>
      <c r="G58" s="320"/>
      <c r="I58" s="320"/>
      <c r="K58" s="320"/>
    </row>
    <row r="59">
      <c r="C59" s="320"/>
      <c r="E59" s="320"/>
      <c r="G59" s="320"/>
      <c r="I59" s="320"/>
      <c r="K59" s="320"/>
    </row>
    <row r="60">
      <c r="C60" s="320"/>
      <c r="E60" s="320"/>
      <c r="G60" s="320"/>
      <c r="I60" s="320"/>
      <c r="K60" s="320"/>
    </row>
    <row r="61">
      <c r="C61" s="320"/>
      <c r="E61" s="320"/>
      <c r="G61" s="320"/>
      <c r="I61" s="320"/>
      <c r="K61" s="320"/>
    </row>
    <row r="62">
      <c r="C62" s="320"/>
      <c r="E62" s="320"/>
      <c r="G62" s="320"/>
      <c r="I62" s="320"/>
      <c r="K62" s="320"/>
    </row>
    <row r="63">
      <c r="C63" s="320"/>
      <c r="E63" s="320"/>
      <c r="G63" s="320"/>
      <c r="I63" s="320"/>
      <c r="K63" s="320"/>
    </row>
    <row r="64">
      <c r="C64" s="320"/>
      <c r="E64" s="320"/>
      <c r="G64" s="320"/>
      <c r="I64" s="320"/>
      <c r="K64" s="320"/>
    </row>
    <row r="65">
      <c r="C65" s="320"/>
      <c r="E65" s="320"/>
      <c r="G65" s="320"/>
      <c r="I65" s="320"/>
      <c r="K65" s="320"/>
    </row>
    <row r="66">
      <c r="C66" s="320"/>
      <c r="E66" s="320"/>
      <c r="G66" s="320"/>
      <c r="I66" s="320"/>
      <c r="K66" s="320"/>
    </row>
    <row r="67">
      <c r="C67" s="320"/>
      <c r="E67" s="320"/>
      <c r="G67" s="320"/>
      <c r="I67" s="320"/>
      <c r="K67" s="320"/>
    </row>
    <row r="68">
      <c r="C68" s="320"/>
      <c r="E68" s="320"/>
      <c r="G68" s="320"/>
      <c r="I68" s="320"/>
      <c r="K68" s="320"/>
    </row>
    <row r="69">
      <c r="C69" s="320"/>
      <c r="E69" s="320"/>
      <c r="G69" s="320"/>
      <c r="I69" s="320"/>
      <c r="K69" s="320"/>
    </row>
    <row r="70">
      <c r="C70" s="320"/>
      <c r="E70" s="320"/>
      <c r="G70" s="320"/>
      <c r="I70" s="320"/>
      <c r="K70" s="320"/>
    </row>
    <row r="71">
      <c r="C71" s="320"/>
      <c r="E71" s="320"/>
      <c r="G71" s="320"/>
      <c r="I71" s="320"/>
      <c r="K71" s="320"/>
    </row>
    <row r="72">
      <c r="C72" s="320"/>
      <c r="E72" s="320"/>
      <c r="G72" s="320"/>
      <c r="I72" s="320"/>
      <c r="K72" s="320"/>
    </row>
    <row r="73">
      <c r="C73" s="320"/>
      <c r="E73" s="320"/>
      <c r="G73" s="320"/>
      <c r="I73" s="320"/>
      <c r="K73" s="320"/>
    </row>
    <row r="74">
      <c r="C74" s="320"/>
      <c r="E74" s="320"/>
      <c r="G74" s="320"/>
      <c r="I74" s="320"/>
      <c r="K74" s="320"/>
    </row>
    <row r="75">
      <c r="C75" s="320"/>
      <c r="E75" s="320"/>
      <c r="G75" s="320"/>
      <c r="I75" s="320"/>
      <c r="K75" s="320"/>
    </row>
    <row r="76">
      <c r="C76" s="320"/>
      <c r="E76" s="320"/>
      <c r="G76" s="320"/>
      <c r="I76" s="320"/>
      <c r="K76" s="320"/>
    </row>
    <row r="77">
      <c r="C77" s="320"/>
      <c r="E77" s="320"/>
      <c r="G77" s="320"/>
      <c r="I77" s="320"/>
      <c r="K77" s="320"/>
    </row>
    <row r="78">
      <c r="C78" s="320"/>
      <c r="E78" s="320"/>
      <c r="G78" s="320"/>
      <c r="I78" s="320"/>
      <c r="K78" s="320"/>
    </row>
    <row r="79">
      <c r="C79" s="320"/>
      <c r="E79" s="320"/>
      <c r="G79" s="320"/>
      <c r="I79" s="320"/>
      <c r="K79" s="320"/>
    </row>
    <row r="80">
      <c r="C80" s="320"/>
      <c r="E80" s="320"/>
      <c r="G80" s="320"/>
      <c r="I80" s="320"/>
      <c r="K80" s="320"/>
    </row>
    <row r="81">
      <c r="C81" s="320"/>
      <c r="E81" s="320"/>
      <c r="G81" s="320"/>
      <c r="I81" s="320"/>
      <c r="K81" s="320"/>
    </row>
    <row r="82">
      <c r="C82" s="320"/>
      <c r="E82" s="320"/>
      <c r="G82" s="320"/>
      <c r="I82" s="320"/>
      <c r="K82" s="320"/>
    </row>
    <row r="83">
      <c r="C83" s="320"/>
      <c r="E83" s="320"/>
      <c r="G83" s="320"/>
      <c r="I83" s="320"/>
      <c r="K83" s="320"/>
    </row>
    <row r="84">
      <c r="C84" s="320"/>
      <c r="E84" s="320"/>
      <c r="G84" s="320"/>
      <c r="I84" s="320"/>
      <c r="K84" s="320"/>
    </row>
    <row r="85">
      <c r="C85" s="320"/>
      <c r="E85" s="320"/>
      <c r="G85" s="320"/>
      <c r="I85" s="320"/>
      <c r="K85" s="320"/>
    </row>
    <row r="86">
      <c r="C86" s="320"/>
      <c r="E86" s="320"/>
      <c r="G86" s="320"/>
      <c r="I86" s="320"/>
      <c r="K86" s="320"/>
    </row>
    <row r="87">
      <c r="C87" s="320"/>
      <c r="E87" s="320"/>
      <c r="G87" s="320"/>
      <c r="I87" s="320"/>
      <c r="K87" s="320"/>
    </row>
    <row r="88">
      <c r="C88" s="320"/>
      <c r="E88" s="320"/>
      <c r="G88" s="320"/>
      <c r="I88" s="320"/>
      <c r="K88" s="320"/>
    </row>
    <row r="89">
      <c r="C89" s="320"/>
      <c r="E89" s="320"/>
      <c r="G89" s="320"/>
      <c r="I89" s="320"/>
      <c r="K89" s="320"/>
    </row>
    <row r="90">
      <c r="C90" s="320"/>
      <c r="E90" s="320"/>
      <c r="G90" s="320"/>
      <c r="I90" s="320"/>
      <c r="K90" s="320"/>
    </row>
    <row r="91">
      <c r="C91" s="320"/>
      <c r="E91" s="320"/>
      <c r="G91" s="320"/>
      <c r="I91" s="320"/>
      <c r="K91" s="320"/>
    </row>
    <row r="92">
      <c r="C92" s="320"/>
      <c r="E92" s="320"/>
      <c r="G92" s="320"/>
      <c r="I92" s="320"/>
      <c r="K92" s="320"/>
    </row>
    <row r="93">
      <c r="C93" s="320"/>
      <c r="E93" s="320"/>
      <c r="G93" s="320"/>
      <c r="I93" s="320"/>
      <c r="K93" s="320"/>
    </row>
    <row r="94">
      <c r="C94" s="320"/>
      <c r="E94" s="320"/>
      <c r="G94" s="320"/>
      <c r="I94" s="320"/>
      <c r="K94" s="320"/>
    </row>
    <row r="95">
      <c r="C95" s="320"/>
      <c r="E95" s="320"/>
      <c r="G95" s="320"/>
      <c r="I95" s="320"/>
      <c r="K95" s="320"/>
    </row>
    <row r="96">
      <c r="C96" s="320"/>
      <c r="E96" s="320"/>
      <c r="G96" s="320"/>
      <c r="I96" s="320"/>
      <c r="K96" s="320"/>
    </row>
    <row r="97">
      <c r="C97" s="320"/>
      <c r="E97" s="320"/>
      <c r="G97" s="320"/>
      <c r="I97" s="320"/>
      <c r="K97" s="320"/>
    </row>
    <row r="98">
      <c r="C98" s="320"/>
      <c r="E98" s="320"/>
      <c r="G98" s="320"/>
      <c r="I98" s="320"/>
      <c r="K98" s="320"/>
    </row>
    <row r="99">
      <c r="C99" s="320"/>
      <c r="E99" s="320"/>
      <c r="G99" s="320"/>
      <c r="I99" s="320"/>
      <c r="K99" s="320"/>
    </row>
    <row r="100">
      <c r="C100" s="320"/>
      <c r="E100" s="320"/>
      <c r="G100" s="320"/>
      <c r="I100" s="320"/>
      <c r="K100" s="320"/>
    </row>
    <row r="101">
      <c r="C101" s="320"/>
      <c r="E101" s="320"/>
      <c r="G101" s="320"/>
      <c r="I101" s="320"/>
      <c r="K101" s="320"/>
    </row>
    <row r="102">
      <c r="C102" s="320"/>
      <c r="E102" s="320"/>
      <c r="G102" s="320"/>
      <c r="I102" s="320"/>
      <c r="K102" s="320"/>
    </row>
    <row r="103">
      <c r="C103" s="320"/>
      <c r="E103" s="320"/>
      <c r="G103" s="320"/>
      <c r="I103" s="320"/>
      <c r="K103" s="320"/>
    </row>
    <row r="104">
      <c r="C104" s="320"/>
      <c r="E104" s="320"/>
      <c r="G104" s="320"/>
      <c r="I104" s="320"/>
      <c r="K104" s="320"/>
    </row>
    <row r="105">
      <c r="C105" s="320"/>
      <c r="E105" s="320"/>
      <c r="G105" s="320"/>
      <c r="I105" s="320"/>
      <c r="K105" s="320"/>
    </row>
    <row r="106">
      <c r="C106" s="320"/>
      <c r="E106" s="320"/>
      <c r="G106" s="320"/>
      <c r="I106" s="320"/>
      <c r="K106" s="320"/>
    </row>
    <row r="107">
      <c r="C107" s="320"/>
      <c r="E107" s="320"/>
      <c r="G107" s="320"/>
      <c r="I107" s="320"/>
      <c r="K107" s="320"/>
    </row>
    <row r="108">
      <c r="C108" s="320"/>
      <c r="E108" s="320"/>
      <c r="G108" s="320"/>
      <c r="I108" s="320"/>
      <c r="K108" s="320"/>
    </row>
    <row r="109">
      <c r="C109" s="320"/>
      <c r="E109" s="320"/>
      <c r="G109" s="320"/>
      <c r="I109" s="320"/>
      <c r="K109" s="320"/>
    </row>
    <row r="110">
      <c r="C110" s="320"/>
      <c r="E110" s="320"/>
      <c r="G110" s="320"/>
      <c r="I110" s="320"/>
      <c r="K110" s="320"/>
    </row>
    <row r="111">
      <c r="C111" s="320"/>
      <c r="E111" s="320"/>
      <c r="G111" s="320"/>
      <c r="I111" s="320"/>
      <c r="K111" s="320"/>
    </row>
    <row r="112">
      <c r="C112" s="320"/>
      <c r="E112" s="320"/>
      <c r="G112" s="320"/>
      <c r="I112" s="320"/>
      <c r="K112" s="320"/>
    </row>
    <row r="113">
      <c r="C113" s="320"/>
      <c r="E113" s="320"/>
      <c r="G113" s="320"/>
      <c r="I113" s="320"/>
      <c r="K113" s="320"/>
    </row>
    <row r="114">
      <c r="C114" s="320"/>
      <c r="E114" s="320"/>
      <c r="G114" s="320"/>
      <c r="I114" s="320"/>
      <c r="K114" s="320"/>
    </row>
    <row r="115">
      <c r="C115" s="320"/>
      <c r="E115" s="320"/>
      <c r="G115" s="320"/>
      <c r="I115" s="320"/>
      <c r="K115" s="320"/>
    </row>
    <row r="116">
      <c r="C116" s="320"/>
      <c r="E116" s="320"/>
      <c r="G116" s="320"/>
      <c r="I116" s="320"/>
      <c r="K116" s="320"/>
    </row>
    <row r="117">
      <c r="C117" s="320"/>
      <c r="E117" s="320"/>
      <c r="G117" s="320"/>
      <c r="I117" s="320"/>
      <c r="K117" s="320"/>
    </row>
    <row r="118">
      <c r="C118" s="320"/>
      <c r="E118" s="320"/>
      <c r="G118" s="320"/>
      <c r="I118" s="320"/>
      <c r="K118" s="320"/>
    </row>
    <row r="119">
      <c r="C119" s="320"/>
      <c r="E119" s="320"/>
      <c r="G119" s="320"/>
      <c r="I119" s="320"/>
      <c r="K119" s="320"/>
    </row>
    <row r="120">
      <c r="C120" s="320"/>
      <c r="E120" s="320"/>
      <c r="G120" s="320"/>
      <c r="I120" s="320"/>
      <c r="K120" s="320"/>
    </row>
    <row r="121">
      <c r="C121" s="320"/>
      <c r="E121" s="320"/>
      <c r="G121" s="320"/>
      <c r="I121" s="320"/>
      <c r="K121" s="320"/>
    </row>
    <row r="122">
      <c r="C122" s="320"/>
      <c r="E122" s="320"/>
      <c r="G122" s="320"/>
      <c r="I122" s="320"/>
      <c r="K122" s="320"/>
    </row>
    <row r="123">
      <c r="C123" s="320"/>
      <c r="E123" s="320"/>
      <c r="G123" s="320"/>
      <c r="I123" s="320"/>
      <c r="K123" s="320"/>
    </row>
    <row r="124">
      <c r="C124" s="320"/>
      <c r="E124" s="320"/>
      <c r="G124" s="320"/>
      <c r="I124" s="320"/>
      <c r="K124" s="320"/>
    </row>
    <row r="125">
      <c r="C125" s="320"/>
      <c r="E125" s="320"/>
      <c r="G125" s="320"/>
      <c r="I125" s="320"/>
      <c r="K125" s="320"/>
    </row>
    <row r="126">
      <c r="C126" s="320"/>
      <c r="E126" s="320"/>
      <c r="G126" s="320"/>
      <c r="I126" s="320"/>
      <c r="K126" s="320"/>
    </row>
    <row r="127">
      <c r="C127" s="320"/>
      <c r="E127" s="320"/>
      <c r="G127" s="320"/>
      <c r="I127" s="320"/>
      <c r="K127" s="320"/>
    </row>
    <row r="128">
      <c r="C128" s="320"/>
      <c r="E128" s="320"/>
      <c r="G128" s="320"/>
      <c r="I128" s="320"/>
      <c r="K128" s="320"/>
    </row>
    <row r="129">
      <c r="C129" s="320"/>
      <c r="E129" s="320"/>
      <c r="G129" s="320"/>
      <c r="I129" s="320"/>
      <c r="K129" s="320"/>
    </row>
    <row r="130">
      <c r="C130" s="320"/>
      <c r="E130" s="320"/>
      <c r="G130" s="320"/>
      <c r="I130" s="320"/>
      <c r="K130" s="320"/>
    </row>
    <row r="131">
      <c r="C131" s="320"/>
      <c r="E131" s="320"/>
      <c r="G131" s="320"/>
      <c r="I131" s="320"/>
      <c r="K131" s="320"/>
    </row>
    <row r="132">
      <c r="C132" s="320"/>
      <c r="E132" s="320"/>
      <c r="G132" s="320"/>
      <c r="I132" s="320"/>
      <c r="K132" s="320"/>
    </row>
    <row r="133">
      <c r="C133" s="320"/>
      <c r="E133" s="320"/>
      <c r="G133" s="320"/>
      <c r="I133" s="320"/>
      <c r="K133" s="320"/>
    </row>
    <row r="134">
      <c r="C134" s="320"/>
      <c r="E134" s="320"/>
      <c r="G134" s="320"/>
      <c r="I134" s="320"/>
      <c r="K134" s="320"/>
    </row>
    <row r="135">
      <c r="C135" s="320"/>
      <c r="E135" s="320"/>
      <c r="G135" s="320"/>
      <c r="I135" s="320"/>
      <c r="K135" s="320"/>
    </row>
    <row r="136">
      <c r="C136" s="320"/>
      <c r="E136" s="320"/>
      <c r="G136" s="320"/>
      <c r="I136" s="320"/>
      <c r="K136" s="320"/>
    </row>
    <row r="137">
      <c r="C137" s="320"/>
      <c r="E137" s="320"/>
      <c r="G137" s="320"/>
      <c r="I137" s="320"/>
      <c r="K137" s="320"/>
    </row>
    <row r="138">
      <c r="C138" s="320"/>
      <c r="E138" s="320"/>
      <c r="G138" s="320"/>
      <c r="I138" s="320"/>
      <c r="K138" s="320"/>
    </row>
    <row r="139">
      <c r="C139" s="320"/>
      <c r="E139" s="320"/>
      <c r="G139" s="320"/>
      <c r="I139" s="320"/>
      <c r="K139" s="320"/>
    </row>
    <row r="140">
      <c r="C140" s="320"/>
      <c r="E140" s="320"/>
      <c r="G140" s="320"/>
      <c r="I140" s="320"/>
      <c r="K140" s="320"/>
    </row>
    <row r="141">
      <c r="C141" s="320"/>
      <c r="E141" s="320"/>
      <c r="G141" s="320"/>
      <c r="I141" s="320"/>
      <c r="K141" s="320"/>
    </row>
    <row r="142">
      <c r="C142" s="320"/>
      <c r="E142" s="320"/>
      <c r="G142" s="320"/>
      <c r="I142" s="320"/>
      <c r="K142" s="320"/>
    </row>
    <row r="143">
      <c r="C143" s="320"/>
      <c r="E143" s="320"/>
      <c r="G143" s="320"/>
      <c r="I143" s="320"/>
      <c r="K143" s="320"/>
    </row>
    <row r="144">
      <c r="C144" s="320"/>
      <c r="E144" s="320"/>
      <c r="G144" s="320"/>
      <c r="I144" s="320"/>
      <c r="K144" s="320"/>
    </row>
    <row r="145">
      <c r="C145" s="320"/>
      <c r="E145" s="320"/>
      <c r="G145" s="320"/>
      <c r="I145" s="320"/>
      <c r="K145" s="320"/>
    </row>
    <row r="146">
      <c r="C146" s="320"/>
      <c r="E146" s="320"/>
      <c r="G146" s="320"/>
      <c r="I146" s="320"/>
      <c r="K146" s="320"/>
    </row>
    <row r="147">
      <c r="C147" s="320"/>
      <c r="E147" s="320"/>
      <c r="G147" s="320"/>
      <c r="I147" s="320"/>
      <c r="K147" s="320"/>
    </row>
    <row r="148">
      <c r="C148" s="320"/>
      <c r="E148" s="320"/>
      <c r="G148" s="320"/>
      <c r="I148" s="320"/>
      <c r="K148" s="320"/>
    </row>
    <row r="149">
      <c r="C149" s="320"/>
      <c r="E149" s="320"/>
      <c r="G149" s="320"/>
      <c r="I149" s="320"/>
      <c r="K149" s="320"/>
    </row>
    <row r="150">
      <c r="C150" s="320"/>
      <c r="E150" s="320"/>
      <c r="G150" s="320"/>
      <c r="I150" s="320"/>
      <c r="K150" s="320"/>
    </row>
    <row r="151">
      <c r="C151" s="320"/>
      <c r="E151" s="320"/>
      <c r="G151" s="320"/>
      <c r="I151" s="320"/>
      <c r="K151" s="320"/>
    </row>
    <row r="152">
      <c r="C152" s="320"/>
      <c r="E152" s="320"/>
      <c r="G152" s="320"/>
      <c r="I152" s="320"/>
      <c r="K152" s="320"/>
    </row>
    <row r="153">
      <c r="C153" s="320"/>
      <c r="E153" s="320"/>
      <c r="G153" s="320"/>
      <c r="I153" s="320"/>
      <c r="K153" s="320"/>
    </row>
    <row r="154">
      <c r="C154" s="320"/>
      <c r="E154" s="320"/>
      <c r="G154" s="320"/>
      <c r="I154" s="320"/>
      <c r="K154" s="320"/>
    </row>
    <row r="155">
      <c r="C155" s="320"/>
      <c r="E155" s="320"/>
      <c r="G155" s="320"/>
      <c r="I155" s="320"/>
      <c r="K155" s="320"/>
    </row>
    <row r="156">
      <c r="C156" s="320"/>
      <c r="E156" s="320"/>
      <c r="G156" s="320"/>
      <c r="I156" s="320"/>
      <c r="K156" s="320"/>
    </row>
    <row r="157">
      <c r="C157" s="320"/>
      <c r="E157" s="320"/>
      <c r="G157" s="320"/>
      <c r="I157" s="320"/>
      <c r="K157" s="320"/>
    </row>
    <row r="158">
      <c r="C158" s="320"/>
      <c r="E158" s="320"/>
      <c r="G158" s="320"/>
      <c r="I158" s="320"/>
      <c r="K158" s="320"/>
    </row>
    <row r="159">
      <c r="C159" s="320"/>
      <c r="E159" s="320"/>
      <c r="G159" s="320"/>
      <c r="I159" s="320"/>
      <c r="K159" s="320"/>
    </row>
    <row r="160">
      <c r="C160" s="320"/>
      <c r="E160" s="320"/>
      <c r="G160" s="320"/>
      <c r="I160" s="320"/>
      <c r="K160" s="320"/>
    </row>
    <row r="161">
      <c r="C161" s="320"/>
      <c r="E161" s="320"/>
      <c r="G161" s="320"/>
      <c r="I161" s="320"/>
      <c r="K161" s="320"/>
    </row>
    <row r="162">
      <c r="C162" s="320"/>
      <c r="E162" s="320"/>
      <c r="G162" s="320"/>
      <c r="I162" s="320"/>
      <c r="K162" s="320"/>
    </row>
    <row r="163">
      <c r="C163" s="320"/>
      <c r="E163" s="320"/>
      <c r="G163" s="320"/>
      <c r="I163" s="320"/>
      <c r="K163" s="320"/>
    </row>
    <row r="164">
      <c r="C164" s="320"/>
      <c r="E164" s="320"/>
      <c r="G164" s="320"/>
      <c r="I164" s="320"/>
      <c r="K164" s="320"/>
    </row>
    <row r="165">
      <c r="C165" s="320"/>
      <c r="E165" s="320"/>
      <c r="G165" s="320"/>
      <c r="I165" s="320"/>
      <c r="K165" s="320"/>
    </row>
    <row r="166">
      <c r="C166" s="320"/>
      <c r="E166" s="320"/>
      <c r="G166" s="320"/>
      <c r="I166" s="320"/>
      <c r="K166" s="320"/>
    </row>
    <row r="167">
      <c r="C167" s="320"/>
      <c r="E167" s="320"/>
      <c r="G167" s="320"/>
      <c r="I167" s="320"/>
      <c r="K167" s="320"/>
    </row>
    <row r="168">
      <c r="C168" s="320"/>
      <c r="E168" s="320"/>
      <c r="G168" s="320"/>
      <c r="I168" s="320"/>
      <c r="K168" s="320"/>
    </row>
    <row r="169">
      <c r="C169" s="320"/>
      <c r="E169" s="320"/>
      <c r="G169" s="320"/>
      <c r="I169" s="320"/>
      <c r="K169" s="320"/>
    </row>
    <row r="170">
      <c r="C170" s="320"/>
      <c r="E170" s="320"/>
      <c r="G170" s="320"/>
      <c r="I170" s="320"/>
      <c r="K170" s="320"/>
    </row>
    <row r="171">
      <c r="C171" s="320"/>
      <c r="E171" s="320"/>
      <c r="G171" s="320"/>
      <c r="I171" s="320"/>
      <c r="K171" s="320"/>
    </row>
    <row r="172">
      <c r="C172" s="320"/>
      <c r="E172" s="320"/>
      <c r="G172" s="320"/>
      <c r="I172" s="320"/>
      <c r="K172" s="320"/>
    </row>
    <row r="173">
      <c r="C173" s="320"/>
      <c r="E173" s="320"/>
      <c r="G173" s="320"/>
      <c r="I173" s="320"/>
      <c r="K173" s="320"/>
    </row>
    <row r="174">
      <c r="C174" s="320"/>
      <c r="E174" s="320"/>
      <c r="G174" s="320"/>
      <c r="I174" s="320"/>
      <c r="K174" s="320"/>
    </row>
    <row r="175">
      <c r="C175" s="320"/>
      <c r="E175" s="320"/>
      <c r="G175" s="320"/>
      <c r="I175" s="320"/>
      <c r="K175" s="320"/>
    </row>
    <row r="176">
      <c r="C176" s="320"/>
      <c r="E176" s="320"/>
      <c r="G176" s="320"/>
      <c r="I176" s="320"/>
      <c r="K176" s="320"/>
    </row>
    <row r="177">
      <c r="C177" s="320"/>
      <c r="E177" s="320"/>
      <c r="G177" s="320"/>
      <c r="I177" s="320"/>
      <c r="K177" s="320"/>
    </row>
    <row r="178">
      <c r="C178" s="320"/>
      <c r="E178" s="320"/>
      <c r="G178" s="320"/>
      <c r="I178" s="320"/>
      <c r="K178" s="320"/>
    </row>
    <row r="179">
      <c r="C179" s="320"/>
      <c r="E179" s="320"/>
      <c r="G179" s="320"/>
      <c r="I179" s="320"/>
      <c r="K179" s="320"/>
    </row>
    <row r="180">
      <c r="C180" s="320"/>
      <c r="E180" s="320"/>
      <c r="G180" s="320"/>
      <c r="I180" s="320"/>
      <c r="K180" s="320"/>
    </row>
    <row r="181">
      <c r="C181" s="320"/>
      <c r="E181" s="320"/>
      <c r="G181" s="320"/>
      <c r="I181" s="320"/>
      <c r="K181" s="320"/>
    </row>
    <row r="182">
      <c r="C182" s="320"/>
      <c r="E182" s="320"/>
      <c r="G182" s="320"/>
      <c r="I182" s="320"/>
      <c r="K182" s="320"/>
    </row>
    <row r="183">
      <c r="C183" s="320"/>
      <c r="E183" s="320"/>
      <c r="G183" s="320"/>
      <c r="I183" s="320"/>
      <c r="K183" s="320"/>
    </row>
    <row r="184">
      <c r="C184" s="320"/>
      <c r="E184" s="320"/>
      <c r="G184" s="320"/>
      <c r="I184" s="320"/>
      <c r="K184" s="320"/>
    </row>
    <row r="185">
      <c r="C185" s="320"/>
      <c r="E185" s="320"/>
      <c r="G185" s="320"/>
      <c r="I185" s="320"/>
      <c r="K185" s="320"/>
    </row>
    <row r="186">
      <c r="C186" s="320"/>
      <c r="E186" s="320"/>
      <c r="G186" s="320"/>
      <c r="I186" s="320"/>
      <c r="K186" s="320"/>
    </row>
    <row r="187">
      <c r="C187" s="320"/>
      <c r="E187" s="320"/>
      <c r="G187" s="320"/>
      <c r="I187" s="320"/>
      <c r="K187" s="320"/>
    </row>
    <row r="188">
      <c r="C188" s="320"/>
      <c r="E188" s="320"/>
      <c r="G188" s="320"/>
      <c r="I188" s="320"/>
      <c r="K188" s="320"/>
    </row>
    <row r="189">
      <c r="C189" s="320"/>
      <c r="E189" s="320"/>
      <c r="G189" s="320"/>
      <c r="I189" s="320"/>
      <c r="K189" s="320"/>
    </row>
    <row r="190">
      <c r="C190" s="320"/>
      <c r="E190" s="320"/>
      <c r="G190" s="320"/>
      <c r="I190" s="320"/>
      <c r="K190" s="320"/>
    </row>
    <row r="191">
      <c r="C191" s="320"/>
      <c r="E191" s="320"/>
      <c r="G191" s="320"/>
      <c r="I191" s="320"/>
      <c r="K191" s="320"/>
    </row>
    <row r="192">
      <c r="C192" s="320"/>
      <c r="E192" s="320"/>
      <c r="G192" s="320"/>
      <c r="I192" s="320"/>
      <c r="K192" s="320"/>
    </row>
    <row r="193">
      <c r="C193" s="320"/>
      <c r="E193" s="320"/>
      <c r="G193" s="320"/>
      <c r="I193" s="320"/>
      <c r="K193" s="320"/>
    </row>
    <row r="194">
      <c r="C194" s="320"/>
      <c r="E194" s="320"/>
      <c r="G194" s="320"/>
      <c r="I194" s="320"/>
      <c r="K194" s="320"/>
    </row>
    <row r="195">
      <c r="C195" s="320"/>
      <c r="E195" s="320"/>
      <c r="G195" s="320"/>
      <c r="I195" s="320"/>
      <c r="K195" s="320"/>
    </row>
    <row r="196">
      <c r="C196" s="320"/>
      <c r="E196" s="320"/>
      <c r="G196" s="320"/>
      <c r="I196" s="320"/>
      <c r="K196" s="320"/>
    </row>
    <row r="197">
      <c r="C197" s="320"/>
      <c r="E197" s="320"/>
      <c r="G197" s="320"/>
      <c r="I197" s="320"/>
      <c r="K197" s="320"/>
    </row>
    <row r="198">
      <c r="C198" s="320"/>
      <c r="E198" s="320"/>
      <c r="G198" s="320"/>
      <c r="I198" s="320"/>
      <c r="K198" s="320"/>
    </row>
    <row r="199">
      <c r="C199" s="320"/>
      <c r="E199" s="320"/>
      <c r="G199" s="320"/>
      <c r="I199" s="320"/>
      <c r="K199" s="320"/>
    </row>
    <row r="200">
      <c r="C200" s="320"/>
      <c r="E200" s="320"/>
      <c r="G200" s="320"/>
      <c r="I200" s="320"/>
      <c r="K200" s="320"/>
    </row>
    <row r="201">
      <c r="C201" s="320"/>
      <c r="E201" s="320"/>
      <c r="G201" s="320"/>
      <c r="I201" s="320"/>
      <c r="K201" s="320"/>
    </row>
    <row r="202">
      <c r="C202" s="320"/>
      <c r="E202" s="320"/>
      <c r="G202" s="320"/>
      <c r="I202" s="320"/>
      <c r="K202" s="320"/>
    </row>
    <row r="203">
      <c r="C203" s="320"/>
      <c r="E203" s="320"/>
      <c r="G203" s="320"/>
      <c r="I203" s="320"/>
      <c r="K203" s="320"/>
    </row>
    <row r="204">
      <c r="C204" s="320"/>
      <c r="E204" s="320"/>
      <c r="G204" s="320"/>
      <c r="I204" s="320"/>
      <c r="K204" s="320"/>
    </row>
    <row r="205">
      <c r="C205" s="320"/>
      <c r="E205" s="320"/>
      <c r="G205" s="320"/>
      <c r="I205" s="320"/>
      <c r="K205" s="320"/>
    </row>
    <row r="206">
      <c r="C206" s="320"/>
      <c r="E206" s="320"/>
      <c r="G206" s="320"/>
      <c r="I206" s="320"/>
      <c r="K206" s="320"/>
    </row>
    <row r="207">
      <c r="C207" s="320"/>
      <c r="E207" s="320"/>
      <c r="G207" s="320"/>
      <c r="I207" s="320"/>
      <c r="K207" s="320"/>
    </row>
    <row r="208">
      <c r="C208" s="320"/>
      <c r="E208" s="320"/>
      <c r="G208" s="320"/>
      <c r="I208" s="320"/>
      <c r="K208" s="320"/>
    </row>
    <row r="209">
      <c r="C209" s="320"/>
      <c r="E209" s="320"/>
      <c r="G209" s="320"/>
      <c r="I209" s="320"/>
      <c r="K209" s="320"/>
    </row>
    <row r="210">
      <c r="C210" s="320"/>
      <c r="E210" s="320"/>
      <c r="G210" s="320"/>
      <c r="I210" s="320"/>
      <c r="K210" s="320"/>
    </row>
    <row r="211">
      <c r="C211" s="320"/>
      <c r="E211" s="320"/>
      <c r="G211" s="320"/>
      <c r="I211" s="320"/>
      <c r="K211" s="320"/>
    </row>
    <row r="212">
      <c r="C212" s="320"/>
      <c r="E212" s="320"/>
      <c r="G212" s="320"/>
      <c r="I212" s="320"/>
      <c r="K212" s="320"/>
    </row>
    <row r="213">
      <c r="C213" s="320"/>
      <c r="E213" s="320"/>
      <c r="G213" s="320"/>
      <c r="I213" s="320"/>
      <c r="K213" s="320"/>
    </row>
    <row r="214">
      <c r="C214" s="320"/>
      <c r="E214" s="320"/>
      <c r="G214" s="320"/>
      <c r="I214" s="320"/>
      <c r="K214" s="320"/>
    </row>
    <row r="215">
      <c r="C215" s="320"/>
      <c r="E215" s="320"/>
      <c r="G215" s="320"/>
      <c r="I215" s="320"/>
      <c r="K215" s="320"/>
    </row>
    <row r="216">
      <c r="C216" s="320"/>
      <c r="E216" s="320"/>
      <c r="G216" s="320"/>
      <c r="I216" s="320"/>
      <c r="K216" s="320"/>
    </row>
    <row r="217">
      <c r="C217" s="320"/>
      <c r="E217" s="320"/>
      <c r="G217" s="320"/>
      <c r="I217" s="320"/>
      <c r="K217" s="320"/>
    </row>
    <row r="218">
      <c r="C218" s="320"/>
      <c r="E218" s="320"/>
      <c r="G218" s="320"/>
      <c r="I218" s="320"/>
      <c r="K218" s="320"/>
    </row>
    <row r="219">
      <c r="C219" s="320"/>
      <c r="E219" s="320"/>
      <c r="G219" s="320"/>
      <c r="I219" s="320"/>
      <c r="K219" s="320"/>
    </row>
    <row r="220">
      <c r="C220" s="320"/>
      <c r="E220" s="320"/>
      <c r="G220" s="320"/>
      <c r="I220" s="320"/>
      <c r="K220" s="320"/>
    </row>
    <row r="221">
      <c r="C221" s="320"/>
      <c r="E221" s="320"/>
      <c r="G221" s="320"/>
      <c r="I221" s="320"/>
      <c r="K221" s="320"/>
    </row>
    <row r="222">
      <c r="C222" s="320"/>
      <c r="E222" s="320"/>
      <c r="G222" s="320"/>
      <c r="I222" s="320"/>
      <c r="K222" s="320"/>
    </row>
    <row r="223">
      <c r="C223" s="320"/>
      <c r="E223" s="320"/>
      <c r="G223" s="320"/>
      <c r="I223" s="320"/>
      <c r="K223" s="320"/>
    </row>
    <row r="224">
      <c r="C224" s="320"/>
      <c r="E224" s="320"/>
      <c r="G224" s="320"/>
      <c r="I224" s="320"/>
      <c r="K224" s="320"/>
    </row>
    <row r="225">
      <c r="C225" s="320"/>
      <c r="E225" s="320"/>
      <c r="G225" s="320"/>
      <c r="I225" s="320"/>
      <c r="K225" s="320"/>
    </row>
    <row r="226">
      <c r="C226" s="320"/>
      <c r="E226" s="320"/>
      <c r="G226" s="320"/>
      <c r="I226" s="320"/>
      <c r="K226" s="320"/>
    </row>
    <row r="227">
      <c r="C227" s="320"/>
      <c r="E227" s="320"/>
      <c r="G227" s="320"/>
      <c r="I227" s="320"/>
      <c r="K227" s="320"/>
    </row>
    <row r="228">
      <c r="C228" s="320"/>
      <c r="E228" s="320"/>
      <c r="G228" s="320"/>
      <c r="I228" s="320"/>
      <c r="K228" s="320"/>
    </row>
    <row r="229">
      <c r="C229" s="320"/>
      <c r="E229" s="320"/>
      <c r="G229" s="320"/>
      <c r="I229" s="320"/>
      <c r="K229" s="320"/>
    </row>
    <row r="230">
      <c r="C230" s="320"/>
      <c r="E230" s="320"/>
      <c r="G230" s="320"/>
      <c r="I230" s="320"/>
      <c r="K230" s="320"/>
    </row>
    <row r="231">
      <c r="C231" s="320"/>
      <c r="E231" s="320"/>
      <c r="G231" s="320"/>
      <c r="I231" s="320"/>
      <c r="K231" s="320"/>
    </row>
    <row r="232">
      <c r="C232" s="320"/>
      <c r="E232" s="320"/>
      <c r="G232" s="320"/>
      <c r="I232" s="320"/>
      <c r="K232" s="320"/>
    </row>
    <row r="233">
      <c r="C233" s="320"/>
      <c r="E233" s="320"/>
      <c r="G233" s="320"/>
      <c r="I233" s="320"/>
      <c r="K233" s="320"/>
    </row>
    <row r="234">
      <c r="C234" s="320"/>
      <c r="E234" s="320"/>
      <c r="G234" s="320"/>
      <c r="I234" s="320"/>
      <c r="K234" s="320"/>
    </row>
    <row r="235">
      <c r="C235" s="320"/>
      <c r="E235" s="320"/>
      <c r="G235" s="320"/>
      <c r="I235" s="320"/>
      <c r="K235" s="320"/>
    </row>
    <row r="236">
      <c r="C236" s="320"/>
      <c r="E236" s="320"/>
      <c r="G236" s="320"/>
      <c r="I236" s="320"/>
      <c r="K236" s="320"/>
    </row>
    <row r="237">
      <c r="C237" s="320"/>
      <c r="E237" s="320"/>
      <c r="G237" s="320"/>
      <c r="I237" s="320"/>
      <c r="K237" s="320"/>
    </row>
    <row r="238">
      <c r="C238" s="320"/>
      <c r="E238" s="320"/>
      <c r="G238" s="320"/>
      <c r="I238" s="320"/>
      <c r="K238" s="320"/>
    </row>
    <row r="239">
      <c r="C239" s="320"/>
      <c r="E239" s="320"/>
      <c r="G239" s="320"/>
      <c r="I239" s="320"/>
      <c r="K239" s="320"/>
    </row>
    <row r="240">
      <c r="C240" s="320"/>
      <c r="E240" s="320"/>
      <c r="G240" s="320"/>
      <c r="I240" s="320"/>
      <c r="K240" s="320"/>
    </row>
    <row r="241">
      <c r="C241" s="320"/>
      <c r="E241" s="320"/>
      <c r="G241" s="320"/>
      <c r="I241" s="320"/>
      <c r="K241" s="320"/>
    </row>
    <row r="242">
      <c r="C242" s="320"/>
      <c r="E242" s="320"/>
      <c r="G242" s="320"/>
      <c r="I242" s="320"/>
      <c r="K242" s="320"/>
    </row>
    <row r="243">
      <c r="C243" s="320"/>
      <c r="E243" s="320"/>
      <c r="G243" s="320"/>
      <c r="I243" s="320"/>
      <c r="K243" s="320"/>
    </row>
    <row r="244">
      <c r="C244" s="320"/>
      <c r="E244" s="320"/>
      <c r="G244" s="320"/>
      <c r="I244" s="320"/>
      <c r="K244" s="320"/>
    </row>
    <row r="245">
      <c r="C245" s="320"/>
      <c r="E245" s="320"/>
      <c r="G245" s="320"/>
      <c r="I245" s="320"/>
      <c r="K245" s="320"/>
    </row>
    <row r="246">
      <c r="C246" s="320"/>
      <c r="E246" s="320"/>
      <c r="G246" s="320"/>
      <c r="I246" s="320"/>
      <c r="K246" s="320"/>
    </row>
    <row r="247">
      <c r="C247" s="320"/>
      <c r="E247" s="320"/>
      <c r="G247" s="320"/>
      <c r="I247" s="320"/>
      <c r="K247" s="320"/>
    </row>
    <row r="248">
      <c r="C248" s="320"/>
      <c r="E248" s="320"/>
      <c r="G248" s="320"/>
      <c r="I248" s="320"/>
      <c r="K248" s="320"/>
    </row>
    <row r="249">
      <c r="C249" s="320"/>
      <c r="E249" s="320"/>
      <c r="G249" s="320"/>
      <c r="I249" s="320"/>
      <c r="K249" s="320"/>
    </row>
    <row r="250">
      <c r="C250" s="320"/>
      <c r="E250" s="320"/>
      <c r="G250" s="320"/>
      <c r="I250" s="320"/>
      <c r="K250" s="320"/>
    </row>
    <row r="251">
      <c r="C251" s="320"/>
      <c r="E251" s="320"/>
      <c r="G251" s="320"/>
      <c r="I251" s="320"/>
      <c r="K251" s="320"/>
    </row>
    <row r="252">
      <c r="C252" s="320"/>
      <c r="E252" s="320"/>
      <c r="G252" s="320"/>
      <c r="I252" s="320"/>
      <c r="K252" s="320"/>
    </row>
    <row r="253">
      <c r="C253" s="320"/>
      <c r="E253" s="320"/>
      <c r="G253" s="320"/>
      <c r="I253" s="320"/>
      <c r="K253" s="320"/>
    </row>
    <row r="254">
      <c r="C254" s="320"/>
      <c r="E254" s="320"/>
      <c r="G254" s="320"/>
      <c r="I254" s="320"/>
      <c r="K254" s="320"/>
    </row>
    <row r="255">
      <c r="C255" s="320"/>
      <c r="E255" s="320"/>
      <c r="G255" s="320"/>
      <c r="I255" s="320"/>
      <c r="K255" s="320"/>
    </row>
    <row r="256">
      <c r="C256" s="320"/>
      <c r="E256" s="320"/>
      <c r="G256" s="320"/>
      <c r="I256" s="320"/>
      <c r="K256" s="320"/>
    </row>
    <row r="257">
      <c r="C257" s="320"/>
      <c r="E257" s="320"/>
      <c r="G257" s="320"/>
      <c r="I257" s="320"/>
      <c r="K257" s="320"/>
    </row>
    <row r="258">
      <c r="C258" s="320"/>
      <c r="E258" s="320"/>
      <c r="G258" s="320"/>
      <c r="I258" s="320"/>
      <c r="K258" s="320"/>
    </row>
    <row r="259">
      <c r="C259" s="320"/>
      <c r="E259" s="320"/>
      <c r="G259" s="320"/>
      <c r="I259" s="320"/>
      <c r="K259" s="320"/>
    </row>
    <row r="260">
      <c r="C260" s="320"/>
      <c r="E260" s="320"/>
      <c r="G260" s="320"/>
      <c r="I260" s="320"/>
      <c r="K260" s="320"/>
    </row>
    <row r="261">
      <c r="C261" s="320"/>
      <c r="E261" s="320"/>
      <c r="G261" s="320"/>
      <c r="I261" s="320"/>
      <c r="K261" s="320"/>
    </row>
    <row r="262">
      <c r="C262" s="320"/>
      <c r="E262" s="320"/>
      <c r="G262" s="320"/>
      <c r="I262" s="320"/>
      <c r="K262" s="320"/>
    </row>
    <row r="263">
      <c r="C263" s="320"/>
      <c r="E263" s="320"/>
      <c r="G263" s="320"/>
      <c r="I263" s="320"/>
      <c r="K263" s="320"/>
    </row>
    <row r="264">
      <c r="C264" s="320"/>
      <c r="E264" s="320"/>
      <c r="G264" s="320"/>
      <c r="I264" s="320"/>
      <c r="K264" s="320"/>
    </row>
    <row r="265">
      <c r="C265" s="320"/>
      <c r="E265" s="320"/>
      <c r="G265" s="320"/>
      <c r="I265" s="320"/>
      <c r="K265" s="320"/>
    </row>
    <row r="266">
      <c r="C266" s="320"/>
      <c r="E266" s="320"/>
      <c r="G266" s="320"/>
      <c r="I266" s="320"/>
      <c r="K266" s="320"/>
    </row>
    <row r="267">
      <c r="C267" s="320"/>
      <c r="E267" s="320"/>
      <c r="G267" s="320"/>
      <c r="I267" s="320"/>
      <c r="K267" s="320"/>
    </row>
    <row r="268">
      <c r="C268" s="320"/>
      <c r="E268" s="320"/>
      <c r="G268" s="320"/>
      <c r="I268" s="320"/>
      <c r="K268" s="320"/>
    </row>
    <row r="269">
      <c r="C269" s="320"/>
      <c r="E269" s="320"/>
      <c r="G269" s="320"/>
      <c r="I269" s="320"/>
      <c r="K269" s="320"/>
    </row>
    <row r="270">
      <c r="C270" s="320"/>
      <c r="E270" s="320"/>
      <c r="G270" s="320"/>
      <c r="I270" s="320"/>
      <c r="K270" s="320"/>
    </row>
    <row r="271">
      <c r="C271" s="320"/>
      <c r="E271" s="320"/>
      <c r="G271" s="320"/>
      <c r="I271" s="320"/>
      <c r="K271" s="320"/>
    </row>
    <row r="272">
      <c r="C272" s="320"/>
      <c r="E272" s="320"/>
      <c r="G272" s="320"/>
      <c r="I272" s="320"/>
      <c r="K272" s="320"/>
    </row>
    <row r="273">
      <c r="C273" s="320"/>
      <c r="E273" s="320"/>
      <c r="G273" s="320"/>
      <c r="I273" s="320"/>
      <c r="K273" s="320"/>
    </row>
    <row r="274">
      <c r="C274" s="320"/>
      <c r="E274" s="320"/>
      <c r="G274" s="320"/>
      <c r="I274" s="320"/>
      <c r="K274" s="320"/>
    </row>
    <row r="275">
      <c r="C275" s="320"/>
      <c r="E275" s="320"/>
      <c r="G275" s="320"/>
      <c r="I275" s="320"/>
      <c r="K275" s="320"/>
    </row>
    <row r="276">
      <c r="C276" s="320"/>
      <c r="E276" s="320"/>
      <c r="G276" s="320"/>
      <c r="I276" s="320"/>
      <c r="K276" s="320"/>
    </row>
    <row r="277">
      <c r="C277" s="320"/>
      <c r="E277" s="320"/>
      <c r="G277" s="320"/>
      <c r="I277" s="320"/>
      <c r="K277" s="320"/>
    </row>
    <row r="278">
      <c r="C278" s="320"/>
      <c r="E278" s="320"/>
      <c r="G278" s="320"/>
      <c r="I278" s="320"/>
      <c r="K278" s="320"/>
    </row>
    <row r="279">
      <c r="C279" s="320"/>
      <c r="E279" s="320"/>
      <c r="G279" s="320"/>
      <c r="I279" s="320"/>
      <c r="K279" s="320"/>
    </row>
    <row r="280">
      <c r="C280" s="320"/>
      <c r="E280" s="320"/>
      <c r="G280" s="320"/>
      <c r="I280" s="320"/>
      <c r="K280" s="320"/>
    </row>
    <row r="281">
      <c r="C281" s="320"/>
      <c r="E281" s="320"/>
      <c r="G281" s="320"/>
      <c r="I281" s="320"/>
      <c r="K281" s="320"/>
    </row>
    <row r="282">
      <c r="C282" s="320"/>
      <c r="E282" s="320"/>
      <c r="G282" s="320"/>
      <c r="I282" s="320"/>
      <c r="K282" s="320"/>
    </row>
    <row r="283">
      <c r="C283" s="320"/>
      <c r="E283" s="320"/>
      <c r="G283" s="320"/>
      <c r="I283" s="320"/>
      <c r="K283" s="320"/>
    </row>
    <row r="284">
      <c r="C284" s="320"/>
      <c r="E284" s="320"/>
      <c r="G284" s="320"/>
      <c r="I284" s="320"/>
      <c r="K284" s="320"/>
    </row>
    <row r="285">
      <c r="C285" s="320"/>
      <c r="E285" s="320"/>
      <c r="G285" s="320"/>
      <c r="I285" s="320"/>
      <c r="K285" s="320"/>
    </row>
    <row r="286">
      <c r="C286" s="320"/>
      <c r="E286" s="320"/>
      <c r="G286" s="320"/>
      <c r="I286" s="320"/>
      <c r="K286" s="320"/>
    </row>
    <row r="287">
      <c r="C287" s="320"/>
      <c r="E287" s="320"/>
      <c r="G287" s="320"/>
      <c r="I287" s="320"/>
      <c r="K287" s="320"/>
    </row>
    <row r="288">
      <c r="C288" s="320"/>
      <c r="E288" s="320"/>
      <c r="G288" s="320"/>
      <c r="I288" s="320"/>
      <c r="K288" s="320"/>
    </row>
    <row r="289">
      <c r="C289" s="320"/>
      <c r="E289" s="320"/>
      <c r="G289" s="320"/>
      <c r="I289" s="320"/>
      <c r="K289" s="320"/>
    </row>
    <row r="290">
      <c r="C290" s="320"/>
      <c r="E290" s="320"/>
      <c r="G290" s="320"/>
      <c r="I290" s="320"/>
      <c r="K290" s="320"/>
    </row>
    <row r="291">
      <c r="C291" s="320"/>
      <c r="E291" s="320"/>
      <c r="G291" s="320"/>
      <c r="I291" s="320"/>
      <c r="K291" s="320"/>
    </row>
    <row r="292">
      <c r="C292" s="320"/>
      <c r="E292" s="320"/>
      <c r="G292" s="320"/>
      <c r="I292" s="320"/>
      <c r="K292" s="320"/>
    </row>
    <row r="293">
      <c r="C293" s="320"/>
      <c r="E293" s="320"/>
      <c r="G293" s="320"/>
      <c r="I293" s="320"/>
      <c r="K293" s="320"/>
    </row>
    <row r="294">
      <c r="C294" s="320"/>
      <c r="E294" s="320"/>
      <c r="G294" s="320"/>
      <c r="I294" s="320"/>
      <c r="K294" s="320"/>
    </row>
    <row r="295">
      <c r="C295" s="320"/>
      <c r="E295" s="320"/>
      <c r="G295" s="320"/>
      <c r="I295" s="320"/>
      <c r="K295" s="320"/>
    </row>
    <row r="296">
      <c r="C296" s="320"/>
      <c r="E296" s="320"/>
      <c r="G296" s="320"/>
      <c r="I296" s="320"/>
      <c r="K296" s="320"/>
    </row>
    <row r="297">
      <c r="C297" s="320"/>
      <c r="E297" s="320"/>
      <c r="G297" s="320"/>
      <c r="I297" s="320"/>
      <c r="K297" s="320"/>
    </row>
    <row r="298">
      <c r="C298" s="320"/>
      <c r="E298" s="320"/>
      <c r="G298" s="320"/>
      <c r="I298" s="320"/>
      <c r="K298" s="320"/>
    </row>
    <row r="299">
      <c r="C299" s="320"/>
      <c r="E299" s="320"/>
      <c r="G299" s="320"/>
      <c r="I299" s="320"/>
      <c r="K299" s="320"/>
    </row>
    <row r="300">
      <c r="C300" s="320"/>
      <c r="E300" s="320"/>
      <c r="G300" s="320"/>
      <c r="I300" s="320"/>
      <c r="K300" s="320"/>
    </row>
    <row r="301">
      <c r="C301" s="320"/>
      <c r="E301" s="320"/>
      <c r="G301" s="320"/>
      <c r="I301" s="320"/>
      <c r="K301" s="320"/>
    </row>
    <row r="302">
      <c r="C302" s="320"/>
      <c r="E302" s="320"/>
      <c r="G302" s="320"/>
      <c r="I302" s="320"/>
      <c r="K302" s="320"/>
    </row>
    <row r="303">
      <c r="C303" s="320"/>
      <c r="E303" s="320"/>
      <c r="G303" s="320"/>
      <c r="I303" s="320"/>
      <c r="K303" s="320"/>
    </row>
    <row r="304">
      <c r="C304" s="320"/>
      <c r="E304" s="320"/>
      <c r="G304" s="320"/>
      <c r="I304" s="320"/>
      <c r="K304" s="320"/>
    </row>
    <row r="305">
      <c r="C305" s="320"/>
      <c r="E305" s="320"/>
      <c r="G305" s="320"/>
      <c r="I305" s="320"/>
      <c r="K305" s="320"/>
    </row>
    <row r="306">
      <c r="C306" s="320"/>
      <c r="E306" s="320"/>
      <c r="G306" s="320"/>
      <c r="I306" s="320"/>
      <c r="K306" s="320"/>
    </row>
    <row r="307">
      <c r="C307" s="320"/>
      <c r="E307" s="320"/>
      <c r="G307" s="320"/>
      <c r="I307" s="320"/>
      <c r="K307" s="320"/>
    </row>
    <row r="308">
      <c r="C308" s="320"/>
      <c r="E308" s="320"/>
      <c r="G308" s="320"/>
      <c r="I308" s="320"/>
      <c r="K308" s="320"/>
    </row>
    <row r="309">
      <c r="C309" s="320"/>
      <c r="E309" s="320"/>
      <c r="G309" s="320"/>
      <c r="I309" s="320"/>
      <c r="K309" s="320"/>
    </row>
    <row r="310">
      <c r="C310" s="320"/>
      <c r="E310" s="320"/>
      <c r="G310" s="320"/>
      <c r="I310" s="320"/>
      <c r="K310" s="320"/>
    </row>
    <row r="311">
      <c r="C311" s="320"/>
      <c r="E311" s="320"/>
      <c r="G311" s="320"/>
      <c r="I311" s="320"/>
      <c r="K311" s="320"/>
    </row>
    <row r="312">
      <c r="C312" s="320"/>
      <c r="E312" s="320"/>
      <c r="G312" s="320"/>
      <c r="I312" s="320"/>
      <c r="K312" s="320"/>
    </row>
    <row r="313">
      <c r="C313" s="320"/>
      <c r="E313" s="320"/>
      <c r="G313" s="320"/>
      <c r="I313" s="320"/>
      <c r="K313" s="320"/>
    </row>
    <row r="314">
      <c r="C314" s="320"/>
      <c r="E314" s="320"/>
      <c r="G314" s="320"/>
      <c r="I314" s="320"/>
      <c r="K314" s="320"/>
    </row>
    <row r="315">
      <c r="C315" s="320"/>
      <c r="E315" s="320"/>
      <c r="G315" s="320"/>
      <c r="I315" s="320"/>
      <c r="K315" s="320"/>
    </row>
    <row r="316">
      <c r="C316" s="320"/>
      <c r="E316" s="320"/>
      <c r="G316" s="320"/>
      <c r="I316" s="320"/>
      <c r="K316" s="320"/>
    </row>
    <row r="317">
      <c r="C317" s="320"/>
      <c r="E317" s="320"/>
      <c r="G317" s="320"/>
      <c r="I317" s="320"/>
      <c r="K317" s="320"/>
    </row>
    <row r="318">
      <c r="C318" s="320"/>
      <c r="E318" s="320"/>
      <c r="G318" s="320"/>
      <c r="I318" s="320"/>
      <c r="K318" s="320"/>
    </row>
    <row r="319">
      <c r="C319" s="320"/>
      <c r="E319" s="320"/>
      <c r="G319" s="320"/>
      <c r="I319" s="320"/>
      <c r="K319" s="320"/>
    </row>
    <row r="320">
      <c r="C320" s="320"/>
      <c r="E320" s="320"/>
      <c r="G320" s="320"/>
      <c r="I320" s="320"/>
      <c r="K320" s="320"/>
    </row>
    <row r="321">
      <c r="C321" s="320"/>
      <c r="E321" s="320"/>
      <c r="G321" s="320"/>
      <c r="I321" s="320"/>
      <c r="K321" s="320"/>
    </row>
    <row r="322">
      <c r="C322" s="320"/>
      <c r="E322" s="320"/>
      <c r="G322" s="320"/>
      <c r="I322" s="320"/>
      <c r="K322" s="320"/>
    </row>
    <row r="323">
      <c r="C323" s="320"/>
      <c r="E323" s="320"/>
      <c r="G323" s="320"/>
      <c r="I323" s="320"/>
      <c r="K323" s="320"/>
    </row>
    <row r="324">
      <c r="C324" s="320"/>
      <c r="E324" s="320"/>
      <c r="G324" s="320"/>
      <c r="I324" s="320"/>
      <c r="K324" s="320"/>
    </row>
    <row r="325">
      <c r="C325" s="320"/>
      <c r="E325" s="320"/>
      <c r="G325" s="320"/>
      <c r="I325" s="320"/>
      <c r="K325" s="320"/>
    </row>
    <row r="326">
      <c r="C326" s="320"/>
      <c r="E326" s="320"/>
      <c r="G326" s="320"/>
      <c r="I326" s="320"/>
      <c r="K326" s="320"/>
    </row>
    <row r="327">
      <c r="C327" s="320"/>
      <c r="E327" s="320"/>
      <c r="G327" s="320"/>
      <c r="I327" s="320"/>
      <c r="K327" s="320"/>
    </row>
    <row r="328">
      <c r="C328" s="320"/>
      <c r="E328" s="320"/>
      <c r="G328" s="320"/>
      <c r="I328" s="320"/>
      <c r="K328" s="320"/>
    </row>
    <row r="329">
      <c r="C329" s="320"/>
      <c r="E329" s="320"/>
      <c r="G329" s="320"/>
      <c r="I329" s="320"/>
      <c r="K329" s="320"/>
    </row>
    <row r="330">
      <c r="C330" s="320"/>
      <c r="E330" s="320"/>
      <c r="G330" s="320"/>
      <c r="I330" s="320"/>
      <c r="K330" s="320"/>
    </row>
    <row r="331">
      <c r="C331" s="320"/>
      <c r="E331" s="320"/>
      <c r="G331" s="320"/>
      <c r="I331" s="320"/>
      <c r="K331" s="320"/>
    </row>
    <row r="332">
      <c r="C332" s="320"/>
      <c r="E332" s="320"/>
      <c r="G332" s="320"/>
      <c r="I332" s="320"/>
      <c r="K332" s="320"/>
    </row>
    <row r="333">
      <c r="C333" s="320"/>
      <c r="E333" s="320"/>
      <c r="G333" s="320"/>
      <c r="I333" s="320"/>
      <c r="K333" s="320"/>
    </row>
    <row r="334">
      <c r="C334" s="320"/>
      <c r="E334" s="320"/>
      <c r="G334" s="320"/>
      <c r="I334" s="320"/>
      <c r="K334" s="320"/>
    </row>
    <row r="335">
      <c r="C335" s="320"/>
      <c r="E335" s="320"/>
      <c r="G335" s="320"/>
      <c r="I335" s="320"/>
      <c r="K335" s="320"/>
    </row>
    <row r="336">
      <c r="C336" s="320"/>
      <c r="E336" s="320"/>
      <c r="G336" s="320"/>
      <c r="I336" s="320"/>
      <c r="K336" s="320"/>
    </row>
    <row r="337">
      <c r="C337" s="320"/>
      <c r="E337" s="320"/>
      <c r="G337" s="320"/>
      <c r="I337" s="320"/>
      <c r="K337" s="320"/>
    </row>
    <row r="338">
      <c r="C338" s="320"/>
      <c r="E338" s="320"/>
      <c r="G338" s="320"/>
      <c r="I338" s="320"/>
      <c r="K338" s="320"/>
    </row>
    <row r="339">
      <c r="C339" s="320"/>
      <c r="E339" s="320"/>
      <c r="G339" s="320"/>
      <c r="I339" s="320"/>
      <c r="K339" s="320"/>
    </row>
    <row r="340">
      <c r="C340" s="320"/>
      <c r="E340" s="320"/>
      <c r="G340" s="320"/>
      <c r="I340" s="320"/>
      <c r="K340" s="320"/>
    </row>
    <row r="341">
      <c r="C341" s="320"/>
      <c r="E341" s="320"/>
      <c r="G341" s="320"/>
      <c r="I341" s="320"/>
      <c r="K341" s="320"/>
    </row>
    <row r="342">
      <c r="C342" s="320"/>
      <c r="E342" s="320"/>
      <c r="G342" s="320"/>
      <c r="I342" s="320"/>
      <c r="K342" s="320"/>
    </row>
    <row r="343">
      <c r="C343" s="320"/>
      <c r="E343" s="320"/>
      <c r="G343" s="320"/>
      <c r="I343" s="320"/>
      <c r="K343" s="320"/>
    </row>
    <row r="344">
      <c r="C344" s="320"/>
      <c r="E344" s="320"/>
      <c r="G344" s="320"/>
      <c r="I344" s="320"/>
      <c r="K344" s="320"/>
    </row>
    <row r="345">
      <c r="C345" s="320"/>
      <c r="E345" s="320"/>
      <c r="G345" s="320"/>
      <c r="I345" s="320"/>
      <c r="K345" s="320"/>
    </row>
    <row r="346">
      <c r="C346" s="320"/>
      <c r="E346" s="320"/>
      <c r="G346" s="320"/>
      <c r="I346" s="320"/>
      <c r="K346" s="320"/>
    </row>
    <row r="347">
      <c r="C347" s="320"/>
      <c r="E347" s="320"/>
      <c r="G347" s="320"/>
      <c r="I347" s="320"/>
      <c r="K347" s="320"/>
    </row>
    <row r="348">
      <c r="C348" s="320"/>
      <c r="E348" s="320"/>
      <c r="G348" s="320"/>
      <c r="I348" s="320"/>
      <c r="K348" s="320"/>
    </row>
    <row r="349">
      <c r="C349" s="320"/>
      <c r="E349" s="320"/>
      <c r="G349" s="320"/>
      <c r="I349" s="320"/>
      <c r="K349" s="320"/>
    </row>
    <row r="350">
      <c r="C350" s="320"/>
      <c r="E350" s="320"/>
      <c r="G350" s="320"/>
      <c r="I350" s="320"/>
      <c r="K350" s="320"/>
    </row>
    <row r="351">
      <c r="C351" s="320"/>
      <c r="E351" s="320"/>
      <c r="G351" s="320"/>
      <c r="I351" s="320"/>
      <c r="K351" s="320"/>
    </row>
    <row r="352">
      <c r="C352" s="320"/>
      <c r="E352" s="320"/>
      <c r="G352" s="320"/>
      <c r="I352" s="320"/>
      <c r="K352" s="320"/>
    </row>
    <row r="353">
      <c r="C353" s="320"/>
      <c r="E353" s="320"/>
      <c r="G353" s="320"/>
      <c r="I353" s="320"/>
      <c r="K353" s="320"/>
    </row>
    <row r="354">
      <c r="C354" s="320"/>
      <c r="E354" s="320"/>
      <c r="G354" s="320"/>
      <c r="I354" s="320"/>
      <c r="K354" s="320"/>
    </row>
    <row r="355">
      <c r="C355" s="320"/>
      <c r="E355" s="320"/>
      <c r="G355" s="320"/>
      <c r="I355" s="320"/>
      <c r="K355" s="320"/>
    </row>
    <row r="356">
      <c r="C356" s="320"/>
      <c r="E356" s="320"/>
      <c r="G356" s="320"/>
      <c r="I356" s="320"/>
      <c r="K356" s="320"/>
    </row>
    <row r="357">
      <c r="C357" s="320"/>
      <c r="E357" s="320"/>
      <c r="G357" s="320"/>
      <c r="I357" s="320"/>
      <c r="K357" s="320"/>
    </row>
    <row r="358">
      <c r="C358" s="320"/>
      <c r="E358" s="320"/>
      <c r="G358" s="320"/>
      <c r="I358" s="320"/>
      <c r="K358" s="320"/>
    </row>
    <row r="359">
      <c r="C359" s="320"/>
      <c r="E359" s="320"/>
      <c r="G359" s="320"/>
      <c r="I359" s="320"/>
      <c r="K359" s="320"/>
    </row>
    <row r="360">
      <c r="C360" s="320"/>
      <c r="E360" s="320"/>
      <c r="G360" s="320"/>
      <c r="I360" s="320"/>
      <c r="K360" s="320"/>
    </row>
    <row r="361">
      <c r="C361" s="320"/>
      <c r="E361" s="320"/>
      <c r="G361" s="320"/>
      <c r="I361" s="320"/>
      <c r="K361" s="320"/>
    </row>
    <row r="362">
      <c r="C362" s="320"/>
      <c r="E362" s="320"/>
      <c r="G362" s="320"/>
      <c r="I362" s="320"/>
      <c r="K362" s="320"/>
    </row>
    <row r="363">
      <c r="C363" s="320"/>
      <c r="E363" s="320"/>
      <c r="G363" s="320"/>
      <c r="I363" s="320"/>
      <c r="K363" s="320"/>
    </row>
    <row r="364">
      <c r="C364" s="320"/>
      <c r="E364" s="320"/>
      <c r="G364" s="320"/>
      <c r="I364" s="320"/>
      <c r="K364" s="320"/>
    </row>
    <row r="365">
      <c r="C365" s="320"/>
      <c r="E365" s="320"/>
      <c r="G365" s="320"/>
      <c r="I365" s="320"/>
      <c r="K365" s="320"/>
    </row>
    <row r="366">
      <c r="C366" s="320"/>
      <c r="E366" s="320"/>
      <c r="G366" s="320"/>
      <c r="I366" s="320"/>
      <c r="K366" s="320"/>
    </row>
    <row r="367">
      <c r="C367" s="320"/>
      <c r="E367" s="320"/>
      <c r="G367" s="320"/>
      <c r="I367" s="320"/>
      <c r="K367" s="320"/>
    </row>
    <row r="368">
      <c r="C368" s="320"/>
      <c r="E368" s="320"/>
      <c r="G368" s="320"/>
      <c r="I368" s="320"/>
      <c r="K368" s="320"/>
    </row>
    <row r="369">
      <c r="C369" s="320"/>
      <c r="E369" s="320"/>
      <c r="G369" s="320"/>
      <c r="I369" s="320"/>
      <c r="K369" s="320"/>
    </row>
    <row r="370">
      <c r="C370" s="320"/>
      <c r="E370" s="320"/>
      <c r="G370" s="320"/>
      <c r="I370" s="320"/>
      <c r="K370" s="320"/>
    </row>
    <row r="371">
      <c r="C371" s="320"/>
      <c r="E371" s="320"/>
      <c r="G371" s="320"/>
      <c r="I371" s="320"/>
      <c r="K371" s="320"/>
    </row>
    <row r="372">
      <c r="C372" s="320"/>
      <c r="E372" s="320"/>
      <c r="G372" s="320"/>
      <c r="I372" s="320"/>
      <c r="K372" s="320"/>
    </row>
    <row r="373">
      <c r="C373" s="320"/>
      <c r="E373" s="320"/>
      <c r="G373" s="320"/>
      <c r="I373" s="320"/>
      <c r="K373" s="320"/>
    </row>
    <row r="374">
      <c r="C374" s="320"/>
      <c r="E374" s="320"/>
      <c r="G374" s="320"/>
      <c r="I374" s="320"/>
      <c r="K374" s="320"/>
    </row>
    <row r="375">
      <c r="C375" s="320"/>
      <c r="E375" s="320"/>
      <c r="G375" s="320"/>
      <c r="I375" s="320"/>
      <c r="K375" s="320"/>
    </row>
    <row r="376">
      <c r="C376" s="320"/>
      <c r="E376" s="320"/>
      <c r="G376" s="320"/>
      <c r="I376" s="320"/>
      <c r="K376" s="320"/>
    </row>
    <row r="377">
      <c r="C377" s="320"/>
      <c r="E377" s="320"/>
      <c r="G377" s="320"/>
      <c r="I377" s="320"/>
      <c r="K377" s="320"/>
    </row>
    <row r="378">
      <c r="C378" s="320"/>
      <c r="E378" s="320"/>
      <c r="G378" s="320"/>
      <c r="I378" s="320"/>
      <c r="K378" s="320"/>
    </row>
    <row r="379">
      <c r="C379" s="320"/>
      <c r="E379" s="320"/>
      <c r="G379" s="320"/>
      <c r="I379" s="320"/>
      <c r="K379" s="320"/>
    </row>
    <row r="380">
      <c r="C380" s="320"/>
      <c r="E380" s="320"/>
      <c r="G380" s="320"/>
      <c r="I380" s="320"/>
      <c r="K380" s="320"/>
    </row>
    <row r="381">
      <c r="C381" s="320"/>
      <c r="E381" s="320"/>
      <c r="G381" s="320"/>
      <c r="I381" s="320"/>
      <c r="K381" s="320"/>
    </row>
    <row r="382">
      <c r="C382" s="320"/>
      <c r="E382" s="320"/>
      <c r="G382" s="320"/>
      <c r="I382" s="320"/>
      <c r="K382" s="320"/>
    </row>
    <row r="383">
      <c r="C383" s="320"/>
      <c r="E383" s="320"/>
      <c r="G383" s="320"/>
      <c r="I383" s="320"/>
      <c r="K383" s="320"/>
    </row>
    <row r="384">
      <c r="C384" s="320"/>
      <c r="E384" s="320"/>
      <c r="G384" s="320"/>
      <c r="I384" s="320"/>
      <c r="K384" s="320"/>
    </row>
    <row r="385">
      <c r="C385" s="320"/>
      <c r="E385" s="320"/>
      <c r="G385" s="320"/>
      <c r="I385" s="320"/>
      <c r="K385" s="320"/>
    </row>
    <row r="386">
      <c r="C386" s="320"/>
      <c r="E386" s="320"/>
      <c r="G386" s="320"/>
      <c r="I386" s="320"/>
      <c r="K386" s="320"/>
    </row>
    <row r="387">
      <c r="C387" s="320"/>
      <c r="E387" s="320"/>
      <c r="G387" s="320"/>
      <c r="I387" s="320"/>
      <c r="K387" s="320"/>
    </row>
    <row r="388">
      <c r="C388" s="320"/>
      <c r="E388" s="320"/>
      <c r="G388" s="320"/>
      <c r="I388" s="320"/>
      <c r="K388" s="320"/>
    </row>
    <row r="389">
      <c r="C389" s="320"/>
      <c r="E389" s="320"/>
      <c r="G389" s="320"/>
      <c r="I389" s="320"/>
      <c r="K389" s="320"/>
    </row>
    <row r="390">
      <c r="C390" s="320"/>
      <c r="E390" s="320"/>
      <c r="G390" s="320"/>
      <c r="I390" s="320"/>
      <c r="K390" s="320"/>
    </row>
    <row r="391">
      <c r="C391" s="320"/>
      <c r="E391" s="320"/>
      <c r="G391" s="320"/>
      <c r="I391" s="320"/>
      <c r="K391" s="320"/>
    </row>
    <row r="392">
      <c r="C392" s="320"/>
      <c r="E392" s="320"/>
      <c r="G392" s="320"/>
      <c r="I392" s="320"/>
      <c r="K392" s="320"/>
    </row>
    <row r="393">
      <c r="C393" s="320"/>
      <c r="E393" s="320"/>
      <c r="G393" s="320"/>
      <c r="I393" s="320"/>
      <c r="K393" s="320"/>
    </row>
    <row r="394">
      <c r="C394" s="320"/>
      <c r="E394" s="320"/>
      <c r="G394" s="320"/>
      <c r="I394" s="320"/>
      <c r="K394" s="320"/>
    </row>
    <row r="395">
      <c r="C395" s="320"/>
      <c r="E395" s="320"/>
      <c r="G395" s="320"/>
      <c r="I395" s="320"/>
      <c r="K395" s="320"/>
    </row>
    <row r="396">
      <c r="C396" s="320"/>
      <c r="E396" s="320"/>
      <c r="G396" s="320"/>
      <c r="I396" s="320"/>
      <c r="K396" s="320"/>
    </row>
    <row r="397">
      <c r="C397" s="320"/>
      <c r="E397" s="320"/>
      <c r="G397" s="320"/>
      <c r="I397" s="320"/>
      <c r="K397" s="320"/>
    </row>
    <row r="398">
      <c r="C398" s="320"/>
      <c r="E398" s="320"/>
      <c r="G398" s="320"/>
      <c r="I398" s="320"/>
      <c r="K398" s="320"/>
    </row>
    <row r="399">
      <c r="C399" s="320"/>
      <c r="E399" s="320"/>
      <c r="G399" s="320"/>
      <c r="I399" s="320"/>
      <c r="K399" s="320"/>
    </row>
    <row r="400">
      <c r="C400" s="320"/>
      <c r="E400" s="320"/>
      <c r="G400" s="320"/>
      <c r="I400" s="320"/>
      <c r="K400" s="320"/>
    </row>
    <row r="401">
      <c r="C401" s="320"/>
      <c r="E401" s="320"/>
      <c r="G401" s="320"/>
      <c r="I401" s="320"/>
      <c r="K401" s="320"/>
    </row>
    <row r="402">
      <c r="C402" s="320"/>
      <c r="E402" s="320"/>
      <c r="G402" s="320"/>
      <c r="I402" s="320"/>
      <c r="K402" s="320"/>
    </row>
    <row r="403">
      <c r="C403" s="320"/>
      <c r="E403" s="320"/>
      <c r="G403" s="320"/>
      <c r="I403" s="320"/>
      <c r="K403" s="320"/>
    </row>
    <row r="404">
      <c r="C404" s="320"/>
      <c r="E404" s="320"/>
      <c r="G404" s="320"/>
      <c r="I404" s="320"/>
      <c r="K404" s="320"/>
    </row>
    <row r="405">
      <c r="C405" s="320"/>
      <c r="E405" s="320"/>
      <c r="G405" s="320"/>
      <c r="I405" s="320"/>
      <c r="K405" s="320"/>
    </row>
    <row r="406">
      <c r="C406" s="320"/>
      <c r="E406" s="320"/>
      <c r="G406" s="320"/>
      <c r="I406" s="320"/>
      <c r="K406" s="320"/>
    </row>
    <row r="407">
      <c r="C407" s="320"/>
      <c r="E407" s="320"/>
      <c r="G407" s="320"/>
      <c r="I407" s="320"/>
      <c r="K407" s="320"/>
    </row>
    <row r="408">
      <c r="C408" s="320"/>
      <c r="E408" s="320"/>
      <c r="G408" s="320"/>
      <c r="I408" s="320"/>
      <c r="K408" s="320"/>
    </row>
    <row r="409">
      <c r="C409" s="320"/>
      <c r="E409" s="320"/>
      <c r="G409" s="320"/>
      <c r="I409" s="320"/>
      <c r="K409" s="320"/>
    </row>
    <row r="410">
      <c r="C410" s="320"/>
      <c r="E410" s="320"/>
      <c r="G410" s="320"/>
      <c r="I410" s="320"/>
      <c r="K410" s="320"/>
    </row>
    <row r="411">
      <c r="C411" s="320"/>
      <c r="E411" s="320"/>
      <c r="G411" s="320"/>
      <c r="I411" s="320"/>
      <c r="K411" s="320"/>
    </row>
    <row r="412">
      <c r="C412" s="320"/>
      <c r="E412" s="320"/>
      <c r="G412" s="320"/>
      <c r="I412" s="320"/>
      <c r="K412" s="320"/>
    </row>
    <row r="413">
      <c r="C413" s="320"/>
      <c r="E413" s="320"/>
      <c r="G413" s="320"/>
      <c r="I413" s="320"/>
      <c r="K413" s="320"/>
    </row>
    <row r="414">
      <c r="C414" s="320"/>
      <c r="E414" s="320"/>
      <c r="G414" s="320"/>
      <c r="I414" s="320"/>
      <c r="K414" s="320"/>
    </row>
    <row r="415">
      <c r="C415" s="320"/>
      <c r="E415" s="320"/>
      <c r="G415" s="320"/>
      <c r="I415" s="320"/>
      <c r="K415" s="320"/>
    </row>
    <row r="416">
      <c r="C416" s="320"/>
      <c r="E416" s="320"/>
      <c r="G416" s="320"/>
      <c r="I416" s="320"/>
      <c r="K416" s="320"/>
    </row>
    <row r="417">
      <c r="C417" s="320"/>
      <c r="E417" s="320"/>
      <c r="G417" s="320"/>
      <c r="I417" s="320"/>
      <c r="K417" s="320"/>
    </row>
    <row r="418">
      <c r="C418" s="320"/>
      <c r="E418" s="320"/>
      <c r="G418" s="320"/>
      <c r="I418" s="320"/>
      <c r="K418" s="320"/>
    </row>
    <row r="419">
      <c r="C419" s="320"/>
      <c r="E419" s="320"/>
      <c r="G419" s="320"/>
      <c r="I419" s="320"/>
      <c r="K419" s="320"/>
    </row>
    <row r="420">
      <c r="C420" s="320"/>
      <c r="E420" s="320"/>
      <c r="G420" s="320"/>
      <c r="I420" s="320"/>
      <c r="K420" s="320"/>
    </row>
    <row r="421">
      <c r="C421" s="320"/>
      <c r="E421" s="320"/>
      <c r="G421" s="320"/>
      <c r="I421" s="320"/>
      <c r="K421" s="320"/>
    </row>
    <row r="422">
      <c r="C422" s="320"/>
      <c r="E422" s="320"/>
      <c r="G422" s="320"/>
      <c r="I422" s="320"/>
      <c r="K422" s="320"/>
    </row>
    <row r="423">
      <c r="C423" s="320"/>
      <c r="E423" s="320"/>
      <c r="G423" s="320"/>
      <c r="I423" s="320"/>
      <c r="K423" s="320"/>
    </row>
    <row r="424">
      <c r="C424" s="320"/>
      <c r="E424" s="320"/>
      <c r="G424" s="320"/>
      <c r="I424" s="320"/>
      <c r="K424" s="320"/>
    </row>
    <row r="425">
      <c r="C425" s="320"/>
      <c r="E425" s="320"/>
      <c r="G425" s="320"/>
      <c r="I425" s="320"/>
      <c r="K425" s="320"/>
    </row>
    <row r="426">
      <c r="C426" s="320"/>
      <c r="E426" s="320"/>
      <c r="G426" s="320"/>
      <c r="I426" s="320"/>
      <c r="K426" s="320"/>
    </row>
    <row r="427">
      <c r="C427" s="320"/>
      <c r="E427" s="320"/>
      <c r="G427" s="320"/>
      <c r="I427" s="320"/>
      <c r="K427" s="320"/>
    </row>
    <row r="428">
      <c r="C428" s="320"/>
      <c r="E428" s="320"/>
      <c r="G428" s="320"/>
      <c r="I428" s="320"/>
      <c r="K428" s="320"/>
    </row>
    <row r="429">
      <c r="C429" s="320"/>
      <c r="E429" s="320"/>
      <c r="G429" s="320"/>
      <c r="I429" s="320"/>
      <c r="K429" s="320"/>
    </row>
    <row r="430">
      <c r="C430" s="320"/>
      <c r="E430" s="320"/>
      <c r="G430" s="320"/>
      <c r="I430" s="320"/>
      <c r="K430" s="320"/>
    </row>
    <row r="431">
      <c r="C431" s="320"/>
      <c r="E431" s="320"/>
      <c r="G431" s="320"/>
      <c r="I431" s="320"/>
      <c r="K431" s="320"/>
    </row>
    <row r="432">
      <c r="C432" s="320"/>
      <c r="E432" s="320"/>
      <c r="G432" s="320"/>
      <c r="I432" s="320"/>
      <c r="K432" s="320"/>
    </row>
    <row r="433">
      <c r="C433" s="320"/>
      <c r="E433" s="320"/>
      <c r="G433" s="320"/>
      <c r="I433" s="320"/>
      <c r="K433" s="320"/>
    </row>
    <row r="434">
      <c r="C434" s="320"/>
      <c r="E434" s="320"/>
      <c r="G434" s="320"/>
      <c r="I434" s="320"/>
      <c r="K434" s="320"/>
    </row>
    <row r="435">
      <c r="C435" s="320"/>
      <c r="E435" s="320"/>
      <c r="G435" s="320"/>
      <c r="I435" s="320"/>
      <c r="K435" s="320"/>
    </row>
    <row r="436">
      <c r="C436" s="320"/>
      <c r="E436" s="320"/>
      <c r="G436" s="320"/>
      <c r="I436" s="320"/>
      <c r="K436" s="320"/>
    </row>
    <row r="437">
      <c r="C437" s="320"/>
      <c r="E437" s="320"/>
      <c r="G437" s="320"/>
      <c r="I437" s="320"/>
      <c r="K437" s="320"/>
    </row>
    <row r="438">
      <c r="C438" s="320"/>
      <c r="E438" s="320"/>
      <c r="G438" s="320"/>
      <c r="I438" s="320"/>
      <c r="K438" s="320"/>
    </row>
    <row r="439">
      <c r="C439" s="320"/>
      <c r="E439" s="320"/>
      <c r="G439" s="320"/>
      <c r="I439" s="320"/>
      <c r="K439" s="320"/>
    </row>
    <row r="440">
      <c r="C440" s="320"/>
      <c r="E440" s="320"/>
      <c r="G440" s="320"/>
      <c r="I440" s="320"/>
      <c r="K440" s="320"/>
    </row>
    <row r="441">
      <c r="C441" s="320"/>
      <c r="E441" s="320"/>
      <c r="G441" s="320"/>
      <c r="I441" s="320"/>
      <c r="K441" s="320"/>
    </row>
    <row r="442">
      <c r="C442" s="320"/>
      <c r="E442" s="320"/>
      <c r="G442" s="320"/>
      <c r="I442" s="320"/>
      <c r="K442" s="320"/>
    </row>
    <row r="443">
      <c r="C443" s="320"/>
      <c r="E443" s="320"/>
      <c r="G443" s="320"/>
      <c r="I443" s="320"/>
      <c r="K443" s="320"/>
    </row>
    <row r="444">
      <c r="C444" s="320"/>
      <c r="E444" s="320"/>
      <c r="G444" s="320"/>
      <c r="I444" s="320"/>
      <c r="K444" s="320"/>
    </row>
    <row r="445">
      <c r="C445" s="320"/>
      <c r="E445" s="320"/>
      <c r="G445" s="320"/>
      <c r="I445" s="320"/>
      <c r="K445" s="320"/>
    </row>
    <row r="446">
      <c r="C446" s="320"/>
      <c r="E446" s="320"/>
      <c r="G446" s="320"/>
      <c r="I446" s="320"/>
      <c r="K446" s="320"/>
    </row>
    <row r="447">
      <c r="C447" s="320"/>
      <c r="E447" s="320"/>
      <c r="G447" s="320"/>
      <c r="I447" s="320"/>
      <c r="K447" s="320"/>
    </row>
    <row r="448">
      <c r="C448" s="320"/>
      <c r="E448" s="320"/>
      <c r="G448" s="320"/>
      <c r="I448" s="320"/>
      <c r="K448" s="320"/>
    </row>
    <row r="449">
      <c r="C449" s="320"/>
      <c r="E449" s="320"/>
      <c r="G449" s="320"/>
      <c r="I449" s="320"/>
      <c r="K449" s="320"/>
    </row>
    <row r="450">
      <c r="C450" s="320"/>
      <c r="E450" s="320"/>
      <c r="G450" s="320"/>
      <c r="I450" s="320"/>
      <c r="K450" s="320"/>
    </row>
    <row r="451">
      <c r="C451" s="320"/>
      <c r="E451" s="320"/>
      <c r="G451" s="320"/>
      <c r="I451" s="320"/>
      <c r="K451" s="320"/>
    </row>
    <row r="452">
      <c r="C452" s="320"/>
      <c r="E452" s="320"/>
      <c r="G452" s="320"/>
      <c r="I452" s="320"/>
      <c r="K452" s="320"/>
    </row>
    <row r="453">
      <c r="C453" s="320"/>
      <c r="E453" s="320"/>
      <c r="G453" s="320"/>
      <c r="I453" s="320"/>
      <c r="K453" s="320"/>
    </row>
    <row r="454">
      <c r="C454" s="320"/>
      <c r="E454" s="320"/>
      <c r="G454" s="320"/>
      <c r="I454" s="320"/>
      <c r="K454" s="320"/>
    </row>
    <row r="455">
      <c r="C455" s="320"/>
      <c r="E455" s="320"/>
      <c r="G455" s="320"/>
      <c r="I455" s="320"/>
      <c r="K455" s="320"/>
    </row>
    <row r="456">
      <c r="C456" s="320"/>
      <c r="E456" s="320"/>
      <c r="G456" s="320"/>
      <c r="I456" s="320"/>
      <c r="K456" s="320"/>
    </row>
    <row r="457">
      <c r="C457" s="320"/>
      <c r="E457" s="320"/>
      <c r="G457" s="320"/>
      <c r="I457" s="320"/>
      <c r="K457" s="320"/>
    </row>
    <row r="458">
      <c r="C458" s="320"/>
      <c r="E458" s="320"/>
      <c r="G458" s="320"/>
      <c r="I458" s="320"/>
      <c r="K458" s="320"/>
    </row>
    <row r="459">
      <c r="C459" s="320"/>
      <c r="E459" s="320"/>
      <c r="G459" s="320"/>
      <c r="I459" s="320"/>
      <c r="K459" s="320"/>
    </row>
    <row r="460">
      <c r="C460" s="320"/>
      <c r="E460" s="320"/>
      <c r="G460" s="320"/>
      <c r="I460" s="320"/>
      <c r="K460" s="320"/>
    </row>
    <row r="461">
      <c r="C461" s="320"/>
      <c r="E461" s="320"/>
      <c r="G461" s="320"/>
      <c r="I461" s="320"/>
      <c r="K461" s="320"/>
    </row>
    <row r="462">
      <c r="C462" s="320"/>
      <c r="E462" s="320"/>
      <c r="G462" s="320"/>
      <c r="I462" s="320"/>
      <c r="K462" s="320"/>
    </row>
    <row r="463">
      <c r="C463" s="320"/>
      <c r="E463" s="320"/>
      <c r="G463" s="320"/>
      <c r="I463" s="320"/>
      <c r="K463" s="320"/>
    </row>
    <row r="464">
      <c r="C464" s="320"/>
      <c r="E464" s="320"/>
      <c r="G464" s="320"/>
      <c r="I464" s="320"/>
      <c r="K464" s="320"/>
    </row>
    <row r="465">
      <c r="C465" s="320"/>
      <c r="E465" s="320"/>
      <c r="G465" s="320"/>
      <c r="I465" s="320"/>
      <c r="K465" s="320"/>
    </row>
    <row r="466">
      <c r="C466" s="320"/>
      <c r="E466" s="320"/>
      <c r="G466" s="320"/>
      <c r="I466" s="320"/>
      <c r="K466" s="320"/>
    </row>
    <row r="467">
      <c r="C467" s="320"/>
      <c r="E467" s="320"/>
      <c r="G467" s="320"/>
      <c r="I467" s="320"/>
      <c r="K467" s="320"/>
    </row>
    <row r="468">
      <c r="C468" s="320"/>
      <c r="E468" s="320"/>
      <c r="G468" s="320"/>
      <c r="I468" s="320"/>
      <c r="K468" s="320"/>
    </row>
    <row r="469">
      <c r="C469" s="320"/>
      <c r="E469" s="320"/>
      <c r="G469" s="320"/>
      <c r="I469" s="320"/>
      <c r="K469" s="320"/>
    </row>
    <row r="470">
      <c r="C470" s="320"/>
      <c r="E470" s="320"/>
      <c r="G470" s="320"/>
      <c r="I470" s="320"/>
      <c r="K470" s="320"/>
    </row>
    <row r="471">
      <c r="C471" s="320"/>
      <c r="E471" s="320"/>
      <c r="G471" s="320"/>
      <c r="I471" s="320"/>
      <c r="K471" s="320"/>
    </row>
    <row r="472">
      <c r="C472" s="320"/>
      <c r="E472" s="320"/>
      <c r="G472" s="320"/>
      <c r="I472" s="320"/>
      <c r="K472" s="320"/>
    </row>
    <row r="473">
      <c r="C473" s="320"/>
      <c r="E473" s="320"/>
      <c r="G473" s="320"/>
      <c r="I473" s="320"/>
      <c r="K473" s="320"/>
    </row>
    <row r="474">
      <c r="C474" s="320"/>
      <c r="E474" s="320"/>
      <c r="G474" s="320"/>
      <c r="I474" s="320"/>
      <c r="K474" s="320"/>
    </row>
    <row r="475">
      <c r="C475" s="320"/>
      <c r="E475" s="320"/>
      <c r="G475" s="320"/>
      <c r="I475" s="320"/>
      <c r="K475" s="320"/>
    </row>
    <row r="476">
      <c r="C476" s="320"/>
      <c r="E476" s="320"/>
      <c r="G476" s="320"/>
      <c r="I476" s="320"/>
      <c r="K476" s="320"/>
    </row>
    <row r="477">
      <c r="C477" s="320"/>
      <c r="E477" s="320"/>
      <c r="G477" s="320"/>
      <c r="I477" s="320"/>
      <c r="K477" s="320"/>
    </row>
    <row r="478">
      <c r="C478" s="320"/>
      <c r="E478" s="320"/>
      <c r="G478" s="320"/>
      <c r="I478" s="320"/>
      <c r="K478" s="320"/>
    </row>
    <row r="479">
      <c r="C479" s="320"/>
      <c r="E479" s="320"/>
      <c r="G479" s="320"/>
      <c r="I479" s="320"/>
      <c r="K479" s="320"/>
    </row>
    <row r="480">
      <c r="C480" s="320"/>
      <c r="E480" s="320"/>
      <c r="G480" s="320"/>
      <c r="I480" s="320"/>
      <c r="K480" s="320"/>
    </row>
    <row r="481">
      <c r="C481" s="320"/>
      <c r="E481" s="320"/>
      <c r="G481" s="320"/>
      <c r="I481" s="320"/>
      <c r="K481" s="320"/>
    </row>
    <row r="482">
      <c r="C482" s="320"/>
      <c r="E482" s="320"/>
      <c r="G482" s="320"/>
      <c r="I482" s="320"/>
      <c r="K482" s="320"/>
    </row>
    <row r="483">
      <c r="C483" s="320"/>
      <c r="E483" s="320"/>
      <c r="G483" s="320"/>
      <c r="I483" s="320"/>
      <c r="K483" s="320"/>
    </row>
    <row r="484">
      <c r="C484" s="320"/>
      <c r="E484" s="320"/>
      <c r="G484" s="320"/>
      <c r="I484" s="320"/>
      <c r="K484" s="320"/>
    </row>
    <row r="485">
      <c r="C485" s="320"/>
      <c r="E485" s="320"/>
      <c r="G485" s="320"/>
      <c r="I485" s="320"/>
      <c r="K485" s="320"/>
    </row>
    <row r="486">
      <c r="C486" s="320"/>
      <c r="E486" s="320"/>
      <c r="G486" s="320"/>
      <c r="I486" s="320"/>
      <c r="K486" s="320"/>
    </row>
    <row r="487">
      <c r="C487" s="320"/>
      <c r="E487" s="320"/>
      <c r="G487" s="320"/>
      <c r="I487" s="320"/>
      <c r="K487" s="320"/>
    </row>
    <row r="488">
      <c r="C488" s="320"/>
      <c r="E488" s="320"/>
      <c r="G488" s="320"/>
      <c r="I488" s="320"/>
      <c r="K488" s="320"/>
    </row>
    <row r="489">
      <c r="C489" s="320"/>
      <c r="E489" s="320"/>
      <c r="G489" s="320"/>
      <c r="I489" s="320"/>
      <c r="K489" s="320"/>
    </row>
    <row r="490">
      <c r="C490" s="320"/>
      <c r="E490" s="320"/>
      <c r="G490" s="320"/>
      <c r="I490" s="320"/>
      <c r="K490" s="320"/>
    </row>
    <row r="491">
      <c r="C491" s="320"/>
      <c r="E491" s="320"/>
      <c r="G491" s="320"/>
      <c r="I491" s="320"/>
      <c r="K491" s="320"/>
    </row>
    <row r="492">
      <c r="C492" s="320"/>
      <c r="E492" s="320"/>
      <c r="G492" s="320"/>
      <c r="I492" s="320"/>
      <c r="K492" s="320"/>
    </row>
    <row r="493">
      <c r="C493" s="320"/>
      <c r="E493" s="320"/>
      <c r="G493" s="320"/>
      <c r="I493" s="320"/>
      <c r="K493" s="320"/>
    </row>
    <row r="494">
      <c r="C494" s="320"/>
      <c r="E494" s="320"/>
      <c r="G494" s="320"/>
      <c r="I494" s="320"/>
      <c r="K494" s="320"/>
    </row>
    <row r="495">
      <c r="C495" s="320"/>
      <c r="E495" s="320"/>
      <c r="G495" s="320"/>
      <c r="I495" s="320"/>
      <c r="K495" s="320"/>
    </row>
    <row r="496">
      <c r="C496" s="320"/>
      <c r="E496" s="320"/>
      <c r="G496" s="320"/>
      <c r="I496" s="320"/>
      <c r="K496" s="320"/>
    </row>
    <row r="497">
      <c r="C497" s="320"/>
      <c r="E497" s="320"/>
      <c r="G497" s="320"/>
      <c r="I497" s="320"/>
      <c r="K497" s="320"/>
    </row>
    <row r="498">
      <c r="C498" s="320"/>
      <c r="E498" s="320"/>
      <c r="G498" s="320"/>
      <c r="I498" s="320"/>
      <c r="K498" s="320"/>
    </row>
    <row r="499">
      <c r="C499" s="320"/>
      <c r="E499" s="320"/>
      <c r="G499" s="320"/>
      <c r="I499" s="320"/>
      <c r="K499" s="320"/>
    </row>
    <row r="500">
      <c r="C500" s="320"/>
      <c r="E500" s="320"/>
      <c r="G500" s="320"/>
      <c r="I500" s="320"/>
      <c r="K500" s="320"/>
    </row>
    <row r="501">
      <c r="C501" s="320"/>
      <c r="E501" s="320"/>
      <c r="G501" s="320"/>
      <c r="I501" s="320"/>
      <c r="K501" s="320"/>
    </row>
    <row r="502">
      <c r="C502" s="320"/>
      <c r="E502" s="320"/>
      <c r="G502" s="320"/>
      <c r="I502" s="320"/>
      <c r="K502" s="320"/>
    </row>
    <row r="503">
      <c r="C503" s="320"/>
      <c r="E503" s="320"/>
      <c r="G503" s="320"/>
      <c r="I503" s="320"/>
      <c r="K503" s="320"/>
    </row>
    <row r="504">
      <c r="C504" s="320"/>
      <c r="E504" s="320"/>
      <c r="G504" s="320"/>
      <c r="I504" s="320"/>
      <c r="K504" s="320"/>
    </row>
    <row r="505">
      <c r="C505" s="320"/>
      <c r="E505" s="320"/>
      <c r="G505" s="320"/>
      <c r="I505" s="320"/>
      <c r="K505" s="320"/>
    </row>
    <row r="506">
      <c r="C506" s="320"/>
      <c r="E506" s="320"/>
      <c r="G506" s="320"/>
      <c r="I506" s="320"/>
      <c r="K506" s="320"/>
    </row>
    <row r="507">
      <c r="C507" s="320"/>
      <c r="E507" s="320"/>
      <c r="G507" s="320"/>
      <c r="I507" s="320"/>
      <c r="K507" s="320"/>
    </row>
    <row r="508">
      <c r="C508" s="320"/>
      <c r="E508" s="320"/>
      <c r="G508" s="320"/>
      <c r="I508" s="320"/>
      <c r="K508" s="320"/>
    </row>
    <row r="509">
      <c r="C509" s="320"/>
      <c r="E509" s="320"/>
      <c r="G509" s="320"/>
      <c r="I509" s="320"/>
      <c r="K509" s="320"/>
    </row>
    <row r="510">
      <c r="C510" s="320"/>
      <c r="E510" s="320"/>
      <c r="G510" s="320"/>
      <c r="I510" s="320"/>
      <c r="K510" s="320"/>
    </row>
    <row r="511">
      <c r="C511" s="320"/>
      <c r="E511" s="320"/>
      <c r="G511" s="320"/>
      <c r="I511" s="320"/>
      <c r="K511" s="320"/>
    </row>
    <row r="512">
      <c r="C512" s="320"/>
      <c r="E512" s="320"/>
      <c r="G512" s="320"/>
      <c r="I512" s="320"/>
      <c r="K512" s="320"/>
    </row>
    <row r="513">
      <c r="C513" s="320"/>
      <c r="E513" s="320"/>
      <c r="G513" s="320"/>
      <c r="I513" s="320"/>
      <c r="K513" s="320"/>
    </row>
    <row r="514">
      <c r="C514" s="320"/>
      <c r="E514" s="320"/>
      <c r="G514" s="320"/>
      <c r="I514" s="320"/>
      <c r="K514" s="320"/>
    </row>
    <row r="515">
      <c r="C515" s="320"/>
      <c r="E515" s="320"/>
      <c r="G515" s="320"/>
      <c r="I515" s="320"/>
      <c r="K515" s="320"/>
    </row>
    <row r="516">
      <c r="C516" s="320"/>
      <c r="E516" s="320"/>
      <c r="G516" s="320"/>
      <c r="I516" s="320"/>
      <c r="K516" s="320"/>
    </row>
    <row r="517">
      <c r="C517" s="320"/>
      <c r="E517" s="320"/>
      <c r="G517" s="320"/>
      <c r="I517" s="320"/>
      <c r="K517" s="320"/>
    </row>
    <row r="518">
      <c r="C518" s="320"/>
      <c r="E518" s="320"/>
      <c r="G518" s="320"/>
      <c r="I518" s="320"/>
      <c r="K518" s="320"/>
    </row>
    <row r="519">
      <c r="C519" s="320"/>
      <c r="E519" s="320"/>
      <c r="G519" s="320"/>
      <c r="I519" s="320"/>
      <c r="K519" s="320"/>
    </row>
    <row r="520">
      <c r="C520" s="320"/>
      <c r="E520" s="320"/>
      <c r="G520" s="320"/>
      <c r="I520" s="320"/>
      <c r="K520" s="320"/>
    </row>
    <row r="521">
      <c r="C521" s="320"/>
      <c r="E521" s="320"/>
      <c r="G521" s="320"/>
      <c r="I521" s="320"/>
      <c r="K521" s="320"/>
    </row>
    <row r="522">
      <c r="C522" s="320"/>
      <c r="E522" s="320"/>
      <c r="G522" s="320"/>
      <c r="I522" s="320"/>
      <c r="K522" s="320"/>
    </row>
    <row r="523">
      <c r="C523" s="320"/>
      <c r="E523" s="320"/>
      <c r="G523" s="320"/>
      <c r="I523" s="320"/>
      <c r="K523" s="320"/>
    </row>
    <row r="524">
      <c r="C524" s="320"/>
      <c r="E524" s="320"/>
      <c r="G524" s="320"/>
      <c r="I524" s="320"/>
      <c r="K524" s="320"/>
    </row>
    <row r="525">
      <c r="C525" s="320"/>
      <c r="E525" s="320"/>
      <c r="G525" s="320"/>
      <c r="I525" s="320"/>
      <c r="K525" s="320"/>
    </row>
    <row r="526">
      <c r="C526" s="320"/>
      <c r="E526" s="320"/>
      <c r="G526" s="320"/>
      <c r="I526" s="320"/>
      <c r="K526" s="320"/>
    </row>
    <row r="527">
      <c r="C527" s="320"/>
      <c r="E527" s="320"/>
      <c r="G527" s="320"/>
      <c r="I527" s="320"/>
      <c r="K527" s="320"/>
    </row>
    <row r="528">
      <c r="C528" s="320"/>
      <c r="E528" s="320"/>
      <c r="G528" s="320"/>
      <c r="I528" s="320"/>
      <c r="K528" s="320"/>
    </row>
    <row r="529">
      <c r="C529" s="320"/>
      <c r="E529" s="320"/>
      <c r="G529" s="320"/>
      <c r="I529" s="320"/>
      <c r="K529" s="320"/>
    </row>
    <row r="530">
      <c r="C530" s="320"/>
      <c r="E530" s="320"/>
      <c r="G530" s="320"/>
      <c r="I530" s="320"/>
      <c r="K530" s="320"/>
    </row>
    <row r="531">
      <c r="C531" s="320"/>
      <c r="E531" s="320"/>
      <c r="G531" s="320"/>
      <c r="I531" s="320"/>
      <c r="K531" s="320"/>
    </row>
    <row r="532">
      <c r="C532" s="320"/>
      <c r="E532" s="320"/>
      <c r="G532" s="320"/>
      <c r="I532" s="320"/>
      <c r="K532" s="320"/>
    </row>
    <row r="533">
      <c r="C533" s="320"/>
      <c r="E533" s="320"/>
      <c r="G533" s="320"/>
      <c r="I533" s="320"/>
      <c r="K533" s="320"/>
    </row>
    <row r="534">
      <c r="C534" s="320"/>
      <c r="E534" s="320"/>
      <c r="G534" s="320"/>
      <c r="I534" s="320"/>
      <c r="K534" s="320"/>
    </row>
    <row r="535">
      <c r="C535" s="320"/>
      <c r="E535" s="320"/>
      <c r="G535" s="320"/>
      <c r="I535" s="320"/>
      <c r="K535" s="320"/>
    </row>
    <row r="536">
      <c r="C536" s="320"/>
      <c r="E536" s="320"/>
      <c r="G536" s="320"/>
      <c r="I536" s="320"/>
      <c r="K536" s="320"/>
    </row>
    <row r="537">
      <c r="C537" s="320"/>
      <c r="E537" s="320"/>
      <c r="G537" s="320"/>
      <c r="I537" s="320"/>
      <c r="K537" s="320"/>
    </row>
    <row r="538">
      <c r="C538" s="320"/>
      <c r="E538" s="320"/>
      <c r="G538" s="320"/>
      <c r="I538" s="320"/>
      <c r="K538" s="320"/>
    </row>
    <row r="539">
      <c r="C539" s="320"/>
      <c r="E539" s="320"/>
      <c r="G539" s="320"/>
      <c r="I539" s="320"/>
      <c r="K539" s="320"/>
    </row>
    <row r="540">
      <c r="C540" s="320"/>
      <c r="E540" s="320"/>
      <c r="G540" s="320"/>
      <c r="I540" s="320"/>
      <c r="K540" s="320"/>
    </row>
    <row r="541">
      <c r="C541" s="320"/>
      <c r="E541" s="320"/>
      <c r="G541" s="320"/>
      <c r="I541" s="320"/>
      <c r="K541" s="320"/>
    </row>
    <row r="542">
      <c r="C542" s="320"/>
      <c r="E542" s="320"/>
      <c r="G542" s="320"/>
      <c r="I542" s="320"/>
      <c r="K542" s="320"/>
    </row>
    <row r="543">
      <c r="C543" s="320"/>
      <c r="E543" s="320"/>
      <c r="G543" s="320"/>
      <c r="I543" s="320"/>
      <c r="K543" s="320"/>
    </row>
    <row r="544">
      <c r="C544" s="320"/>
      <c r="E544" s="320"/>
      <c r="G544" s="320"/>
      <c r="I544" s="320"/>
      <c r="K544" s="320"/>
    </row>
    <row r="545">
      <c r="C545" s="320"/>
      <c r="E545" s="320"/>
      <c r="G545" s="320"/>
      <c r="I545" s="320"/>
      <c r="K545" s="320"/>
    </row>
    <row r="546">
      <c r="C546" s="320"/>
      <c r="E546" s="320"/>
      <c r="G546" s="320"/>
      <c r="I546" s="320"/>
      <c r="K546" s="320"/>
    </row>
    <row r="547">
      <c r="C547" s="320"/>
      <c r="E547" s="320"/>
      <c r="G547" s="320"/>
      <c r="I547" s="320"/>
      <c r="K547" s="320"/>
    </row>
    <row r="548">
      <c r="C548" s="320"/>
      <c r="E548" s="320"/>
      <c r="G548" s="320"/>
      <c r="I548" s="320"/>
      <c r="K548" s="320"/>
    </row>
    <row r="549">
      <c r="C549" s="320"/>
      <c r="E549" s="320"/>
      <c r="G549" s="320"/>
      <c r="I549" s="320"/>
      <c r="K549" s="320"/>
    </row>
    <row r="550">
      <c r="C550" s="320"/>
      <c r="E550" s="320"/>
      <c r="G550" s="320"/>
      <c r="I550" s="320"/>
      <c r="K550" s="320"/>
    </row>
    <row r="551">
      <c r="C551" s="320"/>
      <c r="E551" s="320"/>
      <c r="G551" s="320"/>
      <c r="I551" s="320"/>
      <c r="K551" s="320"/>
    </row>
    <row r="552">
      <c r="C552" s="320"/>
      <c r="E552" s="320"/>
      <c r="G552" s="320"/>
      <c r="I552" s="320"/>
      <c r="K552" s="320"/>
    </row>
    <row r="553">
      <c r="C553" s="320"/>
      <c r="E553" s="320"/>
      <c r="G553" s="320"/>
      <c r="I553" s="320"/>
      <c r="K553" s="320"/>
    </row>
    <row r="554">
      <c r="C554" s="320"/>
      <c r="E554" s="320"/>
      <c r="G554" s="320"/>
      <c r="I554" s="320"/>
      <c r="K554" s="320"/>
    </row>
    <row r="555">
      <c r="C555" s="320"/>
      <c r="E555" s="320"/>
      <c r="G555" s="320"/>
      <c r="I555" s="320"/>
      <c r="K555" s="320"/>
    </row>
    <row r="556">
      <c r="C556" s="320"/>
      <c r="E556" s="320"/>
      <c r="G556" s="320"/>
      <c r="I556" s="320"/>
      <c r="K556" s="320"/>
    </row>
    <row r="557">
      <c r="C557" s="320"/>
      <c r="E557" s="320"/>
      <c r="G557" s="320"/>
      <c r="I557" s="320"/>
      <c r="K557" s="320"/>
    </row>
    <row r="558">
      <c r="C558" s="320"/>
      <c r="E558" s="320"/>
      <c r="G558" s="320"/>
      <c r="I558" s="320"/>
      <c r="K558" s="320"/>
    </row>
    <row r="559">
      <c r="C559" s="320"/>
      <c r="E559" s="320"/>
      <c r="G559" s="320"/>
      <c r="I559" s="320"/>
      <c r="K559" s="320"/>
    </row>
    <row r="560">
      <c r="C560" s="320"/>
      <c r="E560" s="320"/>
      <c r="G560" s="320"/>
      <c r="I560" s="320"/>
      <c r="K560" s="320"/>
    </row>
    <row r="561">
      <c r="C561" s="320"/>
      <c r="E561" s="320"/>
      <c r="G561" s="320"/>
      <c r="I561" s="320"/>
      <c r="K561" s="320"/>
    </row>
    <row r="562">
      <c r="C562" s="320"/>
      <c r="E562" s="320"/>
      <c r="G562" s="320"/>
      <c r="I562" s="320"/>
      <c r="K562" s="320"/>
    </row>
    <row r="563">
      <c r="C563" s="320"/>
      <c r="E563" s="320"/>
      <c r="G563" s="320"/>
      <c r="I563" s="320"/>
      <c r="K563" s="320"/>
    </row>
    <row r="564">
      <c r="C564" s="320"/>
      <c r="E564" s="320"/>
      <c r="G564" s="320"/>
      <c r="I564" s="320"/>
      <c r="K564" s="320"/>
    </row>
    <row r="565">
      <c r="C565" s="320"/>
      <c r="E565" s="320"/>
      <c r="G565" s="320"/>
      <c r="I565" s="320"/>
      <c r="K565" s="320"/>
    </row>
    <row r="566">
      <c r="C566" s="320"/>
      <c r="E566" s="320"/>
      <c r="G566" s="320"/>
      <c r="I566" s="320"/>
      <c r="K566" s="320"/>
    </row>
    <row r="567">
      <c r="C567" s="320"/>
      <c r="E567" s="320"/>
      <c r="G567" s="320"/>
      <c r="I567" s="320"/>
      <c r="K567" s="320"/>
    </row>
    <row r="568">
      <c r="C568" s="320"/>
      <c r="E568" s="320"/>
      <c r="G568" s="320"/>
      <c r="I568" s="320"/>
      <c r="K568" s="320"/>
    </row>
    <row r="569">
      <c r="C569" s="320"/>
      <c r="E569" s="320"/>
      <c r="G569" s="320"/>
      <c r="I569" s="320"/>
      <c r="K569" s="320"/>
    </row>
    <row r="570">
      <c r="C570" s="320"/>
      <c r="E570" s="320"/>
      <c r="G570" s="320"/>
      <c r="I570" s="320"/>
      <c r="K570" s="320"/>
    </row>
    <row r="571">
      <c r="C571" s="320"/>
      <c r="E571" s="320"/>
      <c r="G571" s="320"/>
      <c r="I571" s="320"/>
      <c r="K571" s="320"/>
    </row>
    <row r="572">
      <c r="C572" s="320"/>
      <c r="E572" s="320"/>
      <c r="G572" s="320"/>
      <c r="I572" s="320"/>
      <c r="K572" s="320"/>
    </row>
    <row r="573">
      <c r="C573" s="320"/>
      <c r="E573" s="320"/>
      <c r="G573" s="320"/>
      <c r="I573" s="320"/>
      <c r="K573" s="320"/>
    </row>
    <row r="574">
      <c r="C574" s="320"/>
      <c r="E574" s="320"/>
      <c r="G574" s="320"/>
      <c r="I574" s="320"/>
      <c r="K574" s="320"/>
    </row>
    <row r="575">
      <c r="C575" s="320"/>
      <c r="E575" s="320"/>
      <c r="G575" s="320"/>
      <c r="I575" s="320"/>
      <c r="K575" s="320"/>
    </row>
    <row r="576">
      <c r="C576" s="320"/>
      <c r="E576" s="320"/>
      <c r="G576" s="320"/>
      <c r="I576" s="320"/>
      <c r="K576" s="320"/>
    </row>
    <row r="577">
      <c r="C577" s="320"/>
      <c r="E577" s="320"/>
      <c r="G577" s="320"/>
      <c r="I577" s="320"/>
      <c r="K577" s="320"/>
    </row>
    <row r="578">
      <c r="C578" s="320"/>
      <c r="E578" s="320"/>
      <c r="G578" s="320"/>
      <c r="I578" s="320"/>
      <c r="K578" s="320"/>
    </row>
    <row r="579">
      <c r="C579" s="320"/>
      <c r="E579" s="320"/>
      <c r="G579" s="320"/>
      <c r="I579" s="320"/>
      <c r="K579" s="320"/>
    </row>
    <row r="580">
      <c r="C580" s="320"/>
      <c r="E580" s="320"/>
      <c r="G580" s="320"/>
      <c r="I580" s="320"/>
      <c r="K580" s="320"/>
    </row>
    <row r="581">
      <c r="C581" s="320"/>
      <c r="E581" s="320"/>
      <c r="G581" s="320"/>
      <c r="I581" s="320"/>
      <c r="K581" s="320"/>
    </row>
    <row r="582">
      <c r="C582" s="320"/>
      <c r="E582" s="320"/>
      <c r="G582" s="320"/>
      <c r="I582" s="320"/>
      <c r="K582" s="320"/>
    </row>
    <row r="583">
      <c r="C583" s="320"/>
      <c r="E583" s="320"/>
      <c r="G583" s="320"/>
      <c r="I583" s="320"/>
      <c r="K583" s="320"/>
    </row>
    <row r="584">
      <c r="C584" s="320"/>
      <c r="E584" s="320"/>
      <c r="G584" s="320"/>
      <c r="I584" s="320"/>
      <c r="K584" s="320"/>
    </row>
    <row r="585">
      <c r="C585" s="320"/>
      <c r="E585" s="320"/>
      <c r="G585" s="320"/>
      <c r="I585" s="320"/>
      <c r="K585" s="320"/>
    </row>
    <row r="586">
      <c r="C586" s="320"/>
      <c r="E586" s="320"/>
      <c r="G586" s="320"/>
      <c r="I586" s="320"/>
      <c r="K586" s="320"/>
    </row>
    <row r="587">
      <c r="C587" s="320"/>
      <c r="E587" s="320"/>
      <c r="G587" s="320"/>
      <c r="I587" s="320"/>
      <c r="K587" s="320"/>
    </row>
    <row r="588">
      <c r="C588" s="320"/>
      <c r="E588" s="320"/>
      <c r="G588" s="320"/>
      <c r="I588" s="320"/>
      <c r="K588" s="320"/>
    </row>
    <row r="589">
      <c r="C589" s="320"/>
      <c r="E589" s="320"/>
      <c r="G589" s="320"/>
      <c r="I589" s="320"/>
      <c r="K589" s="320"/>
    </row>
    <row r="590">
      <c r="C590" s="320"/>
      <c r="E590" s="320"/>
      <c r="G590" s="320"/>
      <c r="I590" s="320"/>
      <c r="K590" s="320"/>
    </row>
    <row r="591">
      <c r="C591" s="320"/>
      <c r="E591" s="320"/>
      <c r="G591" s="320"/>
      <c r="I591" s="320"/>
      <c r="K591" s="320"/>
    </row>
    <row r="592">
      <c r="C592" s="320"/>
      <c r="E592" s="320"/>
      <c r="G592" s="320"/>
      <c r="I592" s="320"/>
      <c r="K592" s="320"/>
    </row>
    <row r="593">
      <c r="C593" s="320"/>
      <c r="E593" s="320"/>
      <c r="G593" s="320"/>
      <c r="I593" s="320"/>
      <c r="K593" s="320"/>
    </row>
    <row r="594">
      <c r="C594" s="320"/>
      <c r="E594" s="320"/>
      <c r="G594" s="320"/>
      <c r="I594" s="320"/>
      <c r="K594" s="320"/>
    </row>
    <row r="595">
      <c r="C595" s="320"/>
      <c r="E595" s="320"/>
      <c r="G595" s="320"/>
      <c r="I595" s="320"/>
      <c r="K595" s="320"/>
    </row>
    <row r="596">
      <c r="C596" s="320"/>
      <c r="E596" s="320"/>
      <c r="G596" s="320"/>
      <c r="I596" s="320"/>
      <c r="K596" s="320"/>
    </row>
    <row r="597">
      <c r="C597" s="320"/>
      <c r="E597" s="320"/>
      <c r="G597" s="320"/>
      <c r="I597" s="320"/>
      <c r="K597" s="320"/>
    </row>
    <row r="598">
      <c r="C598" s="320"/>
      <c r="E598" s="320"/>
      <c r="G598" s="320"/>
      <c r="I598" s="320"/>
      <c r="K598" s="320"/>
    </row>
    <row r="599">
      <c r="C599" s="320"/>
      <c r="E599" s="320"/>
      <c r="G599" s="320"/>
      <c r="I599" s="320"/>
      <c r="K599" s="320"/>
    </row>
    <row r="600">
      <c r="C600" s="320"/>
      <c r="E600" s="320"/>
      <c r="G600" s="320"/>
      <c r="I600" s="320"/>
      <c r="K600" s="320"/>
    </row>
    <row r="601">
      <c r="C601" s="320"/>
      <c r="E601" s="320"/>
      <c r="G601" s="320"/>
      <c r="I601" s="320"/>
      <c r="K601" s="320"/>
    </row>
    <row r="602">
      <c r="C602" s="320"/>
      <c r="E602" s="320"/>
      <c r="G602" s="320"/>
      <c r="I602" s="320"/>
      <c r="K602" s="320"/>
    </row>
    <row r="603">
      <c r="C603" s="320"/>
      <c r="E603" s="320"/>
      <c r="G603" s="320"/>
      <c r="I603" s="320"/>
      <c r="K603" s="320"/>
    </row>
    <row r="604">
      <c r="C604" s="320"/>
      <c r="E604" s="320"/>
      <c r="G604" s="320"/>
      <c r="I604" s="320"/>
      <c r="K604" s="320"/>
    </row>
    <row r="605">
      <c r="C605" s="320"/>
      <c r="E605" s="320"/>
      <c r="G605" s="320"/>
      <c r="I605" s="320"/>
      <c r="K605" s="320"/>
    </row>
    <row r="606">
      <c r="C606" s="320"/>
      <c r="E606" s="320"/>
      <c r="G606" s="320"/>
      <c r="I606" s="320"/>
      <c r="K606" s="320"/>
    </row>
    <row r="607">
      <c r="C607" s="320"/>
      <c r="E607" s="320"/>
      <c r="G607" s="320"/>
      <c r="I607" s="320"/>
      <c r="K607" s="320"/>
    </row>
    <row r="608">
      <c r="C608" s="320"/>
      <c r="E608" s="320"/>
      <c r="G608" s="320"/>
      <c r="I608" s="320"/>
      <c r="K608" s="320"/>
    </row>
    <row r="609">
      <c r="C609" s="320"/>
      <c r="E609" s="320"/>
      <c r="G609" s="320"/>
      <c r="I609" s="320"/>
      <c r="K609" s="320"/>
    </row>
    <row r="610">
      <c r="C610" s="320"/>
      <c r="E610" s="320"/>
      <c r="G610" s="320"/>
      <c r="I610" s="320"/>
      <c r="K610" s="320"/>
    </row>
    <row r="611">
      <c r="C611" s="320"/>
      <c r="E611" s="320"/>
      <c r="G611" s="320"/>
      <c r="I611" s="320"/>
      <c r="K611" s="320"/>
    </row>
    <row r="612">
      <c r="C612" s="320"/>
      <c r="E612" s="320"/>
      <c r="G612" s="320"/>
      <c r="I612" s="320"/>
      <c r="K612" s="320"/>
    </row>
    <row r="613">
      <c r="C613" s="320"/>
      <c r="E613" s="320"/>
      <c r="G613" s="320"/>
      <c r="I613" s="320"/>
      <c r="K613" s="320"/>
    </row>
    <row r="614">
      <c r="C614" s="320"/>
      <c r="E614" s="320"/>
      <c r="G614" s="320"/>
      <c r="I614" s="320"/>
      <c r="K614" s="320"/>
    </row>
    <row r="615">
      <c r="C615" s="320"/>
      <c r="E615" s="320"/>
      <c r="G615" s="320"/>
      <c r="I615" s="320"/>
      <c r="K615" s="320"/>
    </row>
    <row r="616">
      <c r="C616" s="320"/>
      <c r="E616" s="320"/>
      <c r="G616" s="320"/>
      <c r="I616" s="320"/>
      <c r="K616" s="320"/>
    </row>
    <row r="617">
      <c r="C617" s="320"/>
      <c r="E617" s="320"/>
      <c r="G617" s="320"/>
      <c r="I617" s="320"/>
      <c r="K617" s="320"/>
    </row>
    <row r="618">
      <c r="C618" s="320"/>
      <c r="E618" s="320"/>
      <c r="G618" s="320"/>
      <c r="I618" s="320"/>
      <c r="K618" s="320"/>
    </row>
    <row r="619">
      <c r="C619" s="320"/>
      <c r="E619" s="320"/>
      <c r="G619" s="320"/>
      <c r="I619" s="320"/>
      <c r="K619" s="320"/>
    </row>
    <row r="620">
      <c r="C620" s="320"/>
      <c r="E620" s="320"/>
      <c r="G620" s="320"/>
      <c r="I620" s="320"/>
      <c r="K620" s="320"/>
    </row>
    <row r="621">
      <c r="C621" s="320"/>
      <c r="E621" s="320"/>
      <c r="G621" s="320"/>
      <c r="I621" s="320"/>
      <c r="K621" s="320"/>
    </row>
    <row r="622">
      <c r="C622" s="320"/>
      <c r="E622" s="320"/>
      <c r="G622" s="320"/>
      <c r="I622" s="320"/>
      <c r="K622" s="320"/>
    </row>
    <row r="623">
      <c r="C623" s="320"/>
      <c r="E623" s="320"/>
      <c r="G623" s="320"/>
      <c r="I623" s="320"/>
      <c r="K623" s="320"/>
    </row>
    <row r="624">
      <c r="C624" s="320"/>
      <c r="E624" s="320"/>
      <c r="G624" s="320"/>
      <c r="I624" s="320"/>
      <c r="K624" s="320"/>
    </row>
    <row r="625">
      <c r="C625" s="320"/>
      <c r="E625" s="320"/>
      <c r="G625" s="320"/>
      <c r="I625" s="320"/>
      <c r="K625" s="320"/>
    </row>
    <row r="626">
      <c r="C626" s="320"/>
      <c r="E626" s="320"/>
      <c r="G626" s="320"/>
      <c r="I626" s="320"/>
      <c r="K626" s="320"/>
    </row>
    <row r="627">
      <c r="C627" s="320"/>
      <c r="E627" s="320"/>
      <c r="G627" s="320"/>
      <c r="I627" s="320"/>
      <c r="K627" s="320"/>
    </row>
    <row r="628">
      <c r="C628" s="320"/>
      <c r="E628" s="320"/>
      <c r="G628" s="320"/>
      <c r="I628" s="320"/>
      <c r="K628" s="320"/>
    </row>
    <row r="629">
      <c r="C629" s="320"/>
      <c r="E629" s="320"/>
      <c r="G629" s="320"/>
      <c r="I629" s="320"/>
      <c r="K629" s="320"/>
    </row>
    <row r="630">
      <c r="C630" s="320"/>
      <c r="E630" s="320"/>
      <c r="G630" s="320"/>
      <c r="I630" s="320"/>
      <c r="K630" s="320"/>
    </row>
    <row r="631">
      <c r="C631" s="320"/>
      <c r="E631" s="320"/>
      <c r="G631" s="320"/>
      <c r="I631" s="320"/>
      <c r="K631" s="320"/>
    </row>
    <row r="632">
      <c r="C632" s="320"/>
      <c r="E632" s="320"/>
      <c r="G632" s="320"/>
      <c r="I632" s="320"/>
      <c r="K632" s="320"/>
    </row>
    <row r="633">
      <c r="C633" s="320"/>
      <c r="E633" s="320"/>
      <c r="G633" s="320"/>
      <c r="I633" s="320"/>
      <c r="K633" s="320"/>
    </row>
    <row r="634">
      <c r="C634" s="320"/>
      <c r="E634" s="320"/>
      <c r="G634" s="320"/>
      <c r="I634" s="320"/>
      <c r="K634" s="320"/>
    </row>
    <row r="635">
      <c r="C635" s="320"/>
      <c r="E635" s="320"/>
      <c r="G635" s="320"/>
      <c r="I635" s="320"/>
      <c r="K635" s="320"/>
    </row>
    <row r="636">
      <c r="C636" s="320"/>
      <c r="E636" s="320"/>
      <c r="G636" s="320"/>
      <c r="I636" s="320"/>
      <c r="K636" s="320"/>
    </row>
    <row r="637">
      <c r="C637" s="320"/>
      <c r="E637" s="320"/>
      <c r="G637" s="320"/>
      <c r="I637" s="320"/>
      <c r="K637" s="320"/>
    </row>
    <row r="638">
      <c r="C638" s="320"/>
      <c r="E638" s="320"/>
      <c r="G638" s="320"/>
      <c r="I638" s="320"/>
      <c r="K638" s="320"/>
    </row>
    <row r="639">
      <c r="C639" s="320"/>
      <c r="E639" s="320"/>
      <c r="G639" s="320"/>
      <c r="I639" s="320"/>
      <c r="K639" s="320"/>
    </row>
    <row r="640">
      <c r="C640" s="320"/>
      <c r="E640" s="320"/>
      <c r="G640" s="320"/>
      <c r="I640" s="320"/>
      <c r="K640" s="320"/>
    </row>
    <row r="641">
      <c r="C641" s="320"/>
      <c r="E641" s="320"/>
      <c r="G641" s="320"/>
      <c r="I641" s="320"/>
      <c r="K641" s="320"/>
    </row>
    <row r="642">
      <c r="C642" s="320"/>
      <c r="E642" s="320"/>
      <c r="G642" s="320"/>
      <c r="I642" s="320"/>
      <c r="K642" s="320"/>
    </row>
    <row r="643">
      <c r="C643" s="320"/>
      <c r="E643" s="320"/>
      <c r="G643" s="320"/>
      <c r="I643" s="320"/>
      <c r="K643" s="320"/>
    </row>
    <row r="644">
      <c r="C644" s="320"/>
      <c r="E644" s="320"/>
      <c r="G644" s="320"/>
      <c r="I644" s="320"/>
      <c r="K644" s="320"/>
    </row>
    <row r="645">
      <c r="C645" s="320"/>
      <c r="E645" s="320"/>
      <c r="G645" s="320"/>
      <c r="I645" s="320"/>
      <c r="K645" s="320"/>
    </row>
    <row r="646">
      <c r="C646" s="320"/>
      <c r="E646" s="320"/>
      <c r="G646" s="320"/>
      <c r="I646" s="320"/>
      <c r="K646" s="320"/>
    </row>
    <row r="647">
      <c r="C647" s="320"/>
      <c r="E647" s="320"/>
      <c r="G647" s="320"/>
      <c r="I647" s="320"/>
      <c r="K647" s="320"/>
    </row>
    <row r="648">
      <c r="C648" s="320"/>
      <c r="E648" s="320"/>
      <c r="G648" s="320"/>
      <c r="I648" s="320"/>
      <c r="K648" s="320"/>
    </row>
    <row r="649">
      <c r="C649" s="320"/>
      <c r="E649" s="320"/>
      <c r="G649" s="320"/>
      <c r="I649" s="320"/>
      <c r="K649" s="320"/>
    </row>
    <row r="650">
      <c r="C650" s="320"/>
      <c r="E650" s="320"/>
      <c r="G650" s="320"/>
      <c r="I650" s="320"/>
      <c r="K650" s="320"/>
    </row>
    <row r="651">
      <c r="C651" s="320"/>
      <c r="E651" s="320"/>
      <c r="G651" s="320"/>
      <c r="I651" s="320"/>
      <c r="K651" s="320"/>
    </row>
    <row r="652">
      <c r="C652" s="320"/>
      <c r="E652" s="320"/>
      <c r="G652" s="320"/>
      <c r="I652" s="320"/>
      <c r="K652" s="320"/>
    </row>
    <row r="653">
      <c r="C653" s="320"/>
      <c r="E653" s="320"/>
      <c r="G653" s="320"/>
      <c r="I653" s="320"/>
      <c r="K653" s="320"/>
    </row>
    <row r="654">
      <c r="C654" s="320"/>
      <c r="E654" s="320"/>
      <c r="G654" s="320"/>
      <c r="I654" s="320"/>
      <c r="K654" s="320"/>
    </row>
    <row r="655">
      <c r="C655" s="320"/>
      <c r="E655" s="320"/>
      <c r="G655" s="320"/>
      <c r="I655" s="320"/>
      <c r="K655" s="320"/>
    </row>
    <row r="656">
      <c r="C656" s="320"/>
      <c r="E656" s="320"/>
      <c r="G656" s="320"/>
      <c r="I656" s="320"/>
      <c r="K656" s="320"/>
    </row>
    <row r="657">
      <c r="C657" s="320"/>
      <c r="E657" s="320"/>
      <c r="G657" s="320"/>
      <c r="I657" s="320"/>
      <c r="K657" s="320"/>
    </row>
    <row r="658">
      <c r="C658" s="320"/>
      <c r="E658" s="320"/>
      <c r="G658" s="320"/>
      <c r="I658" s="320"/>
      <c r="K658" s="320"/>
    </row>
    <row r="659">
      <c r="C659" s="320"/>
      <c r="E659" s="320"/>
      <c r="G659" s="320"/>
      <c r="I659" s="320"/>
      <c r="K659" s="320"/>
    </row>
    <row r="660">
      <c r="C660" s="320"/>
      <c r="E660" s="320"/>
      <c r="G660" s="320"/>
      <c r="I660" s="320"/>
      <c r="K660" s="320"/>
    </row>
    <row r="661">
      <c r="C661" s="320"/>
      <c r="E661" s="320"/>
      <c r="G661" s="320"/>
      <c r="I661" s="320"/>
      <c r="K661" s="320"/>
    </row>
    <row r="662">
      <c r="C662" s="320"/>
      <c r="E662" s="320"/>
      <c r="G662" s="320"/>
      <c r="I662" s="320"/>
      <c r="K662" s="320"/>
    </row>
    <row r="663">
      <c r="C663" s="320"/>
      <c r="E663" s="320"/>
      <c r="G663" s="320"/>
      <c r="I663" s="320"/>
      <c r="K663" s="320"/>
    </row>
    <row r="664">
      <c r="C664" s="320"/>
      <c r="E664" s="320"/>
      <c r="G664" s="320"/>
      <c r="I664" s="320"/>
      <c r="K664" s="320"/>
    </row>
    <row r="665">
      <c r="C665" s="320"/>
      <c r="E665" s="320"/>
      <c r="G665" s="320"/>
      <c r="I665" s="320"/>
      <c r="K665" s="320"/>
    </row>
    <row r="666">
      <c r="C666" s="320"/>
      <c r="E666" s="320"/>
      <c r="G666" s="320"/>
      <c r="I666" s="320"/>
      <c r="K666" s="320"/>
    </row>
    <row r="667">
      <c r="C667" s="320"/>
      <c r="E667" s="320"/>
      <c r="G667" s="320"/>
      <c r="I667" s="320"/>
      <c r="K667" s="320"/>
    </row>
    <row r="668">
      <c r="C668" s="320"/>
      <c r="E668" s="320"/>
      <c r="G668" s="320"/>
      <c r="I668" s="320"/>
      <c r="K668" s="320"/>
    </row>
    <row r="669">
      <c r="C669" s="320"/>
      <c r="E669" s="320"/>
      <c r="G669" s="320"/>
      <c r="I669" s="320"/>
      <c r="K669" s="320"/>
    </row>
    <row r="670">
      <c r="C670" s="320"/>
      <c r="E670" s="320"/>
      <c r="G670" s="320"/>
      <c r="I670" s="320"/>
      <c r="K670" s="320"/>
    </row>
    <row r="671">
      <c r="C671" s="320"/>
      <c r="E671" s="320"/>
      <c r="G671" s="320"/>
      <c r="I671" s="320"/>
      <c r="K671" s="320"/>
    </row>
    <row r="672">
      <c r="C672" s="320"/>
      <c r="E672" s="320"/>
      <c r="G672" s="320"/>
      <c r="I672" s="320"/>
      <c r="K672" s="320"/>
    </row>
    <row r="673">
      <c r="C673" s="320"/>
      <c r="E673" s="320"/>
      <c r="G673" s="320"/>
      <c r="I673" s="320"/>
      <c r="K673" s="320"/>
    </row>
    <row r="674">
      <c r="C674" s="320"/>
      <c r="E674" s="320"/>
      <c r="G674" s="320"/>
      <c r="I674" s="320"/>
      <c r="K674" s="320"/>
    </row>
    <row r="675">
      <c r="C675" s="320"/>
      <c r="E675" s="320"/>
      <c r="G675" s="320"/>
      <c r="I675" s="320"/>
      <c r="K675" s="320"/>
    </row>
    <row r="676">
      <c r="C676" s="320"/>
      <c r="E676" s="320"/>
      <c r="G676" s="320"/>
      <c r="I676" s="320"/>
      <c r="K676" s="320"/>
    </row>
    <row r="677">
      <c r="C677" s="320"/>
      <c r="E677" s="320"/>
      <c r="G677" s="320"/>
      <c r="I677" s="320"/>
      <c r="K677" s="320"/>
    </row>
    <row r="678">
      <c r="C678" s="320"/>
      <c r="E678" s="320"/>
      <c r="G678" s="320"/>
      <c r="I678" s="320"/>
      <c r="K678" s="320"/>
    </row>
    <row r="679">
      <c r="C679" s="320"/>
      <c r="E679" s="320"/>
      <c r="G679" s="320"/>
      <c r="I679" s="320"/>
      <c r="K679" s="320"/>
    </row>
    <row r="680">
      <c r="C680" s="320"/>
      <c r="E680" s="320"/>
      <c r="G680" s="320"/>
      <c r="I680" s="320"/>
      <c r="K680" s="320"/>
    </row>
    <row r="681">
      <c r="C681" s="320"/>
      <c r="E681" s="320"/>
      <c r="G681" s="320"/>
      <c r="I681" s="320"/>
      <c r="K681" s="320"/>
    </row>
    <row r="682">
      <c r="C682" s="320"/>
      <c r="E682" s="320"/>
      <c r="G682" s="320"/>
      <c r="I682" s="320"/>
      <c r="K682" s="320"/>
    </row>
    <row r="683">
      <c r="C683" s="320"/>
      <c r="E683" s="320"/>
      <c r="G683" s="320"/>
      <c r="I683" s="320"/>
      <c r="K683" s="320"/>
    </row>
    <row r="684">
      <c r="C684" s="320"/>
      <c r="E684" s="320"/>
      <c r="G684" s="320"/>
      <c r="I684" s="320"/>
      <c r="K684" s="320"/>
    </row>
    <row r="685">
      <c r="C685" s="320"/>
      <c r="E685" s="320"/>
      <c r="G685" s="320"/>
      <c r="I685" s="320"/>
      <c r="K685" s="320"/>
    </row>
    <row r="686">
      <c r="C686" s="320"/>
      <c r="E686" s="320"/>
      <c r="G686" s="320"/>
      <c r="I686" s="320"/>
      <c r="K686" s="320"/>
    </row>
    <row r="687">
      <c r="C687" s="320"/>
      <c r="E687" s="320"/>
      <c r="G687" s="320"/>
      <c r="I687" s="320"/>
      <c r="K687" s="320"/>
    </row>
    <row r="688">
      <c r="C688" s="320"/>
      <c r="E688" s="320"/>
      <c r="G688" s="320"/>
      <c r="I688" s="320"/>
      <c r="K688" s="320"/>
    </row>
    <row r="689">
      <c r="C689" s="320"/>
      <c r="E689" s="320"/>
      <c r="G689" s="320"/>
      <c r="I689" s="320"/>
      <c r="K689" s="320"/>
    </row>
    <row r="690">
      <c r="C690" s="320"/>
      <c r="E690" s="320"/>
      <c r="G690" s="320"/>
      <c r="I690" s="320"/>
      <c r="K690" s="320"/>
    </row>
    <row r="691">
      <c r="C691" s="320"/>
      <c r="E691" s="320"/>
      <c r="G691" s="320"/>
      <c r="I691" s="320"/>
      <c r="K691" s="320"/>
    </row>
    <row r="692">
      <c r="C692" s="320"/>
      <c r="E692" s="320"/>
      <c r="G692" s="320"/>
      <c r="I692" s="320"/>
      <c r="K692" s="320"/>
    </row>
    <row r="693">
      <c r="C693" s="320"/>
      <c r="E693" s="320"/>
      <c r="G693" s="320"/>
      <c r="I693" s="320"/>
      <c r="K693" s="320"/>
    </row>
    <row r="694">
      <c r="C694" s="320"/>
      <c r="E694" s="320"/>
      <c r="G694" s="320"/>
      <c r="I694" s="320"/>
      <c r="K694" s="320"/>
    </row>
    <row r="695">
      <c r="C695" s="320"/>
      <c r="E695" s="320"/>
      <c r="G695" s="320"/>
      <c r="I695" s="320"/>
      <c r="K695" s="320"/>
    </row>
    <row r="696">
      <c r="C696" s="320"/>
      <c r="E696" s="320"/>
      <c r="G696" s="320"/>
      <c r="I696" s="320"/>
      <c r="K696" s="320"/>
    </row>
    <row r="697">
      <c r="C697" s="320"/>
      <c r="E697" s="320"/>
      <c r="G697" s="320"/>
      <c r="I697" s="320"/>
      <c r="K697" s="320"/>
    </row>
    <row r="698">
      <c r="C698" s="320"/>
      <c r="E698" s="320"/>
      <c r="G698" s="320"/>
      <c r="I698" s="320"/>
      <c r="K698" s="320"/>
    </row>
    <row r="699">
      <c r="C699" s="320"/>
      <c r="E699" s="320"/>
      <c r="G699" s="320"/>
      <c r="I699" s="320"/>
      <c r="K699" s="320"/>
    </row>
    <row r="700">
      <c r="C700" s="320"/>
      <c r="E700" s="320"/>
      <c r="G700" s="320"/>
      <c r="I700" s="320"/>
      <c r="K700" s="320"/>
    </row>
    <row r="701">
      <c r="C701" s="320"/>
      <c r="E701" s="320"/>
      <c r="G701" s="320"/>
      <c r="I701" s="320"/>
      <c r="K701" s="320"/>
    </row>
    <row r="702">
      <c r="C702" s="320"/>
      <c r="E702" s="320"/>
      <c r="G702" s="320"/>
      <c r="I702" s="320"/>
      <c r="K702" s="320"/>
    </row>
    <row r="703">
      <c r="C703" s="320"/>
      <c r="E703" s="320"/>
      <c r="G703" s="320"/>
      <c r="I703" s="320"/>
      <c r="K703" s="320"/>
    </row>
    <row r="704">
      <c r="C704" s="320"/>
      <c r="E704" s="320"/>
      <c r="G704" s="320"/>
      <c r="I704" s="320"/>
      <c r="K704" s="320"/>
    </row>
    <row r="705">
      <c r="C705" s="320"/>
      <c r="E705" s="320"/>
      <c r="G705" s="320"/>
      <c r="I705" s="320"/>
      <c r="K705" s="320"/>
    </row>
    <row r="706">
      <c r="C706" s="320"/>
      <c r="E706" s="320"/>
      <c r="G706" s="320"/>
      <c r="I706" s="320"/>
      <c r="K706" s="320"/>
    </row>
    <row r="707">
      <c r="C707" s="320"/>
      <c r="E707" s="320"/>
      <c r="G707" s="320"/>
      <c r="I707" s="320"/>
      <c r="K707" s="320"/>
    </row>
    <row r="708">
      <c r="C708" s="320"/>
      <c r="E708" s="320"/>
      <c r="G708" s="320"/>
      <c r="I708" s="320"/>
      <c r="K708" s="320"/>
    </row>
    <row r="709">
      <c r="C709" s="320"/>
      <c r="E709" s="320"/>
      <c r="G709" s="320"/>
      <c r="I709" s="320"/>
      <c r="K709" s="320"/>
    </row>
    <row r="710">
      <c r="C710" s="320"/>
      <c r="E710" s="320"/>
      <c r="G710" s="320"/>
      <c r="I710" s="320"/>
      <c r="K710" s="320"/>
    </row>
    <row r="711">
      <c r="C711" s="320"/>
      <c r="E711" s="320"/>
      <c r="G711" s="320"/>
      <c r="I711" s="320"/>
      <c r="K711" s="320"/>
    </row>
    <row r="712">
      <c r="C712" s="320"/>
      <c r="E712" s="320"/>
      <c r="G712" s="320"/>
      <c r="I712" s="320"/>
      <c r="K712" s="320"/>
    </row>
    <row r="713">
      <c r="C713" s="320"/>
      <c r="E713" s="320"/>
      <c r="G713" s="320"/>
      <c r="I713" s="320"/>
      <c r="K713" s="320"/>
    </row>
    <row r="714">
      <c r="C714" s="320"/>
      <c r="E714" s="320"/>
      <c r="G714" s="320"/>
      <c r="I714" s="320"/>
      <c r="K714" s="320"/>
    </row>
    <row r="715">
      <c r="C715" s="320"/>
      <c r="E715" s="320"/>
      <c r="G715" s="320"/>
      <c r="I715" s="320"/>
      <c r="K715" s="320"/>
    </row>
    <row r="716">
      <c r="C716" s="320"/>
      <c r="E716" s="320"/>
      <c r="G716" s="320"/>
      <c r="I716" s="320"/>
      <c r="K716" s="320"/>
    </row>
    <row r="717">
      <c r="C717" s="320"/>
      <c r="E717" s="320"/>
      <c r="G717" s="320"/>
      <c r="I717" s="320"/>
      <c r="K717" s="320"/>
    </row>
    <row r="718">
      <c r="C718" s="320"/>
      <c r="E718" s="320"/>
      <c r="G718" s="320"/>
      <c r="I718" s="320"/>
      <c r="K718" s="320"/>
    </row>
    <row r="719">
      <c r="C719" s="320"/>
      <c r="E719" s="320"/>
      <c r="G719" s="320"/>
      <c r="I719" s="320"/>
      <c r="K719" s="320"/>
    </row>
    <row r="720">
      <c r="C720" s="320"/>
      <c r="E720" s="320"/>
      <c r="G720" s="320"/>
      <c r="I720" s="320"/>
      <c r="K720" s="320"/>
    </row>
    <row r="721">
      <c r="C721" s="320"/>
      <c r="E721" s="320"/>
      <c r="G721" s="320"/>
      <c r="I721" s="320"/>
      <c r="K721" s="320"/>
    </row>
    <row r="722">
      <c r="C722" s="320"/>
      <c r="E722" s="320"/>
      <c r="G722" s="320"/>
      <c r="I722" s="320"/>
      <c r="K722" s="320"/>
    </row>
    <row r="723">
      <c r="C723" s="320"/>
      <c r="E723" s="320"/>
      <c r="G723" s="320"/>
      <c r="I723" s="320"/>
      <c r="K723" s="320"/>
    </row>
    <row r="724">
      <c r="C724" s="320"/>
      <c r="E724" s="320"/>
      <c r="G724" s="320"/>
      <c r="I724" s="320"/>
      <c r="K724" s="320"/>
    </row>
    <row r="725">
      <c r="C725" s="320"/>
      <c r="E725" s="320"/>
      <c r="G725" s="320"/>
      <c r="I725" s="320"/>
      <c r="K725" s="320"/>
    </row>
    <row r="726">
      <c r="C726" s="320"/>
      <c r="E726" s="320"/>
      <c r="G726" s="320"/>
      <c r="I726" s="320"/>
      <c r="K726" s="320"/>
    </row>
    <row r="727">
      <c r="C727" s="320"/>
      <c r="E727" s="320"/>
      <c r="G727" s="320"/>
      <c r="I727" s="320"/>
      <c r="K727" s="320"/>
    </row>
    <row r="728">
      <c r="C728" s="320"/>
      <c r="E728" s="320"/>
      <c r="G728" s="320"/>
      <c r="I728" s="320"/>
      <c r="K728" s="320"/>
    </row>
    <row r="729">
      <c r="C729" s="320"/>
      <c r="E729" s="320"/>
      <c r="G729" s="320"/>
      <c r="I729" s="320"/>
      <c r="K729" s="320"/>
    </row>
    <row r="730">
      <c r="C730" s="320"/>
      <c r="E730" s="320"/>
      <c r="G730" s="320"/>
      <c r="I730" s="320"/>
      <c r="K730" s="320"/>
    </row>
    <row r="731">
      <c r="C731" s="320"/>
      <c r="E731" s="320"/>
      <c r="G731" s="320"/>
      <c r="I731" s="320"/>
      <c r="K731" s="320"/>
    </row>
    <row r="732">
      <c r="C732" s="320"/>
      <c r="E732" s="320"/>
      <c r="G732" s="320"/>
      <c r="I732" s="320"/>
      <c r="K732" s="320"/>
    </row>
    <row r="733">
      <c r="C733" s="320"/>
      <c r="E733" s="320"/>
      <c r="G733" s="320"/>
      <c r="I733" s="320"/>
      <c r="K733" s="320"/>
    </row>
    <row r="734">
      <c r="C734" s="320"/>
      <c r="E734" s="320"/>
      <c r="G734" s="320"/>
      <c r="I734" s="320"/>
      <c r="K734" s="320"/>
    </row>
    <row r="735">
      <c r="C735" s="320"/>
      <c r="E735" s="320"/>
      <c r="G735" s="320"/>
      <c r="I735" s="320"/>
      <c r="K735" s="320"/>
    </row>
    <row r="736">
      <c r="C736" s="320"/>
      <c r="E736" s="320"/>
      <c r="G736" s="320"/>
      <c r="I736" s="320"/>
      <c r="K736" s="320"/>
    </row>
    <row r="737">
      <c r="C737" s="320"/>
      <c r="E737" s="320"/>
      <c r="G737" s="320"/>
      <c r="I737" s="320"/>
      <c r="K737" s="320"/>
    </row>
    <row r="738">
      <c r="C738" s="320"/>
      <c r="E738" s="320"/>
      <c r="G738" s="320"/>
      <c r="I738" s="320"/>
      <c r="K738" s="320"/>
    </row>
    <row r="739">
      <c r="C739" s="320"/>
      <c r="E739" s="320"/>
      <c r="G739" s="320"/>
      <c r="I739" s="320"/>
      <c r="K739" s="320"/>
    </row>
    <row r="740">
      <c r="C740" s="320"/>
      <c r="E740" s="320"/>
      <c r="G740" s="320"/>
      <c r="I740" s="320"/>
      <c r="K740" s="320"/>
    </row>
    <row r="741">
      <c r="C741" s="320"/>
      <c r="E741" s="320"/>
      <c r="G741" s="320"/>
      <c r="I741" s="320"/>
      <c r="K741" s="320"/>
    </row>
    <row r="742">
      <c r="C742" s="320"/>
      <c r="E742" s="320"/>
      <c r="G742" s="320"/>
      <c r="I742" s="320"/>
      <c r="K742" s="320"/>
    </row>
    <row r="743">
      <c r="C743" s="320"/>
      <c r="E743" s="320"/>
      <c r="G743" s="320"/>
      <c r="I743" s="320"/>
      <c r="K743" s="320"/>
    </row>
    <row r="744">
      <c r="C744" s="320"/>
      <c r="E744" s="320"/>
      <c r="G744" s="320"/>
      <c r="I744" s="320"/>
      <c r="K744" s="320"/>
    </row>
    <row r="745">
      <c r="C745" s="320"/>
      <c r="E745" s="320"/>
      <c r="G745" s="320"/>
      <c r="I745" s="320"/>
      <c r="K745" s="320"/>
    </row>
    <row r="746">
      <c r="C746" s="320"/>
      <c r="E746" s="320"/>
      <c r="G746" s="320"/>
      <c r="I746" s="320"/>
      <c r="K746" s="320"/>
    </row>
    <row r="747">
      <c r="C747" s="320"/>
      <c r="E747" s="320"/>
      <c r="G747" s="320"/>
      <c r="I747" s="320"/>
      <c r="K747" s="320"/>
    </row>
    <row r="748">
      <c r="C748" s="320"/>
      <c r="E748" s="320"/>
      <c r="G748" s="320"/>
      <c r="I748" s="320"/>
      <c r="K748" s="320"/>
    </row>
    <row r="749">
      <c r="C749" s="320"/>
      <c r="E749" s="320"/>
      <c r="G749" s="320"/>
      <c r="I749" s="320"/>
      <c r="K749" s="320"/>
    </row>
    <row r="750">
      <c r="C750" s="320"/>
      <c r="E750" s="320"/>
      <c r="G750" s="320"/>
      <c r="I750" s="320"/>
      <c r="K750" s="320"/>
    </row>
    <row r="751">
      <c r="C751" s="320"/>
      <c r="E751" s="320"/>
      <c r="G751" s="320"/>
      <c r="I751" s="320"/>
      <c r="K751" s="320"/>
    </row>
    <row r="752">
      <c r="C752" s="320"/>
      <c r="E752" s="320"/>
      <c r="G752" s="320"/>
      <c r="I752" s="320"/>
      <c r="K752" s="320"/>
    </row>
    <row r="753">
      <c r="C753" s="320"/>
      <c r="E753" s="320"/>
      <c r="G753" s="320"/>
      <c r="I753" s="320"/>
      <c r="K753" s="320"/>
    </row>
    <row r="754">
      <c r="C754" s="320"/>
      <c r="E754" s="320"/>
      <c r="G754" s="320"/>
      <c r="I754" s="320"/>
      <c r="K754" s="320"/>
    </row>
    <row r="755">
      <c r="C755" s="320"/>
      <c r="E755" s="320"/>
      <c r="G755" s="320"/>
      <c r="I755" s="320"/>
      <c r="K755" s="320"/>
    </row>
    <row r="756">
      <c r="C756" s="320"/>
      <c r="E756" s="320"/>
      <c r="G756" s="320"/>
      <c r="I756" s="320"/>
      <c r="K756" s="320"/>
    </row>
    <row r="757">
      <c r="C757" s="320"/>
      <c r="E757" s="320"/>
      <c r="G757" s="320"/>
      <c r="I757" s="320"/>
      <c r="K757" s="320"/>
    </row>
    <row r="758">
      <c r="C758" s="320"/>
      <c r="E758" s="320"/>
      <c r="G758" s="320"/>
      <c r="I758" s="320"/>
      <c r="K758" s="320"/>
    </row>
    <row r="759">
      <c r="C759" s="320"/>
      <c r="E759" s="320"/>
      <c r="G759" s="320"/>
      <c r="I759" s="320"/>
      <c r="K759" s="320"/>
    </row>
    <row r="760">
      <c r="C760" s="320"/>
      <c r="E760" s="320"/>
      <c r="G760" s="320"/>
      <c r="I760" s="320"/>
      <c r="K760" s="320"/>
    </row>
    <row r="761">
      <c r="C761" s="320"/>
      <c r="E761" s="320"/>
      <c r="G761" s="320"/>
      <c r="I761" s="320"/>
      <c r="K761" s="320"/>
    </row>
    <row r="762">
      <c r="C762" s="320"/>
      <c r="E762" s="320"/>
      <c r="G762" s="320"/>
      <c r="I762" s="320"/>
      <c r="K762" s="320"/>
    </row>
    <row r="763">
      <c r="C763" s="320"/>
      <c r="E763" s="320"/>
      <c r="G763" s="320"/>
      <c r="I763" s="320"/>
      <c r="K763" s="320"/>
    </row>
    <row r="764">
      <c r="C764" s="320"/>
      <c r="E764" s="320"/>
      <c r="G764" s="320"/>
      <c r="I764" s="320"/>
      <c r="K764" s="320"/>
    </row>
    <row r="765">
      <c r="C765" s="320"/>
      <c r="E765" s="320"/>
      <c r="G765" s="320"/>
      <c r="I765" s="320"/>
      <c r="K765" s="320"/>
    </row>
    <row r="766">
      <c r="C766" s="320"/>
      <c r="E766" s="320"/>
      <c r="G766" s="320"/>
      <c r="I766" s="320"/>
      <c r="K766" s="320"/>
    </row>
    <row r="767">
      <c r="C767" s="320"/>
      <c r="E767" s="320"/>
      <c r="G767" s="320"/>
      <c r="I767" s="320"/>
      <c r="K767" s="320"/>
    </row>
    <row r="768">
      <c r="C768" s="320"/>
      <c r="E768" s="320"/>
      <c r="G768" s="320"/>
      <c r="I768" s="320"/>
      <c r="K768" s="320"/>
    </row>
    <row r="769">
      <c r="C769" s="320"/>
      <c r="E769" s="320"/>
      <c r="G769" s="320"/>
      <c r="I769" s="320"/>
      <c r="K769" s="320"/>
    </row>
    <row r="770">
      <c r="C770" s="320"/>
      <c r="E770" s="320"/>
      <c r="G770" s="320"/>
      <c r="I770" s="320"/>
      <c r="K770" s="320"/>
    </row>
    <row r="771">
      <c r="C771" s="320"/>
      <c r="E771" s="320"/>
      <c r="G771" s="320"/>
      <c r="I771" s="320"/>
      <c r="K771" s="320"/>
    </row>
    <row r="772">
      <c r="C772" s="320"/>
      <c r="E772" s="320"/>
      <c r="G772" s="320"/>
      <c r="I772" s="320"/>
      <c r="K772" s="320"/>
    </row>
    <row r="773">
      <c r="C773" s="320"/>
      <c r="E773" s="320"/>
      <c r="G773" s="320"/>
      <c r="I773" s="320"/>
      <c r="K773" s="320"/>
    </row>
    <row r="774">
      <c r="C774" s="320"/>
      <c r="E774" s="320"/>
      <c r="G774" s="320"/>
      <c r="I774" s="320"/>
      <c r="K774" s="320"/>
    </row>
    <row r="775">
      <c r="C775" s="320"/>
      <c r="E775" s="320"/>
      <c r="G775" s="320"/>
      <c r="I775" s="320"/>
      <c r="K775" s="320"/>
    </row>
    <row r="776">
      <c r="C776" s="320"/>
      <c r="E776" s="320"/>
      <c r="G776" s="320"/>
      <c r="I776" s="320"/>
      <c r="K776" s="320"/>
    </row>
    <row r="777">
      <c r="C777" s="320"/>
      <c r="E777" s="320"/>
      <c r="G777" s="320"/>
      <c r="I777" s="320"/>
      <c r="K777" s="320"/>
    </row>
    <row r="778">
      <c r="C778" s="320"/>
      <c r="E778" s="320"/>
      <c r="G778" s="320"/>
      <c r="I778" s="320"/>
      <c r="K778" s="320"/>
    </row>
    <row r="779">
      <c r="C779" s="320"/>
      <c r="E779" s="320"/>
      <c r="G779" s="320"/>
      <c r="I779" s="320"/>
      <c r="K779" s="320"/>
    </row>
    <row r="780">
      <c r="C780" s="320"/>
      <c r="E780" s="320"/>
      <c r="G780" s="320"/>
      <c r="I780" s="320"/>
      <c r="K780" s="320"/>
    </row>
    <row r="781">
      <c r="C781" s="320"/>
      <c r="E781" s="320"/>
      <c r="G781" s="320"/>
      <c r="I781" s="320"/>
      <c r="K781" s="320"/>
    </row>
    <row r="782">
      <c r="C782" s="320"/>
      <c r="E782" s="320"/>
      <c r="G782" s="320"/>
      <c r="I782" s="320"/>
      <c r="K782" s="320"/>
    </row>
    <row r="783">
      <c r="C783" s="320"/>
      <c r="E783" s="320"/>
      <c r="G783" s="320"/>
      <c r="I783" s="320"/>
      <c r="K783" s="320"/>
    </row>
    <row r="784">
      <c r="C784" s="320"/>
      <c r="E784" s="320"/>
      <c r="G784" s="320"/>
      <c r="I784" s="320"/>
      <c r="K784" s="320"/>
    </row>
    <row r="785">
      <c r="C785" s="320"/>
      <c r="E785" s="320"/>
      <c r="G785" s="320"/>
      <c r="I785" s="320"/>
      <c r="K785" s="320"/>
    </row>
    <row r="786">
      <c r="C786" s="320"/>
      <c r="E786" s="320"/>
      <c r="G786" s="320"/>
      <c r="I786" s="320"/>
      <c r="K786" s="320"/>
    </row>
    <row r="787">
      <c r="C787" s="320"/>
      <c r="E787" s="320"/>
      <c r="G787" s="320"/>
      <c r="I787" s="320"/>
      <c r="K787" s="320"/>
    </row>
    <row r="788">
      <c r="C788" s="320"/>
      <c r="E788" s="320"/>
      <c r="G788" s="320"/>
      <c r="I788" s="320"/>
      <c r="K788" s="320"/>
    </row>
    <row r="789">
      <c r="C789" s="320"/>
      <c r="E789" s="320"/>
      <c r="G789" s="320"/>
      <c r="I789" s="320"/>
      <c r="K789" s="320"/>
    </row>
    <row r="790">
      <c r="C790" s="320"/>
      <c r="E790" s="320"/>
      <c r="G790" s="320"/>
      <c r="I790" s="320"/>
      <c r="K790" s="320"/>
    </row>
    <row r="791">
      <c r="C791" s="320"/>
      <c r="E791" s="320"/>
      <c r="G791" s="320"/>
      <c r="I791" s="320"/>
      <c r="K791" s="320"/>
    </row>
    <row r="792">
      <c r="C792" s="320"/>
      <c r="E792" s="320"/>
      <c r="G792" s="320"/>
      <c r="I792" s="320"/>
      <c r="K792" s="320"/>
    </row>
    <row r="793">
      <c r="C793" s="320"/>
      <c r="E793" s="320"/>
      <c r="G793" s="320"/>
      <c r="I793" s="320"/>
      <c r="K793" s="320"/>
    </row>
    <row r="794">
      <c r="C794" s="320"/>
      <c r="E794" s="320"/>
      <c r="G794" s="320"/>
      <c r="I794" s="320"/>
      <c r="K794" s="320"/>
    </row>
    <row r="795">
      <c r="C795" s="320"/>
      <c r="E795" s="320"/>
      <c r="G795" s="320"/>
      <c r="I795" s="320"/>
      <c r="K795" s="320"/>
    </row>
    <row r="796">
      <c r="C796" s="320"/>
      <c r="E796" s="320"/>
      <c r="G796" s="320"/>
      <c r="I796" s="320"/>
      <c r="K796" s="320"/>
    </row>
    <row r="797">
      <c r="C797" s="320"/>
      <c r="E797" s="320"/>
      <c r="G797" s="320"/>
      <c r="I797" s="320"/>
      <c r="K797" s="320"/>
    </row>
    <row r="798">
      <c r="C798" s="320"/>
      <c r="E798" s="320"/>
      <c r="G798" s="320"/>
      <c r="I798" s="320"/>
      <c r="K798" s="320"/>
    </row>
    <row r="799">
      <c r="C799" s="320"/>
      <c r="E799" s="320"/>
      <c r="G799" s="320"/>
      <c r="I799" s="320"/>
      <c r="K799" s="320"/>
    </row>
    <row r="800">
      <c r="C800" s="320"/>
      <c r="E800" s="320"/>
      <c r="G800" s="320"/>
      <c r="I800" s="320"/>
      <c r="K800" s="320"/>
    </row>
    <row r="801">
      <c r="C801" s="320"/>
      <c r="E801" s="320"/>
      <c r="G801" s="320"/>
      <c r="I801" s="320"/>
      <c r="K801" s="320"/>
    </row>
    <row r="802">
      <c r="C802" s="320"/>
      <c r="E802" s="320"/>
      <c r="G802" s="320"/>
      <c r="I802" s="320"/>
      <c r="K802" s="320"/>
    </row>
    <row r="803">
      <c r="C803" s="320"/>
      <c r="E803" s="320"/>
      <c r="G803" s="320"/>
      <c r="I803" s="320"/>
      <c r="K803" s="320"/>
    </row>
    <row r="804">
      <c r="C804" s="320"/>
      <c r="E804" s="320"/>
      <c r="G804" s="320"/>
      <c r="I804" s="320"/>
      <c r="K804" s="320"/>
    </row>
    <row r="805">
      <c r="C805" s="320"/>
      <c r="E805" s="320"/>
      <c r="G805" s="320"/>
      <c r="I805" s="320"/>
      <c r="K805" s="320"/>
    </row>
    <row r="806">
      <c r="C806" s="320"/>
      <c r="E806" s="320"/>
      <c r="G806" s="320"/>
      <c r="I806" s="320"/>
      <c r="K806" s="320"/>
    </row>
    <row r="807">
      <c r="C807" s="320"/>
      <c r="E807" s="320"/>
      <c r="G807" s="320"/>
      <c r="I807" s="320"/>
      <c r="K807" s="320"/>
    </row>
    <row r="808">
      <c r="C808" s="320"/>
      <c r="E808" s="320"/>
      <c r="G808" s="320"/>
      <c r="I808" s="320"/>
      <c r="K808" s="320"/>
    </row>
    <row r="809">
      <c r="C809" s="320"/>
      <c r="E809" s="320"/>
      <c r="G809" s="320"/>
      <c r="I809" s="320"/>
      <c r="K809" s="320"/>
    </row>
    <row r="810">
      <c r="C810" s="320"/>
      <c r="E810" s="320"/>
      <c r="G810" s="320"/>
      <c r="I810" s="320"/>
      <c r="K810" s="320"/>
    </row>
    <row r="811">
      <c r="C811" s="320"/>
      <c r="E811" s="320"/>
      <c r="G811" s="320"/>
      <c r="I811" s="320"/>
      <c r="K811" s="320"/>
    </row>
    <row r="812">
      <c r="C812" s="320"/>
      <c r="E812" s="320"/>
      <c r="G812" s="320"/>
      <c r="I812" s="320"/>
      <c r="K812" s="320"/>
    </row>
    <row r="813">
      <c r="C813" s="320"/>
      <c r="E813" s="320"/>
      <c r="G813" s="320"/>
      <c r="I813" s="320"/>
      <c r="K813" s="320"/>
    </row>
    <row r="814">
      <c r="C814" s="320"/>
      <c r="E814" s="320"/>
      <c r="G814" s="320"/>
      <c r="I814" s="320"/>
      <c r="K814" s="320"/>
    </row>
    <row r="815">
      <c r="C815" s="320"/>
      <c r="E815" s="320"/>
      <c r="G815" s="320"/>
      <c r="I815" s="320"/>
      <c r="K815" s="320"/>
    </row>
    <row r="816">
      <c r="C816" s="320"/>
      <c r="E816" s="320"/>
      <c r="G816" s="320"/>
      <c r="I816" s="320"/>
      <c r="K816" s="320"/>
    </row>
    <row r="817">
      <c r="C817" s="320"/>
      <c r="E817" s="320"/>
      <c r="G817" s="320"/>
      <c r="I817" s="320"/>
      <c r="K817" s="320"/>
    </row>
    <row r="818">
      <c r="C818" s="320"/>
      <c r="E818" s="320"/>
      <c r="G818" s="320"/>
      <c r="I818" s="320"/>
      <c r="K818" s="320"/>
    </row>
    <row r="819">
      <c r="C819" s="320"/>
      <c r="E819" s="320"/>
      <c r="G819" s="320"/>
      <c r="I819" s="320"/>
      <c r="K819" s="320"/>
    </row>
    <row r="820">
      <c r="C820" s="320"/>
      <c r="E820" s="320"/>
      <c r="G820" s="320"/>
      <c r="I820" s="320"/>
      <c r="K820" s="320"/>
    </row>
    <row r="821">
      <c r="C821" s="320"/>
      <c r="E821" s="320"/>
      <c r="G821" s="320"/>
      <c r="I821" s="320"/>
      <c r="K821" s="320"/>
    </row>
    <row r="822">
      <c r="C822" s="320"/>
      <c r="E822" s="320"/>
      <c r="G822" s="320"/>
      <c r="I822" s="320"/>
      <c r="K822" s="320"/>
    </row>
    <row r="823">
      <c r="C823" s="320"/>
      <c r="E823" s="320"/>
      <c r="G823" s="320"/>
      <c r="I823" s="320"/>
      <c r="K823" s="320"/>
    </row>
    <row r="824">
      <c r="C824" s="320"/>
      <c r="E824" s="320"/>
      <c r="G824" s="320"/>
      <c r="I824" s="320"/>
      <c r="K824" s="320"/>
    </row>
    <row r="825">
      <c r="C825" s="320"/>
      <c r="E825" s="320"/>
      <c r="G825" s="320"/>
      <c r="I825" s="320"/>
      <c r="K825" s="320"/>
    </row>
    <row r="826">
      <c r="C826" s="320"/>
      <c r="E826" s="320"/>
      <c r="G826" s="320"/>
      <c r="I826" s="320"/>
      <c r="K826" s="320"/>
    </row>
    <row r="827">
      <c r="C827" s="320"/>
      <c r="E827" s="320"/>
      <c r="G827" s="320"/>
      <c r="I827" s="320"/>
      <c r="K827" s="320"/>
    </row>
    <row r="828">
      <c r="C828" s="320"/>
      <c r="E828" s="320"/>
      <c r="G828" s="320"/>
      <c r="I828" s="320"/>
      <c r="K828" s="320"/>
    </row>
    <row r="829">
      <c r="C829" s="320"/>
      <c r="E829" s="320"/>
      <c r="G829" s="320"/>
      <c r="I829" s="320"/>
      <c r="K829" s="320"/>
    </row>
    <row r="830">
      <c r="C830" s="320"/>
      <c r="E830" s="320"/>
      <c r="G830" s="320"/>
      <c r="I830" s="320"/>
      <c r="K830" s="320"/>
    </row>
    <row r="831">
      <c r="C831" s="320"/>
      <c r="E831" s="320"/>
      <c r="G831" s="320"/>
      <c r="I831" s="320"/>
      <c r="K831" s="320"/>
    </row>
    <row r="832">
      <c r="C832" s="320"/>
      <c r="E832" s="320"/>
      <c r="G832" s="320"/>
      <c r="I832" s="320"/>
      <c r="K832" s="320"/>
    </row>
    <row r="833">
      <c r="C833" s="320"/>
      <c r="E833" s="320"/>
      <c r="G833" s="320"/>
      <c r="I833" s="320"/>
      <c r="K833" s="320"/>
    </row>
    <row r="834">
      <c r="C834" s="320"/>
      <c r="E834" s="320"/>
      <c r="G834" s="320"/>
      <c r="I834" s="320"/>
      <c r="K834" s="320"/>
    </row>
    <row r="835">
      <c r="C835" s="320"/>
      <c r="E835" s="320"/>
      <c r="G835" s="320"/>
      <c r="I835" s="320"/>
      <c r="K835" s="320"/>
    </row>
    <row r="836">
      <c r="C836" s="320"/>
      <c r="E836" s="320"/>
      <c r="G836" s="320"/>
      <c r="I836" s="320"/>
      <c r="K836" s="320"/>
    </row>
    <row r="837">
      <c r="C837" s="320"/>
      <c r="E837" s="320"/>
      <c r="G837" s="320"/>
      <c r="I837" s="320"/>
      <c r="K837" s="320"/>
    </row>
    <row r="838">
      <c r="C838" s="320"/>
      <c r="E838" s="320"/>
      <c r="G838" s="320"/>
      <c r="I838" s="320"/>
      <c r="K838" s="320"/>
    </row>
    <row r="839">
      <c r="C839" s="320"/>
      <c r="E839" s="320"/>
      <c r="G839" s="320"/>
      <c r="I839" s="320"/>
      <c r="K839" s="320"/>
    </row>
    <row r="840">
      <c r="C840" s="320"/>
      <c r="E840" s="320"/>
      <c r="G840" s="320"/>
      <c r="I840" s="320"/>
      <c r="K840" s="320"/>
    </row>
    <row r="841">
      <c r="C841" s="320"/>
      <c r="E841" s="320"/>
      <c r="G841" s="320"/>
      <c r="I841" s="320"/>
      <c r="K841" s="320"/>
    </row>
    <row r="842">
      <c r="C842" s="320"/>
      <c r="E842" s="320"/>
      <c r="G842" s="320"/>
      <c r="I842" s="320"/>
      <c r="K842" s="320"/>
    </row>
    <row r="843">
      <c r="C843" s="320"/>
      <c r="E843" s="320"/>
      <c r="G843" s="320"/>
      <c r="I843" s="320"/>
      <c r="K843" s="320"/>
    </row>
    <row r="844">
      <c r="C844" s="320"/>
      <c r="E844" s="320"/>
      <c r="G844" s="320"/>
      <c r="I844" s="320"/>
      <c r="K844" s="320"/>
    </row>
    <row r="845">
      <c r="C845" s="320"/>
      <c r="E845" s="320"/>
      <c r="G845" s="320"/>
      <c r="I845" s="320"/>
      <c r="K845" s="320"/>
    </row>
    <row r="846">
      <c r="C846" s="320"/>
      <c r="E846" s="320"/>
      <c r="G846" s="320"/>
      <c r="I846" s="320"/>
      <c r="K846" s="320"/>
    </row>
    <row r="847">
      <c r="C847" s="320"/>
      <c r="E847" s="320"/>
      <c r="G847" s="320"/>
      <c r="I847" s="320"/>
      <c r="K847" s="320"/>
    </row>
    <row r="848">
      <c r="C848" s="320"/>
      <c r="E848" s="320"/>
      <c r="G848" s="320"/>
      <c r="I848" s="320"/>
      <c r="K848" s="320"/>
    </row>
    <row r="849">
      <c r="C849" s="320"/>
      <c r="E849" s="320"/>
      <c r="G849" s="320"/>
      <c r="I849" s="320"/>
      <c r="K849" s="320"/>
    </row>
    <row r="850">
      <c r="C850" s="320"/>
      <c r="E850" s="320"/>
      <c r="G850" s="320"/>
      <c r="I850" s="320"/>
      <c r="K850" s="320"/>
    </row>
    <row r="851">
      <c r="C851" s="320"/>
      <c r="E851" s="320"/>
      <c r="G851" s="320"/>
      <c r="I851" s="320"/>
      <c r="K851" s="320"/>
    </row>
    <row r="852">
      <c r="C852" s="320"/>
      <c r="E852" s="320"/>
      <c r="G852" s="320"/>
      <c r="I852" s="320"/>
      <c r="K852" s="320"/>
    </row>
    <row r="853">
      <c r="C853" s="320"/>
      <c r="E853" s="320"/>
      <c r="G853" s="320"/>
      <c r="I853" s="320"/>
      <c r="K853" s="320"/>
    </row>
    <row r="854">
      <c r="C854" s="320"/>
      <c r="E854" s="320"/>
      <c r="G854" s="320"/>
      <c r="I854" s="320"/>
      <c r="K854" s="320"/>
    </row>
    <row r="855">
      <c r="C855" s="320"/>
      <c r="E855" s="320"/>
      <c r="G855" s="320"/>
      <c r="I855" s="320"/>
      <c r="K855" s="320"/>
    </row>
    <row r="856">
      <c r="C856" s="320"/>
      <c r="E856" s="320"/>
      <c r="G856" s="320"/>
      <c r="I856" s="320"/>
      <c r="K856" s="320"/>
    </row>
    <row r="857">
      <c r="C857" s="320"/>
      <c r="E857" s="320"/>
      <c r="G857" s="320"/>
      <c r="I857" s="320"/>
      <c r="K857" s="320"/>
    </row>
    <row r="858">
      <c r="C858" s="320"/>
      <c r="E858" s="320"/>
      <c r="G858" s="320"/>
      <c r="I858" s="320"/>
      <c r="K858" s="320"/>
    </row>
    <row r="859">
      <c r="C859" s="320"/>
      <c r="E859" s="320"/>
      <c r="G859" s="320"/>
      <c r="I859" s="320"/>
      <c r="K859" s="320"/>
    </row>
    <row r="860">
      <c r="C860" s="320"/>
      <c r="E860" s="320"/>
      <c r="G860" s="320"/>
      <c r="I860" s="320"/>
      <c r="K860" s="320"/>
    </row>
    <row r="861">
      <c r="C861" s="320"/>
      <c r="E861" s="320"/>
      <c r="G861" s="320"/>
      <c r="I861" s="320"/>
      <c r="K861" s="320"/>
    </row>
    <row r="862">
      <c r="C862" s="320"/>
      <c r="E862" s="320"/>
      <c r="G862" s="320"/>
      <c r="I862" s="320"/>
      <c r="K862" s="320"/>
    </row>
    <row r="863">
      <c r="C863" s="320"/>
      <c r="E863" s="320"/>
      <c r="G863" s="320"/>
      <c r="I863" s="320"/>
      <c r="K863" s="320"/>
    </row>
    <row r="864">
      <c r="C864" s="320"/>
      <c r="E864" s="320"/>
      <c r="G864" s="320"/>
      <c r="I864" s="320"/>
      <c r="K864" s="320"/>
    </row>
    <row r="865">
      <c r="C865" s="320"/>
      <c r="E865" s="320"/>
      <c r="G865" s="320"/>
      <c r="I865" s="320"/>
      <c r="K865" s="320"/>
    </row>
    <row r="866">
      <c r="C866" s="320"/>
      <c r="E866" s="320"/>
      <c r="G866" s="320"/>
      <c r="I866" s="320"/>
      <c r="K866" s="320"/>
    </row>
    <row r="867">
      <c r="C867" s="320"/>
      <c r="E867" s="320"/>
      <c r="G867" s="320"/>
      <c r="I867" s="320"/>
      <c r="K867" s="320"/>
    </row>
    <row r="868">
      <c r="C868" s="320"/>
      <c r="E868" s="320"/>
      <c r="G868" s="320"/>
      <c r="I868" s="320"/>
      <c r="K868" s="320"/>
    </row>
    <row r="869">
      <c r="C869" s="320"/>
      <c r="E869" s="320"/>
      <c r="G869" s="320"/>
      <c r="I869" s="320"/>
      <c r="K869" s="320"/>
    </row>
    <row r="870">
      <c r="C870" s="320"/>
      <c r="E870" s="320"/>
      <c r="G870" s="320"/>
      <c r="I870" s="320"/>
      <c r="K870" s="320"/>
    </row>
    <row r="871">
      <c r="C871" s="320"/>
      <c r="E871" s="320"/>
      <c r="G871" s="320"/>
      <c r="I871" s="320"/>
      <c r="K871" s="320"/>
    </row>
    <row r="872">
      <c r="C872" s="320"/>
      <c r="E872" s="320"/>
      <c r="G872" s="320"/>
      <c r="I872" s="320"/>
      <c r="K872" s="320"/>
    </row>
    <row r="873">
      <c r="C873" s="320"/>
      <c r="E873" s="320"/>
      <c r="G873" s="320"/>
      <c r="I873" s="320"/>
      <c r="K873" s="320"/>
    </row>
    <row r="874">
      <c r="C874" s="320"/>
      <c r="E874" s="320"/>
      <c r="G874" s="320"/>
      <c r="I874" s="320"/>
      <c r="K874" s="320"/>
    </row>
    <row r="875">
      <c r="C875" s="320"/>
      <c r="E875" s="320"/>
      <c r="G875" s="320"/>
      <c r="I875" s="320"/>
      <c r="K875" s="320"/>
    </row>
    <row r="876">
      <c r="C876" s="320"/>
      <c r="E876" s="320"/>
      <c r="G876" s="320"/>
      <c r="I876" s="320"/>
      <c r="K876" s="320"/>
    </row>
    <row r="877">
      <c r="C877" s="320"/>
      <c r="E877" s="320"/>
      <c r="G877" s="320"/>
      <c r="I877" s="320"/>
      <c r="K877" s="320"/>
    </row>
    <row r="878">
      <c r="C878" s="320"/>
      <c r="E878" s="320"/>
      <c r="G878" s="320"/>
      <c r="I878" s="320"/>
      <c r="K878" s="320"/>
    </row>
    <row r="879">
      <c r="C879" s="320"/>
      <c r="E879" s="320"/>
      <c r="G879" s="320"/>
      <c r="I879" s="320"/>
      <c r="K879" s="320"/>
    </row>
    <row r="880">
      <c r="C880" s="320"/>
      <c r="E880" s="320"/>
      <c r="G880" s="320"/>
      <c r="I880" s="320"/>
      <c r="K880" s="320"/>
    </row>
    <row r="881">
      <c r="C881" s="320"/>
      <c r="E881" s="320"/>
      <c r="G881" s="320"/>
      <c r="I881" s="320"/>
      <c r="K881" s="320"/>
    </row>
    <row r="882">
      <c r="C882" s="320"/>
      <c r="E882" s="320"/>
      <c r="G882" s="320"/>
      <c r="I882" s="320"/>
      <c r="K882" s="320"/>
    </row>
    <row r="883">
      <c r="C883" s="320"/>
      <c r="E883" s="320"/>
      <c r="G883" s="320"/>
      <c r="I883" s="320"/>
      <c r="K883" s="320"/>
    </row>
    <row r="884">
      <c r="C884" s="320"/>
      <c r="E884" s="320"/>
      <c r="G884" s="320"/>
      <c r="I884" s="320"/>
      <c r="K884" s="320"/>
    </row>
    <row r="885">
      <c r="C885" s="320"/>
      <c r="E885" s="320"/>
      <c r="G885" s="320"/>
      <c r="I885" s="320"/>
      <c r="K885" s="320"/>
    </row>
    <row r="886">
      <c r="C886" s="320"/>
      <c r="E886" s="320"/>
      <c r="G886" s="320"/>
      <c r="I886" s="320"/>
      <c r="K886" s="320"/>
    </row>
    <row r="887">
      <c r="C887" s="320"/>
      <c r="E887" s="320"/>
      <c r="G887" s="320"/>
      <c r="I887" s="320"/>
      <c r="K887" s="320"/>
    </row>
    <row r="888">
      <c r="C888" s="320"/>
      <c r="E888" s="320"/>
      <c r="G888" s="320"/>
      <c r="I888" s="320"/>
      <c r="K888" s="320"/>
    </row>
    <row r="889">
      <c r="C889" s="320"/>
      <c r="E889" s="320"/>
      <c r="G889" s="320"/>
      <c r="I889" s="320"/>
      <c r="K889" s="320"/>
    </row>
    <row r="890">
      <c r="C890" s="320"/>
      <c r="E890" s="320"/>
      <c r="G890" s="320"/>
      <c r="I890" s="320"/>
      <c r="K890" s="320"/>
    </row>
    <row r="891">
      <c r="C891" s="320"/>
      <c r="E891" s="320"/>
      <c r="G891" s="320"/>
      <c r="I891" s="320"/>
      <c r="K891" s="320"/>
    </row>
    <row r="892">
      <c r="C892" s="320"/>
      <c r="E892" s="320"/>
      <c r="G892" s="320"/>
      <c r="I892" s="320"/>
      <c r="K892" s="320"/>
    </row>
    <row r="893">
      <c r="C893" s="320"/>
      <c r="E893" s="320"/>
      <c r="G893" s="320"/>
      <c r="I893" s="320"/>
      <c r="K893" s="320"/>
    </row>
    <row r="894">
      <c r="C894" s="320"/>
      <c r="E894" s="320"/>
      <c r="G894" s="320"/>
      <c r="I894" s="320"/>
      <c r="K894" s="320"/>
    </row>
    <row r="895">
      <c r="C895" s="320"/>
      <c r="E895" s="320"/>
      <c r="G895" s="320"/>
      <c r="I895" s="320"/>
      <c r="K895" s="320"/>
    </row>
    <row r="896">
      <c r="C896" s="320"/>
      <c r="E896" s="320"/>
      <c r="G896" s="320"/>
      <c r="I896" s="320"/>
      <c r="K896" s="320"/>
    </row>
    <row r="897">
      <c r="C897" s="320"/>
      <c r="E897" s="320"/>
      <c r="G897" s="320"/>
      <c r="I897" s="320"/>
      <c r="K897" s="320"/>
    </row>
    <row r="898">
      <c r="C898" s="320"/>
      <c r="E898" s="320"/>
      <c r="G898" s="320"/>
      <c r="I898" s="320"/>
      <c r="K898" s="320"/>
    </row>
    <row r="899">
      <c r="C899" s="320"/>
      <c r="E899" s="320"/>
      <c r="G899" s="320"/>
      <c r="I899" s="320"/>
      <c r="K899" s="320"/>
    </row>
    <row r="900">
      <c r="C900" s="320"/>
      <c r="E900" s="320"/>
      <c r="G900" s="320"/>
      <c r="I900" s="320"/>
      <c r="K900" s="320"/>
    </row>
    <row r="901">
      <c r="C901" s="320"/>
      <c r="E901" s="320"/>
      <c r="G901" s="320"/>
      <c r="I901" s="320"/>
      <c r="K901" s="320"/>
    </row>
    <row r="902">
      <c r="C902" s="320"/>
      <c r="E902" s="320"/>
      <c r="G902" s="320"/>
      <c r="I902" s="320"/>
      <c r="K902" s="320"/>
    </row>
    <row r="903">
      <c r="C903" s="320"/>
      <c r="E903" s="320"/>
      <c r="G903" s="320"/>
      <c r="I903" s="320"/>
      <c r="K903" s="320"/>
    </row>
    <row r="904">
      <c r="C904" s="320"/>
      <c r="E904" s="320"/>
      <c r="G904" s="320"/>
      <c r="I904" s="320"/>
      <c r="K904" s="320"/>
    </row>
    <row r="905">
      <c r="C905" s="320"/>
      <c r="E905" s="320"/>
      <c r="G905" s="320"/>
      <c r="I905" s="320"/>
      <c r="K905" s="320"/>
    </row>
    <row r="906">
      <c r="C906" s="320"/>
      <c r="E906" s="320"/>
      <c r="G906" s="320"/>
      <c r="I906" s="320"/>
      <c r="K906" s="320"/>
    </row>
    <row r="907">
      <c r="C907" s="320"/>
      <c r="E907" s="320"/>
      <c r="G907" s="320"/>
      <c r="I907" s="320"/>
      <c r="K907" s="320"/>
    </row>
    <row r="908">
      <c r="C908" s="320"/>
      <c r="E908" s="320"/>
      <c r="G908" s="320"/>
      <c r="I908" s="320"/>
      <c r="K908" s="320"/>
    </row>
    <row r="909">
      <c r="C909" s="320"/>
      <c r="E909" s="320"/>
      <c r="G909" s="320"/>
      <c r="I909" s="320"/>
      <c r="K909" s="320"/>
    </row>
    <row r="910">
      <c r="C910" s="320"/>
      <c r="E910" s="320"/>
      <c r="G910" s="320"/>
      <c r="I910" s="320"/>
      <c r="K910" s="320"/>
    </row>
    <row r="911">
      <c r="C911" s="320"/>
      <c r="E911" s="320"/>
      <c r="G911" s="320"/>
      <c r="I911" s="320"/>
      <c r="K911" s="320"/>
    </row>
    <row r="912">
      <c r="C912" s="320"/>
      <c r="E912" s="320"/>
      <c r="G912" s="320"/>
      <c r="I912" s="320"/>
      <c r="K912" s="320"/>
    </row>
    <row r="913">
      <c r="C913" s="320"/>
      <c r="E913" s="320"/>
      <c r="G913" s="320"/>
      <c r="I913" s="320"/>
      <c r="K913" s="320"/>
    </row>
    <row r="914">
      <c r="C914" s="320"/>
      <c r="E914" s="320"/>
      <c r="G914" s="320"/>
      <c r="I914" s="320"/>
      <c r="K914" s="320"/>
    </row>
    <row r="915">
      <c r="C915" s="320"/>
      <c r="E915" s="320"/>
      <c r="G915" s="320"/>
      <c r="I915" s="320"/>
      <c r="K915" s="320"/>
    </row>
    <row r="916">
      <c r="C916" s="320"/>
      <c r="E916" s="320"/>
      <c r="G916" s="320"/>
      <c r="I916" s="320"/>
      <c r="K916" s="320"/>
    </row>
    <row r="917">
      <c r="C917" s="320"/>
      <c r="E917" s="320"/>
      <c r="G917" s="320"/>
      <c r="I917" s="320"/>
      <c r="K917" s="320"/>
    </row>
    <row r="918">
      <c r="C918" s="320"/>
      <c r="E918" s="320"/>
      <c r="G918" s="320"/>
      <c r="I918" s="320"/>
      <c r="K918" s="320"/>
    </row>
    <row r="919">
      <c r="C919" s="320"/>
      <c r="E919" s="320"/>
      <c r="G919" s="320"/>
      <c r="I919" s="320"/>
      <c r="K919" s="320"/>
    </row>
    <row r="920">
      <c r="C920" s="320"/>
      <c r="E920" s="320"/>
      <c r="G920" s="320"/>
      <c r="I920" s="320"/>
      <c r="K920" s="320"/>
    </row>
    <row r="921">
      <c r="C921" s="320"/>
      <c r="E921" s="320"/>
      <c r="G921" s="320"/>
      <c r="I921" s="320"/>
      <c r="K921" s="320"/>
    </row>
    <row r="922">
      <c r="C922" s="320"/>
      <c r="E922" s="320"/>
      <c r="G922" s="320"/>
      <c r="I922" s="320"/>
      <c r="K922" s="320"/>
    </row>
    <row r="923">
      <c r="C923" s="320"/>
      <c r="E923" s="320"/>
      <c r="G923" s="320"/>
      <c r="I923" s="320"/>
      <c r="K923" s="320"/>
    </row>
    <row r="924">
      <c r="C924" s="320"/>
      <c r="E924" s="320"/>
      <c r="G924" s="320"/>
      <c r="I924" s="320"/>
      <c r="K924" s="320"/>
    </row>
    <row r="925">
      <c r="C925" s="320"/>
      <c r="E925" s="320"/>
      <c r="G925" s="320"/>
      <c r="I925" s="320"/>
      <c r="K925" s="320"/>
    </row>
    <row r="926">
      <c r="C926" s="320"/>
      <c r="E926" s="320"/>
      <c r="G926" s="320"/>
      <c r="I926" s="320"/>
      <c r="K926" s="320"/>
    </row>
    <row r="927">
      <c r="C927" s="320"/>
      <c r="E927" s="320"/>
      <c r="G927" s="320"/>
      <c r="I927" s="320"/>
      <c r="K927" s="320"/>
    </row>
    <row r="928">
      <c r="C928" s="320"/>
      <c r="E928" s="320"/>
      <c r="G928" s="320"/>
      <c r="I928" s="320"/>
      <c r="K928" s="320"/>
    </row>
    <row r="929">
      <c r="C929" s="320"/>
      <c r="E929" s="320"/>
      <c r="G929" s="320"/>
      <c r="I929" s="320"/>
      <c r="K929" s="320"/>
    </row>
    <row r="930">
      <c r="C930" s="320"/>
      <c r="E930" s="320"/>
      <c r="G930" s="320"/>
      <c r="I930" s="320"/>
      <c r="K930" s="320"/>
    </row>
    <row r="931">
      <c r="C931" s="320"/>
      <c r="E931" s="320"/>
      <c r="G931" s="320"/>
      <c r="I931" s="320"/>
      <c r="K931" s="320"/>
    </row>
    <row r="932">
      <c r="C932" s="320"/>
      <c r="E932" s="320"/>
      <c r="G932" s="320"/>
      <c r="I932" s="320"/>
      <c r="K932" s="320"/>
    </row>
    <row r="933">
      <c r="C933" s="320"/>
      <c r="E933" s="320"/>
      <c r="G933" s="320"/>
      <c r="I933" s="320"/>
      <c r="K933" s="320"/>
    </row>
    <row r="934">
      <c r="C934" s="320"/>
      <c r="E934" s="320"/>
      <c r="G934" s="320"/>
      <c r="I934" s="320"/>
      <c r="K934" s="320"/>
    </row>
    <row r="935">
      <c r="C935" s="320"/>
      <c r="E935" s="320"/>
      <c r="G935" s="320"/>
      <c r="I935" s="320"/>
      <c r="K935" s="320"/>
    </row>
    <row r="936">
      <c r="C936" s="320"/>
      <c r="E936" s="320"/>
      <c r="G936" s="320"/>
      <c r="I936" s="320"/>
      <c r="K936" s="320"/>
    </row>
    <row r="937">
      <c r="C937" s="320"/>
      <c r="E937" s="320"/>
      <c r="G937" s="320"/>
      <c r="I937" s="320"/>
      <c r="K937" s="320"/>
    </row>
    <row r="938">
      <c r="C938" s="320"/>
      <c r="E938" s="320"/>
      <c r="G938" s="320"/>
      <c r="I938" s="320"/>
      <c r="K938" s="320"/>
    </row>
    <row r="939">
      <c r="C939" s="320"/>
      <c r="E939" s="320"/>
      <c r="G939" s="320"/>
      <c r="I939" s="320"/>
      <c r="K939" s="320"/>
    </row>
    <row r="940">
      <c r="C940" s="320"/>
      <c r="E940" s="320"/>
      <c r="G940" s="320"/>
      <c r="I940" s="320"/>
      <c r="K940" s="320"/>
    </row>
    <row r="941">
      <c r="C941" s="320"/>
      <c r="E941" s="320"/>
      <c r="G941" s="320"/>
      <c r="I941" s="320"/>
      <c r="K941" s="320"/>
    </row>
    <row r="942">
      <c r="C942" s="320"/>
      <c r="E942" s="320"/>
      <c r="G942" s="320"/>
      <c r="I942" s="320"/>
      <c r="K942" s="320"/>
    </row>
    <row r="943">
      <c r="C943" s="320"/>
      <c r="E943" s="320"/>
      <c r="G943" s="320"/>
      <c r="I943" s="320"/>
      <c r="K943" s="320"/>
    </row>
    <row r="944">
      <c r="C944" s="320"/>
      <c r="E944" s="320"/>
      <c r="G944" s="320"/>
      <c r="I944" s="320"/>
      <c r="K944" s="320"/>
    </row>
    <row r="945">
      <c r="C945" s="320"/>
      <c r="E945" s="320"/>
      <c r="G945" s="320"/>
      <c r="I945" s="320"/>
      <c r="K945" s="320"/>
    </row>
    <row r="946">
      <c r="C946" s="320"/>
      <c r="E946" s="320"/>
      <c r="G946" s="320"/>
      <c r="I946" s="320"/>
      <c r="K946" s="320"/>
    </row>
    <row r="947">
      <c r="C947" s="320"/>
      <c r="E947" s="320"/>
      <c r="G947" s="320"/>
      <c r="I947" s="320"/>
      <c r="K947" s="320"/>
    </row>
    <row r="948">
      <c r="C948" s="320"/>
      <c r="E948" s="320"/>
      <c r="G948" s="320"/>
      <c r="I948" s="320"/>
      <c r="K948" s="320"/>
    </row>
    <row r="949">
      <c r="C949" s="320"/>
      <c r="E949" s="320"/>
      <c r="G949" s="320"/>
      <c r="I949" s="320"/>
      <c r="K949" s="320"/>
    </row>
    <row r="950">
      <c r="C950" s="320"/>
      <c r="E950" s="320"/>
      <c r="G950" s="320"/>
      <c r="I950" s="320"/>
      <c r="K950" s="320"/>
    </row>
    <row r="951">
      <c r="C951" s="320"/>
      <c r="E951" s="320"/>
      <c r="G951" s="320"/>
      <c r="I951" s="320"/>
      <c r="K951" s="320"/>
    </row>
    <row r="952">
      <c r="C952" s="320"/>
      <c r="E952" s="320"/>
      <c r="G952" s="320"/>
      <c r="I952" s="320"/>
      <c r="K952" s="320"/>
    </row>
    <row r="953">
      <c r="C953" s="320"/>
      <c r="E953" s="320"/>
      <c r="G953" s="320"/>
      <c r="I953" s="320"/>
      <c r="K953" s="320"/>
    </row>
    <row r="954">
      <c r="C954" s="320"/>
      <c r="E954" s="320"/>
      <c r="G954" s="320"/>
      <c r="I954" s="320"/>
      <c r="K954" s="320"/>
    </row>
    <row r="955">
      <c r="C955" s="320"/>
      <c r="E955" s="320"/>
      <c r="G955" s="320"/>
      <c r="I955" s="320"/>
      <c r="K955" s="320"/>
    </row>
    <row r="956">
      <c r="C956" s="320"/>
      <c r="E956" s="320"/>
      <c r="G956" s="320"/>
      <c r="I956" s="320"/>
      <c r="K956" s="320"/>
    </row>
    <row r="957">
      <c r="C957" s="320"/>
      <c r="E957" s="320"/>
      <c r="G957" s="320"/>
      <c r="I957" s="320"/>
      <c r="K957" s="320"/>
    </row>
    <row r="958">
      <c r="C958" s="320"/>
      <c r="E958" s="320"/>
      <c r="G958" s="320"/>
      <c r="I958" s="320"/>
      <c r="K958" s="320"/>
    </row>
    <row r="959">
      <c r="C959" s="320"/>
      <c r="E959" s="320"/>
      <c r="G959" s="320"/>
      <c r="I959" s="320"/>
      <c r="K959" s="320"/>
    </row>
    <row r="960">
      <c r="C960" s="320"/>
      <c r="E960" s="320"/>
      <c r="G960" s="320"/>
      <c r="I960" s="320"/>
      <c r="K960" s="320"/>
    </row>
    <row r="961">
      <c r="C961" s="320"/>
      <c r="E961" s="320"/>
      <c r="G961" s="320"/>
      <c r="I961" s="320"/>
      <c r="K961" s="320"/>
    </row>
    <row r="962">
      <c r="C962" s="320"/>
      <c r="E962" s="320"/>
      <c r="G962" s="320"/>
      <c r="I962" s="320"/>
      <c r="K962" s="320"/>
    </row>
    <row r="963">
      <c r="C963" s="320"/>
      <c r="E963" s="320"/>
      <c r="G963" s="320"/>
      <c r="I963" s="320"/>
      <c r="K963" s="320"/>
    </row>
    <row r="964">
      <c r="C964" s="320"/>
      <c r="E964" s="320"/>
      <c r="G964" s="320"/>
      <c r="I964" s="320"/>
      <c r="K964" s="320"/>
    </row>
    <row r="965">
      <c r="C965" s="320"/>
      <c r="E965" s="320"/>
      <c r="G965" s="320"/>
      <c r="I965" s="320"/>
      <c r="K965" s="320"/>
    </row>
    <row r="966">
      <c r="C966" s="320"/>
      <c r="E966" s="320"/>
      <c r="G966" s="320"/>
      <c r="I966" s="320"/>
      <c r="K966" s="320"/>
    </row>
    <row r="967">
      <c r="C967" s="320"/>
      <c r="E967" s="320"/>
      <c r="G967" s="320"/>
      <c r="I967" s="320"/>
      <c r="K967" s="320"/>
    </row>
    <row r="968">
      <c r="C968" s="320"/>
      <c r="E968" s="320"/>
      <c r="G968" s="320"/>
      <c r="I968" s="320"/>
      <c r="K968" s="320"/>
    </row>
    <row r="969">
      <c r="C969" s="320"/>
      <c r="E969" s="320"/>
      <c r="G969" s="320"/>
      <c r="I969" s="320"/>
      <c r="K969" s="320"/>
    </row>
    <row r="970">
      <c r="C970" s="320"/>
      <c r="E970" s="320"/>
      <c r="G970" s="320"/>
      <c r="I970" s="320"/>
      <c r="K970" s="320"/>
    </row>
    <row r="971">
      <c r="C971" s="320"/>
      <c r="E971" s="320"/>
      <c r="G971" s="320"/>
      <c r="I971" s="320"/>
      <c r="K971" s="320"/>
    </row>
    <row r="972">
      <c r="C972" s="320"/>
      <c r="E972" s="320"/>
      <c r="G972" s="320"/>
      <c r="I972" s="320"/>
      <c r="K972" s="320"/>
    </row>
    <row r="973">
      <c r="C973" s="320"/>
      <c r="E973" s="320"/>
      <c r="G973" s="320"/>
      <c r="I973" s="320"/>
      <c r="K973" s="320"/>
    </row>
    <row r="974">
      <c r="C974" s="320"/>
      <c r="E974" s="320"/>
      <c r="G974" s="320"/>
      <c r="I974" s="320"/>
      <c r="K974" s="320"/>
    </row>
    <row r="975">
      <c r="C975" s="320"/>
      <c r="E975" s="320"/>
      <c r="G975" s="320"/>
      <c r="I975" s="320"/>
      <c r="K975" s="320"/>
    </row>
    <row r="976">
      <c r="C976" s="320"/>
      <c r="E976" s="320"/>
      <c r="G976" s="320"/>
      <c r="I976" s="320"/>
      <c r="K976" s="320"/>
    </row>
    <row r="977">
      <c r="C977" s="320"/>
      <c r="E977" s="320"/>
      <c r="G977" s="320"/>
      <c r="I977" s="320"/>
      <c r="K977" s="320"/>
    </row>
    <row r="978">
      <c r="C978" s="320"/>
      <c r="E978" s="320"/>
      <c r="G978" s="320"/>
      <c r="I978" s="320"/>
      <c r="K978" s="320"/>
    </row>
    <row r="979">
      <c r="C979" s="320"/>
      <c r="E979" s="320"/>
      <c r="G979" s="320"/>
      <c r="I979" s="320"/>
      <c r="K979" s="320"/>
    </row>
    <row r="980">
      <c r="C980" s="320"/>
      <c r="E980" s="320"/>
      <c r="G980" s="320"/>
      <c r="I980" s="320"/>
      <c r="K980" s="320"/>
    </row>
    <row r="981">
      <c r="C981" s="320"/>
      <c r="E981" s="320"/>
      <c r="G981" s="320"/>
      <c r="I981" s="320"/>
      <c r="K981" s="320"/>
    </row>
    <row r="982">
      <c r="C982" s="320"/>
      <c r="E982" s="320"/>
      <c r="G982" s="320"/>
      <c r="I982" s="320"/>
      <c r="K982" s="320"/>
    </row>
    <row r="983">
      <c r="C983" s="320"/>
      <c r="E983" s="320"/>
      <c r="G983" s="320"/>
      <c r="I983" s="320"/>
      <c r="K983" s="320"/>
    </row>
    <row r="984">
      <c r="C984" s="320"/>
      <c r="E984" s="320"/>
      <c r="G984" s="320"/>
      <c r="I984" s="320"/>
      <c r="K984" s="320"/>
    </row>
    <row r="985">
      <c r="C985" s="320"/>
      <c r="E985" s="320"/>
      <c r="G985" s="320"/>
      <c r="I985" s="320"/>
      <c r="K985" s="320"/>
    </row>
    <row r="986">
      <c r="C986" s="320"/>
      <c r="E986" s="320"/>
      <c r="G986" s="320"/>
      <c r="I986" s="320"/>
      <c r="K986" s="320"/>
    </row>
    <row r="987">
      <c r="C987" s="320"/>
      <c r="E987" s="320"/>
      <c r="G987" s="320"/>
      <c r="I987" s="320"/>
      <c r="K987" s="320"/>
    </row>
    <row r="988">
      <c r="C988" s="320"/>
      <c r="E988" s="320"/>
      <c r="G988" s="320"/>
      <c r="I988" s="320"/>
      <c r="K988" s="320"/>
    </row>
    <row r="989">
      <c r="C989" s="320"/>
      <c r="E989" s="320"/>
      <c r="G989" s="320"/>
      <c r="I989" s="320"/>
      <c r="K989" s="320"/>
    </row>
    <row r="990">
      <c r="C990" s="320"/>
      <c r="E990" s="320"/>
      <c r="G990" s="320"/>
      <c r="I990" s="320"/>
      <c r="K990" s="320"/>
    </row>
    <row r="991">
      <c r="C991" s="320"/>
      <c r="E991" s="320"/>
      <c r="G991" s="320"/>
      <c r="I991" s="320"/>
      <c r="K991" s="320"/>
    </row>
    <row r="992">
      <c r="C992" s="320"/>
      <c r="E992" s="320"/>
      <c r="G992" s="320"/>
      <c r="I992" s="320"/>
      <c r="K992" s="320"/>
    </row>
    <row r="993">
      <c r="C993" s="320"/>
      <c r="E993" s="320"/>
      <c r="G993" s="320"/>
      <c r="I993" s="320"/>
      <c r="K993" s="320"/>
    </row>
    <row r="994">
      <c r="C994" s="320"/>
      <c r="E994" s="320"/>
      <c r="G994" s="320"/>
      <c r="I994" s="320"/>
      <c r="K994" s="320"/>
    </row>
    <row r="995">
      <c r="C995" s="320"/>
      <c r="E995" s="320"/>
      <c r="G995" s="320"/>
      <c r="I995" s="320"/>
      <c r="K995" s="320"/>
    </row>
    <row r="996">
      <c r="C996" s="320"/>
      <c r="E996" s="320"/>
      <c r="G996" s="320"/>
      <c r="I996" s="320"/>
      <c r="K996" s="320"/>
    </row>
    <row r="997">
      <c r="C997" s="320"/>
      <c r="E997" s="320"/>
      <c r="G997" s="320"/>
      <c r="I997" s="320"/>
      <c r="K997" s="320"/>
    </row>
    <row r="998">
      <c r="C998" s="320"/>
      <c r="E998" s="320"/>
      <c r="G998" s="320"/>
      <c r="I998" s="320"/>
      <c r="K998" s="320"/>
    </row>
    <row r="999">
      <c r="C999" s="320"/>
      <c r="E999" s="320"/>
      <c r="G999" s="320"/>
      <c r="I999" s="320"/>
      <c r="K999" s="320"/>
    </row>
    <row r="1000">
      <c r="C1000" s="320"/>
      <c r="E1000" s="320"/>
      <c r="G1000" s="320"/>
      <c r="I1000" s="320"/>
      <c r="K1000" s="320"/>
    </row>
  </sheetData>
  <drawing r:id="rId2"/>
</worksheet>
</file>